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240" yWindow="180" windowWidth="11340" windowHeight="5715" tabRatio="915" firstSheet="1" activeTab="8"/>
  </bookViews>
  <sheets>
    <sheet name="Back-up Sumur" sheetId="53" state="hidden" r:id="rId1"/>
    <sheet name="data primer" sheetId="60" r:id="rId2"/>
    <sheet name="Upah &amp; Bahan" sheetId="11" r:id="rId3"/>
    <sheet name="SNI" sheetId="58" r:id="rId4"/>
    <sheet name="K3" sheetId="66" state="hidden" r:id="rId5"/>
    <sheet name="satpek" sheetId="59" r:id="rId6"/>
    <sheet name="Usulan 2019" sheetId="56" state="hidden" r:id="rId7"/>
    <sheet name="K3." sheetId="70" r:id="rId8"/>
    <sheet name="RAB.PERTANIAN" sheetId="69" r:id="rId9"/>
    <sheet name="RAB" sheetId="63" state="hidden" r:id="rId10"/>
    <sheet name="Rekap" sheetId="67" r:id="rId11"/>
    <sheet name="tkdn.rab" sheetId="72" state="hidden" r:id="rId12"/>
    <sheet name="TKDN" sheetId="71" state="hidden" r:id="rId13"/>
    <sheet name="vol." sheetId="65" state="hidden" r:id="rId14"/>
    <sheet name="terbilang" sheetId="64" state="hidden" r:id="rId15"/>
    <sheet name="HARGA 2020" sheetId="62" state="hidden" r:id="rId16"/>
    <sheet name="HARGA 2022" sheetId="68" state="hidden" r:id="rId17"/>
    <sheet name="Sheet3" sheetId="74" state="hidden" r:id="rId18"/>
    <sheet name="TEMPELET" sheetId="75" state="hidden" r:id="rId19"/>
    <sheet name="rekap MPU" sheetId="76" r:id="rId20"/>
    <sheet name="MPU" sheetId="77" r:id="rId21"/>
    <sheet name="back up vol" sheetId="78" r:id="rId22"/>
    <sheet name="TABEL HITUNG BESI 1" sheetId="79" r:id="rId23"/>
    <sheet name="TABEL HITUNG BESI 2" sheetId="80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Fill" localSheetId="6" hidden="1">#REF!</definedName>
    <definedName name="_Fill" hidden="1">#REF!</definedName>
    <definedName name="_xlnm._FilterDatabase" localSheetId="15" hidden="1">'HARGA 2020'!$D$20:$F$1011</definedName>
    <definedName name="_xlnm._FilterDatabase" localSheetId="20" hidden="1">MPU!$B$14:$M$111</definedName>
    <definedName name="_xlnm._FilterDatabase" localSheetId="19" hidden="1">'rekap MPU'!$A$16:$A$443</definedName>
    <definedName name="_xlnm._FilterDatabase" localSheetId="5" hidden="1">satpek!$C$18:$E$136</definedName>
    <definedName name="_xlnm._FilterDatabase" localSheetId="2" hidden="1">'Upah &amp; Bahan'!$D$22:$F$160</definedName>
    <definedName name="_MMM10">'[1]4-Basic Price'!$G$99</definedName>
    <definedName name="_MMM26">'[1]4-Basic Price'!$G$77</definedName>
    <definedName name="_MMM31">'[1]4-Basic Price'!$G$100</definedName>
    <definedName name="_Order1" hidden="1">255</definedName>
    <definedName name="i" localSheetId="6">#REF!</definedName>
    <definedName name="i">#REF!</definedName>
    <definedName name="_xlnm.Print_Area" localSheetId="2">'Upah &amp; Bahan'!$A$1:$J$160</definedName>
    <definedName name="_xlnm.Print_Area" localSheetId="6">'Usulan 2019'!$A$1:$L$756</definedName>
    <definedName name="_xlnm.Print_Titles" localSheetId="2">'Upah &amp; Bahan'!$43:$46</definedName>
    <definedName name="_xlnm.Print_Titles" localSheetId="6">'Usulan 2019'!$16:$16</definedName>
    <definedName name="zdvnkh84" localSheetId="6">#REF!</definedName>
    <definedName name="zdvnkh84">#REF!</definedName>
  </definedNames>
  <calcPr calcId="144525"/>
</workbook>
</file>

<file path=xl/calcChain.xml><?xml version="1.0" encoding="utf-8"?>
<calcChain xmlns="http://schemas.openxmlformats.org/spreadsheetml/2006/main">
  <c r="E229" i="80" l="1"/>
  <c r="H229" i="80" s="1"/>
  <c r="B226" i="80"/>
  <c r="K224" i="80"/>
  <c r="G224" i="80"/>
  <c r="R221" i="80"/>
  <c r="S221" i="80" s="1"/>
  <c r="H221" i="80"/>
  <c r="S220" i="80"/>
  <c r="R220" i="80"/>
  <c r="N220" i="80"/>
  <c r="N224" i="80" s="1"/>
  <c r="K220" i="80"/>
  <c r="H220" i="80"/>
  <c r="H224" i="80" s="1"/>
  <c r="G220" i="80"/>
  <c r="B217" i="80"/>
  <c r="H206" i="80"/>
  <c r="H215" i="80" s="1"/>
  <c r="R205" i="80"/>
  <c r="S205" i="80" s="1"/>
  <c r="K205" i="80"/>
  <c r="K215" i="80" s="1"/>
  <c r="H205" i="80"/>
  <c r="G205" i="80"/>
  <c r="G215" i="80" s="1"/>
  <c r="E205" i="80"/>
  <c r="R206" i="80" s="1"/>
  <c r="S206" i="80" s="1"/>
  <c r="B202" i="80"/>
  <c r="H189" i="80"/>
  <c r="H196" i="80" s="1"/>
  <c r="R188" i="80"/>
  <c r="S188" i="80" s="1"/>
  <c r="K188" i="80"/>
  <c r="K196" i="80" s="1"/>
  <c r="H188" i="80"/>
  <c r="G188" i="80"/>
  <c r="G196" i="80" s="1"/>
  <c r="E188" i="80"/>
  <c r="R189" i="80" s="1"/>
  <c r="S189" i="80" s="1"/>
  <c r="B185" i="80"/>
  <c r="E181" i="80"/>
  <c r="E178" i="80"/>
  <c r="H178" i="80" s="1"/>
  <c r="B175" i="80"/>
  <c r="E165" i="80"/>
  <c r="H165" i="80" s="1"/>
  <c r="H173" i="80" s="1"/>
  <c r="B162" i="80"/>
  <c r="C158" i="80"/>
  <c r="E155" i="80"/>
  <c r="E154" i="80"/>
  <c r="E152" i="80"/>
  <c r="E146" i="80"/>
  <c r="E144" i="80"/>
  <c r="E143" i="80"/>
  <c r="E142" i="80"/>
  <c r="E141" i="80"/>
  <c r="E139" i="80"/>
  <c r="E136" i="80" s="1"/>
  <c r="B133" i="80"/>
  <c r="N131" i="80"/>
  <c r="S130" i="80"/>
  <c r="R130" i="80"/>
  <c r="H130" i="80"/>
  <c r="H131" i="80" s="1"/>
  <c r="R129" i="80"/>
  <c r="S129" i="80" s="1"/>
  <c r="S131" i="80" s="1"/>
  <c r="N129" i="80"/>
  <c r="K129" i="80"/>
  <c r="K131" i="80" s="1"/>
  <c r="H129" i="80"/>
  <c r="G129" i="80"/>
  <c r="G131" i="80" s="1"/>
  <c r="E110" i="80"/>
  <c r="E103" i="80"/>
  <c r="H103" i="80" s="1"/>
  <c r="B100" i="80"/>
  <c r="K95" i="80"/>
  <c r="R93" i="80"/>
  <c r="S93" i="80" s="1"/>
  <c r="S95" i="80" s="1"/>
  <c r="K93" i="80"/>
  <c r="G93" i="80"/>
  <c r="G95" i="80" s="1"/>
  <c r="E93" i="80"/>
  <c r="H93" i="80" s="1"/>
  <c r="H95" i="80" s="1"/>
  <c r="B90" i="80"/>
  <c r="H85" i="80"/>
  <c r="H87" i="80" s="1"/>
  <c r="E85" i="80"/>
  <c r="N85" i="80" s="1"/>
  <c r="N87" i="80" s="1"/>
  <c r="B82" i="80"/>
  <c r="G79" i="80"/>
  <c r="R77" i="80"/>
  <c r="S77" i="80" s="1"/>
  <c r="S79" i="80" s="1"/>
  <c r="K77" i="80"/>
  <c r="K79" i="80" s="1"/>
  <c r="H77" i="80"/>
  <c r="H79" i="80" s="1"/>
  <c r="G77" i="80"/>
  <c r="F77" i="80"/>
  <c r="N77" i="80" s="1"/>
  <c r="N79" i="80" s="1"/>
  <c r="G70" i="80"/>
  <c r="R68" i="80"/>
  <c r="S68" i="80" s="1"/>
  <c r="S70" i="80" s="1"/>
  <c r="N68" i="80"/>
  <c r="N70" i="80" s="1"/>
  <c r="K68" i="80"/>
  <c r="K70" i="80" s="1"/>
  <c r="H68" i="80"/>
  <c r="H70" i="80" s="1"/>
  <c r="G68" i="80"/>
  <c r="E58" i="80"/>
  <c r="E56" i="80"/>
  <c r="E48" i="80"/>
  <c r="H48" i="80" s="1"/>
  <c r="H60" i="80" s="1"/>
  <c r="E29" i="80"/>
  <c r="H29" i="80" s="1"/>
  <c r="H42" i="80" s="1"/>
  <c r="S7" i="80"/>
  <c r="R6" i="80"/>
  <c r="S6" i="80" s="1"/>
  <c r="R5" i="80"/>
  <c r="S5" i="80" s="1"/>
  <c r="K5" i="80"/>
  <c r="K23" i="80" s="1"/>
  <c r="G5" i="80"/>
  <c r="G23" i="80" s="1"/>
  <c r="E5" i="80"/>
  <c r="N5" i="80" s="1"/>
  <c r="N23" i="80" s="1"/>
  <c r="P84" i="79"/>
  <c r="Q84" i="79" s="1"/>
  <c r="R84" i="79" s="1"/>
  <c r="R86" i="79" s="1"/>
  <c r="N84" i="79"/>
  <c r="M84" i="79"/>
  <c r="M86" i="79" s="1"/>
  <c r="L84" i="79"/>
  <c r="H84" i="79"/>
  <c r="H86" i="79" s="1"/>
  <c r="G84" i="79"/>
  <c r="G86" i="79" s="1"/>
  <c r="B79" i="79"/>
  <c r="Q75" i="79"/>
  <c r="P75" i="79"/>
  <c r="N75" i="79"/>
  <c r="R75" i="79" s="1"/>
  <c r="R77" i="79" s="1"/>
  <c r="L75" i="79"/>
  <c r="M75" i="79" s="1"/>
  <c r="M77" i="79" s="1"/>
  <c r="G75" i="79"/>
  <c r="G77" i="79" s="1"/>
  <c r="C75" i="79"/>
  <c r="H75" i="79" s="1"/>
  <c r="H77" i="79" s="1"/>
  <c r="N67" i="79"/>
  <c r="G67" i="79"/>
  <c r="G69" i="79" s="1"/>
  <c r="D67" i="79"/>
  <c r="C67" i="79"/>
  <c r="L67" i="79" s="1"/>
  <c r="Q61" i="79"/>
  <c r="P61" i="79"/>
  <c r="N61" i="79"/>
  <c r="R61" i="79" s="1"/>
  <c r="L61" i="79"/>
  <c r="M61" i="79" s="1"/>
  <c r="H61" i="79"/>
  <c r="G61" i="79"/>
  <c r="Q60" i="79"/>
  <c r="P60" i="79"/>
  <c r="N60" i="79"/>
  <c r="R60" i="79" s="1"/>
  <c r="L60" i="79"/>
  <c r="M60" i="79" s="1"/>
  <c r="H60" i="79"/>
  <c r="G60" i="79"/>
  <c r="Q59" i="79"/>
  <c r="P59" i="79"/>
  <c r="N59" i="79"/>
  <c r="R59" i="79" s="1"/>
  <c r="R62" i="79" s="1"/>
  <c r="L59" i="79"/>
  <c r="M59" i="79" s="1"/>
  <c r="H59" i="79"/>
  <c r="H62" i="79" s="1"/>
  <c r="G59" i="79"/>
  <c r="G62" i="79" s="1"/>
  <c r="P52" i="79"/>
  <c r="N52" i="79"/>
  <c r="P51" i="79"/>
  <c r="N51" i="79"/>
  <c r="P50" i="79"/>
  <c r="N50" i="79"/>
  <c r="P49" i="79"/>
  <c r="N49" i="79"/>
  <c r="P48" i="79"/>
  <c r="N48" i="79"/>
  <c r="P47" i="79"/>
  <c r="N47" i="79"/>
  <c r="P46" i="79"/>
  <c r="N46" i="79"/>
  <c r="P45" i="79"/>
  <c r="N45" i="79"/>
  <c r="P44" i="79"/>
  <c r="N44" i="79"/>
  <c r="E44" i="79"/>
  <c r="Q43" i="79"/>
  <c r="P43" i="79"/>
  <c r="N43" i="79"/>
  <c r="R43" i="79" s="1"/>
  <c r="L43" i="79"/>
  <c r="G43" i="79"/>
  <c r="F43" i="79"/>
  <c r="F44" i="79" s="1"/>
  <c r="E43" i="79"/>
  <c r="M43" i="79" s="1"/>
  <c r="Q42" i="79"/>
  <c r="P42" i="79"/>
  <c r="N42" i="79"/>
  <c r="R42" i="79" s="1"/>
  <c r="L42" i="79"/>
  <c r="M42" i="79" s="1"/>
  <c r="H42" i="79"/>
  <c r="G42" i="79"/>
  <c r="Q34" i="79"/>
  <c r="P34" i="79"/>
  <c r="N34" i="79"/>
  <c r="R34" i="79" s="1"/>
  <c r="R37" i="79" s="1"/>
  <c r="L34" i="79"/>
  <c r="M34" i="79" s="1"/>
  <c r="M37" i="79" s="1"/>
  <c r="H34" i="79"/>
  <c r="H37" i="79" s="1"/>
  <c r="G34" i="79"/>
  <c r="G37" i="79" s="1"/>
  <c r="Q26" i="79"/>
  <c r="P26" i="79"/>
  <c r="N26" i="79"/>
  <c r="R26" i="79" s="1"/>
  <c r="L26" i="79"/>
  <c r="M26" i="79" s="1"/>
  <c r="H26" i="79"/>
  <c r="G26" i="79"/>
  <c r="Q25" i="79"/>
  <c r="P25" i="79"/>
  <c r="N25" i="79"/>
  <c r="R25" i="79" s="1"/>
  <c r="L25" i="79"/>
  <c r="H25" i="79"/>
  <c r="G25" i="79"/>
  <c r="G29" i="79" s="1"/>
  <c r="D25" i="79"/>
  <c r="M25" i="79" s="1"/>
  <c r="P23" i="79"/>
  <c r="Q23" i="79" s="1"/>
  <c r="R23" i="79" s="1"/>
  <c r="R29" i="79" s="1"/>
  <c r="N23" i="79"/>
  <c r="M23" i="79"/>
  <c r="M29" i="79" s="1"/>
  <c r="L23" i="79"/>
  <c r="H23" i="79"/>
  <c r="H29" i="79" s="1"/>
  <c r="G23" i="79"/>
  <c r="P15" i="79"/>
  <c r="N15" i="79"/>
  <c r="F15" i="79"/>
  <c r="Q15" i="79" s="1"/>
  <c r="R15" i="79" s="1"/>
  <c r="R17" i="79" s="1"/>
  <c r="P7" i="79"/>
  <c r="F7" i="79"/>
  <c r="L7" i="79" s="1"/>
  <c r="M7" i="79" s="1"/>
  <c r="M9" i="79" s="1"/>
  <c r="B2" i="79"/>
  <c r="B525" i="78"/>
  <c r="C525" i="78"/>
  <c r="R732" i="78"/>
  <c r="Q732" i="78"/>
  <c r="C732" i="78"/>
  <c r="B732" i="78"/>
  <c r="R731" i="78"/>
  <c r="Q731" i="78"/>
  <c r="C731" i="78"/>
  <c r="B731" i="78"/>
  <c r="R730" i="78"/>
  <c r="Q730" i="78"/>
  <c r="C730" i="78"/>
  <c r="B730" i="78"/>
  <c r="R729" i="78"/>
  <c r="Q729" i="78"/>
  <c r="C729" i="78"/>
  <c r="B729" i="78"/>
  <c r="R728" i="78"/>
  <c r="P728" i="78"/>
  <c r="Q728" i="78" s="1"/>
  <c r="C728" i="78"/>
  <c r="B728" i="78"/>
  <c r="R727" i="78"/>
  <c r="Q727" i="78"/>
  <c r="P727" i="78"/>
  <c r="C727" i="78"/>
  <c r="B727" i="78"/>
  <c r="R726" i="78"/>
  <c r="Q726" i="78"/>
  <c r="C726" i="78"/>
  <c r="B726" i="78"/>
  <c r="C725" i="78"/>
  <c r="B725" i="78"/>
  <c r="R723" i="78"/>
  <c r="C723" i="78"/>
  <c r="B723" i="78"/>
  <c r="R722" i="78"/>
  <c r="H722" i="78"/>
  <c r="C722" i="78"/>
  <c r="B722" i="78"/>
  <c r="R721" i="78"/>
  <c r="C721" i="78"/>
  <c r="B721" i="78"/>
  <c r="C720" i="78"/>
  <c r="B720" i="78"/>
  <c r="R718" i="78"/>
  <c r="P718" i="78"/>
  <c r="Q718" i="78" s="1"/>
  <c r="C718" i="78"/>
  <c r="B718" i="78"/>
  <c r="R717" i="78"/>
  <c r="Q717" i="78"/>
  <c r="P717" i="78"/>
  <c r="C717" i="78"/>
  <c r="B717" i="78"/>
  <c r="R716" i="78"/>
  <c r="P716" i="78"/>
  <c r="Q716" i="78" s="1"/>
  <c r="C716" i="78"/>
  <c r="B716" i="78"/>
  <c r="R715" i="78"/>
  <c r="Q715" i="78"/>
  <c r="P715" i="78"/>
  <c r="C715" i="78"/>
  <c r="B715" i="78"/>
  <c r="C714" i="78"/>
  <c r="B714" i="78"/>
  <c r="R712" i="78"/>
  <c r="P712" i="78"/>
  <c r="Q712" i="78" s="1"/>
  <c r="H712" i="78"/>
  <c r="C712" i="78"/>
  <c r="B712" i="78"/>
  <c r="R711" i="78"/>
  <c r="P711" i="78"/>
  <c r="Q711" i="78" s="1"/>
  <c r="H711" i="78"/>
  <c r="C711" i="78"/>
  <c r="B711" i="78"/>
  <c r="R710" i="78"/>
  <c r="P710" i="78"/>
  <c r="Q710" i="78" s="1"/>
  <c r="J710" i="78"/>
  <c r="H710" i="78"/>
  <c r="C710" i="78"/>
  <c r="B710" i="78"/>
  <c r="R709" i="78"/>
  <c r="Q709" i="78"/>
  <c r="P709" i="78"/>
  <c r="C709" i="78"/>
  <c r="B709" i="78"/>
  <c r="C708" i="78"/>
  <c r="B708" i="78"/>
  <c r="R706" i="78"/>
  <c r="C706" i="78"/>
  <c r="B706" i="78"/>
  <c r="R705" i="78"/>
  <c r="C705" i="78"/>
  <c r="B705" i="78"/>
  <c r="R704" i="78"/>
  <c r="J704" i="78"/>
  <c r="H704" i="78"/>
  <c r="P704" i="78" s="1"/>
  <c r="C704" i="78"/>
  <c r="B704" i="78"/>
  <c r="C703" i="78"/>
  <c r="B703" i="78"/>
  <c r="R701" i="78"/>
  <c r="H701" i="78"/>
  <c r="P701" i="78" s="1"/>
  <c r="Q701" i="78" s="1"/>
  <c r="C701" i="78"/>
  <c r="B701" i="78"/>
  <c r="R700" i="78"/>
  <c r="Q700" i="78"/>
  <c r="P700" i="78"/>
  <c r="C700" i="78"/>
  <c r="B700" i="78"/>
  <c r="C699" i="78"/>
  <c r="B699" i="78"/>
  <c r="R697" i="78"/>
  <c r="C697" i="78"/>
  <c r="B697" i="78"/>
  <c r="R696" i="78"/>
  <c r="P696" i="78"/>
  <c r="Q696" i="78" s="1"/>
  <c r="J696" i="78"/>
  <c r="C696" i="78"/>
  <c r="B696" i="78"/>
  <c r="R695" i="78"/>
  <c r="C695" i="78"/>
  <c r="B695" i="78"/>
  <c r="P694" i="78"/>
  <c r="P693" i="78"/>
  <c r="P692" i="78"/>
  <c r="P691" i="78" s="1"/>
  <c r="J722" i="78" s="1"/>
  <c r="R690" i="78"/>
  <c r="P690" i="78"/>
  <c r="Q690" i="78" s="1"/>
  <c r="H695" i="78" s="1"/>
  <c r="P695" i="78" s="1"/>
  <c r="C690" i="78"/>
  <c r="B690" i="78"/>
  <c r="C689" i="78"/>
  <c r="B689" i="78"/>
  <c r="R686" i="78"/>
  <c r="H686" i="78"/>
  <c r="P686" i="78" s="1"/>
  <c r="Q686" i="78" s="1"/>
  <c r="C686" i="78"/>
  <c r="B686" i="78"/>
  <c r="R685" i="78"/>
  <c r="Q685" i="78"/>
  <c r="P685" i="78"/>
  <c r="C685" i="78"/>
  <c r="B685" i="78"/>
  <c r="C684" i="78"/>
  <c r="B684" i="78"/>
  <c r="R683" i="78"/>
  <c r="P683" i="78"/>
  <c r="Q683" i="78" s="1"/>
  <c r="C683" i="78"/>
  <c r="B683" i="78"/>
  <c r="R682" i="78"/>
  <c r="Q682" i="78"/>
  <c r="P682" i="78"/>
  <c r="C682" i="78"/>
  <c r="B682" i="78"/>
  <c r="R681" i="78"/>
  <c r="P681" i="78"/>
  <c r="Q681" i="78" s="1"/>
  <c r="C681" i="78"/>
  <c r="B681" i="78"/>
  <c r="C680" i="78"/>
  <c r="B680" i="78"/>
  <c r="C679" i="78"/>
  <c r="B679" i="78"/>
  <c r="R678" i="78"/>
  <c r="Q678" i="78"/>
  <c r="P678" i="78"/>
  <c r="C678" i="78"/>
  <c r="B678" i="78"/>
  <c r="R677" i="78"/>
  <c r="P677" i="78"/>
  <c r="Q677" i="78" s="1"/>
  <c r="C677" i="78"/>
  <c r="B677" i="78"/>
  <c r="R676" i="78"/>
  <c r="Q676" i="78"/>
  <c r="P676" i="78"/>
  <c r="C676" i="78"/>
  <c r="B676" i="78"/>
  <c r="C675" i="78"/>
  <c r="B675" i="78"/>
  <c r="C674" i="78"/>
  <c r="B674" i="78"/>
  <c r="R673" i="78"/>
  <c r="P673" i="78"/>
  <c r="Q673" i="78" s="1"/>
  <c r="C673" i="78"/>
  <c r="B673" i="78"/>
  <c r="R672" i="78"/>
  <c r="Q672" i="78"/>
  <c r="P672" i="78"/>
  <c r="C672" i="78"/>
  <c r="B672" i="78"/>
  <c r="R671" i="78"/>
  <c r="P671" i="78"/>
  <c r="Q671" i="78" s="1"/>
  <c r="C671" i="78"/>
  <c r="B671" i="78"/>
  <c r="C670" i="78"/>
  <c r="B670" i="78"/>
  <c r="C669" i="78"/>
  <c r="B669" i="78"/>
  <c r="R668" i="78"/>
  <c r="Q668" i="78"/>
  <c r="P668" i="78"/>
  <c r="C668" i="78"/>
  <c r="B668" i="78"/>
  <c r="R667" i="78"/>
  <c r="P667" i="78"/>
  <c r="Q667" i="78" s="1"/>
  <c r="C667" i="78"/>
  <c r="B667" i="78"/>
  <c r="R666" i="78"/>
  <c r="Q666" i="78"/>
  <c r="P666" i="78"/>
  <c r="C666" i="78"/>
  <c r="B666" i="78"/>
  <c r="C665" i="78"/>
  <c r="B665" i="78"/>
  <c r="C664" i="78"/>
  <c r="B664" i="78"/>
  <c r="R663" i="78"/>
  <c r="J663" i="78"/>
  <c r="H663" i="78"/>
  <c r="P663" i="78" s="1"/>
  <c r="Q663" i="78" s="1"/>
  <c r="C663" i="78"/>
  <c r="B663" i="78"/>
  <c r="C662" i="78"/>
  <c r="B662" i="78"/>
  <c r="R660" i="78"/>
  <c r="H660" i="78"/>
  <c r="P660" i="78" s="1"/>
  <c r="Q660" i="78" s="1"/>
  <c r="C660" i="78"/>
  <c r="B660" i="78"/>
  <c r="R659" i="78"/>
  <c r="H659" i="78"/>
  <c r="P659" i="78" s="1"/>
  <c r="Q659" i="78" s="1"/>
  <c r="C659" i="78"/>
  <c r="B659" i="78"/>
  <c r="R658" i="78"/>
  <c r="Q658" i="78"/>
  <c r="P658" i="78"/>
  <c r="C658" i="78"/>
  <c r="B658" i="78"/>
  <c r="C657" i="78"/>
  <c r="B657" i="78"/>
  <c r="R655" i="78"/>
  <c r="J655" i="78"/>
  <c r="H655" i="78"/>
  <c r="P655" i="78" s="1"/>
  <c r="Q655" i="78" s="1"/>
  <c r="C655" i="78"/>
  <c r="B655" i="78"/>
  <c r="R654" i="78"/>
  <c r="Q654" i="78"/>
  <c r="P654" i="78"/>
  <c r="C654" i="78"/>
  <c r="B654" i="78"/>
  <c r="C653" i="78"/>
  <c r="B653" i="78"/>
  <c r="C652" i="78"/>
  <c r="B652" i="78"/>
  <c r="R649" i="78"/>
  <c r="Q649" i="78"/>
  <c r="C649" i="78"/>
  <c r="B649" i="78"/>
  <c r="R648" i="78"/>
  <c r="Q648" i="78"/>
  <c r="C648" i="78"/>
  <c r="B648" i="78"/>
  <c r="R647" i="78"/>
  <c r="Q647" i="78"/>
  <c r="C647" i="78"/>
  <c r="B647" i="78"/>
  <c r="R646" i="78"/>
  <c r="P646" i="78"/>
  <c r="Q646" i="78" s="1"/>
  <c r="C646" i="78"/>
  <c r="B646" i="78"/>
  <c r="R645" i="78"/>
  <c r="Q645" i="78"/>
  <c r="C645" i="78"/>
  <c r="B645" i="78"/>
  <c r="R644" i="78"/>
  <c r="Q644" i="78"/>
  <c r="P644" i="78"/>
  <c r="C644" i="78"/>
  <c r="B644" i="78"/>
  <c r="R643" i="78"/>
  <c r="Q643" i="78"/>
  <c r="C643" i="78"/>
  <c r="B643" i="78"/>
  <c r="R642" i="78"/>
  <c r="Q642" i="78"/>
  <c r="C642" i="78"/>
  <c r="B642" i="78"/>
  <c r="R641" i="78"/>
  <c r="Q641" i="78"/>
  <c r="C641" i="78"/>
  <c r="B641" i="78"/>
  <c r="R640" i="78"/>
  <c r="Q640" i="78"/>
  <c r="C640" i="78"/>
  <c r="B640" i="78"/>
  <c r="R639" i="78"/>
  <c r="Q639" i="78"/>
  <c r="C639" i="78"/>
  <c r="B639" i="78"/>
  <c r="R638" i="78"/>
  <c r="Q638" i="78"/>
  <c r="C638" i="78"/>
  <c r="B638" i="78"/>
  <c r="R637" i="78"/>
  <c r="Q637" i="78"/>
  <c r="C637" i="78"/>
  <c r="B637" i="78"/>
  <c r="R636" i="78"/>
  <c r="Q636" i="78"/>
  <c r="C636" i="78"/>
  <c r="B636" i="78"/>
  <c r="R635" i="78"/>
  <c r="P635" i="78"/>
  <c r="Q635" i="78" s="1"/>
  <c r="C635" i="78"/>
  <c r="B635" i="78"/>
  <c r="R634" i="78"/>
  <c r="Q634" i="78"/>
  <c r="P634" i="78"/>
  <c r="C634" i="78"/>
  <c r="B634" i="78"/>
  <c r="R633" i="78"/>
  <c r="P633" i="78"/>
  <c r="Q633" i="78" s="1"/>
  <c r="C633" i="78"/>
  <c r="B633" i="78"/>
  <c r="R632" i="78"/>
  <c r="Q632" i="78"/>
  <c r="P632" i="78"/>
  <c r="C632" i="78"/>
  <c r="B632" i="78"/>
  <c r="R631" i="78"/>
  <c r="P631" i="78"/>
  <c r="Q631" i="78" s="1"/>
  <c r="C631" i="78"/>
  <c r="B631" i="78"/>
  <c r="R630" i="78"/>
  <c r="Q630" i="78"/>
  <c r="C630" i="78"/>
  <c r="B630" i="78"/>
  <c r="C629" i="78"/>
  <c r="R626" i="78"/>
  <c r="Q626" i="78"/>
  <c r="B626" i="78"/>
  <c r="R625" i="78"/>
  <c r="Q625" i="78"/>
  <c r="B625" i="78"/>
  <c r="R624" i="78"/>
  <c r="P624" i="78"/>
  <c r="Q624" i="78" s="1"/>
  <c r="C624" i="78"/>
  <c r="B624" i="78"/>
  <c r="R623" i="78"/>
  <c r="Q623" i="78"/>
  <c r="P623" i="78"/>
  <c r="C623" i="78"/>
  <c r="B623" i="78"/>
  <c r="R622" i="78"/>
  <c r="Q622" i="78"/>
  <c r="C622" i="78"/>
  <c r="B622" i="78"/>
  <c r="R621" i="78"/>
  <c r="Q621" i="78"/>
  <c r="C621" i="78"/>
  <c r="B621" i="78"/>
  <c r="R620" i="78"/>
  <c r="Q620" i="78"/>
  <c r="C620" i="78"/>
  <c r="B620" i="78"/>
  <c r="R619" i="78"/>
  <c r="Q619" i="78"/>
  <c r="C619" i="78"/>
  <c r="B619" i="78"/>
  <c r="R618" i="78"/>
  <c r="Q618" i="78"/>
  <c r="C618" i="78"/>
  <c r="B618" i="78"/>
  <c r="R617" i="78"/>
  <c r="Q617" i="78"/>
  <c r="C617" i="78"/>
  <c r="B617" i="78"/>
  <c r="R616" i="78"/>
  <c r="Q616" i="78"/>
  <c r="C616" i="78"/>
  <c r="B616" i="78"/>
  <c r="R615" i="78"/>
  <c r="Q615" i="78"/>
  <c r="C615" i="78"/>
  <c r="B615" i="78"/>
  <c r="R614" i="78"/>
  <c r="Q614" i="78"/>
  <c r="C614" i="78"/>
  <c r="B614" i="78"/>
  <c r="R613" i="78"/>
  <c r="Q613" i="78"/>
  <c r="C613" i="78"/>
  <c r="B613" i="78"/>
  <c r="R612" i="78"/>
  <c r="P612" i="78"/>
  <c r="Q612" i="78" s="1"/>
  <c r="C612" i="78"/>
  <c r="B612" i="78"/>
  <c r="R611" i="78"/>
  <c r="Q611" i="78"/>
  <c r="P611" i="78"/>
  <c r="C611" i="78"/>
  <c r="B611" i="78"/>
  <c r="R610" i="78"/>
  <c r="P610" i="78"/>
  <c r="Q610" i="78" s="1"/>
  <c r="C610" i="78"/>
  <c r="B610" i="78"/>
  <c r="R609" i="78"/>
  <c r="Q609" i="78"/>
  <c r="P609" i="78"/>
  <c r="C609" i="78"/>
  <c r="B609" i="78"/>
  <c r="R608" i="78"/>
  <c r="P608" i="78"/>
  <c r="Q608" i="78" s="1"/>
  <c r="C608" i="78"/>
  <c r="B608" i="78"/>
  <c r="R607" i="78"/>
  <c r="Q607" i="78"/>
  <c r="C607" i="78"/>
  <c r="B607" i="78"/>
  <c r="R606" i="78"/>
  <c r="Q606" i="78"/>
  <c r="C606" i="78"/>
  <c r="B606" i="78"/>
  <c r="C605" i="78"/>
  <c r="B605" i="78"/>
  <c r="C604" i="78"/>
  <c r="C603" i="78"/>
  <c r="B603" i="78"/>
  <c r="R600" i="78"/>
  <c r="Q600" i="78"/>
  <c r="C600" i="78"/>
  <c r="B600" i="78"/>
  <c r="R599" i="78"/>
  <c r="Q599" i="78"/>
  <c r="C599" i="78"/>
  <c r="B599" i="78"/>
  <c r="R598" i="78"/>
  <c r="P598" i="78"/>
  <c r="Q598" i="78" s="1"/>
  <c r="C598" i="78"/>
  <c r="B598" i="78"/>
  <c r="R597" i="78"/>
  <c r="Q597" i="78"/>
  <c r="C597" i="78"/>
  <c r="B597" i="78"/>
  <c r="R596" i="78"/>
  <c r="Q596" i="78"/>
  <c r="C596" i="78"/>
  <c r="B596" i="78"/>
  <c r="R595" i="78"/>
  <c r="Q595" i="78"/>
  <c r="C595" i="78"/>
  <c r="B595" i="78"/>
  <c r="C594" i="78"/>
  <c r="B594" i="78"/>
  <c r="R593" i="78"/>
  <c r="Q593" i="78"/>
  <c r="P593" i="78"/>
  <c r="C593" i="78"/>
  <c r="B593" i="78"/>
  <c r="C592" i="78"/>
  <c r="B592" i="78"/>
  <c r="R591" i="78"/>
  <c r="P591" i="78"/>
  <c r="Q591" i="78" s="1"/>
  <c r="C591" i="78"/>
  <c r="B591" i="78"/>
  <c r="C590" i="78"/>
  <c r="B590" i="78"/>
  <c r="R589" i="78"/>
  <c r="Q589" i="78"/>
  <c r="P589" i="78"/>
  <c r="C589" i="78"/>
  <c r="B589" i="78"/>
  <c r="R588" i="78"/>
  <c r="P588" i="78"/>
  <c r="Q588" i="78" s="1"/>
  <c r="C588" i="78"/>
  <c r="B588" i="78"/>
  <c r="R587" i="78"/>
  <c r="Q587" i="78"/>
  <c r="P587" i="78"/>
  <c r="C587" i="78"/>
  <c r="B587" i="78"/>
  <c r="C586" i="78"/>
  <c r="B586" i="78"/>
  <c r="R585" i="78"/>
  <c r="Q585" i="78"/>
  <c r="C585" i="78"/>
  <c r="B585" i="78"/>
  <c r="R584" i="78"/>
  <c r="P584" i="78"/>
  <c r="Q584" i="78" s="1"/>
  <c r="C584" i="78"/>
  <c r="B584" i="78"/>
  <c r="R583" i="78"/>
  <c r="C583" i="78"/>
  <c r="B583" i="78"/>
  <c r="R582" i="78"/>
  <c r="P582" i="78"/>
  <c r="Q582" i="78" s="1"/>
  <c r="C582" i="78"/>
  <c r="B582" i="78"/>
  <c r="C581" i="78"/>
  <c r="B581" i="78"/>
  <c r="C580" i="78"/>
  <c r="C578" i="78"/>
  <c r="C577" i="78"/>
  <c r="R576" i="78"/>
  <c r="Q576" i="78"/>
  <c r="C576" i="78"/>
  <c r="B576" i="78"/>
  <c r="R575" i="78"/>
  <c r="Q575" i="78"/>
  <c r="C575" i="78"/>
  <c r="B575" i="78"/>
  <c r="R574" i="78"/>
  <c r="P574" i="78"/>
  <c r="Q574" i="78" s="1"/>
  <c r="C574" i="78"/>
  <c r="B574" i="78"/>
  <c r="R573" i="78"/>
  <c r="Q573" i="78"/>
  <c r="C573" i="78"/>
  <c r="B573" i="78"/>
  <c r="R572" i="78"/>
  <c r="Q572" i="78"/>
  <c r="C572" i="78"/>
  <c r="B572" i="78"/>
  <c r="R571" i="78"/>
  <c r="Q571" i="78"/>
  <c r="C571" i="78"/>
  <c r="B571" i="78"/>
  <c r="R570" i="78"/>
  <c r="Q570" i="78"/>
  <c r="C570" i="78"/>
  <c r="B570" i="78"/>
  <c r="C569" i="78"/>
  <c r="B569" i="78"/>
  <c r="R568" i="78"/>
  <c r="Q568" i="78"/>
  <c r="P568" i="78"/>
  <c r="C568" i="78"/>
  <c r="B568" i="78"/>
  <c r="C567" i="78"/>
  <c r="B567" i="78"/>
  <c r="R566" i="78"/>
  <c r="P566" i="78"/>
  <c r="Q566" i="78" s="1"/>
  <c r="C566" i="78"/>
  <c r="B566" i="78"/>
  <c r="R565" i="78"/>
  <c r="Q565" i="78"/>
  <c r="P565" i="78"/>
  <c r="C565" i="78"/>
  <c r="B565" i="78"/>
  <c r="R564" i="78"/>
  <c r="P564" i="78"/>
  <c r="Q564" i="78" s="1"/>
  <c r="C564" i="78"/>
  <c r="B564" i="78"/>
  <c r="C563" i="78"/>
  <c r="B563" i="78"/>
  <c r="R562" i="78"/>
  <c r="Q562" i="78"/>
  <c r="C562" i="78"/>
  <c r="B562" i="78"/>
  <c r="R561" i="78"/>
  <c r="C561" i="78"/>
  <c r="B561" i="78"/>
  <c r="R560" i="78"/>
  <c r="P560" i="78"/>
  <c r="Q560" i="78" s="1"/>
  <c r="C560" i="78"/>
  <c r="B560" i="78"/>
  <c r="R559" i="78"/>
  <c r="Q559" i="78"/>
  <c r="P559" i="78"/>
  <c r="C559" i="78"/>
  <c r="B559" i="78"/>
  <c r="C558" i="78"/>
  <c r="B558" i="78"/>
  <c r="C557" i="78"/>
  <c r="C556" i="78"/>
  <c r="B556" i="78"/>
  <c r="R554" i="78"/>
  <c r="J554" i="78"/>
  <c r="H554" i="78"/>
  <c r="P554" i="78" s="1"/>
  <c r="Q554" i="78" s="1"/>
  <c r="C554" i="78"/>
  <c r="B554" i="78"/>
  <c r="C553" i="78"/>
  <c r="B553" i="78"/>
  <c r="P551" i="78"/>
  <c r="J551" i="78"/>
  <c r="R549" i="78"/>
  <c r="C549" i="78"/>
  <c r="B549" i="78"/>
  <c r="R548" i="78"/>
  <c r="C548" i="78"/>
  <c r="B548" i="78"/>
  <c r="P546" i="78"/>
  <c r="P545" i="78"/>
  <c r="Q544" i="78"/>
  <c r="P543" i="78"/>
  <c r="P542" i="78"/>
  <c r="H542" i="78"/>
  <c r="R541" i="78"/>
  <c r="P541" i="78"/>
  <c r="Q541" i="78" s="1"/>
  <c r="L530" i="78" s="1"/>
  <c r="C541" i="78"/>
  <c r="B541" i="78"/>
  <c r="P539" i="78"/>
  <c r="P538" i="78"/>
  <c r="P537" i="78"/>
  <c r="P536" i="78"/>
  <c r="P535" i="78"/>
  <c r="P534" i="78"/>
  <c r="P533" i="78"/>
  <c r="P532" i="78"/>
  <c r="Q531" i="78" s="1"/>
  <c r="J530" i="78" s="1"/>
  <c r="R530" i="78"/>
  <c r="C530" i="78"/>
  <c r="B530" i="78"/>
  <c r="C529" i="78"/>
  <c r="P527" i="78"/>
  <c r="P526" i="78"/>
  <c r="Q525" i="78" s="1"/>
  <c r="R525" i="78"/>
  <c r="R524" i="78"/>
  <c r="C524" i="78"/>
  <c r="B524" i="78"/>
  <c r="P522" i="78"/>
  <c r="P521" i="78"/>
  <c r="P520" i="78"/>
  <c r="P519" i="78" s="1"/>
  <c r="R518" i="78"/>
  <c r="P518" i="78"/>
  <c r="H518" i="78"/>
  <c r="C518" i="78"/>
  <c r="B518" i="78"/>
  <c r="P515" i="78"/>
  <c r="P514" i="78"/>
  <c r="P513" i="78"/>
  <c r="P512" i="78"/>
  <c r="P511" i="78"/>
  <c r="P509" i="78" s="1"/>
  <c r="J508" i="78" s="1"/>
  <c r="P510" i="78"/>
  <c r="R508" i="78"/>
  <c r="C508" i="78"/>
  <c r="B508" i="78"/>
  <c r="C507" i="78"/>
  <c r="R506" i="78"/>
  <c r="C506" i="78"/>
  <c r="B506" i="78"/>
  <c r="C481" i="78"/>
  <c r="B481" i="78"/>
  <c r="C480" i="78"/>
  <c r="B480" i="78"/>
  <c r="C479" i="78"/>
  <c r="B479" i="78"/>
  <c r="R478" i="78"/>
  <c r="C478" i="78"/>
  <c r="B478" i="78"/>
  <c r="R477" i="78"/>
  <c r="Q477" i="78"/>
  <c r="C477" i="78"/>
  <c r="B477" i="78"/>
  <c r="R476" i="78"/>
  <c r="Q476" i="78"/>
  <c r="C476" i="78"/>
  <c r="B476" i="78"/>
  <c r="R475" i="78"/>
  <c r="Q475" i="78"/>
  <c r="C475" i="78"/>
  <c r="B475" i="78"/>
  <c r="R474" i="78"/>
  <c r="Q474" i="78"/>
  <c r="C474" i="78"/>
  <c r="B474" i="78"/>
  <c r="R473" i="78"/>
  <c r="Q473" i="78"/>
  <c r="C473" i="78"/>
  <c r="B473" i="78"/>
  <c r="C472" i="78"/>
  <c r="C471" i="78"/>
  <c r="R440" i="78"/>
  <c r="Q440" i="78"/>
  <c r="C440" i="78"/>
  <c r="B440" i="78"/>
  <c r="R439" i="78"/>
  <c r="Q439" i="78"/>
  <c r="C439" i="78"/>
  <c r="B439" i="78"/>
  <c r="R438" i="78"/>
  <c r="Q438" i="78"/>
  <c r="C438" i="78"/>
  <c r="B438" i="78"/>
  <c r="R437" i="78"/>
  <c r="Q437" i="78"/>
  <c r="C437" i="78"/>
  <c r="B437" i="78"/>
  <c r="R436" i="78"/>
  <c r="Q436" i="78"/>
  <c r="C436" i="78"/>
  <c r="B436" i="78"/>
  <c r="C435" i="78"/>
  <c r="B435" i="78"/>
  <c r="C434" i="78"/>
  <c r="C433" i="78"/>
  <c r="B433" i="78"/>
  <c r="R431" i="78"/>
  <c r="H431" i="78"/>
  <c r="P431" i="78" s="1"/>
  <c r="Q431" i="78" s="1"/>
  <c r="C431" i="78"/>
  <c r="B431" i="78"/>
  <c r="R430" i="78"/>
  <c r="C430" i="78"/>
  <c r="B430" i="78"/>
  <c r="R429" i="78"/>
  <c r="J429" i="78"/>
  <c r="H429" i="78"/>
  <c r="P429" i="78" s="1"/>
  <c r="Q429" i="78" s="1"/>
  <c r="C429" i="78"/>
  <c r="B429" i="78"/>
  <c r="R426" i="78"/>
  <c r="C426" i="78"/>
  <c r="B426" i="78"/>
  <c r="P425" i="78"/>
  <c r="P424" i="78"/>
  <c r="R423" i="78"/>
  <c r="P423" i="78"/>
  <c r="Q423" i="78" s="1"/>
  <c r="Q426" i="78" s="1"/>
  <c r="H430" i="78" s="1"/>
  <c r="P430" i="78" s="1"/>
  <c r="Q430" i="78" s="1"/>
  <c r="C423" i="78"/>
  <c r="B423" i="78"/>
  <c r="C422" i="78"/>
  <c r="B422" i="78"/>
  <c r="R420" i="78"/>
  <c r="C420" i="78"/>
  <c r="B420" i="78"/>
  <c r="R419" i="78"/>
  <c r="C419" i="78"/>
  <c r="B419" i="78"/>
  <c r="R418" i="78"/>
  <c r="H418" i="78"/>
  <c r="P418" i="78" s="1"/>
  <c r="Q418" i="78" s="1"/>
  <c r="C418" i="78"/>
  <c r="B418" i="78"/>
  <c r="P416" i="78"/>
  <c r="R414" i="78"/>
  <c r="C414" i="78"/>
  <c r="B414" i="78"/>
  <c r="P412" i="78"/>
  <c r="J412" i="78"/>
  <c r="H412" i="78"/>
  <c r="H413" i="78" s="1"/>
  <c r="R411" i="78"/>
  <c r="C411" i="78"/>
  <c r="B411" i="78"/>
  <c r="C410" i="78"/>
  <c r="R408" i="78"/>
  <c r="P408" i="78"/>
  <c r="Q408" i="78" s="1"/>
  <c r="H408" i="78"/>
  <c r="C408" i="78"/>
  <c r="B408" i="78"/>
  <c r="H407" i="78"/>
  <c r="P406" i="78" s="1"/>
  <c r="Q406" i="78" s="1"/>
  <c r="R406" i="78"/>
  <c r="C406" i="78"/>
  <c r="B406" i="78"/>
  <c r="P405" i="78"/>
  <c r="J405" i="78"/>
  <c r="H405" i="78"/>
  <c r="R404" i="78"/>
  <c r="Q404" i="78"/>
  <c r="C404" i="78"/>
  <c r="B404" i="78"/>
  <c r="P402" i="78"/>
  <c r="P401" i="78"/>
  <c r="P400" i="78" s="1"/>
  <c r="J399" i="78"/>
  <c r="H399" i="78"/>
  <c r="P399" i="78" s="1"/>
  <c r="R398" i="78"/>
  <c r="C398" i="78"/>
  <c r="B398" i="78"/>
  <c r="P397" i="78"/>
  <c r="P396" i="78"/>
  <c r="Q394" i="78" s="1"/>
  <c r="P395" i="78"/>
  <c r="R394" i="78"/>
  <c r="C394" i="78"/>
  <c r="B394" i="78"/>
  <c r="C393" i="78"/>
  <c r="C392" i="78"/>
  <c r="B392" i="78"/>
  <c r="H390" i="78"/>
  <c r="R389" i="78"/>
  <c r="Q389" i="78"/>
  <c r="C389" i="78"/>
  <c r="B389" i="78"/>
  <c r="P387" i="78"/>
  <c r="L387" i="78"/>
  <c r="P386" i="78"/>
  <c r="Q385" i="78" s="1"/>
  <c r="L386" i="78"/>
  <c r="R385" i="78"/>
  <c r="C385" i="78"/>
  <c r="B385" i="78"/>
  <c r="P382" i="78"/>
  <c r="L382" i="78"/>
  <c r="P381" i="78"/>
  <c r="R380" i="78"/>
  <c r="Q380" i="78"/>
  <c r="C380" i="78"/>
  <c r="B380" i="78"/>
  <c r="P378" i="78"/>
  <c r="J375" i="78"/>
  <c r="H375" i="78"/>
  <c r="P375" i="78" s="1"/>
  <c r="R374" i="78"/>
  <c r="C374" i="78"/>
  <c r="B374" i="78"/>
  <c r="R373" i="78"/>
  <c r="P373" i="78"/>
  <c r="Q373" i="78" s="1"/>
  <c r="C373" i="78"/>
  <c r="B373" i="78"/>
  <c r="C372" i="78"/>
  <c r="P370" i="78"/>
  <c r="J370" i="78"/>
  <c r="H370" i="78"/>
  <c r="J369" i="78"/>
  <c r="H369" i="78"/>
  <c r="P369" i="78" s="1"/>
  <c r="J368" i="78"/>
  <c r="H368" i="78"/>
  <c r="P368" i="78" s="1"/>
  <c r="R367" i="78"/>
  <c r="C367" i="78"/>
  <c r="B367" i="78"/>
  <c r="H365" i="78"/>
  <c r="Q364" i="78" s="1"/>
  <c r="R364" i="78"/>
  <c r="C364" i="78"/>
  <c r="B364" i="78"/>
  <c r="L362" i="78"/>
  <c r="J362" i="78"/>
  <c r="H362" i="78"/>
  <c r="P362" i="78" s="1"/>
  <c r="L361" i="78"/>
  <c r="J361" i="78"/>
  <c r="H361" i="78"/>
  <c r="P361" i="78" s="1"/>
  <c r="R360" i="78"/>
  <c r="C360" i="78"/>
  <c r="B360" i="78"/>
  <c r="R358" i="78"/>
  <c r="Q358" i="78"/>
  <c r="P358" i="78"/>
  <c r="C358" i="78"/>
  <c r="B358" i="78"/>
  <c r="R356" i="78"/>
  <c r="P356" i="78"/>
  <c r="Q356" i="78" s="1"/>
  <c r="C356" i="78"/>
  <c r="B356" i="78"/>
  <c r="L354" i="78"/>
  <c r="P354" i="78" s="1"/>
  <c r="Q352" i="78" s="1"/>
  <c r="P353" i="78"/>
  <c r="R352" i="78"/>
  <c r="C352" i="78"/>
  <c r="B352" i="78"/>
  <c r="P351" i="78"/>
  <c r="P350" i="78"/>
  <c r="P349" i="78"/>
  <c r="Q347" i="78" s="1"/>
  <c r="P348" i="78"/>
  <c r="R347" i="78"/>
  <c r="C347" i="78"/>
  <c r="B347" i="78"/>
  <c r="P345" i="78"/>
  <c r="Q344" i="78" s="1"/>
  <c r="H342" i="78"/>
  <c r="P341" i="78"/>
  <c r="R340" i="78"/>
  <c r="C340" i="78"/>
  <c r="B340" i="78"/>
  <c r="R339" i="78"/>
  <c r="Q339" i="78"/>
  <c r="P339" i="78"/>
  <c r="C339" i="78"/>
  <c r="B339" i="78"/>
  <c r="C338" i="78"/>
  <c r="C337" i="78"/>
  <c r="B337" i="78"/>
  <c r="P335" i="78"/>
  <c r="R333" i="78"/>
  <c r="C333" i="78"/>
  <c r="P332" i="78"/>
  <c r="H332" i="78"/>
  <c r="R330" i="78"/>
  <c r="C330" i="78"/>
  <c r="B330" i="78"/>
  <c r="R329" i="78"/>
  <c r="C329" i="78"/>
  <c r="B329" i="78"/>
  <c r="P327" i="78"/>
  <c r="P326" i="78"/>
  <c r="P325" i="78"/>
  <c r="P324" i="78"/>
  <c r="Q323" i="78"/>
  <c r="H321" i="78"/>
  <c r="H320" i="78"/>
  <c r="H319" i="78"/>
  <c r="H317" i="78"/>
  <c r="H315" i="78"/>
  <c r="J314" i="78"/>
  <c r="J315" i="78" s="1"/>
  <c r="J316" i="78" s="1"/>
  <c r="H313" i="78"/>
  <c r="R312" i="78"/>
  <c r="C312" i="78"/>
  <c r="B312" i="78"/>
  <c r="P310" i="78"/>
  <c r="P309" i="78"/>
  <c r="P308" i="78"/>
  <c r="P307" i="78"/>
  <c r="Q306" i="78" s="1"/>
  <c r="H331" i="78" s="1"/>
  <c r="P331" i="78" s="1"/>
  <c r="Q330" i="78" s="1"/>
  <c r="H303" i="78"/>
  <c r="H302" i="78"/>
  <c r="H301" i="78"/>
  <c r="H300" i="78"/>
  <c r="H299" i="78"/>
  <c r="H298" i="78"/>
  <c r="H297" i="78"/>
  <c r="H296" i="78"/>
  <c r="H293" i="78"/>
  <c r="J291" i="78"/>
  <c r="J292" i="78" s="1"/>
  <c r="H291" i="78"/>
  <c r="P290" i="78"/>
  <c r="J290" i="78"/>
  <c r="P289" i="78"/>
  <c r="J289" i="78"/>
  <c r="H289" i="78"/>
  <c r="P288" i="78"/>
  <c r="R287" i="78"/>
  <c r="C287" i="78"/>
  <c r="C286" i="78"/>
  <c r="R283" i="78"/>
  <c r="C283" i="78"/>
  <c r="B283" i="78"/>
  <c r="P282" i="78"/>
  <c r="R280" i="78"/>
  <c r="C280" i="78"/>
  <c r="B280" i="78"/>
  <c r="R279" i="78"/>
  <c r="C279" i="78"/>
  <c r="B279" i="78"/>
  <c r="P275" i="78"/>
  <c r="P274" i="78"/>
  <c r="P273" i="78"/>
  <c r="Q272" i="78" s="1"/>
  <c r="P271" i="78"/>
  <c r="J271" i="78"/>
  <c r="P270" i="78"/>
  <c r="J270" i="78"/>
  <c r="J269" i="78"/>
  <c r="H269" i="78"/>
  <c r="P269" i="78" s="1"/>
  <c r="J268" i="78"/>
  <c r="P268" i="78" s="1"/>
  <c r="H268" i="78"/>
  <c r="P267" i="78"/>
  <c r="J267" i="78"/>
  <c r="P266" i="78"/>
  <c r="J266" i="78"/>
  <c r="J265" i="78"/>
  <c r="H265" i="78"/>
  <c r="P265" i="78" s="1"/>
  <c r="J264" i="78"/>
  <c r="H264" i="78"/>
  <c r="P264" i="78" s="1"/>
  <c r="P263" i="78"/>
  <c r="J263" i="78"/>
  <c r="H262" i="78"/>
  <c r="P262" i="78" s="1"/>
  <c r="Q262" i="78" s="1"/>
  <c r="R261" i="78"/>
  <c r="C261" i="78"/>
  <c r="B261" i="78"/>
  <c r="P257" i="78"/>
  <c r="P256" i="78"/>
  <c r="P255" i="78"/>
  <c r="P254" i="78"/>
  <c r="P253" i="78"/>
  <c r="P252" i="78"/>
  <c r="Q251" i="78" s="1"/>
  <c r="H281" i="78" s="1"/>
  <c r="P281" i="78" s="1"/>
  <c r="Q280" i="78" s="1"/>
  <c r="P250" i="78"/>
  <c r="J250" i="78"/>
  <c r="P249" i="78"/>
  <c r="J249" i="78"/>
  <c r="J248" i="78"/>
  <c r="H248" i="78"/>
  <c r="P248" i="78" s="1"/>
  <c r="J247" i="78"/>
  <c r="P247" i="78" s="1"/>
  <c r="H247" i="78"/>
  <c r="J246" i="78"/>
  <c r="H246" i="78"/>
  <c r="P246" i="78" s="1"/>
  <c r="J245" i="78"/>
  <c r="H245" i="78"/>
  <c r="P245" i="78" s="1"/>
  <c r="P244" i="78"/>
  <c r="J244" i="78"/>
  <c r="H244" i="78"/>
  <c r="J243" i="78"/>
  <c r="P243" i="78" s="1"/>
  <c r="H243" i="78"/>
  <c r="J242" i="78"/>
  <c r="H242" i="78"/>
  <c r="P242" i="78" s="1"/>
  <c r="J241" i="78"/>
  <c r="H241" i="78"/>
  <c r="P241" i="78" s="1"/>
  <c r="P240" i="78"/>
  <c r="J240" i="78"/>
  <c r="P239" i="78"/>
  <c r="J239" i="78"/>
  <c r="J238" i="78"/>
  <c r="H238" i="78"/>
  <c r="P238" i="78" s="1"/>
  <c r="J237" i="78"/>
  <c r="P237" i="78" s="1"/>
  <c r="J236" i="78"/>
  <c r="H236" i="78"/>
  <c r="P236" i="78" s="1"/>
  <c r="P235" i="78"/>
  <c r="J235" i="78"/>
  <c r="J234" i="78"/>
  <c r="H234" i="78"/>
  <c r="P234" i="78" s="1"/>
  <c r="P233" i="78"/>
  <c r="R232" i="78"/>
  <c r="C232" i="78"/>
  <c r="B232" i="78"/>
  <c r="C231" i="78"/>
  <c r="C230" i="78"/>
  <c r="B230" i="78"/>
  <c r="R228" i="78"/>
  <c r="P228" i="78"/>
  <c r="Q228" i="78" s="1"/>
  <c r="H228" i="78"/>
  <c r="C228" i="78"/>
  <c r="B228" i="78"/>
  <c r="R227" i="78"/>
  <c r="P227" i="78"/>
  <c r="Q227" i="78" s="1"/>
  <c r="C227" i="78"/>
  <c r="B227" i="78"/>
  <c r="C226" i="78"/>
  <c r="B226" i="78"/>
  <c r="P224" i="78"/>
  <c r="Q223" i="78" s="1"/>
  <c r="R223" i="78"/>
  <c r="C223" i="78"/>
  <c r="B223" i="78"/>
  <c r="P221" i="78"/>
  <c r="R220" i="78"/>
  <c r="Q220" i="78"/>
  <c r="C220" i="78"/>
  <c r="B220" i="78"/>
  <c r="P219" i="78"/>
  <c r="R218" i="78"/>
  <c r="Q218" i="78"/>
  <c r="C218" i="78"/>
  <c r="B218" i="78"/>
  <c r="C217" i="78"/>
  <c r="C216" i="78"/>
  <c r="P214" i="78"/>
  <c r="R213" i="78"/>
  <c r="Q213" i="78"/>
  <c r="C213" i="78"/>
  <c r="B213" i="78"/>
  <c r="P212" i="78"/>
  <c r="R211" i="78"/>
  <c r="Q211" i="78"/>
  <c r="C211" i="78"/>
  <c r="B211" i="78"/>
  <c r="P210" i="78"/>
  <c r="Q209" i="78" s="1"/>
  <c r="R209" i="78"/>
  <c r="C209" i="78"/>
  <c r="B209" i="78"/>
  <c r="C208" i="78"/>
  <c r="P207" i="78"/>
  <c r="R206" i="78"/>
  <c r="Q206" i="78"/>
  <c r="C206" i="78"/>
  <c r="B206" i="78"/>
  <c r="P204" i="78"/>
  <c r="P203" i="78"/>
  <c r="Q202" i="78" s="1"/>
  <c r="R202" i="78"/>
  <c r="C202" i="78"/>
  <c r="B202" i="78"/>
  <c r="P201" i="78"/>
  <c r="Q200" i="78" s="1"/>
  <c r="R200" i="78"/>
  <c r="C200" i="78"/>
  <c r="B200" i="78"/>
  <c r="C199" i="78"/>
  <c r="P197" i="78"/>
  <c r="R196" i="78"/>
  <c r="Q196" i="78"/>
  <c r="C196" i="78"/>
  <c r="P194" i="78"/>
  <c r="R193" i="78"/>
  <c r="Q193" i="78"/>
  <c r="C193" i="78"/>
  <c r="P191" i="78"/>
  <c r="R190" i="78"/>
  <c r="Q190" i="78"/>
  <c r="C190" i="78"/>
  <c r="C189" i="78"/>
  <c r="P187" i="78"/>
  <c r="R186" i="78"/>
  <c r="Q186" i="78"/>
  <c r="C186" i="78"/>
  <c r="B186" i="78"/>
  <c r="P184" i="78"/>
  <c r="P183" i="78"/>
  <c r="R182" i="78"/>
  <c r="Q182" i="78"/>
  <c r="C182" i="78"/>
  <c r="B182" i="78"/>
  <c r="P181" i="78"/>
  <c r="R180" i="78"/>
  <c r="Q180" i="78"/>
  <c r="C180" i="78"/>
  <c r="B180" i="78"/>
  <c r="C179" i="78"/>
  <c r="C178" i="78"/>
  <c r="P176" i="78"/>
  <c r="R175" i="78"/>
  <c r="Q175" i="78"/>
  <c r="C175" i="78"/>
  <c r="B175" i="78"/>
  <c r="P174" i="78"/>
  <c r="R173" i="78"/>
  <c r="Q173" i="78"/>
  <c r="C173" i="78"/>
  <c r="B173" i="78"/>
  <c r="P172" i="78"/>
  <c r="Q171" i="78" s="1"/>
  <c r="R171" i="78"/>
  <c r="C171" i="78"/>
  <c r="B171" i="78"/>
  <c r="C170" i="78"/>
  <c r="P168" i="78"/>
  <c r="R167" i="78"/>
  <c r="Q167" i="78"/>
  <c r="C167" i="78"/>
  <c r="B167" i="78"/>
  <c r="P166" i="78"/>
  <c r="R165" i="78"/>
  <c r="Q165" i="78"/>
  <c r="C165" i="78"/>
  <c r="B165" i="78"/>
  <c r="P164" i="78"/>
  <c r="Q163" i="78" s="1"/>
  <c r="R163" i="78"/>
  <c r="C163" i="78"/>
  <c r="B163" i="78"/>
  <c r="C162" i="78"/>
  <c r="P160" i="78"/>
  <c r="R159" i="78"/>
  <c r="Q159" i="78"/>
  <c r="C159" i="78"/>
  <c r="B159" i="78"/>
  <c r="P158" i="78"/>
  <c r="Q157" i="78" s="1"/>
  <c r="R157" i="78"/>
  <c r="C157" i="78"/>
  <c r="B157" i="78"/>
  <c r="P156" i="78"/>
  <c r="Q155" i="78" s="1"/>
  <c r="R155" i="78"/>
  <c r="C155" i="78"/>
  <c r="B155" i="78"/>
  <c r="C154" i="78"/>
  <c r="P152" i="78"/>
  <c r="R151" i="78"/>
  <c r="Q151" i="78"/>
  <c r="C151" i="78"/>
  <c r="B151" i="78"/>
  <c r="P150" i="78"/>
  <c r="R149" i="78"/>
  <c r="Q149" i="78"/>
  <c r="C149" i="78"/>
  <c r="B149" i="78"/>
  <c r="P148" i="78"/>
  <c r="Q147" i="78" s="1"/>
  <c r="R147" i="78"/>
  <c r="C147" i="78"/>
  <c r="B147" i="78"/>
  <c r="C146" i="78"/>
  <c r="P144" i="78"/>
  <c r="R143" i="78"/>
  <c r="Q143" i="78"/>
  <c r="C143" i="78"/>
  <c r="B143" i="78"/>
  <c r="P142" i="78"/>
  <c r="R141" i="78"/>
  <c r="Q141" i="78"/>
  <c r="C141" i="78"/>
  <c r="B141" i="78"/>
  <c r="P140" i="78"/>
  <c r="Q139" i="78" s="1"/>
  <c r="R139" i="78"/>
  <c r="C139" i="78"/>
  <c r="B139" i="78"/>
  <c r="C138" i="78"/>
  <c r="C137" i="78"/>
  <c r="C136" i="78"/>
  <c r="P134" i="78"/>
  <c r="R133" i="78"/>
  <c r="Q133" i="78"/>
  <c r="C133" i="78"/>
  <c r="B133" i="78"/>
  <c r="P132" i="78"/>
  <c r="Q131" i="78" s="1"/>
  <c r="R131" i="78"/>
  <c r="C131" i="78"/>
  <c r="B131" i="78"/>
  <c r="P130" i="78"/>
  <c r="Q129" i="78" s="1"/>
  <c r="R129" i="78"/>
  <c r="C129" i="78"/>
  <c r="B129" i="78"/>
  <c r="C128" i="78"/>
  <c r="R126" i="78"/>
  <c r="H126" i="78"/>
  <c r="P126" i="78" s="1"/>
  <c r="Q126" i="78" s="1"/>
  <c r="C126" i="78"/>
  <c r="B126" i="78"/>
  <c r="R125" i="78"/>
  <c r="P125" i="78"/>
  <c r="Q125" i="78" s="1"/>
  <c r="J125" i="78"/>
  <c r="C125" i="78"/>
  <c r="B125" i="78"/>
  <c r="C124" i="78"/>
  <c r="P122" i="78"/>
  <c r="R121" i="78"/>
  <c r="Q121" i="78"/>
  <c r="C121" i="78"/>
  <c r="B121" i="78"/>
  <c r="P120" i="78"/>
  <c r="R119" i="78"/>
  <c r="Q119" i="78"/>
  <c r="C119" i="78"/>
  <c r="B119" i="78"/>
  <c r="P118" i="78"/>
  <c r="R117" i="78"/>
  <c r="Q117" i="78"/>
  <c r="C117" i="78"/>
  <c r="B117" i="78"/>
  <c r="C116" i="78"/>
  <c r="P115" i="78"/>
  <c r="Q114" i="78" s="1"/>
  <c r="R114" i="78"/>
  <c r="C114" i="78"/>
  <c r="B114" i="78"/>
  <c r="P113" i="78"/>
  <c r="Q111" i="78" s="1"/>
  <c r="P112" i="78"/>
  <c r="R111" i="78"/>
  <c r="C111" i="78"/>
  <c r="B111" i="78"/>
  <c r="P110" i="78"/>
  <c r="Q109" i="78" s="1"/>
  <c r="R109" i="78"/>
  <c r="C109" i="78"/>
  <c r="B109" i="78"/>
  <c r="C108" i="78"/>
  <c r="P106" i="78"/>
  <c r="R105" i="78"/>
  <c r="Q105" i="78"/>
  <c r="C105" i="78"/>
  <c r="B105" i="78"/>
  <c r="P104" i="78"/>
  <c r="R103" i="78"/>
  <c r="Q103" i="78"/>
  <c r="C103" i="78"/>
  <c r="B103" i="78"/>
  <c r="P102" i="78"/>
  <c r="R101" i="78"/>
  <c r="Q101" i="78"/>
  <c r="C101" i="78"/>
  <c r="B101" i="78"/>
  <c r="C100" i="78"/>
  <c r="C99" i="78"/>
  <c r="P97" i="78"/>
  <c r="R96" i="78"/>
  <c r="Q96" i="78"/>
  <c r="C96" i="78"/>
  <c r="B96" i="78"/>
  <c r="P95" i="78"/>
  <c r="R94" i="78"/>
  <c r="Q94" i="78"/>
  <c r="C94" i="78"/>
  <c r="B94" i="78"/>
  <c r="P93" i="78"/>
  <c r="Q92" i="78" s="1"/>
  <c r="R92" i="78"/>
  <c r="C92" i="78"/>
  <c r="B92" i="78"/>
  <c r="C91" i="78"/>
  <c r="P90" i="78"/>
  <c r="R89" i="78"/>
  <c r="Q89" i="78"/>
  <c r="C89" i="78"/>
  <c r="B89" i="78"/>
  <c r="P88" i="78"/>
  <c r="P87" i="78"/>
  <c r="Q86" i="78" s="1"/>
  <c r="R86" i="78"/>
  <c r="C86" i="78"/>
  <c r="B86" i="78"/>
  <c r="P85" i="78"/>
  <c r="Q84" i="78" s="1"/>
  <c r="R84" i="78"/>
  <c r="C84" i="78"/>
  <c r="B84" i="78"/>
  <c r="C83" i="78"/>
  <c r="P81" i="78"/>
  <c r="R80" i="78"/>
  <c r="Q80" i="78"/>
  <c r="C80" i="78"/>
  <c r="B80" i="78"/>
  <c r="P79" i="78"/>
  <c r="P78" i="78"/>
  <c r="Q76" i="78" s="1"/>
  <c r="P77" i="78"/>
  <c r="R76" i="78"/>
  <c r="C76" i="78"/>
  <c r="B76" i="78"/>
  <c r="P75" i="78"/>
  <c r="R74" i="78"/>
  <c r="Q74" i="78"/>
  <c r="C74" i="78"/>
  <c r="B74" i="78"/>
  <c r="C73" i="78"/>
  <c r="C72" i="78"/>
  <c r="B72" i="78"/>
  <c r="P70" i="78"/>
  <c r="Q69" i="78" s="1"/>
  <c r="R69" i="78"/>
  <c r="C69" i="78"/>
  <c r="B69" i="78"/>
  <c r="P68" i="78"/>
  <c r="P67" i="78"/>
  <c r="R66" i="78"/>
  <c r="Q66" i="78"/>
  <c r="C66" i="78"/>
  <c r="B66" i="78"/>
  <c r="P65" i="78"/>
  <c r="R64" i="78"/>
  <c r="Q64" i="78"/>
  <c r="C64" i="78"/>
  <c r="B64" i="78"/>
  <c r="C63" i="78"/>
  <c r="P61" i="78"/>
  <c r="Q60" i="78" s="1"/>
  <c r="R60" i="78"/>
  <c r="C60" i="78"/>
  <c r="B60" i="78"/>
  <c r="P59" i="78"/>
  <c r="P58" i="78"/>
  <c r="R57" i="78"/>
  <c r="Q57" i="78"/>
  <c r="C57" i="78"/>
  <c r="B57" i="78"/>
  <c r="P56" i="78"/>
  <c r="Q55" i="78" s="1"/>
  <c r="R55" i="78"/>
  <c r="C55" i="78"/>
  <c r="B55" i="78"/>
  <c r="C54" i="78"/>
  <c r="N52" i="78"/>
  <c r="L52" i="78"/>
  <c r="H52" i="78"/>
  <c r="R51" i="78"/>
  <c r="P51" i="78"/>
  <c r="N51" i="78"/>
  <c r="H51" i="78"/>
  <c r="C50" i="78"/>
  <c r="B50" i="78"/>
  <c r="C49" i="78"/>
  <c r="C48" i="78"/>
  <c r="C47" i="78"/>
  <c r="B47" i="78"/>
  <c r="L45" i="78"/>
  <c r="K45" i="78"/>
  <c r="J45" i="78"/>
  <c r="I45" i="78"/>
  <c r="H45" i="78"/>
  <c r="P44" i="78" s="1"/>
  <c r="Q44" i="78" s="1"/>
  <c r="R44" i="78"/>
  <c r="C44" i="78"/>
  <c r="B44" i="78"/>
  <c r="K43" i="78"/>
  <c r="I43" i="78"/>
  <c r="R42" i="78"/>
  <c r="C42" i="78"/>
  <c r="B42" i="78"/>
  <c r="R41" i="78"/>
  <c r="C41" i="78"/>
  <c r="B41" i="78"/>
  <c r="C40" i="78"/>
  <c r="B40" i="78"/>
  <c r="N39" i="78"/>
  <c r="L39" i="78"/>
  <c r="H39" i="78"/>
  <c r="J38" i="78"/>
  <c r="H38" i="78"/>
  <c r="J37" i="78"/>
  <c r="H37" i="78"/>
  <c r="P37" i="78" s="1"/>
  <c r="J36" i="78"/>
  <c r="R35" i="78"/>
  <c r="C35" i="78"/>
  <c r="B35" i="78"/>
  <c r="R34" i="78"/>
  <c r="Q34" i="78"/>
  <c r="P34" i="78"/>
  <c r="C34" i="78"/>
  <c r="B34" i="78"/>
  <c r="R33" i="78"/>
  <c r="C33" i="78"/>
  <c r="B33" i="78"/>
  <c r="J32" i="78"/>
  <c r="J52" i="78" s="1"/>
  <c r="P31" i="78"/>
  <c r="N31" i="78"/>
  <c r="N38" i="78" s="1"/>
  <c r="J31" i="78"/>
  <c r="J51" i="78" s="1"/>
  <c r="R30" i="78"/>
  <c r="C30" i="78"/>
  <c r="B30" i="78"/>
  <c r="P28" i="78"/>
  <c r="H28" i="78"/>
  <c r="N28" i="78" s="1"/>
  <c r="N27" i="78"/>
  <c r="H27" i="78"/>
  <c r="H43" i="78" s="1"/>
  <c r="R26" i="78"/>
  <c r="C26" i="78"/>
  <c r="B26" i="78"/>
  <c r="C25" i="78"/>
  <c r="B25" i="78"/>
  <c r="R23" i="78"/>
  <c r="C23" i="78"/>
  <c r="B23" i="78"/>
  <c r="R22" i="78"/>
  <c r="C22" i="78"/>
  <c r="B22" i="78"/>
  <c r="J21" i="78"/>
  <c r="R20" i="78"/>
  <c r="C20" i="78"/>
  <c r="B20" i="78"/>
  <c r="R17" i="78"/>
  <c r="H17" i="78"/>
  <c r="H18" i="78" s="1"/>
  <c r="C17" i="78"/>
  <c r="B17" i="78"/>
  <c r="R16" i="78"/>
  <c r="Q16" i="78"/>
  <c r="C16" i="78"/>
  <c r="B16" i="78"/>
  <c r="R15" i="78"/>
  <c r="P15" i="78"/>
  <c r="Q15" i="78" s="1"/>
  <c r="C15" i="78"/>
  <c r="B15" i="78"/>
  <c r="C14" i="78"/>
  <c r="B14" i="78"/>
  <c r="C13" i="78"/>
  <c r="B13" i="78"/>
  <c r="G9" i="78"/>
  <c r="F9" i="78"/>
  <c r="C9" i="78"/>
  <c r="G8" i="78"/>
  <c r="F8" i="78"/>
  <c r="C8" i="78"/>
  <c r="G7" i="78"/>
  <c r="F7" i="78"/>
  <c r="C7" i="78"/>
  <c r="G6" i="78"/>
  <c r="F6" i="78"/>
  <c r="C6" i="78"/>
  <c r="G5" i="78"/>
  <c r="F5" i="78"/>
  <c r="C5" i="78"/>
  <c r="G4" i="78"/>
  <c r="F4" i="78"/>
  <c r="C4" i="78"/>
  <c r="S23" i="80" l="1"/>
  <c r="S215" i="80"/>
  <c r="S224" i="80"/>
  <c r="R136" i="80"/>
  <c r="S136" i="80" s="1"/>
  <c r="S160" i="80" s="1"/>
  <c r="G136" i="80"/>
  <c r="G160" i="80" s="1"/>
  <c r="E158" i="80"/>
  <c r="R137" i="80"/>
  <c r="S137" i="80" s="1"/>
  <c r="N136" i="80"/>
  <c r="N160" i="80" s="1"/>
  <c r="H137" i="80"/>
  <c r="K136" i="80"/>
  <c r="K160" i="80" s="1"/>
  <c r="H136" i="80"/>
  <c r="S196" i="80"/>
  <c r="H5" i="80"/>
  <c r="H23" i="80" s="1"/>
  <c r="K29" i="80"/>
  <c r="K42" i="80" s="1"/>
  <c r="R30" i="80"/>
  <c r="S30" i="80" s="1"/>
  <c r="K48" i="80"/>
  <c r="K60" i="80" s="1"/>
  <c r="R49" i="80"/>
  <c r="S49" i="80" s="1"/>
  <c r="G85" i="80"/>
  <c r="G87" i="80" s="1"/>
  <c r="R85" i="80"/>
  <c r="S85" i="80" s="1"/>
  <c r="S87" i="80" s="1"/>
  <c r="N93" i="80"/>
  <c r="N95" i="80" s="1"/>
  <c r="K103" i="80"/>
  <c r="K124" i="80" s="1"/>
  <c r="H104" i="80"/>
  <c r="H124" i="80" s="1"/>
  <c r="E122" i="80"/>
  <c r="G122" i="80" s="1"/>
  <c r="K165" i="80"/>
  <c r="K173" i="80" s="1"/>
  <c r="H166" i="80"/>
  <c r="K178" i="80"/>
  <c r="K183" i="80" s="1"/>
  <c r="H179" i="80"/>
  <c r="H183" i="80" s="1"/>
  <c r="K229" i="80"/>
  <c r="K233" i="80" s="1"/>
  <c r="H230" i="80"/>
  <c r="H233" i="80" s="1"/>
  <c r="N29" i="80"/>
  <c r="N42" i="80" s="1"/>
  <c r="N48" i="80"/>
  <c r="N60" i="80" s="1"/>
  <c r="N103" i="80"/>
  <c r="N124" i="80" s="1"/>
  <c r="R104" i="80"/>
  <c r="S104" i="80" s="1"/>
  <c r="N165" i="80"/>
  <c r="N173" i="80" s="1"/>
  <c r="R166" i="80"/>
  <c r="S166" i="80" s="1"/>
  <c r="N178" i="80"/>
  <c r="N183" i="80" s="1"/>
  <c r="R179" i="80"/>
  <c r="S179" i="80" s="1"/>
  <c r="N229" i="80"/>
  <c r="N233" i="80" s="1"/>
  <c r="R230" i="80"/>
  <c r="S230" i="80" s="1"/>
  <c r="G29" i="80"/>
  <c r="G42" i="80" s="1"/>
  <c r="R29" i="80"/>
  <c r="S29" i="80" s="1"/>
  <c r="R31" i="80"/>
  <c r="S31" i="80" s="1"/>
  <c r="G48" i="80"/>
  <c r="G60" i="80" s="1"/>
  <c r="R48" i="80"/>
  <c r="S48" i="80" s="1"/>
  <c r="R50" i="80"/>
  <c r="S50" i="80" s="1"/>
  <c r="K85" i="80"/>
  <c r="K87" i="80" s="1"/>
  <c r="G103" i="80"/>
  <c r="R103" i="80"/>
  <c r="S103" i="80" s="1"/>
  <c r="S124" i="80" s="1"/>
  <c r="G165" i="80"/>
  <c r="G173" i="80" s="1"/>
  <c r="R165" i="80"/>
  <c r="S165" i="80" s="1"/>
  <c r="G178" i="80"/>
  <c r="G183" i="80" s="1"/>
  <c r="R178" i="80"/>
  <c r="S178" i="80" s="1"/>
  <c r="S183" i="80" s="1"/>
  <c r="N188" i="80"/>
  <c r="N196" i="80" s="1"/>
  <c r="N205" i="80"/>
  <c r="N215" i="80" s="1"/>
  <c r="G229" i="80"/>
  <c r="G233" i="80" s="1"/>
  <c r="R229" i="80"/>
  <c r="S229" i="80" s="1"/>
  <c r="Q44" i="79"/>
  <c r="L44" i="79"/>
  <c r="M44" i="79" s="1"/>
  <c r="F45" i="79"/>
  <c r="M67" i="79"/>
  <c r="M69" i="79" s="1"/>
  <c r="H44" i="79"/>
  <c r="R67" i="79"/>
  <c r="R69" i="79" s="1"/>
  <c r="R44" i="79"/>
  <c r="M62" i="79"/>
  <c r="G7" i="79"/>
  <c r="G9" i="79" s="1"/>
  <c r="G15" i="79"/>
  <c r="G17" i="79" s="1"/>
  <c r="H43" i="79"/>
  <c r="H67" i="79"/>
  <c r="H69" i="79" s="1"/>
  <c r="Q67" i="79"/>
  <c r="H7" i="79"/>
  <c r="H9" i="79" s="1"/>
  <c r="Q7" i="79"/>
  <c r="R7" i="79" s="1"/>
  <c r="R9" i="79" s="1"/>
  <c r="H15" i="79"/>
  <c r="H17" i="79" s="1"/>
  <c r="G44" i="79"/>
  <c r="E45" i="79"/>
  <c r="L15" i="79"/>
  <c r="M15" i="79" s="1"/>
  <c r="M17" i="79" s="1"/>
  <c r="H21" i="78"/>
  <c r="P21" i="78" s="1"/>
  <c r="P20" i="78" s="1"/>
  <c r="Q20" i="78" s="1"/>
  <c r="P18" i="78"/>
  <c r="H19" i="78"/>
  <c r="P19" i="78" s="1"/>
  <c r="H41" i="78"/>
  <c r="P43" i="78"/>
  <c r="P42" i="78" s="1"/>
  <c r="Q42" i="78" s="1"/>
  <c r="P27" i="78"/>
  <c r="P26" i="78" s="1"/>
  <c r="Q26" i="78" s="1"/>
  <c r="P30" i="78"/>
  <c r="Q30" i="78" s="1"/>
  <c r="P38" i="78"/>
  <c r="P32" i="78"/>
  <c r="H36" i="78"/>
  <c r="P36" i="78" s="1"/>
  <c r="J41" i="78"/>
  <c r="P315" i="78"/>
  <c r="P367" i="78"/>
  <c r="Q367" i="78" s="1"/>
  <c r="P722" i="78"/>
  <c r="J293" i="78"/>
  <c r="J294" i="78" s="1"/>
  <c r="P292" i="78"/>
  <c r="P317" i="78"/>
  <c r="H550" i="78"/>
  <c r="H377" i="78"/>
  <c r="P377" i="78" s="1"/>
  <c r="Q377" i="78" s="1"/>
  <c r="Q374" i="78" s="1"/>
  <c r="Q398" i="78"/>
  <c r="H420" i="78"/>
  <c r="P420" i="78" s="1"/>
  <c r="Q420" i="78" s="1"/>
  <c r="H419" i="78"/>
  <c r="P419" i="78" s="1"/>
  <c r="Q419" i="78" s="1"/>
  <c r="P413" i="78"/>
  <c r="Q411" i="78" s="1"/>
  <c r="H415" i="78" s="1"/>
  <c r="P415" i="78" s="1"/>
  <c r="Q414" i="78" s="1"/>
  <c r="Q518" i="78"/>
  <c r="L508" i="78" s="1"/>
  <c r="H706" i="78"/>
  <c r="P706" i="78" s="1"/>
  <c r="Q706" i="78" s="1"/>
  <c r="H723" i="78"/>
  <c r="P723" i="78" s="1"/>
  <c r="Q723" i="78" s="1"/>
  <c r="H705" i="78"/>
  <c r="P705" i="78" s="1"/>
  <c r="Q705" i="78" s="1"/>
  <c r="Q704" i="78"/>
  <c r="P52" i="78"/>
  <c r="Q51" i="78" s="1"/>
  <c r="P293" i="78"/>
  <c r="Q695" i="78"/>
  <c r="H697" i="78"/>
  <c r="P697" i="78" s="1"/>
  <c r="Q697" i="78" s="1"/>
  <c r="H721" i="78" s="1"/>
  <c r="J39" i="78"/>
  <c r="P39" i="78" s="1"/>
  <c r="Q233" i="78"/>
  <c r="Q232" i="78" s="1"/>
  <c r="J279" i="78" s="1"/>
  <c r="P279" i="78" s="1"/>
  <c r="Q261" i="78"/>
  <c r="H508" i="78"/>
  <c r="P508" i="78" s="1"/>
  <c r="Q508" i="78" s="1"/>
  <c r="J317" i="78"/>
  <c r="J318" i="78" s="1"/>
  <c r="P316" i="78"/>
  <c r="Q360" i="78"/>
  <c r="H343" i="78" s="1"/>
  <c r="P342" i="78" s="1"/>
  <c r="Q342" i="78" s="1"/>
  <c r="Q340" i="78" s="1"/>
  <c r="P314" i="78"/>
  <c r="P561" i="78"/>
  <c r="Q561" i="78" s="1"/>
  <c r="P291" i="78"/>
  <c r="P583" i="78"/>
  <c r="Q583" i="78" s="1"/>
  <c r="S42" i="80" l="1"/>
  <c r="H160" i="80"/>
  <c r="S233" i="80"/>
  <c r="S60" i="80"/>
  <c r="G124" i="80"/>
  <c r="S173" i="80"/>
  <c r="Q45" i="79"/>
  <c r="R45" i="79" s="1"/>
  <c r="L45" i="79"/>
  <c r="F46" i="79"/>
  <c r="E46" i="79"/>
  <c r="G45" i="79"/>
  <c r="M45" i="79"/>
  <c r="H45" i="79"/>
  <c r="P41" i="78"/>
  <c r="Q41" i="78" s="1"/>
  <c r="J550" i="78"/>
  <c r="P550" i="78" s="1"/>
  <c r="Q549" i="78" s="1"/>
  <c r="Q35" i="78"/>
  <c r="N33" i="78"/>
  <c r="P33" i="78" s="1"/>
  <c r="Q33" i="78" s="1"/>
  <c r="Q279" i="78"/>
  <c r="H284" i="78"/>
  <c r="P283" i="78" s="1"/>
  <c r="Q283" i="78" s="1"/>
  <c r="J295" i="78"/>
  <c r="P294" i="78"/>
  <c r="P318" i="78"/>
  <c r="J319" i="78"/>
  <c r="Q524" i="78"/>
  <c r="P524" i="78"/>
  <c r="J721" i="78"/>
  <c r="P721" i="78" s="1"/>
  <c r="Q721" i="78" s="1"/>
  <c r="Q722" i="78"/>
  <c r="P17" i="78"/>
  <c r="Q17" i="78" s="1"/>
  <c r="Q548" i="78"/>
  <c r="P548" i="78"/>
  <c r="H46" i="79" l="1"/>
  <c r="E47" i="79"/>
  <c r="G46" i="79"/>
  <c r="Q46" i="79"/>
  <c r="R46" i="79" s="1"/>
  <c r="L46" i="79"/>
  <c r="M46" i="79" s="1"/>
  <c r="F47" i="79"/>
  <c r="P295" i="78"/>
  <c r="J296" i="78"/>
  <c r="J320" i="78"/>
  <c r="P319" i="78"/>
  <c r="Q47" i="79" l="1"/>
  <c r="L47" i="79"/>
  <c r="M47" i="79" s="1"/>
  <c r="F48" i="79"/>
  <c r="E48" i="79"/>
  <c r="G47" i="79"/>
  <c r="H47" i="79"/>
  <c r="R47" i="79"/>
  <c r="P296" i="78"/>
  <c r="J297" i="78"/>
  <c r="J321" i="78"/>
  <c r="P320" i="78"/>
  <c r="H48" i="79" l="1"/>
  <c r="E49" i="79"/>
  <c r="G48" i="79"/>
  <c r="M48" i="79"/>
  <c r="Q48" i="79"/>
  <c r="R48" i="79" s="1"/>
  <c r="L48" i="79"/>
  <c r="F49" i="79"/>
  <c r="J322" i="78"/>
  <c r="P321" i="78"/>
  <c r="Q313" i="78" s="1"/>
  <c r="J298" i="78"/>
  <c r="P297" i="78"/>
  <c r="Q49" i="79" l="1"/>
  <c r="L49" i="79"/>
  <c r="M49" i="79" s="1"/>
  <c r="F50" i="79"/>
  <c r="E50" i="79"/>
  <c r="G49" i="79"/>
  <c r="H49" i="79"/>
  <c r="R49" i="79"/>
  <c r="J299" i="78"/>
  <c r="P298" i="78"/>
  <c r="Q312" i="78"/>
  <c r="H530" i="78"/>
  <c r="P530" i="78" s="1"/>
  <c r="Q530" i="78" s="1"/>
  <c r="H50" i="79" l="1"/>
  <c r="E51" i="79"/>
  <c r="G50" i="79"/>
  <c r="R50" i="79"/>
  <c r="Q50" i="79"/>
  <c r="L50" i="79"/>
  <c r="M50" i="79" s="1"/>
  <c r="F51" i="79"/>
  <c r="J300" i="78"/>
  <c r="P299" i="78"/>
  <c r="Q51" i="79" l="1"/>
  <c r="R51" i="79" s="1"/>
  <c r="L51" i="79"/>
  <c r="F52" i="79"/>
  <c r="E52" i="79"/>
  <c r="G51" i="79"/>
  <c r="M51" i="79"/>
  <c r="H51" i="79"/>
  <c r="P300" i="78"/>
  <c r="J301" i="78"/>
  <c r="H52" i="79" l="1"/>
  <c r="H54" i="79" s="1"/>
  <c r="G52" i="79"/>
  <c r="G54" i="79" s="1"/>
  <c r="Q52" i="79"/>
  <c r="R52" i="79" s="1"/>
  <c r="R54" i="79" s="1"/>
  <c r="L52" i="79"/>
  <c r="M52" i="79" s="1"/>
  <c r="M54" i="79" s="1"/>
  <c r="J302" i="78"/>
  <c r="P301" i="78"/>
  <c r="J303" i="78" l="1"/>
  <c r="P302" i="78"/>
  <c r="J304" i="78" l="1"/>
  <c r="P303" i="78"/>
  <c r="J305" i="78" l="1"/>
  <c r="P305" i="78" s="1"/>
  <c r="Q288" i="78" s="1"/>
  <c r="Q287" i="78" s="1"/>
  <c r="J329" i="78" s="1"/>
  <c r="P329" i="78" s="1"/>
  <c r="Q329" i="78" s="1"/>
  <c r="P334" i="78" s="1"/>
  <c r="Q333" i="78" s="1"/>
  <c r="P304" i="78"/>
  <c r="D410" i="76" l="1"/>
  <c r="B110" i="77"/>
  <c r="B111" i="77" s="1"/>
  <c r="D353" i="76"/>
  <c r="D32" i="77" s="1"/>
  <c r="A16" i="77"/>
  <c r="A17" i="77"/>
  <c r="A18" i="77"/>
  <c r="A15" i="77"/>
  <c r="F4" i="77"/>
  <c r="G370" i="76"/>
  <c r="X370" i="76" s="1"/>
  <c r="A370" i="76"/>
  <c r="A369" i="76"/>
  <c r="A38" i="77" s="1"/>
  <c r="G369" i="76"/>
  <c r="G19" i="77" s="1"/>
  <c r="G346" i="76"/>
  <c r="G110" i="77" s="1"/>
  <c r="G437" i="76"/>
  <c r="G69" i="77" s="1"/>
  <c r="G435" i="76"/>
  <c r="G102" i="77" s="1"/>
  <c r="G431" i="76"/>
  <c r="G63" i="77" s="1"/>
  <c r="G430" i="76"/>
  <c r="G18" i="77" s="1"/>
  <c r="A39" i="77" l="1"/>
  <c r="G111" i="77"/>
  <c r="G385" i="76" l="1"/>
  <c r="G62" i="77" s="1"/>
  <c r="X437" i="76"/>
  <c r="X435" i="76"/>
  <c r="X431" i="76"/>
  <c r="X430" i="76"/>
  <c r="X385" i="76" l="1"/>
  <c r="A347" i="76"/>
  <c r="A346" i="76"/>
  <c r="B346" i="76"/>
  <c r="B347" i="76" s="1"/>
  <c r="B348" i="76" s="1"/>
  <c r="B349" i="76" s="1"/>
  <c r="B350" i="76" s="1"/>
  <c r="B351" i="76" s="1"/>
  <c r="B352" i="76" s="1"/>
  <c r="B353" i="76" s="1"/>
  <c r="B354" i="76" s="1"/>
  <c r="B355" i="76" s="1"/>
  <c r="B356" i="76" s="1"/>
  <c r="B357" i="76" s="1"/>
  <c r="B358" i="76" s="1"/>
  <c r="B359" i="76" s="1"/>
  <c r="B360" i="76" s="1"/>
  <c r="B361" i="76" s="1"/>
  <c r="B362" i="76" s="1"/>
  <c r="B363" i="76" s="1"/>
  <c r="B364" i="76" s="1"/>
  <c r="B365" i="76" s="1"/>
  <c r="B366" i="76" s="1"/>
  <c r="B367" i="76" s="1"/>
  <c r="B368" i="76" s="1"/>
  <c r="B369" i="76" s="1"/>
  <c r="M341" i="76"/>
  <c r="M340" i="76"/>
  <c r="M330" i="76"/>
  <c r="M329" i="76"/>
  <c r="G320" i="76"/>
  <c r="A320" i="76"/>
  <c r="X319" i="76"/>
  <c r="A319" i="76"/>
  <c r="X318" i="76"/>
  <c r="X317" i="76"/>
  <c r="X316" i="76"/>
  <c r="X315" i="76"/>
  <c r="G314" i="76"/>
  <c r="G442" i="76" s="1"/>
  <c r="A314" i="76"/>
  <c r="A442" i="76" s="1"/>
  <c r="A111" i="77" s="1"/>
  <c r="G313" i="76"/>
  <c r="G441" i="76" s="1"/>
  <c r="A313" i="76"/>
  <c r="A441" i="76" s="1"/>
  <c r="A110" i="77" s="1"/>
  <c r="G312" i="76"/>
  <c r="G433" i="76" s="1"/>
  <c r="A312" i="76"/>
  <c r="A433" i="76" s="1"/>
  <c r="A102" i="77" s="1"/>
  <c r="G311" i="76"/>
  <c r="X311" i="76" s="1"/>
  <c r="A311" i="76"/>
  <c r="H311" i="76" s="1"/>
  <c r="G310" i="76"/>
  <c r="A310" i="76"/>
  <c r="G309" i="76"/>
  <c r="X309" i="76" s="1"/>
  <c r="A309" i="76"/>
  <c r="G308" i="76"/>
  <c r="X308" i="76" s="1"/>
  <c r="A308" i="76"/>
  <c r="G307" i="76"/>
  <c r="G419" i="76" s="1"/>
  <c r="A307" i="76"/>
  <c r="G306" i="76"/>
  <c r="A306" i="76"/>
  <c r="X305" i="76"/>
  <c r="G305" i="76"/>
  <c r="A305" i="76"/>
  <c r="G304" i="76"/>
  <c r="A304" i="76"/>
  <c r="G303" i="76"/>
  <c r="A303" i="76"/>
  <c r="G302" i="76"/>
  <c r="A302" i="76"/>
  <c r="G301" i="76"/>
  <c r="X301" i="76" s="1"/>
  <c r="A301" i="76"/>
  <c r="G300" i="76"/>
  <c r="G299" i="76"/>
  <c r="A299" i="76"/>
  <c r="X298" i="76"/>
  <c r="G298" i="76"/>
  <c r="G297" i="76"/>
  <c r="X297" i="76" s="1"/>
  <c r="A297" i="76"/>
  <c r="A298" i="76" s="1"/>
  <c r="X296" i="76"/>
  <c r="G296" i="76"/>
  <c r="B296" i="76"/>
  <c r="B297" i="76" s="1"/>
  <c r="B298" i="76" s="1"/>
  <c r="B299" i="76" s="1"/>
  <c r="B300" i="76" s="1"/>
  <c r="B301" i="76" s="1"/>
  <c r="B302" i="76" s="1"/>
  <c r="B303" i="76" s="1"/>
  <c r="B304" i="76" s="1"/>
  <c r="B305" i="76" s="1"/>
  <c r="B306" i="76" s="1"/>
  <c r="B307" i="76" s="1"/>
  <c r="B308" i="76" s="1"/>
  <c r="B309" i="76" s="1"/>
  <c r="B310" i="76" s="1"/>
  <c r="B311" i="76" s="1"/>
  <c r="B312" i="76" s="1"/>
  <c r="B313" i="76" s="1"/>
  <c r="B314" i="76" s="1"/>
  <c r="A296" i="76"/>
  <c r="X295" i="76"/>
  <c r="G295" i="76"/>
  <c r="A295" i="76"/>
  <c r="AG294" i="76"/>
  <c r="X294" i="76"/>
  <c r="AG293" i="76"/>
  <c r="X293" i="76"/>
  <c r="G292" i="76"/>
  <c r="X292" i="76" s="1"/>
  <c r="A292" i="76"/>
  <c r="A423" i="76" s="1"/>
  <c r="A92" i="77" s="1"/>
  <c r="G291" i="76"/>
  <c r="A291" i="76"/>
  <c r="A434" i="76" s="1"/>
  <c r="A103" i="77" s="1"/>
  <c r="G290" i="76"/>
  <c r="X290" i="76" s="1"/>
  <c r="A290" i="76"/>
  <c r="A440" i="76" s="1"/>
  <c r="A109" i="77" s="1"/>
  <c r="G289" i="76"/>
  <c r="X289" i="76" s="1"/>
  <c r="A289" i="76"/>
  <c r="A422" i="76" s="1"/>
  <c r="A91" i="77" s="1"/>
  <c r="G288" i="76"/>
  <c r="A288" i="76"/>
  <c r="A421" i="76" s="1"/>
  <c r="A90" i="77" s="1"/>
  <c r="G287" i="76"/>
  <c r="X287" i="76" s="1"/>
  <c r="A287" i="76"/>
  <c r="A420" i="76" s="1"/>
  <c r="A89" i="77" s="1"/>
  <c r="G286" i="76"/>
  <c r="A286" i="76"/>
  <c r="A419" i="76" s="1"/>
  <c r="A88" i="77" s="1"/>
  <c r="G285" i="76"/>
  <c r="X285" i="76" s="1"/>
  <c r="A285" i="76"/>
  <c r="A418" i="76" s="1"/>
  <c r="A87" i="77" s="1"/>
  <c r="G284" i="76"/>
  <c r="X284" i="76" s="1"/>
  <c r="A284" i="76"/>
  <c r="A417" i="76" s="1"/>
  <c r="A86" i="77" s="1"/>
  <c r="G283" i="76"/>
  <c r="X283" i="76" s="1"/>
  <c r="A283" i="76"/>
  <c r="A416" i="76" s="1"/>
  <c r="A85" i="77" s="1"/>
  <c r="G282" i="76"/>
  <c r="X282" i="76" s="1"/>
  <c r="A282" i="76"/>
  <c r="A415" i="76" s="1"/>
  <c r="A84" i="77" s="1"/>
  <c r="G281" i="76"/>
  <c r="X281" i="76" s="1"/>
  <c r="A281" i="76"/>
  <c r="A414" i="76" s="1"/>
  <c r="A83" i="77" s="1"/>
  <c r="G280" i="76"/>
  <c r="X280" i="76" s="1"/>
  <c r="A280" i="76"/>
  <c r="A413" i="76" s="1"/>
  <c r="A82" i="77" s="1"/>
  <c r="G279" i="76"/>
  <c r="A279" i="76"/>
  <c r="A412" i="76" s="1"/>
  <c r="A81" i="77" s="1"/>
  <c r="G278" i="76"/>
  <c r="X278" i="76" s="1"/>
  <c r="A278" i="76"/>
  <c r="A411" i="76" s="1"/>
  <c r="A80" i="77" s="1"/>
  <c r="G277" i="76"/>
  <c r="X277" i="76" s="1"/>
  <c r="G276" i="76"/>
  <c r="X276" i="76" s="1"/>
  <c r="A276" i="76"/>
  <c r="A410" i="76" s="1"/>
  <c r="A79" i="77" s="1"/>
  <c r="X275" i="76"/>
  <c r="G275" i="76"/>
  <c r="A275" i="76"/>
  <c r="A409" i="76" s="1"/>
  <c r="A78" i="77" s="1"/>
  <c r="G274" i="76"/>
  <c r="X274" i="76" s="1"/>
  <c r="B274" i="76"/>
  <c r="B275" i="76" s="1"/>
  <c r="B276" i="76" s="1"/>
  <c r="B277" i="76" s="1"/>
  <c r="B278" i="76" s="1"/>
  <c r="B279" i="76" s="1"/>
  <c r="B280" i="76" s="1"/>
  <c r="B281" i="76" s="1"/>
  <c r="B282" i="76" s="1"/>
  <c r="B283" i="76" s="1"/>
  <c r="B284" i="76" s="1"/>
  <c r="B285" i="76" s="1"/>
  <c r="B286" i="76" s="1"/>
  <c r="B287" i="76" s="1"/>
  <c r="B288" i="76" s="1"/>
  <c r="B289" i="76" s="1"/>
  <c r="B290" i="76" s="1"/>
  <c r="B291" i="76" s="1"/>
  <c r="B292" i="76" s="1"/>
  <c r="A274" i="76"/>
  <c r="A407" i="76" s="1"/>
  <c r="A76" i="77" s="1"/>
  <c r="G273" i="76"/>
  <c r="A273" i="76"/>
  <c r="A408" i="76" s="1"/>
  <c r="A77" i="77" s="1"/>
  <c r="AG272" i="76"/>
  <c r="X272" i="76"/>
  <c r="AG271" i="76"/>
  <c r="X271" i="76"/>
  <c r="AG270" i="76"/>
  <c r="X270" i="76"/>
  <c r="AG269" i="76"/>
  <c r="X269" i="76"/>
  <c r="G268" i="76"/>
  <c r="G439" i="76" s="1"/>
  <c r="A268" i="76"/>
  <c r="A439" i="76" s="1"/>
  <c r="A108" i="77" s="1"/>
  <c r="AG267" i="76"/>
  <c r="X267" i="76"/>
  <c r="AG266" i="76"/>
  <c r="X266" i="76"/>
  <c r="AG265" i="76"/>
  <c r="X265" i="76"/>
  <c r="G264" i="76"/>
  <c r="G263" i="76"/>
  <c r="G438" i="76" s="1"/>
  <c r="A263" i="76"/>
  <c r="A438" i="76" s="1"/>
  <c r="A107" i="77" s="1"/>
  <c r="G262" i="76"/>
  <c r="A262" i="76"/>
  <c r="G261" i="76"/>
  <c r="A261" i="76"/>
  <c r="G260" i="76"/>
  <c r="B260" i="76"/>
  <c r="B261" i="76" s="1"/>
  <c r="B262" i="76" s="1"/>
  <c r="B263" i="76" s="1"/>
  <c r="B264" i="76" s="1"/>
  <c r="A260" i="76"/>
  <c r="G259" i="76"/>
  <c r="X259" i="76" s="1"/>
  <c r="A259" i="76"/>
  <c r="AG258" i="76"/>
  <c r="X258" i="76"/>
  <c r="G257" i="76"/>
  <c r="A257" i="76"/>
  <c r="AG256" i="76"/>
  <c r="X256" i="76"/>
  <c r="G255" i="76"/>
  <c r="X255" i="76" s="1"/>
  <c r="A255" i="76"/>
  <c r="AG254" i="76"/>
  <c r="X254" i="76"/>
  <c r="G253" i="76"/>
  <c r="A253" i="76"/>
  <c r="G252" i="76"/>
  <c r="B252" i="76"/>
  <c r="B253" i="76" s="1"/>
  <c r="A252" i="76"/>
  <c r="G251" i="76"/>
  <c r="A251" i="76"/>
  <c r="AG250" i="76"/>
  <c r="X250" i="76"/>
  <c r="G249" i="76"/>
  <c r="A249" i="76"/>
  <c r="D249" i="76" s="1"/>
  <c r="G248" i="76"/>
  <c r="X248" i="76" s="1"/>
  <c r="A248" i="76"/>
  <c r="G247" i="76"/>
  <c r="B247" i="76"/>
  <c r="B248" i="76" s="1"/>
  <c r="B249" i="76" s="1"/>
  <c r="A247" i="76"/>
  <c r="G246" i="76"/>
  <c r="A246" i="76"/>
  <c r="AG245" i="76"/>
  <c r="X245" i="76"/>
  <c r="AG244" i="76"/>
  <c r="X244" i="76"/>
  <c r="AG243" i="76"/>
  <c r="X243" i="76"/>
  <c r="AG242" i="76"/>
  <c r="X242" i="76"/>
  <c r="AG241" i="76"/>
  <c r="X241" i="76"/>
  <c r="X240" i="76"/>
  <c r="A240" i="76"/>
  <c r="A437" i="76" s="1"/>
  <c r="A106" i="77" s="1"/>
  <c r="G239" i="76"/>
  <c r="A239" i="76"/>
  <c r="A436" i="76" s="1"/>
  <c r="A105" i="77" s="1"/>
  <c r="G238" i="76"/>
  <c r="X238" i="76" s="1"/>
  <c r="A238" i="76"/>
  <c r="A403" i="76" s="1"/>
  <c r="A72" i="77" s="1"/>
  <c r="G237" i="76"/>
  <c r="A237" i="76"/>
  <c r="A402" i="76" s="1"/>
  <c r="A71" i="77" s="1"/>
  <c r="G236" i="76"/>
  <c r="X236" i="76" s="1"/>
  <c r="A236" i="76"/>
  <c r="A395" i="76" s="1"/>
  <c r="A64" i="77" s="1"/>
  <c r="Z235" i="76"/>
  <c r="G235" i="76"/>
  <c r="B235" i="76"/>
  <c r="B236" i="76" s="1"/>
  <c r="B237" i="76" s="1"/>
  <c r="B238" i="76" s="1"/>
  <c r="B239" i="76" s="1"/>
  <c r="B240" i="76" s="1"/>
  <c r="A235" i="76"/>
  <c r="G234" i="76"/>
  <c r="A234" i="76"/>
  <c r="A393" i="76" s="1"/>
  <c r="A62" i="77" s="1"/>
  <c r="AG233" i="76"/>
  <c r="X233" i="76"/>
  <c r="G232" i="76"/>
  <c r="X232" i="76" s="1"/>
  <c r="A232" i="76"/>
  <c r="A401" i="76" s="1"/>
  <c r="A70" i="77" s="1"/>
  <c r="AG231" i="76"/>
  <c r="X231" i="76"/>
  <c r="G230" i="76"/>
  <c r="X230" i="76" s="1"/>
  <c r="A230" i="76"/>
  <c r="A400" i="76" s="1"/>
  <c r="A69" i="77" s="1"/>
  <c r="G229" i="76"/>
  <c r="X229" i="76" s="1"/>
  <c r="B229" i="76"/>
  <c r="B230" i="76" s="1"/>
  <c r="A229" i="76"/>
  <c r="A399" i="76" s="1"/>
  <c r="A68" i="77" s="1"/>
  <c r="G228" i="76"/>
  <c r="X228" i="76" s="1"/>
  <c r="A228" i="76"/>
  <c r="AG227" i="76"/>
  <c r="X227" i="76"/>
  <c r="J226" i="76"/>
  <c r="AG226" i="76" s="1"/>
  <c r="G226" i="76"/>
  <c r="X226" i="76" s="1"/>
  <c r="A226" i="76"/>
  <c r="D226" i="76" s="1"/>
  <c r="G225" i="76"/>
  <c r="X225" i="76" s="1"/>
  <c r="A225" i="76"/>
  <c r="A398" i="76" s="1"/>
  <c r="A67" i="77" s="1"/>
  <c r="G224" i="76"/>
  <c r="X224" i="76" s="1"/>
  <c r="B224" i="76"/>
  <c r="B225" i="76" s="1"/>
  <c r="B226" i="76" s="1"/>
  <c r="A224" i="76"/>
  <c r="A397" i="76" s="1"/>
  <c r="A66" i="77" s="1"/>
  <c r="G223" i="76"/>
  <c r="X223" i="76" s="1"/>
  <c r="A223" i="76"/>
  <c r="A396" i="76" s="1"/>
  <c r="A65" i="77" s="1"/>
  <c r="AG222" i="76"/>
  <c r="X222" i="76"/>
  <c r="AG221" i="76"/>
  <c r="X221" i="76"/>
  <c r="AG220" i="76"/>
  <c r="X220" i="76"/>
  <c r="AG219" i="76"/>
  <c r="X219" i="76"/>
  <c r="G218" i="76"/>
  <c r="A218" i="76"/>
  <c r="H218" i="76" s="1"/>
  <c r="AG217" i="76"/>
  <c r="X217" i="76"/>
  <c r="AG216" i="76"/>
  <c r="AA216" i="76"/>
  <c r="X216" i="76"/>
  <c r="AA215" i="76"/>
  <c r="G215" i="76"/>
  <c r="G429" i="76" s="1"/>
  <c r="A215" i="76"/>
  <c r="A429" i="76" s="1"/>
  <c r="A98" i="77" s="1"/>
  <c r="G214" i="76"/>
  <c r="A214" i="76"/>
  <c r="G213" i="76"/>
  <c r="B213" i="76"/>
  <c r="B214" i="76" s="1"/>
  <c r="B215" i="76" s="1"/>
  <c r="A213" i="76"/>
  <c r="G212" i="76"/>
  <c r="X212" i="76" s="1"/>
  <c r="A212" i="76"/>
  <c r="AG211" i="76"/>
  <c r="X211" i="76"/>
  <c r="G210" i="76"/>
  <c r="X210" i="76" s="1"/>
  <c r="A210" i="76"/>
  <c r="G209" i="76"/>
  <c r="B209" i="76"/>
  <c r="B210" i="76" s="1"/>
  <c r="A209" i="76"/>
  <c r="A406" i="76" s="1"/>
  <c r="A75" i="77" s="1"/>
  <c r="G208" i="76"/>
  <c r="X208" i="76" s="1"/>
  <c r="A208" i="76"/>
  <c r="A405" i="76" s="1"/>
  <c r="A74" i="77" s="1"/>
  <c r="AG207" i="76"/>
  <c r="X207" i="76"/>
  <c r="AG206" i="76"/>
  <c r="X206" i="76"/>
  <c r="AG205" i="76"/>
  <c r="X205" i="76"/>
  <c r="G204" i="76"/>
  <c r="A204" i="76"/>
  <c r="G203" i="76"/>
  <c r="X203" i="76" s="1"/>
  <c r="A203" i="76"/>
  <c r="G202" i="76"/>
  <c r="X202" i="76" s="1"/>
  <c r="A202" i="76"/>
  <c r="G201" i="76"/>
  <c r="A201" i="76"/>
  <c r="G200" i="76"/>
  <c r="B200" i="76"/>
  <c r="B201" i="76" s="1"/>
  <c r="B202" i="76" s="1"/>
  <c r="B203" i="76" s="1"/>
  <c r="B204" i="76" s="1"/>
  <c r="A200" i="76"/>
  <c r="AG199" i="76"/>
  <c r="X199" i="76"/>
  <c r="AG198" i="76"/>
  <c r="X198" i="76"/>
  <c r="G197" i="76"/>
  <c r="X197" i="76" s="1"/>
  <c r="A197" i="76"/>
  <c r="A404" i="76" s="1"/>
  <c r="A73" i="77" s="1"/>
  <c r="G196" i="76"/>
  <c r="X196" i="76" s="1"/>
  <c r="A196" i="76"/>
  <c r="A381" i="76" s="1"/>
  <c r="A50" i="77" s="1"/>
  <c r="G195" i="76"/>
  <c r="A195" i="76"/>
  <c r="A379" i="76" s="1"/>
  <c r="A48" i="77" s="1"/>
  <c r="G194" i="76"/>
  <c r="X194" i="76" s="1"/>
  <c r="A194" i="76"/>
  <c r="A380" i="76" s="1"/>
  <c r="A49" i="77" s="1"/>
  <c r="G193" i="76"/>
  <c r="X193" i="76" s="1"/>
  <c r="A193" i="76"/>
  <c r="A378" i="76" s="1"/>
  <c r="A47" i="77" s="1"/>
  <c r="X192" i="76"/>
  <c r="B192" i="76"/>
  <c r="B193" i="76" s="1"/>
  <c r="B194" i="76" s="1"/>
  <c r="B195" i="76" s="1"/>
  <c r="B196" i="76" s="1"/>
  <c r="B197" i="76" s="1"/>
  <c r="A192" i="76"/>
  <c r="A435" i="76" s="1"/>
  <c r="A104" i="77" s="1"/>
  <c r="X191" i="76"/>
  <c r="A191" i="76"/>
  <c r="I191" i="76" s="1"/>
  <c r="AG190" i="76"/>
  <c r="X190" i="76"/>
  <c r="AG189" i="76"/>
  <c r="X189" i="76"/>
  <c r="AG188" i="76"/>
  <c r="X188" i="76"/>
  <c r="AG187" i="76"/>
  <c r="X187" i="76"/>
  <c r="G186" i="76"/>
  <c r="G361" i="76" s="1"/>
  <c r="A186" i="76"/>
  <c r="A361" i="76" s="1"/>
  <c r="A30" i="77" s="1"/>
  <c r="A185" i="76"/>
  <c r="A392" i="76" s="1"/>
  <c r="A61" i="77" s="1"/>
  <c r="G184" i="76"/>
  <c r="G391" i="76" s="1"/>
  <c r="B184" i="76"/>
  <c r="B185" i="76" s="1"/>
  <c r="B186" i="76" s="1"/>
  <c r="A184" i="76"/>
  <c r="A391" i="76" s="1"/>
  <c r="A60" i="77" s="1"/>
  <c r="G183" i="76"/>
  <c r="A183" i="76"/>
  <c r="A390" i="76" s="1"/>
  <c r="A59" i="77" s="1"/>
  <c r="X182" i="76"/>
  <c r="B182" i="76"/>
  <c r="A182" i="76"/>
  <c r="P182" i="76" s="1"/>
  <c r="AG181" i="76"/>
  <c r="Z181" i="76"/>
  <c r="X181" i="76"/>
  <c r="AG180" i="76"/>
  <c r="X180" i="76"/>
  <c r="G179" i="76"/>
  <c r="A179" i="76"/>
  <c r="G178" i="76"/>
  <c r="A178" i="76"/>
  <c r="G177" i="76"/>
  <c r="A177" i="76"/>
  <c r="G176" i="76"/>
  <c r="B176" i="76"/>
  <c r="B177" i="76" s="1"/>
  <c r="B178" i="76" s="1"/>
  <c r="B179" i="76" s="1"/>
  <c r="A176" i="76"/>
  <c r="G175" i="76"/>
  <c r="A175" i="76"/>
  <c r="AG174" i="76"/>
  <c r="X174" i="76"/>
  <c r="G173" i="76"/>
  <c r="X173" i="76" s="1"/>
  <c r="A173" i="76"/>
  <c r="A376" i="76" s="1"/>
  <c r="A45" i="77" s="1"/>
  <c r="G172" i="76"/>
  <c r="X172" i="76" s="1"/>
  <c r="A172" i="76"/>
  <c r="A375" i="76" s="1"/>
  <c r="A44" i="77" s="1"/>
  <c r="G171" i="76"/>
  <c r="X171" i="76" s="1"/>
  <c r="A171" i="76"/>
  <c r="A374" i="76" s="1"/>
  <c r="A43" i="77" s="1"/>
  <c r="G170" i="76"/>
  <c r="X170" i="76" s="1"/>
  <c r="B170" i="76"/>
  <c r="B171" i="76" s="1"/>
  <c r="B172" i="76" s="1"/>
  <c r="B173" i="76" s="1"/>
  <c r="A170" i="76"/>
  <c r="A373" i="76" s="1"/>
  <c r="A42" i="77" s="1"/>
  <c r="G169" i="76"/>
  <c r="X169" i="76" s="1"/>
  <c r="A169" i="76"/>
  <c r="A377" i="76" s="1"/>
  <c r="A46" i="77" s="1"/>
  <c r="AG168" i="76"/>
  <c r="X168" i="76"/>
  <c r="AG167" i="76"/>
  <c r="X167" i="76"/>
  <c r="AG166" i="76"/>
  <c r="X166" i="76"/>
  <c r="G165" i="76"/>
  <c r="A165" i="76"/>
  <c r="G164" i="76"/>
  <c r="A164" i="76"/>
  <c r="G163" i="76"/>
  <c r="A163" i="76"/>
  <c r="G162" i="76"/>
  <c r="B162" i="76"/>
  <c r="B163" i="76" s="1"/>
  <c r="B164" i="76" s="1"/>
  <c r="B165" i="76" s="1"/>
  <c r="A162" i="76"/>
  <c r="G161" i="76"/>
  <c r="D161" i="76"/>
  <c r="A161" i="76"/>
  <c r="AG160" i="76"/>
  <c r="X160" i="76"/>
  <c r="G159" i="76"/>
  <c r="A159" i="76"/>
  <c r="A389" i="76" s="1"/>
  <c r="A58" i="77" s="1"/>
  <c r="G158" i="76"/>
  <c r="A158" i="76"/>
  <c r="A383" i="76" s="1"/>
  <c r="A52" i="77" s="1"/>
  <c r="G157" i="76"/>
  <c r="X157" i="76" s="1"/>
  <c r="A157" i="76"/>
  <c r="A384" i="76" s="1"/>
  <c r="A53" i="77" s="1"/>
  <c r="G156" i="76"/>
  <c r="A156" i="76"/>
  <c r="A424" i="76" s="1"/>
  <c r="A93" i="77" s="1"/>
  <c r="X155" i="76"/>
  <c r="A155" i="76"/>
  <c r="G154" i="76"/>
  <c r="X154" i="76" s="1"/>
  <c r="A154" i="76"/>
  <c r="A388" i="76" s="1"/>
  <c r="A57" i="77" s="1"/>
  <c r="G153" i="76"/>
  <c r="G387" i="76" s="1"/>
  <c r="A153" i="76"/>
  <c r="A387" i="76" s="1"/>
  <c r="G152" i="76"/>
  <c r="B152" i="76"/>
  <c r="B153" i="76" s="1"/>
  <c r="B154" i="76" s="1"/>
  <c r="B155" i="76" s="1"/>
  <c r="B156" i="76" s="1"/>
  <c r="B157" i="76" s="1"/>
  <c r="B158" i="76" s="1"/>
  <c r="B159" i="76" s="1"/>
  <c r="A152" i="76"/>
  <c r="A386" i="76" s="1"/>
  <c r="A55" i="77" s="1"/>
  <c r="G151" i="76"/>
  <c r="X151" i="76" s="1"/>
  <c r="A151" i="76"/>
  <c r="AG150" i="76"/>
  <c r="X150" i="76"/>
  <c r="AG149" i="76"/>
  <c r="AG148" i="76"/>
  <c r="X148" i="76"/>
  <c r="G147" i="76"/>
  <c r="A147" i="76"/>
  <c r="G146" i="76"/>
  <c r="A146" i="76"/>
  <c r="O146" i="76" s="1"/>
  <c r="G145" i="76"/>
  <c r="A145" i="76"/>
  <c r="G144" i="76"/>
  <c r="X144" i="76" s="1"/>
  <c r="B144" i="76"/>
  <c r="B145" i="76" s="1"/>
  <c r="B146" i="76" s="1"/>
  <c r="B147" i="76" s="1"/>
  <c r="A144" i="76"/>
  <c r="G143" i="76"/>
  <c r="X143" i="76" s="1"/>
  <c r="A143" i="76"/>
  <c r="AG142" i="76"/>
  <c r="X142" i="76"/>
  <c r="AG141" i="76"/>
  <c r="X141" i="76"/>
  <c r="G140" i="76"/>
  <c r="X140" i="76" s="1"/>
  <c r="A140" i="76"/>
  <c r="A360" i="76" s="1"/>
  <c r="A29" i="77" s="1"/>
  <c r="G139" i="76"/>
  <c r="X139" i="76" s="1"/>
  <c r="A139" i="76"/>
  <c r="G138" i="76"/>
  <c r="X138" i="76" s="1"/>
  <c r="A138" i="76"/>
  <c r="A359" i="76" s="1"/>
  <c r="A28" i="77" s="1"/>
  <c r="G137" i="76"/>
  <c r="X137" i="76" s="1"/>
  <c r="B137" i="76"/>
  <c r="B138" i="76" s="1"/>
  <c r="B139" i="76" s="1"/>
  <c r="B140" i="76" s="1"/>
  <c r="A137" i="76"/>
  <c r="A382" i="76" s="1"/>
  <c r="A51" i="77" s="1"/>
  <c r="G136" i="76"/>
  <c r="X136" i="76" s="1"/>
  <c r="A136" i="76"/>
  <c r="A358" i="76" s="1"/>
  <c r="A27" i="77" s="1"/>
  <c r="AG135" i="76"/>
  <c r="X135" i="76"/>
  <c r="AG134" i="76"/>
  <c r="X134" i="76"/>
  <c r="AG133" i="76"/>
  <c r="X133" i="76"/>
  <c r="AG132" i="76"/>
  <c r="X132" i="76"/>
  <c r="G131" i="76"/>
  <c r="B131" i="76"/>
  <c r="A131" i="76"/>
  <c r="G130" i="76"/>
  <c r="A130" i="76"/>
  <c r="AG129" i="76"/>
  <c r="X129" i="76"/>
  <c r="AG128" i="76"/>
  <c r="X128" i="76"/>
  <c r="G127" i="76"/>
  <c r="A127" i="76"/>
  <c r="G126" i="76"/>
  <c r="B126" i="76"/>
  <c r="B127" i="76" s="1"/>
  <c r="A126" i="76"/>
  <c r="G125" i="76"/>
  <c r="A125" i="76"/>
  <c r="AG124" i="76"/>
  <c r="X124" i="76"/>
  <c r="AG123" i="76"/>
  <c r="X123" i="76"/>
  <c r="AG122" i="76"/>
  <c r="X122" i="76"/>
  <c r="G121" i="76"/>
  <c r="A121" i="76"/>
  <c r="G120" i="76"/>
  <c r="X120" i="76" s="1"/>
  <c r="B120" i="76"/>
  <c r="B121" i="76" s="1"/>
  <c r="A120" i="76"/>
  <c r="G119" i="76"/>
  <c r="X119" i="76" s="1"/>
  <c r="A119" i="76"/>
  <c r="AG118" i="76"/>
  <c r="X118" i="76"/>
  <c r="G117" i="76"/>
  <c r="X117" i="76" s="1"/>
  <c r="A117" i="76"/>
  <c r="G116" i="76"/>
  <c r="B116" i="76"/>
  <c r="B117" i="76" s="1"/>
  <c r="A116" i="76"/>
  <c r="G115" i="76"/>
  <c r="X115" i="76" s="1"/>
  <c r="A115" i="76"/>
  <c r="AG114" i="76"/>
  <c r="X114" i="76"/>
  <c r="G113" i="76"/>
  <c r="X113" i="76" s="1"/>
  <c r="A113" i="76"/>
  <c r="G112" i="76"/>
  <c r="X112" i="76" s="1"/>
  <c r="B112" i="76"/>
  <c r="B113" i="76" s="1"/>
  <c r="A112" i="76"/>
  <c r="G111" i="76"/>
  <c r="A111" i="76"/>
  <c r="AG110" i="76"/>
  <c r="X110" i="76"/>
  <c r="G109" i="76"/>
  <c r="X109" i="76" s="1"/>
  <c r="A109" i="76"/>
  <c r="G108" i="76"/>
  <c r="X108" i="76" s="1"/>
  <c r="B108" i="76"/>
  <c r="B109" i="76" s="1"/>
  <c r="A108" i="76"/>
  <c r="G107" i="76"/>
  <c r="X107" i="76" s="1"/>
  <c r="A107" i="76"/>
  <c r="AG106" i="76"/>
  <c r="X106" i="76"/>
  <c r="AG105" i="76"/>
  <c r="X105" i="76"/>
  <c r="AG104" i="76"/>
  <c r="X104" i="76"/>
  <c r="G103" i="76"/>
  <c r="A103" i="76"/>
  <c r="G102" i="76"/>
  <c r="X102" i="76" s="1"/>
  <c r="B102" i="76"/>
  <c r="B103" i="76" s="1"/>
  <c r="A102" i="76"/>
  <c r="G101" i="76"/>
  <c r="X101" i="76" s="1"/>
  <c r="A101" i="76"/>
  <c r="AG100" i="76"/>
  <c r="X100" i="76"/>
  <c r="G99" i="76"/>
  <c r="X99" i="76" s="1"/>
  <c r="A99" i="76"/>
  <c r="G98" i="76"/>
  <c r="X98" i="76" s="1"/>
  <c r="B98" i="76"/>
  <c r="B99" i="76" s="1"/>
  <c r="A98" i="76"/>
  <c r="G97" i="76"/>
  <c r="X97" i="76" s="1"/>
  <c r="A97" i="76"/>
  <c r="AG96" i="76"/>
  <c r="X96" i="76"/>
  <c r="G95" i="76"/>
  <c r="X95" i="76" s="1"/>
  <c r="A95" i="76"/>
  <c r="G94" i="76"/>
  <c r="X94" i="76" s="1"/>
  <c r="B94" i="76"/>
  <c r="B95" i="76" s="1"/>
  <c r="A94" i="76"/>
  <c r="G93" i="76"/>
  <c r="X93" i="76" s="1"/>
  <c r="A93" i="76"/>
  <c r="AG92" i="76"/>
  <c r="X92" i="76"/>
  <c r="G91" i="76"/>
  <c r="X91" i="76" s="1"/>
  <c r="A91" i="76"/>
  <c r="G90" i="76"/>
  <c r="X90" i="76" s="1"/>
  <c r="B90" i="76"/>
  <c r="B91" i="76" s="1"/>
  <c r="A90" i="76"/>
  <c r="G89" i="76"/>
  <c r="X89" i="76" s="1"/>
  <c r="A89" i="76"/>
  <c r="AG88" i="76"/>
  <c r="X88" i="76"/>
  <c r="G87" i="76"/>
  <c r="X87" i="76" s="1"/>
  <c r="A87" i="76"/>
  <c r="A368" i="76" s="1"/>
  <c r="A37" i="77" s="1"/>
  <c r="G86" i="76"/>
  <c r="X86" i="76" s="1"/>
  <c r="B86" i="76"/>
  <c r="B87" i="76" s="1"/>
  <c r="A86" i="76"/>
  <c r="G85" i="76"/>
  <c r="X85" i="76" s="1"/>
  <c r="A85" i="76"/>
  <c r="AG84" i="76"/>
  <c r="X84" i="76"/>
  <c r="AG83" i="76"/>
  <c r="X83" i="76"/>
  <c r="AG82" i="76"/>
  <c r="X82" i="76"/>
  <c r="AG81" i="76"/>
  <c r="X81" i="76"/>
  <c r="G80" i="76"/>
  <c r="X80" i="76" s="1"/>
  <c r="A80" i="76"/>
  <c r="G79" i="76"/>
  <c r="X79" i="76" s="1"/>
  <c r="A79" i="76"/>
  <c r="G78" i="76"/>
  <c r="X78" i="76" s="1"/>
  <c r="A78" i="76"/>
  <c r="AG77" i="76"/>
  <c r="X77" i="76"/>
  <c r="G76" i="76"/>
  <c r="X76" i="76" s="1"/>
  <c r="A76" i="76"/>
  <c r="A372" i="76" s="1"/>
  <c r="A41" i="77" s="1"/>
  <c r="G75" i="76"/>
  <c r="X75" i="76" s="1"/>
  <c r="A75" i="76"/>
  <c r="A371" i="76" s="1"/>
  <c r="A40" i="77" s="1"/>
  <c r="AG74" i="76"/>
  <c r="X74" i="76"/>
  <c r="G73" i="76"/>
  <c r="X73" i="76" s="1"/>
  <c r="A73" i="76"/>
  <c r="G72" i="76"/>
  <c r="X72" i="76" s="1"/>
  <c r="A72" i="76"/>
  <c r="G71" i="76"/>
  <c r="X71" i="76" s="1"/>
  <c r="A71" i="76"/>
  <c r="AG70" i="76"/>
  <c r="X70" i="76"/>
  <c r="G69" i="76"/>
  <c r="X69" i="76" s="1"/>
  <c r="A69" i="76"/>
  <c r="G68" i="76"/>
  <c r="X68" i="76" s="1"/>
  <c r="A68" i="76"/>
  <c r="G67" i="76"/>
  <c r="X67" i="76" s="1"/>
  <c r="A67" i="76"/>
  <c r="AG66" i="76"/>
  <c r="X66" i="76"/>
  <c r="G65" i="76"/>
  <c r="X65" i="76" s="1"/>
  <c r="A65" i="76"/>
  <c r="A367" i="76" s="1"/>
  <c r="A36" i="77" s="1"/>
  <c r="X64" i="76"/>
  <c r="G64" i="76"/>
  <c r="A64" i="76"/>
  <c r="G63" i="76"/>
  <c r="X63" i="76" s="1"/>
  <c r="A63" i="76"/>
  <c r="AG62" i="76"/>
  <c r="X62" i="76"/>
  <c r="AG61" i="76"/>
  <c r="X61" i="76"/>
  <c r="G60" i="76"/>
  <c r="A60" i="76"/>
  <c r="G59" i="76"/>
  <c r="X59" i="76" s="1"/>
  <c r="A59" i="76"/>
  <c r="G58" i="76"/>
  <c r="X58" i="76" s="1"/>
  <c r="A58" i="76"/>
  <c r="AG57" i="76"/>
  <c r="X57" i="76"/>
  <c r="G56" i="76"/>
  <c r="X56" i="76" s="1"/>
  <c r="A56" i="76"/>
  <c r="G55" i="76"/>
  <c r="X55" i="76" s="1"/>
  <c r="A55" i="76"/>
  <c r="G54" i="76"/>
  <c r="X54" i="76" s="1"/>
  <c r="A54" i="76"/>
  <c r="AG53" i="76"/>
  <c r="X53" i="76"/>
  <c r="G52" i="76"/>
  <c r="X52" i="76" s="1"/>
  <c r="A52" i="76"/>
  <c r="A366" i="76" s="1"/>
  <c r="A35" i="77" s="1"/>
  <c r="G51" i="76"/>
  <c r="X51" i="76" s="1"/>
  <c r="A51" i="76"/>
  <c r="G50" i="76"/>
  <c r="X50" i="76" s="1"/>
  <c r="A50" i="76"/>
  <c r="AG49" i="76"/>
  <c r="X49" i="76"/>
  <c r="AG48" i="76"/>
  <c r="X48" i="76"/>
  <c r="G47" i="76"/>
  <c r="A47" i="76"/>
  <c r="H47" i="76" s="1"/>
  <c r="G46" i="76"/>
  <c r="X46" i="76" s="1"/>
  <c r="A46" i="76"/>
  <c r="G45" i="76"/>
  <c r="X45" i="76" s="1"/>
  <c r="A45" i="76"/>
  <c r="AG44" i="76"/>
  <c r="X44" i="76"/>
  <c r="G43" i="76"/>
  <c r="X43" i="76" s="1"/>
  <c r="A43" i="76"/>
  <c r="A365" i="76" s="1"/>
  <c r="A34" i="77" s="1"/>
  <c r="G42" i="76"/>
  <c r="X42" i="76" s="1"/>
  <c r="A42" i="76"/>
  <c r="A364" i="76" s="1"/>
  <c r="A33" i="77" s="1"/>
  <c r="G41" i="76"/>
  <c r="X41" i="76" s="1"/>
  <c r="B41" i="76"/>
  <c r="B42" i="76" s="1"/>
  <c r="B43" i="76" s="1"/>
  <c r="B45" i="76" s="1"/>
  <c r="B46" i="76" s="1"/>
  <c r="B47" i="76" s="1"/>
  <c r="B50" i="76" s="1"/>
  <c r="B51" i="76" s="1"/>
  <c r="B52" i="76" s="1"/>
  <c r="B54" i="76" s="1"/>
  <c r="B55" i="76" s="1"/>
  <c r="B56" i="76" s="1"/>
  <c r="B58" i="76" s="1"/>
  <c r="B59" i="76" s="1"/>
  <c r="B60" i="76" s="1"/>
  <c r="B63" i="76" s="1"/>
  <c r="B64" i="76" s="1"/>
  <c r="B65" i="76" s="1"/>
  <c r="B67" i="76" s="1"/>
  <c r="B68" i="76" s="1"/>
  <c r="B69" i="76" s="1"/>
  <c r="B71" i="76" s="1"/>
  <c r="B72" i="76" s="1"/>
  <c r="B73" i="76" s="1"/>
  <c r="B75" i="76" s="1"/>
  <c r="B76" i="76" s="1"/>
  <c r="B78" i="76" s="1"/>
  <c r="B79" i="76" s="1"/>
  <c r="B80" i="76" s="1"/>
  <c r="A41" i="76"/>
  <c r="A363" i="76" s="1"/>
  <c r="A32" i="77" s="1"/>
  <c r="AG40" i="76"/>
  <c r="X40" i="76"/>
  <c r="G39" i="76"/>
  <c r="X39" i="76" s="1"/>
  <c r="A39" i="76"/>
  <c r="A362" i="76" s="1"/>
  <c r="A31" i="77" s="1"/>
  <c r="AG38" i="76"/>
  <c r="X38" i="76"/>
  <c r="AG37" i="76"/>
  <c r="X37" i="76"/>
  <c r="AG36" i="76"/>
  <c r="X36" i="76"/>
  <c r="AG35" i="76"/>
  <c r="X35" i="76"/>
  <c r="G34" i="76"/>
  <c r="A34" i="76"/>
  <c r="A357" i="76" s="1"/>
  <c r="A26" i="77" s="1"/>
  <c r="G33" i="76"/>
  <c r="G355" i="76" s="1"/>
  <c r="B33" i="76"/>
  <c r="B34" i="76" s="1"/>
  <c r="A33" i="76"/>
  <c r="A355" i="76" s="1"/>
  <c r="A24" i="77" s="1"/>
  <c r="G32" i="76"/>
  <c r="G356" i="76" s="1"/>
  <c r="A32" i="76"/>
  <c r="A356" i="76" s="1"/>
  <c r="A25" i="77" s="1"/>
  <c r="AG31" i="76"/>
  <c r="X31" i="76"/>
  <c r="AG30" i="76"/>
  <c r="X30" i="76"/>
  <c r="G29" i="76"/>
  <c r="X29" i="76" s="1"/>
  <c r="A29" i="76"/>
  <c r="A354" i="76" s="1"/>
  <c r="A23" i="77" s="1"/>
  <c r="G28" i="76"/>
  <c r="G353" i="76" s="1"/>
  <c r="A28" i="76"/>
  <c r="A353" i="76" s="1"/>
  <c r="A22" i="77" s="1"/>
  <c r="G27" i="76"/>
  <c r="G352" i="76" s="1"/>
  <c r="A27" i="76"/>
  <c r="A352" i="76" s="1"/>
  <c r="A21" i="77" s="1"/>
  <c r="G26" i="76"/>
  <c r="G351" i="76" s="1"/>
  <c r="B26" i="76"/>
  <c r="B27" i="76" s="1"/>
  <c r="B28" i="76" s="1"/>
  <c r="B29" i="76" s="1"/>
  <c r="A26" i="76"/>
  <c r="A351" i="76" s="1"/>
  <c r="A20" i="77" s="1"/>
  <c r="G25" i="76"/>
  <c r="A25" i="76"/>
  <c r="A350" i="76" s="1"/>
  <c r="A19" i="77" s="1"/>
  <c r="AG24" i="76"/>
  <c r="X24" i="76"/>
  <c r="AG23" i="76"/>
  <c r="X23" i="76"/>
  <c r="G22" i="76"/>
  <c r="G426" i="76" s="1"/>
  <c r="A22" i="76"/>
  <c r="J22" i="76" s="1"/>
  <c r="AG22" i="76" s="1"/>
  <c r="G21" i="76"/>
  <c r="G425" i="76" s="1"/>
  <c r="A21" i="76"/>
  <c r="D21" i="76" s="1"/>
  <c r="G20" i="76"/>
  <c r="A20" i="76"/>
  <c r="G19" i="76"/>
  <c r="A19" i="76"/>
  <c r="G18" i="76"/>
  <c r="G347" i="76" s="1"/>
  <c r="B18" i="76"/>
  <c r="B19" i="76" s="1"/>
  <c r="B20" i="76" s="1"/>
  <c r="B21" i="76" s="1"/>
  <c r="B22" i="76" s="1"/>
  <c r="A18" i="76"/>
  <c r="X17" i="76"/>
  <c r="A17" i="76"/>
  <c r="O11" i="76"/>
  <c r="P11" i="76" s="1"/>
  <c r="F4" i="76"/>
  <c r="X347" i="76" l="1"/>
  <c r="G71" i="77"/>
  <c r="X426" i="76"/>
  <c r="G109" i="77"/>
  <c r="X355" i="76"/>
  <c r="G46" i="77"/>
  <c r="X353" i="76"/>
  <c r="G32" i="77"/>
  <c r="X356" i="76"/>
  <c r="G82" i="77"/>
  <c r="X425" i="76"/>
  <c r="G74" i="77"/>
  <c r="A56" i="77"/>
  <c r="X419" i="76"/>
  <c r="G94" i="77"/>
  <c r="X441" i="76"/>
  <c r="G75" i="77"/>
  <c r="X352" i="76"/>
  <c r="G73" i="77"/>
  <c r="X387" i="76"/>
  <c r="G56" i="77"/>
  <c r="X361" i="76"/>
  <c r="G77" i="77"/>
  <c r="X438" i="76"/>
  <c r="G87" i="77"/>
  <c r="X391" i="76"/>
  <c r="G85" i="77"/>
  <c r="X439" i="76"/>
  <c r="G35" i="77"/>
  <c r="X433" i="76"/>
  <c r="G86" i="77"/>
  <c r="X442" i="76"/>
  <c r="G93" i="77"/>
  <c r="X351" i="76"/>
  <c r="G47" i="77"/>
  <c r="X429" i="76"/>
  <c r="G78" i="77"/>
  <c r="B371" i="76"/>
  <c r="B372" i="76" s="1"/>
  <c r="B373" i="76" s="1"/>
  <c r="B374" i="76" s="1"/>
  <c r="B375" i="76" s="1"/>
  <c r="B376" i="76" s="1"/>
  <c r="B377" i="76" s="1"/>
  <c r="B378" i="76" s="1"/>
  <c r="B379" i="76" s="1"/>
  <c r="B380" i="76" s="1"/>
  <c r="B381" i="76" s="1"/>
  <c r="B382" i="76" s="1"/>
  <c r="B383" i="76" s="1"/>
  <c r="B384" i="76" s="1"/>
  <c r="B385" i="76" s="1"/>
  <c r="B386" i="76" s="1"/>
  <c r="B387" i="76" s="1"/>
  <c r="B388" i="76" s="1"/>
  <c r="B389" i="76" s="1"/>
  <c r="B390" i="76" s="1"/>
  <c r="B391" i="76" s="1"/>
  <c r="B392" i="76" s="1"/>
  <c r="B393" i="76" s="1"/>
  <c r="B394" i="76" s="1"/>
  <c r="B395" i="76" s="1"/>
  <c r="B396" i="76" s="1"/>
  <c r="B397" i="76" s="1"/>
  <c r="B398" i="76" s="1"/>
  <c r="B399" i="76" s="1"/>
  <c r="B400" i="76" s="1"/>
  <c r="B401" i="76" s="1"/>
  <c r="B402" i="76" s="1"/>
  <c r="B403" i="76" s="1"/>
  <c r="B404" i="76" s="1"/>
  <c r="B405" i="76" s="1"/>
  <c r="B406" i="76" s="1"/>
  <c r="B407" i="76" s="1"/>
  <c r="B408" i="76" s="1"/>
  <c r="B409" i="76" s="1"/>
  <c r="B410" i="76" s="1"/>
  <c r="B411" i="76" s="1"/>
  <c r="B412" i="76" s="1"/>
  <c r="B413" i="76" s="1"/>
  <c r="B414" i="76" s="1"/>
  <c r="B415" i="76" s="1"/>
  <c r="B416" i="76" s="1"/>
  <c r="B417" i="76" s="1"/>
  <c r="B418" i="76" s="1"/>
  <c r="B419" i="76" s="1"/>
  <c r="B420" i="76" s="1"/>
  <c r="B421" i="76" s="1"/>
  <c r="B422" i="76" s="1"/>
  <c r="B423" i="76" s="1"/>
  <c r="B424" i="76" s="1"/>
  <c r="B425" i="76" s="1"/>
  <c r="B426" i="76" s="1"/>
  <c r="B427" i="76" s="1"/>
  <c r="B428" i="76" s="1"/>
  <c r="B429" i="76" s="1"/>
  <c r="B430" i="76" s="1"/>
  <c r="B431" i="76" s="1"/>
  <c r="B432" i="76" s="1"/>
  <c r="B433" i="76" s="1"/>
  <c r="B434" i="76" s="1"/>
  <c r="B435" i="76" s="1"/>
  <c r="B436" i="76" s="1"/>
  <c r="B437" i="76" s="1"/>
  <c r="B438" i="76" s="1"/>
  <c r="B439" i="76" s="1"/>
  <c r="B440" i="76" s="1"/>
  <c r="B441" i="76" s="1"/>
  <c r="B442" i="76" s="1"/>
  <c r="B370" i="76"/>
  <c r="X18" i="76"/>
  <c r="J21" i="76"/>
  <c r="AG21" i="76" s="1"/>
  <c r="D268" i="76"/>
  <c r="G416" i="76"/>
  <c r="G359" i="76"/>
  <c r="G28" i="77" s="1"/>
  <c r="D182" i="76"/>
  <c r="G379" i="76"/>
  <c r="G57" i="77" s="1"/>
  <c r="J312" i="76"/>
  <c r="AG312" i="76" s="1"/>
  <c r="X20" i="76"/>
  <c r="G348" i="76"/>
  <c r="G66" i="77" s="1"/>
  <c r="Q146" i="76"/>
  <c r="G362" i="76"/>
  <c r="G25" i="77" s="1"/>
  <c r="X215" i="76"/>
  <c r="X379" i="76"/>
  <c r="X19" i="76"/>
  <c r="G349" i="76"/>
  <c r="G65" i="77" s="1"/>
  <c r="G350" i="76"/>
  <c r="G363" i="76"/>
  <c r="G389" i="76"/>
  <c r="G371" i="76"/>
  <c r="G396" i="76"/>
  <c r="G412" i="76"/>
  <c r="G354" i="76"/>
  <c r="G60" i="77" s="1"/>
  <c r="G398" i="76"/>
  <c r="X28" i="76"/>
  <c r="G383" i="76"/>
  <c r="H182" i="76"/>
  <c r="H191" i="76"/>
  <c r="A277" i="76"/>
  <c r="X314" i="76"/>
  <c r="X354" i="76"/>
  <c r="I215" i="76"/>
  <c r="G401" i="76"/>
  <c r="O268" i="76"/>
  <c r="Q268" i="76" s="1"/>
  <c r="G415" i="76"/>
  <c r="X21" i="76"/>
  <c r="X22" i="76"/>
  <c r="X359" i="76"/>
  <c r="G360" i="76"/>
  <c r="O215" i="76"/>
  <c r="Q215" i="76" s="1"/>
  <c r="G399" i="76"/>
  <c r="X247" i="76"/>
  <c r="G397" i="76"/>
  <c r="P311" i="76"/>
  <c r="X34" i="76"/>
  <c r="G357" i="76"/>
  <c r="X47" i="76"/>
  <c r="G365" i="76"/>
  <c r="X369" i="76"/>
  <c r="N139" i="76"/>
  <c r="A427" i="76"/>
  <c r="A96" i="77" s="1"/>
  <c r="X177" i="76"/>
  <c r="G375" i="76"/>
  <c r="X179" i="76"/>
  <c r="G376" i="76"/>
  <c r="X195" i="76"/>
  <c r="G380" i="76"/>
  <c r="O218" i="76"/>
  <c r="Q218" i="76" s="1"/>
  <c r="A428" i="76"/>
  <c r="A97" i="77" s="1"/>
  <c r="J218" i="76"/>
  <c r="AG218" i="76" s="1"/>
  <c r="X235" i="76"/>
  <c r="G394" i="76"/>
  <c r="G68" i="77" s="1"/>
  <c r="P436" i="76"/>
  <c r="H436" i="76"/>
  <c r="H55" i="77" s="1"/>
  <c r="O436" i="76"/>
  <c r="D436" i="76"/>
  <c r="D55" i="77" s="1"/>
  <c r="J436" i="76"/>
  <c r="I436" i="76"/>
  <c r="I55" i="77" s="1"/>
  <c r="X246" i="76"/>
  <c r="X249" i="76"/>
  <c r="G432" i="76"/>
  <c r="G103" i="77" s="1"/>
  <c r="X252" i="76"/>
  <c r="X273" i="76"/>
  <c r="G408" i="76"/>
  <c r="G40" i="77" s="1"/>
  <c r="J434" i="76"/>
  <c r="I434" i="76"/>
  <c r="I84" i="77" s="1"/>
  <c r="P434" i="76"/>
  <c r="H434" i="76"/>
  <c r="H84" i="77" s="1"/>
  <c r="O434" i="76"/>
  <c r="D434" i="76"/>
  <c r="D84" i="77" s="1"/>
  <c r="X300" i="76"/>
  <c r="X304" i="76"/>
  <c r="D311" i="76"/>
  <c r="X313" i="76"/>
  <c r="H314" i="76"/>
  <c r="X348" i="76"/>
  <c r="O22" i="76"/>
  <c r="Q22" i="76" s="1"/>
  <c r="A426" i="76"/>
  <c r="A95" i="77" s="1"/>
  <c r="P22" i="76"/>
  <c r="P146" i="76"/>
  <c r="X159" i="76"/>
  <c r="O435" i="76"/>
  <c r="Q435" i="76" s="1"/>
  <c r="D435" i="76"/>
  <c r="D102" i="77" s="1"/>
  <c r="J435" i="76"/>
  <c r="J102" i="77" s="1"/>
  <c r="L102" i="77" s="1"/>
  <c r="I435" i="76"/>
  <c r="I102" i="77" s="1"/>
  <c r="P435" i="76"/>
  <c r="H435" i="76"/>
  <c r="H102" i="77" s="1"/>
  <c r="X214" i="76"/>
  <c r="G405" i="76"/>
  <c r="D22" i="76"/>
  <c r="X32" i="76"/>
  <c r="X33" i="76"/>
  <c r="X60" i="76"/>
  <c r="G366" i="76"/>
  <c r="X103" i="76"/>
  <c r="G368" i="76"/>
  <c r="G367" i="76"/>
  <c r="H139" i="76"/>
  <c r="G427" i="76"/>
  <c r="X146" i="76"/>
  <c r="X156" i="76"/>
  <c r="G424" i="76"/>
  <c r="G23" i="77" s="1"/>
  <c r="X362" i="76"/>
  <c r="G386" i="76"/>
  <c r="X176" i="76"/>
  <c r="G373" i="76"/>
  <c r="X178" i="76"/>
  <c r="G374" i="76"/>
  <c r="O182" i="76"/>
  <c r="Q182" i="76" s="1"/>
  <c r="A430" i="76"/>
  <c r="A99" i="77" s="1"/>
  <c r="J182" i="76"/>
  <c r="AG182" i="76" s="1"/>
  <c r="P191" i="76"/>
  <c r="A431" i="76"/>
  <c r="A100" i="77" s="1"/>
  <c r="N191" i="76"/>
  <c r="G378" i="76"/>
  <c r="X201" i="76"/>
  <c r="G404" i="76"/>
  <c r="G76" i="77" s="1"/>
  <c r="I429" i="76"/>
  <c r="I78" i="77" s="1"/>
  <c r="P429" i="76"/>
  <c r="H429" i="76"/>
  <c r="H78" i="77" s="1"/>
  <c r="O429" i="76"/>
  <c r="Q429" i="76" s="1"/>
  <c r="D429" i="76"/>
  <c r="D78" i="77" s="1"/>
  <c r="J429" i="76"/>
  <c r="J78" i="77" s="1"/>
  <c r="D218" i="76"/>
  <c r="N218" i="76"/>
  <c r="X234" i="76"/>
  <c r="G393" i="76"/>
  <c r="G41" i="77" s="1"/>
  <c r="X237" i="76"/>
  <c r="G402" i="76"/>
  <c r="X239" i="76"/>
  <c r="G436" i="76"/>
  <c r="G55" i="77" s="1"/>
  <c r="H263" i="76"/>
  <c r="P440" i="76"/>
  <c r="H440" i="76"/>
  <c r="H27" i="77" s="1"/>
  <c r="O440" i="76"/>
  <c r="D440" i="76"/>
  <c r="D27" i="77" s="1"/>
  <c r="J440" i="76"/>
  <c r="I440" i="76"/>
  <c r="I27" i="77" s="1"/>
  <c r="D291" i="76"/>
  <c r="G411" i="76"/>
  <c r="G414" i="76"/>
  <c r="G106" i="77" s="1"/>
  <c r="X303" i="76"/>
  <c r="G418" i="76"/>
  <c r="G97" i="77" s="1"/>
  <c r="X307" i="76"/>
  <c r="G423" i="76"/>
  <c r="G440" i="76"/>
  <c r="G27" i="77" s="1"/>
  <c r="I433" i="76"/>
  <c r="I86" i="77" s="1"/>
  <c r="P433" i="76"/>
  <c r="H433" i="76"/>
  <c r="H86" i="77" s="1"/>
  <c r="O433" i="76"/>
  <c r="Q433" i="76" s="1"/>
  <c r="D433" i="76"/>
  <c r="D86" i="77" s="1"/>
  <c r="J433" i="76"/>
  <c r="X312" i="76"/>
  <c r="J442" i="76"/>
  <c r="I442" i="76"/>
  <c r="I93" i="77" s="1"/>
  <c r="P442" i="76"/>
  <c r="H442" i="76"/>
  <c r="H93" i="77" s="1"/>
  <c r="O442" i="76"/>
  <c r="Q442" i="76" s="1"/>
  <c r="D442" i="76"/>
  <c r="D93" i="77" s="1"/>
  <c r="N314" i="76"/>
  <c r="X349" i="76"/>
  <c r="X126" i="76"/>
  <c r="G364" i="76"/>
  <c r="G372" i="76"/>
  <c r="J146" i="76"/>
  <c r="AG146" i="76" s="1"/>
  <c r="J438" i="76"/>
  <c r="I438" i="76"/>
  <c r="I87" i="77" s="1"/>
  <c r="P438" i="76"/>
  <c r="H438" i="76"/>
  <c r="H87" i="77" s="1"/>
  <c r="D438" i="76"/>
  <c r="D87" i="77" s="1"/>
  <c r="O438" i="76"/>
  <c r="Q438" i="76" s="1"/>
  <c r="X264" i="76"/>
  <c r="G395" i="76"/>
  <c r="G420" i="76"/>
  <c r="G44" i="77" s="1"/>
  <c r="X121" i="76"/>
  <c r="X125" i="76"/>
  <c r="X130" i="76"/>
  <c r="D146" i="76"/>
  <c r="X147" i="76"/>
  <c r="G388" i="76"/>
  <c r="O21" i="76"/>
  <c r="Q21" i="76" s="1"/>
  <c r="A425" i="76"/>
  <c r="A94" i="77" s="1"/>
  <c r="P21" i="76"/>
  <c r="O139" i="76"/>
  <c r="Q139" i="76" s="1"/>
  <c r="G358" i="76"/>
  <c r="G382" i="76"/>
  <c r="X145" i="76"/>
  <c r="I146" i="76"/>
  <c r="X153" i="76"/>
  <c r="A385" i="76"/>
  <c r="A54" i="77" s="1"/>
  <c r="X161" i="76"/>
  <c r="X162" i="76"/>
  <c r="G384" i="76"/>
  <c r="X175" i="76"/>
  <c r="G377" i="76"/>
  <c r="N182" i="76"/>
  <c r="D191" i="76"/>
  <c r="O191" i="76"/>
  <c r="Q191" i="76" s="1"/>
  <c r="N192" i="76"/>
  <c r="X200" i="76"/>
  <c r="G381" i="76"/>
  <c r="X204" i="76"/>
  <c r="X213" i="76"/>
  <c r="G406" i="76"/>
  <c r="X218" i="76"/>
  <c r="G428" i="76"/>
  <c r="G29" i="77" s="1"/>
  <c r="P218" i="76"/>
  <c r="O226" i="76"/>
  <c r="Q226" i="76" s="1"/>
  <c r="A432" i="76"/>
  <c r="A101" i="77" s="1"/>
  <c r="P226" i="76"/>
  <c r="A394" i="76"/>
  <c r="A63" i="77" s="1"/>
  <c r="I437" i="76"/>
  <c r="I69" i="77" s="1"/>
  <c r="P437" i="76"/>
  <c r="H437" i="76"/>
  <c r="H69" i="77" s="1"/>
  <c r="O437" i="76"/>
  <c r="Q437" i="76" s="1"/>
  <c r="D437" i="76"/>
  <c r="D69" i="77" s="1"/>
  <c r="J437" i="76"/>
  <c r="J69" i="77" s="1"/>
  <c r="L69" i="77" s="1"/>
  <c r="X253" i="76"/>
  <c r="G400" i="76"/>
  <c r="G88" i="77" s="1"/>
  <c r="G403" i="76"/>
  <c r="G98" i="77" s="1"/>
  <c r="P263" i="76"/>
  <c r="O439" i="76"/>
  <c r="Q439" i="76" s="1"/>
  <c r="D439" i="76"/>
  <c r="D35" i="77" s="1"/>
  <c r="J439" i="76"/>
  <c r="J35" i="77" s="1"/>
  <c r="I439" i="76"/>
  <c r="I35" i="77" s="1"/>
  <c r="P439" i="76"/>
  <c r="H439" i="76"/>
  <c r="H35" i="77" s="1"/>
  <c r="X268" i="76"/>
  <c r="X288" i="76"/>
  <c r="G421" i="76"/>
  <c r="G107" i="77" s="1"/>
  <c r="D290" i="76"/>
  <c r="X291" i="76"/>
  <c r="G434" i="76"/>
  <c r="G84" i="77" s="1"/>
  <c r="G407" i="76"/>
  <c r="G83" i="77" s="1"/>
  <c r="G409" i="76"/>
  <c r="G59" i="77" s="1"/>
  <c r="G410" i="76"/>
  <c r="G64" i="77" s="1"/>
  <c r="X299" i="76"/>
  <c r="G413" i="76"/>
  <c r="G96" i="77" s="1"/>
  <c r="X302" i="76"/>
  <c r="G417" i="76"/>
  <c r="G108" i="77" s="1"/>
  <c r="X306" i="76"/>
  <c r="G422" i="76"/>
  <c r="G51" i="77" s="1"/>
  <c r="X310" i="76"/>
  <c r="N311" i="76"/>
  <c r="D312" i="76"/>
  <c r="I441" i="76"/>
  <c r="I75" i="77" s="1"/>
  <c r="P441" i="76"/>
  <c r="H441" i="76"/>
  <c r="H75" i="77" s="1"/>
  <c r="O441" i="76"/>
  <c r="Q441" i="76" s="1"/>
  <c r="D441" i="76"/>
  <c r="D75" i="77" s="1"/>
  <c r="J441" i="76"/>
  <c r="D314" i="76"/>
  <c r="P314" i="76"/>
  <c r="X183" i="76"/>
  <c r="G390" i="76"/>
  <c r="G30" i="77" s="1"/>
  <c r="L21" i="76"/>
  <c r="AB215" i="76"/>
  <c r="AC215" i="76" s="1"/>
  <c r="L22" i="76"/>
  <c r="X320" i="76"/>
  <c r="X346" i="76"/>
  <c r="X25" i="76"/>
  <c r="X26" i="76"/>
  <c r="X27" i="76"/>
  <c r="I47" i="76"/>
  <c r="N21" i="76"/>
  <c r="H22" i="76"/>
  <c r="N22" i="76"/>
  <c r="H21" i="76"/>
  <c r="I21" i="76"/>
  <c r="I22" i="76"/>
  <c r="X111" i="76"/>
  <c r="X116" i="76"/>
  <c r="X131" i="76"/>
  <c r="X127" i="76"/>
  <c r="N146" i="76"/>
  <c r="H146" i="76"/>
  <c r="X158" i="76"/>
  <c r="X163" i="76"/>
  <c r="X165" i="76"/>
  <c r="D192" i="76"/>
  <c r="P192" i="76"/>
  <c r="J192" i="76"/>
  <c r="H192" i="76"/>
  <c r="O192" i="76"/>
  <c r="Q192" i="76" s="1"/>
  <c r="I192" i="76"/>
  <c r="X152" i="76"/>
  <c r="P139" i="76"/>
  <c r="J139" i="76"/>
  <c r="AG139" i="76" s="1"/>
  <c r="D139" i="76"/>
  <c r="I139" i="76"/>
  <c r="X164" i="76"/>
  <c r="X186" i="76"/>
  <c r="X184" i="76"/>
  <c r="G185" i="76"/>
  <c r="G392" i="76" s="1"/>
  <c r="O239" i="76"/>
  <c r="Q239" i="76" s="1"/>
  <c r="I239" i="76"/>
  <c r="N239" i="76"/>
  <c r="D239" i="76"/>
  <c r="P239" i="76"/>
  <c r="H239" i="76"/>
  <c r="P240" i="76"/>
  <c r="J240" i="76"/>
  <c r="O240" i="76"/>
  <c r="Q240" i="76" s="1"/>
  <c r="H240" i="76"/>
  <c r="N240" i="76"/>
  <c r="D240" i="76"/>
  <c r="I240" i="76"/>
  <c r="X257" i="76"/>
  <c r="AB216" i="76"/>
  <c r="AC216" i="76" s="1"/>
  <c r="X209" i="76"/>
  <c r="P215" i="76"/>
  <c r="J215" i="76"/>
  <c r="AG215" i="76" s="1"/>
  <c r="N215" i="76"/>
  <c r="H215" i="76"/>
  <c r="L218" i="76"/>
  <c r="J239" i="76"/>
  <c r="L226" i="76"/>
  <c r="O249" i="76"/>
  <c r="Q249" i="76" s="1"/>
  <c r="I249" i="76"/>
  <c r="J249" i="76"/>
  <c r="X251" i="76"/>
  <c r="X260" i="76"/>
  <c r="X261" i="76"/>
  <c r="X262" i="76"/>
  <c r="N268" i="76"/>
  <c r="H268" i="76"/>
  <c r="J268" i="76"/>
  <c r="AG268" i="76" s="1"/>
  <c r="O313" i="76"/>
  <c r="Q313" i="76" s="1"/>
  <c r="I313" i="76"/>
  <c r="P313" i="76"/>
  <c r="N313" i="76"/>
  <c r="D313" i="76"/>
  <c r="H313" i="76"/>
  <c r="J313" i="76"/>
  <c r="AG313" i="76" s="1"/>
  <c r="H226" i="76"/>
  <c r="N226" i="76"/>
  <c r="N249" i="76"/>
  <c r="A264" i="76"/>
  <c r="O263" i="76"/>
  <c r="Q263" i="76" s="1"/>
  <c r="I263" i="76"/>
  <c r="N263" i="76"/>
  <c r="J263" i="76"/>
  <c r="AG263" i="76" s="1"/>
  <c r="X263" i="76"/>
  <c r="P268" i="76"/>
  <c r="I182" i="76"/>
  <c r="J191" i="76"/>
  <c r="I218" i="76"/>
  <c r="I226" i="76"/>
  <c r="H249" i="76"/>
  <c r="P249" i="76"/>
  <c r="D263" i="76"/>
  <c r="I268" i="76"/>
  <c r="X286" i="76"/>
  <c r="O290" i="76"/>
  <c r="Q290" i="76" s="1"/>
  <c r="I290" i="76"/>
  <c r="J290" i="76"/>
  <c r="O291" i="76"/>
  <c r="Q291" i="76" s="1"/>
  <c r="I291" i="76"/>
  <c r="J291" i="76"/>
  <c r="N290" i="76"/>
  <c r="N291" i="76"/>
  <c r="A300" i="76"/>
  <c r="X279" i="76"/>
  <c r="H290" i="76"/>
  <c r="P290" i="76"/>
  <c r="H291" i="76"/>
  <c r="P291" i="76"/>
  <c r="O312" i="76"/>
  <c r="Q312" i="76" s="1"/>
  <c r="I312" i="76"/>
  <c r="H312" i="76"/>
  <c r="P312" i="76"/>
  <c r="N312" i="76"/>
  <c r="L312" i="76"/>
  <c r="O314" i="76"/>
  <c r="Q314" i="76" s="1"/>
  <c r="I314" i="76"/>
  <c r="J314" i="76"/>
  <c r="AG314" i="76" s="1"/>
  <c r="O311" i="76"/>
  <c r="Q311" i="76" s="1"/>
  <c r="I311" i="76"/>
  <c r="J311" i="76"/>
  <c r="AG311" i="76" s="1"/>
  <c r="X382" i="76" l="1"/>
  <c r="G31" i="77"/>
  <c r="X372" i="76"/>
  <c r="G52" i="77"/>
  <c r="AG433" i="76"/>
  <c r="J86" i="77"/>
  <c r="L86" i="77" s="1"/>
  <c r="X373" i="76"/>
  <c r="G33" i="77"/>
  <c r="AG441" i="76"/>
  <c r="J75" i="77"/>
  <c r="L75" i="77" s="1"/>
  <c r="X381" i="76"/>
  <c r="G20" i="77"/>
  <c r="X384" i="76"/>
  <c r="G79" i="77"/>
  <c r="X358" i="76"/>
  <c r="G26" i="77"/>
  <c r="X364" i="76"/>
  <c r="G15" i="77"/>
  <c r="X402" i="76"/>
  <c r="G105" i="77"/>
  <c r="X367" i="76"/>
  <c r="G38" i="77"/>
  <c r="X405" i="76"/>
  <c r="G34" i="77"/>
  <c r="AG434" i="76"/>
  <c r="J84" i="77"/>
  <c r="L84" i="77" s="1"/>
  <c r="X375" i="76"/>
  <c r="G53" i="77"/>
  <c r="X397" i="76"/>
  <c r="G101" i="77"/>
  <c r="X360" i="76"/>
  <c r="G36" i="77"/>
  <c r="X415" i="76"/>
  <c r="G92" i="77"/>
  <c r="X389" i="76"/>
  <c r="G67" i="77"/>
  <c r="X416" i="76"/>
  <c r="G95" i="77"/>
  <c r="X377" i="76"/>
  <c r="G24" i="77"/>
  <c r="X395" i="76"/>
  <c r="G89" i="77"/>
  <c r="X411" i="76"/>
  <c r="G91" i="77"/>
  <c r="X392" i="76"/>
  <c r="G48" i="77"/>
  <c r="X406" i="76"/>
  <c r="G39" i="77"/>
  <c r="X388" i="76"/>
  <c r="G49" i="77"/>
  <c r="AG438" i="76"/>
  <c r="J87" i="77"/>
  <c r="L87" i="77" s="1"/>
  <c r="AG442" i="76"/>
  <c r="J93" i="77"/>
  <c r="X374" i="76"/>
  <c r="G58" i="77"/>
  <c r="X386" i="76"/>
  <c r="G16" i="77"/>
  <c r="X368" i="76"/>
  <c r="G21" i="77"/>
  <c r="X365" i="76"/>
  <c r="G61" i="77"/>
  <c r="X383" i="76"/>
  <c r="G43" i="77"/>
  <c r="X412" i="76"/>
  <c r="G90" i="77"/>
  <c r="X363" i="76"/>
  <c r="G17" i="77"/>
  <c r="X423" i="76"/>
  <c r="G70" i="77"/>
  <c r="AG440" i="76"/>
  <c r="J27" i="77"/>
  <c r="L27" i="77" s="1"/>
  <c r="X378" i="76"/>
  <c r="G22" i="77"/>
  <c r="X427" i="76"/>
  <c r="G50" i="77"/>
  <c r="AG436" i="76"/>
  <c r="J55" i="77"/>
  <c r="L55" i="77" s="1"/>
  <c r="X380" i="76"/>
  <c r="G37" i="77"/>
  <c r="X376" i="76"/>
  <c r="G81" i="77"/>
  <c r="X399" i="76"/>
  <c r="G99" i="77"/>
  <c r="X401" i="76"/>
  <c r="G54" i="77"/>
  <c r="X396" i="76"/>
  <c r="G104" i="77"/>
  <c r="X350" i="76"/>
  <c r="G72" i="77"/>
  <c r="L78" i="77"/>
  <c r="L93" i="77"/>
  <c r="L35" i="77"/>
  <c r="X366" i="76"/>
  <c r="G42" i="77"/>
  <c r="X357" i="76"/>
  <c r="G100" i="77"/>
  <c r="X398" i="76"/>
  <c r="G80" i="77"/>
  <c r="X371" i="76"/>
  <c r="G45" i="77"/>
  <c r="X394" i="76"/>
  <c r="X393" i="76"/>
  <c r="R218" i="76"/>
  <c r="R219" i="76" s="1"/>
  <c r="L438" i="76"/>
  <c r="R438" i="76" s="1"/>
  <c r="S438" i="76" s="1"/>
  <c r="L182" i="76"/>
  <c r="L146" i="76"/>
  <c r="R146" i="76" s="1"/>
  <c r="S146" i="76" s="1"/>
  <c r="L433" i="76"/>
  <c r="R433" i="76" s="1"/>
  <c r="S433" i="76" s="1"/>
  <c r="Q440" i="76"/>
  <c r="X409" i="76"/>
  <c r="L441" i="76"/>
  <c r="R441" i="76" s="1"/>
  <c r="S441" i="76" s="1"/>
  <c r="X440" i="76"/>
  <c r="L440" i="76"/>
  <c r="R440" i="76" s="1"/>
  <c r="S440" i="76" s="1"/>
  <c r="J430" i="76"/>
  <c r="J18" i="77" s="1"/>
  <c r="L18" i="77" s="1"/>
  <c r="I430" i="76"/>
  <c r="I18" i="77" s="1"/>
  <c r="P430" i="76"/>
  <c r="H430" i="76"/>
  <c r="H18" i="77" s="1"/>
  <c r="O430" i="76"/>
  <c r="Q430" i="76" s="1"/>
  <c r="D430" i="76"/>
  <c r="D18" i="77" s="1"/>
  <c r="X424" i="76"/>
  <c r="J426" i="76"/>
  <c r="J109" i="77" s="1"/>
  <c r="L109" i="77" s="1"/>
  <c r="I426" i="76"/>
  <c r="I109" i="77" s="1"/>
  <c r="P426" i="76"/>
  <c r="H426" i="76"/>
  <c r="H109" i="77" s="1"/>
  <c r="O426" i="76"/>
  <c r="Q426" i="76" s="1"/>
  <c r="D426" i="76"/>
  <c r="D109" i="77" s="1"/>
  <c r="Q434" i="76"/>
  <c r="Q436" i="76"/>
  <c r="P428" i="76"/>
  <c r="H428" i="76"/>
  <c r="H29" i="77" s="1"/>
  <c r="O428" i="76"/>
  <c r="Q428" i="76" s="1"/>
  <c r="D428" i="76"/>
  <c r="D29" i="77" s="1"/>
  <c r="J428" i="76"/>
  <c r="I428" i="76"/>
  <c r="I29" i="77" s="1"/>
  <c r="X422" i="76"/>
  <c r="X413" i="76"/>
  <c r="X407" i="76"/>
  <c r="X421" i="76"/>
  <c r="X400" i="76"/>
  <c r="X428" i="76"/>
  <c r="X420" i="76"/>
  <c r="X414" i="76"/>
  <c r="AG429" i="76"/>
  <c r="L429" i="76"/>
  <c r="R429" i="76" s="1"/>
  <c r="S429" i="76" s="1"/>
  <c r="X404" i="76"/>
  <c r="O431" i="76"/>
  <c r="Q431" i="76" s="1"/>
  <c r="D431" i="76"/>
  <c r="D63" i="77" s="1"/>
  <c r="J431" i="76"/>
  <c r="J63" i="77" s="1"/>
  <c r="L63" i="77" s="1"/>
  <c r="I431" i="76"/>
  <c r="I63" i="77" s="1"/>
  <c r="P431" i="76"/>
  <c r="H431" i="76"/>
  <c r="H63" i="77" s="1"/>
  <c r="X434" i="76"/>
  <c r="L434" i="76"/>
  <c r="R434" i="76" s="1"/>
  <c r="S434" i="76" s="1"/>
  <c r="P432" i="76"/>
  <c r="H432" i="76"/>
  <c r="H103" i="77" s="1"/>
  <c r="O432" i="76"/>
  <c r="Q432" i="76" s="1"/>
  <c r="D432" i="76"/>
  <c r="D103" i="77" s="1"/>
  <c r="J432" i="76"/>
  <c r="I432" i="76"/>
  <c r="I103" i="77" s="1"/>
  <c r="I425" i="76"/>
  <c r="I74" i="77" s="1"/>
  <c r="P425" i="76"/>
  <c r="H425" i="76"/>
  <c r="H74" i="77" s="1"/>
  <c r="O425" i="76"/>
  <c r="Q425" i="76" s="1"/>
  <c r="D425" i="76"/>
  <c r="D74" i="77" s="1"/>
  <c r="J425" i="76"/>
  <c r="J74" i="77" s="1"/>
  <c r="L74" i="77" s="1"/>
  <c r="X436" i="76"/>
  <c r="L436" i="76"/>
  <c r="R436" i="76" s="1"/>
  <c r="S436" i="76" s="1"/>
  <c r="L435" i="76"/>
  <c r="R435" i="76" s="1"/>
  <c r="S435" i="76" s="1"/>
  <c r="AG435" i="76"/>
  <c r="X432" i="76"/>
  <c r="O427" i="76"/>
  <c r="Q427" i="76" s="1"/>
  <c r="D427" i="76"/>
  <c r="D50" i="77" s="1"/>
  <c r="J427" i="76"/>
  <c r="J50" i="77" s="1"/>
  <c r="I427" i="76"/>
  <c r="I50" i="77" s="1"/>
  <c r="P427" i="76"/>
  <c r="H427" i="76"/>
  <c r="H50" i="77" s="1"/>
  <c r="X417" i="76"/>
  <c r="X410" i="76"/>
  <c r="L439" i="76"/>
  <c r="R439" i="76" s="1"/>
  <c r="S439" i="76" s="1"/>
  <c r="AG439" i="76"/>
  <c r="X403" i="76"/>
  <c r="AG437" i="76"/>
  <c r="L437" i="76"/>
  <c r="R437" i="76" s="1"/>
  <c r="S437" i="76" s="1"/>
  <c r="X418" i="76"/>
  <c r="L442" i="76"/>
  <c r="R442" i="76" s="1"/>
  <c r="S442" i="76" s="1"/>
  <c r="X408" i="76"/>
  <c r="R21" i="76"/>
  <c r="S21" i="76" s="1"/>
  <c r="X390" i="76"/>
  <c r="R22" i="76"/>
  <c r="S22" i="76" s="1"/>
  <c r="L268" i="76"/>
  <c r="L314" i="76"/>
  <c r="L239" i="76"/>
  <c r="R239" i="76" s="1"/>
  <c r="AG239" i="76"/>
  <c r="L215" i="76"/>
  <c r="R215" i="76" s="1"/>
  <c r="L313" i="76"/>
  <c r="R313" i="76" s="1"/>
  <c r="R312" i="76"/>
  <c r="S312" i="76" s="1"/>
  <c r="L191" i="76"/>
  <c r="AG191" i="76"/>
  <c r="R226" i="76"/>
  <c r="S226" i="76" s="1"/>
  <c r="AG240" i="76"/>
  <c r="L240" i="76"/>
  <c r="R240" i="76" s="1"/>
  <c r="AG192" i="76"/>
  <c r="L192" i="76"/>
  <c r="L139" i="76"/>
  <c r="L311" i="76"/>
  <c r="AG290" i="76"/>
  <c r="L290" i="76"/>
  <c r="R290" i="76" s="1"/>
  <c r="AG291" i="76"/>
  <c r="L291" i="76"/>
  <c r="M219" i="76"/>
  <c r="U219" i="76" s="1"/>
  <c r="L263" i="76"/>
  <c r="X185" i="76"/>
  <c r="AG249" i="76"/>
  <c r="L249" i="76"/>
  <c r="R249" i="76" s="1"/>
  <c r="L50" i="77" l="1"/>
  <c r="AG428" i="76"/>
  <c r="J29" i="77"/>
  <c r="L29" i="77" s="1"/>
  <c r="AG432" i="76"/>
  <c r="J103" i="77"/>
  <c r="L103" i="77" s="1"/>
  <c r="R182" i="76"/>
  <c r="S182" i="76" s="1"/>
  <c r="R268" i="76"/>
  <c r="S268" i="76" s="1"/>
  <c r="S218" i="76"/>
  <c r="S219" i="76" s="1"/>
  <c r="L432" i="76"/>
  <c r="R432" i="76" s="1"/>
  <c r="S432" i="76" s="1"/>
  <c r="L428" i="76"/>
  <c r="R428" i="76" s="1"/>
  <c r="S428" i="76" s="1"/>
  <c r="L427" i="76"/>
  <c r="R427" i="76" s="1"/>
  <c r="S427" i="76" s="1"/>
  <c r="AG427" i="76"/>
  <c r="AG425" i="76"/>
  <c r="L425" i="76"/>
  <c r="R425" i="76" s="1"/>
  <c r="S425" i="76" s="1"/>
  <c r="AG426" i="76"/>
  <c r="L426" i="76"/>
  <c r="R426" i="76" s="1"/>
  <c r="S426" i="76" s="1"/>
  <c r="AG430" i="76"/>
  <c r="L430" i="76"/>
  <c r="R430" i="76" s="1"/>
  <c r="S430" i="76" s="1"/>
  <c r="L431" i="76"/>
  <c r="R431" i="76" s="1"/>
  <c r="S431" i="76" s="1"/>
  <c r="AG431" i="76"/>
  <c r="S290" i="76"/>
  <c r="R192" i="76"/>
  <c r="S192" i="76" s="1"/>
  <c r="S215" i="76"/>
  <c r="S239" i="76"/>
  <c r="R291" i="76"/>
  <c r="S291" i="76" s="1"/>
  <c r="S249" i="76"/>
  <c r="N219" i="76"/>
  <c r="R139" i="76"/>
  <c r="S139" i="76" s="1"/>
  <c r="S240" i="76"/>
  <c r="R263" i="76"/>
  <c r="S263" i="76" s="1"/>
  <c r="R311" i="76"/>
  <c r="S311" i="76" s="1"/>
  <c r="R191" i="76"/>
  <c r="S313" i="76"/>
  <c r="R314" i="76"/>
  <c r="S314" i="76" s="1"/>
  <c r="S191" i="76" l="1"/>
  <c r="I1026" i="58" l="1"/>
  <c r="Q74" i="11"/>
  <c r="B75" i="11"/>
  <c r="T74" i="11"/>
  <c r="S74" i="11"/>
  <c r="R74" i="11"/>
  <c r="P74" i="11"/>
  <c r="B74" i="11"/>
  <c r="B1001" i="58"/>
  <c r="L969" i="58"/>
  <c r="L929" i="58"/>
  <c r="L908" i="58"/>
  <c r="L887" i="58"/>
  <c r="L866" i="58"/>
  <c r="L825" i="58"/>
  <c r="L1278" i="58"/>
  <c r="L759" i="58"/>
  <c r="L717" i="58"/>
  <c r="L758" i="58" s="1"/>
  <c r="L718" i="58" l="1"/>
  <c r="L738" i="58"/>
  <c r="L760" i="58"/>
  <c r="L736" i="58"/>
  <c r="L657" i="58"/>
  <c r="L638" i="58"/>
  <c r="L576" i="58"/>
  <c r="L549" i="58"/>
  <c r="L1049" i="58"/>
  <c r="L1027" i="58"/>
  <c r="L930" i="58"/>
  <c r="L909" i="58"/>
  <c r="L888" i="58"/>
  <c r="L867" i="58"/>
  <c r="L847" i="58"/>
  <c r="L826" i="58"/>
  <c r="L804" i="58"/>
  <c r="L578" i="58"/>
  <c r="L551" i="58"/>
  <c r="L389" i="58"/>
  <c r="L368" i="58"/>
  <c r="L331" i="58"/>
  <c r="L312" i="58"/>
  <c r="L292" i="58"/>
  <c r="L273" i="58"/>
  <c r="L253" i="58"/>
  <c r="L212" i="58"/>
  <c r="L35" i="58"/>
  <c r="X223" i="75" l="1"/>
  <c r="X222" i="75"/>
  <c r="X221" i="75"/>
  <c r="X220" i="75"/>
  <c r="X219" i="75"/>
  <c r="X218" i="75"/>
  <c r="X217" i="75"/>
  <c r="X216" i="75"/>
  <c r="X215" i="75"/>
  <c r="X214" i="75"/>
  <c r="X213" i="75"/>
  <c r="X212" i="75"/>
  <c r="X211" i="75"/>
  <c r="X210" i="75"/>
  <c r="X209" i="75"/>
  <c r="X208" i="75"/>
  <c r="X207" i="75"/>
  <c r="X206" i="75"/>
  <c r="X205" i="75"/>
  <c r="X204" i="75"/>
  <c r="X203" i="75"/>
  <c r="X202" i="75"/>
  <c r="X201" i="75"/>
  <c r="X200" i="75"/>
  <c r="X199" i="75"/>
  <c r="X198" i="75"/>
  <c r="X197" i="75"/>
  <c r="X196" i="75"/>
  <c r="X195" i="75"/>
  <c r="X194" i="75"/>
  <c r="X193" i="75"/>
  <c r="X192" i="75"/>
  <c r="X191" i="75"/>
  <c r="X190" i="75"/>
  <c r="X189" i="75"/>
  <c r="X188" i="75"/>
  <c r="X187" i="75"/>
  <c r="X186" i="75"/>
  <c r="X185" i="75"/>
  <c r="X184" i="75"/>
  <c r="X183" i="75"/>
  <c r="X182" i="75"/>
  <c r="X181" i="75"/>
  <c r="X180" i="75"/>
  <c r="X179" i="75"/>
  <c r="X178" i="75"/>
  <c r="X177" i="75"/>
  <c r="X176" i="75"/>
  <c r="X175" i="75"/>
  <c r="X174" i="75"/>
  <c r="X173" i="75"/>
  <c r="X172" i="75"/>
  <c r="X171" i="75"/>
  <c r="X170" i="75"/>
  <c r="X169" i="75"/>
  <c r="X168" i="75"/>
  <c r="X167" i="75"/>
  <c r="X166" i="75"/>
  <c r="X165" i="75"/>
  <c r="X164" i="75"/>
  <c r="X163" i="75"/>
  <c r="X162" i="75"/>
  <c r="X161" i="75"/>
  <c r="X160" i="75"/>
  <c r="X159" i="75"/>
  <c r="X158" i="75"/>
  <c r="X157" i="75"/>
  <c r="X156" i="75"/>
  <c r="X155" i="75"/>
  <c r="X154" i="75"/>
  <c r="X153" i="75"/>
  <c r="X152" i="75"/>
  <c r="X151" i="75"/>
  <c r="X150" i="75"/>
  <c r="X149" i="75"/>
  <c r="X148" i="75"/>
  <c r="X147" i="75"/>
  <c r="X146" i="75"/>
  <c r="X145" i="75"/>
  <c r="X144" i="75"/>
  <c r="X143" i="75"/>
  <c r="X142" i="75"/>
  <c r="X141" i="75"/>
  <c r="X140" i="75"/>
  <c r="X139" i="75"/>
  <c r="X138" i="75"/>
  <c r="X137" i="75"/>
  <c r="X136" i="75"/>
  <c r="X135" i="75"/>
  <c r="X134" i="75"/>
  <c r="X133" i="75"/>
  <c r="X132" i="75"/>
  <c r="X131" i="75"/>
  <c r="X130" i="75"/>
  <c r="X129" i="75"/>
  <c r="X128" i="75"/>
  <c r="X127" i="75"/>
  <c r="X126" i="75"/>
  <c r="X125" i="75"/>
  <c r="X124" i="75"/>
  <c r="X123" i="75"/>
  <c r="X122" i="75"/>
  <c r="X121" i="75"/>
  <c r="X120" i="75"/>
  <c r="X119" i="75"/>
  <c r="X118" i="75"/>
  <c r="X117" i="75"/>
  <c r="X116" i="75"/>
  <c r="X115" i="75"/>
  <c r="X114" i="75"/>
  <c r="X113" i="75"/>
  <c r="X112" i="75"/>
  <c r="X111" i="75"/>
  <c r="X110" i="75"/>
  <c r="X109" i="75"/>
  <c r="X108" i="75"/>
  <c r="X107" i="75"/>
  <c r="X106" i="75"/>
  <c r="X105" i="75"/>
  <c r="X104" i="75"/>
  <c r="X103" i="75"/>
  <c r="X102" i="75"/>
  <c r="X101" i="75"/>
  <c r="X100" i="75"/>
  <c r="X99" i="75"/>
  <c r="X98" i="75"/>
  <c r="X97" i="75"/>
  <c r="X96" i="75"/>
  <c r="X95" i="75"/>
  <c r="X94" i="75"/>
  <c r="X93" i="75"/>
  <c r="X92" i="75"/>
  <c r="X91" i="75"/>
  <c r="X90" i="75"/>
  <c r="X89" i="75"/>
  <c r="X88" i="75"/>
  <c r="X87" i="75"/>
  <c r="X86" i="75"/>
  <c r="X85" i="75"/>
  <c r="X84" i="75"/>
  <c r="X83" i="75"/>
  <c r="X82" i="75"/>
  <c r="X81" i="75"/>
  <c r="X80" i="75"/>
  <c r="X79" i="75"/>
  <c r="X78" i="75"/>
  <c r="X77" i="75"/>
  <c r="X76" i="75"/>
  <c r="X75" i="75"/>
  <c r="X74" i="75"/>
  <c r="X73" i="75"/>
  <c r="X72" i="75"/>
  <c r="X71" i="75"/>
  <c r="X70" i="75"/>
  <c r="X69" i="75"/>
  <c r="X68" i="75"/>
  <c r="X67" i="75"/>
  <c r="X66" i="75"/>
  <c r="X65" i="75"/>
  <c r="X64" i="75"/>
  <c r="X63" i="75"/>
  <c r="X62" i="75"/>
  <c r="X61" i="75"/>
  <c r="X60" i="75"/>
  <c r="X59" i="75"/>
  <c r="X58" i="75"/>
  <c r="X57" i="75"/>
  <c r="X56" i="75"/>
  <c r="X55" i="75"/>
  <c r="X54" i="75"/>
  <c r="X53" i="75"/>
  <c r="X52" i="75"/>
  <c r="X51" i="75"/>
  <c r="X50" i="75"/>
  <c r="X49" i="75"/>
  <c r="X48" i="75"/>
  <c r="X47" i="75"/>
  <c r="X46" i="75"/>
  <c r="X45" i="75"/>
  <c r="X44" i="75"/>
  <c r="X43" i="75"/>
  <c r="X42" i="75"/>
  <c r="X41" i="75"/>
  <c r="X40" i="75"/>
  <c r="X39" i="75"/>
  <c r="X38" i="75"/>
  <c r="X37" i="75"/>
  <c r="X36" i="75"/>
  <c r="X35" i="75"/>
  <c r="X34" i="75"/>
  <c r="X33" i="75"/>
  <c r="X32" i="75"/>
  <c r="X31" i="75"/>
  <c r="X30" i="75"/>
  <c r="X29" i="75"/>
  <c r="X28" i="75"/>
  <c r="X27" i="75"/>
  <c r="X26" i="75"/>
  <c r="X25" i="75"/>
  <c r="X24" i="75"/>
  <c r="X23" i="75"/>
  <c r="X22" i="75"/>
  <c r="X21" i="75"/>
  <c r="X20" i="75"/>
  <c r="X19" i="75"/>
  <c r="X18" i="75"/>
  <c r="X17" i="75"/>
  <c r="X16" i="75"/>
  <c r="M244" i="75"/>
  <c r="M243" i="75"/>
  <c r="M233" i="75"/>
  <c r="M232" i="75"/>
  <c r="G223" i="75"/>
  <c r="G221" i="75"/>
  <c r="G220" i="75"/>
  <c r="G219" i="75"/>
  <c r="G218" i="75"/>
  <c r="G217" i="75"/>
  <c r="G216" i="75"/>
  <c r="G215" i="75"/>
  <c r="G214" i="75"/>
  <c r="G213" i="75"/>
  <c r="G212" i="75"/>
  <c r="G211" i="75"/>
  <c r="G210" i="75"/>
  <c r="G209" i="75"/>
  <c r="G208" i="75"/>
  <c r="G207" i="75"/>
  <c r="G206" i="75"/>
  <c r="G205" i="75"/>
  <c r="G204" i="75"/>
  <c r="G203" i="75"/>
  <c r="B203" i="75"/>
  <c r="B204" i="75" s="1"/>
  <c r="B205" i="75" s="1"/>
  <c r="B206" i="75" s="1"/>
  <c r="B207" i="75" s="1"/>
  <c r="B208" i="75" s="1"/>
  <c r="B209" i="75" s="1"/>
  <c r="B210" i="75" s="1"/>
  <c r="B211" i="75" s="1"/>
  <c r="B212" i="75" s="1"/>
  <c r="B213" i="75" s="1"/>
  <c r="B214" i="75" s="1"/>
  <c r="B215" i="75" s="1"/>
  <c r="B216" i="75" s="1"/>
  <c r="B217" i="75" s="1"/>
  <c r="B218" i="75" s="1"/>
  <c r="B219" i="75" s="1"/>
  <c r="B220" i="75" s="1"/>
  <c r="B221" i="75" s="1"/>
  <c r="G202" i="75"/>
  <c r="G201" i="75"/>
  <c r="G200" i="75"/>
  <c r="G199" i="75"/>
  <c r="G198" i="75"/>
  <c r="G197" i="75"/>
  <c r="G196" i="75"/>
  <c r="G195" i="75"/>
  <c r="G194" i="75"/>
  <c r="G193" i="75"/>
  <c r="G192" i="75"/>
  <c r="G191" i="75"/>
  <c r="G190" i="75"/>
  <c r="G189" i="75"/>
  <c r="G188" i="75"/>
  <c r="G187" i="75"/>
  <c r="G186" i="75"/>
  <c r="G185" i="75"/>
  <c r="G184" i="75"/>
  <c r="G183" i="75"/>
  <c r="B183" i="75"/>
  <c r="B184" i="75" s="1"/>
  <c r="B185" i="75" s="1"/>
  <c r="B186" i="75" s="1"/>
  <c r="B187" i="75" s="1"/>
  <c r="B188" i="75" s="1"/>
  <c r="B189" i="75" s="1"/>
  <c r="B190" i="75" s="1"/>
  <c r="B191" i="75" s="1"/>
  <c r="B192" i="75" s="1"/>
  <c r="B193" i="75" s="1"/>
  <c r="B194" i="75" s="1"/>
  <c r="B195" i="75" s="1"/>
  <c r="B196" i="75" s="1"/>
  <c r="B197" i="75" s="1"/>
  <c r="B198" i="75" s="1"/>
  <c r="B199" i="75" s="1"/>
  <c r="B200" i="75" s="1"/>
  <c r="B201" i="75" s="1"/>
  <c r="G182" i="75"/>
  <c r="G181" i="75"/>
  <c r="G180" i="75"/>
  <c r="G179" i="75"/>
  <c r="G178" i="75"/>
  <c r="G177" i="75"/>
  <c r="G176" i="75"/>
  <c r="B176" i="75"/>
  <c r="B177" i="75" s="1"/>
  <c r="B178" i="75" s="1"/>
  <c r="B179" i="75" s="1"/>
  <c r="B180" i="75" s="1"/>
  <c r="G175" i="75"/>
  <c r="G174" i="75"/>
  <c r="G173" i="75"/>
  <c r="G172" i="75"/>
  <c r="G171" i="75"/>
  <c r="B171" i="75"/>
  <c r="B172" i="75" s="1"/>
  <c r="G170" i="75"/>
  <c r="G169" i="75"/>
  <c r="G168" i="75"/>
  <c r="G167" i="75"/>
  <c r="B167" i="75"/>
  <c r="B168" i="75" s="1"/>
  <c r="B169" i="75" s="1"/>
  <c r="G166" i="75"/>
  <c r="G164" i="75"/>
  <c r="G163" i="75"/>
  <c r="G162" i="75"/>
  <c r="G161" i="75"/>
  <c r="Z160" i="75"/>
  <c r="G160" i="75"/>
  <c r="B160" i="75"/>
  <c r="B161" i="75" s="1"/>
  <c r="B162" i="75" s="1"/>
  <c r="B163" i="75" s="1"/>
  <c r="B164" i="75" s="1"/>
  <c r="B165" i="75" s="1"/>
  <c r="G159" i="75"/>
  <c r="G158" i="75"/>
  <c r="G157" i="75"/>
  <c r="G156" i="75"/>
  <c r="B156" i="75"/>
  <c r="B157" i="75" s="1"/>
  <c r="G155" i="75"/>
  <c r="G154" i="75"/>
  <c r="G153" i="75"/>
  <c r="G152" i="75"/>
  <c r="B152" i="75"/>
  <c r="B153" i="75" s="1"/>
  <c r="B154" i="75" s="1"/>
  <c r="G151" i="75"/>
  <c r="G150" i="75"/>
  <c r="AA149" i="75"/>
  <c r="AB149" i="75" s="1"/>
  <c r="AC149" i="75" s="1"/>
  <c r="G149" i="75"/>
  <c r="G148" i="75"/>
  <c r="G147" i="75"/>
  <c r="B147" i="75"/>
  <c r="B148" i="75" s="1"/>
  <c r="B149" i="75" s="1"/>
  <c r="G146" i="75"/>
  <c r="G145" i="75"/>
  <c r="G144" i="75"/>
  <c r="B144" i="75"/>
  <c r="B145" i="75" s="1"/>
  <c r="G143" i="75"/>
  <c r="G142" i="75"/>
  <c r="G141" i="75"/>
  <c r="G140" i="75"/>
  <c r="G139" i="75"/>
  <c r="G138" i="75"/>
  <c r="B138" i="75"/>
  <c r="B139" i="75" s="1"/>
  <c r="B140" i="75" s="1"/>
  <c r="B141" i="75" s="1"/>
  <c r="B142" i="75" s="1"/>
  <c r="G137" i="75"/>
  <c r="G136" i="75"/>
  <c r="G135" i="75"/>
  <c r="G134" i="75"/>
  <c r="G133" i="75"/>
  <c r="B132" i="75"/>
  <c r="B133" i="75" s="1"/>
  <c r="B134" i="75" s="1"/>
  <c r="B135" i="75" s="1"/>
  <c r="B136" i="75" s="1"/>
  <c r="B137" i="75" s="1"/>
  <c r="G130" i="75"/>
  <c r="G128" i="75"/>
  <c r="B128" i="75"/>
  <c r="B129" i="75" s="1"/>
  <c r="B130" i="75" s="1"/>
  <c r="G127" i="75"/>
  <c r="B126" i="75"/>
  <c r="G125" i="75"/>
  <c r="G124" i="75"/>
  <c r="G123" i="75"/>
  <c r="G122" i="75"/>
  <c r="B122" i="75"/>
  <c r="B123" i="75" s="1"/>
  <c r="B124" i="75" s="1"/>
  <c r="B125" i="75" s="1"/>
  <c r="G121" i="75"/>
  <c r="G120" i="75"/>
  <c r="G119" i="75"/>
  <c r="G118" i="75"/>
  <c r="G117" i="75"/>
  <c r="B117" i="75"/>
  <c r="B118" i="75" s="1"/>
  <c r="B119" i="75" s="1"/>
  <c r="B120" i="75" s="1"/>
  <c r="G116" i="75"/>
  <c r="G115" i="75"/>
  <c r="G114" i="75"/>
  <c r="G113" i="75"/>
  <c r="G112" i="75"/>
  <c r="B112" i="75"/>
  <c r="B113" i="75" s="1"/>
  <c r="B114" i="75" s="1"/>
  <c r="B115" i="75" s="1"/>
  <c r="G111" i="75"/>
  <c r="D111" i="75"/>
  <c r="G110" i="75"/>
  <c r="G109" i="75"/>
  <c r="G108" i="75"/>
  <c r="G107" i="75"/>
  <c r="G105" i="75"/>
  <c r="G104" i="75"/>
  <c r="G103" i="75"/>
  <c r="B103" i="75"/>
  <c r="B104" i="75" s="1"/>
  <c r="B105" i="75" s="1"/>
  <c r="B106" i="75" s="1"/>
  <c r="B107" i="75" s="1"/>
  <c r="B108" i="75" s="1"/>
  <c r="B109" i="75" s="1"/>
  <c r="B110" i="75" s="1"/>
  <c r="G102" i="75"/>
  <c r="G101" i="75"/>
  <c r="G100" i="75"/>
  <c r="G99" i="75"/>
  <c r="G98" i="75"/>
  <c r="B98" i="75"/>
  <c r="B99" i="75" s="1"/>
  <c r="B100" i="75" s="1"/>
  <c r="B101" i="75" s="1"/>
  <c r="G97" i="75"/>
  <c r="G96" i="75"/>
  <c r="G95" i="75"/>
  <c r="G94" i="75"/>
  <c r="G93" i="75"/>
  <c r="B93" i="75"/>
  <c r="B94" i="75" s="1"/>
  <c r="B95" i="75" s="1"/>
  <c r="B96" i="75" s="1"/>
  <c r="G92" i="75"/>
  <c r="G91" i="75"/>
  <c r="B91" i="75"/>
  <c r="G90" i="75"/>
  <c r="G89" i="75"/>
  <c r="G88" i="75"/>
  <c r="B88" i="75"/>
  <c r="B89" i="75" s="1"/>
  <c r="G87" i="75"/>
  <c r="G86" i="75"/>
  <c r="G85" i="75"/>
  <c r="B85" i="75"/>
  <c r="B86" i="75" s="1"/>
  <c r="G84" i="75"/>
  <c r="G83" i="75"/>
  <c r="G82" i="75"/>
  <c r="B82" i="75"/>
  <c r="B83" i="75" s="1"/>
  <c r="G81" i="75"/>
  <c r="G80" i="75"/>
  <c r="G79" i="75"/>
  <c r="B79" i="75"/>
  <c r="B80" i="75" s="1"/>
  <c r="G78" i="75"/>
  <c r="G77" i="75"/>
  <c r="G76" i="75"/>
  <c r="B76" i="75"/>
  <c r="B77" i="75" s="1"/>
  <c r="G75" i="75"/>
  <c r="G74" i="75"/>
  <c r="G73" i="75"/>
  <c r="B73" i="75"/>
  <c r="B74" i="75" s="1"/>
  <c r="G72" i="75"/>
  <c r="G71" i="75"/>
  <c r="G70" i="75"/>
  <c r="B70" i="75"/>
  <c r="B71" i="75" s="1"/>
  <c r="G69" i="75"/>
  <c r="G68" i="75"/>
  <c r="G67" i="75"/>
  <c r="B67" i="75"/>
  <c r="B68" i="75" s="1"/>
  <c r="G66" i="75"/>
  <c r="G65" i="75"/>
  <c r="G64" i="75"/>
  <c r="B64" i="75"/>
  <c r="B65" i="75" s="1"/>
  <c r="G63" i="75"/>
  <c r="G62" i="75"/>
  <c r="G61" i="75"/>
  <c r="B61" i="75"/>
  <c r="B62" i="75" s="1"/>
  <c r="G60" i="75"/>
  <c r="G59" i="75"/>
  <c r="G58" i="75"/>
  <c r="G57" i="75"/>
  <c r="G56" i="75"/>
  <c r="G55" i="75"/>
  <c r="G54" i="75"/>
  <c r="G53" i="75"/>
  <c r="G52" i="75"/>
  <c r="G51" i="75"/>
  <c r="G50" i="75"/>
  <c r="G49" i="75"/>
  <c r="G48" i="75"/>
  <c r="G47" i="75"/>
  <c r="G46" i="75"/>
  <c r="G45" i="75"/>
  <c r="G44" i="75"/>
  <c r="G43" i="75"/>
  <c r="G42" i="75"/>
  <c r="G41" i="75"/>
  <c r="G40" i="75"/>
  <c r="G39" i="75"/>
  <c r="G38" i="75"/>
  <c r="G37" i="75"/>
  <c r="G36" i="75"/>
  <c r="G35" i="75"/>
  <c r="G34" i="75"/>
  <c r="G33" i="75"/>
  <c r="G32" i="75"/>
  <c r="G31" i="75"/>
  <c r="B31" i="75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4" i="75" s="1"/>
  <c r="B55" i="75" s="1"/>
  <c r="B56" i="75" s="1"/>
  <c r="B57" i="75" s="1"/>
  <c r="B58" i="75" s="1"/>
  <c r="B59" i="75" s="1"/>
  <c r="G30" i="75"/>
  <c r="G29" i="75"/>
  <c r="G28" i="75"/>
  <c r="B28" i="75"/>
  <c r="B29" i="75" s="1"/>
  <c r="G27" i="75"/>
  <c r="G26" i="75"/>
  <c r="G25" i="75"/>
  <c r="G24" i="75"/>
  <c r="G23" i="75"/>
  <c r="B23" i="75"/>
  <c r="B24" i="75" s="1"/>
  <c r="B25" i="75" s="1"/>
  <c r="B26" i="75" s="1"/>
  <c r="G22" i="75"/>
  <c r="G21" i="75"/>
  <c r="G20" i="75"/>
  <c r="G19" i="75"/>
  <c r="G18" i="75"/>
  <c r="G17" i="75"/>
  <c r="B17" i="75"/>
  <c r="B18" i="75" s="1"/>
  <c r="B19" i="75" s="1"/>
  <c r="B20" i="75" s="1"/>
  <c r="B21" i="75" s="1"/>
  <c r="O11" i="75"/>
  <c r="P11" i="75" s="1"/>
  <c r="F4" i="75"/>
  <c r="G129" i="75" l="1"/>
  <c r="P154" i="11"/>
  <c r="Q154" i="11"/>
  <c r="P155" i="11"/>
  <c r="Q155" i="11"/>
  <c r="P156" i="11"/>
  <c r="Q156" i="11"/>
  <c r="P151" i="11"/>
  <c r="R151" i="11"/>
  <c r="S151" i="11"/>
  <c r="T151" i="11"/>
  <c r="I150" i="11"/>
  <c r="P150" i="11"/>
  <c r="R150" i="11"/>
  <c r="S150" i="11"/>
  <c r="T150" i="11"/>
  <c r="P148" i="11"/>
  <c r="R148" i="11"/>
  <c r="S148" i="11"/>
  <c r="T148" i="11"/>
  <c r="P144" i="11"/>
  <c r="R144" i="11"/>
  <c r="S144" i="11"/>
  <c r="T144" i="11"/>
  <c r="P145" i="11"/>
  <c r="Q145" i="11"/>
  <c r="R145" i="11"/>
  <c r="S145" i="11"/>
  <c r="T145" i="11"/>
  <c r="P146" i="11"/>
  <c r="Q146" i="11"/>
  <c r="R146" i="11"/>
  <c r="S146" i="11"/>
  <c r="T146" i="11"/>
  <c r="P147" i="11"/>
  <c r="Q147" i="11"/>
  <c r="R147" i="11"/>
  <c r="S147" i="11"/>
  <c r="T147" i="11"/>
  <c r="P136" i="11"/>
  <c r="R136" i="11"/>
  <c r="S136" i="11"/>
  <c r="T136" i="11"/>
  <c r="I132" i="11"/>
  <c r="P132" i="11"/>
  <c r="R132" i="11"/>
  <c r="S132" i="11"/>
  <c r="T132" i="11"/>
  <c r="P133" i="11"/>
  <c r="R133" i="11"/>
  <c r="S133" i="11"/>
  <c r="T133" i="11"/>
  <c r="P123" i="11"/>
  <c r="R123" i="11"/>
  <c r="S123" i="11"/>
  <c r="T123" i="11"/>
  <c r="P117" i="11"/>
  <c r="R117" i="11"/>
  <c r="S117" i="11"/>
  <c r="T117" i="11"/>
  <c r="P116" i="11"/>
  <c r="R116" i="11"/>
  <c r="S116" i="11"/>
  <c r="T116" i="11"/>
  <c r="P115" i="11"/>
  <c r="R115" i="11"/>
  <c r="S115" i="11"/>
  <c r="T115" i="11"/>
  <c r="P114" i="11"/>
  <c r="R114" i="11"/>
  <c r="S114" i="11"/>
  <c r="T114" i="11"/>
  <c r="P113" i="11"/>
  <c r="R113" i="11"/>
  <c r="S113" i="11"/>
  <c r="T113" i="11"/>
  <c r="P112" i="11"/>
  <c r="R112" i="11"/>
  <c r="S112" i="11"/>
  <c r="T112" i="11"/>
  <c r="P110" i="11"/>
  <c r="R110" i="11"/>
  <c r="S110" i="11"/>
  <c r="T110" i="11"/>
  <c r="P101" i="11"/>
  <c r="R101" i="11"/>
  <c r="S101" i="11"/>
  <c r="T101" i="11"/>
  <c r="P98" i="11"/>
  <c r="R98" i="11"/>
  <c r="S98" i="11"/>
  <c r="T98" i="11"/>
  <c r="P97" i="11"/>
  <c r="R97" i="11"/>
  <c r="S97" i="11"/>
  <c r="T97" i="11"/>
  <c r="P95" i="11"/>
  <c r="R95" i="11"/>
  <c r="S95" i="11"/>
  <c r="T95" i="11"/>
  <c r="I96" i="11"/>
  <c r="P96" i="11"/>
  <c r="R96" i="11"/>
  <c r="S96" i="11"/>
  <c r="T96" i="11"/>
  <c r="P80" i="11"/>
  <c r="R80" i="11"/>
  <c r="S80" i="11"/>
  <c r="T80" i="11"/>
  <c r="P78" i="11"/>
  <c r="R78" i="11"/>
  <c r="S78" i="11"/>
  <c r="T78" i="11"/>
  <c r="P76" i="11"/>
  <c r="R76" i="11"/>
  <c r="S76" i="11"/>
  <c r="T76" i="11"/>
  <c r="P75" i="11"/>
  <c r="Q75" i="11"/>
  <c r="R75" i="11"/>
  <c r="S75" i="11"/>
  <c r="T75" i="11"/>
  <c r="P73" i="11"/>
  <c r="R73" i="11"/>
  <c r="S73" i="11"/>
  <c r="T73" i="11"/>
  <c r="O71" i="11"/>
  <c r="P71" i="11"/>
  <c r="R71" i="11"/>
  <c r="S71" i="11"/>
  <c r="T71" i="11"/>
  <c r="P69" i="11"/>
  <c r="R69" i="11"/>
  <c r="S69" i="11"/>
  <c r="T69" i="11"/>
  <c r="P70" i="11"/>
  <c r="R70" i="11"/>
  <c r="S70" i="11"/>
  <c r="T70" i="11"/>
  <c r="P59" i="11"/>
  <c r="R59" i="11"/>
  <c r="S59" i="11"/>
  <c r="T59" i="11"/>
  <c r="I53" i="11"/>
  <c r="P53" i="11"/>
  <c r="Q53" i="11"/>
  <c r="R53" i="11"/>
  <c r="S53" i="11"/>
  <c r="T53" i="11"/>
  <c r="B11" i="67" l="1"/>
  <c r="I38" i="11" l="1"/>
  <c r="I37" i="11"/>
  <c r="I35" i="11"/>
  <c r="I34" i="11"/>
  <c r="I33" i="11"/>
  <c r="I32" i="11"/>
  <c r="I31" i="11"/>
  <c r="I25" i="11"/>
  <c r="I24" i="11"/>
  <c r="I23" i="11"/>
  <c r="L26" i="70" l="1"/>
  <c r="L25" i="70"/>
  <c r="L24" i="70"/>
  <c r="L23" i="70"/>
  <c r="L22" i="70"/>
  <c r="L21" i="70"/>
  <c r="L20" i="70"/>
  <c r="L19" i="70"/>
  <c r="L18" i="70"/>
  <c r="L17" i="70"/>
  <c r="L16" i="70"/>
  <c r="L15" i="70"/>
  <c r="L14" i="70"/>
  <c r="M226" i="75" l="1"/>
  <c r="M227" i="75" s="1"/>
  <c r="M228" i="75" s="1"/>
  <c r="C2132" i="72"/>
  <c r="C2152" i="72"/>
  <c r="C24" i="72"/>
  <c r="H25" i="72"/>
  <c r="G25" i="72"/>
  <c r="D25" i="72"/>
  <c r="L524" i="58"/>
  <c r="L500" i="58"/>
  <c r="L475" i="58"/>
  <c r="L454" i="58"/>
  <c r="G2164" i="72"/>
  <c r="C2161" i="72"/>
  <c r="H2163" i="72"/>
  <c r="G2163" i="72"/>
  <c r="D2163" i="72"/>
  <c r="H2162" i="72"/>
  <c r="G2162" i="72"/>
  <c r="D2162" i="72"/>
  <c r="K2160" i="72"/>
  <c r="H2160" i="72"/>
  <c r="G2160" i="72"/>
  <c r="D2160" i="72"/>
  <c r="C2159" i="72"/>
  <c r="G2157" i="72"/>
  <c r="H2156" i="72"/>
  <c r="G2156" i="72"/>
  <c r="D2156" i="72"/>
  <c r="H2155" i="72"/>
  <c r="G2155" i="72"/>
  <c r="D2155" i="72"/>
  <c r="H2154" i="72"/>
  <c r="G2154" i="72"/>
  <c r="D2154" i="72"/>
  <c r="H2153" i="72"/>
  <c r="G2153" i="72"/>
  <c r="D2153" i="72"/>
  <c r="K2151" i="72"/>
  <c r="H2151" i="72"/>
  <c r="G2151" i="72"/>
  <c r="D2151" i="72"/>
  <c r="K2150" i="72"/>
  <c r="H2150" i="72"/>
  <c r="G2150" i="72"/>
  <c r="D2150" i="72"/>
  <c r="C2149" i="72"/>
  <c r="K2143" i="72"/>
  <c r="K2141" i="72"/>
  <c r="K2139" i="72"/>
  <c r="K2137" i="72"/>
  <c r="H2134" i="72"/>
  <c r="G2134" i="72"/>
  <c r="D2134" i="72"/>
  <c r="H2133" i="72"/>
  <c r="G2133" i="72"/>
  <c r="D2133" i="72"/>
  <c r="K2131" i="72"/>
  <c r="H2131" i="72"/>
  <c r="G2131" i="72"/>
  <c r="D2131" i="72"/>
  <c r="K2130" i="72"/>
  <c r="H2130" i="72"/>
  <c r="G2130" i="72"/>
  <c r="D2130" i="72"/>
  <c r="C2129" i="72"/>
  <c r="C2123" i="72"/>
  <c r="H2126" i="72"/>
  <c r="G2126" i="72"/>
  <c r="D2126" i="72"/>
  <c r="H2125" i="72"/>
  <c r="G2125" i="72"/>
  <c r="D2125" i="72"/>
  <c r="H2124" i="72"/>
  <c r="G2124" i="72"/>
  <c r="D2124" i="72"/>
  <c r="K2122" i="72"/>
  <c r="H2122" i="72"/>
  <c r="G2122" i="72"/>
  <c r="D2122" i="72"/>
  <c r="K2121" i="72"/>
  <c r="H2121" i="72"/>
  <c r="G2121" i="72"/>
  <c r="D2121" i="72"/>
  <c r="K2120" i="72"/>
  <c r="H2120" i="72"/>
  <c r="G2120" i="72"/>
  <c r="D2120" i="72"/>
  <c r="N2119" i="72"/>
  <c r="K2119" i="72"/>
  <c r="H2119" i="72"/>
  <c r="G2119" i="72"/>
  <c r="D2119" i="72"/>
  <c r="C2118" i="72"/>
  <c r="C2112" i="72"/>
  <c r="H2115" i="72"/>
  <c r="G2115" i="72"/>
  <c r="D2115" i="72"/>
  <c r="H2114" i="72"/>
  <c r="G2114" i="72"/>
  <c r="D2114" i="72"/>
  <c r="H2113" i="72"/>
  <c r="G2113" i="72"/>
  <c r="D2113" i="72"/>
  <c r="K2111" i="72"/>
  <c r="H2111" i="72"/>
  <c r="G2111" i="72"/>
  <c r="D2111" i="72"/>
  <c r="K2110" i="72"/>
  <c r="H2110" i="72"/>
  <c r="G2110" i="72"/>
  <c r="D2110" i="72"/>
  <c r="C2109" i="72"/>
  <c r="C2103" i="72"/>
  <c r="H2106" i="72"/>
  <c r="G2106" i="72"/>
  <c r="D2106" i="72"/>
  <c r="H2105" i="72"/>
  <c r="G2105" i="72"/>
  <c r="D2105" i="72"/>
  <c r="H2104" i="72"/>
  <c r="G2104" i="72"/>
  <c r="D2104" i="72"/>
  <c r="K2102" i="72"/>
  <c r="H2102" i="72"/>
  <c r="G2102" i="72"/>
  <c r="D2102" i="72"/>
  <c r="K2101" i="72"/>
  <c r="H2101" i="72"/>
  <c r="G2101" i="72"/>
  <c r="D2101" i="72"/>
  <c r="C2100" i="72"/>
  <c r="C2095" i="72"/>
  <c r="H2097" i="72"/>
  <c r="G2097" i="72"/>
  <c r="H2096" i="72"/>
  <c r="G2096" i="72"/>
  <c r="K2094" i="72"/>
  <c r="H2094" i="72"/>
  <c r="G2094" i="72"/>
  <c r="D2094" i="72"/>
  <c r="K2093" i="72"/>
  <c r="H2093" i="72"/>
  <c r="G2093" i="72"/>
  <c r="D2093" i="72"/>
  <c r="C2092" i="72"/>
  <c r="C2087" i="72"/>
  <c r="H2089" i="72"/>
  <c r="G2089" i="72"/>
  <c r="D2089" i="72"/>
  <c r="H2088" i="72"/>
  <c r="G2088" i="72"/>
  <c r="D2088" i="72"/>
  <c r="K2086" i="72"/>
  <c r="H2086" i="72"/>
  <c r="G2086" i="72"/>
  <c r="D2086" i="72"/>
  <c r="K2085" i="72"/>
  <c r="H2085" i="72"/>
  <c r="G2085" i="72"/>
  <c r="D2085" i="72"/>
  <c r="C2084" i="72"/>
  <c r="C2079" i="72"/>
  <c r="H2081" i="72"/>
  <c r="G2081" i="72"/>
  <c r="D2081" i="72"/>
  <c r="H2080" i="72"/>
  <c r="G2080" i="72"/>
  <c r="D2080" i="72"/>
  <c r="K2078" i="72"/>
  <c r="H2078" i="72"/>
  <c r="G2078" i="72"/>
  <c r="D2078" i="72"/>
  <c r="K2077" i="72"/>
  <c r="H2077" i="72"/>
  <c r="G2077" i="72"/>
  <c r="D2077" i="72"/>
  <c r="C2076" i="72"/>
  <c r="C2071" i="72"/>
  <c r="H2073" i="72"/>
  <c r="G2073" i="72"/>
  <c r="D2073" i="72"/>
  <c r="H2072" i="72"/>
  <c r="G2072" i="72"/>
  <c r="D2072" i="72"/>
  <c r="K2070" i="72"/>
  <c r="H2070" i="72"/>
  <c r="G2070" i="72"/>
  <c r="D2070" i="72"/>
  <c r="K2069" i="72"/>
  <c r="H2069" i="72"/>
  <c r="G2069" i="72"/>
  <c r="D2069" i="72"/>
  <c r="C2068" i="72"/>
  <c r="C2063" i="72"/>
  <c r="H2065" i="72"/>
  <c r="G2065" i="72"/>
  <c r="D2065" i="72"/>
  <c r="H2064" i="72"/>
  <c r="G2064" i="72"/>
  <c r="D2064" i="72"/>
  <c r="K2062" i="72"/>
  <c r="H2062" i="72"/>
  <c r="G2062" i="72"/>
  <c r="D2062" i="72"/>
  <c r="K2061" i="72"/>
  <c r="H2061" i="72"/>
  <c r="G2061" i="72"/>
  <c r="D2061" i="72"/>
  <c r="C2060" i="72"/>
  <c r="C2055" i="72"/>
  <c r="H2057" i="72"/>
  <c r="G2057" i="72"/>
  <c r="D2057" i="72"/>
  <c r="H2056" i="72"/>
  <c r="G2056" i="72"/>
  <c r="D2056" i="72"/>
  <c r="K2054" i="72"/>
  <c r="H2054" i="72"/>
  <c r="G2054" i="72"/>
  <c r="D2054" i="72"/>
  <c r="K2053" i="72"/>
  <c r="H2053" i="72"/>
  <c r="G2053" i="72"/>
  <c r="D2053" i="72"/>
  <c r="C2052" i="72"/>
  <c r="C2046" i="72"/>
  <c r="H2049" i="72"/>
  <c r="G2049" i="72"/>
  <c r="D2049" i="72"/>
  <c r="H2048" i="72"/>
  <c r="G2048" i="72"/>
  <c r="D2048" i="72"/>
  <c r="H2047" i="72"/>
  <c r="G2047" i="72"/>
  <c r="D2047" i="72"/>
  <c r="K2045" i="72"/>
  <c r="H2045" i="72"/>
  <c r="G2045" i="72"/>
  <c r="D2045" i="72"/>
  <c r="K2044" i="72"/>
  <c r="H2044" i="72"/>
  <c r="G2044" i="72"/>
  <c r="D2044" i="72"/>
  <c r="C2043" i="72"/>
  <c r="C2037" i="72"/>
  <c r="H2040" i="72"/>
  <c r="G2040" i="72"/>
  <c r="D2040" i="72"/>
  <c r="H2039" i="72"/>
  <c r="G2039" i="72"/>
  <c r="D2039" i="72"/>
  <c r="H2038" i="72"/>
  <c r="G2038" i="72"/>
  <c r="D2038" i="72"/>
  <c r="K2036" i="72"/>
  <c r="H2036" i="72"/>
  <c r="G2036" i="72"/>
  <c r="D2036" i="72"/>
  <c r="K2035" i="72"/>
  <c r="H2035" i="72"/>
  <c r="G2035" i="72"/>
  <c r="D2035" i="72"/>
  <c r="C2034" i="72"/>
  <c r="C2028" i="72"/>
  <c r="H2031" i="72"/>
  <c r="G2031" i="72"/>
  <c r="D2031" i="72"/>
  <c r="H2030" i="72"/>
  <c r="G2030" i="72"/>
  <c r="D2030" i="72"/>
  <c r="H2029" i="72"/>
  <c r="G2029" i="72"/>
  <c r="D2029" i="72"/>
  <c r="K2027" i="72"/>
  <c r="H2027" i="72"/>
  <c r="G2027" i="72"/>
  <c r="D2027" i="72"/>
  <c r="K2026" i="72"/>
  <c r="H2026" i="72"/>
  <c r="G2026" i="72"/>
  <c r="D2026" i="72"/>
  <c r="K2025" i="72"/>
  <c r="H2025" i="72"/>
  <c r="G2025" i="72"/>
  <c r="D2025" i="72"/>
  <c r="K2024" i="72"/>
  <c r="H2024" i="72"/>
  <c r="G2024" i="72"/>
  <c r="D2024" i="72"/>
  <c r="C2023" i="72"/>
  <c r="C2017" i="72"/>
  <c r="H2020" i="72"/>
  <c r="G2020" i="72"/>
  <c r="D2020" i="72"/>
  <c r="H2019" i="72"/>
  <c r="G2019" i="72"/>
  <c r="D2019" i="72"/>
  <c r="H2018" i="72"/>
  <c r="G2018" i="72"/>
  <c r="D2018" i="72"/>
  <c r="K2016" i="72"/>
  <c r="H2016" i="72"/>
  <c r="G2016" i="72"/>
  <c r="D2016" i="72"/>
  <c r="K2015" i="72"/>
  <c r="H2015" i="72"/>
  <c r="G2015" i="72"/>
  <c r="D2015" i="72"/>
  <c r="K2014" i="72"/>
  <c r="H2014" i="72"/>
  <c r="G2014" i="72"/>
  <c r="D2014" i="72"/>
  <c r="K2013" i="72"/>
  <c r="H2013" i="72"/>
  <c r="G2013" i="72"/>
  <c r="D2013" i="72"/>
  <c r="C2012" i="72"/>
  <c r="C2006" i="72"/>
  <c r="H2009" i="72"/>
  <c r="G2009" i="72"/>
  <c r="D2009" i="72"/>
  <c r="H2008" i="72"/>
  <c r="G2008" i="72"/>
  <c r="D2008" i="72"/>
  <c r="H2007" i="72"/>
  <c r="G2007" i="72"/>
  <c r="D2007" i="72"/>
  <c r="K2005" i="72"/>
  <c r="H2005" i="72"/>
  <c r="G2005" i="72"/>
  <c r="D2005" i="72"/>
  <c r="K2004" i="72"/>
  <c r="H2004" i="72"/>
  <c r="G2004" i="72"/>
  <c r="D2004" i="72"/>
  <c r="K2003" i="72"/>
  <c r="H2003" i="72"/>
  <c r="G2003" i="72"/>
  <c r="D2003" i="72"/>
  <c r="K2002" i="72"/>
  <c r="H2002" i="72"/>
  <c r="G2002" i="72"/>
  <c r="D2002" i="72"/>
  <c r="C2001" i="72"/>
  <c r="G1999" i="72"/>
  <c r="C1995" i="72"/>
  <c r="H1998" i="72"/>
  <c r="G1998" i="72"/>
  <c r="D1998" i="72"/>
  <c r="H1997" i="72"/>
  <c r="G1997" i="72"/>
  <c r="D1997" i="72"/>
  <c r="H1996" i="72"/>
  <c r="G1996" i="72"/>
  <c r="D1996" i="72"/>
  <c r="K1994" i="72"/>
  <c r="H1994" i="72"/>
  <c r="G1994" i="72"/>
  <c r="D1994" i="72"/>
  <c r="K1993" i="72"/>
  <c r="H1993" i="72"/>
  <c r="G1993" i="72"/>
  <c r="D1993" i="72"/>
  <c r="C1992" i="72"/>
  <c r="C1986" i="72"/>
  <c r="H1988" i="72"/>
  <c r="G1988" i="72"/>
  <c r="D1988" i="72"/>
  <c r="H1987" i="72"/>
  <c r="G1987" i="72"/>
  <c r="D1987" i="72"/>
  <c r="K1985" i="72"/>
  <c r="H1985" i="72"/>
  <c r="G1985" i="72"/>
  <c r="D1985" i="72"/>
  <c r="K1984" i="72"/>
  <c r="H1984" i="72"/>
  <c r="G1984" i="72"/>
  <c r="D1984" i="72"/>
  <c r="C1983" i="72"/>
  <c r="K1981" i="72"/>
  <c r="K1979" i="72"/>
  <c r="C1973" i="72"/>
  <c r="H1976" i="72"/>
  <c r="G1976" i="72"/>
  <c r="D1976" i="72"/>
  <c r="H1975" i="72"/>
  <c r="G1975" i="72"/>
  <c r="D1975" i="72"/>
  <c r="H1974" i="72"/>
  <c r="G1974" i="72"/>
  <c r="D1974" i="72"/>
  <c r="K1972" i="72"/>
  <c r="H1972" i="72"/>
  <c r="G1972" i="72"/>
  <c r="D1972" i="72"/>
  <c r="K1971" i="72"/>
  <c r="H1971" i="72"/>
  <c r="G1971" i="72"/>
  <c r="D1971" i="72"/>
  <c r="K1970" i="72"/>
  <c r="H1970" i="72"/>
  <c r="G1970" i="72"/>
  <c r="D1970" i="72"/>
  <c r="N1969" i="72"/>
  <c r="K1969" i="72"/>
  <c r="H1969" i="72"/>
  <c r="G1969" i="72"/>
  <c r="D1969" i="72"/>
  <c r="C1968" i="72"/>
  <c r="C1962" i="72"/>
  <c r="H1965" i="72"/>
  <c r="G1965" i="72"/>
  <c r="D1965" i="72"/>
  <c r="H1964" i="72"/>
  <c r="G1964" i="72"/>
  <c r="D1964" i="72"/>
  <c r="H1963" i="72"/>
  <c r="G1963" i="72"/>
  <c r="D1963" i="72"/>
  <c r="K1961" i="72"/>
  <c r="H1961" i="72"/>
  <c r="G1961" i="72"/>
  <c r="D1961" i="72"/>
  <c r="K1960" i="72"/>
  <c r="H1960" i="72"/>
  <c r="G1960" i="72"/>
  <c r="D1960" i="72"/>
  <c r="K1959" i="72"/>
  <c r="H1959" i="72"/>
  <c r="G1959" i="72"/>
  <c r="D1959" i="72"/>
  <c r="C1958" i="72"/>
  <c r="C1952" i="72"/>
  <c r="H1955" i="72"/>
  <c r="G1955" i="72"/>
  <c r="D1955" i="72"/>
  <c r="H1954" i="72"/>
  <c r="G1954" i="72"/>
  <c r="D1954" i="72"/>
  <c r="H1953" i="72"/>
  <c r="G1953" i="72"/>
  <c r="D1953" i="72"/>
  <c r="K1951" i="72"/>
  <c r="H1951" i="72"/>
  <c r="G1951" i="72"/>
  <c r="D1951" i="72"/>
  <c r="K1950" i="72"/>
  <c r="H1950" i="72"/>
  <c r="G1950" i="72"/>
  <c r="D1950" i="72"/>
  <c r="C1949" i="72"/>
  <c r="C1943" i="72"/>
  <c r="H1946" i="72"/>
  <c r="G1946" i="72"/>
  <c r="D1946" i="72"/>
  <c r="H1945" i="72"/>
  <c r="G1945" i="72"/>
  <c r="D1945" i="72"/>
  <c r="H1944" i="72"/>
  <c r="G1944" i="72"/>
  <c r="D1944" i="72"/>
  <c r="K1942" i="72"/>
  <c r="H1942" i="72"/>
  <c r="G1942" i="72"/>
  <c r="D1942" i="72"/>
  <c r="K1941" i="72"/>
  <c r="H1941" i="72"/>
  <c r="G1941" i="72"/>
  <c r="D1941" i="72"/>
  <c r="C1940" i="72"/>
  <c r="C1935" i="72"/>
  <c r="H1937" i="72"/>
  <c r="G1937" i="72"/>
  <c r="H1936" i="72"/>
  <c r="G1936" i="72"/>
  <c r="K1934" i="72"/>
  <c r="H1934" i="72"/>
  <c r="G1934" i="72"/>
  <c r="D1934" i="72"/>
  <c r="K1933" i="72"/>
  <c r="H1933" i="72"/>
  <c r="G1933" i="72"/>
  <c r="D1933" i="72"/>
  <c r="C1932" i="72"/>
  <c r="C1927" i="72"/>
  <c r="H1929" i="72"/>
  <c r="G1929" i="72"/>
  <c r="D1929" i="72"/>
  <c r="H1928" i="72"/>
  <c r="G1928" i="72"/>
  <c r="D1928" i="72"/>
  <c r="K1926" i="72"/>
  <c r="H1926" i="72"/>
  <c r="G1926" i="72"/>
  <c r="D1926" i="72"/>
  <c r="K1925" i="72"/>
  <c r="H1925" i="72"/>
  <c r="G1925" i="72"/>
  <c r="D1925" i="72"/>
  <c r="C1924" i="72"/>
  <c r="C1919" i="72"/>
  <c r="H1921" i="72"/>
  <c r="G1921" i="72"/>
  <c r="D1921" i="72"/>
  <c r="H1920" i="72"/>
  <c r="G1920" i="72"/>
  <c r="D1920" i="72"/>
  <c r="K1918" i="72"/>
  <c r="H1918" i="72"/>
  <c r="G1918" i="72"/>
  <c r="D1918" i="72"/>
  <c r="K1917" i="72"/>
  <c r="H1917" i="72"/>
  <c r="G1917" i="72"/>
  <c r="D1917" i="72"/>
  <c r="C1916" i="72"/>
  <c r="C1911" i="72"/>
  <c r="H1913" i="72"/>
  <c r="G1913" i="72"/>
  <c r="D1913" i="72"/>
  <c r="H1912" i="72"/>
  <c r="G1912" i="72"/>
  <c r="D1912" i="72"/>
  <c r="K1910" i="72"/>
  <c r="H1910" i="72"/>
  <c r="G1910" i="72"/>
  <c r="D1910" i="72"/>
  <c r="K1909" i="72"/>
  <c r="H1909" i="72"/>
  <c r="G1909" i="72"/>
  <c r="D1909" i="72"/>
  <c r="C1908" i="72"/>
  <c r="C1903" i="72"/>
  <c r="H1905" i="72"/>
  <c r="G1905" i="72"/>
  <c r="D1905" i="72"/>
  <c r="H1904" i="72"/>
  <c r="G1904" i="72"/>
  <c r="D1904" i="72"/>
  <c r="K1902" i="72"/>
  <c r="H1902" i="72"/>
  <c r="G1902" i="72"/>
  <c r="D1902" i="72"/>
  <c r="K1901" i="72"/>
  <c r="H1901" i="72"/>
  <c r="G1901" i="72"/>
  <c r="D1901" i="72"/>
  <c r="C1900" i="72"/>
  <c r="C1895" i="72"/>
  <c r="H1897" i="72"/>
  <c r="G1897" i="72"/>
  <c r="D1897" i="72"/>
  <c r="H1896" i="72"/>
  <c r="G1896" i="72"/>
  <c r="D1896" i="72"/>
  <c r="K1894" i="72"/>
  <c r="H1894" i="72"/>
  <c r="G1894" i="72"/>
  <c r="D1894" i="72"/>
  <c r="K1893" i="72"/>
  <c r="H1893" i="72"/>
  <c r="G1893" i="72"/>
  <c r="D1893" i="72"/>
  <c r="C1892" i="72"/>
  <c r="C1886" i="72"/>
  <c r="G1890" i="72"/>
  <c r="H1889" i="72"/>
  <c r="G1889" i="72"/>
  <c r="D1889" i="72"/>
  <c r="H1888" i="72"/>
  <c r="G1888" i="72"/>
  <c r="D1888" i="72"/>
  <c r="H1887" i="72"/>
  <c r="G1887" i="72"/>
  <c r="D1887" i="72"/>
  <c r="K1885" i="72"/>
  <c r="H1885" i="72"/>
  <c r="G1885" i="72"/>
  <c r="D1885" i="72"/>
  <c r="K1884" i="72"/>
  <c r="H1884" i="72"/>
  <c r="G1884" i="72"/>
  <c r="D1884" i="72"/>
  <c r="C1883" i="72"/>
  <c r="C1877" i="72"/>
  <c r="G1881" i="72"/>
  <c r="H1880" i="72"/>
  <c r="G1880" i="72"/>
  <c r="D1880" i="72"/>
  <c r="H1879" i="72"/>
  <c r="G1879" i="72"/>
  <c r="D1879" i="72"/>
  <c r="H1878" i="72"/>
  <c r="G1878" i="72"/>
  <c r="D1878" i="72"/>
  <c r="K1876" i="72"/>
  <c r="H1876" i="72"/>
  <c r="G1876" i="72"/>
  <c r="D1876" i="72"/>
  <c r="K1875" i="72"/>
  <c r="H1875" i="72"/>
  <c r="G1875" i="72"/>
  <c r="D1875" i="72"/>
  <c r="C1874" i="72"/>
  <c r="C1868" i="72"/>
  <c r="H1871" i="72"/>
  <c r="G1871" i="72"/>
  <c r="D1871" i="72"/>
  <c r="H1870" i="72"/>
  <c r="G1870" i="72"/>
  <c r="D1870" i="72"/>
  <c r="H1869" i="72"/>
  <c r="G1869" i="72"/>
  <c r="D1869" i="72"/>
  <c r="K1867" i="72"/>
  <c r="H1867" i="72"/>
  <c r="G1867" i="72"/>
  <c r="D1867" i="72"/>
  <c r="K1866" i="72"/>
  <c r="H1866" i="72"/>
  <c r="G1866" i="72"/>
  <c r="D1866" i="72"/>
  <c r="K1865" i="72"/>
  <c r="H1865" i="72"/>
  <c r="G1865" i="72"/>
  <c r="D1865" i="72"/>
  <c r="K1864" i="72"/>
  <c r="H1864" i="72"/>
  <c r="G1864" i="72"/>
  <c r="D1864" i="72"/>
  <c r="C1863" i="72"/>
  <c r="C1857" i="72"/>
  <c r="H1860" i="72"/>
  <c r="G1860" i="72"/>
  <c r="D1860" i="72"/>
  <c r="H1859" i="72"/>
  <c r="G1859" i="72"/>
  <c r="D1859" i="72"/>
  <c r="H1858" i="72"/>
  <c r="G1858" i="72"/>
  <c r="D1858" i="72"/>
  <c r="K1856" i="72"/>
  <c r="H1856" i="72"/>
  <c r="G1856" i="72"/>
  <c r="D1856" i="72"/>
  <c r="K1855" i="72"/>
  <c r="H1855" i="72"/>
  <c r="G1855" i="72"/>
  <c r="D1855" i="72"/>
  <c r="K1854" i="72"/>
  <c r="H1854" i="72"/>
  <c r="G1854" i="72"/>
  <c r="D1854" i="72"/>
  <c r="K1853" i="72"/>
  <c r="H1853" i="72"/>
  <c r="G1853" i="72"/>
  <c r="D1853" i="72"/>
  <c r="C1852" i="72"/>
  <c r="C1846" i="72"/>
  <c r="H1849" i="72"/>
  <c r="G1849" i="72"/>
  <c r="D1849" i="72"/>
  <c r="H1848" i="72"/>
  <c r="G1848" i="72"/>
  <c r="D1848" i="72"/>
  <c r="H1847" i="72"/>
  <c r="G1847" i="72"/>
  <c r="D1847" i="72"/>
  <c r="K1845" i="72"/>
  <c r="H1845" i="72"/>
  <c r="G1845" i="72"/>
  <c r="D1845" i="72"/>
  <c r="K1844" i="72"/>
  <c r="H1844" i="72"/>
  <c r="G1844" i="72"/>
  <c r="D1844" i="72"/>
  <c r="K1843" i="72"/>
  <c r="H1843" i="72"/>
  <c r="G1843" i="72"/>
  <c r="D1843" i="72"/>
  <c r="K1842" i="72"/>
  <c r="H1842" i="72"/>
  <c r="G1842" i="72"/>
  <c r="D1842" i="72"/>
  <c r="C1841" i="72"/>
  <c r="C1835" i="72"/>
  <c r="H1838" i="72"/>
  <c r="G1838" i="72"/>
  <c r="D1838" i="72"/>
  <c r="H1837" i="72"/>
  <c r="G1837" i="72"/>
  <c r="D1837" i="72"/>
  <c r="H1836" i="72"/>
  <c r="G1836" i="72"/>
  <c r="D1836" i="72"/>
  <c r="K1834" i="72"/>
  <c r="H1834" i="72"/>
  <c r="G1834" i="72"/>
  <c r="D1834" i="72"/>
  <c r="K1833" i="72"/>
  <c r="H1833" i="72"/>
  <c r="G1833" i="72"/>
  <c r="D1833" i="72"/>
  <c r="C1832" i="72"/>
  <c r="C1826" i="72"/>
  <c r="G1830" i="72"/>
  <c r="H1829" i="72"/>
  <c r="G1829" i="72"/>
  <c r="D1829" i="72"/>
  <c r="H1828" i="72"/>
  <c r="G1828" i="72"/>
  <c r="D1828" i="72"/>
  <c r="H1827" i="72"/>
  <c r="G1827" i="72"/>
  <c r="D1827" i="72"/>
  <c r="K1825" i="72"/>
  <c r="H1825" i="72"/>
  <c r="G1825" i="72"/>
  <c r="D1825" i="72"/>
  <c r="K1824" i="72"/>
  <c r="H1824" i="72"/>
  <c r="G1824" i="72"/>
  <c r="D1824" i="72"/>
  <c r="C1823" i="72"/>
  <c r="K1821" i="72"/>
  <c r="C1807" i="72"/>
  <c r="H1811" i="72"/>
  <c r="G1811" i="72"/>
  <c r="D1811" i="72"/>
  <c r="H1810" i="72"/>
  <c r="G1810" i="72"/>
  <c r="D1810" i="72"/>
  <c r="H1809" i="72"/>
  <c r="G1809" i="72"/>
  <c r="D1809" i="72"/>
  <c r="H1808" i="72"/>
  <c r="G1808" i="72"/>
  <c r="D1808" i="72"/>
  <c r="K1806" i="72"/>
  <c r="H1806" i="72"/>
  <c r="G1806" i="72"/>
  <c r="D1806" i="72"/>
  <c r="C1805" i="72"/>
  <c r="K1803" i="72"/>
  <c r="C1796" i="72"/>
  <c r="G1801" i="72"/>
  <c r="H1800" i="72"/>
  <c r="G1800" i="72"/>
  <c r="D1800" i="72"/>
  <c r="H1799" i="72"/>
  <c r="G1799" i="72"/>
  <c r="D1799" i="72"/>
  <c r="H1798" i="72"/>
  <c r="G1798" i="72"/>
  <c r="D1798" i="72"/>
  <c r="H1797" i="72"/>
  <c r="G1797" i="72"/>
  <c r="D1797" i="72"/>
  <c r="K1795" i="72"/>
  <c r="H1795" i="72"/>
  <c r="G1795" i="72"/>
  <c r="D1795" i="72"/>
  <c r="K1794" i="72"/>
  <c r="H1794" i="72"/>
  <c r="G1794" i="72"/>
  <c r="D1794" i="72"/>
  <c r="C1793" i="72"/>
  <c r="C1786" i="72"/>
  <c r="H1790" i="72"/>
  <c r="G1790" i="72"/>
  <c r="D1790" i="72"/>
  <c r="H1789" i="72"/>
  <c r="G1789" i="72"/>
  <c r="D1789" i="72"/>
  <c r="H1788" i="72"/>
  <c r="G1788" i="72"/>
  <c r="D1788" i="72"/>
  <c r="H1787" i="72"/>
  <c r="G1787" i="72"/>
  <c r="D1787" i="72"/>
  <c r="K1785" i="72"/>
  <c r="H1785" i="72"/>
  <c r="G1785" i="72"/>
  <c r="D1785" i="72"/>
  <c r="C1784" i="72"/>
  <c r="C1777" i="72"/>
  <c r="H1781" i="72"/>
  <c r="G1781" i="72"/>
  <c r="D1781" i="72"/>
  <c r="H1780" i="72"/>
  <c r="G1780" i="72"/>
  <c r="D1780" i="72"/>
  <c r="H1779" i="72"/>
  <c r="G1779" i="72"/>
  <c r="D1779" i="72"/>
  <c r="H1778" i="72"/>
  <c r="G1778" i="72"/>
  <c r="D1778" i="72"/>
  <c r="K1776" i="72"/>
  <c r="H1776" i="72"/>
  <c r="G1776" i="72"/>
  <c r="D1776" i="72"/>
  <c r="K1775" i="72"/>
  <c r="H1775" i="72"/>
  <c r="G1775" i="72"/>
  <c r="D1775" i="72"/>
  <c r="D1774" i="72"/>
  <c r="K1773" i="72"/>
  <c r="H1773" i="72"/>
  <c r="G1773" i="72"/>
  <c r="D1773" i="72"/>
  <c r="K1772" i="72"/>
  <c r="H1772" i="72"/>
  <c r="G1772" i="72"/>
  <c r="D1772" i="72"/>
  <c r="C1771" i="72"/>
  <c r="G1769" i="72"/>
  <c r="C1764" i="72"/>
  <c r="H1768" i="72"/>
  <c r="G1768" i="72"/>
  <c r="D1768" i="72"/>
  <c r="H1767" i="72"/>
  <c r="G1767" i="72"/>
  <c r="D1767" i="72"/>
  <c r="H1766" i="72"/>
  <c r="G1766" i="72"/>
  <c r="D1766" i="72"/>
  <c r="H1765" i="72"/>
  <c r="G1765" i="72"/>
  <c r="D1765" i="72"/>
  <c r="N1763" i="72"/>
  <c r="K1763" i="72"/>
  <c r="H1763" i="72"/>
  <c r="G1763" i="72"/>
  <c r="D1763" i="72"/>
  <c r="K1762" i="72"/>
  <c r="H1762" i="72"/>
  <c r="G1762" i="72"/>
  <c r="D1762" i="72"/>
  <c r="K1761" i="72"/>
  <c r="H1761" i="72"/>
  <c r="G1761" i="72"/>
  <c r="D1761" i="72"/>
  <c r="C1760" i="72"/>
  <c r="C1752" i="72"/>
  <c r="G1757" i="72"/>
  <c r="H1756" i="72"/>
  <c r="G1756" i="72"/>
  <c r="D1756" i="72"/>
  <c r="H1755" i="72"/>
  <c r="G1755" i="72"/>
  <c r="D1755" i="72"/>
  <c r="H1754" i="72"/>
  <c r="G1754" i="72"/>
  <c r="D1754" i="72"/>
  <c r="H1753" i="72"/>
  <c r="G1753" i="72"/>
  <c r="D1753" i="72"/>
  <c r="K1751" i="72"/>
  <c r="H1751" i="72"/>
  <c r="G1751" i="72"/>
  <c r="D1751" i="72"/>
  <c r="K1750" i="72"/>
  <c r="H1750" i="72"/>
  <c r="G1750" i="72"/>
  <c r="D1750" i="72"/>
  <c r="C1749" i="72"/>
  <c r="C1741" i="72"/>
  <c r="G1746" i="72"/>
  <c r="H1745" i="72"/>
  <c r="G1745" i="72"/>
  <c r="D1745" i="72"/>
  <c r="H1744" i="72"/>
  <c r="G1744" i="72"/>
  <c r="D1744" i="72"/>
  <c r="H1743" i="72"/>
  <c r="G1743" i="72"/>
  <c r="D1743" i="72"/>
  <c r="H1742" i="72"/>
  <c r="G1742" i="72"/>
  <c r="D1742" i="72"/>
  <c r="K1740" i="72"/>
  <c r="H1740" i="72"/>
  <c r="G1740" i="72"/>
  <c r="D1740" i="72"/>
  <c r="K1739" i="72"/>
  <c r="H1739" i="72"/>
  <c r="G1739" i="72"/>
  <c r="D1739" i="72"/>
  <c r="C1738" i="72"/>
  <c r="C1730" i="72"/>
  <c r="H1734" i="72"/>
  <c r="G1734" i="72"/>
  <c r="D1734" i="72"/>
  <c r="H1733" i="72"/>
  <c r="G1733" i="72"/>
  <c r="D1733" i="72"/>
  <c r="H1732" i="72"/>
  <c r="G1732" i="72"/>
  <c r="D1732" i="72"/>
  <c r="H1731" i="72"/>
  <c r="G1731" i="72"/>
  <c r="D1731" i="72"/>
  <c r="K1729" i="72"/>
  <c r="H1729" i="72"/>
  <c r="G1729" i="72"/>
  <c r="D1729" i="72"/>
  <c r="K1728" i="72"/>
  <c r="H1728" i="72"/>
  <c r="G1728" i="72"/>
  <c r="D1728" i="72"/>
  <c r="C1727" i="72"/>
  <c r="C1720" i="72"/>
  <c r="H1724" i="72"/>
  <c r="G1724" i="72"/>
  <c r="D1724" i="72"/>
  <c r="H1723" i="72"/>
  <c r="G1723" i="72"/>
  <c r="D1723" i="72"/>
  <c r="H1722" i="72"/>
  <c r="G1722" i="72"/>
  <c r="D1722" i="72"/>
  <c r="H1721" i="72"/>
  <c r="G1721" i="72"/>
  <c r="D1721" i="72"/>
  <c r="K1719" i="72"/>
  <c r="H1719" i="72"/>
  <c r="G1719" i="72"/>
  <c r="D1719" i="72"/>
  <c r="K1718" i="72"/>
  <c r="H1718" i="72"/>
  <c r="G1718" i="72"/>
  <c r="D1718" i="72"/>
  <c r="C1717" i="72"/>
  <c r="C1710" i="72"/>
  <c r="G1715" i="72"/>
  <c r="H1714" i="72"/>
  <c r="G1714" i="72"/>
  <c r="D1714" i="72"/>
  <c r="H1713" i="72"/>
  <c r="G1713" i="72"/>
  <c r="D1713" i="72"/>
  <c r="H1712" i="72"/>
  <c r="G1712" i="72"/>
  <c r="D1712" i="72"/>
  <c r="H1711" i="72"/>
  <c r="G1711" i="72"/>
  <c r="D1711" i="72"/>
  <c r="K1709" i="72"/>
  <c r="H1709" i="72"/>
  <c r="G1709" i="72"/>
  <c r="D1709" i="72"/>
  <c r="K1708" i="72"/>
  <c r="H1708" i="72"/>
  <c r="G1708" i="72"/>
  <c r="D1708" i="72"/>
  <c r="C1707" i="72"/>
  <c r="K1704" i="72"/>
  <c r="C1697" i="72"/>
  <c r="H1701" i="72"/>
  <c r="G1701" i="72"/>
  <c r="D1701" i="72"/>
  <c r="H1700" i="72"/>
  <c r="G1700" i="72"/>
  <c r="D1700" i="72"/>
  <c r="H1699" i="72"/>
  <c r="G1699" i="72"/>
  <c r="D1699" i="72"/>
  <c r="H1698" i="72"/>
  <c r="G1698" i="72"/>
  <c r="D1698" i="72"/>
  <c r="K1696" i="72"/>
  <c r="H1696" i="72"/>
  <c r="G1696" i="72"/>
  <c r="D1696" i="72"/>
  <c r="K1695" i="72"/>
  <c r="H1695" i="72"/>
  <c r="G1695" i="72"/>
  <c r="D1695" i="72"/>
  <c r="C1694" i="72"/>
  <c r="C1687" i="72"/>
  <c r="H1691" i="72"/>
  <c r="G1691" i="72"/>
  <c r="D1691" i="72"/>
  <c r="H1690" i="72"/>
  <c r="G1690" i="72"/>
  <c r="D1690" i="72"/>
  <c r="H1689" i="72"/>
  <c r="G1689" i="72"/>
  <c r="D1689" i="72"/>
  <c r="H1688" i="72"/>
  <c r="G1688" i="72"/>
  <c r="D1688" i="72"/>
  <c r="K1686" i="72"/>
  <c r="H1686" i="72"/>
  <c r="G1686" i="72"/>
  <c r="D1686" i="72"/>
  <c r="K1685" i="72"/>
  <c r="H1685" i="72"/>
  <c r="G1685" i="72"/>
  <c r="D1685" i="72"/>
  <c r="C1684" i="72"/>
  <c r="C1677" i="72"/>
  <c r="G1682" i="72"/>
  <c r="H1681" i="72"/>
  <c r="G1681" i="72"/>
  <c r="D1681" i="72"/>
  <c r="H1680" i="72"/>
  <c r="G1680" i="72"/>
  <c r="D1680" i="72"/>
  <c r="H1679" i="72"/>
  <c r="G1679" i="72"/>
  <c r="D1679" i="72"/>
  <c r="H1678" i="72"/>
  <c r="G1678" i="72"/>
  <c r="D1678" i="72"/>
  <c r="K1676" i="72"/>
  <c r="H1676" i="72"/>
  <c r="G1676" i="72"/>
  <c r="D1676" i="72"/>
  <c r="K1675" i="72"/>
  <c r="H1675" i="72"/>
  <c r="G1675" i="72"/>
  <c r="D1675" i="72"/>
  <c r="C1674" i="72"/>
  <c r="G1670" i="72"/>
  <c r="K1670" i="72"/>
  <c r="K1666" i="72"/>
  <c r="C1659" i="72"/>
  <c r="H1663" i="72"/>
  <c r="G1663" i="72"/>
  <c r="D1663" i="72"/>
  <c r="H1662" i="72"/>
  <c r="G1662" i="72"/>
  <c r="D1662" i="72"/>
  <c r="H1661" i="72"/>
  <c r="G1661" i="72"/>
  <c r="D1661" i="72"/>
  <c r="H1660" i="72"/>
  <c r="G1660" i="72"/>
  <c r="D1660" i="72"/>
  <c r="K1658" i="72"/>
  <c r="H1658" i="72"/>
  <c r="G1658" i="72"/>
  <c r="D1658" i="72"/>
  <c r="K1657" i="72"/>
  <c r="H1657" i="72"/>
  <c r="G1657" i="72"/>
  <c r="D1657" i="72"/>
  <c r="C1656" i="72"/>
  <c r="C1649" i="72"/>
  <c r="H1653" i="72"/>
  <c r="G1653" i="72"/>
  <c r="D1653" i="72"/>
  <c r="H1652" i="72"/>
  <c r="G1652" i="72"/>
  <c r="D1652" i="72"/>
  <c r="H1651" i="72"/>
  <c r="G1651" i="72"/>
  <c r="D1651" i="72"/>
  <c r="H1650" i="72"/>
  <c r="G1650" i="72"/>
  <c r="D1650" i="72"/>
  <c r="K1648" i="72"/>
  <c r="H1648" i="72"/>
  <c r="G1648" i="72"/>
  <c r="D1648" i="72"/>
  <c r="K1647" i="72"/>
  <c r="H1647" i="72"/>
  <c r="G1647" i="72"/>
  <c r="D1647" i="72"/>
  <c r="C1646" i="72"/>
  <c r="C1639" i="72"/>
  <c r="H1643" i="72"/>
  <c r="G1643" i="72"/>
  <c r="D1643" i="72"/>
  <c r="H1642" i="72"/>
  <c r="G1642" i="72"/>
  <c r="D1642" i="72"/>
  <c r="H1641" i="72"/>
  <c r="G1641" i="72"/>
  <c r="D1641" i="72"/>
  <c r="H1640" i="72"/>
  <c r="G1640" i="72"/>
  <c r="D1640" i="72"/>
  <c r="K1638" i="72"/>
  <c r="H1638" i="72"/>
  <c r="G1638" i="72"/>
  <c r="D1638" i="72"/>
  <c r="C1637" i="72"/>
  <c r="C1630" i="72"/>
  <c r="H1634" i="72"/>
  <c r="G1634" i="72"/>
  <c r="D1634" i="72"/>
  <c r="H1633" i="72"/>
  <c r="G1633" i="72"/>
  <c r="D1633" i="72"/>
  <c r="H1632" i="72"/>
  <c r="G1632" i="72"/>
  <c r="D1632" i="72"/>
  <c r="H1631" i="72"/>
  <c r="G1631" i="72"/>
  <c r="D1631" i="72"/>
  <c r="K1629" i="72"/>
  <c r="H1629" i="72"/>
  <c r="G1629" i="72"/>
  <c r="D1629" i="72"/>
  <c r="K1628" i="72"/>
  <c r="H1628" i="72"/>
  <c r="G1628" i="72"/>
  <c r="D1628" i="72"/>
  <c r="D1627" i="72"/>
  <c r="K1626" i="72"/>
  <c r="H1626" i="72"/>
  <c r="G1626" i="72"/>
  <c r="D1626" i="72"/>
  <c r="K1625" i="72"/>
  <c r="H1625" i="72"/>
  <c r="G1625" i="72"/>
  <c r="D1625" i="72"/>
  <c r="C1624" i="72"/>
  <c r="C1617" i="72"/>
  <c r="G1622" i="72"/>
  <c r="H1621" i="72"/>
  <c r="G1621" i="72"/>
  <c r="D1621" i="72"/>
  <c r="H1620" i="72"/>
  <c r="G1620" i="72"/>
  <c r="D1620" i="72"/>
  <c r="H1619" i="72"/>
  <c r="G1619" i="72"/>
  <c r="D1619" i="72"/>
  <c r="H1618" i="72"/>
  <c r="G1618" i="72"/>
  <c r="D1618" i="72"/>
  <c r="D1616" i="72"/>
  <c r="K1615" i="72"/>
  <c r="H1615" i="72"/>
  <c r="G1615" i="72"/>
  <c r="D1615" i="72"/>
  <c r="K1614" i="72"/>
  <c r="H1614" i="72"/>
  <c r="G1614" i="72"/>
  <c r="D1614" i="72"/>
  <c r="C1613" i="72"/>
  <c r="C1605" i="72"/>
  <c r="G1610" i="72"/>
  <c r="H1609" i="72"/>
  <c r="G1609" i="72"/>
  <c r="D1609" i="72"/>
  <c r="H1608" i="72"/>
  <c r="G1608" i="72"/>
  <c r="D1608" i="72"/>
  <c r="H1607" i="72"/>
  <c r="G1607" i="72"/>
  <c r="D1607" i="72"/>
  <c r="H1606" i="72"/>
  <c r="G1606" i="72"/>
  <c r="D1606" i="72"/>
  <c r="K1604" i="72"/>
  <c r="H1604" i="72"/>
  <c r="G1604" i="72"/>
  <c r="D1604" i="72"/>
  <c r="K1603" i="72"/>
  <c r="H1603" i="72"/>
  <c r="G1603" i="72"/>
  <c r="D1603" i="72"/>
  <c r="C1602" i="72"/>
  <c r="C1594" i="72"/>
  <c r="H1598" i="72"/>
  <c r="G1598" i="72"/>
  <c r="D1598" i="72"/>
  <c r="H1597" i="72"/>
  <c r="G1597" i="72"/>
  <c r="D1597" i="72"/>
  <c r="H1596" i="72"/>
  <c r="G1596" i="72"/>
  <c r="D1596" i="72"/>
  <c r="H1595" i="72"/>
  <c r="G1595" i="72"/>
  <c r="D1595" i="72"/>
  <c r="K1593" i="72"/>
  <c r="H1593" i="72"/>
  <c r="G1593" i="72"/>
  <c r="D1593" i="72"/>
  <c r="K1592" i="72"/>
  <c r="H1592" i="72"/>
  <c r="G1592" i="72"/>
  <c r="D1592" i="72"/>
  <c r="C1591" i="72"/>
  <c r="C1584" i="72"/>
  <c r="H1588" i="72"/>
  <c r="G1588" i="72"/>
  <c r="D1588" i="72"/>
  <c r="H1587" i="72"/>
  <c r="G1587" i="72"/>
  <c r="D1587" i="72"/>
  <c r="H1586" i="72"/>
  <c r="G1586" i="72"/>
  <c r="D1586" i="72"/>
  <c r="H1585" i="72"/>
  <c r="G1585" i="72"/>
  <c r="D1585" i="72"/>
  <c r="K1583" i="72"/>
  <c r="H1583" i="72"/>
  <c r="G1583" i="72"/>
  <c r="D1583" i="72"/>
  <c r="K1582" i="72"/>
  <c r="H1582" i="72"/>
  <c r="G1582" i="72"/>
  <c r="D1582" i="72"/>
  <c r="C1581" i="72"/>
  <c r="C1574" i="72"/>
  <c r="G1579" i="72"/>
  <c r="H1578" i="72"/>
  <c r="G1578" i="72"/>
  <c r="D1578" i="72"/>
  <c r="H1577" i="72"/>
  <c r="G1577" i="72"/>
  <c r="D1577" i="72"/>
  <c r="H1576" i="72"/>
  <c r="G1576" i="72"/>
  <c r="D1576" i="72"/>
  <c r="H1575" i="72"/>
  <c r="G1575" i="72"/>
  <c r="D1575" i="72"/>
  <c r="K1573" i="72"/>
  <c r="H1573" i="72"/>
  <c r="G1573" i="72"/>
  <c r="D1573" i="72"/>
  <c r="K1572" i="72"/>
  <c r="H1572" i="72"/>
  <c r="G1572" i="72"/>
  <c r="D1572" i="72"/>
  <c r="C1571" i="72"/>
  <c r="K1568" i="72"/>
  <c r="C1561" i="72"/>
  <c r="H1565" i="72"/>
  <c r="G1565" i="72"/>
  <c r="D1565" i="72"/>
  <c r="H1564" i="72"/>
  <c r="G1564" i="72"/>
  <c r="D1564" i="72"/>
  <c r="H1563" i="72"/>
  <c r="G1563" i="72"/>
  <c r="D1563" i="72"/>
  <c r="H1562" i="72"/>
  <c r="G1562" i="72"/>
  <c r="D1562" i="72"/>
  <c r="K1560" i="72"/>
  <c r="H1560" i="72"/>
  <c r="G1560" i="72"/>
  <c r="D1560" i="72"/>
  <c r="K1559" i="72"/>
  <c r="H1559" i="72"/>
  <c r="G1559" i="72"/>
  <c r="D1559" i="72"/>
  <c r="C1558" i="72"/>
  <c r="C1551" i="72"/>
  <c r="H1555" i="72"/>
  <c r="G1555" i="72"/>
  <c r="D1555" i="72"/>
  <c r="H1554" i="72"/>
  <c r="G1554" i="72"/>
  <c r="D1554" i="72"/>
  <c r="H1553" i="72"/>
  <c r="G1553" i="72"/>
  <c r="D1553" i="72"/>
  <c r="H1552" i="72"/>
  <c r="G1552" i="72"/>
  <c r="D1552" i="72"/>
  <c r="K1550" i="72"/>
  <c r="H1550" i="72"/>
  <c r="G1550" i="72"/>
  <c r="D1550" i="72"/>
  <c r="K1549" i="72"/>
  <c r="H1549" i="72"/>
  <c r="G1549" i="72"/>
  <c r="D1549" i="72"/>
  <c r="C1548" i="72"/>
  <c r="C1541" i="72"/>
  <c r="G1546" i="72"/>
  <c r="H1545" i="72"/>
  <c r="G1545" i="72"/>
  <c r="D1545" i="72"/>
  <c r="H1544" i="72"/>
  <c r="G1544" i="72"/>
  <c r="D1544" i="72"/>
  <c r="H1543" i="72"/>
  <c r="G1543" i="72"/>
  <c r="D1543" i="72"/>
  <c r="H1542" i="72"/>
  <c r="G1542" i="72"/>
  <c r="D1542" i="72"/>
  <c r="K1540" i="72"/>
  <c r="H1540" i="72"/>
  <c r="G1540" i="72"/>
  <c r="D1540" i="72"/>
  <c r="K1539" i="72"/>
  <c r="H1539" i="72"/>
  <c r="G1539" i="72"/>
  <c r="D1539" i="72"/>
  <c r="C1538" i="72"/>
  <c r="K1532" i="72"/>
  <c r="K1528" i="72"/>
  <c r="D1528" i="72"/>
  <c r="C1521" i="72"/>
  <c r="H1525" i="72"/>
  <c r="G1525" i="72"/>
  <c r="D1525" i="72"/>
  <c r="H1524" i="72"/>
  <c r="G1524" i="72"/>
  <c r="D1524" i="72"/>
  <c r="H1523" i="72"/>
  <c r="G1523" i="72"/>
  <c r="D1523" i="72"/>
  <c r="H1522" i="72"/>
  <c r="G1522" i="72"/>
  <c r="D1522" i="72"/>
  <c r="K1520" i="72"/>
  <c r="H1520" i="72"/>
  <c r="G1520" i="72"/>
  <c r="D1520" i="72"/>
  <c r="K1519" i="72"/>
  <c r="H1519" i="72"/>
  <c r="G1519" i="72"/>
  <c r="D1519" i="72"/>
  <c r="K1518" i="72"/>
  <c r="H1518" i="72"/>
  <c r="G1518" i="72"/>
  <c r="D1518" i="72"/>
  <c r="C1517" i="72"/>
  <c r="C1510" i="72"/>
  <c r="H1514" i="72"/>
  <c r="G1514" i="72"/>
  <c r="D1514" i="72"/>
  <c r="H1513" i="72"/>
  <c r="G1513" i="72"/>
  <c r="D1513" i="72"/>
  <c r="H1512" i="72"/>
  <c r="G1512" i="72"/>
  <c r="D1512" i="72"/>
  <c r="H1511" i="72"/>
  <c r="G1511" i="72"/>
  <c r="D1511" i="72"/>
  <c r="K1509" i="72"/>
  <c r="H1509" i="72"/>
  <c r="G1509" i="72"/>
  <c r="D1509" i="72"/>
  <c r="K1508" i="72"/>
  <c r="H1508" i="72"/>
  <c r="G1508" i="72"/>
  <c r="D1508" i="72"/>
  <c r="K1507" i="72"/>
  <c r="H1507" i="72"/>
  <c r="G1507" i="72"/>
  <c r="D1507" i="72"/>
  <c r="C1506" i="72"/>
  <c r="C1499" i="72"/>
  <c r="G1504" i="72"/>
  <c r="H1503" i="72"/>
  <c r="G1503" i="72"/>
  <c r="D1503" i="72"/>
  <c r="H1502" i="72"/>
  <c r="G1502" i="72"/>
  <c r="D1502" i="72"/>
  <c r="H1501" i="72"/>
  <c r="G1501" i="72"/>
  <c r="D1501" i="72"/>
  <c r="H1500" i="72"/>
  <c r="G1500" i="72"/>
  <c r="D1500" i="72"/>
  <c r="K1498" i="72"/>
  <c r="H1498" i="72"/>
  <c r="G1498" i="72"/>
  <c r="D1498" i="72"/>
  <c r="K1497" i="72"/>
  <c r="H1497" i="72"/>
  <c r="G1497" i="72"/>
  <c r="D1497" i="72"/>
  <c r="K1496" i="72"/>
  <c r="H1496" i="72"/>
  <c r="G1496" i="72"/>
  <c r="D1496" i="72"/>
  <c r="C1495" i="72"/>
  <c r="C1487" i="72"/>
  <c r="H1491" i="72"/>
  <c r="G1491" i="72"/>
  <c r="D1491" i="72"/>
  <c r="H1490" i="72"/>
  <c r="G1490" i="72"/>
  <c r="D1490" i="72"/>
  <c r="H1489" i="72"/>
  <c r="G1489" i="72"/>
  <c r="D1489" i="72"/>
  <c r="H1488" i="72"/>
  <c r="G1488" i="72"/>
  <c r="D1488" i="72"/>
  <c r="K1486" i="72"/>
  <c r="H1486" i="72"/>
  <c r="G1486" i="72"/>
  <c r="D1486" i="72"/>
  <c r="K1485" i="72"/>
  <c r="H1485" i="72"/>
  <c r="G1485" i="72"/>
  <c r="D1485" i="72"/>
  <c r="K1484" i="72"/>
  <c r="H1484" i="72"/>
  <c r="G1484" i="72"/>
  <c r="D1484" i="72"/>
  <c r="C1483" i="72"/>
  <c r="C1476" i="72"/>
  <c r="H1480" i="72"/>
  <c r="G1480" i="72"/>
  <c r="D1480" i="72"/>
  <c r="H1479" i="72"/>
  <c r="G1479" i="72"/>
  <c r="D1479" i="72"/>
  <c r="H1478" i="72"/>
  <c r="G1478" i="72"/>
  <c r="D1478" i="72"/>
  <c r="H1477" i="72"/>
  <c r="G1477" i="72"/>
  <c r="D1477" i="72"/>
  <c r="K1475" i="72"/>
  <c r="H1475" i="72"/>
  <c r="G1475" i="72"/>
  <c r="D1475" i="72"/>
  <c r="K1474" i="72"/>
  <c r="H1474" i="72"/>
  <c r="G1474" i="72"/>
  <c r="D1474" i="72"/>
  <c r="K1473" i="72"/>
  <c r="H1473" i="72"/>
  <c r="G1473" i="72"/>
  <c r="D1473" i="72"/>
  <c r="C1472" i="72"/>
  <c r="G1470" i="72"/>
  <c r="C1465" i="72"/>
  <c r="H1469" i="72"/>
  <c r="G1469" i="72"/>
  <c r="D1469" i="72"/>
  <c r="H1468" i="72"/>
  <c r="G1468" i="72"/>
  <c r="D1468" i="72"/>
  <c r="H1467" i="72"/>
  <c r="G1467" i="72"/>
  <c r="D1467" i="72"/>
  <c r="H1466" i="72"/>
  <c r="G1466" i="72"/>
  <c r="D1466" i="72"/>
  <c r="K1464" i="72"/>
  <c r="H1464" i="72"/>
  <c r="G1464" i="72"/>
  <c r="D1464" i="72"/>
  <c r="K1463" i="72"/>
  <c r="H1463" i="72"/>
  <c r="G1463" i="72"/>
  <c r="D1463" i="72"/>
  <c r="K1462" i="72"/>
  <c r="H1462" i="72"/>
  <c r="G1462" i="72"/>
  <c r="D1462" i="72"/>
  <c r="C1461" i="72"/>
  <c r="G125" i="59"/>
  <c r="G124" i="59" s="1"/>
  <c r="G1455" i="72"/>
  <c r="G1396" i="72"/>
  <c r="H1455" i="72"/>
  <c r="D1455" i="72"/>
  <c r="H1454" i="72"/>
  <c r="G1454" i="72"/>
  <c r="D1454" i="72"/>
  <c r="H1453" i="72"/>
  <c r="G1453" i="72"/>
  <c r="D1453" i="72"/>
  <c r="H1452" i="72"/>
  <c r="G1452" i="72"/>
  <c r="D1452" i="72"/>
  <c r="C1451" i="72"/>
  <c r="N1450" i="72"/>
  <c r="K1450" i="72"/>
  <c r="H1450" i="72"/>
  <c r="G1450" i="72"/>
  <c r="D1450" i="72"/>
  <c r="K1449" i="72"/>
  <c r="H1449" i="72"/>
  <c r="G1449" i="72"/>
  <c r="D1449" i="72"/>
  <c r="C1448" i="72"/>
  <c r="C1441" i="72"/>
  <c r="C1382" i="72"/>
  <c r="H1445" i="72"/>
  <c r="G1445" i="72"/>
  <c r="D1445" i="72"/>
  <c r="H1444" i="72"/>
  <c r="G1444" i="72"/>
  <c r="D1444" i="72"/>
  <c r="H1443" i="72"/>
  <c r="G1443" i="72"/>
  <c r="D1443" i="72"/>
  <c r="H1442" i="72"/>
  <c r="G1442" i="72"/>
  <c r="D1442" i="72"/>
  <c r="K1440" i="72"/>
  <c r="H1440" i="72"/>
  <c r="G1440" i="72"/>
  <c r="D1440" i="72"/>
  <c r="K1439" i="72"/>
  <c r="H1439" i="72"/>
  <c r="G1439" i="72"/>
  <c r="D1439" i="72"/>
  <c r="K1438" i="72"/>
  <c r="H1438" i="72"/>
  <c r="G1438" i="72"/>
  <c r="D1438" i="72"/>
  <c r="K1437" i="72"/>
  <c r="H1437" i="72"/>
  <c r="G1437" i="72"/>
  <c r="D1437" i="72"/>
  <c r="K1436" i="72"/>
  <c r="H1436" i="72"/>
  <c r="G1436" i="72"/>
  <c r="D1436" i="72"/>
  <c r="C1435" i="72"/>
  <c r="N24" i="11"/>
  <c r="C1428" i="72"/>
  <c r="C1369" i="72"/>
  <c r="H1432" i="72"/>
  <c r="G1432" i="72"/>
  <c r="D1432" i="72"/>
  <c r="H1431" i="72"/>
  <c r="G1431" i="72"/>
  <c r="D1431" i="72"/>
  <c r="H1430" i="72"/>
  <c r="G1430" i="72"/>
  <c r="D1430" i="72"/>
  <c r="H1429" i="72"/>
  <c r="G1429" i="72"/>
  <c r="D1429" i="72"/>
  <c r="K1427" i="72"/>
  <c r="H1427" i="72"/>
  <c r="G1427" i="72"/>
  <c r="D1427" i="72"/>
  <c r="K1426" i="72"/>
  <c r="H1426" i="72"/>
  <c r="G1426" i="72"/>
  <c r="D1426" i="72"/>
  <c r="C1425" i="72"/>
  <c r="H1422" i="72"/>
  <c r="G1422" i="72"/>
  <c r="D1422" i="72"/>
  <c r="H1421" i="72"/>
  <c r="G1421" i="72"/>
  <c r="D1421" i="72"/>
  <c r="H1420" i="72"/>
  <c r="G1420" i="72"/>
  <c r="D1420" i="72"/>
  <c r="H1419" i="72"/>
  <c r="G1419" i="72"/>
  <c r="D1419" i="72"/>
  <c r="C1418" i="72"/>
  <c r="K1417" i="72"/>
  <c r="H1417" i="72"/>
  <c r="G1417" i="72"/>
  <c r="D1417" i="72"/>
  <c r="K1416" i="72"/>
  <c r="H1416" i="72"/>
  <c r="G1416" i="72"/>
  <c r="D1416" i="72"/>
  <c r="K1415" i="72"/>
  <c r="H1415" i="72"/>
  <c r="G1415" i="72"/>
  <c r="D1415" i="72"/>
  <c r="K1414" i="72"/>
  <c r="H1414" i="72"/>
  <c r="G1414" i="72"/>
  <c r="D1414" i="72"/>
  <c r="K1413" i="72"/>
  <c r="H1413" i="72"/>
  <c r="G1413" i="72"/>
  <c r="D1413" i="72"/>
  <c r="C1412" i="72"/>
  <c r="H1409" i="72"/>
  <c r="G1409" i="72"/>
  <c r="D1409" i="72"/>
  <c r="H1408" i="72"/>
  <c r="G1408" i="72"/>
  <c r="D1408" i="72"/>
  <c r="H1407" i="72"/>
  <c r="G1407" i="72"/>
  <c r="D1407" i="72"/>
  <c r="H1406" i="72"/>
  <c r="G1406" i="72"/>
  <c r="D1406" i="72"/>
  <c r="C1405" i="72"/>
  <c r="K1404" i="72"/>
  <c r="H1404" i="72"/>
  <c r="G1404" i="72"/>
  <c r="D1404" i="72"/>
  <c r="K1403" i="72"/>
  <c r="H1403" i="72"/>
  <c r="G1403" i="72"/>
  <c r="D1403" i="72"/>
  <c r="K1402" i="72"/>
  <c r="H1402" i="72"/>
  <c r="G1402" i="72"/>
  <c r="D1402" i="72"/>
  <c r="C1401" i="72"/>
  <c r="N1391" i="72"/>
  <c r="K1391" i="72"/>
  <c r="K1390" i="72"/>
  <c r="H1396" i="72"/>
  <c r="H1395" i="72"/>
  <c r="H1394" i="72"/>
  <c r="H1393" i="72"/>
  <c r="H1391" i="72"/>
  <c r="H1390" i="72"/>
  <c r="G1395" i="72"/>
  <c r="G1394" i="72"/>
  <c r="G1393" i="72"/>
  <c r="G1391" i="72"/>
  <c r="G1390" i="72"/>
  <c r="C1392" i="72"/>
  <c r="D1396" i="72"/>
  <c r="D1395" i="72"/>
  <c r="D1394" i="72"/>
  <c r="D1393" i="72"/>
  <c r="D1391" i="72"/>
  <c r="D1390" i="72"/>
  <c r="C1389" i="72"/>
  <c r="K1381" i="72"/>
  <c r="K1380" i="72"/>
  <c r="K1379" i="72"/>
  <c r="K1378" i="72"/>
  <c r="K1377" i="72"/>
  <c r="H1386" i="72"/>
  <c r="H1385" i="72"/>
  <c r="H1384" i="72"/>
  <c r="H1383" i="72"/>
  <c r="H1381" i="72"/>
  <c r="H1380" i="72"/>
  <c r="H1379" i="72"/>
  <c r="H1378" i="72"/>
  <c r="H1377" i="72"/>
  <c r="G1386" i="72"/>
  <c r="G1385" i="72"/>
  <c r="G1384" i="72"/>
  <c r="G1383" i="72"/>
  <c r="G1381" i="72"/>
  <c r="G1380" i="72"/>
  <c r="G1379" i="72"/>
  <c r="G1378" i="72"/>
  <c r="G1377" i="72"/>
  <c r="D1386" i="72"/>
  <c r="D1385" i="72"/>
  <c r="D1384" i="72"/>
  <c r="D1383" i="72"/>
  <c r="D1381" i="72"/>
  <c r="D1380" i="72"/>
  <c r="D1379" i="72"/>
  <c r="D1378" i="72"/>
  <c r="D1377" i="72"/>
  <c r="C1376" i="72"/>
  <c r="K1368" i="72"/>
  <c r="K1367" i="72"/>
  <c r="H1373" i="72"/>
  <c r="H1372" i="72"/>
  <c r="H1371" i="72"/>
  <c r="H1370" i="72"/>
  <c r="H1368" i="72"/>
  <c r="H1367" i="72"/>
  <c r="G1373" i="72"/>
  <c r="G1372" i="72"/>
  <c r="G1371" i="72"/>
  <c r="G1370" i="72"/>
  <c r="G1368" i="72"/>
  <c r="G1367" i="72"/>
  <c r="D1373" i="72"/>
  <c r="D1372" i="72"/>
  <c r="D1371" i="72"/>
  <c r="D1370" i="72"/>
  <c r="D1368" i="72"/>
  <c r="D1367" i="72"/>
  <c r="C1366" i="72"/>
  <c r="K1358" i="72"/>
  <c r="K1357" i="72"/>
  <c r="K1356" i="72"/>
  <c r="K1355" i="72"/>
  <c r="K1354" i="72"/>
  <c r="H1363" i="72"/>
  <c r="H1362" i="72"/>
  <c r="H1361" i="72"/>
  <c r="H1360" i="72"/>
  <c r="H1358" i="72"/>
  <c r="H1357" i="72"/>
  <c r="H1356" i="72"/>
  <c r="H1355" i="72"/>
  <c r="H1354" i="72"/>
  <c r="G1363" i="72"/>
  <c r="G1362" i="72"/>
  <c r="G1361" i="72"/>
  <c r="G1360" i="72"/>
  <c r="G1358" i="72"/>
  <c r="G1357" i="72"/>
  <c r="G1356" i="72"/>
  <c r="G1355" i="72"/>
  <c r="G1354" i="72"/>
  <c r="D1363" i="72"/>
  <c r="D1362" i="72"/>
  <c r="D1361" i="72"/>
  <c r="D1360" i="72"/>
  <c r="D1358" i="72"/>
  <c r="D1357" i="72"/>
  <c r="D1356" i="72"/>
  <c r="D1355" i="72"/>
  <c r="D1354" i="72"/>
  <c r="C1359" i="72"/>
  <c r="C1353" i="72"/>
  <c r="K1345" i="72"/>
  <c r="K1344" i="72"/>
  <c r="K1343" i="72"/>
  <c r="H1350" i="72"/>
  <c r="H1349" i="72"/>
  <c r="H1348" i="72"/>
  <c r="H1347" i="72"/>
  <c r="H1345" i="72"/>
  <c r="H1344" i="72"/>
  <c r="H1343" i="72"/>
  <c r="G1350" i="72"/>
  <c r="G1349" i="72"/>
  <c r="G1348" i="72"/>
  <c r="G1347" i="72"/>
  <c r="G1345" i="72"/>
  <c r="G1344" i="72"/>
  <c r="G1343" i="72"/>
  <c r="D1350" i="72"/>
  <c r="D1349" i="72"/>
  <c r="D1348" i="72"/>
  <c r="D1347" i="72"/>
  <c r="C1346" i="72"/>
  <c r="D1345" i="72"/>
  <c r="D1344" i="72"/>
  <c r="D1343" i="72"/>
  <c r="C1342" i="72"/>
  <c r="C1327" i="72"/>
  <c r="C1317" i="72"/>
  <c r="K1340" i="72"/>
  <c r="G1340" i="72"/>
  <c r="K1338" i="72"/>
  <c r="G1338" i="72"/>
  <c r="H1331" i="72"/>
  <c r="G1331" i="72"/>
  <c r="D1331" i="72"/>
  <c r="H1330" i="72"/>
  <c r="G1330" i="72"/>
  <c r="D1330" i="72"/>
  <c r="H1329" i="72"/>
  <c r="G1329" i="72"/>
  <c r="D1329" i="72"/>
  <c r="H1328" i="72"/>
  <c r="G1328" i="72"/>
  <c r="D1328" i="72"/>
  <c r="K1326" i="72"/>
  <c r="H1326" i="72"/>
  <c r="G1326" i="72"/>
  <c r="D1326" i="72"/>
  <c r="K1325" i="72"/>
  <c r="H1325" i="72"/>
  <c r="G1325" i="72"/>
  <c r="D1325" i="72"/>
  <c r="C1324" i="72"/>
  <c r="H1321" i="72"/>
  <c r="G1321" i="72"/>
  <c r="D1321" i="72"/>
  <c r="H1320" i="72"/>
  <c r="G1320" i="72"/>
  <c r="D1320" i="72"/>
  <c r="H1319" i="72"/>
  <c r="G1319" i="72"/>
  <c r="D1319" i="72"/>
  <c r="H1318" i="72"/>
  <c r="G1318" i="72"/>
  <c r="D1318" i="72"/>
  <c r="K1316" i="72"/>
  <c r="H1316" i="72"/>
  <c r="G1316" i="72"/>
  <c r="D1316" i="72"/>
  <c r="C1315" i="72"/>
  <c r="C1298" i="72"/>
  <c r="C1308" i="72"/>
  <c r="H1312" i="72"/>
  <c r="G1312" i="72"/>
  <c r="D1312" i="72"/>
  <c r="H1311" i="72"/>
  <c r="G1311" i="72"/>
  <c r="D1311" i="72"/>
  <c r="H1310" i="72"/>
  <c r="G1310" i="72"/>
  <c r="D1310" i="72"/>
  <c r="H1309" i="72"/>
  <c r="G1309" i="72"/>
  <c r="D1309" i="72"/>
  <c r="K1307" i="72"/>
  <c r="H1307" i="72"/>
  <c r="G1307" i="72"/>
  <c r="D1307" i="72"/>
  <c r="K1306" i="72"/>
  <c r="H1306" i="72"/>
  <c r="G1306" i="72"/>
  <c r="D1306" i="72"/>
  <c r="C1305" i="72"/>
  <c r="G1303" i="72"/>
  <c r="H1302" i="72"/>
  <c r="G1302" i="72"/>
  <c r="D1302" i="72"/>
  <c r="H1301" i="72"/>
  <c r="G1301" i="72"/>
  <c r="D1301" i="72"/>
  <c r="H1300" i="72"/>
  <c r="G1300" i="72"/>
  <c r="D1300" i="72"/>
  <c r="H1299" i="72"/>
  <c r="G1299" i="72"/>
  <c r="D1299" i="72"/>
  <c r="K1297" i="72"/>
  <c r="H1297" i="72"/>
  <c r="G1297" i="72"/>
  <c r="D1297" i="72"/>
  <c r="K1296" i="72"/>
  <c r="H1296" i="72"/>
  <c r="G1296" i="72"/>
  <c r="D1296" i="72"/>
  <c r="C1295" i="72"/>
  <c r="K1293" i="72"/>
  <c r="G1293" i="72"/>
  <c r="H1288" i="72"/>
  <c r="G1288" i="72"/>
  <c r="D1288" i="72"/>
  <c r="H1287" i="72"/>
  <c r="G1287" i="72"/>
  <c r="D1287" i="72"/>
  <c r="H1286" i="72"/>
  <c r="G1286" i="72"/>
  <c r="D1286" i="72"/>
  <c r="H1285" i="72"/>
  <c r="G1285" i="72"/>
  <c r="D1285" i="72"/>
  <c r="C1284" i="72"/>
  <c r="D1283" i="72"/>
  <c r="K1282" i="72"/>
  <c r="H1282" i="72"/>
  <c r="G1282" i="72"/>
  <c r="D1282" i="72"/>
  <c r="K1281" i="72"/>
  <c r="H1281" i="72"/>
  <c r="G1281" i="72"/>
  <c r="D1281" i="72"/>
  <c r="C1280" i="72"/>
  <c r="H1277" i="72"/>
  <c r="G1277" i="72"/>
  <c r="D1277" i="72"/>
  <c r="H1276" i="72"/>
  <c r="G1276" i="72"/>
  <c r="D1276" i="72"/>
  <c r="H1275" i="72"/>
  <c r="G1275" i="72"/>
  <c r="D1275" i="72"/>
  <c r="H1274" i="72"/>
  <c r="G1274" i="72"/>
  <c r="D1274" i="72"/>
  <c r="C1273" i="72"/>
  <c r="K1272" i="72"/>
  <c r="H1272" i="72"/>
  <c r="G1272" i="72"/>
  <c r="D1272" i="72"/>
  <c r="K1271" i="72"/>
  <c r="H1271" i="72"/>
  <c r="G1271" i="72"/>
  <c r="D1271" i="72"/>
  <c r="C1270" i="72"/>
  <c r="C1263" i="72"/>
  <c r="C1221" i="72"/>
  <c r="H1267" i="72"/>
  <c r="G1267" i="72"/>
  <c r="D1267" i="72"/>
  <c r="H1266" i="72"/>
  <c r="G1266" i="72"/>
  <c r="D1266" i="72"/>
  <c r="H1265" i="72"/>
  <c r="G1265" i="72"/>
  <c r="D1265" i="72"/>
  <c r="H1264" i="72"/>
  <c r="G1264" i="72"/>
  <c r="D1264" i="72"/>
  <c r="K1262" i="72"/>
  <c r="H1262" i="72"/>
  <c r="G1262" i="72"/>
  <c r="D1262" i="72"/>
  <c r="K1261" i="72"/>
  <c r="H1261" i="72"/>
  <c r="G1261" i="72"/>
  <c r="D1261" i="72"/>
  <c r="C1260" i="72"/>
  <c r="H1257" i="72"/>
  <c r="G1257" i="72"/>
  <c r="D1257" i="72"/>
  <c r="H1256" i="72"/>
  <c r="G1256" i="72"/>
  <c r="D1256" i="72"/>
  <c r="H1255" i="72"/>
  <c r="G1255" i="72"/>
  <c r="D1255" i="72"/>
  <c r="H1254" i="72"/>
  <c r="G1254" i="72"/>
  <c r="D1254" i="72"/>
  <c r="C1253" i="72"/>
  <c r="K1252" i="72"/>
  <c r="H1252" i="72"/>
  <c r="G1252" i="72"/>
  <c r="D1252" i="72"/>
  <c r="K1251" i="72"/>
  <c r="H1251" i="72"/>
  <c r="G1251" i="72"/>
  <c r="D1251" i="72"/>
  <c r="C1250" i="72"/>
  <c r="G1248" i="72"/>
  <c r="H1247" i="72"/>
  <c r="G1247" i="72"/>
  <c r="D1247" i="72"/>
  <c r="H1246" i="72"/>
  <c r="G1246" i="72"/>
  <c r="D1246" i="72"/>
  <c r="H1245" i="72"/>
  <c r="G1245" i="72"/>
  <c r="D1245" i="72"/>
  <c r="H1244" i="72"/>
  <c r="G1244" i="72"/>
  <c r="D1244" i="72"/>
  <c r="C1243" i="72"/>
  <c r="D1242" i="72"/>
  <c r="K1241" i="72"/>
  <c r="H1241" i="72"/>
  <c r="G1241" i="72"/>
  <c r="D1241" i="72"/>
  <c r="K1240" i="72"/>
  <c r="H1240" i="72"/>
  <c r="G1240" i="72"/>
  <c r="D1240" i="72"/>
  <c r="C1239" i="72"/>
  <c r="K1230" i="72"/>
  <c r="K1229" i="72"/>
  <c r="H1235" i="72"/>
  <c r="H1234" i="72"/>
  <c r="H1233" i="72"/>
  <c r="H1232" i="72"/>
  <c r="H1230" i="72"/>
  <c r="H1229" i="72"/>
  <c r="G1235" i="72"/>
  <c r="G1234" i="72"/>
  <c r="G1233" i="72"/>
  <c r="G1232" i="72"/>
  <c r="G1230" i="72"/>
  <c r="G1229" i="72"/>
  <c r="D1235" i="72"/>
  <c r="D1234" i="72"/>
  <c r="D1233" i="72"/>
  <c r="D1232" i="72"/>
  <c r="D1230" i="72"/>
  <c r="D1229" i="72"/>
  <c r="C1231" i="72"/>
  <c r="C1228" i="72"/>
  <c r="K1220" i="72"/>
  <c r="K1219" i="72"/>
  <c r="H1225" i="72"/>
  <c r="H1224" i="72"/>
  <c r="H1223" i="72"/>
  <c r="H1222" i="72"/>
  <c r="H1220" i="72"/>
  <c r="H1219" i="72"/>
  <c r="G1225" i="72"/>
  <c r="G1224" i="72"/>
  <c r="G1223" i="72"/>
  <c r="G1222" i="72"/>
  <c r="G1220" i="72"/>
  <c r="G1219" i="72"/>
  <c r="D1225" i="72"/>
  <c r="D1224" i="72"/>
  <c r="D1223" i="72"/>
  <c r="D1222" i="72"/>
  <c r="D1220" i="72"/>
  <c r="D1219" i="72"/>
  <c r="C1218" i="72"/>
  <c r="K1210" i="72"/>
  <c r="K1209" i="72"/>
  <c r="H1215" i="72"/>
  <c r="H1214" i="72"/>
  <c r="H1213" i="72"/>
  <c r="H1212" i="72"/>
  <c r="H1210" i="72"/>
  <c r="H1209" i="72"/>
  <c r="G1215" i="72"/>
  <c r="G1214" i="72"/>
  <c r="G1213" i="72"/>
  <c r="G1212" i="72"/>
  <c r="G1210" i="72"/>
  <c r="G1209" i="72"/>
  <c r="D1215" i="72"/>
  <c r="D1214" i="72"/>
  <c r="D1213" i="72"/>
  <c r="D1212" i="72"/>
  <c r="C1211" i="72"/>
  <c r="D1210" i="72"/>
  <c r="D1209" i="72"/>
  <c r="C1208" i="72"/>
  <c r="K1200" i="72"/>
  <c r="K1199" i="72"/>
  <c r="H1205" i="72"/>
  <c r="H1204" i="72"/>
  <c r="H1203" i="72"/>
  <c r="H1202" i="72"/>
  <c r="H1200" i="72"/>
  <c r="H1199" i="72"/>
  <c r="G1205" i="72"/>
  <c r="G1204" i="72"/>
  <c r="G1203" i="72"/>
  <c r="G1202" i="72"/>
  <c r="G1200" i="72"/>
  <c r="G1199" i="72"/>
  <c r="D1205" i="72"/>
  <c r="D1204" i="72"/>
  <c r="D1203" i="72"/>
  <c r="D1202" i="72"/>
  <c r="C1198" i="72"/>
  <c r="C1201" i="72"/>
  <c r="D1200" i="72"/>
  <c r="D1199" i="72"/>
  <c r="K1189" i="72"/>
  <c r="K1188" i="72"/>
  <c r="H1195" i="72"/>
  <c r="H1194" i="72"/>
  <c r="H1193" i="72"/>
  <c r="H1192" i="72"/>
  <c r="H1189" i="72"/>
  <c r="H1188" i="72"/>
  <c r="G1195" i="72"/>
  <c r="G1194" i="72"/>
  <c r="G1193" i="72"/>
  <c r="G1192" i="72"/>
  <c r="G1189" i="72"/>
  <c r="G1188" i="72"/>
  <c r="D1195" i="72"/>
  <c r="D1194" i="72"/>
  <c r="D1193" i="72"/>
  <c r="D1192" i="72"/>
  <c r="C1191" i="72"/>
  <c r="D1190" i="72"/>
  <c r="D1189" i="72"/>
  <c r="D1188" i="72"/>
  <c r="C1187" i="72"/>
  <c r="G1196" i="72"/>
  <c r="P2119" i="72" l="1"/>
  <c r="S2119" i="72" s="1"/>
  <c r="P1969" i="72"/>
  <c r="S1969" i="72" s="1"/>
  <c r="T1969" i="72" s="1"/>
  <c r="P1763" i="72"/>
  <c r="S1763" i="72" s="1"/>
  <c r="T1763" i="72" s="1"/>
  <c r="P1450" i="72"/>
  <c r="S1450" i="72" s="1"/>
  <c r="T1450" i="72" s="1"/>
  <c r="P1391" i="72"/>
  <c r="S1391" i="72" s="1"/>
  <c r="T1391" i="72" s="1"/>
  <c r="C1177" i="72"/>
  <c r="H1181" i="72"/>
  <c r="G1181" i="72"/>
  <c r="D1181" i="72"/>
  <c r="H1180" i="72"/>
  <c r="G1180" i="72"/>
  <c r="D1180" i="72"/>
  <c r="H1179" i="72"/>
  <c r="G1179" i="72"/>
  <c r="D1179" i="72"/>
  <c r="H1178" i="72"/>
  <c r="G1178" i="72"/>
  <c r="D1178" i="72"/>
  <c r="K1176" i="72"/>
  <c r="H1176" i="72"/>
  <c r="G1176" i="72"/>
  <c r="D1176" i="72"/>
  <c r="K1175" i="72"/>
  <c r="H1175" i="72"/>
  <c r="G1175" i="72"/>
  <c r="D1175" i="72"/>
  <c r="K1174" i="72"/>
  <c r="H1174" i="72"/>
  <c r="G1174" i="72"/>
  <c r="D1174" i="72"/>
  <c r="K1173" i="72"/>
  <c r="H1173" i="72"/>
  <c r="G1173" i="72"/>
  <c r="D1173" i="72"/>
  <c r="C1172" i="72"/>
  <c r="C1165" i="72"/>
  <c r="H1169" i="72"/>
  <c r="G1169" i="72"/>
  <c r="D1169" i="72"/>
  <c r="H1168" i="72"/>
  <c r="G1168" i="72"/>
  <c r="D1168" i="72"/>
  <c r="H1167" i="72"/>
  <c r="G1167" i="72"/>
  <c r="D1167" i="72"/>
  <c r="H1166" i="72"/>
  <c r="G1166" i="72"/>
  <c r="D1166" i="72"/>
  <c r="K1164" i="72"/>
  <c r="H1164" i="72"/>
  <c r="G1164" i="72"/>
  <c r="D1164" i="72"/>
  <c r="K1163" i="72"/>
  <c r="H1163" i="72"/>
  <c r="G1163" i="72"/>
  <c r="D1163" i="72"/>
  <c r="K1162" i="72"/>
  <c r="H1162" i="72"/>
  <c r="G1162" i="72"/>
  <c r="D1162" i="72"/>
  <c r="K1161" i="72"/>
  <c r="H1161" i="72"/>
  <c r="G1161" i="72"/>
  <c r="D1161" i="72"/>
  <c r="C1160" i="72"/>
  <c r="C1153" i="72"/>
  <c r="H1157" i="72"/>
  <c r="G1157" i="72"/>
  <c r="D1157" i="72"/>
  <c r="H1156" i="72"/>
  <c r="G1156" i="72"/>
  <c r="D1156" i="72"/>
  <c r="H1155" i="72"/>
  <c r="G1155" i="72"/>
  <c r="D1155" i="72"/>
  <c r="H1154" i="72"/>
  <c r="G1154" i="72"/>
  <c r="D1154" i="72"/>
  <c r="K1152" i="72"/>
  <c r="H1152" i="72"/>
  <c r="G1152" i="72"/>
  <c r="D1152" i="72"/>
  <c r="K1151" i="72"/>
  <c r="H1151" i="72"/>
  <c r="G1151" i="72"/>
  <c r="D1151" i="72"/>
  <c r="K1150" i="72"/>
  <c r="H1150" i="72"/>
  <c r="G1150" i="72"/>
  <c r="D1150" i="72"/>
  <c r="K1149" i="72"/>
  <c r="H1149" i="72"/>
  <c r="G1149" i="72"/>
  <c r="D1149" i="72"/>
  <c r="C1148" i="72"/>
  <c r="C1141" i="72"/>
  <c r="H1145" i="72"/>
  <c r="G1145" i="72"/>
  <c r="D1145" i="72"/>
  <c r="H1144" i="72"/>
  <c r="G1144" i="72"/>
  <c r="D1144" i="72"/>
  <c r="H1143" i="72"/>
  <c r="G1143" i="72"/>
  <c r="D1143" i="72"/>
  <c r="H1142" i="72"/>
  <c r="G1142" i="72"/>
  <c r="D1142" i="72"/>
  <c r="K1140" i="72"/>
  <c r="H1140" i="72"/>
  <c r="G1140" i="72"/>
  <c r="D1140" i="72"/>
  <c r="K1139" i="72"/>
  <c r="H1139" i="72"/>
  <c r="G1139" i="72"/>
  <c r="D1139" i="72"/>
  <c r="K1138" i="72"/>
  <c r="H1138" i="72"/>
  <c r="G1138" i="72"/>
  <c r="D1138" i="72"/>
  <c r="K1137" i="72"/>
  <c r="H1137" i="72"/>
  <c r="G1137" i="72"/>
  <c r="D1137" i="72"/>
  <c r="C1136" i="72"/>
  <c r="C1129" i="72"/>
  <c r="G1134" i="72"/>
  <c r="H1133" i="72"/>
  <c r="G1133" i="72"/>
  <c r="D1133" i="72"/>
  <c r="H1132" i="72"/>
  <c r="G1132" i="72"/>
  <c r="D1132" i="72"/>
  <c r="H1131" i="72"/>
  <c r="G1131" i="72"/>
  <c r="D1131" i="72"/>
  <c r="H1130" i="72"/>
  <c r="G1130" i="72"/>
  <c r="D1130" i="72"/>
  <c r="K1128" i="72"/>
  <c r="H1128" i="72"/>
  <c r="G1128" i="72"/>
  <c r="D1128" i="72"/>
  <c r="K1127" i="72"/>
  <c r="H1127" i="72"/>
  <c r="G1127" i="72"/>
  <c r="D1127" i="72"/>
  <c r="K1126" i="72"/>
  <c r="H1126" i="72"/>
  <c r="G1126" i="72"/>
  <c r="D1126" i="72"/>
  <c r="K1125" i="72"/>
  <c r="H1125" i="72"/>
  <c r="G1125" i="72"/>
  <c r="D1125" i="72"/>
  <c r="C1124" i="72"/>
  <c r="C1116" i="72"/>
  <c r="H1120" i="72"/>
  <c r="G1120" i="72"/>
  <c r="D1120" i="72"/>
  <c r="H1119" i="72"/>
  <c r="G1119" i="72"/>
  <c r="D1119" i="72"/>
  <c r="H1118" i="72"/>
  <c r="G1118" i="72"/>
  <c r="D1118" i="72"/>
  <c r="H1117" i="72"/>
  <c r="G1117" i="72"/>
  <c r="D1117" i="72"/>
  <c r="K1115" i="72"/>
  <c r="H1115" i="72"/>
  <c r="G1115" i="72"/>
  <c r="D1115" i="72"/>
  <c r="K1114" i="72"/>
  <c r="H1114" i="72"/>
  <c r="G1114" i="72"/>
  <c r="D1114" i="72"/>
  <c r="K1113" i="72"/>
  <c r="H1113" i="72"/>
  <c r="G1113" i="72"/>
  <c r="D1113" i="72"/>
  <c r="K1112" i="72"/>
  <c r="H1112" i="72"/>
  <c r="G1112" i="72"/>
  <c r="D1112" i="72"/>
  <c r="C1111" i="72"/>
  <c r="C1104" i="72"/>
  <c r="H1108" i="72"/>
  <c r="G1108" i="72"/>
  <c r="D1108" i="72"/>
  <c r="H1107" i="72"/>
  <c r="G1107" i="72"/>
  <c r="D1107" i="72"/>
  <c r="H1106" i="72"/>
  <c r="G1106" i="72"/>
  <c r="D1106" i="72"/>
  <c r="H1105" i="72"/>
  <c r="G1105" i="72"/>
  <c r="D1105" i="72"/>
  <c r="K1103" i="72"/>
  <c r="H1103" i="72"/>
  <c r="G1103" i="72"/>
  <c r="D1103" i="72"/>
  <c r="K1102" i="72"/>
  <c r="H1102" i="72"/>
  <c r="G1102" i="72"/>
  <c r="D1102" i="72"/>
  <c r="K1101" i="72"/>
  <c r="H1101" i="72"/>
  <c r="G1101" i="72"/>
  <c r="D1101" i="72"/>
  <c r="K1100" i="72"/>
  <c r="H1100" i="72"/>
  <c r="G1100" i="72"/>
  <c r="D1100" i="72"/>
  <c r="C1099" i="72"/>
  <c r="C1092" i="72"/>
  <c r="H1096" i="72"/>
  <c r="G1096" i="72"/>
  <c r="D1096" i="72"/>
  <c r="H1095" i="72"/>
  <c r="G1095" i="72"/>
  <c r="D1095" i="72"/>
  <c r="H1094" i="72"/>
  <c r="G1094" i="72"/>
  <c r="D1094" i="72"/>
  <c r="H1093" i="72"/>
  <c r="G1093" i="72"/>
  <c r="D1093" i="72"/>
  <c r="K1091" i="72"/>
  <c r="H1091" i="72"/>
  <c r="G1091" i="72"/>
  <c r="D1091" i="72"/>
  <c r="K1090" i="72"/>
  <c r="H1090" i="72"/>
  <c r="G1090" i="72"/>
  <c r="D1090" i="72"/>
  <c r="K1089" i="72"/>
  <c r="H1089" i="72"/>
  <c r="G1089" i="72"/>
  <c r="D1089" i="72"/>
  <c r="K1088" i="72"/>
  <c r="H1088" i="72"/>
  <c r="G1088" i="72"/>
  <c r="D1088" i="72"/>
  <c r="C1087" i="72"/>
  <c r="C1035" i="72"/>
  <c r="C1080" i="72"/>
  <c r="H1084" i="72"/>
  <c r="G1084" i="72"/>
  <c r="D1084" i="72"/>
  <c r="H1083" i="72"/>
  <c r="G1083" i="72"/>
  <c r="D1083" i="72"/>
  <c r="H1082" i="72"/>
  <c r="G1082" i="72"/>
  <c r="D1082" i="72"/>
  <c r="H1081" i="72"/>
  <c r="G1081" i="72"/>
  <c r="D1081" i="72"/>
  <c r="K1079" i="72"/>
  <c r="H1079" i="72"/>
  <c r="G1079" i="72"/>
  <c r="D1079" i="72"/>
  <c r="C1070" i="72"/>
  <c r="K1078" i="72"/>
  <c r="G1078" i="72"/>
  <c r="H1078" i="72"/>
  <c r="D1078" i="72"/>
  <c r="C1077" i="72"/>
  <c r="H1074" i="72"/>
  <c r="G1074" i="72"/>
  <c r="D1074" i="72"/>
  <c r="H1073" i="72"/>
  <c r="G1073" i="72"/>
  <c r="D1073" i="72"/>
  <c r="H1072" i="72"/>
  <c r="G1072" i="72"/>
  <c r="D1072" i="72"/>
  <c r="H1071" i="72"/>
  <c r="G1071" i="72"/>
  <c r="D1071" i="72"/>
  <c r="K1069" i="72"/>
  <c r="H1069" i="72"/>
  <c r="G1069" i="72"/>
  <c r="D1069" i="72"/>
  <c r="K1068" i="72"/>
  <c r="H1068" i="72"/>
  <c r="G1068" i="72"/>
  <c r="D1068" i="72"/>
  <c r="K1067" i="72"/>
  <c r="H1067" i="72"/>
  <c r="G1067" i="72"/>
  <c r="D1067" i="72"/>
  <c r="C1066" i="72"/>
  <c r="C1059" i="72"/>
  <c r="H1063" i="72"/>
  <c r="G1063" i="72"/>
  <c r="D1063" i="72"/>
  <c r="H1062" i="72"/>
  <c r="G1062" i="72"/>
  <c r="D1062" i="72"/>
  <c r="H1061" i="72"/>
  <c r="G1061" i="72"/>
  <c r="D1061" i="72"/>
  <c r="H1060" i="72"/>
  <c r="G1060" i="72"/>
  <c r="D1060" i="72"/>
  <c r="K1058" i="72"/>
  <c r="H1058" i="72"/>
  <c r="G1058" i="72"/>
  <c r="D1058" i="72"/>
  <c r="K1057" i="72"/>
  <c r="H1057" i="72"/>
  <c r="G1057" i="72"/>
  <c r="D1057" i="72"/>
  <c r="K1056" i="72"/>
  <c r="H1056" i="72"/>
  <c r="G1056" i="72"/>
  <c r="D1056" i="72"/>
  <c r="K1055" i="72"/>
  <c r="H1055" i="72"/>
  <c r="G1055" i="72"/>
  <c r="D1055" i="72"/>
  <c r="C1054" i="72"/>
  <c r="C1047" i="72"/>
  <c r="H1051" i="72"/>
  <c r="G1051" i="72"/>
  <c r="D1051" i="72"/>
  <c r="H1050" i="72"/>
  <c r="G1050" i="72"/>
  <c r="D1050" i="72"/>
  <c r="H1049" i="72"/>
  <c r="G1049" i="72"/>
  <c r="D1049" i="72"/>
  <c r="H1048" i="72"/>
  <c r="G1048" i="72"/>
  <c r="D1048" i="72"/>
  <c r="K1046" i="72"/>
  <c r="H1046" i="72"/>
  <c r="G1046" i="72"/>
  <c r="D1046" i="72"/>
  <c r="K1045" i="72"/>
  <c r="H1045" i="72"/>
  <c r="G1045" i="72"/>
  <c r="D1045" i="72"/>
  <c r="K1044" i="72"/>
  <c r="H1044" i="72"/>
  <c r="G1044" i="72"/>
  <c r="D1044" i="72"/>
  <c r="K1043" i="72"/>
  <c r="H1043" i="72"/>
  <c r="G1043" i="72"/>
  <c r="D1043" i="72"/>
  <c r="C1042" i="72"/>
  <c r="G1028" i="72"/>
  <c r="H1039" i="72"/>
  <c r="G1039" i="72"/>
  <c r="D1039" i="72"/>
  <c r="H1038" i="72"/>
  <c r="G1038" i="72"/>
  <c r="D1038" i="72"/>
  <c r="H1037" i="72"/>
  <c r="G1037" i="72"/>
  <c r="D1037" i="72"/>
  <c r="H1036" i="72"/>
  <c r="G1036" i="72"/>
  <c r="D1036" i="72"/>
  <c r="K1034" i="72"/>
  <c r="H1034" i="72"/>
  <c r="G1034" i="72"/>
  <c r="D1034" i="72"/>
  <c r="K1033" i="72"/>
  <c r="H1033" i="72"/>
  <c r="G1033" i="72"/>
  <c r="D1033" i="72"/>
  <c r="K1032" i="72"/>
  <c r="H1032" i="72"/>
  <c r="G1032" i="72"/>
  <c r="D1032" i="72"/>
  <c r="K1031" i="72"/>
  <c r="H1031" i="72"/>
  <c r="G1031" i="72"/>
  <c r="D1031" i="72"/>
  <c r="C1030" i="72"/>
  <c r="C1023" i="72"/>
  <c r="H1027" i="72"/>
  <c r="G1027" i="72"/>
  <c r="D1027" i="72"/>
  <c r="H1026" i="72"/>
  <c r="G1026" i="72"/>
  <c r="D1026" i="72"/>
  <c r="H1025" i="72"/>
  <c r="G1025" i="72"/>
  <c r="D1025" i="72"/>
  <c r="H1024" i="72"/>
  <c r="G1024" i="72"/>
  <c r="D1024" i="72"/>
  <c r="K1022" i="72"/>
  <c r="H1022" i="72"/>
  <c r="G1022" i="72"/>
  <c r="D1022" i="72"/>
  <c r="K1021" i="72"/>
  <c r="H1021" i="72"/>
  <c r="G1021" i="72"/>
  <c r="D1021" i="72"/>
  <c r="K1020" i="72"/>
  <c r="H1020" i="72"/>
  <c r="G1020" i="72"/>
  <c r="D1020" i="72"/>
  <c r="K1019" i="72"/>
  <c r="H1019" i="72"/>
  <c r="G1019" i="72"/>
  <c r="D1019" i="72"/>
  <c r="C1018" i="72"/>
  <c r="T2119" i="72" l="1"/>
  <c r="H1012" i="72"/>
  <c r="G1012" i="72"/>
  <c r="D1012" i="72"/>
  <c r="H1011" i="72"/>
  <c r="G1011" i="72"/>
  <c r="D1011" i="72"/>
  <c r="H1010" i="72"/>
  <c r="G1010" i="72"/>
  <c r="D1010" i="72"/>
  <c r="H1009" i="72"/>
  <c r="G1009" i="72"/>
  <c r="D1009" i="72"/>
  <c r="C1008" i="72"/>
  <c r="K1007" i="72"/>
  <c r="H1007" i="72"/>
  <c r="G1007" i="72"/>
  <c r="D1007" i="72"/>
  <c r="C1006" i="72"/>
  <c r="K963" i="72"/>
  <c r="H968" i="72"/>
  <c r="H967" i="72"/>
  <c r="H966" i="72"/>
  <c r="H965" i="72"/>
  <c r="H963" i="72"/>
  <c r="G968" i="72"/>
  <c r="G967" i="72"/>
  <c r="G966" i="72"/>
  <c r="G965" i="72"/>
  <c r="G963" i="72"/>
  <c r="D968" i="72"/>
  <c r="D967" i="72"/>
  <c r="D966" i="72"/>
  <c r="D965" i="72"/>
  <c r="C964" i="72"/>
  <c r="D963" i="72"/>
  <c r="C962" i="72"/>
  <c r="K1004" i="72"/>
  <c r="G1004" i="72"/>
  <c r="G1002" i="72"/>
  <c r="H1001" i="72"/>
  <c r="G1001" i="72"/>
  <c r="D1001" i="72"/>
  <c r="H1000" i="72"/>
  <c r="G1000" i="72"/>
  <c r="D1000" i="72"/>
  <c r="H999" i="72"/>
  <c r="G999" i="72"/>
  <c r="D999" i="72"/>
  <c r="H998" i="72"/>
  <c r="G998" i="72"/>
  <c r="D998" i="72"/>
  <c r="C997" i="72"/>
  <c r="K996" i="72"/>
  <c r="H996" i="72"/>
  <c r="G996" i="72"/>
  <c r="D996" i="72"/>
  <c r="K995" i="72"/>
  <c r="H995" i="72"/>
  <c r="G995" i="72"/>
  <c r="D995" i="72"/>
  <c r="C994" i="72"/>
  <c r="H991" i="72"/>
  <c r="G991" i="72"/>
  <c r="D991" i="72"/>
  <c r="H990" i="72"/>
  <c r="G990" i="72"/>
  <c r="D990" i="72"/>
  <c r="H989" i="72"/>
  <c r="G989" i="72"/>
  <c r="D989" i="72"/>
  <c r="H988" i="72"/>
  <c r="G988" i="72"/>
  <c r="D988" i="72"/>
  <c r="C987" i="72"/>
  <c r="K986" i="72"/>
  <c r="H986" i="72"/>
  <c r="G986" i="72"/>
  <c r="D986" i="72"/>
  <c r="K985" i="72"/>
  <c r="H985" i="72"/>
  <c r="G985" i="72"/>
  <c r="D985" i="72"/>
  <c r="K984" i="72"/>
  <c r="H984" i="72"/>
  <c r="D984" i="72"/>
  <c r="C983" i="72"/>
  <c r="G981" i="72"/>
  <c r="H980" i="72"/>
  <c r="G980" i="72"/>
  <c r="D980" i="72"/>
  <c r="H979" i="72"/>
  <c r="G979" i="72"/>
  <c r="D979" i="72"/>
  <c r="H978" i="72"/>
  <c r="G978" i="72"/>
  <c r="D978" i="72"/>
  <c r="H977" i="72"/>
  <c r="G977" i="72"/>
  <c r="D977" i="72"/>
  <c r="C976" i="72"/>
  <c r="K975" i="72"/>
  <c r="H975" i="72"/>
  <c r="G975" i="72"/>
  <c r="D975" i="72"/>
  <c r="K974" i="72"/>
  <c r="H974" i="72"/>
  <c r="G974" i="72"/>
  <c r="D974" i="72"/>
  <c r="K973" i="72"/>
  <c r="H973" i="72"/>
  <c r="G973" i="72"/>
  <c r="D973" i="72"/>
  <c r="C972" i="72"/>
  <c r="K960" i="72"/>
  <c r="G960" i="72"/>
  <c r="K952" i="72"/>
  <c r="K951" i="72"/>
  <c r="H957" i="72"/>
  <c r="H956" i="72"/>
  <c r="H955" i="72"/>
  <c r="H954" i="72"/>
  <c r="H952" i="72"/>
  <c r="H951" i="72"/>
  <c r="G957" i="72"/>
  <c r="G956" i="72"/>
  <c r="G955" i="72"/>
  <c r="G954" i="72"/>
  <c r="G952" i="72"/>
  <c r="G951" i="72"/>
  <c r="D957" i="72"/>
  <c r="D956" i="72"/>
  <c r="D955" i="72"/>
  <c r="D954" i="72"/>
  <c r="C953" i="72"/>
  <c r="D952" i="72"/>
  <c r="D951" i="72"/>
  <c r="C950" i="72"/>
  <c r="G958" i="72"/>
  <c r="K942" i="72"/>
  <c r="K941" i="72"/>
  <c r="K940" i="72"/>
  <c r="H947" i="72"/>
  <c r="H946" i="72"/>
  <c r="H945" i="72"/>
  <c r="H944" i="72"/>
  <c r="H942" i="72"/>
  <c r="H941" i="72"/>
  <c r="H940" i="72"/>
  <c r="G947" i="72"/>
  <c r="G946" i="72"/>
  <c r="G945" i="72"/>
  <c r="G944" i="72"/>
  <c r="G942" i="72"/>
  <c r="G941" i="72"/>
  <c r="D947" i="72"/>
  <c r="D946" i="72"/>
  <c r="D945" i="72"/>
  <c r="D944" i="72"/>
  <c r="C943" i="72"/>
  <c r="D942" i="72"/>
  <c r="D941" i="72"/>
  <c r="D940" i="72"/>
  <c r="C939" i="72"/>
  <c r="K931" i="72"/>
  <c r="K930" i="72"/>
  <c r="K929" i="72"/>
  <c r="H936" i="72"/>
  <c r="H935" i="72"/>
  <c r="H934" i="72"/>
  <c r="H933" i="72"/>
  <c r="H931" i="72"/>
  <c r="H930" i="72"/>
  <c r="H929" i="72"/>
  <c r="G936" i="72"/>
  <c r="G935" i="72"/>
  <c r="G934" i="72"/>
  <c r="G933" i="72"/>
  <c r="G931" i="72"/>
  <c r="G930" i="72"/>
  <c r="G929" i="72"/>
  <c r="D936" i="72"/>
  <c r="D935" i="72"/>
  <c r="D934" i="72"/>
  <c r="D933" i="72"/>
  <c r="C932" i="72"/>
  <c r="D931" i="72"/>
  <c r="D930" i="72"/>
  <c r="D929" i="72"/>
  <c r="C928" i="72"/>
  <c r="G937" i="72"/>
  <c r="C916" i="72"/>
  <c r="H922" i="72"/>
  <c r="G922" i="72"/>
  <c r="D922" i="72"/>
  <c r="H921" i="72"/>
  <c r="G921" i="72"/>
  <c r="D921" i="72"/>
  <c r="H920" i="72"/>
  <c r="G920" i="72"/>
  <c r="D920" i="72"/>
  <c r="H919" i="72"/>
  <c r="G919" i="72"/>
  <c r="D919" i="72"/>
  <c r="H918" i="72"/>
  <c r="G918" i="72"/>
  <c r="D918" i="72"/>
  <c r="H917" i="72"/>
  <c r="G917" i="72"/>
  <c r="D917" i="72"/>
  <c r="K915" i="72"/>
  <c r="H915" i="72"/>
  <c r="G915" i="72"/>
  <c r="D915" i="72"/>
  <c r="K914" i="72"/>
  <c r="H914" i="72"/>
  <c r="G914" i="72"/>
  <c r="D914" i="72"/>
  <c r="K913" i="72"/>
  <c r="H913" i="72"/>
  <c r="G913" i="72"/>
  <c r="D913" i="72"/>
  <c r="K912" i="72"/>
  <c r="H912" i="72"/>
  <c r="G912" i="72"/>
  <c r="D912" i="72"/>
  <c r="K911" i="72"/>
  <c r="H911" i="72"/>
  <c r="G911" i="72"/>
  <c r="D911" i="72"/>
  <c r="H910" i="72"/>
  <c r="G910" i="72"/>
  <c r="D910" i="72"/>
  <c r="K909" i="72"/>
  <c r="H909" i="72"/>
  <c r="G909" i="72"/>
  <c r="D909" i="72"/>
  <c r="C908" i="72"/>
  <c r="C899" i="72"/>
  <c r="H905" i="72"/>
  <c r="G905" i="72"/>
  <c r="D905" i="72"/>
  <c r="H904" i="72"/>
  <c r="G904" i="72"/>
  <c r="D904" i="72"/>
  <c r="H903" i="72"/>
  <c r="G903" i="72"/>
  <c r="D903" i="72"/>
  <c r="H902" i="72"/>
  <c r="G902" i="72"/>
  <c r="D902" i="72"/>
  <c r="H901" i="72"/>
  <c r="G901" i="72"/>
  <c r="D901" i="72"/>
  <c r="H900" i="72"/>
  <c r="G900" i="72"/>
  <c r="D900" i="72"/>
  <c r="K898" i="72"/>
  <c r="H898" i="72"/>
  <c r="G898" i="72"/>
  <c r="D898" i="72"/>
  <c r="K897" i="72"/>
  <c r="H897" i="72"/>
  <c r="G897" i="72"/>
  <c r="D897" i="72"/>
  <c r="K896" i="72"/>
  <c r="H896" i="72"/>
  <c r="G896" i="72"/>
  <c r="D896" i="72"/>
  <c r="K895" i="72"/>
  <c r="H895" i="72"/>
  <c r="G895" i="72"/>
  <c r="D895" i="72"/>
  <c r="K894" i="72"/>
  <c r="H894" i="72"/>
  <c r="G894" i="72"/>
  <c r="D894" i="72"/>
  <c r="H893" i="72"/>
  <c r="G893" i="72"/>
  <c r="D893" i="72"/>
  <c r="K892" i="72"/>
  <c r="H892" i="72"/>
  <c r="G892" i="72"/>
  <c r="D892" i="72"/>
  <c r="C891" i="72"/>
  <c r="H887" i="72"/>
  <c r="G887" i="72"/>
  <c r="D887" i="72"/>
  <c r="H886" i="72"/>
  <c r="G886" i="72"/>
  <c r="D886" i="72"/>
  <c r="H885" i="72"/>
  <c r="G885" i="72"/>
  <c r="D885" i="72"/>
  <c r="H884" i="72"/>
  <c r="G884" i="72"/>
  <c r="D884" i="72"/>
  <c r="C883" i="72"/>
  <c r="D882" i="72"/>
  <c r="K881" i="72"/>
  <c r="H881" i="72"/>
  <c r="D881" i="72"/>
  <c r="K880" i="72"/>
  <c r="H880" i="72"/>
  <c r="D880" i="72"/>
  <c r="K879" i="72"/>
  <c r="H879" i="72"/>
  <c r="D879" i="72"/>
  <c r="K878" i="72"/>
  <c r="H878" i="72"/>
  <c r="G878" i="72"/>
  <c r="D878" i="72"/>
  <c r="H877" i="72"/>
  <c r="G877" i="72"/>
  <c r="D877" i="72"/>
  <c r="K876" i="72"/>
  <c r="H876" i="72"/>
  <c r="D876" i="72"/>
  <c r="C875" i="72"/>
  <c r="H872" i="72"/>
  <c r="G872" i="72"/>
  <c r="D872" i="72"/>
  <c r="H871" i="72"/>
  <c r="G871" i="72"/>
  <c r="D871" i="72"/>
  <c r="H870" i="72"/>
  <c r="G870" i="72"/>
  <c r="D870" i="72"/>
  <c r="H869" i="72"/>
  <c r="G869" i="72"/>
  <c r="D869" i="72"/>
  <c r="C868" i="72"/>
  <c r="K867" i="72"/>
  <c r="H867" i="72"/>
  <c r="G867" i="72"/>
  <c r="D867" i="72"/>
  <c r="K866" i="72"/>
  <c r="H866" i="72"/>
  <c r="G866" i="72"/>
  <c r="D866" i="72"/>
  <c r="C865" i="72"/>
  <c r="H862" i="72"/>
  <c r="G862" i="72"/>
  <c r="D862" i="72"/>
  <c r="H861" i="72"/>
  <c r="G861" i="72"/>
  <c r="D861" i="72"/>
  <c r="H860" i="72"/>
  <c r="G860" i="72"/>
  <c r="D860" i="72"/>
  <c r="H859" i="72"/>
  <c r="G859" i="72"/>
  <c r="D859" i="72"/>
  <c r="C858" i="72"/>
  <c r="K857" i="72"/>
  <c r="H857" i="72"/>
  <c r="G857" i="72"/>
  <c r="D857" i="72"/>
  <c r="K856" i="72"/>
  <c r="H856" i="72"/>
  <c r="G856" i="72"/>
  <c r="D856" i="72"/>
  <c r="K855" i="72"/>
  <c r="H855" i="72"/>
  <c r="G855" i="72"/>
  <c r="D855" i="72"/>
  <c r="K854" i="72"/>
  <c r="H854" i="72"/>
  <c r="G854" i="72"/>
  <c r="D854" i="72"/>
  <c r="C853" i="72"/>
  <c r="H848" i="72"/>
  <c r="G848" i="72"/>
  <c r="D848" i="72"/>
  <c r="H847" i="72"/>
  <c r="G847" i="72"/>
  <c r="D847" i="72"/>
  <c r="H846" i="72"/>
  <c r="G846" i="72"/>
  <c r="D846" i="72"/>
  <c r="H845" i="72"/>
  <c r="G845" i="72"/>
  <c r="D845" i="72"/>
  <c r="C844" i="72"/>
  <c r="D843" i="72"/>
  <c r="K842" i="72"/>
  <c r="H842" i="72"/>
  <c r="D842" i="72"/>
  <c r="K841" i="72"/>
  <c r="H841" i="72"/>
  <c r="D841" i="72"/>
  <c r="K840" i="72"/>
  <c r="H840" i="72"/>
  <c r="D840" i="72"/>
  <c r="K839" i="72"/>
  <c r="H839" i="72"/>
  <c r="G839" i="72"/>
  <c r="D839" i="72"/>
  <c r="H838" i="72"/>
  <c r="G838" i="72"/>
  <c r="D838" i="72"/>
  <c r="K837" i="72"/>
  <c r="H837" i="72"/>
  <c r="D837" i="72"/>
  <c r="C836" i="72"/>
  <c r="H833" i="72"/>
  <c r="G833" i="72"/>
  <c r="D833" i="72"/>
  <c r="H832" i="72"/>
  <c r="G832" i="72"/>
  <c r="D832" i="72"/>
  <c r="H831" i="72"/>
  <c r="G831" i="72"/>
  <c r="D831" i="72"/>
  <c r="H830" i="72"/>
  <c r="G830" i="72"/>
  <c r="D830" i="72"/>
  <c r="C829" i="72"/>
  <c r="K828" i="72"/>
  <c r="H828" i="72"/>
  <c r="G828" i="72"/>
  <c r="D828" i="72"/>
  <c r="K827" i="72"/>
  <c r="H827" i="72"/>
  <c r="G827" i="72"/>
  <c r="D827" i="72"/>
  <c r="C826" i="72"/>
  <c r="H823" i="72"/>
  <c r="G823" i="72"/>
  <c r="D823" i="72"/>
  <c r="H822" i="72"/>
  <c r="G822" i="72"/>
  <c r="D822" i="72"/>
  <c r="H821" i="72"/>
  <c r="G821" i="72"/>
  <c r="D821" i="72"/>
  <c r="H820" i="72"/>
  <c r="G820" i="72"/>
  <c r="D820" i="72"/>
  <c r="C819" i="72"/>
  <c r="K818" i="72"/>
  <c r="H818" i="72"/>
  <c r="G818" i="72"/>
  <c r="D818" i="72"/>
  <c r="K817" i="72"/>
  <c r="H817" i="72"/>
  <c r="G817" i="72"/>
  <c r="D817" i="72"/>
  <c r="K816" i="72"/>
  <c r="H816" i="72"/>
  <c r="G816" i="72"/>
  <c r="D816" i="72"/>
  <c r="K815" i="72"/>
  <c r="H815" i="72"/>
  <c r="G815" i="72"/>
  <c r="D815" i="72"/>
  <c r="C814" i="72"/>
  <c r="H810" i="72"/>
  <c r="G810" i="72"/>
  <c r="D810" i="72"/>
  <c r="H809" i="72"/>
  <c r="G809" i="72"/>
  <c r="D809" i="72"/>
  <c r="H808" i="72"/>
  <c r="G808" i="72"/>
  <c r="D808" i="72"/>
  <c r="H807" i="72"/>
  <c r="G807" i="72"/>
  <c r="D807" i="72"/>
  <c r="C806" i="72"/>
  <c r="D805" i="72"/>
  <c r="K804" i="72"/>
  <c r="H804" i="72"/>
  <c r="D804" i="72"/>
  <c r="K803" i="72"/>
  <c r="H803" i="72"/>
  <c r="D803" i="72"/>
  <c r="K802" i="72"/>
  <c r="H802" i="72"/>
  <c r="D802" i="72"/>
  <c r="K801" i="72"/>
  <c r="H801" i="72"/>
  <c r="G801" i="72"/>
  <c r="D801" i="72"/>
  <c r="H800" i="72"/>
  <c r="G800" i="72"/>
  <c r="D800" i="72"/>
  <c r="K799" i="72"/>
  <c r="H799" i="72"/>
  <c r="D799" i="72"/>
  <c r="C798" i="72"/>
  <c r="H795" i="72"/>
  <c r="G795" i="72"/>
  <c r="D795" i="72"/>
  <c r="H794" i="72"/>
  <c r="G794" i="72"/>
  <c r="D794" i="72"/>
  <c r="H793" i="72"/>
  <c r="G793" i="72"/>
  <c r="D793" i="72"/>
  <c r="H792" i="72"/>
  <c r="G792" i="72"/>
  <c r="D792" i="72"/>
  <c r="C791" i="72"/>
  <c r="K790" i="72"/>
  <c r="H790" i="72"/>
  <c r="G790" i="72"/>
  <c r="D790" i="72"/>
  <c r="K789" i="72"/>
  <c r="H789" i="72"/>
  <c r="G789" i="72"/>
  <c r="D789" i="72"/>
  <c r="C788" i="72"/>
  <c r="H785" i="72"/>
  <c r="G785" i="72"/>
  <c r="D785" i="72"/>
  <c r="H784" i="72"/>
  <c r="G784" i="72"/>
  <c r="D784" i="72"/>
  <c r="H783" i="72"/>
  <c r="G783" i="72"/>
  <c r="D783" i="72"/>
  <c r="H782" i="72"/>
  <c r="G782" i="72"/>
  <c r="D782" i="72"/>
  <c r="C781" i="72"/>
  <c r="K780" i="72"/>
  <c r="H780" i="72"/>
  <c r="G780" i="72"/>
  <c r="D780" i="72"/>
  <c r="K779" i="72"/>
  <c r="H779" i="72"/>
  <c r="G779" i="72"/>
  <c r="D779" i="72"/>
  <c r="K778" i="72"/>
  <c r="H778" i="72"/>
  <c r="G778" i="72"/>
  <c r="D778" i="72"/>
  <c r="K777" i="72"/>
  <c r="H777" i="72"/>
  <c r="G777" i="72"/>
  <c r="D777" i="72"/>
  <c r="C776" i="72"/>
  <c r="H772" i="72"/>
  <c r="G772" i="72"/>
  <c r="D772" i="72"/>
  <c r="H771" i="72"/>
  <c r="G771" i="72"/>
  <c r="D771" i="72"/>
  <c r="H770" i="72"/>
  <c r="G770" i="72"/>
  <c r="D770" i="72"/>
  <c r="H769" i="72"/>
  <c r="G769" i="72"/>
  <c r="D769" i="72"/>
  <c r="C768" i="72"/>
  <c r="D767" i="72"/>
  <c r="K766" i="72"/>
  <c r="H766" i="72"/>
  <c r="D766" i="72"/>
  <c r="K765" i="72"/>
  <c r="H765" i="72"/>
  <c r="D765" i="72"/>
  <c r="K764" i="72"/>
  <c r="H764" i="72"/>
  <c r="D764" i="72"/>
  <c r="K763" i="72"/>
  <c r="H763" i="72"/>
  <c r="G763" i="72"/>
  <c r="D763" i="72"/>
  <c r="H762" i="72"/>
  <c r="G762" i="72"/>
  <c r="D762" i="72"/>
  <c r="K761" i="72"/>
  <c r="H761" i="72"/>
  <c r="D761" i="72"/>
  <c r="C760" i="72"/>
  <c r="K728" i="72"/>
  <c r="K727" i="72"/>
  <c r="K726" i="72"/>
  <c r="K725" i="72"/>
  <c r="K723" i="72"/>
  <c r="H734" i="72"/>
  <c r="H733" i="72"/>
  <c r="H732" i="72"/>
  <c r="H731" i="72"/>
  <c r="H728" i="72"/>
  <c r="H727" i="72"/>
  <c r="H726" i="72"/>
  <c r="H725" i="72"/>
  <c r="H724" i="72"/>
  <c r="H723" i="72"/>
  <c r="G734" i="72"/>
  <c r="G733" i="72"/>
  <c r="G732" i="72"/>
  <c r="G731" i="72"/>
  <c r="G725" i="72"/>
  <c r="G724" i="72"/>
  <c r="D734" i="72"/>
  <c r="D733" i="72"/>
  <c r="D732" i="72"/>
  <c r="D731" i="72"/>
  <c r="C730" i="72"/>
  <c r="D729" i="72"/>
  <c r="D728" i="72"/>
  <c r="D727" i="72"/>
  <c r="D726" i="72"/>
  <c r="D725" i="72"/>
  <c r="D724" i="72"/>
  <c r="D723" i="72"/>
  <c r="C722" i="72"/>
  <c r="H757" i="72"/>
  <c r="G757" i="72"/>
  <c r="D757" i="72"/>
  <c r="H756" i="72"/>
  <c r="G756" i="72"/>
  <c r="D756" i="72"/>
  <c r="H755" i="72"/>
  <c r="G755" i="72"/>
  <c r="D755" i="72"/>
  <c r="H754" i="72"/>
  <c r="G754" i="72"/>
  <c r="D754" i="72"/>
  <c r="C753" i="72"/>
  <c r="K752" i="72"/>
  <c r="H752" i="72"/>
  <c r="G752" i="72"/>
  <c r="D752" i="72"/>
  <c r="K751" i="72"/>
  <c r="H751" i="72"/>
  <c r="G751" i="72"/>
  <c r="D751" i="72"/>
  <c r="C750" i="72"/>
  <c r="H747" i="72"/>
  <c r="G747" i="72"/>
  <c r="D747" i="72"/>
  <c r="H746" i="72"/>
  <c r="G746" i="72"/>
  <c r="D746" i="72"/>
  <c r="H745" i="72"/>
  <c r="G745" i="72"/>
  <c r="D745" i="72"/>
  <c r="H744" i="72"/>
  <c r="G744" i="72"/>
  <c r="D744" i="72"/>
  <c r="C743" i="72"/>
  <c r="K742" i="72"/>
  <c r="H742" i="72"/>
  <c r="G742" i="72"/>
  <c r="D742" i="72"/>
  <c r="K741" i="72"/>
  <c r="H741" i="72"/>
  <c r="G741" i="72"/>
  <c r="D741" i="72"/>
  <c r="K740" i="72"/>
  <c r="H740" i="72"/>
  <c r="G740" i="72"/>
  <c r="D740" i="72"/>
  <c r="K739" i="72"/>
  <c r="H739" i="72"/>
  <c r="G739" i="72"/>
  <c r="D739" i="72"/>
  <c r="C738" i="72"/>
  <c r="H719" i="72"/>
  <c r="G719" i="72"/>
  <c r="D719" i="72"/>
  <c r="H718" i="72"/>
  <c r="G718" i="72"/>
  <c r="D718" i="72"/>
  <c r="H717" i="72"/>
  <c r="G717" i="72"/>
  <c r="D717" i="72"/>
  <c r="H716" i="72"/>
  <c r="G716" i="72"/>
  <c r="D716" i="72"/>
  <c r="C715" i="72"/>
  <c r="K714" i="72"/>
  <c r="H714" i="72"/>
  <c r="G714" i="72"/>
  <c r="D714" i="72"/>
  <c r="K713" i="72"/>
  <c r="H713" i="72"/>
  <c r="G713" i="72"/>
  <c r="D713" i="72"/>
  <c r="C712" i="72"/>
  <c r="H709" i="72"/>
  <c r="G709" i="72"/>
  <c r="D709" i="72"/>
  <c r="H708" i="72"/>
  <c r="G708" i="72"/>
  <c r="D708" i="72"/>
  <c r="H707" i="72"/>
  <c r="G707" i="72"/>
  <c r="D707" i="72"/>
  <c r="H706" i="72"/>
  <c r="G706" i="72"/>
  <c r="D706" i="72"/>
  <c r="C705" i="72"/>
  <c r="K704" i="72"/>
  <c r="H704" i="72"/>
  <c r="G704" i="72"/>
  <c r="D704" i="72"/>
  <c r="K703" i="72"/>
  <c r="H703" i="72"/>
  <c r="G703" i="72"/>
  <c r="D703" i="72"/>
  <c r="K702" i="72"/>
  <c r="H702" i="72"/>
  <c r="G702" i="72"/>
  <c r="D702" i="72"/>
  <c r="K701" i="72"/>
  <c r="H701" i="72"/>
  <c r="G701" i="72"/>
  <c r="D701" i="72"/>
  <c r="C700" i="72"/>
  <c r="G711" i="72"/>
  <c r="AA711" i="72" s="1"/>
  <c r="H695" i="72"/>
  <c r="G695" i="72"/>
  <c r="D695" i="72"/>
  <c r="H694" i="72"/>
  <c r="G694" i="72"/>
  <c r="D694" i="72"/>
  <c r="H693" i="72"/>
  <c r="G693" i="72"/>
  <c r="D693" i="72"/>
  <c r="H692" i="72"/>
  <c r="G692" i="72"/>
  <c r="D692" i="72"/>
  <c r="C691" i="72"/>
  <c r="D690" i="72"/>
  <c r="K689" i="72"/>
  <c r="H689" i="72"/>
  <c r="D689" i="72"/>
  <c r="K688" i="72"/>
  <c r="H688" i="72"/>
  <c r="D688" i="72"/>
  <c r="K687" i="72"/>
  <c r="H687" i="72"/>
  <c r="D687" i="72"/>
  <c r="K686" i="72"/>
  <c r="H686" i="72"/>
  <c r="G686" i="72"/>
  <c r="D686" i="72"/>
  <c r="H685" i="72"/>
  <c r="G685" i="72"/>
  <c r="D685" i="72"/>
  <c r="K684" i="72"/>
  <c r="H684" i="72"/>
  <c r="D684" i="72"/>
  <c r="C683" i="72"/>
  <c r="H680" i="72"/>
  <c r="G680" i="72"/>
  <c r="D680" i="72"/>
  <c r="H679" i="72"/>
  <c r="G679" i="72"/>
  <c r="D679" i="72"/>
  <c r="H678" i="72"/>
  <c r="G678" i="72"/>
  <c r="D678" i="72"/>
  <c r="H677" i="72"/>
  <c r="G677" i="72"/>
  <c r="D677" i="72"/>
  <c r="C676" i="72"/>
  <c r="K675" i="72"/>
  <c r="H675" i="72"/>
  <c r="G675" i="72"/>
  <c r="D675" i="72"/>
  <c r="K674" i="72"/>
  <c r="H674" i="72"/>
  <c r="G674" i="72"/>
  <c r="D674" i="72"/>
  <c r="C673" i="72"/>
  <c r="H670" i="72"/>
  <c r="G670" i="72"/>
  <c r="D670" i="72"/>
  <c r="H669" i="72"/>
  <c r="G669" i="72"/>
  <c r="D669" i="72"/>
  <c r="H668" i="72"/>
  <c r="G668" i="72"/>
  <c r="D668" i="72"/>
  <c r="H667" i="72"/>
  <c r="G667" i="72"/>
  <c r="D667" i="72"/>
  <c r="C666" i="72"/>
  <c r="K665" i="72"/>
  <c r="H665" i="72"/>
  <c r="G665" i="72"/>
  <c r="D665" i="72"/>
  <c r="K664" i="72"/>
  <c r="H664" i="72"/>
  <c r="G664" i="72"/>
  <c r="D664" i="72"/>
  <c r="K663" i="72"/>
  <c r="H663" i="72"/>
  <c r="G663" i="72"/>
  <c r="D663" i="72"/>
  <c r="K662" i="72"/>
  <c r="H662" i="72"/>
  <c r="G662" i="72"/>
  <c r="D662" i="72"/>
  <c r="C661" i="72"/>
  <c r="H657" i="72"/>
  <c r="G657" i="72"/>
  <c r="D657" i="72"/>
  <c r="H656" i="72"/>
  <c r="G656" i="72"/>
  <c r="D656" i="72"/>
  <c r="H655" i="72"/>
  <c r="G655" i="72"/>
  <c r="D655" i="72"/>
  <c r="H654" i="72"/>
  <c r="G654" i="72"/>
  <c r="D654" i="72"/>
  <c r="C653" i="72"/>
  <c r="D652" i="72"/>
  <c r="K651" i="72"/>
  <c r="H651" i="72"/>
  <c r="D651" i="72"/>
  <c r="K650" i="72"/>
  <c r="H650" i="72"/>
  <c r="D650" i="72"/>
  <c r="K649" i="72"/>
  <c r="H649" i="72"/>
  <c r="D649" i="72"/>
  <c r="K648" i="72"/>
  <c r="H648" i="72"/>
  <c r="G648" i="72"/>
  <c r="D648" i="72"/>
  <c r="H647" i="72"/>
  <c r="G647" i="72"/>
  <c r="D647" i="72"/>
  <c r="K646" i="72"/>
  <c r="H646" i="72"/>
  <c r="D646" i="72"/>
  <c r="C645" i="72"/>
  <c r="H642" i="72"/>
  <c r="G642" i="72"/>
  <c r="D642" i="72"/>
  <c r="H641" i="72"/>
  <c r="G641" i="72"/>
  <c r="D641" i="72"/>
  <c r="H640" i="72"/>
  <c r="G640" i="72"/>
  <c r="D640" i="72"/>
  <c r="H639" i="72"/>
  <c r="G639" i="72"/>
  <c r="D639" i="72"/>
  <c r="C638" i="72"/>
  <c r="K637" i="72"/>
  <c r="H637" i="72"/>
  <c r="G637" i="72"/>
  <c r="D637" i="72"/>
  <c r="K636" i="72"/>
  <c r="H636" i="72"/>
  <c r="G636" i="72"/>
  <c r="D636" i="72"/>
  <c r="C635" i="72"/>
  <c r="H632" i="72"/>
  <c r="G632" i="72"/>
  <c r="D632" i="72"/>
  <c r="H631" i="72"/>
  <c r="G631" i="72"/>
  <c r="D631" i="72"/>
  <c r="H630" i="72"/>
  <c r="G630" i="72"/>
  <c r="D630" i="72"/>
  <c r="H629" i="72"/>
  <c r="G629" i="72"/>
  <c r="D629" i="72"/>
  <c r="C628" i="72"/>
  <c r="K627" i="72"/>
  <c r="H627" i="72"/>
  <c r="G627" i="72"/>
  <c r="D627" i="72"/>
  <c r="K626" i="72"/>
  <c r="H626" i="72"/>
  <c r="G626" i="72"/>
  <c r="D626" i="72"/>
  <c r="K625" i="72"/>
  <c r="H625" i="72"/>
  <c r="G625" i="72"/>
  <c r="D625" i="72"/>
  <c r="K624" i="72"/>
  <c r="H624" i="72"/>
  <c r="G624" i="72"/>
  <c r="D624" i="72"/>
  <c r="C623" i="72"/>
  <c r="H619" i="72"/>
  <c r="G619" i="72"/>
  <c r="D619" i="72"/>
  <c r="H618" i="72"/>
  <c r="G618" i="72"/>
  <c r="D618" i="72"/>
  <c r="H617" i="72"/>
  <c r="G617" i="72"/>
  <c r="D617" i="72"/>
  <c r="H616" i="72"/>
  <c r="G616" i="72"/>
  <c r="D616" i="72"/>
  <c r="C615" i="72"/>
  <c r="D614" i="72"/>
  <c r="K613" i="72"/>
  <c r="H613" i="72"/>
  <c r="D613" i="72"/>
  <c r="K612" i="72"/>
  <c r="H612" i="72"/>
  <c r="D612" i="72"/>
  <c r="K611" i="72"/>
  <c r="H611" i="72"/>
  <c r="D611" i="72"/>
  <c r="K610" i="72"/>
  <c r="H610" i="72"/>
  <c r="G610" i="72"/>
  <c r="D610" i="72"/>
  <c r="H609" i="72"/>
  <c r="G609" i="72"/>
  <c r="D609" i="72"/>
  <c r="K608" i="72"/>
  <c r="H608" i="72"/>
  <c r="D608" i="72"/>
  <c r="C607" i="72"/>
  <c r="H604" i="72"/>
  <c r="G604" i="72"/>
  <c r="D604" i="72"/>
  <c r="H603" i="72"/>
  <c r="G603" i="72"/>
  <c r="D603" i="72"/>
  <c r="H602" i="72"/>
  <c r="G602" i="72"/>
  <c r="D602" i="72"/>
  <c r="H601" i="72"/>
  <c r="G601" i="72"/>
  <c r="D601" i="72"/>
  <c r="C600" i="72"/>
  <c r="K599" i="72"/>
  <c r="H599" i="72"/>
  <c r="G599" i="72"/>
  <c r="D599" i="72"/>
  <c r="K598" i="72"/>
  <c r="H598" i="72"/>
  <c r="G598" i="72"/>
  <c r="D598" i="72"/>
  <c r="C597" i="72"/>
  <c r="H594" i="72"/>
  <c r="G594" i="72"/>
  <c r="D594" i="72"/>
  <c r="H593" i="72"/>
  <c r="G593" i="72"/>
  <c r="D593" i="72"/>
  <c r="H592" i="72"/>
  <c r="G592" i="72"/>
  <c r="D592" i="72"/>
  <c r="H591" i="72"/>
  <c r="G591" i="72"/>
  <c r="D591" i="72"/>
  <c r="C590" i="72"/>
  <c r="K589" i="72"/>
  <c r="H589" i="72"/>
  <c r="G589" i="72"/>
  <c r="D589" i="72"/>
  <c r="K588" i="72"/>
  <c r="H588" i="72"/>
  <c r="G588" i="72"/>
  <c r="D588" i="72"/>
  <c r="K587" i="72"/>
  <c r="H587" i="72"/>
  <c r="G587" i="72"/>
  <c r="D587" i="72"/>
  <c r="K586" i="72"/>
  <c r="H586" i="72"/>
  <c r="G586" i="72"/>
  <c r="D586" i="72"/>
  <c r="C585" i="72"/>
  <c r="H581" i="72"/>
  <c r="G581" i="72"/>
  <c r="D581" i="72"/>
  <c r="H580" i="72"/>
  <c r="G580" i="72"/>
  <c r="D580" i="72"/>
  <c r="H579" i="72"/>
  <c r="G579" i="72"/>
  <c r="D579" i="72"/>
  <c r="H578" i="72"/>
  <c r="G578" i="72"/>
  <c r="D578" i="72"/>
  <c r="C577" i="72"/>
  <c r="D576" i="72"/>
  <c r="K575" i="72"/>
  <c r="H575" i="72"/>
  <c r="D575" i="72"/>
  <c r="K574" i="72"/>
  <c r="H574" i="72"/>
  <c r="D574" i="72"/>
  <c r="K573" i="72"/>
  <c r="H573" i="72"/>
  <c r="D573" i="72"/>
  <c r="K572" i="72"/>
  <c r="H572" i="72"/>
  <c r="G572" i="72"/>
  <c r="D572" i="72"/>
  <c r="H571" i="72"/>
  <c r="G571" i="72"/>
  <c r="D571" i="72"/>
  <c r="K570" i="72"/>
  <c r="H570" i="72"/>
  <c r="D570" i="72"/>
  <c r="C569" i="72"/>
  <c r="H566" i="72"/>
  <c r="G566" i="72"/>
  <c r="D566" i="72"/>
  <c r="H565" i="72"/>
  <c r="G565" i="72"/>
  <c r="D565" i="72"/>
  <c r="H564" i="72"/>
  <c r="G564" i="72"/>
  <c r="D564" i="72"/>
  <c r="H563" i="72"/>
  <c r="G563" i="72"/>
  <c r="D563" i="72"/>
  <c r="C562" i="72"/>
  <c r="K561" i="72"/>
  <c r="H561" i="72"/>
  <c r="G561" i="72"/>
  <c r="D561" i="72"/>
  <c r="K560" i="72"/>
  <c r="H560" i="72"/>
  <c r="G560" i="72"/>
  <c r="D560" i="72"/>
  <c r="C559" i="72"/>
  <c r="H556" i="72"/>
  <c r="G556" i="72"/>
  <c r="D556" i="72"/>
  <c r="H555" i="72"/>
  <c r="G555" i="72"/>
  <c r="D555" i="72"/>
  <c r="H554" i="72"/>
  <c r="G554" i="72"/>
  <c r="D554" i="72"/>
  <c r="H553" i="72"/>
  <c r="G553" i="72"/>
  <c r="D553" i="72"/>
  <c r="C552" i="72"/>
  <c r="K551" i="72"/>
  <c r="H551" i="72"/>
  <c r="G551" i="72"/>
  <c r="D551" i="72"/>
  <c r="K550" i="72"/>
  <c r="H550" i="72"/>
  <c r="G550" i="72"/>
  <c r="D550" i="72"/>
  <c r="K549" i="72"/>
  <c r="H549" i="72"/>
  <c r="G549" i="72"/>
  <c r="D549" i="72"/>
  <c r="K548" i="72"/>
  <c r="H548" i="72"/>
  <c r="G548" i="72"/>
  <c r="D548" i="72"/>
  <c r="C547" i="72"/>
  <c r="K537" i="72"/>
  <c r="K536" i="72"/>
  <c r="K535" i="72"/>
  <c r="K534" i="72"/>
  <c r="K532" i="72"/>
  <c r="H543" i="72"/>
  <c r="H542" i="72"/>
  <c r="H541" i="72"/>
  <c r="H540" i="72"/>
  <c r="H537" i="72"/>
  <c r="H536" i="72"/>
  <c r="H535" i="72"/>
  <c r="H534" i="72"/>
  <c r="H533" i="72"/>
  <c r="H532" i="72"/>
  <c r="G543" i="72"/>
  <c r="G542" i="72"/>
  <c r="G541" i="72"/>
  <c r="G540" i="72"/>
  <c r="G534" i="72"/>
  <c r="G533" i="72"/>
  <c r="D543" i="72"/>
  <c r="D542" i="72"/>
  <c r="D541" i="72"/>
  <c r="D540" i="72"/>
  <c r="C539" i="72"/>
  <c r="D538" i="72"/>
  <c r="D537" i="72"/>
  <c r="D536" i="72"/>
  <c r="D535" i="72"/>
  <c r="D534" i="72"/>
  <c r="D533" i="72"/>
  <c r="D532" i="72"/>
  <c r="C531" i="72"/>
  <c r="H528" i="72"/>
  <c r="G528" i="72"/>
  <c r="D528" i="72"/>
  <c r="H527" i="72"/>
  <c r="G527" i="72"/>
  <c r="D527" i="72"/>
  <c r="H526" i="72"/>
  <c r="G526" i="72"/>
  <c r="D526" i="72"/>
  <c r="H525" i="72"/>
  <c r="G525" i="72"/>
  <c r="D525" i="72"/>
  <c r="C524" i="72"/>
  <c r="K523" i="72"/>
  <c r="H523" i="72"/>
  <c r="G523" i="72"/>
  <c r="D523" i="72"/>
  <c r="K522" i="72"/>
  <c r="H522" i="72"/>
  <c r="G522" i="72"/>
  <c r="D522" i="72"/>
  <c r="C521" i="72"/>
  <c r="G519" i="72"/>
  <c r="H518" i="72"/>
  <c r="G518" i="72"/>
  <c r="D518" i="72"/>
  <c r="H517" i="72"/>
  <c r="G517" i="72"/>
  <c r="D517" i="72"/>
  <c r="H516" i="72"/>
  <c r="G516" i="72"/>
  <c r="D516" i="72"/>
  <c r="H515" i="72"/>
  <c r="G515" i="72"/>
  <c r="D515" i="72"/>
  <c r="C514" i="72"/>
  <c r="K513" i="72"/>
  <c r="H513" i="72"/>
  <c r="G513" i="72"/>
  <c r="D513" i="72"/>
  <c r="K512" i="72"/>
  <c r="H512" i="72"/>
  <c r="G512" i="72"/>
  <c r="D512" i="72"/>
  <c r="K511" i="72"/>
  <c r="H511" i="72"/>
  <c r="G511" i="72"/>
  <c r="D511" i="72"/>
  <c r="K510" i="72"/>
  <c r="H510" i="72"/>
  <c r="G510" i="72"/>
  <c r="D510" i="72"/>
  <c r="C509" i="72"/>
  <c r="C499" i="72"/>
  <c r="H503" i="72"/>
  <c r="G503" i="72"/>
  <c r="D503" i="72"/>
  <c r="H502" i="72"/>
  <c r="G502" i="72"/>
  <c r="D502" i="72"/>
  <c r="H501" i="72"/>
  <c r="G501" i="72"/>
  <c r="D501" i="72"/>
  <c r="H500" i="72"/>
  <c r="G500" i="72"/>
  <c r="D500" i="72"/>
  <c r="D498" i="72"/>
  <c r="K497" i="72"/>
  <c r="H497" i="72"/>
  <c r="D497" i="72"/>
  <c r="K496" i="72"/>
  <c r="H496" i="72"/>
  <c r="D496" i="72"/>
  <c r="K495" i="72"/>
  <c r="H495" i="72"/>
  <c r="D495" i="72"/>
  <c r="K494" i="72"/>
  <c r="H494" i="72"/>
  <c r="G494" i="72"/>
  <c r="D494" i="72"/>
  <c r="H493" i="72"/>
  <c r="G493" i="72"/>
  <c r="D493" i="72"/>
  <c r="K492" i="72"/>
  <c r="H492" i="72"/>
  <c r="D492" i="72"/>
  <c r="C491" i="72"/>
  <c r="H488" i="72"/>
  <c r="G488" i="72"/>
  <c r="D488" i="72"/>
  <c r="H487" i="72"/>
  <c r="G487" i="72"/>
  <c r="D487" i="72"/>
  <c r="H486" i="72"/>
  <c r="G486" i="72"/>
  <c r="D486" i="72"/>
  <c r="H485" i="72"/>
  <c r="G485" i="72"/>
  <c r="D485" i="72"/>
  <c r="C484" i="72"/>
  <c r="K483" i="72"/>
  <c r="H483" i="72"/>
  <c r="G483" i="72"/>
  <c r="D483" i="72"/>
  <c r="K482" i="72"/>
  <c r="H482" i="72"/>
  <c r="G482" i="72"/>
  <c r="D482" i="72"/>
  <c r="C481" i="72"/>
  <c r="H478" i="72"/>
  <c r="G478" i="72"/>
  <c r="D478" i="72"/>
  <c r="H477" i="72"/>
  <c r="G477" i="72"/>
  <c r="D477" i="72"/>
  <c r="H476" i="72"/>
  <c r="G476" i="72"/>
  <c r="D476" i="72"/>
  <c r="H475" i="72"/>
  <c r="G475" i="72"/>
  <c r="D475" i="72"/>
  <c r="C474" i="72"/>
  <c r="K473" i="72"/>
  <c r="H473" i="72"/>
  <c r="G473" i="72"/>
  <c r="D473" i="72"/>
  <c r="K472" i="72"/>
  <c r="H472" i="72"/>
  <c r="G472" i="72"/>
  <c r="D472" i="72"/>
  <c r="K471" i="72"/>
  <c r="H471" i="72"/>
  <c r="G471" i="72"/>
  <c r="D471" i="72"/>
  <c r="K470" i="72"/>
  <c r="H470" i="72"/>
  <c r="G470" i="72"/>
  <c r="D470" i="72"/>
  <c r="C469" i="72"/>
  <c r="C459" i="72"/>
  <c r="H465" i="72"/>
  <c r="G465" i="72"/>
  <c r="D465" i="72"/>
  <c r="H464" i="72"/>
  <c r="G464" i="72"/>
  <c r="D464" i="72"/>
  <c r="H463" i="72"/>
  <c r="G463" i="72"/>
  <c r="D463" i="72"/>
  <c r="H462" i="72"/>
  <c r="G462" i="72"/>
  <c r="D462" i="72"/>
  <c r="H461" i="72"/>
  <c r="G461" i="72"/>
  <c r="D461" i="72"/>
  <c r="H460" i="72"/>
  <c r="G460" i="72"/>
  <c r="D460" i="72"/>
  <c r="K458" i="72"/>
  <c r="H458" i="72"/>
  <c r="G458" i="72"/>
  <c r="D458" i="72"/>
  <c r="K457" i="72"/>
  <c r="H457" i="72"/>
  <c r="G457" i="72"/>
  <c r="D457" i="72"/>
  <c r="K456" i="72"/>
  <c r="H456" i="72"/>
  <c r="G456" i="72"/>
  <c r="D456" i="72"/>
  <c r="K455" i="72"/>
  <c r="H455" i="72"/>
  <c r="G455" i="72"/>
  <c r="D455" i="72"/>
  <c r="K454" i="72"/>
  <c r="H454" i="72"/>
  <c r="G454" i="72"/>
  <c r="D454" i="72"/>
  <c r="H453" i="72"/>
  <c r="G453" i="72"/>
  <c r="D453" i="72"/>
  <c r="K452" i="72"/>
  <c r="H452" i="72"/>
  <c r="G452" i="72"/>
  <c r="D452" i="72"/>
  <c r="C451" i="72"/>
  <c r="C444" i="72"/>
  <c r="H448" i="72"/>
  <c r="G448" i="72"/>
  <c r="D448" i="72"/>
  <c r="H447" i="72"/>
  <c r="G447" i="72"/>
  <c r="D447" i="72"/>
  <c r="H446" i="72"/>
  <c r="G446" i="72"/>
  <c r="D446" i="72"/>
  <c r="H445" i="72"/>
  <c r="G445" i="72"/>
  <c r="D445" i="72"/>
  <c r="K443" i="72"/>
  <c r="H443" i="72"/>
  <c r="G443" i="72"/>
  <c r="D443" i="72"/>
  <c r="K442" i="72"/>
  <c r="H442" i="72"/>
  <c r="G442" i="72"/>
  <c r="D442" i="72"/>
  <c r="K441" i="72"/>
  <c r="H441" i="72"/>
  <c r="G441" i="72"/>
  <c r="D441" i="72"/>
  <c r="K440" i="72"/>
  <c r="H440" i="72"/>
  <c r="G440" i="72"/>
  <c r="D440" i="72"/>
  <c r="K439" i="72"/>
  <c r="H439" i="72"/>
  <c r="G439" i="72"/>
  <c r="D439" i="72"/>
  <c r="H438" i="72"/>
  <c r="G438" i="72"/>
  <c r="D438" i="72"/>
  <c r="K437" i="72"/>
  <c r="H437" i="72"/>
  <c r="G437" i="72"/>
  <c r="D437" i="72"/>
  <c r="C436" i="72"/>
  <c r="H432" i="72"/>
  <c r="G432" i="72"/>
  <c r="D432" i="72"/>
  <c r="H431" i="72"/>
  <c r="G431" i="72"/>
  <c r="D431" i="72"/>
  <c r="H430" i="72"/>
  <c r="G430" i="72"/>
  <c r="D430" i="72"/>
  <c r="H429" i="72"/>
  <c r="G429" i="72"/>
  <c r="D429" i="72"/>
  <c r="C428" i="72"/>
  <c r="D427" i="72"/>
  <c r="K426" i="72"/>
  <c r="H426" i="72"/>
  <c r="D426" i="72"/>
  <c r="K425" i="72"/>
  <c r="H425" i="72"/>
  <c r="D425" i="72"/>
  <c r="K424" i="72"/>
  <c r="H424" i="72"/>
  <c r="D424" i="72"/>
  <c r="K423" i="72"/>
  <c r="H423" i="72"/>
  <c r="G423" i="72"/>
  <c r="D423" i="72"/>
  <c r="H422" i="72"/>
  <c r="G422" i="72"/>
  <c r="D422" i="72"/>
  <c r="K421" i="72"/>
  <c r="H421" i="72"/>
  <c r="D421" i="72"/>
  <c r="C420" i="72"/>
  <c r="H417" i="72"/>
  <c r="G417" i="72"/>
  <c r="D417" i="72"/>
  <c r="H416" i="72"/>
  <c r="G416" i="72"/>
  <c r="D416" i="72"/>
  <c r="H415" i="72"/>
  <c r="G415" i="72"/>
  <c r="D415" i="72"/>
  <c r="H414" i="72"/>
  <c r="G414" i="72"/>
  <c r="D414" i="72"/>
  <c r="C413" i="72"/>
  <c r="K412" i="72"/>
  <c r="H412" i="72"/>
  <c r="G412" i="72"/>
  <c r="D412" i="72"/>
  <c r="K411" i="72"/>
  <c r="H411" i="72"/>
  <c r="G411" i="72"/>
  <c r="D411" i="72"/>
  <c r="C410" i="72"/>
  <c r="H407" i="72"/>
  <c r="G407" i="72"/>
  <c r="D407" i="72"/>
  <c r="H406" i="72"/>
  <c r="G406" i="72"/>
  <c r="D406" i="72"/>
  <c r="H405" i="72"/>
  <c r="G405" i="72"/>
  <c r="D405" i="72"/>
  <c r="H404" i="72"/>
  <c r="G404" i="72"/>
  <c r="D404" i="72"/>
  <c r="C403" i="72"/>
  <c r="K402" i="72"/>
  <c r="H402" i="72"/>
  <c r="G402" i="72"/>
  <c r="D402" i="72"/>
  <c r="K401" i="72"/>
  <c r="H401" i="72"/>
  <c r="G401" i="72"/>
  <c r="D401" i="72"/>
  <c r="K400" i="72"/>
  <c r="H400" i="72"/>
  <c r="G400" i="72"/>
  <c r="D400" i="72"/>
  <c r="K399" i="72"/>
  <c r="H399" i="72"/>
  <c r="G399" i="72"/>
  <c r="D399" i="72"/>
  <c r="C398" i="72"/>
  <c r="H394" i="72"/>
  <c r="G394" i="72"/>
  <c r="D394" i="72"/>
  <c r="H393" i="72"/>
  <c r="G393" i="72"/>
  <c r="D393" i="72"/>
  <c r="H392" i="72"/>
  <c r="G392" i="72"/>
  <c r="D392" i="72"/>
  <c r="H391" i="72"/>
  <c r="G391" i="72"/>
  <c r="D391" i="72"/>
  <c r="C390" i="72"/>
  <c r="D389" i="72"/>
  <c r="K388" i="72"/>
  <c r="H388" i="72"/>
  <c r="D388" i="72"/>
  <c r="K387" i="72"/>
  <c r="H387" i="72"/>
  <c r="D387" i="72"/>
  <c r="K386" i="72"/>
  <c r="H386" i="72"/>
  <c r="D386" i="72"/>
  <c r="K385" i="72"/>
  <c r="H385" i="72"/>
  <c r="G385" i="72"/>
  <c r="D385" i="72"/>
  <c r="H384" i="72"/>
  <c r="G384" i="72"/>
  <c r="D384" i="72"/>
  <c r="K383" i="72"/>
  <c r="H383" i="72"/>
  <c r="D383" i="72"/>
  <c r="C382" i="72"/>
  <c r="H379" i="72"/>
  <c r="G379" i="72"/>
  <c r="D379" i="72"/>
  <c r="H378" i="72"/>
  <c r="G378" i="72"/>
  <c r="D378" i="72"/>
  <c r="H377" i="72"/>
  <c r="G377" i="72"/>
  <c r="D377" i="72"/>
  <c r="H376" i="72"/>
  <c r="G376" i="72"/>
  <c r="D376" i="72"/>
  <c r="C375" i="72"/>
  <c r="K374" i="72"/>
  <c r="H374" i="72"/>
  <c r="G374" i="72"/>
  <c r="D374" i="72"/>
  <c r="K373" i="72"/>
  <c r="H373" i="72"/>
  <c r="G373" i="72"/>
  <c r="D373" i="72"/>
  <c r="C372" i="72"/>
  <c r="H369" i="72"/>
  <c r="G369" i="72"/>
  <c r="D369" i="72"/>
  <c r="H368" i="72"/>
  <c r="G368" i="72"/>
  <c r="D368" i="72"/>
  <c r="H367" i="72"/>
  <c r="G367" i="72"/>
  <c r="D367" i="72"/>
  <c r="H366" i="72"/>
  <c r="G366" i="72"/>
  <c r="D366" i="72"/>
  <c r="C365" i="72"/>
  <c r="K364" i="72"/>
  <c r="H364" i="72"/>
  <c r="G364" i="72"/>
  <c r="D364" i="72"/>
  <c r="K363" i="72"/>
  <c r="H363" i="72"/>
  <c r="G363" i="72"/>
  <c r="D363" i="72"/>
  <c r="K362" i="72"/>
  <c r="H362" i="72"/>
  <c r="G362" i="72"/>
  <c r="D362" i="72"/>
  <c r="K361" i="72"/>
  <c r="H361" i="72"/>
  <c r="G361" i="72"/>
  <c r="D361" i="72"/>
  <c r="C360" i="72"/>
  <c r="K350" i="72"/>
  <c r="K349" i="72"/>
  <c r="K348" i="72"/>
  <c r="K347" i="72"/>
  <c r="K345" i="72"/>
  <c r="H356" i="72"/>
  <c r="H355" i="72"/>
  <c r="H354" i="72"/>
  <c r="H353" i="72"/>
  <c r="H350" i="72"/>
  <c r="H349" i="72"/>
  <c r="H348" i="72"/>
  <c r="H347" i="72"/>
  <c r="H346" i="72"/>
  <c r="H345" i="72"/>
  <c r="G356" i="72"/>
  <c r="G355" i="72"/>
  <c r="G354" i="72"/>
  <c r="G353" i="72"/>
  <c r="G347" i="72"/>
  <c r="G346" i="72"/>
  <c r="D356" i="72"/>
  <c r="D355" i="72"/>
  <c r="D354" i="72"/>
  <c r="D353" i="72"/>
  <c r="C352" i="72"/>
  <c r="D351" i="72"/>
  <c r="D350" i="72"/>
  <c r="D349" i="72"/>
  <c r="D348" i="72"/>
  <c r="D347" i="72"/>
  <c r="D346" i="72"/>
  <c r="D345" i="72"/>
  <c r="C344" i="72"/>
  <c r="H341" i="72"/>
  <c r="G341" i="72"/>
  <c r="D341" i="72"/>
  <c r="H340" i="72"/>
  <c r="G340" i="72"/>
  <c r="D340" i="72"/>
  <c r="H339" i="72"/>
  <c r="G339" i="72"/>
  <c r="D339" i="72"/>
  <c r="H338" i="72"/>
  <c r="G338" i="72"/>
  <c r="D338" i="72"/>
  <c r="C337" i="72"/>
  <c r="K336" i="72"/>
  <c r="H336" i="72"/>
  <c r="G336" i="72"/>
  <c r="D336" i="72"/>
  <c r="K335" i="72"/>
  <c r="H335" i="72"/>
  <c r="G335" i="72"/>
  <c r="D335" i="72"/>
  <c r="C334" i="72"/>
  <c r="H331" i="72"/>
  <c r="G331" i="72"/>
  <c r="D331" i="72"/>
  <c r="H330" i="72"/>
  <c r="G330" i="72"/>
  <c r="D330" i="72"/>
  <c r="H329" i="72"/>
  <c r="G329" i="72"/>
  <c r="D329" i="72"/>
  <c r="H328" i="72"/>
  <c r="G328" i="72"/>
  <c r="D328" i="72"/>
  <c r="C327" i="72"/>
  <c r="K326" i="72"/>
  <c r="H326" i="72"/>
  <c r="G326" i="72"/>
  <c r="D326" i="72"/>
  <c r="K325" i="72"/>
  <c r="H325" i="72"/>
  <c r="G325" i="72"/>
  <c r="D325" i="72"/>
  <c r="K324" i="72"/>
  <c r="H324" i="72"/>
  <c r="G324" i="72"/>
  <c r="D324" i="72"/>
  <c r="K323" i="72"/>
  <c r="H323" i="72"/>
  <c r="G323" i="72"/>
  <c r="D323" i="72"/>
  <c r="C322" i="72"/>
  <c r="H317" i="72"/>
  <c r="G317" i="72"/>
  <c r="D317" i="72"/>
  <c r="H316" i="72"/>
  <c r="G316" i="72"/>
  <c r="D316" i="72"/>
  <c r="H315" i="72"/>
  <c r="G315" i="72"/>
  <c r="D315" i="72"/>
  <c r="H314" i="72"/>
  <c r="G314" i="72"/>
  <c r="D314" i="72"/>
  <c r="C313" i="72"/>
  <c r="K312" i="72"/>
  <c r="H312" i="72"/>
  <c r="G312" i="72"/>
  <c r="D312" i="72"/>
  <c r="K311" i="72"/>
  <c r="H311" i="72"/>
  <c r="G311" i="72"/>
  <c r="D311" i="72"/>
  <c r="C310" i="72"/>
  <c r="H307" i="72"/>
  <c r="G307" i="72"/>
  <c r="D307" i="72"/>
  <c r="H306" i="72"/>
  <c r="G306" i="72"/>
  <c r="D306" i="72"/>
  <c r="H305" i="72"/>
  <c r="G305" i="72"/>
  <c r="D305" i="72"/>
  <c r="H304" i="72"/>
  <c r="G304" i="72"/>
  <c r="D304" i="72"/>
  <c r="C303" i="72"/>
  <c r="K302" i="72"/>
  <c r="H302" i="72"/>
  <c r="G302" i="72"/>
  <c r="D302" i="72"/>
  <c r="K301" i="72"/>
  <c r="H301" i="72"/>
  <c r="G301" i="72"/>
  <c r="D301" i="72"/>
  <c r="C300" i="72"/>
  <c r="H297" i="72"/>
  <c r="G297" i="72"/>
  <c r="D297" i="72"/>
  <c r="H296" i="72"/>
  <c r="G296" i="72"/>
  <c r="D296" i="72"/>
  <c r="H295" i="72"/>
  <c r="G295" i="72"/>
  <c r="D295" i="72"/>
  <c r="H294" i="72"/>
  <c r="G294" i="72"/>
  <c r="D294" i="72"/>
  <c r="C293" i="72"/>
  <c r="K292" i="72"/>
  <c r="H292" i="72"/>
  <c r="G292" i="72"/>
  <c r="D292" i="72"/>
  <c r="K291" i="72"/>
  <c r="H291" i="72"/>
  <c r="G291" i="72"/>
  <c r="D291" i="72"/>
  <c r="K290" i="72"/>
  <c r="H290" i="72"/>
  <c r="G290" i="72"/>
  <c r="D290" i="72"/>
  <c r="K289" i="72"/>
  <c r="H289" i="72"/>
  <c r="G289" i="72"/>
  <c r="D289" i="72"/>
  <c r="C288" i="72"/>
  <c r="H284" i="72"/>
  <c r="G284" i="72"/>
  <c r="D284" i="72"/>
  <c r="H283" i="72"/>
  <c r="G283" i="72"/>
  <c r="D283" i="72"/>
  <c r="H282" i="72"/>
  <c r="G282" i="72"/>
  <c r="D282" i="72"/>
  <c r="H281" i="72"/>
  <c r="G281" i="72"/>
  <c r="D281" i="72"/>
  <c r="C280" i="72"/>
  <c r="K279" i="72"/>
  <c r="H279" i="72"/>
  <c r="G279" i="72"/>
  <c r="D279" i="72"/>
  <c r="K278" i="72"/>
  <c r="H278" i="72"/>
  <c r="G278" i="72"/>
  <c r="D278" i="72"/>
  <c r="C277" i="72"/>
  <c r="H274" i="72"/>
  <c r="G274" i="72"/>
  <c r="D274" i="72"/>
  <c r="H273" i="72"/>
  <c r="G273" i="72"/>
  <c r="D273" i="72"/>
  <c r="H272" i="72"/>
  <c r="G272" i="72"/>
  <c r="D272" i="72"/>
  <c r="H271" i="72"/>
  <c r="G271" i="72"/>
  <c r="D271" i="72"/>
  <c r="C270" i="72"/>
  <c r="K269" i="72"/>
  <c r="H269" i="72"/>
  <c r="G269" i="72"/>
  <c r="D269" i="72"/>
  <c r="K268" i="72"/>
  <c r="H268" i="72"/>
  <c r="G268" i="72"/>
  <c r="D268" i="72"/>
  <c r="C267" i="72"/>
  <c r="H264" i="72"/>
  <c r="G264" i="72"/>
  <c r="D264" i="72"/>
  <c r="H263" i="72"/>
  <c r="G263" i="72"/>
  <c r="D263" i="72"/>
  <c r="H262" i="72"/>
  <c r="G262" i="72"/>
  <c r="D262" i="72"/>
  <c r="H261" i="72"/>
  <c r="G261" i="72"/>
  <c r="D261" i="72"/>
  <c r="C260" i="72"/>
  <c r="K259" i="72"/>
  <c r="H259" i="72"/>
  <c r="G259" i="72"/>
  <c r="D259" i="72"/>
  <c r="K258" i="72"/>
  <c r="H258" i="72"/>
  <c r="G258" i="72"/>
  <c r="D258" i="72"/>
  <c r="K257" i="72"/>
  <c r="H257" i="72"/>
  <c r="G257" i="72"/>
  <c r="D257" i="72"/>
  <c r="K256" i="72"/>
  <c r="H256" i="72"/>
  <c r="G256" i="72"/>
  <c r="D256" i="72"/>
  <c r="C255" i="72"/>
  <c r="K246" i="72"/>
  <c r="K244" i="72"/>
  <c r="G248" i="72"/>
  <c r="G251" i="72"/>
  <c r="G250" i="72"/>
  <c r="G249" i="72"/>
  <c r="H251" i="72"/>
  <c r="H250" i="72"/>
  <c r="H249" i="72"/>
  <c r="H248" i="72"/>
  <c r="H246" i="72"/>
  <c r="H245" i="72"/>
  <c r="H244" i="72"/>
  <c r="G246" i="72"/>
  <c r="G245" i="72"/>
  <c r="D251" i="72"/>
  <c r="D250" i="72"/>
  <c r="D249" i="72"/>
  <c r="D248" i="72"/>
  <c r="C247" i="72"/>
  <c r="D246" i="72"/>
  <c r="D245" i="72"/>
  <c r="D244" i="72"/>
  <c r="C243" i="72"/>
  <c r="H240" i="72"/>
  <c r="G240" i="72"/>
  <c r="D240" i="72"/>
  <c r="H239" i="72"/>
  <c r="G239" i="72"/>
  <c r="D239" i="72"/>
  <c r="H238" i="72"/>
  <c r="G238" i="72"/>
  <c r="D238" i="72"/>
  <c r="H237" i="72"/>
  <c r="G237" i="72"/>
  <c r="D237" i="72"/>
  <c r="C236" i="72"/>
  <c r="K235" i="72"/>
  <c r="H235" i="72"/>
  <c r="G235" i="72"/>
  <c r="D235" i="72"/>
  <c r="K234" i="72"/>
  <c r="H234" i="72"/>
  <c r="G234" i="72"/>
  <c r="D234" i="72"/>
  <c r="C233" i="72"/>
  <c r="K200" i="72"/>
  <c r="K199" i="72"/>
  <c r="H205" i="72"/>
  <c r="H204" i="72"/>
  <c r="H203" i="72"/>
  <c r="H202" i="72"/>
  <c r="G205" i="72"/>
  <c r="G204" i="72"/>
  <c r="G203" i="72"/>
  <c r="G202" i="72"/>
  <c r="G200" i="72"/>
  <c r="H200" i="72"/>
  <c r="H199" i="72"/>
  <c r="G199" i="72"/>
  <c r="D205" i="72"/>
  <c r="D204" i="72"/>
  <c r="D203" i="72"/>
  <c r="D202" i="72"/>
  <c r="C201" i="72"/>
  <c r="D200" i="72"/>
  <c r="D199" i="72"/>
  <c r="C198" i="72"/>
  <c r="C226" i="72"/>
  <c r="C191" i="72"/>
  <c r="H230" i="72"/>
  <c r="G230" i="72"/>
  <c r="D230" i="72"/>
  <c r="H229" i="72"/>
  <c r="G229" i="72"/>
  <c r="D229" i="72"/>
  <c r="H228" i="72"/>
  <c r="G228" i="72"/>
  <c r="D228" i="72"/>
  <c r="H227" i="72"/>
  <c r="G227" i="72"/>
  <c r="D227" i="72"/>
  <c r="K225" i="72"/>
  <c r="H225" i="72"/>
  <c r="G225" i="72"/>
  <c r="D225" i="72"/>
  <c r="K224" i="72"/>
  <c r="H224" i="72"/>
  <c r="G224" i="72"/>
  <c r="D224" i="72"/>
  <c r="K223" i="72"/>
  <c r="H223" i="72"/>
  <c r="G223" i="72"/>
  <c r="D223" i="72"/>
  <c r="K222" i="72"/>
  <c r="H222" i="72"/>
  <c r="G222" i="72"/>
  <c r="D222" i="72"/>
  <c r="C221" i="72"/>
  <c r="K190" i="72"/>
  <c r="K189" i="72"/>
  <c r="K188" i="72"/>
  <c r="K187" i="72"/>
  <c r="H195" i="72"/>
  <c r="H194" i="72"/>
  <c r="H193" i="72"/>
  <c r="H192" i="72"/>
  <c r="H190" i="72"/>
  <c r="H189" i="72"/>
  <c r="H188" i="72"/>
  <c r="H187" i="72"/>
  <c r="G195" i="72"/>
  <c r="G194" i="72"/>
  <c r="G193" i="72"/>
  <c r="G192" i="72"/>
  <c r="G190" i="72"/>
  <c r="G189" i="72"/>
  <c r="G188" i="72"/>
  <c r="G187" i="72"/>
  <c r="D195" i="72"/>
  <c r="D194" i="72"/>
  <c r="D193" i="72"/>
  <c r="D192" i="72"/>
  <c r="D190" i="72"/>
  <c r="D189" i="72"/>
  <c r="D188" i="72"/>
  <c r="D187" i="72"/>
  <c r="C186" i="72"/>
  <c r="C212" i="72"/>
  <c r="H216" i="72"/>
  <c r="G216" i="72"/>
  <c r="D216" i="72"/>
  <c r="H215" i="72"/>
  <c r="G215" i="72"/>
  <c r="D215" i="72"/>
  <c r="H214" i="72"/>
  <c r="G214" i="72"/>
  <c r="D214" i="72"/>
  <c r="H213" i="72"/>
  <c r="G213" i="72"/>
  <c r="D213" i="72"/>
  <c r="K211" i="72"/>
  <c r="H211" i="72"/>
  <c r="G211" i="72"/>
  <c r="D211" i="72"/>
  <c r="H210" i="72"/>
  <c r="G210" i="72"/>
  <c r="D210" i="72"/>
  <c r="K209" i="72"/>
  <c r="H209" i="72"/>
  <c r="D209" i="72"/>
  <c r="C208" i="72"/>
  <c r="C178" i="72"/>
  <c r="H182" i="72"/>
  <c r="G182" i="72"/>
  <c r="D182" i="72"/>
  <c r="H181" i="72"/>
  <c r="G181" i="72"/>
  <c r="D181" i="72"/>
  <c r="H180" i="72"/>
  <c r="G180" i="72"/>
  <c r="D180" i="72"/>
  <c r="H179" i="72"/>
  <c r="G179" i="72"/>
  <c r="D179" i="72"/>
  <c r="K177" i="72"/>
  <c r="H177" i="72"/>
  <c r="G177" i="72"/>
  <c r="D177" i="72"/>
  <c r="H176" i="72"/>
  <c r="G176" i="72"/>
  <c r="D176" i="72"/>
  <c r="K175" i="72"/>
  <c r="H175" i="72"/>
  <c r="D175" i="72"/>
  <c r="C174" i="72"/>
  <c r="C167" i="72"/>
  <c r="H171" i="72"/>
  <c r="G171" i="72"/>
  <c r="D171" i="72"/>
  <c r="H170" i="72"/>
  <c r="G170" i="72"/>
  <c r="D170" i="72"/>
  <c r="H169" i="72"/>
  <c r="G169" i="72"/>
  <c r="D169" i="72"/>
  <c r="H168" i="72"/>
  <c r="G168" i="72"/>
  <c r="D168" i="72"/>
  <c r="K166" i="72"/>
  <c r="H166" i="72"/>
  <c r="G166" i="72"/>
  <c r="D166" i="72"/>
  <c r="G165" i="72"/>
  <c r="K165" i="72"/>
  <c r="H165" i="72"/>
  <c r="D165" i="72"/>
  <c r="C164" i="72"/>
  <c r="B41" i="69"/>
  <c r="B151" i="72" s="1"/>
  <c r="G162" i="72" s="1"/>
  <c r="C157" i="72"/>
  <c r="H161" i="72"/>
  <c r="G161" i="72"/>
  <c r="D161" i="72"/>
  <c r="H160" i="72"/>
  <c r="G160" i="72"/>
  <c r="D160" i="72"/>
  <c r="H159" i="72"/>
  <c r="G159" i="72"/>
  <c r="D159" i="72"/>
  <c r="H158" i="72"/>
  <c r="G158" i="72"/>
  <c r="D158" i="72"/>
  <c r="K156" i="72"/>
  <c r="H156" i="72"/>
  <c r="G156" i="72"/>
  <c r="D156" i="72"/>
  <c r="K155" i="72"/>
  <c r="H155" i="72"/>
  <c r="G155" i="72"/>
  <c r="D155" i="72"/>
  <c r="K154" i="72"/>
  <c r="H154" i="72"/>
  <c r="G154" i="72"/>
  <c r="D154" i="72"/>
  <c r="K153" i="72"/>
  <c r="H153" i="72"/>
  <c r="G153" i="72"/>
  <c r="D153" i="72"/>
  <c r="C152" i="72"/>
  <c r="G149" i="72"/>
  <c r="C144" i="72"/>
  <c r="H148" i="72"/>
  <c r="G148" i="72"/>
  <c r="D148" i="72"/>
  <c r="H147" i="72"/>
  <c r="G147" i="72"/>
  <c r="D147" i="72"/>
  <c r="H146" i="72"/>
  <c r="G146" i="72"/>
  <c r="D146" i="72"/>
  <c r="H145" i="72"/>
  <c r="G145" i="72"/>
  <c r="D145" i="72"/>
  <c r="K143" i="72"/>
  <c r="H143" i="72"/>
  <c r="G143" i="72"/>
  <c r="D143" i="72"/>
  <c r="K142" i="72"/>
  <c r="H142" i="72"/>
  <c r="G142" i="72"/>
  <c r="D142" i="72"/>
  <c r="K141" i="72"/>
  <c r="H141" i="72"/>
  <c r="G141" i="72"/>
  <c r="D141" i="72"/>
  <c r="K140" i="72"/>
  <c r="H140" i="72"/>
  <c r="G140" i="72"/>
  <c r="D140" i="72"/>
  <c r="C139" i="72"/>
  <c r="C128" i="72"/>
  <c r="H132" i="72"/>
  <c r="G132" i="72"/>
  <c r="D132" i="72"/>
  <c r="H131" i="72"/>
  <c r="G131" i="72"/>
  <c r="D131" i="72"/>
  <c r="H130" i="72"/>
  <c r="G130" i="72"/>
  <c r="D130" i="72"/>
  <c r="H129" i="72"/>
  <c r="G129" i="72"/>
  <c r="D129" i="72"/>
  <c r="K127" i="72"/>
  <c r="H127" i="72"/>
  <c r="G127" i="72"/>
  <c r="D127" i="72"/>
  <c r="K126" i="72"/>
  <c r="H126" i="72"/>
  <c r="G126" i="72"/>
  <c r="D126" i="72"/>
  <c r="K125" i="72"/>
  <c r="H125" i="72"/>
  <c r="G125" i="72"/>
  <c r="D125" i="72"/>
  <c r="C124" i="72"/>
  <c r="H121" i="72"/>
  <c r="G121" i="72"/>
  <c r="D121" i="72"/>
  <c r="H120" i="72"/>
  <c r="G120" i="72"/>
  <c r="D120" i="72"/>
  <c r="H119" i="72"/>
  <c r="G119" i="72"/>
  <c r="D119" i="72"/>
  <c r="C117" i="72"/>
  <c r="H118" i="72"/>
  <c r="G118" i="72"/>
  <c r="D118" i="72"/>
  <c r="K116" i="72"/>
  <c r="H116" i="72"/>
  <c r="G116" i="72"/>
  <c r="D116" i="72"/>
  <c r="K115" i="72"/>
  <c r="H115" i="72"/>
  <c r="G115" i="72"/>
  <c r="D115" i="72"/>
  <c r="K114" i="72"/>
  <c r="H114" i="72"/>
  <c r="G114" i="72"/>
  <c r="D114" i="72"/>
  <c r="C113" i="72"/>
  <c r="K104" i="72"/>
  <c r="G111" i="72"/>
  <c r="H110" i="72"/>
  <c r="G110" i="72"/>
  <c r="D110" i="72"/>
  <c r="C106" i="72"/>
  <c r="K105" i="72"/>
  <c r="H105" i="72"/>
  <c r="G105" i="72"/>
  <c r="D105" i="72"/>
  <c r="H109" i="72"/>
  <c r="G109" i="72"/>
  <c r="D109" i="72"/>
  <c r="H108" i="72"/>
  <c r="G108" i="72"/>
  <c r="D108" i="72"/>
  <c r="H107" i="72"/>
  <c r="G107" i="72"/>
  <c r="D107" i="72"/>
  <c r="H104" i="72"/>
  <c r="G104" i="72"/>
  <c r="D104" i="72"/>
  <c r="C103" i="72"/>
  <c r="C96" i="72"/>
  <c r="H98" i="72"/>
  <c r="G98" i="72"/>
  <c r="D98" i="72"/>
  <c r="H97" i="72"/>
  <c r="G97" i="72"/>
  <c r="D97" i="72"/>
  <c r="K95" i="72"/>
  <c r="H95" i="72"/>
  <c r="G95" i="72"/>
  <c r="D95" i="72"/>
  <c r="C94" i="72"/>
  <c r="H91" i="72"/>
  <c r="G91" i="72"/>
  <c r="D91" i="72"/>
  <c r="H90" i="72"/>
  <c r="G90" i="72"/>
  <c r="D90" i="72"/>
  <c r="K88" i="72"/>
  <c r="H88" i="72"/>
  <c r="G88" i="72"/>
  <c r="C89" i="72"/>
  <c r="D88" i="72"/>
  <c r="C87" i="72"/>
  <c r="H84" i="72"/>
  <c r="G84" i="72"/>
  <c r="D84" i="72"/>
  <c r="H83" i="72"/>
  <c r="G83" i="72"/>
  <c r="D83" i="72"/>
  <c r="C82" i="72"/>
  <c r="G75" i="72"/>
  <c r="H79" i="72"/>
  <c r="G79" i="72"/>
  <c r="D79" i="72"/>
  <c r="H78" i="72"/>
  <c r="G78" i="72"/>
  <c r="D78" i="72"/>
  <c r="C77" i="72"/>
  <c r="H74" i="72"/>
  <c r="G74" i="72"/>
  <c r="D74" i="72"/>
  <c r="H73" i="72"/>
  <c r="G73" i="72"/>
  <c r="D73" i="72"/>
  <c r="C72" i="72"/>
  <c r="K68" i="72"/>
  <c r="K66" i="72"/>
  <c r="K65" i="72"/>
  <c r="K64" i="72"/>
  <c r="K63" i="72"/>
  <c r="K62" i="72"/>
  <c r="K61" i="72"/>
  <c r="K60" i="72"/>
  <c r="K59" i="72"/>
  <c r="K58" i="72"/>
  <c r="K57" i="72"/>
  <c r="K56" i="72"/>
  <c r="K55" i="72"/>
  <c r="K54" i="72"/>
  <c r="K53" i="72"/>
  <c r="K51" i="72"/>
  <c r="S1" i="70"/>
  <c r="N26" i="70"/>
  <c r="N25" i="70"/>
  <c r="N24" i="70"/>
  <c r="N23" i="70"/>
  <c r="N22" i="70"/>
  <c r="N21" i="70"/>
  <c r="N20" i="70"/>
  <c r="N19" i="70"/>
  <c r="N18" i="70"/>
  <c r="N17" i="70"/>
  <c r="N16" i="70"/>
  <c r="N15" i="70"/>
  <c r="N14" i="70"/>
  <c r="N13" i="70"/>
  <c r="N11" i="70"/>
  <c r="N66" i="72"/>
  <c r="H66" i="72"/>
  <c r="G66" i="72"/>
  <c r="D66" i="72"/>
  <c r="N65" i="72"/>
  <c r="H65" i="72"/>
  <c r="G65" i="72"/>
  <c r="D65" i="72"/>
  <c r="N64" i="72"/>
  <c r="H64" i="72"/>
  <c r="G64" i="72"/>
  <c r="D64" i="72"/>
  <c r="N63" i="72"/>
  <c r="H63" i="72"/>
  <c r="G63" i="72"/>
  <c r="D63" i="72"/>
  <c r="N62" i="72"/>
  <c r="H62" i="72"/>
  <c r="G62" i="72"/>
  <c r="D62" i="72"/>
  <c r="N61" i="72"/>
  <c r="H61" i="72"/>
  <c r="G61" i="72"/>
  <c r="D61" i="72"/>
  <c r="N60" i="72"/>
  <c r="H60" i="72"/>
  <c r="G60" i="72"/>
  <c r="D60" i="72"/>
  <c r="N59" i="72"/>
  <c r="H59" i="72"/>
  <c r="G59" i="72"/>
  <c r="D59" i="72"/>
  <c r="N58" i="72"/>
  <c r="H58" i="72"/>
  <c r="G58" i="72"/>
  <c r="D58" i="72"/>
  <c r="D57" i="72"/>
  <c r="D56" i="72"/>
  <c r="D55" i="72"/>
  <c r="D54" i="72"/>
  <c r="N57" i="72"/>
  <c r="H57" i="72"/>
  <c r="G57" i="72"/>
  <c r="N56" i="72"/>
  <c r="H56" i="72"/>
  <c r="G56" i="72"/>
  <c r="N55" i="72"/>
  <c r="H55" i="72"/>
  <c r="G55" i="72"/>
  <c r="N54" i="72"/>
  <c r="H54" i="72"/>
  <c r="G54" i="72"/>
  <c r="N53" i="72"/>
  <c r="H53" i="72"/>
  <c r="G53" i="72"/>
  <c r="D53" i="72"/>
  <c r="C52" i="72"/>
  <c r="N51" i="72"/>
  <c r="H51" i="72"/>
  <c r="G51" i="72"/>
  <c r="D51" i="72"/>
  <c r="C50" i="72"/>
  <c r="H47" i="72"/>
  <c r="G47" i="72"/>
  <c r="D47" i="72"/>
  <c r="H46" i="72"/>
  <c r="G46" i="72"/>
  <c r="D46" i="72"/>
  <c r="C45" i="72"/>
  <c r="D42" i="72"/>
  <c r="D41" i="72"/>
  <c r="D40" i="72"/>
  <c r="H42" i="72"/>
  <c r="G42" i="72"/>
  <c r="H41" i="72"/>
  <c r="G41" i="72"/>
  <c r="H40" i="72"/>
  <c r="G40" i="72"/>
  <c r="H39" i="72"/>
  <c r="G39" i="72"/>
  <c r="K37" i="72"/>
  <c r="H37" i="72"/>
  <c r="G37" i="72"/>
  <c r="K36" i="72"/>
  <c r="H36" i="72"/>
  <c r="G36" i="72"/>
  <c r="K35" i="72"/>
  <c r="H35" i="72"/>
  <c r="G35" i="72"/>
  <c r="D39" i="72"/>
  <c r="C38" i="72"/>
  <c r="D37" i="72"/>
  <c r="D36" i="72"/>
  <c r="D35" i="72"/>
  <c r="C34" i="72"/>
  <c r="G26" i="72"/>
  <c r="N30" i="72"/>
  <c r="K30" i="72"/>
  <c r="H30" i="72"/>
  <c r="G30" i="72"/>
  <c r="D30" i="72"/>
  <c r="N29" i="72"/>
  <c r="K29" i="72"/>
  <c r="H29" i="72"/>
  <c r="G29" i="72"/>
  <c r="D29" i="72"/>
  <c r="C28" i="72"/>
  <c r="K23" i="72"/>
  <c r="K22" i="72"/>
  <c r="K21" i="72"/>
  <c r="K20" i="72"/>
  <c r="K19" i="72"/>
  <c r="H23" i="72"/>
  <c r="H22" i="72"/>
  <c r="H21" i="72"/>
  <c r="H20" i="72"/>
  <c r="H19" i="72"/>
  <c r="G23" i="72"/>
  <c r="G22" i="72"/>
  <c r="G21" i="72"/>
  <c r="G20" i="72"/>
  <c r="G19" i="72"/>
  <c r="C18" i="72"/>
  <c r="D23" i="72"/>
  <c r="D22" i="72"/>
  <c r="D21" i="72"/>
  <c r="D20" i="72"/>
  <c r="D19" i="72"/>
  <c r="V2166" i="72"/>
  <c r="AA2165" i="72"/>
  <c r="G2158" i="72"/>
  <c r="AA2158" i="72" s="1"/>
  <c r="AA2148" i="72"/>
  <c r="V2148" i="72"/>
  <c r="AA2147" i="72"/>
  <c r="AA2146" i="72"/>
  <c r="AA2145" i="72"/>
  <c r="V2145" i="72"/>
  <c r="AA2144" i="72"/>
  <c r="V2144" i="72"/>
  <c r="G2142" i="72"/>
  <c r="G2140" i="72"/>
  <c r="G2138" i="72"/>
  <c r="G2136" i="72"/>
  <c r="G2128" i="72"/>
  <c r="AA2128" i="72" s="1"/>
  <c r="G2117" i="72"/>
  <c r="AA2117" i="72" s="1"/>
  <c r="G2108" i="72"/>
  <c r="AA2108" i="72" s="1"/>
  <c r="G2099" i="72"/>
  <c r="AA2099" i="72" s="1"/>
  <c r="G2091" i="72"/>
  <c r="AA2091" i="72" s="1"/>
  <c r="G2083" i="72"/>
  <c r="AA2083" i="72" s="1"/>
  <c r="G2075" i="72"/>
  <c r="AA2075" i="72" s="1"/>
  <c r="G2067" i="72"/>
  <c r="AA2067" i="72" s="1"/>
  <c r="G2059" i="72"/>
  <c r="AA2059" i="72" s="1"/>
  <c r="G2051" i="72"/>
  <c r="AA2051" i="72" s="1"/>
  <c r="G2042" i="72"/>
  <c r="AA2042" i="72" s="1"/>
  <c r="G2033" i="72"/>
  <c r="AA2033" i="72" s="1"/>
  <c r="G2022" i="72"/>
  <c r="AA2022" i="72" s="1"/>
  <c r="G2011" i="72"/>
  <c r="AA2011" i="72" s="1"/>
  <c r="G2000" i="72"/>
  <c r="B2000" i="72"/>
  <c r="G1991" i="72"/>
  <c r="AA1991" i="72" s="1"/>
  <c r="AJ1990" i="72"/>
  <c r="AA1990" i="72"/>
  <c r="G1982" i="72"/>
  <c r="AA1982" i="72" s="1"/>
  <c r="G1980" i="72"/>
  <c r="G1978" i="72"/>
  <c r="G1967" i="72"/>
  <c r="AA1967" i="72" s="1"/>
  <c r="G1957" i="72"/>
  <c r="AA1957" i="72" s="1"/>
  <c r="G1948" i="72"/>
  <c r="AA1948" i="72" s="1"/>
  <c r="G1939" i="72"/>
  <c r="AA1939" i="72" s="1"/>
  <c r="G1931" i="72"/>
  <c r="AA1931" i="72" s="1"/>
  <c r="G1923" i="72"/>
  <c r="AA1923" i="72" s="1"/>
  <c r="G1915" i="72"/>
  <c r="AA1915" i="72" s="1"/>
  <c r="G1907" i="72"/>
  <c r="AA1907" i="72" s="1"/>
  <c r="G1899" i="72"/>
  <c r="AA1899" i="72" s="1"/>
  <c r="G1891" i="72"/>
  <c r="AA1891" i="72" s="1"/>
  <c r="G1882" i="72"/>
  <c r="G1873" i="72"/>
  <c r="G1862" i="72"/>
  <c r="G1851" i="72"/>
  <c r="AA1851" i="72" s="1"/>
  <c r="G1840" i="72"/>
  <c r="G1831" i="72"/>
  <c r="AA1831" i="72" s="1"/>
  <c r="B1831" i="72"/>
  <c r="G1822" i="72"/>
  <c r="AA1822" i="72" s="1"/>
  <c r="AJ1820" i="72"/>
  <c r="AA1820" i="72"/>
  <c r="AJ1819" i="72"/>
  <c r="AA1819" i="72"/>
  <c r="AJ1818" i="72"/>
  <c r="AA1818" i="72"/>
  <c r="AJ1817" i="72"/>
  <c r="AA1817" i="72"/>
  <c r="G1816" i="72"/>
  <c r="AJ1815" i="72"/>
  <c r="AA1815" i="72"/>
  <c r="AJ1814" i="72"/>
  <c r="AA1814" i="72"/>
  <c r="AJ1813" i="72"/>
  <c r="AA1813" i="72"/>
  <c r="V1813" i="72"/>
  <c r="G1804" i="72"/>
  <c r="AA1804" i="72" s="1"/>
  <c r="G1802" i="72"/>
  <c r="G1803" i="72" s="1"/>
  <c r="G1792" i="72"/>
  <c r="AA1792" i="72" s="1"/>
  <c r="G1783" i="72"/>
  <c r="AA1783" i="72" s="1"/>
  <c r="G1770" i="72"/>
  <c r="AA1770" i="72" s="1"/>
  <c r="B1770" i="72"/>
  <c r="G1759" i="72"/>
  <c r="AA1759" i="72" s="1"/>
  <c r="AJ1758" i="72"/>
  <c r="AA1758" i="72"/>
  <c r="G1748" i="72"/>
  <c r="AA1748" i="72" s="1"/>
  <c r="AJ1747" i="72"/>
  <c r="AA1747" i="72"/>
  <c r="G1737" i="72"/>
  <c r="AA1737" i="72" s="1"/>
  <c r="AJ1736" i="72"/>
  <c r="AA1736" i="72"/>
  <c r="G1726" i="72"/>
  <c r="G1716" i="72"/>
  <c r="B1716" i="72"/>
  <c r="G1706" i="72"/>
  <c r="AA1706" i="72" s="1"/>
  <c r="AJ1705" i="72"/>
  <c r="AA1705" i="72"/>
  <c r="G1703" i="72"/>
  <c r="G1693" i="72"/>
  <c r="AA1693" i="72" s="1"/>
  <c r="G1683" i="72"/>
  <c r="AA1683" i="72" s="1"/>
  <c r="B1683" i="72"/>
  <c r="G1673" i="72"/>
  <c r="AA1673" i="72" s="1"/>
  <c r="AJ1672" i="72"/>
  <c r="AA1672" i="72"/>
  <c r="AJ1671" i="72"/>
  <c r="AA1671" i="72"/>
  <c r="AJ1669" i="72"/>
  <c r="AA1669" i="72"/>
  <c r="AJ1668" i="72"/>
  <c r="AA1668" i="72"/>
  <c r="AA1667" i="72"/>
  <c r="G1665" i="72"/>
  <c r="G1655" i="72"/>
  <c r="AA1655" i="72" s="1"/>
  <c r="G1645" i="72"/>
  <c r="AA1645" i="72" s="1"/>
  <c r="G1636" i="72"/>
  <c r="AA1636" i="72" s="1"/>
  <c r="AC1623" i="72"/>
  <c r="G1623" i="72"/>
  <c r="AA1623" i="72" s="1"/>
  <c r="B1623" i="72"/>
  <c r="G1612" i="72"/>
  <c r="AA1612" i="72" s="1"/>
  <c r="AJ1611" i="72"/>
  <c r="AA1611" i="72"/>
  <c r="G1601" i="72"/>
  <c r="AA1601" i="72" s="1"/>
  <c r="AJ1600" i="72"/>
  <c r="AA1600" i="72"/>
  <c r="G1590" i="72"/>
  <c r="AA1590" i="72" s="1"/>
  <c r="G1580" i="72"/>
  <c r="AA1580" i="72" s="1"/>
  <c r="B1580" i="72"/>
  <c r="G1570" i="72"/>
  <c r="AA1570" i="72" s="1"/>
  <c r="AJ1569" i="72"/>
  <c r="AA1569" i="72"/>
  <c r="G1567" i="72"/>
  <c r="G1568" i="72" s="1"/>
  <c r="G1557" i="72"/>
  <c r="AA1557" i="72" s="1"/>
  <c r="G1547" i="72"/>
  <c r="AA1547" i="72" s="1"/>
  <c r="B1547" i="72"/>
  <c r="G1537" i="72"/>
  <c r="AA1537" i="72" s="1"/>
  <c r="AJ1536" i="72"/>
  <c r="AA1536" i="72"/>
  <c r="AJ1535" i="72"/>
  <c r="AA1535" i="72"/>
  <c r="AJ1534" i="72"/>
  <c r="AA1534" i="72"/>
  <c r="AJ1533" i="72"/>
  <c r="AA1533" i="72"/>
  <c r="V1533" i="72"/>
  <c r="G1531" i="72"/>
  <c r="G1532" i="72" s="1"/>
  <c r="AJ1530" i="72"/>
  <c r="AA1530" i="72"/>
  <c r="AJ1529" i="72"/>
  <c r="AD1529" i="72"/>
  <c r="AE1529" i="72" s="1"/>
  <c r="AA1529" i="72"/>
  <c r="V1529" i="72"/>
  <c r="AD1527" i="72"/>
  <c r="AE1527" i="72" s="1"/>
  <c r="G1527" i="72"/>
  <c r="G1516" i="72"/>
  <c r="G1505" i="72"/>
  <c r="B1505" i="72"/>
  <c r="G1494" i="72"/>
  <c r="AA1494" i="72" s="1"/>
  <c r="AJ1493" i="72"/>
  <c r="AA1493" i="72"/>
  <c r="G1482" i="72"/>
  <c r="AA1482" i="72" s="1"/>
  <c r="G1471" i="72"/>
  <c r="AA1471" i="72" s="1"/>
  <c r="B1471" i="72"/>
  <c r="G1460" i="72"/>
  <c r="AA1460" i="72" s="1"/>
  <c r="AJ1459" i="72"/>
  <c r="AA1459" i="72"/>
  <c r="AJ1458" i="72"/>
  <c r="AA1458" i="72"/>
  <c r="AJ1457" i="72"/>
  <c r="AA1457" i="72"/>
  <c r="V1457" i="72"/>
  <c r="G1447" i="72"/>
  <c r="AA1447" i="72" s="1"/>
  <c r="G1434" i="72"/>
  <c r="AA1434" i="72" s="1"/>
  <c r="G1424" i="72"/>
  <c r="AA1424" i="72" s="1"/>
  <c r="G1411" i="72"/>
  <c r="AA1411" i="72" s="1"/>
  <c r="G1400" i="72"/>
  <c r="AA1400" i="72" s="1"/>
  <c r="B1400" i="72"/>
  <c r="AJ1399" i="72"/>
  <c r="AA1399" i="72"/>
  <c r="AJ1398" i="72"/>
  <c r="AA1398" i="72"/>
  <c r="G1388" i="72"/>
  <c r="AA1388" i="72" s="1"/>
  <c r="G1375" i="72"/>
  <c r="AA1375" i="72" s="1"/>
  <c r="G1365" i="72"/>
  <c r="AA1365" i="72" s="1"/>
  <c r="G1352" i="72"/>
  <c r="AA1352" i="72" s="1"/>
  <c r="G1341" i="72"/>
  <c r="AA1341" i="72" s="1"/>
  <c r="AA1339" i="72"/>
  <c r="B1339" i="72"/>
  <c r="B1341" i="72" s="1"/>
  <c r="AA1337" i="72"/>
  <c r="AJ1336" i="72"/>
  <c r="AA1336" i="72"/>
  <c r="AJ1335" i="72"/>
  <c r="AA1335" i="72"/>
  <c r="AJ1334" i="72"/>
  <c r="AA1334" i="72"/>
  <c r="AJ1333" i="72"/>
  <c r="AA1333" i="72"/>
  <c r="V1333" i="72"/>
  <c r="G1323" i="72"/>
  <c r="AA1323" i="72" s="1"/>
  <c r="G1304" i="72"/>
  <c r="AA1304" i="72" s="1"/>
  <c r="B1304" i="72"/>
  <c r="V1294" i="72"/>
  <c r="G1292" i="72" s="1"/>
  <c r="AA1292" i="72" s="1"/>
  <c r="B1292" i="72"/>
  <c r="AJ1291" i="72"/>
  <c r="AC1291" i="72"/>
  <c r="AA1291" i="72"/>
  <c r="AJ1290" i="72"/>
  <c r="AA1290" i="72"/>
  <c r="V1290" i="72"/>
  <c r="G1279" i="72"/>
  <c r="AA1279" i="72" s="1"/>
  <c r="G1269" i="72"/>
  <c r="AA1269" i="72" s="1"/>
  <c r="G1259" i="72"/>
  <c r="AA1259" i="72" s="1"/>
  <c r="G1249" i="72"/>
  <c r="AA1249" i="72" s="1"/>
  <c r="B1249" i="72"/>
  <c r="G1238" i="72"/>
  <c r="AA1238" i="72" s="1"/>
  <c r="AJ1237" i="72"/>
  <c r="AA1237" i="72"/>
  <c r="G1227" i="72"/>
  <c r="AA1227" i="72" s="1"/>
  <c r="G1217" i="72"/>
  <c r="AA1217" i="72" s="1"/>
  <c r="G1207" i="72"/>
  <c r="AA1207" i="72" s="1"/>
  <c r="G1197" i="72"/>
  <c r="AA1197" i="72" s="1"/>
  <c r="B1197" i="72"/>
  <c r="G1186" i="72"/>
  <c r="AA1186" i="72" s="1"/>
  <c r="AJ1185" i="72"/>
  <c r="AA1185" i="72"/>
  <c r="AJ1184" i="72"/>
  <c r="AA1184" i="72"/>
  <c r="AJ1183" i="72"/>
  <c r="AA1183" i="72"/>
  <c r="V1183" i="72"/>
  <c r="G1171" i="72"/>
  <c r="AA1171" i="72" s="1"/>
  <c r="G1159" i="72"/>
  <c r="G1147" i="72"/>
  <c r="AA1147" i="72" s="1"/>
  <c r="G1135" i="72"/>
  <c r="AA1135" i="72" s="1"/>
  <c r="B1135" i="72"/>
  <c r="G1123" i="72"/>
  <c r="AA1123" i="72" s="1"/>
  <c r="D1123" i="72"/>
  <c r="AJ1122" i="72"/>
  <c r="AA1122" i="72"/>
  <c r="G1110" i="72"/>
  <c r="AA1110" i="72" s="1"/>
  <c r="G1098" i="72"/>
  <c r="AA1098" i="72" s="1"/>
  <c r="G1086" i="72"/>
  <c r="AA1086" i="72" s="1"/>
  <c r="G1076" i="72"/>
  <c r="AA1076" i="72" s="1"/>
  <c r="V1065" i="72"/>
  <c r="G1065" i="72" s="1"/>
  <c r="AA1065" i="72" s="1"/>
  <c r="G1053" i="72"/>
  <c r="AA1053" i="72" s="1"/>
  <c r="G1041" i="72"/>
  <c r="AA1041" i="72" s="1"/>
  <c r="G1029" i="72"/>
  <c r="AA1029" i="72" s="1"/>
  <c r="B1029" i="72"/>
  <c r="G1017" i="72"/>
  <c r="AA1017" i="72" s="1"/>
  <c r="AJ1016" i="72"/>
  <c r="AA1016" i="72"/>
  <c r="AJ1015" i="72"/>
  <c r="AJ1014" i="72"/>
  <c r="AA1014" i="72"/>
  <c r="V1014" i="72"/>
  <c r="G1005" i="72"/>
  <c r="G1003" i="72"/>
  <c r="AA1003" i="72" s="1"/>
  <c r="G993" i="72"/>
  <c r="AA993" i="72" s="1"/>
  <c r="G982" i="72"/>
  <c r="AA982" i="72" s="1"/>
  <c r="B982" i="72"/>
  <c r="B993" i="72" s="1"/>
  <c r="B1003" i="72" s="1"/>
  <c r="B1005" i="72" s="1"/>
  <c r="G971" i="72"/>
  <c r="AA971" i="72" s="1"/>
  <c r="AJ970" i="72"/>
  <c r="AA970" i="72"/>
  <c r="G961" i="72"/>
  <c r="AA961" i="72" s="1"/>
  <c r="G959" i="72"/>
  <c r="AA959" i="72" s="1"/>
  <c r="G949" i="72"/>
  <c r="AA949" i="72" s="1"/>
  <c r="G938" i="72"/>
  <c r="AA938" i="72" s="1"/>
  <c r="B938" i="72"/>
  <c r="B949" i="72" s="1"/>
  <c r="B959" i="72" s="1"/>
  <c r="B961" i="72" s="1"/>
  <c r="G927" i="72"/>
  <c r="AA927" i="72" s="1"/>
  <c r="AJ926" i="72"/>
  <c r="AA926" i="72"/>
  <c r="AJ925" i="72"/>
  <c r="AA925" i="72"/>
  <c r="AJ924" i="72"/>
  <c r="AA924" i="72"/>
  <c r="V924" i="72"/>
  <c r="G907" i="72"/>
  <c r="AA907" i="72" s="1"/>
  <c r="G890" i="72"/>
  <c r="AJ889" i="72"/>
  <c r="AA889" i="72"/>
  <c r="G874" i="72"/>
  <c r="AA874" i="72" s="1"/>
  <c r="G864" i="72"/>
  <c r="AA864" i="72" s="1"/>
  <c r="G852" i="72"/>
  <c r="AJ851" i="72"/>
  <c r="AA851" i="72"/>
  <c r="AJ850" i="72"/>
  <c r="AA850" i="72"/>
  <c r="G835" i="72"/>
  <c r="G825" i="72"/>
  <c r="G813" i="72"/>
  <c r="AJ812" i="72"/>
  <c r="AA812" i="72"/>
  <c r="G797" i="72"/>
  <c r="AA797" i="72" s="1"/>
  <c r="G787" i="72"/>
  <c r="AA787" i="72" s="1"/>
  <c r="G775" i="72"/>
  <c r="AA775" i="72" s="1"/>
  <c r="AJ774" i="72"/>
  <c r="AA774" i="72"/>
  <c r="G759" i="72"/>
  <c r="G749" i="72"/>
  <c r="G737" i="72"/>
  <c r="AJ736" i="72"/>
  <c r="AA736" i="72"/>
  <c r="G721" i="72"/>
  <c r="AA721" i="72" s="1"/>
  <c r="G699" i="72"/>
  <c r="AJ698" i="72"/>
  <c r="AA698" i="72"/>
  <c r="AJ697" i="72"/>
  <c r="AA697" i="72"/>
  <c r="G682" i="72"/>
  <c r="G672" i="72"/>
  <c r="G660" i="72"/>
  <c r="AJ659" i="72"/>
  <c r="AA659" i="72"/>
  <c r="G644" i="72"/>
  <c r="AA644" i="72" s="1"/>
  <c r="G634" i="72"/>
  <c r="AA634" i="72" s="1"/>
  <c r="G622" i="72"/>
  <c r="AJ621" i="72"/>
  <c r="AA621" i="72"/>
  <c r="G606" i="72"/>
  <c r="G596" i="72"/>
  <c r="G584" i="72"/>
  <c r="AJ583" i="72"/>
  <c r="AA583" i="72"/>
  <c r="G568" i="72"/>
  <c r="AA568" i="72" s="1"/>
  <c r="G558" i="72"/>
  <c r="AA558" i="72" s="1"/>
  <c r="G546" i="72"/>
  <c r="AA546" i="72" s="1"/>
  <c r="AJ545" i="72"/>
  <c r="AA545" i="72"/>
  <c r="G530" i="72"/>
  <c r="G520" i="72"/>
  <c r="B520" i="72"/>
  <c r="B530" i="72" s="1"/>
  <c r="B546" i="72" s="1"/>
  <c r="B558" i="72" s="1"/>
  <c r="B568" i="72" s="1"/>
  <c r="B584" i="72" s="1"/>
  <c r="B596" i="72" s="1"/>
  <c r="B606" i="72" s="1"/>
  <c r="B622" i="72" s="1"/>
  <c r="B634" i="72" s="1"/>
  <c r="B644" i="72" s="1"/>
  <c r="B660" i="72" s="1"/>
  <c r="B672" i="72" s="1"/>
  <c r="B682" i="72" s="1"/>
  <c r="B699" i="72" s="1"/>
  <c r="G508" i="72"/>
  <c r="AJ507" i="72"/>
  <c r="AA507" i="72"/>
  <c r="AJ506" i="72"/>
  <c r="AA506" i="72"/>
  <c r="AJ505" i="72"/>
  <c r="AA505" i="72"/>
  <c r="G490" i="72"/>
  <c r="G480" i="72"/>
  <c r="G468" i="72"/>
  <c r="AJ467" i="72"/>
  <c r="AA467" i="72"/>
  <c r="G450" i="72"/>
  <c r="AA450" i="72" s="1"/>
  <c r="G435" i="72"/>
  <c r="AJ434" i="72"/>
  <c r="AA434" i="72"/>
  <c r="G419" i="72"/>
  <c r="AA419" i="72" s="1"/>
  <c r="G409" i="72"/>
  <c r="AA409" i="72" s="1"/>
  <c r="G397" i="72"/>
  <c r="AJ396" i="72"/>
  <c r="AA396" i="72"/>
  <c r="G381" i="72"/>
  <c r="G371" i="72"/>
  <c r="G359" i="72"/>
  <c r="AJ358" i="72"/>
  <c r="AA358" i="72"/>
  <c r="G343" i="72"/>
  <c r="AA343" i="72" s="1"/>
  <c r="G333" i="72"/>
  <c r="AA333" i="72" s="1"/>
  <c r="G321" i="72"/>
  <c r="AJ320" i="72"/>
  <c r="AA320" i="72"/>
  <c r="AJ319" i="72"/>
  <c r="AA319" i="72"/>
  <c r="G309" i="72"/>
  <c r="AA309" i="72" s="1"/>
  <c r="G299" i="72"/>
  <c r="AA299" i="72" s="1"/>
  <c r="G287" i="72"/>
  <c r="AA287" i="72" s="1"/>
  <c r="AJ286" i="72"/>
  <c r="AA286" i="72"/>
  <c r="G276" i="72"/>
  <c r="G266" i="72"/>
  <c r="AA266" i="72" s="1"/>
  <c r="G254" i="72"/>
  <c r="AJ253" i="72"/>
  <c r="AA253" i="72"/>
  <c r="G242" i="72"/>
  <c r="G232" i="72"/>
  <c r="G220" i="72"/>
  <c r="AJ219" i="72"/>
  <c r="AA219" i="72"/>
  <c r="AJ218" i="72"/>
  <c r="AA218" i="72"/>
  <c r="G207" i="72"/>
  <c r="AA207" i="72" s="1"/>
  <c r="G197" i="72"/>
  <c r="AA197" i="72" s="1"/>
  <c r="G185" i="72"/>
  <c r="AJ184" i="72"/>
  <c r="AA184" i="72"/>
  <c r="G173" i="72"/>
  <c r="G163" i="72"/>
  <c r="G151" i="72"/>
  <c r="AJ150" i="72"/>
  <c r="AA150" i="72"/>
  <c r="G138" i="72"/>
  <c r="AA138" i="72" s="1"/>
  <c r="AJ137" i="72"/>
  <c r="AA137" i="72"/>
  <c r="AJ136" i="72"/>
  <c r="AA136" i="72"/>
  <c r="AJ135" i="72"/>
  <c r="AA135" i="72"/>
  <c r="AJ134" i="72"/>
  <c r="AA134" i="72"/>
  <c r="V134" i="72"/>
  <c r="G123" i="72"/>
  <c r="G112" i="72"/>
  <c r="B112" i="72"/>
  <c r="B123" i="72" s="1"/>
  <c r="G133" i="72" s="1"/>
  <c r="G102" i="72"/>
  <c r="AA102" i="72" s="1"/>
  <c r="AJ101" i="72"/>
  <c r="AA101" i="72"/>
  <c r="AJ100" i="72"/>
  <c r="AA100" i="72"/>
  <c r="V100" i="72"/>
  <c r="G93" i="72"/>
  <c r="G86" i="72"/>
  <c r="G81" i="72"/>
  <c r="AA81" i="72" s="1"/>
  <c r="G76" i="72"/>
  <c r="B76" i="72"/>
  <c r="B81" i="72" s="1"/>
  <c r="B86" i="72" s="1"/>
  <c r="B93" i="72" s="1"/>
  <c r="G99" i="72" s="1"/>
  <c r="G71" i="72"/>
  <c r="AA71" i="72" s="1"/>
  <c r="AJ70" i="72"/>
  <c r="AA70" i="72"/>
  <c r="AJ69" i="72"/>
  <c r="AA69" i="72"/>
  <c r="V69" i="72"/>
  <c r="G68" i="72"/>
  <c r="AA68" i="72" s="1"/>
  <c r="G49" i="72"/>
  <c r="G44" i="72"/>
  <c r="G33" i="72"/>
  <c r="AA33" i="72" s="1"/>
  <c r="G27" i="72"/>
  <c r="AA27" i="72" s="1"/>
  <c r="B27" i="72"/>
  <c r="B33" i="72" s="1"/>
  <c r="B44" i="72" s="1"/>
  <c r="B49" i="72" s="1"/>
  <c r="B68" i="72" s="1"/>
  <c r="AA17" i="72"/>
  <c r="R11" i="72"/>
  <c r="F4" i="72"/>
  <c r="B42" i="69" l="1"/>
  <c r="B163" i="72" s="1"/>
  <c r="G172" i="72" s="1"/>
  <c r="AA2142" i="72"/>
  <c r="G2143" i="72"/>
  <c r="AA2140" i="72"/>
  <c r="G2141" i="72"/>
  <c r="AA2138" i="72"/>
  <c r="G2139" i="72"/>
  <c r="AA2136" i="72"/>
  <c r="G2137" i="72"/>
  <c r="B2011" i="72"/>
  <c r="G2010" i="72"/>
  <c r="AA1980" i="72"/>
  <c r="G1981" i="72"/>
  <c r="AA1978" i="72"/>
  <c r="G1979" i="72"/>
  <c r="B1840" i="72"/>
  <c r="G1839" i="72"/>
  <c r="AA1816" i="72"/>
  <c r="G1821" i="72"/>
  <c r="B1783" i="72"/>
  <c r="G1782" i="72"/>
  <c r="B1726" i="72"/>
  <c r="G1735" i="72" s="1"/>
  <c r="G1725" i="72"/>
  <c r="AA1703" i="72"/>
  <c r="G1704" i="72"/>
  <c r="B1693" i="72"/>
  <c r="G1692" i="72"/>
  <c r="AA1665" i="72"/>
  <c r="G1666" i="72"/>
  <c r="B1636" i="72"/>
  <c r="G1635" i="72"/>
  <c r="B1590" i="72"/>
  <c r="G1599" i="72" s="1"/>
  <c r="G1589" i="72"/>
  <c r="B1557" i="72"/>
  <c r="G1556" i="72"/>
  <c r="AA1527" i="72"/>
  <c r="G1528" i="72"/>
  <c r="B1516" i="72"/>
  <c r="G1515" i="72"/>
  <c r="B1482" i="72"/>
  <c r="G1492" i="72" s="1"/>
  <c r="G1481" i="72"/>
  <c r="B1411" i="72"/>
  <c r="G1410" i="72"/>
  <c r="B1352" i="72"/>
  <c r="G1351" i="72"/>
  <c r="B1314" i="72"/>
  <c r="G1313" i="72"/>
  <c r="B1259" i="72"/>
  <c r="G1258" i="72"/>
  <c r="B1207" i="72"/>
  <c r="G1206" i="72"/>
  <c r="B1147" i="72"/>
  <c r="G1146" i="72"/>
  <c r="B1041" i="72"/>
  <c r="G1040" i="72"/>
  <c r="G1013" i="72"/>
  <c r="G992" i="72"/>
  <c r="G969" i="72"/>
  <c r="G948" i="72"/>
  <c r="B711" i="72"/>
  <c r="G720" i="72" s="1"/>
  <c r="G710" i="72"/>
  <c r="G696" i="72"/>
  <c r="G681" i="72"/>
  <c r="G671" i="72"/>
  <c r="G658" i="72"/>
  <c r="G643" i="72"/>
  <c r="G633" i="72"/>
  <c r="G620" i="72"/>
  <c r="G595" i="72"/>
  <c r="G605" i="72"/>
  <c r="G582" i="72"/>
  <c r="G567" i="72"/>
  <c r="G544" i="72"/>
  <c r="G557" i="72"/>
  <c r="G529" i="72"/>
  <c r="G122" i="72"/>
  <c r="P56" i="72"/>
  <c r="P53" i="72"/>
  <c r="S53" i="72" s="1"/>
  <c r="T53" i="72" s="1"/>
  <c r="P57" i="72"/>
  <c r="S57" i="72" s="1"/>
  <c r="T57" i="72" s="1"/>
  <c r="P58" i="72"/>
  <c r="S58" i="72" s="1"/>
  <c r="T58" i="72" s="1"/>
  <c r="P59" i="72"/>
  <c r="S59" i="72" s="1"/>
  <c r="P60" i="72"/>
  <c r="S60" i="72" s="1"/>
  <c r="T60" i="72" s="1"/>
  <c r="P61" i="72"/>
  <c r="S61" i="72" s="1"/>
  <c r="T61" i="72" s="1"/>
  <c r="P62" i="72"/>
  <c r="S62" i="72" s="1"/>
  <c r="T62" i="72" s="1"/>
  <c r="P63" i="72"/>
  <c r="S63" i="72" s="1"/>
  <c r="P64" i="72"/>
  <c r="S64" i="72" s="1"/>
  <c r="T64" i="72" s="1"/>
  <c r="P65" i="72"/>
  <c r="S65" i="72" s="1"/>
  <c r="T65" i="72" s="1"/>
  <c r="P66" i="72"/>
  <c r="S66" i="72" s="1"/>
  <c r="T66" i="72" s="1"/>
  <c r="G92" i="72"/>
  <c r="G85" i="72"/>
  <c r="P55" i="72"/>
  <c r="S55" i="72" s="1"/>
  <c r="T55" i="72" s="1"/>
  <c r="P54" i="72"/>
  <c r="S54" i="72" s="1"/>
  <c r="T54" i="72" s="1"/>
  <c r="P51" i="72"/>
  <c r="S51" i="72" s="1"/>
  <c r="G80" i="72"/>
  <c r="G67" i="72"/>
  <c r="N28" i="70"/>
  <c r="G48" i="72"/>
  <c r="G43" i="72"/>
  <c r="P29" i="72"/>
  <c r="S29" i="72" s="1"/>
  <c r="T29" i="72" s="1"/>
  <c r="G32" i="72"/>
  <c r="P30" i="72"/>
  <c r="S30" i="72" s="1"/>
  <c r="T30" i="72" s="1"/>
  <c r="G1294" i="72"/>
  <c r="AF1527" i="72"/>
  <c r="AA276" i="72"/>
  <c r="AA86" i="72"/>
  <c r="AA185" i="72"/>
  <c r="AA254" i="72"/>
  <c r="AA93" i="72"/>
  <c r="AA112" i="72"/>
  <c r="AA321" i="72"/>
  <c r="AA397" i="72"/>
  <c r="AA622" i="72"/>
  <c r="AA1567" i="72"/>
  <c r="AA490" i="72"/>
  <c r="AA852" i="72"/>
  <c r="AA1005" i="72"/>
  <c r="AA699" i="72"/>
  <c r="AA1159" i="72"/>
  <c r="AA2000" i="72"/>
  <c r="AA1802" i="72"/>
  <c r="AA123" i="72"/>
  <c r="AA151" i="72"/>
  <c r="AA163" i="72"/>
  <c r="AA173" i="72"/>
  <c r="AA220" i="72"/>
  <c r="AA232" i="72"/>
  <c r="AA242" i="72"/>
  <c r="AA435" i="72"/>
  <c r="AA468" i="72"/>
  <c r="AA480" i="72"/>
  <c r="AA584" i="72"/>
  <c r="AA596" i="72"/>
  <c r="AA606" i="72"/>
  <c r="AA737" i="72"/>
  <c r="AA749" i="72"/>
  <c r="AA759" i="72"/>
  <c r="AA44" i="72"/>
  <c r="AA49" i="72"/>
  <c r="AA76" i="72"/>
  <c r="AA359" i="72"/>
  <c r="AA371" i="72"/>
  <c r="AA381" i="72"/>
  <c r="AA508" i="72"/>
  <c r="AA520" i="72"/>
  <c r="AA530" i="72"/>
  <c r="AA660" i="72"/>
  <c r="AA672" i="72"/>
  <c r="AA682" i="72"/>
  <c r="AA813" i="72"/>
  <c r="AA825" i="72"/>
  <c r="AA835" i="72"/>
  <c r="AA890" i="72"/>
  <c r="AA1505" i="72"/>
  <c r="AA1516" i="72"/>
  <c r="AA1531" i="72"/>
  <c r="AF1529" i="72"/>
  <c r="AA1716" i="72"/>
  <c r="AA1726" i="72"/>
  <c r="AA1840" i="72"/>
  <c r="AA1862" i="72"/>
  <c r="AA1873" i="72"/>
  <c r="AA1882" i="72"/>
  <c r="B173" i="72" l="1"/>
  <c r="B185" i="72" s="1"/>
  <c r="B197" i="72" s="1"/>
  <c r="B207" i="72" s="1"/>
  <c r="B220" i="72" s="1"/>
  <c r="B232" i="72" s="1"/>
  <c r="B242" i="72" s="1"/>
  <c r="B254" i="72" s="1"/>
  <c r="B266" i="72" s="1"/>
  <c r="B276" i="72" s="1"/>
  <c r="B287" i="72" s="1"/>
  <c r="B299" i="72" s="1"/>
  <c r="B309" i="72" s="1"/>
  <c r="B321" i="72" s="1"/>
  <c r="B333" i="72" s="1"/>
  <c r="B343" i="72" s="1"/>
  <c r="B359" i="72" s="1"/>
  <c r="B371" i="72" s="1"/>
  <c r="B381" i="72" s="1"/>
  <c r="B397" i="72" s="1"/>
  <c r="B409" i="72" s="1"/>
  <c r="B419" i="72" s="1"/>
  <c r="B435" i="72" s="1"/>
  <c r="B450" i="72" s="1"/>
  <c r="B468" i="72" s="1"/>
  <c r="B480" i="72" s="1"/>
  <c r="B490" i="72" s="1"/>
  <c r="G504" i="72" s="1"/>
  <c r="P1" i="70"/>
  <c r="R1" i="70" s="1"/>
  <c r="B43" i="69"/>
  <c r="B45" i="69" s="1"/>
  <c r="B46" i="69" s="1"/>
  <c r="B47" i="69" s="1"/>
  <c r="B50" i="69" s="1"/>
  <c r="B51" i="69" s="1"/>
  <c r="B52" i="69" s="1"/>
  <c r="B54" i="69" s="1"/>
  <c r="B55" i="69" s="1"/>
  <c r="B56" i="69" s="1"/>
  <c r="B58" i="69" s="1"/>
  <c r="B59" i="69" s="1"/>
  <c r="B60" i="69" s="1"/>
  <c r="B63" i="69" s="1"/>
  <c r="B64" i="69" s="1"/>
  <c r="B65" i="69" s="1"/>
  <c r="B67" i="69" s="1"/>
  <c r="B68" i="69" s="1"/>
  <c r="B69" i="69" s="1"/>
  <c r="B71" i="69" s="1"/>
  <c r="B72" i="69" s="1"/>
  <c r="B73" i="69" s="1"/>
  <c r="B75" i="69" s="1"/>
  <c r="B2022" i="72"/>
  <c r="G2021" i="72"/>
  <c r="B1851" i="72"/>
  <c r="G1850" i="72"/>
  <c r="B1792" i="72"/>
  <c r="B1802" i="72" s="1"/>
  <c r="B1804" i="72" s="1"/>
  <c r="G1812" i="72" s="1"/>
  <c r="G1791" i="72"/>
  <c r="B1703" i="72"/>
  <c r="G1702" i="72"/>
  <c r="B1645" i="72"/>
  <c r="G1644" i="72"/>
  <c r="B1567" i="72"/>
  <c r="G1566" i="72"/>
  <c r="B1527" i="72"/>
  <c r="G1526" i="72"/>
  <c r="B1424" i="72"/>
  <c r="G1423" i="72"/>
  <c r="B1365" i="72"/>
  <c r="G1364" i="72"/>
  <c r="B1323" i="72"/>
  <c r="G1332" i="72" s="1"/>
  <c r="G1322" i="72"/>
  <c r="B1269" i="72"/>
  <c r="G1268" i="72"/>
  <c r="B1217" i="72"/>
  <c r="G1216" i="72"/>
  <c r="B1159" i="72"/>
  <c r="G1158" i="72"/>
  <c r="B1053" i="72"/>
  <c r="G1052" i="72"/>
  <c r="B721" i="72"/>
  <c r="G217" i="72"/>
  <c r="G206" i="72"/>
  <c r="P67" i="72"/>
  <c r="X49" i="72" s="1"/>
  <c r="S56" i="72"/>
  <c r="T56" i="72" s="1"/>
  <c r="T51" i="72"/>
  <c r="T63" i="72"/>
  <c r="T59" i="72"/>
  <c r="T32" i="72"/>
  <c r="S32" i="72"/>
  <c r="Y27" i="72" s="1"/>
  <c r="P32" i="72"/>
  <c r="X27" i="72" s="1"/>
  <c r="AA1294" i="72"/>
  <c r="G1314" i="72"/>
  <c r="AA1314" i="72" s="1"/>
  <c r="G265" i="72" l="1"/>
  <c r="G285" i="72"/>
  <c r="G466" i="72"/>
  <c r="G449" i="72"/>
  <c r="G408" i="72"/>
  <c r="G418" i="72"/>
  <c r="G380" i="72"/>
  <c r="G370" i="72"/>
  <c r="G241" i="72"/>
  <c r="G196" i="72"/>
  <c r="G183" i="72"/>
  <c r="G252" i="72"/>
  <c r="G395" i="72"/>
  <c r="G357" i="72"/>
  <c r="G332" i="72"/>
  <c r="G318" i="72"/>
  <c r="G342" i="72"/>
  <c r="G489" i="72"/>
  <c r="G479" i="72"/>
  <c r="G433" i="72"/>
  <c r="G308" i="72"/>
  <c r="G298" i="72"/>
  <c r="G231" i="72"/>
  <c r="G275" i="72"/>
  <c r="B2033" i="72"/>
  <c r="G2032" i="72"/>
  <c r="B1862" i="72"/>
  <c r="G1861" i="72"/>
  <c r="B1655" i="72"/>
  <c r="G1654" i="72"/>
  <c r="B1434" i="72"/>
  <c r="G1433" i="72"/>
  <c r="B1375" i="72"/>
  <c r="G1374" i="72"/>
  <c r="B1279" i="72"/>
  <c r="G1289" i="72" s="1"/>
  <c r="G1278" i="72"/>
  <c r="B1227" i="72"/>
  <c r="G1236" i="72" s="1"/>
  <c r="G1226" i="72"/>
  <c r="B1171" i="72"/>
  <c r="G1182" i="72" s="1"/>
  <c r="G1170" i="72"/>
  <c r="B1065" i="72"/>
  <c r="G1064" i="72"/>
  <c r="B737" i="72"/>
  <c r="G735" i="72"/>
  <c r="S67" i="72"/>
  <c r="Y49" i="72" s="1"/>
  <c r="T67" i="72"/>
  <c r="W1457" i="72"/>
  <c r="W1014" i="72"/>
  <c r="W1290" i="72"/>
  <c r="W1183" i="72"/>
  <c r="W1529" i="72"/>
  <c r="W134" i="72"/>
  <c r="W100" i="72"/>
  <c r="W1533" i="72"/>
  <c r="W1813" i="72"/>
  <c r="B2042" i="72" l="1"/>
  <c r="G2041" i="72"/>
  <c r="B1873" i="72"/>
  <c r="B1882" i="72" s="1"/>
  <c r="B1891" i="72" s="1"/>
  <c r="G1872" i="72"/>
  <c r="B1665" i="72"/>
  <c r="B1667" i="72" s="1"/>
  <c r="G1664" i="72"/>
  <c r="B1447" i="72"/>
  <c r="G1456" i="72" s="1"/>
  <c r="G1446" i="72"/>
  <c r="B1388" i="72"/>
  <c r="G1397" i="72" s="1"/>
  <c r="G1387" i="72"/>
  <c r="B1076" i="72"/>
  <c r="G1075" i="72"/>
  <c r="B749" i="72"/>
  <c r="G748" i="72"/>
  <c r="W924" i="72"/>
  <c r="W2166" i="72"/>
  <c r="W2144" i="72"/>
  <c r="W69" i="72"/>
  <c r="B2051" i="72" l="1"/>
  <c r="G2050" i="72"/>
  <c r="B1899" i="72"/>
  <c r="G1898" i="72"/>
  <c r="B1086" i="72"/>
  <c r="G1085" i="72"/>
  <c r="B759" i="72"/>
  <c r="G758" i="72"/>
  <c r="W2145" i="72"/>
  <c r="B2059" i="72" l="1"/>
  <c r="G2058" i="72"/>
  <c r="B1907" i="72"/>
  <c r="G1906" i="72"/>
  <c r="B1098" i="72"/>
  <c r="G1097" i="72"/>
  <c r="B775" i="72"/>
  <c r="G773" i="72"/>
  <c r="B2067" i="72" l="1"/>
  <c r="G2066" i="72"/>
  <c r="B1915" i="72"/>
  <c r="G1914" i="72"/>
  <c r="B1110" i="72"/>
  <c r="G1121" i="72" s="1"/>
  <c r="G1109" i="72"/>
  <c r="B787" i="72"/>
  <c r="G786" i="72"/>
  <c r="B2075" i="72" l="1"/>
  <c r="G2074" i="72"/>
  <c r="B1923" i="72"/>
  <c r="G1922" i="72"/>
  <c r="B797" i="72"/>
  <c r="G796" i="72"/>
  <c r="B2083" i="72" l="1"/>
  <c r="G2082" i="72"/>
  <c r="B1931" i="72"/>
  <c r="G1930" i="72"/>
  <c r="B813" i="72"/>
  <c r="G811" i="72"/>
  <c r="B2091" i="72" l="1"/>
  <c r="G2090" i="72"/>
  <c r="B1939" i="72"/>
  <c r="G1938" i="72"/>
  <c r="B825" i="72"/>
  <c r="G824" i="72"/>
  <c r="B2099" i="72" l="1"/>
  <c r="G2098" i="72"/>
  <c r="B1948" i="72"/>
  <c r="G1947" i="72"/>
  <c r="B835" i="72"/>
  <c r="G834" i="72"/>
  <c r="B2108" i="72" l="1"/>
  <c r="G2107" i="72"/>
  <c r="B1957" i="72"/>
  <c r="G1956" i="72"/>
  <c r="B852" i="72"/>
  <c r="G849" i="72"/>
  <c r="B2117" i="72" l="1"/>
  <c r="G2116" i="72"/>
  <c r="B1967" i="72"/>
  <c r="G1966" i="72"/>
  <c r="B864" i="72"/>
  <c r="G863" i="72"/>
  <c r="B2128" i="72" l="1"/>
  <c r="G2127" i="72"/>
  <c r="B1978" i="72"/>
  <c r="B1980" i="72" s="1"/>
  <c r="B1982" i="72" s="1"/>
  <c r="G1989" i="72" s="1"/>
  <c r="G1977" i="72"/>
  <c r="B874" i="72"/>
  <c r="G873" i="72"/>
  <c r="B2136" i="72" l="1"/>
  <c r="B2138" i="72" s="1"/>
  <c r="B2140" i="72" s="1"/>
  <c r="B2142" i="72" s="1"/>
  <c r="G2135" i="72"/>
  <c r="B890" i="72"/>
  <c r="G888" i="72"/>
  <c r="B907" i="72" l="1"/>
  <c r="G923" i="72" s="1"/>
  <c r="G906" i="72"/>
  <c r="L575" i="58" l="1"/>
  <c r="L548" i="58"/>
  <c r="L523" i="58"/>
  <c r="L499" i="58"/>
  <c r="L474" i="58"/>
  <c r="L453" i="58"/>
  <c r="K245" i="72" s="1"/>
  <c r="L432" i="58"/>
  <c r="K176" i="72" l="1"/>
  <c r="K210" i="72"/>
  <c r="K762" i="72"/>
  <c r="K800" i="72"/>
  <c r="K724" i="72"/>
  <c r="K838" i="72"/>
  <c r="K493" i="72"/>
  <c r="K877" i="72"/>
  <c r="K384" i="72"/>
  <c r="K422" i="72"/>
  <c r="K346" i="72"/>
  <c r="K910" i="72"/>
  <c r="K453" i="72"/>
  <c r="K609" i="72"/>
  <c r="K647" i="72"/>
  <c r="K685" i="72"/>
  <c r="K533" i="72"/>
  <c r="K571" i="72"/>
  <c r="K893" i="72"/>
  <c r="K438" i="72"/>
  <c r="M342" i="71"/>
  <c r="M341" i="71"/>
  <c r="M331" i="71"/>
  <c r="M330" i="71"/>
  <c r="T322" i="71"/>
  <c r="W321" i="71"/>
  <c r="G320" i="71"/>
  <c r="W319" i="71"/>
  <c r="T319" i="71"/>
  <c r="W318" i="71"/>
  <c r="W317" i="71"/>
  <c r="W316" i="71"/>
  <c r="T316" i="71"/>
  <c r="W315" i="71"/>
  <c r="T315" i="71"/>
  <c r="G314" i="71"/>
  <c r="G313" i="71"/>
  <c r="W313" i="71" s="1"/>
  <c r="G312" i="71"/>
  <c r="W312" i="71" s="1"/>
  <c r="G311" i="71"/>
  <c r="W311" i="71" s="1"/>
  <c r="G310" i="71"/>
  <c r="W310" i="71" s="1"/>
  <c r="G309" i="71"/>
  <c r="W309" i="71" s="1"/>
  <c r="G308" i="71"/>
  <c r="W308" i="71" s="1"/>
  <c r="G307" i="71"/>
  <c r="W307" i="71" s="1"/>
  <c r="G306" i="71"/>
  <c r="W306" i="71" s="1"/>
  <c r="G305" i="71"/>
  <c r="W305" i="71" s="1"/>
  <c r="G304" i="71"/>
  <c r="W304" i="71" s="1"/>
  <c r="G303" i="71"/>
  <c r="W303" i="71" s="1"/>
  <c r="G302" i="71"/>
  <c r="W302" i="71" s="1"/>
  <c r="G301" i="71"/>
  <c r="W301" i="71" s="1"/>
  <c r="G300" i="71"/>
  <c r="W300" i="71" s="1"/>
  <c r="G299" i="71"/>
  <c r="W299" i="71" s="1"/>
  <c r="G298" i="71"/>
  <c r="G297" i="71"/>
  <c r="W297" i="71" s="1"/>
  <c r="G296" i="71"/>
  <c r="B296" i="71"/>
  <c r="B297" i="71" s="1"/>
  <c r="B298" i="71" s="1"/>
  <c r="B299" i="71" s="1"/>
  <c r="B300" i="71" s="1"/>
  <c r="B301" i="71" s="1"/>
  <c r="B302" i="71" s="1"/>
  <c r="B303" i="71" s="1"/>
  <c r="B304" i="71" s="1"/>
  <c r="B305" i="71" s="1"/>
  <c r="B306" i="71" s="1"/>
  <c r="B307" i="71" s="1"/>
  <c r="B308" i="71" s="1"/>
  <c r="B309" i="71" s="1"/>
  <c r="B310" i="71" s="1"/>
  <c r="B311" i="71" s="1"/>
  <c r="B312" i="71" s="1"/>
  <c r="B313" i="71" s="1"/>
  <c r="B314" i="71" s="1"/>
  <c r="G295" i="71"/>
  <c r="W295" i="71" s="1"/>
  <c r="AF294" i="71"/>
  <c r="W294" i="71"/>
  <c r="AF293" i="71"/>
  <c r="W293" i="71"/>
  <c r="G292" i="71"/>
  <c r="W292" i="71" s="1"/>
  <c r="G291" i="71"/>
  <c r="W291" i="71" s="1"/>
  <c r="G290" i="71"/>
  <c r="W290" i="71" s="1"/>
  <c r="G289" i="71"/>
  <c r="W289" i="71" s="1"/>
  <c r="G288" i="71"/>
  <c r="W288" i="71" s="1"/>
  <c r="G287" i="71"/>
  <c r="W287" i="71" s="1"/>
  <c r="G286" i="71"/>
  <c r="W286" i="71" s="1"/>
  <c r="G285" i="71"/>
  <c r="W285" i="71" s="1"/>
  <c r="G284" i="71"/>
  <c r="W284" i="71" s="1"/>
  <c r="G283" i="71"/>
  <c r="W283" i="71" s="1"/>
  <c r="G282" i="71"/>
  <c r="G281" i="71"/>
  <c r="G280" i="71"/>
  <c r="G279" i="71"/>
  <c r="G278" i="71"/>
  <c r="G277" i="71"/>
  <c r="W277" i="71" s="1"/>
  <c r="G276" i="71"/>
  <c r="W276" i="71" s="1"/>
  <c r="G275" i="71"/>
  <c r="W275" i="71" s="1"/>
  <c r="G274" i="71"/>
  <c r="W274" i="71" s="1"/>
  <c r="B274" i="71"/>
  <c r="B275" i="71" s="1"/>
  <c r="B276" i="71" s="1"/>
  <c r="B277" i="71" s="1"/>
  <c r="B278" i="71" s="1"/>
  <c r="B279" i="71" s="1"/>
  <c r="B280" i="71" s="1"/>
  <c r="B281" i="71" s="1"/>
  <c r="B282" i="71" s="1"/>
  <c r="B283" i="71" s="1"/>
  <c r="B284" i="71" s="1"/>
  <c r="B285" i="71" s="1"/>
  <c r="B286" i="71" s="1"/>
  <c r="B287" i="71" s="1"/>
  <c r="B288" i="71" s="1"/>
  <c r="B289" i="71" s="1"/>
  <c r="B290" i="71" s="1"/>
  <c r="B291" i="71" s="1"/>
  <c r="B292" i="71" s="1"/>
  <c r="G273" i="71"/>
  <c r="W273" i="71" s="1"/>
  <c r="AF272" i="71"/>
  <c r="W272" i="71"/>
  <c r="AF271" i="71"/>
  <c r="W271" i="71"/>
  <c r="AF270" i="71"/>
  <c r="W270" i="71"/>
  <c r="AF269" i="71"/>
  <c r="W269" i="71"/>
  <c r="G268" i="71"/>
  <c r="W268" i="71" s="1"/>
  <c r="AF267" i="71"/>
  <c r="W267" i="71"/>
  <c r="AF266" i="71"/>
  <c r="W266" i="71"/>
  <c r="AF265" i="71"/>
  <c r="W265" i="71"/>
  <c r="T265" i="71"/>
  <c r="G264" i="71"/>
  <c r="W264" i="71" s="1"/>
  <c r="G263" i="71"/>
  <c r="W263" i="71" s="1"/>
  <c r="G262" i="71"/>
  <c r="W262" i="71" s="1"/>
  <c r="G261" i="71"/>
  <c r="W261" i="71" s="1"/>
  <c r="G260" i="71"/>
  <c r="W260" i="71" s="1"/>
  <c r="B260" i="71"/>
  <c r="B261" i="71" s="1"/>
  <c r="B262" i="71" s="1"/>
  <c r="B263" i="71" s="1"/>
  <c r="B264" i="71" s="1"/>
  <c r="G259" i="71"/>
  <c r="W259" i="71" s="1"/>
  <c r="AF258" i="71"/>
  <c r="W258" i="71"/>
  <c r="G257" i="71"/>
  <c r="W257" i="71" s="1"/>
  <c r="AF256" i="71"/>
  <c r="W256" i="71"/>
  <c r="G255" i="71"/>
  <c r="W255" i="71" s="1"/>
  <c r="AF254" i="71"/>
  <c r="W254" i="71"/>
  <c r="G253" i="71"/>
  <c r="W253" i="71" s="1"/>
  <c r="G252" i="71"/>
  <c r="W252" i="71" s="1"/>
  <c r="B252" i="71"/>
  <c r="B253" i="71" s="1"/>
  <c r="G251" i="71"/>
  <c r="W251" i="71" s="1"/>
  <c r="AF250" i="71"/>
  <c r="W250" i="71"/>
  <c r="G249" i="71"/>
  <c r="W249" i="71" s="1"/>
  <c r="G248" i="71"/>
  <c r="G247" i="71"/>
  <c r="B247" i="71"/>
  <c r="B248" i="71" s="1"/>
  <c r="B249" i="71" s="1"/>
  <c r="G246" i="71"/>
  <c r="AF245" i="71"/>
  <c r="W245" i="71"/>
  <c r="AF244" i="71"/>
  <c r="W244" i="71"/>
  <c r="AF243" i="71"/>
  <c r="W243" i="71"/>
  <c r="AF242" i="71"/>
  <c r="W242" i="71"/>
  <c r="AF241" i="71"/>
  <c r="W241" i="71"/>
  <c r="W240" i="71"/>
  <c r="G239" i="71"/>
  <c r="W239" i="71" s="1"/>
  <c r="G238" i="71"/>
  <c r="W238" i="71" s="1"/>
  <c r="G237" i="71"/>
  <c r="W237" i="71" s="1"/>
  <c r="G236" i="71"/>
  <c r="W236" i="71" s="1"/>
  <c r="B236" i="71"/>
  <c r="B237" i="71" s="1"/>
  <c r="B238" i="71" s="1"/>
  <c r="B239" i="71" s="1"/>
  <c r="B240" i="71" s="1"/>
  <c r="Y235" i="71"/>
  <c r="G235" i="71"/>
  <c r="W235" i="71" s="1"/>
  <c r="B235" i="71"/>
  <c r="G234" i="71"/>
  <c r="W234" i="71" s="1"/>
  <c r="AF233" i="71"/>
  <c r="W233" i="71"/>
  <c r="G232" i="71"/>
  <c r="W232" i="71" s="1"/>
  <c r="AF231" i="71"/>
  <c r="W231" i="71"/>
  <c r="G230" i="71"/>
  <c r="W230" i="71" s="1"/>
  <c r="G229" i="71"/>
  <c r="W229" i="71" s="1"/>
  <c r="B229" i="71"/>
  <c r="B230" i="71" s="1"/>
  <c r="W228" i="71"/>
  <c r="G228" i="71"/>
  <c r="AF227" i="71"/>
  <c r="W227" i="71"/>
  <c r="G226" i="71"/>
  <c r="W226" i="71" s="1"/>
  <c r="G225" i="71"/>
  <c r="W225" i="71" s="1"/>
  <c r="G224" i="71"/>
  <c r="W224" i="71" s="1"/>
  <c r="B224" i="71"/>
  <c r="B225" i="71" s="1"/>
  <c r="B226" i="71" s="1"/>
  <c r="G223" i="71"/>
  <c r="W223" i="71" s="1"/>
  <c r="AF222" i="71"/>
  <c r="W222" i="71"/>
  <c r="AF221" i="71"/>
  <c r="W221" i="71"/>
  <c r="AF220" i="71"/>
  <c r="W220" i="71"/>
  <c r="AF219" i="71"/>
  <c r="W219" i="71"/>
  <c r="T219" i="71"/>
  <c r="G218" i="71"/>
  <c r="W218" i="71" s="1"/>
  <c r="AF217" i="71"/>
  <c r="W217" i="71"/>
  <c r="AF216" i="71"/>
  <c r="Z216" i="71"/>
  <c r="W216" i="71"/>
  <c r="T216" i="71"/>
  <c r="AA215" i="71"/>
  <c r="AB215" i="71" s="1"/>
  <c r="Z215" i="71"/>
  <c r="G215" i="71"/>
  <c r="W215" i="71" s="1"/>
  <c r="G214" i="71"/>
  <c r="W214" i="71" s="1"/>
  <c r="G213" i="71"/>
  <c r="W213" i="71" s="1"/>
  <c r="B213" i="71"/>
  <c r="B214" i="71" s="1"/>
  <c r="B215" i="71" s="1"/>
  <c r="G212" i="71"/>
  <c r="W212" i="71" s="1"/>
  <c r="AF211" i="71"/>
  <c r="W211" i="71"/>
  <c r="G210" i="71"/>
  <c r="W210" i="71" s="1"/>
  <c r="G209" i="71"/>
  <c r="W209" i="71" s="1"/>
  <c r="B209" i="71"/>
  <c r="B210" i="71" s="1"/>
  <c r="G208" i="71"/>
  <c r="W208" i="71" s="1"/>
  <c r="AF207" i="71"/>
  <c r="W207" i="71"/>
  <c r="AF206" i="71"/>
  <c r="W206" i="71"/>
  <c r="AF205" i="71"/>
  <c r="W205" i="71"/>
  <c r="T205" i="71"/>
  <c r="G204" i="71"/>
  <c r="W204" i="71" s="1"/>
  <c r="G203" i="71"/>
  <c r="W203" i="71" s="1"/>
  <c r="G202" i="71"/>
  <c r="W202" i="71" s="1"/>
  <c r="G201" i="71"/>
  <c r="W201" i="71" s="1"/>
  <c r="G200" i="71"/>
  <c r="W200" i="71" s="1"/>
  <c r="B200" i="71"/>
  <c r="B201" i="71" s="1"/>
  <c r="B202" i="71" s="1"/>
  <c r="B203" i="71" s="1"/>
  <c r="B204" i="71" s="1"/>
  <c r="AF199" i="71"/>
  <c r="W199" i="71"/>
  <c r="AF198" i="71"/>
  <c r="W198" i="71"/>
  <c r="G197" i="71"/>
  <c r="W197" i="71" s="1"/>
  <c r="G196" i="71"/>
  <c r="W196" i="71" s="1"/>
  <c r="G195" i="71"/>
  <c r="W195" i="71" s="1"/>
  <c r="G194" i="71"/>
  <c r="W194" i="71" s="1"/>
  <c r="G193" i="71"/>
  <c r="W193" i="71" s="1"/>
  <c r="W192" i="71"/>
  <c r="B192" i="71"/>
  <c r="B193" i="71" s="1"/>
  <c r="B194" i="71" s="1"/>
  <c r="B195" i="71" s="1"/>
  <c r="B196" i="71" s="1"/>
  <c r="B197" i="71" s="1"/>
  <c r="W191" i="71"/>
  <c r="AF190" i="71"/>
  <c r="W190" i="71"/>
  <c r="AF189" i="71"/>
  <c r="W189" i="71"/>
  <c r="AF188" i="71"/>
  <c r="W188" i="71"/>
  <c r="AF187" i="71"/>
  <c r="W187" i="71"/>
  <c r="T187" i="71"/>
  <c r="G186" i="71"/>
  <c r="W186" i="71" s="1"/>
  <c r="G184" i="71"/>
  <c r="W184" i="71" s="1"/>
  <c r="B184" i="71"/>
  <c r="B185" i="71" s="1"/>
  <c r="B186" i="71" s="1"/>
  <c r="T183" i="71"/>
  <c r="G183" i="71"/>
  <c r="W183" i="71" s="1"/>
  <c r="W182" i="71"/>
  <c r="G182" i="71"/>
  <c r="B182" i="71"/>
  <c r="AF181" i="71"/>
  <c r="Y181" i="71"/>
  <c r="W181" i="71"/>
  <c r="AF180" i="71"/>
  <c r="W180" i="71"/>
  <c r="T180" i="71"/>
  <c r="W179" i="71"/>
  <c r="G179" i="71"/>
  <c r="G178" i="71"/>
  <c r="W178" i="71" s="1"/>
  <c r="G177" i="71"/>
  <c r="W177" i="71" s="1"/>
  <c r="G176" i="71"/>
  <c r="W176" i="71" s="1"/>
  <c r="B176" i="71"/>
  <c r="B177" i="71" s="1"/>
  <c r="B178" i="71" s="1"/>
  <c r="B179" i="71" s="1"/>
  <c r="G175" i="71"/>
  <c r="W175" i="71" s="1"/>
  <c r="AF174" i="71"/>
  <c r="W174" i="71"/>
  <c r="G173" i="71"/>
  <c r="G172" i="71"/>
  <c r="G171" i="71"/>
  <c r="W171" i="71" s="1"/>
  <c r="G170" i="71"/>
  <c r="W170" i="71" s="1"/>
  <c r="B170" i="71"/>
  <c r="B171" i="71" s="1"/>
  <c r="B172" i="71" s="1"/>
  <c r="B173" i="71" s="1"/>
  <c r="G169" i="71"/>
  <c r="W169" i="71" s="1"/>
  <c r="AF168" i="71"/>
  <c r="W168" i="71"/>
  <c r="AF167" i="71"/>
  <c r="W167" i="71"/>
  <c r="AF166" i="71"/>
  <c r="W166" i="71"/>
  <c r="T166" i="71"/>
  <c r="G165" i="71"/>
  <c r="W165" i="71" s="1"/>
  <c r="G164" i="71"/>
  <c r="W164" i="71" s="1"/>
  <c r="G163" i="71"/>
  <c r="W163" i="71" s="1"/>
  <c r="G162" i="71"/>
  <c r="W162" i="71" s="1"/>
  <c r="B162" i="71"/>
  <c r="B163" i="71" s="1"/>
  <c r="B164" i="71" s="1"/>
  <c r="B165" i="71" s="1"/>
  <c r="G161" i="71"/>
  <c r="W161" i="71" s="1"/>
  <c r="D161" i="71"/>
  <c r="AF160" i="71"/>
  <c r="W160" i="71"/>
  <c r="G159" i="71"/>
  <c r="W159" i="71" s="1"/>
  <c r="G158" i="71"/>
  <c r="W158" i="71" s="1"/>
  <c r="G157" i="71"/>
  <c r="W157" i="71" s="1"/>
  <c r="G156" i="71"/>
  <c r="W156" i="71" s="1"/>
  <c r="T155" i="71"/>
  <c r="G155" i="71"/>
  <c r="W155" i="71" s="1"/>
  <c r="G154" i="71"/>
  <c r="G153" i="71"/>
  <c r="W153" i="71" s="1"/>
  <c r="G152" i="71"/>
  <c r="W152" i="71" s="1"/>
  <c r="B152" i="71"/>
  <c r="B153" i="71" s="1"/>
  <c r="B154" i="71" s="1"/>
  <c r="B155" i="71" s="1"/>
  <c r="B156" i="71" s="1"/>
  <c r="B157" i="71" s="1"/>
  <c r="B158" i="71" s="1"/>
  <c r="B159" i="71" s="1"/>
  <c r="G151" i="71"/>
  <c r="W151" i="71" s="1"/>
  <c r="AF150" i="71"/>
  <c r="W150" i="71"/>
  <c r="AF149" i="71"/>
  <c r="AF148" i="71"/>
  <c r="W148" i="71"/>
  <c r="T148" i="71"/>
  <c r="G147" i="71"/>
  <c r="W147" i="71" s="1"/>
  <c r="G146" i="71"/>
  <c r="W146" i="71" s="1"/>
  <c r="G145" i="71"/>
  <c r="W145" i="71" s="1"/>
  <c r="W144" i="71"/>
  <c r="G144" i="71"/>
  <c r="B144" i="71"/>
  <c r="B145" i="71" s="1"/>
  <c r="B146" i="71" s="1"/>
  <c r="B147" i="71" s="1"/>
  <c r="G143" i="71"/>
  <c r="W143" i="71" s="1"/>
  <c r="AF142" i="71"/>
  <c r="W142" i="71"/>
  <c r="AF141" i="71"/>
  <c r="W141" i="71"/>
  <c r="G140" i="71"/>
  <c r="W140" i="71" s="1"/>
  <c r="G139" i="71"/>
  <c r="W139" i="71" s="1"/>
  <c r="G138" i="71"/>
  <c r="W138" i="71" s="1"/>
  <c r="G137" i="71"/>
  <c r="W137" i="71" s="1"/>
  <c r="B137" i="71"/>
  <c r="B138" i="71" s="1"/>
  <c r="B139" i="71" s="1"/>
  <c r="B140" i="71" s="1"/>
  <c r="G136" i="71"/>
  <c r="AF135" i="71"/>
  <c r="W135" i="71"/>
  <c r="AF134" i="71"/>
  <c r="W134" i="71"/>
  <c r="AF133" i="71"/>
  <c r="W133" i="71"/>
  <c r="AF132" i="71"/>
  <c r="W132" i="71"/>
  <c r="T132" i="71"/>
  <c r="G131" i="71"/>
  <c r="W131" i="71" s="1"/>
  <c r="B131" i="71"/>
  <c r="G130" i="71"/>
  <c r="W130" i="71" s="1"/>
  <c r="AF129" i="71"/>
  <c r="W129" i="71"/>
  <c r="AF128" i="71"/>
  <c r="W128" i="71"/>
  <c r="G127" i="71"/>
  <c r="W127" i="71" s="1"/>
  <c r="G126" i="71"/>
  <c r="W126" i="71" s="1"/>
  <c r="B126" i="71"/>
  <c r="B127" i="71" s="1"/>
  <c r="G125" i="71"/>
  <c r="AF124" i="71"/>
  <c r="W124" i="71"/>
  <c r="AF123" i="71"/>
  <c r="W123" i="71"/>
  <c r="AF122" i="71"/>
  <c r="W122" i="71"/>
  <c r="G121" i="71"/>
  <c r="W121" i="71" s="1"/>
  <c r="G120" i="71"/>
  <c r="W120" i="71" s="1"/>
  <c r="B120" i="71"/>
  <c r="B121" i="71" s="1"/>
  <c r="G119" i="71"/>
  <c r="W119" i="71" s="1"/>
  <c r="AF118" i="71"/>
  <c r="W118" i="71"/>
  <c r="G117" i="71"/>
  <c r="W117" i="71" s="1"/>
  <c r="G116" i="71"/>
  <c r="W116" i="71" s="1"/>
  <c r="B116" i="71"/>
  <c r="B117" i="71" s="1"/>
  <c r="G115" i="71"/>
  <c r="W115" i="71" s="1"/>
  <c r="AF114" i="71"/>
  <c r="W114" i="71"/>
  <c r="G113" i="71"/>
  <c r="W113" i="71" s="1"/>
  <c r="G112" i="71"/>
  <c r="W112" i="71" s="1"/>
  <c r="B112" i="71"/>
  <c r="B113" i="71" s="1"/>
  <c r="G111" i="71"/>
  <c r="W111" i="71" s="1"/>
  <c r="AF110" i="71"/>
  <c r="W110" i="71"/>
  <c r="G109" i="71"/>
  <c r="W109" i="71" s="1"/>
  <c r="G108" i="71"/>
  <c r="W108" i="71" s="1"/>
  <c r="B108" i="71"/>
  <c r="B109" i="71" s="1"/>
  <c r="G107" i="71"/>
  <c r="W107" i="71" s="1"/>
  <c r="AF106" i="71"/>
  <c r="W106" i="71"/>
  <c r="AF105" i="71"/>
  <c r="W105" i="71"/>
  <c r="AF104" i="71"/>
  <c r="W104" i="71"/>
  <c r="G103" i="71"/>
  <c r="W103" i="71" s="1"/>
  <c r="G102" i="71"/>
  <c r="W102" i="71" s="1"/>
  <c r="B102" i="71"/>
  <c r="B103" i="71" s="1"/>
  <c r="G101" i="71"/>
  <c r="W101" i="71" s="1"/>
  <c r="AF100" i="71"/>
  <c r="W100" i="71"/>
  <c r="G99" i="71"/>
  <c r="W99" i="71" s="1"/>
  <c r="G98" i="71"/>
  <c r="B98" i="71"/>
  <c r="B99" i="71" s="1"/>
  <c r="G97" i="71"/>
  <c r="AF96" i="71"/>
  <c r="W96" i="71"/>
  <c r="G95" i="71"/>
  <c r="W95" i="71" s="1"/>
  <c r="G94" i="71"/>
  <c r="W94" i="71" s="1"/>
  <c r="B94" i="71"/>
  <c r="B95" i="71" s="1"/>
  <c r="G93" i="71"/>
  <c r="W93" i="71" s="1"/>
  <c r="AF92" i="71"/>
  <c r="W92" i="71"/>
  <c r="G91" i="71"/>
  <c r="G90" i="71"/>
  <c r="B90" i="71"/>
  <c r="B91" i="71" s="1"/>
  <c r="G89" i="71"/>
  <c r="AF88" i="71"/>
  <c r="W88" i="71"/>
  <c r="G87" i="71"/>
  <c r="W87" i="71" s="1"/>
  <c r="G86" i="71"/>
  <c r="W86" i="71" s="1"/>
  <c r="B86" i="71"/>
  <c r="B87" i="71" s="1"/>
  <c r="G85" i="71"/>
  <c r="W85" i="71" s="1"/>
  <c r="AF84" i="71"/>
  <c r="W84" i="71"/>
  <c r="AF83" i="71"/>
  <c r="W83" i="71"/>
  <c r="AF82" i="71"/>
  <c r="W82" i="71"/>
  <c r="AF81" i="71"/>
  <c r="W81" i="71"/>
  <c r="G80" i="71"/>
  <c r="G79" i="71"/>
  <c r="W79" i="71" s="1"/>
  <c r="B79" i="71"/>
  <c r="B80" i="71" s="1"/>
  <c r="G78" i="71"/>
  <c r="W78" i="71" s="1"/>
  <c r="AF77" i="71"/>
  <c r="W77" i="71"/>
  <c r="G76" i="71"/>
  <c r="B76" i="71"/>
  <c r="G75" i="71"/>
  <c r="W75" i="71" s="1"/>
  <c r="AF74" i="71"/>
  <c r="W74" i="71"/>
  <c r="G73" i="71"/>
  <c r="G72" i="71"/>
  <c r="B72" i="71"/>
  <c r="B73" i="71" s="1"/>
  <c r="G71" i="71"/>
  <c r="AF70" i="71"/>
  <c r="W70" i="71"/>
  <c r="G69" i="71"/>
  <c r="W69" i="71" s="1"/>
  <c r="G68" i="71"/>
  <c r="W68" i="71" s="1"/>
  <c r="B68" i="71"/>
  <c r="B69" i="71" s="1"/>
  <c r="G67" i="71"/>
  <c r="W67" i="71" s="1"/>
  <c r="AF66" i="71"/>
  <c r="W66" i="71"/>
  <c r="G65" i="71"/>
  <c r="W65" i="71" s="1"/>
  <c r="G64" i="71"/>
  <c r="W64" i="71" s="1"/>
  <c r="B64" i="71"/>
  <c r="B65" i="71" s="1"/>
  <c r="G63" i="71"/>
  <c r="W63" i="71" s="1"/>
  <c r="AF62" i="71"/>
  <c r="W62" i="71"/>
  <c r="AF61" i="71"/>
  <c r="W61" i="71"/>
  <c r="G60" i="71"/>
  <c r="W60" i="71" s="1"/>
  <c r="G59" i="71"/>
  <c r="W59" i="71" s="1"/>
  <c r="B59" i="71"/>
  <c r="B60" i="71" s="1"/>
  <c r="G58" i="71"/>
  <c r="W58" i="71" s="1"/>
  <c r="AF57" i="71"/>
  <c r="W57" i="71"/>
  <c r="G56" i="71"/>
  <c r="W56" i="71" s="1"/>
  <c r="G55" i="71"/>
  <c r="W55" i="71" s="1"/>
  <c r="B55" i="71"/>
  <c r="B56" i="71" s="1"/>
  <c r="G54" i="71"/>
  <c r="W54" i="71" s="1"/>
  <c r="AF53" i="71"/>
  <c r="W53" i="71"/>
  <c r="G52" i="71"/>
  <c r="W52" i="71" s="1"/>
  <c r="G51" i="71"/>
  <c r="W51" i="71" s="1"/>
  <c r="B51" i="71"/>
  <c r="B52" i="71" s="1"/>
  <c r="G50" i="71"/>
  <c r="W50" i="71" s="1"/>
  <c r="AF49" i="71"/>
  <c r="W49" i="71"/>
  <c r="AF48" i="71"/>
  <c r="W48" i="71"/>
  <c r="G47" i="71"/>
  <c r="W47" i="71" s="1"/>
  <c r="G46" i="71"/>
  <c r="W46" i="71" s="1"/>
  <c r="B46" i="71"/>
  <c r="B47" i="71" s="1"/>
  <c r="G45" i="71"/>
  <c r="W45" i="71" s="1"/>
  <c r="AF44" i="71"/>
  <c r="W44" i="71"/>
  <c r="G43" i="71"/>
  <c r="W43" i="71" s="1"/>
  <c r="G42" i="71"/>
  <c r="W42" i="71" s="1"/>
  <c r="B42" i="71"/>
  <c r="B43" i="71" s="1"/>
  <c r="W41" i="71"/>
  <c r="G41" i="71"/>
  <c r="AF40" i="71"/>
  <c r="W40" i="71"/>
  <c r="G39" i="71"/>
  <c r="W39" i="71" s="1"/>
  <c r="AF38" i="71"/>
  <c r="W38" i="71"/>
  <c r="AF37" i="71"/>
  <c r="W37" i="71"/>
  <c r="AF36" i="71"/>
  <c r="W36" i="71"/>
  <c r="AF35" i="71"/>
  <c r="W35" i="71"/>
  <c r="T35" i="71"/>
  <c r="G34" i="71"/>
  <c r="W34" i="71" s="1"/>
  <c r="G33" i="71"/>
  <c r="W33" i="71" s="1"/>
  <c r="B33" i="71"/>
  <c r="B34" i="71" s="1"/>
  <c r="G32" i="71"/>
  <c r="W32" i="71" s="1"/>
  <c r="AF31" i="71"/>
  <c r="W31" i="71"/>
  <c r="AF30" i="71"/>
  <c r="W30" i="71"/>
  <c r="T30" i="71"/>
  <c r="G29" i="71"/>
  <c r="W29" i="71" s="1"/>
  <c r="G28" i="71"/>
  <c r="W28" i="71" s="1"/>
  <c r="G27" i="71"/>
  <c r="W27" i="71" s="1"/>
  <c r="W26" i="71"/>
  <c r="G26" i="71"/>
  <c r="B26" i="71"/>
  <c r="B27" i="71" s="1"/>
  <c r="B28" i="71" s="1"/>
  <c r="B29" i="71" s="1"/>
  <c r="G25" i="71"/>
  <c r="W25" i="71" s="1"/>
  <c r="AF24" i="71"/>
  <c r="W24" i="71"/>
  <c r="AF23" i="71"/>
  <c r="W23" i="71"/>
  <c r="T23" i="71"/>
  <c r="G22" i="71"/>
  <c r="W22" i="71" s="1"/>
  <c r="G21" i="71"/>
  <c r="W21" i="71" s="1"/>
  <c r="G20" i="71"/>
  <c r="W20" i="71" s="1"/>
  <c r="G19" i="71"/>
  <c r="W19" i="71" s="1"/>
  <c r="G18" i="71"/>
  <c r="W18" i="71" s="1"/>
  <c r="B18" i="71"/>
  <c r="B19" i="71" s="1"/>
  <c r="B20" i="71" s="1"/>
  <c r="B21" i="71" s="1"/>
  <c r="B22" i="71" s="1"/>
  <c r="W17" i="71"/>
  <c r="R12" i="71"/>
  <c r="O11" i="71"/>
  <c r="P11" i="71" s="1"/>
  <c r="F4" i="71"/>
  <c r="K131" i="59"/>
  <c r="K130" i="59"/>
  <c r="K129" i="59"/>
  <c r="K128" i="59"/>
  <c r="K127" i="59"/>
  <c r="K126" i="59"/>
  <c r="K125" i="59"/>
  <c r="K124" i="59"/>
  <c r="K123" i="59"/>
  <c r="K122" i="59"/>
  <c r="K121" i="59"/>
  <c r="K120" i="59"/>
  <c r="K119" i="59"/>
  <c r="K118" i="59"/>
  <c r="K117" i="59"/>
  <c r="K116" i="59"/>
  <c r="K115" i="59"/>
  <c r="K114" i="59"/>
  <c r="K113" i="59"/>
  <c r="K112" i="59"/>
  <c r="K111" i="59"/>
  <c r="K110" i="59"/>
  <c r="K109" i="59"/>
  <c r="K108" i="59"/>
  <c r="K106" i="59"/>
  <c r="O11" i="69"/>
  <c r="P11" i="69" s="1"/>
  <c r="K17" i="59"/>
  <c r="L60" i="58"/>
  <c r="L743" i="58"/>
  <c r="E1762" i="58"/>
  <c r="L765" i="58" s="1"/>
  <c r="E1761" i="58"/>
  <c r="E1760" i="58"/>
  <c r="L1322" i="58"/>
  <c r="L1302" i="58"/>
  <c r="M1282" i="58"/>
  <c r="L1282" i="58"/>
  <c r="M991" i="58"/>
  <c r="I1319" i="72" s="1"/>
  <c r="L991" i="58"/>
  <c r="K1319" i="72" s="1"/>
  <c r="M973" i="58"/>
  <c r="I1310" i="72" s="1"/>
  <c r="L973" i="58"/>
  <c r="K1310" i="72" s="1"/>
  <c r="M954" i="58"/>
  <c r="I1300" i="72" s="1"/>
  <c r="L954" i="58"/>
  <c r="K1300" i="72" s="1"/>
  <c r="L721" i="58"/>
  <c r="L701" i="58"/>
  <c r="M661" i="58"/>
  <c r="I1233" i="72" s="1"/>
  <c r="L661" i="58"/>
  <c r="K1233" i="72" s="1"/>
  <c r="M642" i="58"/>
  <c r="L642" i="58"/>
  <c r="M623" i="58"/>
  <c r="L623" i="58"/>
  <c r="M604" i="58"/>
  <c r="L604" i="58"/>
  <c r="M584" i="58"/>
  <c r="I919" i="72" s="1"/>
  <c r="L584" i="58"/>
  <c r="M557" i="58"/>
  <c r="I902" i="72" s="1"/>
  <c r="L557" i="58"/>
  <c r="M531" i="58"/>
  <c r="L531" i="58"/>
  <c r="M507" i="58"/>
  <c r="L507" i="58"/>
  <c r="M482" i="58"/>
  <c r="L482" i="58"/>
  <c r="M457" i="58"/>
  <c r="I249" i="72" s="1"/>
  <c r="L457" i="58"/>
  <c r="K249" i="72" s="1"/>
  <c r="M436" i="58"/>
  <c r="I180" i="72" s="1"/>
  <c r="L436" i="58"/>
  <c r="M353" i="58"/>
  <c r="I1329" i="72" s="1"/>
  <c r="L353" i="58"/>
  <c r="K1329" i="72" s="1"/>
  <c r="E1759" i="58"/>
  <c r="L39" i="58" s="1"/>
  <c r="K25" i="72" s="1"/>
  <c r="N1679" i="58"/>
  <c r="N1678" i="58"/>
  <c r="N1677" i="58"/>
  <c r="N1657" i="58"/>
  <c r="N1656" i="58"/>
  <c r="N1636" i="58"/>
  <c r="N1616" i="58"/>
  <c r="N1596" i="58"/>
  <c r="N1576" i="58"/>
  <c r="N1488" i="58"/>
  <c r="N1468" i="58"/>
  <c r="N1448" i="58"/>
  <c r="N1428" i="58"/>
  <c r="N1408" i="58"/>
  <c r="N1388" i="58"/>
  <c r="N1387" i="58"/>
  <c r="N1367" i="58"/>
  <c r="N1347" i="58"/>
  <c r="N1327" i="58"/>
  <c r="N1307" i="58"/>
  <c r="N1058" i="58"/>
  <c r="N1057" i="58"/>
  <c r="N1056" i="58"/>
  <c r="N1036" i="58"/>
  <c r="N1016" i="58"/>
  <c r="N940" i="58"/>
  <c r="N939" i="58"/>
  <c r="N919" i="58"/>
  <c r="N918" i="58"/>
  <c r="N898" i="58"/>
  <c r="N897" i="58"/>
  <c r="N877" i="58"/>
  <c r="N876" i="58"/>
  <c r="N856" i="58"/>
  <c r="N836" i="58"/>
  <c r="N835" i="58"/>
  <c r="N814" i="58"/>
  <c r="N813" i="58"/>
  <c r="N792" i="58"/>
  <c r="N791" i="58"/>
  <c r="N790" i="58"/>
  <c r="N770" i="58"/>
  <c r="N769" i="58"/>
  <c r="N768" i="58"/>
  <c r="N748" i="58"/>
  <c r="N747" i="58"/>
  <c r="N746" i="58"/>
  <c r="N706" i="58"/>
  <c r="N686" i="58"/>
  <c r="N590" i="58"/>
  <c r="N589" i="58"/>
  <c r="N588" i="58"/>
  <c r="N563" i="58"/>
  <c r="N562" i="58"/>
  <c r="N561" i="58"/>
  <c r="N536" i="58"/>
  <c r="N535" i="58"/>
  <c r="N534" i="58"/>
  <c r="N512" i="58"/>
  <c r="N511" i="58"/>
  <c r="N510" i="58"/>
  <c r="N487" i="58"/>
  <c r="N486" i="58"/>
  <c r="N485" i="58"/>
  <c r="N462" i="58"/>
  <c r="N441" i="58"/>
  <c r="N423" i="58"/>
  <c r="N400" i="58"/>
  <c r="N399" i="58"/>
  <c r="N379" i="58"/>
  <c r="N378" i="58"/>
  <c r="N241" i="58"/>
  <c r="N240" i="58"/>
  <c r="N239" i="58"/>
  <c r="N221" i="58"/>
  <c r="N220" i="58"/>
  <c r="N219" i="58"/>
  <c r="N201" i="58"/>
  <c r="N200" i="58"/>
  <c r="N199" i="58"/>
  <c r="N1715" i="58"/>
  <c r="N1714" i="58"/>
  <c r="N1713" i="58"/>
  <c r="N1708" i="58"/>
  <c r="N1696" i="58"/>
  <c r="N1695" i="58"/>
  <c r="N1694" i="58"/>
  <c r="N1691" i="58"/>
  <c r="N1676" i="58"/>
  <c r="N1675" i="58"/>
  <c r="N1671" i="58"/>
  <c r="N1655" i="58"/>
  <c r="N1654" i="58"/>
  <c r="N1653" i="58"/>
  <c r="N1649" i="58"/>
  <c r="N1635" i="58"/>
  <c r="N1634" i="58"/>
  <c r="N1633" i="58"/>
  <c r="N1632" i="58"/>
  <c r="N1628" i="58"/>
  <c r="N1615" i="58"/>
  <c r="N1614" i="58"/>
  <c r="N1613" i="58"/>
  <c r="N1612" i="58"/>
  <c r="N1608" i="58"/>
  <c r="N1595" i="58"/>
  <c r="N1594" i="58"/>
  <c r="N1593" i="58"/>
  <c r="N1592" i="58"/>
  <c r="N1591" i="58"/>
  <c r="N1588" i="58"/>
  <c r="N1575" i="58"/>
  <c r="N1574" i="58"/>
  <c r="N1573" i="58"/>
  <c r="N1572" i="58"/>
  <c r="N1571" i="58"/>
  <c r="N1568" i="58"/>
  <c r="N1556" i="58"/>
  <c r="N1555" i="58"/>
  <c r="N1554" i="58"/>
  <c r="N1551" i="58"/>
  <c r="N1539" i="58"/>
  <c r="N1538" i="58"/>
  <c r="N1537" i="58"/>
  <c r="N1534" i="58"/>
  <c r="N1522" i="58"/>
  <c r="N1521" i="58"/>
  <c r="N1520" i="58"/>
  <c r="N1517" i="58"/>
  <c r="N1505" i="58"/>
  <c r="N1504" i="58"/>
  <c r="N1503" i="58"/>
  <c r="N1500" i="58"/>
  <c r="N1487" i="58"/>
  <c r="N1486" i="58"/>
  <c r="N1485" i="58"/>
  <c r="N1484" i="58"/>
  <c r="N1480" i="58"/>
  <c r="N1467" i="58"/>
  <c r="N1466" i="58"/>
  <c r="N1465" i="58"/>
  <c r="N1464" i="58"/>
  <c r="N1460" i="58"/>
  <c r="N1447" i="58"/>
  <c r="N1446" i="58"/>
  <c r="N1442" i="58"/>
  <c r="N1427" i="58"/>
  <c r="N1426" i="58"/>
  <c r="N1422" i="58"/>
  <c r="N1407" i="58"/>
  <c r="N1406" i="58"/>
  <c r="N1402" i="58"/>
  <c r="N1386" i="58"/>
  <c r="N1382" i="58"/>
  <c r="N1366" i="58"/>
  <c r="N1365" i="58"/>
  <c r="N1364" i="58"/>
  <c r="N1363" i="58"/>
  <c r="N1359" i="58"/>
  <c r="N1346" i="58"/>
  <c r="N1345" i="58"/>
  <c r="N1344" i="58"/>
  <c r="N1343" i="58"/>
  <c r="N1339" i="58"/>
  <c r="N1326" i="58"/>
  <c r="N1325" i="58"/>
  <c r="N1320" i="58"/>
  <c r="N1306" i="58"/>
  <c r="N1305" i="58"/>
  <c r="N1300" i="58"/>
  <c r="N1287" i="58"/>
  <c r="N1286" i="58"/>
  <c r="N1285" i="58"/>
  <c r="N1280" i="58"/>
  <c r="N1268" i="58"/>
  <c r="N1267" i="58"/>
  <c r="N1266" i="58"/>
  <c r="N1261" i="58"/>
  <c r="N1249" i="58"/>
  <c r="N1248" i="58"/>
  <c r="N1247" i="58"/>
  <c r="N1242" i="58"/>
  <c r="N1230" i="58"/>
  <c r="N1229" i="58"/>
  <c r="N1228" i="58"/>
  <c r="N1223" i="58"/>
  <c r="N1211" i="58"/>
  <c r="N1210" i="58"/>
  <c r="N1209" i="58"/>
  <c r="N1204" i="58"/>
  <c r="N1192" i="58"/>
  <c r="N1191" i="58"/>
  <c r="N1190" i="58"/>
  <c r="N1185" i="58"/>
  <c r="N1173" i="58"/>
  <c r="N1172" i="58"/>
  <c r="N1171" i="58"/>
  <c r="N1166" i="58"/>
  <c r="N1154" i="58"/>
  <c r="N1153" i="58"/>
  <c r="N1152" i="58"/>
  <c r="N1147" i="58"/>
  <c r="N1135" i="58"/>
  <c r="N1134" i="58"/>
  <c r="N1133" i="58"/>
  <c r="N1128" i="58"/>
  <c r="N1115" i="58"/>
  <c r="N1114" i="58"/>
  <c r="N1113" i="58"/>
  <c r="N1108" i="58"/>
  <c r="N1095" i="58"/>
  <c r="N1094" i="58"/>
  <c r="N1093" i="58"/>
  <c r="N1088" i="58"/>
  <c r="N1076" i="58"/>
  <c r="N1075" i="58"/>
  <c r="N1074" i="58"/>
  <c r="N1069" i="58"/>
  <c r="N1051" i="58"/>
  <c r="N1048" i="58"/>
  <c r="N1035" i="58"/>
  <c r="N1034" i="58"/>
  <c r="N1029" i="58"/>
  <c r="N1015" i="58"/>
  <c r="N1014" i="58"/>
  <c r="N1009" i="58"/>
  <c r="N1008" i="58"/>
  <c r="N996" i="58"/>
  <c r="N995" i="58"/>
  <c r="N994" i="58"/>
  <c r="N989" i="58"/>
  <c r="N978" i="58"/>
  <c r="N977" i="58"/>
  <c r="N976" i="58"/>
  <c r="N971" i="58"/>
  <c r="N959" i="58"/>
  <c r="N958" i="58"/>
  <c r="N957" i="58"/>
  <c r="N952" i="58"/>
  <c r="N938" i="58"/>
  <c r="N933" i="58"/>
  <c r="N917" i="58"/>
  <c r="N912" i="58"/>
  <c r="N896" i="58"/>
  <c r="N891" i="58"/>
  <c r="N875" i="58"/>
  <c r="N870" i="58"/>
  <c r="N855" i="58"/>
  <c r="N854" i="58"/>
  <c r="N849" i="58"/>
  <c r="N834" i="58"/>
  <c r="N829" i="58"/>
  <c r="N812" i="58"/>
  <c r="N807" i="58"/>
  <c r="N789" i="58"/>
  <c r="N788" i="58"/>
  <c r="N783" i="58"/>
  <c r="N763" i="58"/>
  <c r="N741" i="58"/>
  <c r="N726" i="58"/>
  <c r="N725" i="58"/>
  <c r="N724" i="58"/>
  <c r="N719" i="58"/>
  <c r="N705" i="58"/>
  <c r="N704" i="58"/>
  <c r="N699" i="58"/>
  <c r="N685" i="58"/>
  <c r="N684" i="58"/>
  <c r="N679" i="58"/>
  <c r="N666" i="58"/>
  <c r="N665" i="58"/>
  <c r="N664" i="58"/>
  <c r="N659" i="58"/>
  <c r="N647" i="58"/>
  <c r="N646" i="58"/>
  <c r="N645" i="58"/>
  <c r="N640" i="58"/>
  <c r="N628" i="58"/>
  <c r="N627" i="58"/>
  <c r="N626" i="58"/>
  <c r="N621" i="58"/>
  <c r="N609" i="58"/>
  <c r="N608" i="58"/>
  <c r="N607" i="58"/>
  <c r="N602" i="58"/>
  <c r="N581" i="58"/>
  <c r="N554" i="58"/>
  <c r="N529" i="58"/>
  <c r="N528" i="58"/>
  <c r="N505" i="58"/>
  <c r="N504" i="58"/>
  <c r="N480" i="58"/>
  <c r="N479" i="58"/>
  <c r="N461" i="58"/>
  <c r="N460" i="58"/>
  <c r="N455" i="58"/>
  <c r="N440" i="58"/>
  <c r="N439" i="58"/>
  <c r="N434" i="58"/>
  <c r="N419" i="58"/>
  <c r="N418" i="58"/>
  <c r="N417" i="58"/>
  <c r="N412" i="58"/>
  <c r="N398" i="58"/>
  <c r="N393" i="58"/>
  <c r="N377" i="58"/>
  <c r="N372" i="58"/>
  <c r="N358" i="58"/>
  <c r="N357" i="58"/>
  <c r="N356" i="58"/>
  <c r="N351" i="58"/>
  <c r="N339" i="58"/>
  <c r="N338" i="58"/>
  <c r="N337" i="58"/>
  <c r="N332" i="58"/>
  <c r="N321" i="58"/>
  <c r="N320" i="58"/>
  <c r="N319" i="58"/>
  <c r="N314" i="58"/>
  <c r="N301" i="58"/>
  <c r="N300" i="58"/>
  <c r="N299" i="58"/>
  <c r="N294" i="58"/>
  <c r="N282" i="58"/>
  <c r="N281" i="58"/>
  <c r="N280" i="58"/>
  <c r="N275" i="58"/>
  <c r="N262" i="58"/>
  <c r="N261" i="58"/>
  <c r="N260" i="58"/>
  <c r="N255" i="58"/>
  <c r="N234" i="58"/>
  <c r="N214" i="58"/>
  <c r="N194" i="58"/>
  <c r="N181" i="58"/>
  <c r="N180" i="58"/>
  <c r="N179" i="58"/>
  <c r="N176" i="58"/>
  <c r="N165" i="58"/>
  <c r="N164" i="58"/>
  <c r="N163" i="58"/>
  <c r="N160" i="58"/>
  <c r="N149" i="58"/>
  <c r="N148" i="58"/>
  <c r="N147" i="58"/>
  <c r="N135" i="58"/>
  <c r="N134" i="58"/>
  <c r="N133" i="58"/>
  <c r="N120" i="58"/>
  <c r="N119" i="58"/>
  <c r="N118" i="58"/>
  <c r="N106" i="58"/>
  <c r="N105" i="58"/>
  <c r="N104" i="58"/>
  <c r="M85" i="58"/>
  <c r="I39" i="72" s="1"/>
  <c r="L85" i="58"/>
  <c r="K39" i="72" s="1"/>
  <c r="F1745" i="58"/>
  <c r="F1746" i="58" s="1"/>
  <c r="E1758" i="58"/>
  <c r="E1757" i="58"/>
  <c r="E1756" i="58"/>
  <c r="E1755" i="58"/>
  <c r="E1754" i="58"/>
  <c r="E1753" i="58"/>
  <c r="E1752" i="58"/>
  <c r="E1751" i="58"/>
  <c r="E1750" i="58"/>
  <c r="E1749" i="58"/>
  <c r="E1748" i="58"/>
  <c r="E1747" i="58"/>
  <c r="E1746" i="58"/>
  <c r="L87" i="58" s="1"/>
  <c r="K41" i="72" s="1"/>
  <c r="E1745" i="58"/>
  <c r="L102" i="58" s="1"/>
  <c r="K73" i="72" s="1"/>
  <c r="N71" i="58"/>
  <c r="N70" i="58"/>
  <c r="N69" i="58"/>
  <c r="N56" i="58"/>
  <c r="N54" i="58"/>
  <c r="N53" i="58"/>
  <c r="N52" i="58"/>
  <c r="M86" i="58" l="1"/>
  <c r="I40" i="72" s="1"/>
  <c r="L1712" i="58"/>
  <c r="L1693" i="58"/>
  <c r="L1674" i="58"/>
  <c r="L1631" i="58"/>
  <c r="L1570" i="58"/>
  <c r="L1553" i="58"/>
  <c r="L1536" i="58"/>
  <c r="L1519" i="58"/>
  <c r="L1502" i="58"/>
  <c r="L1483" i="58"/>
  <c r="L1445" i="58"/>
  <c r="L1405" i="58"/>
  <c r="L1362" i="58"/>
  <c r="K1829" i="72" s="1"/>
  <c r="L1324" i="58"/>
  <c r="L1304" i="58"/>
  <c r="L1284" i="58"/>
  <c r="L1265" i="58"/>
  <c r="L1246" i="58"/>
  <c r="K1653" i="72" s="1"/>
  <c r="L1227" i="58"/>
  <c r="L1208" i="58"/>
  <c r="L1189" i="58"/>
  <c r="L1170" i="58"/>
  <c r="L1151" i="58"/>
  <c r="L1132" i="58"/>
  <c r="L1112" i="58"/>
  <c r="L1092" i="58"/>
  <c r="L1073" i="58"/>
  <c r="L1055" i="58"/>
  <c r="L1033" i="58"/>
  <c r="L1013" i="58"/>
  <c r="L993" i="58"/>
  <c r="K1321" i="72" s="1"/>
  <c r="L975" i="58"/>
  <c r="K1312" i="72" s="1"/>
  <c r="L956" i="58"/>
  <c r="K1302" i="72" s="1"/>
  <c r="L937" i="58"/>
  <c r="K1120" i="72" s="1"/>
  <c r="L916" i="58"/>
  <c r="L895" i="58"/>
  <c r="K1051" i="72" s="1"/>
  <c r="L874" i="58"/>
  <c r="L853" i="58"/>
  <c r="K1074" i="72" s="1"/>
  <c r="L833" i="58"/>
  <c r="L811" i="58"/>
  <c r="L787" i="58"/>
  <c r="L723" i="58"/>
  <c r="L703" i="58"/>
  <c r="L683" i="58"/>
  <c r="L663" i="58"/>
  <c r="K1235" i="72" s="1"/>
  <c r="L644" i="58"/>
  <c r="L625" i="58"/>
  <c r="L606" i="58"/>
  <c r="L587" i="58"/>
  <c r="L560" i="58"/>
  <c r="K905" i="72" s="1"/>
  <c r="L533" i="58"/>
  <c r="L509" i="58"/>
  <c r="L484" i="58"/>
  <c r="L459" i="58"/>
  <c r="K251" i="72" s="1"/>
  <c r="L438" i="58"/>
  <c r="L416" i="58"/>
  <c r="L397" i="58"/>
  <c r="L376" i="58"/>
  <c r="L355" i="58"/>
  <c r="K1331" i="72" s="1"/>
  <c r="L336" i="58"/>
  <c r="L318" i="58"/>
  <c r="L298" i="58"/>
  <c r="L279" i="58"/>
  <c r="L259" i="58"/>
  <c r="K132" i="72" s="1"/>
  <c r="L238" i="58"/>
  <c r="K110" i="72" s="1"/>
  <c r="L218" i="58"/>
  <c r="L198" i="58"/>
  <c r="K121" i="72" s="1"/>
  <c r="L178" i="58"/>
  <c r="L162" i="58"/>
  <c r="K91" i="72" s="1"/>
  <c r="L146" i="58"/>
  <c r="L132" i="58"/>
  <c r="K84" i="72" s="1"/>
  <c r="L117" i="58"/>
  <c r="K79" i="72" s="1"/>
  <c r="L103" i="58"/>
  <c r="K74" i="72" s="1"/>
  <c r="L767" i="58"/>
  <c r="L745" i="58"/>
  <c r="L1652" i="58"/>
  <c r="K1965" i="72" s="1"/>
  <c r="L1611" i="58"/>
  <c r="L1463" i="58"/>
  <c r="L1425" i="58"/>
  <c r="L1385" i="58"/>
  <c r="L1342" i="58"/>
  <c r="L766" i="58"/>
  <c r="L744" i="58"/>
  <c r="L1323" i="58"/>
  <c r="L1283" i="58"/>
  <c r="L1264" i="58"/>
  <c r="L1226" i="58"/>
  <c r="L1207" i="58"/>
  <c r="L1188" i="58"/>
  <c r="L1091" i="58"/>
  <c r="L1072" i="58"/>
  <c r="L1054" i="58"/>
  <c r="L1032" i="58"/>
  <c r="L1012" i="58"/>
  <c r="L992" i="58"/>
  <c r="K1320" i="72" s="1"/>
  <c r="L974" i="58"/>
  <c r="K1311" i="72" s="1"/>
  <c r="L955" i="58"/>
  <c r="K1301" i="72" s="1"/>
  <c r="L936" i="58"/>
  <c r="K1119" i="72" s="1"/>
  <c r="L915" i="58"/>
  <c r="L894" i="58"/>
  <c r="K1050" i="72" s="1"/>
  <c r="L873" i="58"/>
  <c r="L852" i="58"/>
  <c r="K1073" i="72" s="1"/>
  <c r="L832" i="58"/>
  <c r="L810" i="58"/>
  <c r="L786" i="58"/>
  <c r="L722" i="58"/>
  <c r="L702" i="58"/>
  <c r="L682" i="58"/>
  <c r="L662" i="58"/>
  <c r="K1234" i="72" s="1"/>
  <c r="L643" i="58"/>
  <c r="L624" i="58"/>
  <c r="L605" i="58"/>
  <c r="L586" i="58"/>
  <c r="L559" i="58"/>
  <c r="K904" i="72" s="1"/>
  <c r="L532" i="58"/>
  <c r="L508" i="58"/>
  <c r="L483" i="58"/>
  <c r="L458" i="58"/>
  <c r="K250" i="72" s="1"/>
  <c r="L437" i="58"/>
  <c r="L415" i="58"/>
  <c r="L396" i="58"/>
  <c r="L375" i="58"/>
  <c r="L354" i="58"/>
  <c r="K1330" i="72" s="1"/>
  <c r="L335" i="58"/>
  <c r="L317" i="58"/>
  <c r="L297" i="58"/>
  <c r="L278" i="58"/>
  <c r="L258" i="58"/>
  <c r="K131" i="72" s="1"/>
  <c r="L237" i="58"/>
  <c r="K109" i="72" s="1"/>
  <c r="L217" i="58"/>
  <c r="L197" i="58"/>
  <c r="K120" i="72" s="1"/>
  <c r="L67" i="58"/>
  <c r="K46" i="72" s="1"/>
  <c r="L1651" i="58"/>
  <c r="K1964" i="72" s="1"/>
  <c r="L1610" i="58"/>
  <c r="L1462" i="58"/>
  <c r="L1424" i="58"/>
  <c r="L1384" i="58"/>
  <c r="L1341" i="58"/>
  <c r="L1692" i="58"/>
  <c r="L1673" i="58"/>
  <c r="L1630" i="58"/>
  <c r="L1569" i="58"/>
  <c r="L1552" i="58"/>
  <c r="L1535" i="58"/>
  <c r="L1518" i="58"/>
  <c r="L1501" i="58"/>
  <c r="L1482" i="58"/>
  <c r="L1444" i="58"/>
  <c r="L1404" i="58"/>
  <c r="L1361" i="58"/>
  <c r="K1828" i="72" s="1"/>
  <c r="L681" i="58"/>
  <c r="L585" i="58"/>
  <c r="L558" i="58"/>
  <c r="L414" i="58"/>
  <c r="M67" i="58"/>
  <c r="I46" i="72" s="1"/>
  <c r="M1709" i="58"/>
  <c r="I1081" i="72" s="1"/>
  <c r="M1650" i="58"/>
  <c r="I1963" i="72" s="1"/>
  <c r="M1609" i="58"/>
  <c r="I2104" i="72" s="1"/>
  <c r="M1461" i="58"/>
  <c r="I2038" i="72" s="1"/>
  <c r="M1423" i="58"/>
  <c r="M1383" i="58"/>
  <c r="M1340" i="58"/>
  <c r="M1321" i="58"/>
  <c r="I1477" i="72" s="1"/>
  <c r="M1301" i="58"/>
  <c r="M1281" i="58"/>
  <c r="M1262" i="58"/>
  <c r="I1797" i="72" s="1"/>
  <c r="M1243" i="58"/>
  <c r="M1224" i="58"/>
  <c r="M1205" i="58"/>
  <c r="I1742" i="72" s="1"/>
  <c r="M1186" i="58"/>
  <c r="I1731" i="72" s="1"/>
  <c r="M1167" i="58"/>
  <c r="M1148" i="58"/>
  <c r="I1721" i="72" s="1"/>
  <c r="M1129" i="58"/>
  <c r="I1711" i="72" s="1"/>
  <c r="M1109" i="58"/>
  <c r="M1089" i="58"/>
  <c r="I1678" i="72" s="1"/>
  <c r="M1070" i="58"/>
  <c r="M1052" i="58"/>
  <c r="M1030" i="58"/>
  <c r="M1010" i="58"/>
  <c r="M1672" i="58"/>
  <c r="M1629" i="58"/>
  <c r="I2113" i="72" s="1"/>
  <c r="M1481" i="58"/>
  <c r="I2047" i="72" s="1"/>
  <c r="M1443" i="58"/>
  <c r="M1403" i="58"/>
  <c r="M1360" i="58"/>
  <c r="M102" i="58"/>
  <c r="I73" i="72" s="1"/>
  <c r="M131" i="58"/>
  <c r="I83" i="72" s="1"/>
  <c r="M161" i="58"/>
  <c r="I90" i="72" s="1"/>
  <c r="K1384" i="72"/>
  <c r="K1443" i="72"/>
  <c r="L1672" i="58"/>
  <c r="L1629" i="58"/>
  <c r="L1481" i="58"/>
  <c r="L1443" i="58"/>
  <c r="L1403" i="58"/>
  <c r="L1360" i="58"/>
  <c r="K1827" i="72" s="1"/>
  <c r="L1709" i="58"/>
  <c r="L1650" i="58"/>
  <c r="K1963" i="72" s="1"/>
  <c r="L1609" i="58"/>
  <c r="L1461" i="58"/>
  <c r="L1423" i="58"/>
  <c r="L1383" i="58"/>
  <c r="L1340" i="58"/>
  <c r="L1321" i="58"/>
  <c r="L1301" i="58"/>
  <c r="L1281" i="58"/>
  <c r="L1262" i="58"/>
  <c r="L1243" i="58"/>
  <c r="K1650" i="72" s="1"/>
  <c r="L1224" i="58"/>
  <c r="L1205" i="58"/>
  <c r="L1186" i="58"/>
  <c r="L1167" i="58"/>
  <c r="L1148" i="58"/>
  <c r="L1129" i="58"/>
  <c r="L1109" i="58"/>
  <c r="L1089" i="58"/>
  <c r="L1070" i="58"/>
  <c r="L1052" i="58"/>
  <c r="L1030" i="58"/>
  <c r="L1010" i="58"/>
  <c r="L177" i="58"/>
  <c r="L161" i="58"/>
  <c r="K90" i="72" s="1"/>
  <c r="L145" i="58"/>
  <c r="L131" i="58"/>
  <c r="K83" i="72" s="1"/>
  <c r="L116" i="58"/>
  <c r="K78" i="72" s="1"/>
  <c r="L764" i="58"/>
  <c r="L742" i="58"/>
  <c r="L990" i="58"/>
  <c r="K1318" i="72" s="1"/>
  <c r="L972" i="58"/>
  <c r="K1309" i="72" s="1"/>
  <c r="L953" i="58"/>
  <c r="K1299" i="72" s="1"/>
  <c r="L934" i="58"/>
  <c r="K1117" i="72" s="1"/>
  <c r="L913" i="58"/>
  <c r="L892" i="58"/>
  <c r="K1048" i="72" s="1"/>
  <c r="L871" i="58"/>
  <c r="L850" i="58"/>
  <c r="K1071" i="72" s="1"/>
  <c r="L830" i="58"/>
  <c r="L808" i="58"/>
  <c r="L784" i="58"/>
  <c r="L720" i="58"/>
  <c r="L700" i="58"/>
  <c r="L680" i="58"/>
  <c r="L660" i="58"/>
  <c r="K1232" i="72" s="1"/>
  <c r="L641" i="58"/>
  <c r="L622" i="58"/>
  <c r="L603" i="58"/>
  <c r="L582" i="58"/>
  <c r="L555" i="58"/>
  <c r="L530" i="58"/>
  <c r="L506" i="58"/>
  <c r="L481" i="58"/>
  <c r="L456" i="58"/>
  <c r="K248" i="72" s="1"/>
  <c r="L435" i="58"/>
  <c r="L413" i="58"/>
  <c r="L394" i="58"/>
  <c r="L373" i="58"/>
  <c r="L352" i="58"/>
  <c r="K1328" i="72" s="1"/>
  <c r="L333" i="58"/>
  <c r="L315" i="58"/>
  <c r="L295" i="58"/>
  <c r="L276" i="58"/>
  <c r="L256" i="58"/>
  <c r="K129" i="72" s="1"/>
  <c r="L235" i="58"/>
  <c r="K107" i="72" s="1"/>
  <c r="L215" i="58"/>
  <c r="L195" i="58"/>
  <c r="K118" i="72" s="1"/>
  <c r="F1747" i="58"/>
  <c r="M1711" i="58"/>
  <c r="I1083" i="72" s="1"/>
  <c r="M1303" i="58"/>
  <c r="M1245" i="58"/>
  <c r="M1169" i="58"/>
  <c r="M1150" i="58"/>
  <c r="I1723" i="72" s="1"/>
  <c r="M1131" i="58"/>
  <c r="I1713" i="72" s="1"/>
  <c r="M1111" i="58"/>
  <c r="M87" i="58"/>
  <c r="I41" i="72" s="1"/>
  <c r="L1711" i="58"/>
  <c r="L1303" i="58"/>
  <c r="L1245" i="58"/>
  <c r="K1652" i="72" s="1"/>
  <c r="L1169" i="58"/>
  <c r="L1150" i="58"/>
  <c r="L1131" i="58"/>
  <c r="L1111" i="58"/>
  <c r="L1710" i="58"/>
  <c r="L1263" i="58"/>
  <c r="L1244" i="58"/>
  <c r="K1651" i="72" s="1"/>
  <c r="L1225" i="58"/>
  <c r="L1206" i="58"/>
  <c r="L1187" i="58"/>
  <c r="L1168" i="58"/>
  <c r="L1149" i="58"/>
  <c r="L1130" i="58"/>
  <c r="L1110" i="58"/>
  <c r="L1090" i="58"/>
  <c r="L1071" i="58"/>
  <c r="L1053" i="58"/>
  <c r="L1031" i="58"/>
  <c r="L1011" i="58"/>
  <c r="L935" i="58"/>
  <c r="K1118" i="72" s="1"/>
  <c r="L914" i="58"/>
  <c r="L893" i="58"/>
  <c r="K1049" i="72" s="1"/>
  <c r="L872" i="58"/>
  <c r="L851" i="58"/>
  <c r="K1072" i="72" s="1"/>
  <c r="L831" i="58"/>
  <c r="L809" i="58"/>
  <c r="L785" i="58"/>
  <c r="L395" i="58"/>
  <c r="L374" i="58"/>
  <c r="L334" i="58"/>
  <c r="L316" i="58"/>
  <c r="L296" i="58"/>
  <c r="L277" i="58"/>
  <c r="L257" i="58"/>
  <c r="K130" i="72" s="1"/>
  <c r="L236" i="58"/>
  <c r="K108" i="72" s="1"/>
  <c r="L216" i="58"/>
  <c r="L196" i="58"/>
  <c r="K119" i="72" s="1"/>
  <c r="L583" i="58"/>
  <c r="L556" i="58"/>
  <c r="L68" i="58"/>
  <c r="K47" i="72" s="1"/>
  <c r="L86" i="58"/>
  <c r="K40" i="72" s="1"/>
  <c r="L88" i="58"/>
  <c r="K42" i="72" s="1"/>
  <c r="M177" i="58"/>
  <c r="M116" i="58"/>
  <c r="I78" i="72" s="1"/>
  <c r="M145" i="58"/>
  <c r="I885" i="72"/>
  <c r="I354" i="72"/>
  <c r="I392" i="72"/>
  <c r="I430" i="72"/>
  <c r="I770" i="72"/>
  <c r="I808" i="72"/>
  <c r="I846" i="72"/>
  <c r="I732" i="72"/>
  <c r="I501" i="72"/>
  <c r="I1255" i="72"/>
  <c r="I1203" i="72"/>
  <c r="I1275" i="72"/>
  <c r="I1213" i="72"/>
  <c r="I1265" i="72"/>
  <c r="I1223" i="72"/>
  <c r="I1453" i="72"/>
  <c r="I1394" i="72"/>
  <c r="K902" i="72"/>
  <c r="K447" i="72"/>
  <c r="K919" i="72"/>
  <c r="K462" i="72"/>
  <c r="K180" i="72"/>
  <c r="K214" i="72"/>
  <c r="K885" i="72"/>
  <c r="K392" i="72"/>
  <c r="K430" i="72"/>
  <c r="K354" i="72"/>
  <c r="K655" i="72"/>
  <c r="K693" i="72"/>
  <c r="K617" i="72"/>
  <c r="K579" i="72"/>
  <c r="K541" i="72"/>
  <c r="K770" i="72"/>
  <c r="K808" i="72"/>
  <c r="K846" i="72"/>
  <c r="K732" i="72"/>
  <c r="K501" i="72"/>
  <c r="K1255" i="72"/>
  <c r="K1203" i="72"/>
  <c r="K1213" i="72"/>
  <c r="K1275" i="72"/>
  <c r="K1223" i="72"/>
  <c r="K1265" i="72"/>
  <c r="K1407" i="72"/>
  <c r="K1348" i="72"/>
  <c r="K1430" i="72"/>
  <c r="K1371" i="72"/>
  <c r="K1453" i="72"/>
  <c r="K1394" i="72"/>
  <c r="K1501" i="72"/>
  <c r="K1489" i="72"/>
  <c r="K1523" i="72"/>
  <c r="K1467" i="72"/>
  <c r="K1478" i="72"/>
  <c r="K1512" i="72"/>
  <c r="K1420" i="72"/>
  <c r="K1361" i="72"/>
  <c r="W97" i="71"/>
  <c r="W98" i="71"/>
  <c r="W125" i="71"/>
  <c r="W136" i="71"/>
  <c r="W71" i="71"/>
  <c r="W72" i="71"/>
  <c r="W73" i="71"/>
  <c r="W76" i="71"/>
  <c r="W80" i="71"/>
  <c r="W89" i="71"/>
  <c r="W90" i="71"/>
  <c r="W91" i="71"/>
  <c r="W154" i="71"/>
  <c r="W172" i="71"/>
  <c r="W173" i="71"/>
  <c r="AA216" i="71"/>
  <c r="AB216" i="71" s="1"/>
  <c r="G185" i="71"/>
  <c r="W246" i="71"/>
  <c r="W247" i="71"/>
  <c r="W248" i="71"/>
  <c r="W279" i="71"/>
  <c r="W281" i="71"/>
  <c r="W278" i="71"/>
  <c r="W280" i="71"/>
  <c r="W282" i="71"/>
  <c r="W296" i="71"/>
  <c r="W298" i="71"/>
  <c r="W314" i="71"/>
  <c r="W320" i="71"/>
  <c r="K901" i="72" l="1"/>
  <c r="K446" i="72"/>
  <c r="K1143" i="72"/>
  <c r="K1037" i="72"/>
  <c r="K918" i="72"/>
  <c r="K461" i="72"/>
  <c r="K966" i="72"/>
  <c r="K1010" i="72"/>
  <c r="K1179" i="72"/>
  <c r="K1106" i="72"/>
  <c r="K1689" i="72"/>
  <c r="K1553" i="72"/>
  <c r="K1732" i="72"/>
  <c r="K1596" i="72"/>
  <c r="K1798" i="72"/>
  <c r="K1661" i="72"/>
  <c r="K1723" i="72"/>
  <c r="K1587" i="72"/>
  <c r="K2155" i="72"/>
  <c r="K1083" i="72"/>
  <c r="K954" i="72"/>
  <c r="K998" i="72"/>
  <c r="K820" i="72"/>
  <c r="K629" i="72"/>
  <c r="K859" i="72"/>
  <c r="K744" i="72"/>
  <c r="K706" i="72"/>
  <c r="K667" i="72"/>
  <c r="K782" i="72"/>
  <c r="K591" i="72"/>
  <c r="K475" i="72"/>
  <c r="K192" i="72"/>
  <c r="K553" i="72"/>
  <c r="K515" i="72"/>
  <c r="K328" i="72"/>
  <c r="K261" i="72"/>
  <c r="K366" i="72"/>
  <c r="K404" i="72"/>
  <c r="K294" i="72"/>
  <c r="K227" i="72"/>
  <c r="K158" i="72"/>
  <c r="K884" i="72"/>
  <c r="K353" i="72"/>
  <c r="K391" i="72"/>
  <c r="K429" i="72"/>
  <c r="K917" i="72"/>
  <c r="K460" i="72"/>
  <c r="K988" i="72"/>
  <c r="K944" i="72"/>
  <c r="K1142" i="72"/>
  <c r="K1036" i="72"/>
  <c r="K1765" i="72"/>
  <c r="K1618" i="72"/>
  <c r="K1678" i="72"/>
  <c r="K1542" i="72"/>
  <c r="K1477" i="72"/>
  <c r="K1511" i="72"/>
  <c r="K1878" i="72"/>
  <c r="K2038" i="72"/>
  <c r="K2113" i="72"/>
  <c r="K1953" i="72"/>
  <c r="I2124" i="72"/>
  <c r="I1974" i="72"/>
  <c r="I1466" i="72"/>
  <c r="I1488" i="72"/>
  <c r="K920" i="72"/>
  <c r="K463" i="72"/>
  <c r="K2019" i="72"/>
  <c r="K1859" i="72"/>
  <c r="K1870" i="72"/>
  <c r="K2030" i="72"/>
  <c r="K2072" i="72"/>
  <c r="K1912" i="72"/>
  <c r="K2125" i="72"/>
  <c r="K1975" i="72"/>
  <c r="K967" i="72"/>
  <c r="K1011" i="72"/>
  <c r="K832" i="72"/>
  <c r="K641" i="72"/>
  <c r="K871" i="72"/>
  <c r="K756" i="72"/>
  <c r="K718" i="72"/>
  <c r="K679" i="72"/>
  <c r="K794" i="72"/>
  <c r="K603" i="72"/>
  <c r="K527" i="72"/>
  <c r="K487" i="72"/>
  <c r="K565" i="72"/>
  <c r="K340" i="72"/>
  <c r="K316" i="72"/>
  <c r="K273" i="72"/>
  <c r="K204" i="72"/>
  <c r="K378" i="72"/>
  <c r="K416" i="72"/>
  <c r="K306" i="72"/>
  <c r="K283" i="72"/>
  <c r="K239" i="72"/>
  <c r="K170" i="72"/>
  <c r="K656" i="72"/>
  <c r="K694" i="72"/>
  <c r="K618" i="72"/>
  <c r="K580" i="72"/>
  <c r="K542" i="72"/>
  <c r="K1204" i="72"/>
  <c r="K1256" i="72"/>
  <c r="K1194" i="72"/>
  <c r="K1246" i="72"/>
  <c r="K1287" i="72"/>
  <c r="K1180" i="72"/>
  <c r="K1107" i="72"/>
  <c r="K1767" i="72"/>
  <c r="K1620" i="72"/>
  <c r="K1680" i="72"/>
  <c r="K1544" i="72"/>
  <c r="K1799" i="72"/>
  <c r="K1662" i="72"/>
  <c r="K1444" i="72"/>
  <c r="K1385" i="72"/>
  <c r="K1880" i="72"/>
  <c r="K2040" i="72"/>
  <c r="K1386" i="72"/>
  <c r="K1445" i="72"/>
  <c r="K1027" i="72"/>
  <c r="K1133" i="72"/>
  <c r="K148" i="72"/>
  <c r="K1225" i="72"/>
  <c r="K1267" i="72"/>
  <c r="K1432" i="72"/>
  <c r="K1373" i="72"/>
  <c r="K1781" i="72"/>
  <c r="K1634" i="72"/>
  <c r="K1714" i="72"/>
  <c r="K1701" i="72"/>
  <c r="K1565" i="72"/>
  <c r="K1578" i="72"/>
  <c r="K1756" i="72"/>
  <c r="K1745" i="72"/>
  <c r="K1609" i="72"/>
  <c r="K1396" i="72"/>
  <c r="K1455" i="72"/>
  <c r="K2009" i="72"/>
  <c r="K1849" i="72"/>
  <c r="K2065" i="72"/>
  <c r="K1905" i="72"/>
  <c r="K2115" i="72"/>
  <c r="K1955" i="72"/>
  <c r="I2162" i="72"/>
  <c r="I97" i="72"/>
  <c r="K989" i="72"/>
  <c r="K945" i="72"/>
  <c r="K934" i="72"/>
  <c r="K978" i="72"/>
  <c r="K1025" i="72"/>
  <c r="K1131" i="72"/>
  <c r="K146" i="72"/>
  <c r="K1167" i="72"/>
  <c r="K1094" i="72"/>
  <c r="K1061" i="72"/>
  <c r="K1155" i="72"/>
  <c r="K1779" i="72"/>
  <c r="K1632" i="72"/>
  <c r="K1712" i="72"/>
  <c r="K1699" i="72"/>
  <c r="K1563" i="72"/>
  <c r="K1576" i="72"/>
  <c r="K1754" i="72"/>
  <c r="K1743" i="72"/>
  <c r="K1607" i="72"/>
  <c r="K2154" i="72"/>
  <c r="K1082" i="72"/>
  <c r="F1748" i="58"/>
  <c r="M767" i="58"/>
  <c r="M745" i="58"/>
  <c r="M1652" i="58"/>
  <c r="I1965" i="72" s="1"/>
  <c r="M1611" i="58"/>
  <c r="I2106" i="72" s="1"/>
  <c r="M1463" i="58"/>
  <c r="I2040" i="72" s="1"/>
  <c r="M1425" i="58"/>
  <c r="M1385" i="58"/>
  <c r="M1342" i="58"/>
  <c r="M1712" i="58"/>
  <c r="I1084" i="72" s="1"/>
  <c r="M1693" i="58"/>
  <c r="M1674" i="58"/>
  <c r="M1631" i="58"/>
  <c r="I2115" i="72" s="1"/>
  <c r="M1570" i="58"/>
  <c r="M1553" i="58"/>
  <c r="I2081" i="72" s="1"/>
  <c r="M1536" i="58"/>
  <c r="I2073" i="72" s="1"/>
  <c r="M1519" i="58"/>
  <c r="M1502" i="58"/>
  <c r="I2057" i="72" s="1"/>
  <c r="M1483" i="58"/>
  <c r="I2049" i="72" s="1"/>
  <c r="M1445" i="58"/>
  <c r="M1405" i="58"/>
  <c r="M1362" i="58"/>
  <c r="M1324" i="58"/>
  <c r="I1480" i="72" s="1"/>
  <c r="M1304" i="58"/>
  <c r="M1284" i="58"/>
  <c r="M1265" i="58"/>
  <c r="I1800" i="72" s="1"/>
  <c r="M1246" i="58"/>
  <c r="M1227" i="58"/>
  <c r="M1208" i="58"/>
  <c r="I1745" i="72" s="1"/>
  <c r="M1189" i="58"/>
  <c r="I1734" i="72" s="1"/>
  <c r="M1170" i="58"/>
  <c r="M1151" i="58"/>
  <c r="I1724" i="72" s="1"/>
  <c r="M1132" i="58"/>
  <c r="I1714" i="72" s="1"/>
  <c r="M1112" i="58"/>
  <c r="M1092" i="58"/>
  <c r="I1681" i="72" s="1"/>
  <c r="M1073" i="58"/>
  <c r="M1055" i="58"/>
  <c r="M1033" i="58"/>
  <c r="M1013" i="58"/>
  <c r="M993" i="58"/>
  <c r="I1321" i="72" s="1"/>
  <c r="M975" i="58"/>
  <c r="I1312" i="72" s="1"/>
  <c r="M956" i="58"/>
  <c r="I1302" i="72" s="1"/>
  <c r="M937" i="58"/>
  <c r="I1120" i="72" s="1"/>
  <c r="M916" i="58"/>
  <c r="M895" i="58"/>
  <c r="I1051" i="72" s="1"/>
  <c r="M874" i="58"/>
  <c r="M853" i="58"/>
  <c r="I1074" i="72" s="1"/>
  <c r="M833" i="58"/>
  <c r="M811" i="58"/>
  <c r="M787" i="58"/>
  <c r="M723" i="58"/>
  <c r="M703" i="58"/>
  <c r="M683" i="58"/>
  <c r="M663" i="58"/>
  <c r="I1235" i="72" s="1"/>
  <c r="M644" i="58"/>
  <c r="M625" i="58"/>
  <c r="M606" i="58"/>
  <c r="M587" i="58"/>
  <c r="I922" i="72" s="1"/>
  <c r="M560" i="58"/>
  <c r="I905" i="72" s="1"/>
  <c r="M533" i="58"/>
  <c r="M509" i="58"/>
  <c r="M484" i="58"/>
  <c r="M459" i="58"/>
  <c r="I251" i="72" s="1"/>
  <c r="M438" i="58"/>
  <c r="I182" i="72" s="1"/>
  <c r="M416" i="58"/>
  <c r="M397" i="58"/>
  <c r="M376" i="58"/>
  <c r="M355" i="58"/>
  <c r="I1331" i="72" s="1"/>
  <c r="M336" i="58"/>
  <c r="M318" i="58"/>
  <c r="M298" i="58"/>
  <c r="M279" i="58"/>
  <c r="M259" i="58"/>
  <c r="I132" i="72" s="1"/>
  <c r="M238" i="58"/>
  <c r="I110" i="72" s="1"/>
  <c r="M218" i="58"/>
  <c r="M198" i="58"/>
  <c r="I121" i="72" s="1"/>
  <c r="M178" i="58"/>
  <c r="M162" i="58"/>
  <c r="I91" i="72" s="1"/>
  <c r="M132" i="58"/>
  <c r="I84" i="72" s="1"/>
  <c r="M103" i="58"/>
  <c r="I74" i="72" s="1"/>
  <c r="M146" i="58"/>
  <c r="M117" i="58"/>
  <c r="I79" i="72" s="1"/>
  <c r="M88" i="58"/>
  <c r="I42" i="72" s="1"/>
  <c r="M68" i="58"/>
  <c r="I47" i="72" s="1"/>
  <c r="I51" i="72" s="1"/>
  <c r="K1009" i="72"/>
  <c r="K965" i="72"/>
  <c r="K792" i="72"/>
  <c r="K601" i="72"/>
  <c r="K830" i="72"/>
  <c r="K639" i="72"/>
  <c r="K869" i="72"/>
  <c r="K754" i="72"/>
  <c r="K716" i="72"/>
  <c r="K677" i="72"/>
  <c r="K376" i="72"/>
  <c r="K414" i="72"/>
  <c r="K304" i="72"/>
  <c r="K281" i="72"/>
  <c r="K237" i="72"/>
  <c r="K525" i="72"/>
  <c r="K485" i="72"/>
  <c r="K563" i="72"/>
  <c r="K338" i="72"/>
  <c r="K314" i="72"/>
  <c r="K271" i="72"/>
  <c r="K202" i="72"/>
  <c r="K168" i="72"/>
  <c r="K654" i="72"/>
  <c r="K692" i="72"/>
  <c r="K616" i="72"/>
  <c r="K578" i="72"/>
  <c r="K540" i="72"/>
  <c r="K1202" i="72"/>
  <c r="K1254" i="72"/>
  <c r="K1244" i="72"/>
  <c r="K1192" i="72"/>
  <c r="K1285" i="72"/>
  <c r="K1178" i="72"/>
  <c r="K1105" i="72"/>
  <c r="K1419" i="72"/>
  <c r="K1360" i="72"/>
  <c r="K1688" i="72"/>
  <c r="K1552" i="72"/>
  <c r="K1731" i="72"/>
  <c r="K1595" i="72"/>
  <c r="K1797" i="72"/>
  <c r="K1660" i="72"/>
  <c r="K1836" i="72"/>
  <c r="K1996" i="72"/>
  <c r="K1944" i="72"/>
  <c r="K2104" i="72"/>
  <c r="K2007" i="72"/>
  <c r="K1847" i="72"/>
  <c r="K2124" i="72"/>
  <c r="K1974" i="72"/>
  <c r="I2029" i="72"/>
  <c r="I2018" i="72"/>
  <c r="K1286" i="72"/>
  <c r="K1193" i="72"/>
  <c r="K1245" i="72"/>
  <c r="K2048" i="72"/>
  <c r="K1888" i="72"/>
  <c r="K2080" i="72"/>
  <c r="K1920" i="72"/>
  <c r="K2133" i="72"/>
  <c r="K1987" i="72"/>
  <c r="K1879" i="72"/>
  <c r="K2039" i="72"/>
  <c r="K979" i="72"/>
  <c r="K935" i="72"/>
  <c r="K181" i="72"/>
  <c r="K215" i="72"/>
  <c r="K809" i="72"/>
  <c r="K847" i="72"/>
  <c r="K733" i="72"/>
  <c r="K771" i="72"/>
  <c r="K502" i="72"/>
  <c r="K1214" i="72"/>
  <c r="K1276" i="72"/>
  <c r="K1408" i="72"/>
  <c r="K1349" i="72"/>
  <c r="K1168" i="72"/>
  <c r="K1095" i="72"/>
  <c r="K1062" i="72"/>
  <c r="K1156" i="72"/>
  <c r="K1733" i="72"/>
  <c r="K1597" i="72"/>
  <c r="K1395" i="72"/>
  <c r="K1454" i="72"/>
  <c r="K1838" i="72"/>
  <c r="K1998" i="72"/>
  <c r="K1946" i="72"/>
  <c r="K2106" i="72"/>
  <c r="K1001" i="72"/>
  <c r="K957" i="72"/>
  <c r="K785" i="72"/>
  <c r="K594" i="72"/>
  <c r="K823" i="72"/>
  <c r="K632" i="72"/>
  <c r="K862" i="72"/>
  <c r="K747" i="72"/>
  <c r="K709" i="72"/>
  <c r="K670" i="72"/>
  <c r="K407" i="72"/>
  <c r="K297" i="72"/>
  <c r="K230" i="72"/>
  <c r="K478" i="72"/>
  <c r="K195" i="72"/>
  <c r="K556" i="72"/>
  <c r="K518" i="72"/>
  <c r="K331" i="72"/>
  <c r="K264" i="72"/>
  <c r="K369" i="72"/>
  <c r="K161" i="72"/>
  <c r="K887" i="72"/>
  <c r="K356" i="72"/>
  <c r="K394" i="72"/>
  <c r="K432" i="72"/>
  <c r="K922" i="72"/>
  <c r="K465" i="72"/>
  <c r="K947" i="72"/>
  <c r="K991" i="72"/>
  <c r="K1145" i="72"/>
  <c r="K1039" i="72"/>
  <c r="K1790" i="72"/>
  <c r="K1811" i="72"/>
  <c r="K1643" i="72"/>
  <c r="K1724" i="72"/>
  <c r="K1588" i="72"/>
  <c r="K1503" i="72"/>
  <c r="K1491" i="72"/>
  <c r="K1525" i="72"/>
  <c r="K1469" i="72"/>
  <c r="K2020" i="72"/>
  <c r="K1860" i="72"/>
  <c r="K1871" i="72"/>
  <c r="K2031" i="72"/>
  <c r="K2073" i="72"/>
  <c r="K1913" i="72"/>
  <c r="K2126" i="72"/>
  <c r="K1976" i="72"/>
  <c r="K860" i="72"/>
  <c r="K745" i="72"/>
  <c r="K707" i="72"/>
  <c r="K668" i="72"/>
  <c r="K783" i="72"/>
  <c r="K821" i="72"/>
  <c r="K630" i="72"/>
  <c r="K554" i="72"/>
  <c r="K516" i="72"/>
  <c r="K329" i="72"/>
  <c r="K262" i="72"/>
  <c r="K367" i="72"/>
  <c r="K405" i="72"/>
  <c r="K295" i="72"/>
  <c r="K228" i="72"/>
  <c r="K592" i="72"/>
  <c r="K476" i="72"/>
  <c r="K193" i="72"/>
  <c r="K159" i="72"/>
  <c r="K1788" i="72"/>
  <c r="K1809" i="72"/>
  <c r="K1641" i="72"/>
  <c r="K1722" i="72"/>
  <c r="K1586" i="72"/>
  <c r="K1690" i="72"/>
  <c r="K1554" i="72"/>
  <c r="K977" i="72"/>
  <c r="K933" i="72"/>
  <c r="K179" i="72"/>
  <c r="K213" i="72"/>
  <c r="K731" i="72"/>
  <c r="K769" i="72"/>
  <c r="K807" i="72"/>
  <c r="K845" i="72"/>
  <c r="K500" i="72"/>
  <c r="K1274" i="72"/>
  <c r="K1212" i="72"/>
  <c r="K1406" i="72"/>
  <c r="K1347" i="72"/>
  <c r="K1166" i="72"/>
  <c r="K1093" i="72"/>
  <c r="K1060" i="72"/>
  <c r="K1154" i="72"/>
  <c r="K1383" i="72"/>
  <c r="K1442" i="72"/>
  <c r="K1778" i="72"/>
  <c r="K1631" i="72"/>
  <c r="K1711" i="72"/>
  <c r="K1698" i="72"/>
  <c r="K1562" i="72"/>
  <c r="K1575" i="72"/>
  <c r="K1753" i="72"/>
  <c r="K1742" i="72"/>
  <c r="K1606" i="72"/>
  <c r="K1393" i="72"/>
  <c r="K1452" i="72"/>
  <c r="K2018" i="72"/>
  <c r="K1858" i="72"/>
  <c r="K1869" i="72"/>
  <c r="K2029" i="72"/>
  <c r="K793" i="72"/>
  <c r="K602" i="72"/>
  <c r="K831" i="72"/>
  <c r="K640" i="72"/>
  <c r="K870" i="72"/>
  <c r="K755" i="72"/>
  <c r="K717" i="72"/>
  <c r="K678" i="72"/>
  <c r="K415" i="72"/>
  <c r="K305" i="72"/>
  <c r="K282" i="72"/>
  <c r="K238" i="72"/>
  <c r="K526" i="72"/>
  <c r="K486" i="72"/>
  <c r="K564" i="72"/>
  <c r="K339" i="72"/>
  <c r="K315" i="72"/>
  <c r="K272" i="72"/>
  <c r="K203" i="72"/>
  <c r="K377" i="72"/>
  <c r="K169" i="72"/>
  <c r="K2056" i="72"/>
  <c r="K1896" i="72"/>
  <c r="K2088" i="72"/>
  <c r="K1928" i="72"/>
  <c r="K1837" i="72"/>
  <c r="K1997" i="72"/>
  <c r="K1945" i="72"/>
  <c r="K2105" i="72"/>
  <c r="K1026" i="72"/>
  <c r="K1132" i="72"/>
  <c r="K147" i="72"/>
  <c r="K1266" i="72"/>
  <c r="K1224" i="72"/>
  <c r="K1431" i="72"/>
  <c r="K1372" i="72"/>
  <c r="K1780" i="72"/>
  <c r="K1633" i="72"/>
  <c r="K1755" i="72"/>
  <c r="K1744" i="72"/>
  <c r="K1608" i="72"/>
  <c r="K1479" i="72"/>
  <c r="K1513" i="72"/>
  <c r="K2163" i="72"/>
  <c r="K98" i="72"/>
  <c r="K1012" i="72"/>
  <c r="K968" i="72"/>
  <c r="K872" i="72"/>
  <c r="K757" i="72"/>
  <c r="K719" i="72"/>
  <c r="K680" i="72"/>
  <c r="K795" i="72"/>
  <c r="K604" i="72"/>
  <c r="K833" i="72"/>
  <c r="K642" i="72"/>
  <c r="K566" i="72"/>
  <c r="K341" i="72"/>
  <c r="K317" i="72"/>
  <c r="K274" i="72"/>
  <c r="K205" i="72"/>
  <c r="K379" i="72"/>
  <c r="K417" i="72"/>
  <c r="K307" i="72"/>
  <c r="K284" i="72"/>
  <c r="K240" i="72"/>
  <c r="K528" i="72"/>
  <c r="K488" i="72"/>
  <c r="K171" i="72"/>
  <c r="K657" i="72"/>
  <c r="K695" i="72"/>
  <c r="K619" i="72"/>
  <c r="K543" i="72"/>
  <c r="K581" i="72"/>
  <c r="K1257" i="72"/>
  <c r="K1205" i="72"/>
  <c r="K1288" i="72"/>
  <c r="K1195" i="72"/>
  <c r="K1247" i="72"/>
  <c r="K1181" i="72"/>
  <c r="K1108" i="72"/>
  <c r="K1768" i="72"/>
  <c r="K1621" i="72"/>
  <c r="K1681" i="72"/>
  <c r="K1545" i="72"/>
  <c r="K1480" i="72"/>
  <c r="K1514" i="72"/>
  <c r="K2049" i="72"/>
  <c r="K1889" i="72"/>
  <c r="K2081" i="72"/>
  <c r="K1921" i="72"/>
  <c r="K2134" i="72"/>
  <c r="K1988" i="72"/>
  <c r="K999" i="72"/>
  <c r="K955" i="72"/>
  <c r="K1766" i="72"/>
  <c r="K1619" i="72"/>
  <c r="K1679" i="72"/>
  <c r="K1543" i="72"/>
  <c r="K1713" i="72"/>
  <c r="K1700" i="72"/>
  <c r="K1564" i="72"/>
  <c r="K1577" i="72"/>
  <c r="K1502" i="72"/>
  <c r="K1490" i="72"/>
  <c r="K1524" i="72"/>
  <c r="K1468" i="72"/>
  <c r="I1468" i="72"/>
  <c r="I1490" i="72"/>
  <c r="K1024" i="72"/>
  <c r="K1130" i="72"/>
  <c r="K145" i="72"/>
  <c r="K900" i="72"/>
  <c r="K445" i="72"/>
  <c r="K1264" i="72"/>
  <c r="K1222" i="72"/>
  <c r="K1429" i="72"/>
  <c r="K1370" i="72"/>
  <c r="K2162" i="72"/>
  <c r="K97" i="72"/>
  <c r="K1787" i="72"/>
  <c r="K1808" i="72"/>
  <c r="K1640" i="72"/>
  <c r="K1721" i="72"/>
  <c r="K1585" i="72"/>
  <c r="K1500" i="72"/>
  <c r="K1488" i="72"/>
  <c r="K1522" i="72"/>
  <c r="K1466" i="72"/>
  <c r="K2153" i="72"/>
  <c r="K1081" i="72"/>
  <c r="K2047" i="72"/>
  <c r="K1887" i="72"/>
  <c r="I1452" i="72"/>
  <c r="I1393" i="72"/>
  <c r="K903" i="72"/>
  <c r="K448" i="72"/>
  <c r="K2008" i="72"/>
  <c r="K1848" i="72"/>
  <c r="K2064" i="72"/>
  <c r="K1904" i="72"/>
  <c r="K2114" i="72"/>
  <c r="K1954" i="72"/>
  <c r="K1000" i="72"/>
  <c r="K956" i="72"/>
  <c r="K784" i="72"/>
  <c r="K593" i="72"/>
  <c r="K822" i="72"/>
  <c r="K631" i="72"/>
  <c r="K861" i="72"/>
  <c r="K746" i="72"/>
  <c r="K708" i="72"/>
  <c r="K669" i="72"/>
  <c r="K368" i="72"/>
  <c r="K406" i="72"/>
  <c r="K296" i="72"/>
  <c r="K229" i="72"/>
  <c r="K477" i="72"/>
  <c r="K194" i="72"/>
  <c r="K555" i="72"/>
  <c r="K517" i="72"/>
  <c r="K330" i="72"/>
  <c r="K263" i="72"/>
  <c r="K160" i="72"/>
  <c r="K886" i="72"/>
  <c r="K393" i="72"/>
  <c r="K355" i="72"/>
  <c r="K431" i="72"/>
  <c r="K921" i="72"/>
  <c r="K464" i="72"/>
  <c r="K946" i="72"/>
  <c r="K990" i="72"/>
  <c r="K1144" i="72"/>
  <c r="K1038" i="72"/>
  <c r="K1789" i="72"/>
  <c r="K1810" i="72"/>
  <c r="K1642" i="72"/>
  <c r="K1421" i="72"/>
  <c r="K1362" i="72"/>
  <c r="K1422" i="72"/>
  <c r="K1363" i="72"/>
  <c r="K980" i="72"/>
  <c r="K936" i="72"/>
  <c r="K182" i="72"/>
  <c r="K216" i="72"/>
  <c r="K848" i="72"/>
  <c r="K734" i="72"/>
  <c r="K772" i="72"/>
  <c r="K810" i="72"/>
  <c r="K503" i="72"/>
  <c r="K1215" i="72"/>
  <c r="K1277" i="72"/>
  <c r="K1409" i="72"/>
  <c r="K1350" i="72"/>
  <c r="K1169" i="72"/>
  <c r="K1096" i="72"/>
  <c r="K1063" i="72"/>
  <c r="K1157" i="72"/>
  <c r="K1691" i="72"/>
  <c r="K1555" i="72"/>
  <c r="K1734" i="72"/>
  <c r="K1598" i="72"/>
  <c r="K1800" i="72"/>
  <c r="K1663" i="72"/>
  <c r="K2057" i="72"/>
  <c r="K1897" i="72"/>
  <c r="K2089" i="72"/>
  <c r="K1929" i="72"/>
  <c r="K2156" i="72"/>
  <c r="K1084" i="72"/>
  <c r="W185" i="71"/>
  <c r="I833" i="72" l="1"/>
  <c r="I642" i="72"/>
  <c r="I872" i="72"/>
  <c r="I757" i="72"/>
  <c r="I719" i="72"/>
  <c r="I680" i="72"/>
  <c r="I795" i="72"/>
  <c r="I604" i="72"/>
  <c r="I528" i="72"/>
  <c r="I488" i="72"/>
  <c r="I566" i="72"/>
  <c r="I341" i="72"/>
  <c r="I317" i="72"/>
  <c r="I274" i="72"/>
  <c r="I171" i="72"/>
  <c r="I379" i="72"/>
  <c r="I205" i="72"/>
  <c r="I417" i="72"/>
  <c r="I307" i="72"/>
  <c r="I284" i="72"/>
  <c r="I240" i="72"/>
  <c r="I1257" i="72"/>
  <c r="I1205" i="72"/>
  <c r="I1181" i="72"/>
  <c r="I1108" i="72"/>
  <c r="I936" i="72"/>
  <c r="I980" i="72"/>
  <c r="I810" i="72"/>
  <c r="I848" i="72"/>
  <c r="I734" i="72"/>
  <c r="I772" i="72"/>
  <c r="I503" i="72"/>
  <c r="I1277" i="72"/>
  <c r="I1215" i="72"/>
  <c r="I1350" i="72"/>
  <c r="I1409" i="72"/>
  <c r="I1169" i="72"/>
  <c r="I1096" i="72"/>
  <c r="I1157" i="72"/>
  <c r="I1063" i="72"/>
  <c r="I2089" i="72"/>
  <c r="I1929" i="72"/>
  <c r="I1445" i="72"/>
  <c r="I1386" i="72"/>
  <c r="I2163" i="72"/>
  <c r="I98" i="72"/>
  <c r="I968" i="72"/>
  <c r="I1012" i="72"/>
  <c r="I1247" i="72"/>
  <c r="I1288" i="72"/>
  <c r="I1195" i="72"/>
  <c r="I1133" i="72"/>
  <c r="I1027" i="72"/>
  <c r="I148" i="72"/>
  <c r="I1225" i="72"/>
  <c r="I1267" i="72"/>
  <c r="I1432" i="72"/>
  <c r="I1373" i="72"/>
  <c r="I1455" i="72"/>
  <c r="I1396" i="72"/>
  <c r="F1749" i="58"/>
  <c r="F1750" i="58" s="1"/>
  <c r="M1692" i="58"/>
  <c r="M1673" i="58"/>
  <c r="M1630" i="58"/>
  <c r="I2114" i="72" s="1"/>
  <c r="M1569" i="58"/>
  <c r="M1552" i="58"/>
  <c r="I2080" i="72" s="1"/>
  <c r="M1535" i="58"/>
  <c r="I2072" i="72" s="1"/>
  <c r="M1518" i="58"/>
  <c r="M1501" i="58"/>
  <c r="I2056" i="72" s="1"/>
  <c r="M1482" i="58"/>
  <c r="I2048" i="72" s="1"/>
  <c r="M1444" i="58"/>
  <c r="M1404" i="58"/>
  <c r="M1361" i="58"/>
  <c r="M1651" i="58"/>
  <c r="I1964" i="72" s="1"/>
  <c r="M1610" i="58"/>
  <c r="I2105" i="72" s="1"/>
  <c r="M1462" i="58"/>
  <c r="I2039" i="72" s="1"/>
  <c r="M1424" i="58"/>
  <c r="M1384" i="58"/>
  <c r="M1341" i="58"/>
  <c r="I1001" i="72"/>
  <c r="I957" i="72"/>
  <c r="I785" i="72"/>
  <c r="I594" i="72"/>
  <c r="I823" i="72"/>
  <c r="I632" i="72"/>
  <c r="I862" i="72"/>
  <c r="I747" i="72"/>
  <c r="I709" i="72"/>
  <c r="I670" i="72"/>
  <c r="I369" i="72"/>
  <c r="I407" i="72"/>
  <c r="I297" i="72"/>
  <c r="I230" i="72"/>
  <c r="I195" i="72"/>
  <c r="I161" i="72"/>
  <c r="I478" i="72"/>
  <c r="I556" i="72"/>
  <c r="I518" i="72"/>
  <c r="I331" i="72"/>
  <c r="I264" i="72"/>
  <c r="I887" i="72"/>
  <c r="I356" i="72"/>
  <c r="I394" i="72"/>
  <c r="I432" i="72"/>
  <c r="I1039" i="72"/>
  <c r="I1145" i="72"/>
  <c r="I1469" i="72"/>
  <c r="I1491" i="72"/>
  <c r="I2020" i="72"/>
  <c r="I2031" i="72"/>
  <c r="I2126" i="72"/>
  <c r="I1976" i="72"/>
  <c r="I1422" i="72"/>
  <c r="I1363" i="72"/>
  <c r="M341" i="69"/>
  <c r="M340" i="69"/>
  <c r="M330" i="69"/>
  <c r="M329" i="69"/>
  <c r="J62" i="67"/>
  <c r="H175" i="11" s="1"/>
  <c r="J61" i="67"/>
  <c r="H174" i="11" s="1"/>
  <c r="J51" i="67"/>
  <c r="H164" i="11" s="1"/>
  <c r="J50" i="67"/>
  <c r="H163" i="11" s="1"/>
  <c r="I2030" i="72" l="1"/>
  <c r="I2019" i="72"/>
  <c r="I2125" i="72"/>
  <c r="I1975" i="72"/>
  <c r="I2088" i="72"/>
  <c r="I1928" i="72"/>
  <c r="F1751" i="58"/>
  <c r="M1710" i="58"/>
  <c r="I1082" i="72" s="1"/>
  <c r="M1263" i="58"/>
  <c r="I1798" i="72" s="1"/>
  <c r="M1244" i="58"/>
  <c r="M1225" i="58"/>
  <c r="M1206" i="58"/>
  <c r="I1743" i="72" s="1"/>
  <c r="M1187" i="58"/>
  <c r="I1732" i="72" s="1"/>
  <c r="M1168" i="58"/>
  <c r="M1149" i="58"/>
  <c r="I1722" i="72" s="1"/>
  <c r="M1130" i="58"/>
  <c r="I1712" i="72" s="1"/>
  <c r="M1110" i="58"/>
  <c r="M1090" i="58"/>
  <c r="I1679" i="72" s="1"/>
  <c r="M1071" i="58"/>
  <c r="M1053" i="58"/>
  <c r="M1031" i="58"/>
  <c r="M1011" i="58"/>
  <c r="M935" i="58"/>
  <c r="I1118" i="72" s="1"/>
  <c r="M914" i="58"/>
  <c r="M893" i="58"/>
  <c r="I1049" i="72" s="1"/>
  <c r="M872" i="58"/>
  <c r="M851" i="58"/>
  <c r="I1072" i="72" s="1"/>
  <c r="M831" i="58"/>
  <c r="M809" i="58"/>
  <c r="M785" i="58"/>
  <c r="M395" i="58"/>
  <c r="M374" i="58"/>
  <c r="M334" i="58"/>
  <c r="M316" i="58"/>
  <c r="M296" i="58"/>
  <c r="M277" i="58"/>
  <c r="M257" i="58"/>
  <c r="I130" i="72" s="1"/>
  <c r="M236" i="58"/>
  <c r="I108" i="72" s="1"/>
  <c r="M216" i="58"/>
  <c r="M196" i="58"/>
  <c r="I119" i="72" s="1"/>
  <c r="F15" i="11"/>
  <c r="F14" i="11"/>
  <c r="F13" i="11"/>
  <c r="F11" i="11"/>
  <c r="G268" i="69"/>
  <c r="E15" i="59"/>
  <c r="E14" i="59"/>
  <c r="E13" i="59"/>
  <c r="E11" i="59"/>
  <c r="O1235" i="58"/>
  <c r="I1240" i="58"/>
  <c r="I1243" i="58"/>
  <c r="I1244" i="58"/>
  <c r="I1246" i="58"/>
  <c r="K1249" i="58"/>
  <c r="O924" i="58"/>
  <c r="I929" i="58"/>
  <c r="P929" i="58"/>
  <c r="X929" i="58" s="1"/>
  <c r="I934" i="58"/>
  <c r="I935" i="58"/>
  <c r="I937" i="58"/>
  <c r="K940" i="58"/>
  <c r="O861" i="58"/>
  <c r="I866" i="58"/>
  <c r="P866" i="58"/>
  <c r="W866" i="58" s="1"/>
  <c r="W868" i="58" s="1"/>
  <c r="I871" i="58"/>
  <c r="I872" i="58"/>
  <c r="I874" i="58"/>
  <c r="K877" i="58"/>
  <c r="O882" i="58"/>
  <c r="I887" i="58"/>
  <c r="I892" i="58"/>
  <c r="I893" i="58"/>
  <c r="I895" i="58"/>
  <c r="K898" i="58"/>
  <c r="O903" i="58"/>
  <c r="W908" i="58"/>
  <c r="P909" i="58" s="1"/>
  <c r="I913" i="58"/>
  <c r="I914" i="58"/>
  <c r="I916" i="58"/>
  <c r="K919" i="58"/>
  <c r="O541" i="58"/>
  <c r="W547" i="58"/>
  <c r="W548" i="58"/>
  <c r="W549" i="58"/>
  <c r="W550" i="58"/>
  <c r="W551" i="58"/>
  <c r="I552" i="58"/>
  <c r="W552" i="58"/>
  <c r="W553" i="58"/>
  <c r="W554" i="58"/>
  <c r="I555" i="58"/>
  <c r="W555" i="58"/>
  <c r="I556" i="58"/>
  <c r="W556" i="58"/>
  <c r="W557" i="58"/>
  <c r="I558" i="58"/>
  <c r="W558" i="58"/>
  <c r="W559" i="58"/>
  <c r="I560" i="58"/>
  <c r="W560" i="58"/>
  <c r="K563" i="58"/>
  <c r="O568" i="58"/>
  <c r="I579" i="58"/>
  <c r="I582" i="58"/>
  <c r="I583" i="58"/>
  <c r="I585" i="58"/>
  <c r="I587" i="58"/>
  <c r="K590" i="58"/>
  <c r="O344" i="58"/>
  <c r="I352" i="58"/>
  <c r="I355" i="58"/>
  <c r="K358" i="58"/>
  <c r="I978" i="72" l="1"/>
  <c r="I934" i="72"/>
  <c r="I1155" i="72"/>
  <c r="I1061" i="72"/>
  <c r="I955" i="72"/>
  <c r="I999" i="72"/>
  <c r="I1037" i="72"/>
  <c r="I1143" i="72"/>
  <c r="I1131" i="72"/>
  <c r="I1025" i="72"/>
  <c r="I146" i="72"/>
  <c r="I1094" i="72"/>
  <c r="I1167" i="72"/>
  <c r="I821" i="72"/>
  <c r="I630" i="72"/>
  <c r="I860" i="72"/>
  <c r="I745" i="72"/>
  <c r="I707" i="72"/>
  <c r="I668" i="72"/>
  <c r="I783" i="72"/>
  <c r="I592" i="72"/>
  <c r="I476" i="72"/>
  <c r="I554" i="72"/>
  <c r="I516" i="72"/>
  <c r="I329" i="72"/>
  <c r="I262" i="72"/>
  <c r="I367" i="72"/>
  <c r="I405" i="72"/>
  <c r="I295" i="72"/>
  <c r="I228" i="72"/>
  <c r="I193" i="72"/>
  <c r="I159" i="72"/>
  <c r="F1752" i="58"/>
  <c r="F1753" i="58" s="1"/>
  <c r="M1323" i="58"/>
  <c r="I1479" i="72" s="1"/>
  <c r="M1283" i="58"/>
  <c r="M1264" i="58"/>
  <c r="I1799" i="72" s="1"/>
  <c r="M1226" i="58"/>
  <c r="M1207" i="58"/>
  <c r="I1744" i="72" s="1"/>
  <c r="M1188" i="58"/>
  <c r="I1733" i="72" s="1"/>
  <c r="M1091" i="58"/>
  <c r="I1680" i="72" s="1"/>
  <c r="M1072" i="58"/>
  <c r="M1054" i="58"/>
  <c r="M1032" i="58"/>
  <c r="M1012" i="58"/>
  <c r="M992" i="58"/>
  <c r="I1320" i="72" s="1"/>
  <c r="M974" i="58"/>
  <c r="I1311" i="72" s="1"/>
  <c r="M955" i="58"/>
  <c r="I1301" i="72" s="1"/>
  <c r="M936" i="58"/>
  <c r="I1119" i="72" s="1"/>
  <c r="M915" i="58"/>
  <c r="M894" i="58"/>
  <c r="I1050" i="72" s="1"/>
  <c r="M873" i="58"/>
  <c r="M852" i="58"/>
  <c r="I1073" i="72" s="1"/>
  <c r="M832" i="58"/>
  <c r="M810" i="58"/>
  <c r="M786" i="58"/>
  <c r="M722" i="58"/>
  <c r="M702" i="58"/>
  <c r="M682" i="58"/>
  <c r="M662" i="58"/>
  <c r="I1234" i="72" s="1"/>
  <c r="M643" i="58"/>
  <c r="M624" i="58"/>
  <c r="M605" i="58"/>
  <c r="M586" i="58"/>
  <c r="I921" i="72" s="1"/>
  <c r="M559" i="58"/>
  <c r="I904" i="72" s="1"/>
  <c r="M532" i="58"/>
  <c r="M508" i="58"/>
  <c r="M483" i="58"/>
  <c r="M458" i="58"/>
  <c r="I250" i="72" s="1"/>
  <c r="M437" i="58"/>
  <c r="I181" i="72" s="1"/>
  <c r="M415" i="58"/>
  <c r="M396" i="58"/>
  <c r="M375" i="58"/>
  <c r="M354" i="58"/>
  <c r="I1330" i="72" s="1"/>
  <c r="M335" i="58"/>
  <c r="M317" i="58"/>
  <c r="M297" i="58"/>
  <c r="M278" i="58"/>
  <c r="M258" i="58"/>
  <c r="I131" i="72" s="1"/>
  <c r="M237" i="58"/>
  <c r="I109" i="72" s="1"/>
  <c r="M217" i="58"/>
  <c r="M197" i="58"/>
  <c r="I120" i="72" s="1"/>
  <c r="M766" i="58"/>
  <c r="M744" i="58"/>
  <c r="I1010" i="72"/>
  <c r="I966" i="72"/>
  <c r="I1179" i="72"/>
  <c r="I1106" i="72"/>
  <c r="J1240" i="58"/>
  <c r="N1240" i="58" s="1"/>
  <c r="N1647" i="72"/>
  <c r="P1647" i="72" s="1"/>
  <c r="J579" i="58"/>
  <c r="N579" i="58" s="1"/>
  <c r="N914" i="72"/>
  <c r="P914" i="72" s="1"/>
  <c r="S914" i="72" s="1"/>
  <c r="T914" i="72" s="1"/>
  <c r="N457" i="72"/>
  <c r="P457" i="72" s="1"/>
  <c r="S457" i="72" s="1"/>
  <c r="T457" i="72" s="1"/>
  <c r="J552" i="58"/>
  <c r="N552" i="58" s="1"/>
  <c r="N442" i="72"/>
  <c r="P442" i="72" s="1"/>
  <c r="S442" i="72" s="1"/>
  <c r="T442" i="72" s="1"/>
  <c r="N897" i="72"/>
  <c r="P897" i="72" s="1"/>
  <c r="S897" i="72" s="1"/>
  <c r="T897" i="72" s="1"/>
  <c r="J887" i="58"/>
  <c r="N887" i="58" s="1"/>
  <c r="N1043" i="72"/>
  <c r="P1043" i="72" s="1"/>
  <c r="S1043" i="72" s="1"/>
  <c r="T1043" i="72" s="1"/>
  <c r="J866" i="58"/>
  <c r="N866" i="58" s="1"/>
  <c r="N1031" i="72"/>
  <c r="P1031" i="72" s="1"/>
  <c r="S1031" i="72" s="1"/>
  <c r="T1031" i="72" s="1"/>
  <c r="N1137" i="72"/>
  <c r="P1137" i="72" s="1"/>
  <c r="J929" i="58"/>
  <c r="N929" i="58" s="1"/>
  <c r="N1112" i="72"/>
  <c r="P1112" i="72" s="1"/>
  <c r="S1112" i="72" s="1"/>
  <c r="T1112" i="72" s="1"/>
  <c r="J585" i="58"/>
  <c r="N585" i="58" s="1"/>
  <c r="N920" i="72"/>
  <c r="P920" i="72" s="1"/>
  <c r="S920" i="72" s="1"/>
  <c r="T920" i="72" s="1"/>
  <c r="N463" i="72"/>
  <c r="P463" i="72" s="1"/>
  <c r="S463" i="72" s="1"/>
  <c r="T463" i="72" s="1"/>
  <c r="J914" i="58"/>
  <c r="N914" i="58" s="1"/>
  <c r="N1061" i="72"/>
  <c r="P1061" i="72" s="1"/>
  <c r="S1061" i="72" s="1"/>
  <c r="T1061" i="72" s="1"/>
  <c r="N1155" i="72"/>
  <c r="P1155" i="72" s="1"/>
  <c r="S1155" i="72" s="1"/>
  <c r="T1155" i="72" s="1"/>
  <c r="J935" i="58"/>
  <c r="N935" i="58" s="1"/>
  <c r="N1118" i="72"/>
  <c r="P1118" i="72" s="1"/>
  <c r="S1118" i="72" s="1"/>
  <c r="T1118" i="72" s="1"/>
  <c r="J872" i="58"/>
  <c r="N872" i="58" s="1"/>
  <c r="N1037" i="72"/>
  <c r="P1037" i="72" s="1"/>
  <c r="S1037" i="72" s="1"/>
  <c r="T1037" i="72" s="1"/>
  <c r="N1143" i="72"/>
  <c r="P1143" i="72" s="1"/>
  <c r="S1143" i="72" s="1"/>
  <c r="T1143" i="72" s="1"/>
  <c r="J583" i="58"/>
  <c r="N583" i="58" s="1"/>
  <c r="N918" i="72"/>
  <c r="P918" i="72" s="1"/>
  <c r="S918" i="72" s="1"/>
  <c r="T918" i="72" s="1"/>
  <c r="N461" i="72"/>
  <c r="P461" i="72" s="1"/>
  <c r="S461" i="72" s="1"/>
  <c r="T461" i="72" s="1"/>
  <c r="J558" i="58"/>
  <c r="N558" i="58" s="1"/>
  <c r="N903" i="72"/>
  <c r="P903" i="72" s="1"/>
  <c r="S903" i="72" s="1"/>
  <c r="T903" i="72" s="1"/>
  <c r="N448" i="72"/>
  <c r="P448" i="72" s="1"/>
  <c r="S448" i="72" s="1"/>
  <c r="T448" i="72" s="1"/>
  <c r="J556" i="58"/>
  <c r="N556" i="58" s="1"/>
  <c r="N446" i="72"/>
  <c r="P446" i="72" s="1"/>
  <c r="S446" i="72" s="1"/>
  <c r="T446" i="72" s="1"/>
  <c r="N901" i="72"/>
  <c r="P901" i="72" s="1"/>
  <c r="S901" i="72" s="1"/>
  <c r="T901" i="72" s="1"/>
  <c r="J893" i="58"/>
  <c r="N893" i="58" s="1"/>
  <c r="N1049" i="72"/>
  <c r="P1049" i="72" s="1"/>
  <c r="S1049" i="72" s="1"/>
  <c r="T1049" i="72" s="1"/>
  <c r="J1244" i="58"/>
  <c r="N1244" i="58" s="1"/>
  <c r="N1651" i="72"/>
  <c r="P1651" i="72" s="1"/>
  <c r="S1651" i="72" s="1"/>
  <c r="T1651" i="72" s="1"/>
  <c r="J895" i="58"/>
  <c r="N895" i="58" s="1"/>
  <c r="N1051" i="72"/>
  <c r="P1051" i="72" s="1"/>
  <c r="S1051" i="72" s="1"/>
  <c r="T1051" i="72" s="1"/>
  <c r="J874" i="58"/>
  <c r="N874" i="58" s="1"/>
  <c r="N1145" i="72"/>
  <c r="P1145" i="72" s="1"/>
  <c r="S1145" i="72" s="1"/>
  <c r="T1145" i="72" s="1"/>
  <c r="N1039" i="72"/>
  <c r="P1039" i="72" s="1"/>
  <c r="S1039" i="72" s="1"/>
  <c r="T1039" i="72" s="1"/>
  <c r="J1246" i="58"/>
  <c r="N1246" i="58" s="1"/>
  <c r="N1653" i="72"/>
  <c r="P1653" i="72" s="1"/>
  <c r="S1653" i="72" s="1"/>
  <c r="T1653" i="72" s="1"/>
  <c r="J355" i="58"/>
  <c r="N355" i="58" s="1"/>
  <c r="N1331" i="72"/>
  <c r="P1331" i="72" s="1"/>
  <c r="S1331" i="72" s="1"/>
  <c r="T1331" i="72" s="1"/>
  <c r="J587" i="58"/>
  <c r="N587" i="58" s="1"/>
  <c r="N922" i="72"/>
  <c r="P922" i="72" s="1"/>
  <c r="S922" i="72" s="1"/>
  <c r="T922" i="72" s="1"/>
  <c r="N465" i="72"/>
  <c r="P465" i="72" s="1"/>
  <c r="S465" i="72" s="1"/>
  <c r="T465" i="72" s="1"/>
  <c r="J560" i="58"/>
  <c r="N560" i="58" s="1"/>
  <c r="N905" i="72"/>
  <c r="P905" i="72" s="1"/>
  <c r="S905" i="72" s="1"/>
  <c r="T905" i="72" s="1"/>
  <c r="J916" i="58"/>
  <c r="N916" i="58" s="1"/>
  <c r="N1063" i="72"/>
  <c r="P1063" i="72" s="1"/>
  <c r="S1063" i="72" s="1"/>
  <c r="T1063" i="72" s="1"/>
  <c r="N1157" i="72"/>
  <c r="P1157" i="72" s="1"/>
  <c r="S1157" i="72" s="1"/>
  <c r="T1157" i="72" s="1"/>
  <c r="J937" i="58"/>
  <c r="N937" i="58" s="1"/>
  <c r="N1120" i="72"/>
  <c r="P1120" i="72" s="1"/>
  <c r="S1120" i="72" s="1"/>
  <c r="T1120" i="72" s="1"/>
  <c r="J352" i="58"/>
  <c r="N352" i="58" s="1"/>
  <c r="N1328" i="72"/>
  <c r="P1328" i="72" s="1"/>
  <c r="J913" i="58"/>
  <c r="N913" i="58" s="1"/>
  <c r="N1154" i="72"/>
  <c r="P1154" i="72" s="1"/>
  <c r="N1060" i="72"/>
  <c r="P1060" i="72" s="1"/>
  <c r="J555" i="58"/>
  <c r="N555" i="58" s="1"/>
  <c r="N445" i="72"/>
  <c r="P445" i="72" s="1"/>
  <c r="N900" i="72"/>
  <c r="P900" i="72" s="1"/>
  <c r="J892" i="58"/>
  <c r="N892" i="58" s="1"/>
  <c r="N1048" i="72"/>
  <c r="P1048" i="72" s="1"/>
  <c r="J1243" i="58"/>
  <c r="N1243" i="58" s="1"/>
  <c r="N1650" i="72"/>
  <c r="P1650" i="72" s="1"/>
  <c r="J871" i="58"/>
  <c r="N871" i="58" s="1"/>
  <c r="N1142" i="72"/>
  <c r="P1142" i="72" s="1"/>
  <c r="N1036" i="72"/>
  <c r="P1036" i="72" s="1"/>
  <c r="J934" i="58"/>
  <c r="N934" i="58" s="1"/>
  <c r="N1117" i="72"/>
  <c r="P1117" i="72" s="1"/>
  <c r="J582" i="58"/>
  <c r="N582" i="58" s="1"/>
  <c r="N917" i="72"/>
  <c r="P917" i="72" s="1"/>
  <c r="N460" i="72"/>
  <c r="P460" i="72" s="1"/>
  <c r="P868" i="58"/>
  <c r="I1241" i="58"/>
  <c r="I935" i="72" l="1"/>
  <c r="I979" i="72"/>
  <c r="I771" i="72"/>
  <c r="I809" i="72"/>
  <c r="I847" i="72"/>
  <c r="I733" i="72"/>
  <c r="I502" i="72"/>
  <c r="I1214" i="72"/>
  <c r="I1276" i="72"/>
  <c r="I1408" i="72"/>
  <c r="I1349" i="72"/>
  <c r="I1168" i="72"/>
  <c r="I1095" i="72"/>
  <c r="I1156" i="72"/>
  <c r="I1062" i="72"/>
  <c r="I1454" i="72"/>
  <c r="I1395" i="72"/>
  <c r="I794" i="72"/>
  <c r="I603" i="72"/>
  <c r="I832" i="72"/>
  <c r="I641" i="72"/>
  <c r="I871" i="72"/>
  <c r="I756" i="72"/>
  <c r="I718" i="72"/>
  <c r="I679" i="72"/>
  <c r="I416" i="72"/>
  <c r="I306" i="72"/>
  <c r="I283" i="72"/>
  <c r="I239" i="72"/>
  <c r="I527" i="72"/>
  <c r="I487" i="72"/>
  <c r="I565" i="72"/>
  <c r="I340" i="72"/>
  <c r="I316" i="72"/>
  <c r="I273" i="72"/>
  <c r="I378" i="72"/>
  <c r="I204" i="72"/>
  <c r="I170" i="72"/>
  <c r="I1256" i="72"/>
  <c r="I1204" i="72"/>
  <c r="I1180" i="72"/>
  <c r="I1107" i="72"/>
  <c r="I1431" i="72"/>
  <c r="I1372" i="72"/>
  <c r="I1444" i="72"/>
  <c r="I1385" i="72"/>
  <c r="I967" i="72"/>
  <c r="I1011" i="72"/>
  <c r="I1287" i="72"/>
  <c r="I1194" i="72"/>
  <c r="I1246" i="72"/>
  <c r="I1132" i="72"/>
  <c r="I1026" i="72"/>
  <c r="I147" i="72"/>
  <c r="I1224" i="72"/>
  <c r="I1266" i="72"/>
  <c r="I1421" i="72"/>
  <c r="I1362" i="72"/>
  <c r="I956" i="72"/>
  <c r="I1000" i="72"/>
  <c r="I861" i="72"/>
  <c r="I746" i="72"/>
  <c r="I708" i="72"/>
  <c r="I669" i="72"/>
  <c r="I784" i="72"/>
  <c r="I822" i="72"/>
  <c r="I631" i="72"/>
  <c r="I555" i="72"/>
  <c r="I517" i="72"/>
  <c r="I330" i="72"/>
  <c r="I263" i="72"/>
  <c r="I368" i="72"/>
  <c r="I406" i="72"/>
  <c r="I296" i="72"/>
  <c r="I229" i="72"/>
  <c r="I194" i="72"/>
  <c r="I593" i="72"/>
  <c r="I477" i="72"/>
  <c r="I160" i="72"/>
  <c r="I886" i="72"/>
  <c r="I355" i="72"/>
  <c r="I393" i="72"/>
  <c r="I431" i="72"/>
  <c r="I1144" i="72"/>
  <c r="I1038" i="72"/>
  <c r="F1754" i="58"/>
  <c r="M742" i="58"/>
  <c r="M990" i="58"/>
  <c r="I1318" i="72" s="1"/>
  <c r="M972" i="58"/>
  <c r="I1309" i="72" s="1"/>
  <c r="M953" i="58"/>
  <c r="I1299" i="72" s="1"/>
  <c r="M934" i="58"/>
  <c r="I1117" i="72" s="1"/>
  <c r="M913" i="58"/>
  <c r="M892" i="58"/>
  <c r="I1048" i="72" s="1"/>
  <c r="M871" i="58"/>
  <c r="M850" i="58"/>
  <c r="I1071" i="72" s="1"/>
  <c r="M830" i="58"/>
  <c r="M808" i="58"/>
  <c r="M784" i="58"/>
  <c r="M720" i="58"/>
  <c r="M700" i="58"/>
  <c r="M680" i="58"/>
  <c r="M660" i="58"/>
  <c r="I1232" i="72" s="1"/>
  <c r="M641" i="58"/>
  <c r="M622" i="58"/>
  <c r="M603" i="58"/>
  <c r="M582" i="58"/>
  <c r="I917" i="72" s="1"/>
  <c r="M555" i="58"/>
  <c r="I900" i="72" s="1"/>
  <c r="M530" i="58"/>
  <c r="M506" i="58"/>
  <c r="M481" i="58"/>
  <c r="M456" i="58"/>
  <c r="I248" i="72" s="1"/>
  <c r="M435" i="58"/>
  <c r="I179" i="72" s="1"/>
  <c r="M413" i="58"/>
  <c r="M394" i="58"/>
  <c r="M373" i="58"/>
  <c r="M352" i="58"/>
  <c r="I1328" i="72" s="1"/>
  <c r="M333" i="58"/>
  <c r="M315" i="58"/>
  <c r="M295" i="58"/>
  <c r="M276" i="58"/>
  <c r="M256" i="58"/>
  <c r="I129" i="72" s="1"/>
  <c r="M235" i="58"/>
  <c r="I107" i="72" s="1"/>
  <c r="M215" i="58"/>
  <c r="M195" i="58"/>
  <c r="I118" i="72" s="1"/>
  <c r="M764" i="58"/>
  <c r="J1241" i="58"/>
  <c r="N1241" i="58" s="1"/>
  <c r="N1648" i="72"/>
  <c r="P1648" i="72" s="1"/>
  <c r="S1648" i="72" s="1"/>
  <c r="T1648" i="72" s="1"/>
  <c r="S1137" i="72"/>
  <c r="T1137" i="72" s="1"/>
  <c r="S1647" i="72"/>
  <c r="T1647" i="72" s="1"/>
  <c r="S460" i="72"/>
  <c r="S1650" i="72"/>
  <c r="S900" i="72"/>
  <c r="S1154" i="72"/>
  <c r="S917" i="72"/>
  <c r="S445" i="72"/>
  <c r="S1142" i="72"/>
  <c r="S1048" i="72"/>
  <c r="S1328" i="72"/>
  <c r="S1036" i="72"/>
  <c r="S1117" i="72"/>
  <c r="S1060" i="72"/>
  <c r="K1242" i="58"/>
  <c r="I782" i="72" l="1"/>
  <c r="I820" i="72"/>
  <c r="I629" i="72"/>
  <c r="I859" i="72"/>
  <c r="I744" i="72"/>
  <c r="I706" i="72"/>
  <c r="I667" i="72"/>
  <c r="I404" i="72"/>
  <c r="I294" i="72"/>
  <c r="I227" i="72"/>
  <c r="I192" i="72"/>
  <c r="I475" i="72"/>
  <c r="I553" i="72"/>
  <c r="I515" i="72"/>
  <c r="I328" i="72"/>
  <c r="I261" i="72"/>
  <c r="I591" i="72"/>
  <c r="I366" i="72"/>
  <c r="I158" i="72"/>
  <c r="I884" i="72"/>
  <c r="I353" i="72"/>
  <c r="I391" i="72"/>
  <c r="I429" i="72"/>
  <c r="I1036" i="72"/>
  <c r="I1142" i="72"/>
  <c r="I1442" i="72"/>
  <c r="I1383" i="72"/>
  <c r="I1009" i="72"/>
  <c r="I965" i="72"/>
  <c r="I1192" i="72"/>
  <c r="I1285" i="72"/>
  <c r="I1244" i="72"/>
  <c r="I1419" i="72"/>
  <c r="I1360" i="72"/>
  <c r="I933" i="72"/>
  <c r="I977" i="72"/>
  <c r="I845" i="72"/>
  <c r="I731" i="72"/>
  <c r="I769" i="72"/>
  <c r="I807" i="72"/>
  <c r="I500" i="72"/>
  <c r="I1212" i="72"/>
  <c r="I1274" i="72"/>
  <c r="I1347" i="72"/>
  <c r="I1406" i="72"/>
  <c r="I1093" i="72"/>
  <c r="I1166" i="72"/>
  <c r="I1154" i="72"/>
  <c r="I1060" i="72"/>
  <c r="F1755" i="58"/>
  <c r="F1756" i="58" s="1"/>
  <c r="M583" i="58"/>
  <c r="I918" i="72" s="1"/>
  <c r="M556" i="58"/>
  <c r="I901" i="72" s="1"/>
  <c r="I213" i="72"/>
  <c r="I445" i="72"/>
  <c r="I462" i="72"/>
  <c r="I542" i="72"/>
  <c r="I580" i="72"/>
  <c r="I618" i="72"/>
  <c r="I656" i="72"/>
  <c r="I694" i="72"/>
  <c r="I946" i="72"/>
  <c r="I990" i="72"/>
  <c r="I216" i="72"/>
  <c r="I448" i="72"/>
  <c r="I465" i="72"/>
  <c r="I461" i="72"/>
  <c r="I541" i="72"/>
  <c r="I579" i="72"/>
  <c r="I617" i="72"/>
  <c r="I655" i="72"/>
  <c r="I693" i="72"/>
  <c r="I945" i="72"/>
  <c r="I989" i="72"/>
  <c r="I215" i="72"/>
  <c r="I447" i="72"/>
  <c r="I464" i="72"/>
  <c r="I460" i="72"/>
  <c r="I540" i="72"/>
  <c r="I578" i="72"/>
  <c r="I616" i="72"/>
  <c r="I654" i="72"/>
  <c r="I692" i="72"/>
  <c r="I944" i="72"/>
  <c r="I988" i="72"/>
  <c r="I214" i="72"/>
  <c r="I446" i="72"/>
  <c r="I463" i="72"/>
  <c r="I543" i="72"/>
  <c r="I581" i="72"/>
  <c r="I619" i="72"/>
  <c r="I657" i="72"/>
  <c r="I695" i="72"/>
  <c r="I947" i="72"/>
  <c r="I991" i="72"/>
  <c r="I998" i="72"/>
  <c r="I954" i="72"/>
  <c r="I869" i="72"/>
  <c r="I754" i="72"/>
  <c r="I716" i="72"/>
  <c r="I677" i="72"/>
  <c r="I792" i="72"/>
  <c r="I601" i="72"/>
  <c r="I830" i="72"/>
  <c r="I639" i="72"/>
  <c r="I563" i="72"/>
  <c r="I338" i="72"/>
  <c r="I314" i="72"/>
  <c r="I271" i="72"/>
  <c r="I376" i="72"/>
  <c r="I202" i="72"/>
  <c r="I414" i="72"/>
  <c r="I304" i="72"/>
  <c r="I281" i="72"/>
  <c r="I237" i="72"/>
  <c r="I525" i="72"/>
  <c r="I485" i="72"/>
  <c r="I168" i="72"/>
  <c r="I1254" i="72"/>
  <c r="I1202" i="72"/>
  <c r="I1178" i="72"/>
  <c r="I1105" i="72"/>
  <c r="I1024" i="72"/>
  <c r="I1130" i="72"/>
  <c r="I145" i="72"/>
  <c r="I1222" i="72"/>
  <c r="I1264" i="72"/>
  <c r="I1370" i="72"/>
  <c r="I1429" i="72"/>
  <c r="T1060" i="72"/>
  <c r="T445" i="72"/>
  <c r="T1650" i="72"/>
  <c r="T1048" i="72"/>
  <c r="T1154" i="72"/>
  <c r="T1117" i="72"/>
  <c r="T1036" i="72"/>
  <c r="T1328" i="72"/>
  <c r="T1142" i="72"/>
  <c r="T917" i="72"/>
  <c r="T900" i="72"/>
  <c r="T460" i="72"/>
  <c r="X319" i="69"/>
  <c r="X318" i="69"/>
  <c r="X317" i="69"/>
  <c r="X316" i="69"/>
  <c r="X315" i="69"/>
  <c r="X294" i="69"/>
  <c r="X293" i="69"/>
  <c r="X272" i="69"/>
  <c r="X271" i="69"/>
  <c r="X270" i="69"/>
  <c r="X269" i="69"/>
  <c r="X267" i="69"/>
  <c r="X266" i="69"/>
  <c r="X265" i="69"/>
  <c r="X258" i="69"/>
  <c r="X256" i="69"/>
  <c r="X254" i="69"/>
  <c r="X250" i="69"/>
  <c r="X245" i="69"/>
  <c r="X244" i="69"/>
  <c r="X243" i="69"/>
  <c r="X242" i="69"/>
  <c r="X241" i="69"/>
  <c r="X240" i="69"/>
  <c r="X233" i="69"/>
  <c r="X231" i="69"/>
  <c r="X227" i="69"/>
  <c r="X222" i="69"/>
  <c r="X221" i="69"/>
  <c r="X220" i="69"/>
  <c r="X219" i="69"/>
  <c r="X217" i="69"/>
  <c r="X216" i="69"/>
  <c r="X211" i="69"/>
  <c r="X207" i="69"/>
  <c r="X206" i="69"/>
  <c r="X205" i="69"/>
  <c r="X199" i="69"/>
  <c r="X198" i="69"/>
  <c r="X192" i="69"/>
  <c r="X191" i="69"/>
  <c r="X190" i="69"/>
  <c r="X189" i="69"/>
  <c r="X188" i="69"/>
  <c r="X187" i="69"/>
  <c r="X181" i="69"/>
  <c r="X180" i="69"/>
  <c r="X174" i="69"/>
  <c r="X168" i="69"/>
  <c r="X167" i="69"/>
  <c r="X166" i="69"/>
  <c r="X160" i="69"/>
  <c r="X150" i="69"/>
  <c r="X148" i="69"/>
  <c r="X142" i="69"/>
  <c r="X141" i="69"/>
  <c r="X135" i="69"/>
  <c r="X134" i="69"/>
  <c r="X133" i="69"/>
  <c r="X132" i="69"/>
  <c r="X129" i="69"/>
  <c r="X128" i="69"/>
  <c r="X124" i="69"/>
  <c r="X123" i="69"/>
  <c r="X122" i="69"/>
  <c r="X118" i="69"/>
  <c r="X114" i="69"/>
  <c r="X110" i="69"/>
  <c r="X106" i="69"/>
  <c r="X105" i="69"/>
  <c r="X104" i="69"/>
  <c r="X100" i="69"/>
  <c r="X96" i="69"/>
  <c r="X92" i="69"/>
  <c r="X88" i="69"/>
  <c r="X84" i="69"/>
  <c r="X83" i="69"/>
  <c r="X82" i="69"/>
  <c r="X81" i="69"/>
  <c r="X77" i="69"/>
  <c r="X74" i="69"/>
  <c r="X70" i="69"/>
  <c r="X66" i="69"/>
  <c r="X62" i="69"/>
  <c r="X61" i="69"/>
  <c r="X57" i="69"/>
  <c r="X53" i="69"/>
  <c r="X49" i="69"/>
  <c r="X48" i="69"/>
  <c r="X44" i="69"/>
  <c r="X40" i="69"/>
  <c r="X38" i="69"/>
  <c r="X37" i="69"/>
  <c r="X36" i="69"/>
  <c r="X35" i="69"/>
  <c r="X31" i="69"/>
  <c r="X30" i="69"/>
  <c r="X24" i="69"/>
  <c r="X23" i="69"/>
  <c r="X17" i="69"/>
  <c r="F1757" i="58" l="1"/>
  <c r="F1758" i="58" s="1"/>
  <c r="F1759" i="58" s="1"/>
  <c r="M681" i="58"/>
  <c r="M585" i="58"/>
  <c r="I920" i="72" s="1"/>
  <c r="M558" i="58"/>
  <c r="I903" i="72" s="1"/>
  <c r="M414" i="58"/>
  <c r="P28" i="70"/>
  <c r="X182" i="69"/>
  <c r="I793" i="72" l="1"/>
  <c r="I602" i="72"/>
  <c r="I831" i="72"/>
  <c r="I640" i="72"/>
  <c r="I870" i="72"/>
  <c r="I755" i="72"/>
  <c r="I717" i="72"/>
  <c r="I678" i="72"/>
  <c r="I377" i="72"/>
  <c r="I203" i="72"/>
  <c r="I415" i="72"/>
  <c r="I305" i="72"/>
  <c r="I282" i="72"/>
  <c r="I238" i="72"/>
  <c r="I526" i="72"/>
  <c r="I486" i="72"/>
  <c r="I564" i="72"/>
  <c r="I339" i="72"/>
  <c r="I315" i="72"/>
  <c r="I272" i="72"/>
  <c r="I169" i="72"/>
  <c r="F1760" i="58"/>
  <c r="M39" i="58"/>
  <c r="I1245" i="72"/>
  <c r="I1286" i="72"/>
  <c r="I1193" i="72"/>
  <c r="G183" i="69"/>
  <c r="F1761" i="58" l="1"/>
  <c r="M721" i="58"/>
  <c r="M701" i="58"/>
  <c r="G185" i="69"/>
  <c r="X185" i="69" s="1"/>
  <c r="X183" i="69"/>
  <c r="X155" i="69"/>
  <c r="I846" i="58"/>
  <c r="N1067" i="72" s="1"/>
  <c r="P1067" i="72" s="1"/>
  <c r="S1067" i="72" s="1"/>
  <c r="T1067" i="72" s="1"/>
  <c r="P392" i="58"/>
  <c r="W393" i="58" s="1"/>
  <c r="W390" i="58"/>
  <c r="W391" i="58" s="1"/>
  <c r="I1407" i="72" l="1"/>
  <c r="I1348" i="72"/>
  <c r="I1430" i="72"/>
  <c r="I1371" i="72"/>
  <c r="F1762" i="58"/>
  <c r="M1322" i="58"/>
  <c r="I1478" i="72" s="1"/>
  <c r="M1302" i="58"/>
  <c r="D42" i="67"/>
  <c r="B42" i="67"/>
  <c r="D41" i="67"/>
  <c r="B41" i="67"/>
  <c r="H43" i="67" s="1"/>
  <c r="D38" i="67"/>
  <c r="B38" i="67"/>
  <c r="D37" i="67"/>
  <c r="B37" i="67"/>
  <c r="D36" i="67"/>
  <c r="B36" i="67"/>
  <c r="D35" i="67"/>
  <c r="B35" i="67"/>
  <c r="D34" i="67"/>
  <c r="B34" i="67"/>
  <c r="D33" i="67"/>
  <c r="B33" i="67"/>
  <c r="D32" i="67"/>
  <c r="B32" i="67"/>
  <c r="D31" i="67"/>
  <c r="B31" i="67"/>
  <c r="D30" i="67"/>
  <c r="B30" i="67"/>
  <c r="D29" i="67"/>
  <c r="B29" i="67"/>
  <c r="D28" i="67"/>
  <c r="B28" i="67"/>
  <c r="D27" i="67"/>
  <c r="D25" i="67"/>
  <c r="B25" i="67"/>
  <c r="H40" i="67" s="1"/>
  <c r="B27" i="67"/>
  <c r="D26" i="67"/>
  <c r="B26" i="67"/>
  <c r="F17" i="67"/>
  <c r="F16" i="67"/>
  <c r="F15" i="67"/>
  <c r="D17" i="67"/>
  <c r="D16" i="67"/>
  <c r="D15" i="67"/>
  <c r="D14" i="67"/>
  <c r="D13" i="67"/>
  <c r="F13" i="67"/>
  <c r="I1689" i="58"/>
  <c r="O1684" i="58"/>
  <c r="K1696" i="58"/>
  <c r="I1669" i="58"/>
  <c r="T88" i="11"/>
  <c r="S88" i="11"/>
  <c r="R88" i="11"/>
  <c r="Q88" i="11"/>
  <c r="P88" i="11"/>
  <c r="I1668" i="58"/>
  <c r="T109" i="11"/>
  <c r="S109" i="11"/>
  <c r="R109" i="11"/>
  <c r="P109" i="11"/>
  <c r="O1662" i="58"/>
  <c r="K1679" i="58"/>
  <c r="W1668" i="58"/>
  <c r="J1667" i="58"/>
  <c r="N1667" i="58" s="1"/>
  <c r="I1647" i="58"/>
  <c r="T106" i="11"/>
  <c r="S106" i="11"/>
  <c r="R106" i="11"/>
  <c r="P106" i="11"/>
  <c r="O1641" i="58"/>
  <c r="K1657" i="58"/>
  <c r="I1626" i="58"/>
  <c r="K1636" i="58"/>
  <c r="O1621" i="58"/>
  <c r="O1601" i="58"/>
  <c r="I1606" i="58"/>
  <c r="T104" i="11"/>
  <c r="S104" i="11"/>
  <c r="R104" i="11"/>
  <c r="P104" i="11"/>
  <c r="K1616" i="58"/>
  <c r="I1586" i="58"/>
  <c r="O1581" i="58"/>
  <c r="K1596" i="58"/>
  <c r="E1590" i="58"/>
  <c r="E1589" i="58"/>
  <c r="O1561" i="58"/>
  <c r="I1566" i="58"/>
  <c r="K1576" i="58"/>
  <c r="I1549" i="58"/>
  <c r="K1556" i="58"/>
  <c r="O1544" i="58"/>
  <c r="I1515" i="58"/>
  <c r="I1532" i="58"/>
  <c r="I1498" i="58"/>
  <c r="I84" i="11"/>
  <c r="I1478" i="58" s="1"/>
  <c r="O1473" i="58"/>
  <c r="K1488" i="58"/>
  <c r="I1458" i="58"/>
  <c r="O1453" i="58"/>
  <c r="K1468" i="58"/>
  <c r="I1378" i="58"/>
  <c r="I1399" i="58"/>
  <c r="I1439" i="58"/>
  <c r="O1332" i="58"/>
  <c r="I1337" i="58"/>
  <c r="K1347" i="58"/>
  <c r="I1357" i="58"/>
  <c r="Q82" i="11"/>
  <c r="P82" i="11"/>
  <c r="O1352" i="58"/>
  <c r="K1367" i="58"/>
  <c r="G264" i="69"/>
  <c r="X264" i="69" s="1"/>
  <c r="N125" i="11"/>
  <c r="I1086" i="58"/>
  <c r="I1318" i="58"/>
  <c r="I717" i="58"/>
  <c r="I758" i="58"/>
  <c r="I697" i="58"/>
  <c r="I696" i="58"/>
  <c r="I969" i="58"/>
  <c r="N1306" i="72" s="1"/>
  <c r="P1306" i="72" s="1"/>
  <c r="G184" i="69"/>
  <c r="X184" i="69" s="1"/>
  <c r="I620" i="58"/>
  <c r="I619" i="58"/>
  <c r="W804" i="58"/>
  <c r="P805" i="58"/>
  <c r="P806" i="58" s="1"/>
  <c r="P804" i="58"/>
  <c r="P803" i="58"/>
  <c r="O775" i="58"/>
  <c r="I781" i="58"/>
  <c r="K792" i="58"/>
  <c r="P781" i="58"/>
  <c r="H780" i="58"/>
  <c r="H503" i="58"/>
  <c r="H502" i="58"/>
  <c r="H501" i="58"/>
  <c r="H498" i="58"/>
  <c r="H526" i="58"/>
  <c r="H527" i="58"/>
  <c r="H525" i="58"/>
  <c r="H522" i="58"/>
  <c r="I60" i="11"/>
  <c r="I61" i="11" s="1"/>
  <c r="I121" i="11"/>
  <c r="I477" i="58"/>
  <c r="H478" i="58"/>
  <c r="H431" i="58"/>
  <c r="K26" i="70"/>
  <c r="K25" i="70"/>
  <c r="K24" i="70"/>
  <c r="K23" i="70"/>
  <c r="K22" i="70"/>
  <c r="K21" i="70"/>
  <c r="K20" i="70"/>
  <c r="K19" i="70"/>
  <c r="K17" i="70"/>
  <c r="E17" i="70"/>
  <c r="K16" i="70"/>
  <c r="E16" i="70"/>
  <c r="K15" i="70"/>
  <c r="E14" i="70"/>
  <c r="K14" i="70" s="1"/>
  <c r="K13" i="70"/>
  <c r="K11" i="70"/>
  <c r="G4" i="70"/>
  <c r="AG294" i="69"/>
  <c r="AG293" i="69"/>
  <c r="AG272" i="69"/>
  <c r="AG271" i="69"/>
  <c r="AG270" i="69"/>
  <c r="AG269" i="69"/>
  <c r="AG267" i="69"/>
  <c r="AG266" i="69"/>
  <c r="AG265" i="69"/>
  <c r="AG258" i="69"/>
  <c r="AG256" i="69"/>
  <c r="AG254" i="69"/>
  <c r="AG250" i="69"/>
  <c r="AG245" i="69"/>
  <c r="AG244" i="69"/>
  <c r="AG243" i="69"/>
  <c r="AG242" i="69"/>
  <c r="AG241" i="69"/>
  <c r="AG233" i="69"/>
  <c r="AG231" i="69"/>
  <c r="AG227" i="69"/>
  <c r="AG222" i="69"/>
  <c r="AG221" i="69"/>
  <c r="AG220" i="69"/>
  <c r="AG219" i="69"/>
  <c r="AG217" i="69"/>
  <c r="AG216" i="69"/>
  <c r="AG211" i="69"/>
  <c r="AG207" i="69"/>
  <c r="AG206" i="69"/>
  <c r="AG205" i="69"/>
  <c r="AG199" i="69"/>
  <c r="AG198" i="69"/>
  <c r="AG190" i="69"/>
  <c r="AG189" i="69"/>
  <c r="AG188" i="69"/>
  <c r="AG187" i="69"/>
  <c r="AG181" i="69"/>
  <c r="AG180" i="69"/>
  <c r="AG174" i="69"/>
  <c r="AG168" i="69"/>
  <c r="AG167" i="69"/>
  <c r="AG166" i="69"/>
  <c r="AG160" i="69"/>
  <c r="AG150" i="69"/>
  <c r="AG149" i="69"/>
  <c r="AG148" i="69"/>
  <c r="AG142" i="69"/>
  <c r="AG141" i="69"/>
  <c r="AG135" i="69"/>
  <c r="AG134" i="69"/>
  <c r="AG133" i="69"/>
  <c r="AG132" i="69"/>
  <c r="AG129" i="69"/>
  <c r="AG128" i="69"/>
  <c r="AG124" i="69"/>
  <c r="AG123" i="69"/>
  <c r="AG122" i="69"/>
  <c r="AG118" i="69"/>
  <c r="AG114" i="69"/>
  <c r="AG110" i="69"/>
  <c r="AG106" i="69"/>
  <c r="AG105" i="69"/>
  <c r="AG104" i="69"/>
  <c r="AG100" i="69"/>
  <c r="AG96" i="69"/>
  <c r="AG92" i="69"/>
  <c r="AG88" i="69"/>
  <c r="AG84" i="69"/>
  <c r="AG83" i="69"/>
  <c r="AG82" i="69"/>
  <c r="AG81" i="69"/>
  <c r="AG77" i="69"/>
  <c r="AG74" i="69"/>
  <c r="AG70" i="69"/>
  <c r="AG66" i="69"/>
  <c r="AG62" i="69"/>
  <c r="AG61" i="69"/>
  <c r="AG57" i="69"/>
  <c r="AG53" i="69"/>
  <c r="AG49" i="69"/>
  <c r="AG48" i="69"/>
  <c r="AG44" i="69"/>
  <c r="AG40" i="69"/>
  <c r="AG38" i="69"/>
  <c r="AG37" i="69"/>
  <c r="AG36" i="69"/>
  <c r="AG35" i="69"/>
  <c r="AG31" i="69"/>
  <c r="AG30" i="69"/>
  <c r="AG24" i="69"/>
  <c r="AG23" i="69"/>
  <c r="O45" i="58"/>
  <c r="B45" i="58"/>
  <c r="B21" i="59" s="1"/>
  <c r="K56" i="58"/>
  <c r="K54" i="58"/>
  <c r="J51" i="58"/>
  <c r="N51" i="58" s="1"/>
  <c r="J50" i="58"/>
  <c r="N50" i="58" s="1"/>
  <c r="F16" i="63"/>
  <c r="F14" i="63"/>
  <c r="F13" i="63"/>
  <c r="F12" i="63"/>
  <c r="F4" i="69"/>
  <c r="F14" i="67" s="1"/>
  <c r="N57" i="58" l="1"/>
  <c r="G209" i="72"/>
  <c r="G175" i="72"/>
  <c r="G841" i="72"/>
  <c r="G765" i="72"/>
  <c r="G727" i="72"/>
  <c r="G803" i="72"/>
  <c r="G496" i="72"/>
  <c r="G651" i="72"/>
  <c r="G689" i="72"/>
  <c r="G613" i="72"/>
  <c r="G537" i="72"/>
  <c r="G575" i="72"/>
  <c r="D1936" i="72"/>
  <c r="D2096" i="72"/>
  <c r="M1589" i="58"/>
  <c r="I2096" i="72" s="1"/>
  <c r="L1589" i="58"/>
  <c r="N60" i="58"/>
  <c r="S45" i="58" s="1"/>
  <c r="G881" i="72"/>
  <c r="G350" i="72"/>
  <c r="G388" i="72"/>
  <c r="G426" i="72"/>
  <c r="G837" i="72"/>
  <c r="G761" i="72"/>
  <c r="G723" i="72"/>
  <c r="G799" i="72"/>
  <c r="G492" i="72"/>
  <c r="G646" i="72"/>
  <c r="G684" i="72"/>
  <c r="G608" i="72"/>
  <c r="G570" i="72"/>
  <c r="G532" i="72"/>
  <c r="G940" i="72"/>
  <c r="G984" i="72"/>
  <c r="D1937" i="72"/>
  <c r="D2097" i="72"/>
  <c r="L1590" i="58"/>
  <c r="M1590" i="58"/>
  <c r="I2097" i="72" s="1"/>
  <c r="I1467" i="72"/>
  <c r="I1489" i="72"/>
  <c r="G840" i="72"/>
  <c r="G764" i="72"/>
  <c r="G802" i="72"/>
  <c r="G726" i="72"/>
  <c r="G495" i="72"/>
  <c r="G649" i="72"/>
  <c r="G687" i="72"/>
  <c r="G611" i="72"/>
  <c r="G573" i="72"/>
  <c r="G535" i="72"/>
  <c r="G842" i="72"/>
  <c r="G728" i="72"/>
  <c r="G766" i="72"/>
  <c r="G804" i="72"/>
  <c r="G497" i="72"/>
  <c r="G650" i="72"/>
  <c r="G688" i="72"/>
  <c r="G612" i="72"/>
  <c r="G574" i="72"/>
  <c r="G536" i="72"/>
  <c r="M765" i="58"/>
  <c r="M743" i="58"/>
  <c r="A27" i="72"/>
  <c r="A17" i="75"/>
  <c r="I62" i="11"/>
  <c r="I63" i="11" s="1"/>
  <c r="I64" i="11" s="1"/>
  <c r="I65" i="11" s="1"/>
  <c r="I66" i="11" s="1"/>
  <c r="I67" i="11" s="1"/>
  <c r="I580" i="58"/>
  <c r="I553" i="58"/>
  <c r="I910" i="58"/>
  <c r="I889" i="58"/>
  <c r="I931" i="58"/>
  <c r="I868" i="58"/>
  <c r="N1209" i="72"/>
  <c r="P1209" i="72" s="1"/>
  <c r="S1209" i="72" s="1"/>
  <c r="T1209" i="72" s="1"/>
  <c r="N1271" i="72"/>
  <c r="P1271" i="72" s="1"/>
  <c r="J1566" i="58"/>
  <c r="I1567" i="58" s="1"/>
  <c r="N2085" i="72"/>
  <c r="P2085" i="72" s="1"/>
  <c r="N1925" i="72"/>
  <c r="P1925" i="72" s="1"/>
  <c r="N880" i="72"/>
  <c r="N387" i="72"/>
  <c r="N349" i="72"/>
  <c r="N425" i="72"/>
  <c r="S1306" i="72"/>
  <c r="T1306" i="72" s="1"/>
  <c r="N1426" i="72"/>
  <c r="P1426" i="72" s="1"/>
  <c r="S1426" i="72" s="1"/>
  <c r="T1426" i="72" s="1"/>
  <c r="N1367" i="72"/>
  <c r="P1367" i="72" s="1"/>
  <c r="I1338" i="58"/>
  <c r="J1338" i="58" s="1"/>
  <c r="N1338" i="58" s="1"/>
  <c r="N1993" i="72"/>
  <c r="P1993" i="72" s="1"/>
  <c r="S1993" i="72" s="1"/>
  <c r="T1993" i="72" s="1"/>
  <c r="N1833" i="72"/>
  <c r="P1833" i="72" s="1"/>
  <c r="N2053" i="72"/>
  <c r="P2053" i="72" s="1"/>
  <c r="N1893" i="72"/>
  <c r="P1893" i="72" s="1"/>
  <c r="J1586" i="58"/>
  <c r="I1587" i="58" s="1"/>
  <c r="N1933" i="72"/>
  <c r="P1933" i="72" s="1"/>
  <c r="N2093" i="72"/>
  <c r="P2093" i="72" s="1"/>
  <c r="S2093" i="72" s="1"/>
  <c r="T2093" i="72" s="1"/>
  <c r="J1669" i="58"/>
  <c r="N1669" i="58" s="1"/>
  <c r="N1971" i="72"/>
  <c r="P1971" i="72" s="1"/>
  <c r="N2121" i="72"/>
  <c r="P2121" i="72" s="1"/>
  <c r="S2121" i="72" s="1"/>
  <c r="T2121" i="72" s="1"/>
  <c r="N1272" i="72"/>
  <c r="P1272" i="72" s="1"/>
  <c r="S1272" i="72" s="1"/>
  <c r="T1272" i="72" s="1"/>
  <c r="N1210" i="72"/>
  <c r="P1210" i="72" s="1"/>
  <c r="N1344" i="72"/>
  <c r="P1344" i="72" s="1"/>
  <c r="S1344" i="72" s="1"/>
  <c r="T1344" i="72" s="1"/>
  <c r="N1403" i="72"/>
  <c r="P1403" i="72" s="1"/>
  <c r="S1403" i="72" s="1"/>
  <c r="T1403" i="72" s="1"/>
  <c r="J1357" i="58"/>
  <c r="N1357" i="58" s="1"/>
  <c r="N1824" i="72"/>
  <c r="P1824" i="72" s="1"/>
  <c r="N1854" i="72"/>
  <c r="P1854" i="72" s="1"/>
  <c r="S1854" i="72" s="1"/>
  <c r="T1854" i="72" s="1"/>
  <c r="N1865" i="72"/>
  <c r="P1865" i="72" s="1"/>
  <c r="S1865" i="72" s="1"/>
  <c r="T1865" i="72" s="1"/>
  <c r="N2025" i="72"/>
  <c r="P2025" i="72" s="1"/>
  <c r="S2025" i="72" s="1"/>
  <c r="T2025" i="72" s="1"/>
  <c r="N2014" i="72"/>
  <c r="P2014" i="72" s="1"/>
  <c r="S2014" i="72" s="1"/>
  <c r="T2014" i="72" s="1"/>
  <c r="N1901" i="72"/>
  <c r="P1901" i="72" s="1"/>
  <c r="N2061" i="72"/>
  <c r="P2061" i="72" s="1"/>
  <c r="S2061" i="72" s="1"/>
  <c r="T2061" i="72" s="1"/>
  <c r="J1549" i="58"/>
  <c r="N1549" i="58" s="1"/>
  <c r="N1917" i="72"/>
  <c r="P1917" i="72" s="1"/>
  <c r="S1917" i="72" s="1"/>
  <c r="T1917" i="72" s="1"/>
  <c r="N2077" i="72"/>
  <c r="P2077" i="72" s="1"/>
  <c r="J1606" i="58"/>
  <c r="I1607" i="58" s="1"/>
  <c r="N1941" i="72"/>
  <c r="P1941" i="72" s="1"/>
  <c r="N2101" i="72"/>
  <c r="P2101" i="72" s="1"/>
  <c r="J1626" i="58"/>
  <c r="N1626" i="58" s="1"/>
  <c r="N1950" i="72"/>
  <c r="P1950" i="72" s="1"/>
  <c r="N2110" i="72"/>
  <c r="P2110" i="72" s="1"/>
  <c r="J1668" i="58"/>
  <c r="N1668" i="58" s="1"/>
  <c r="N1970" i="72"/>
  <c r="P1970" i="72" s="1"/>
  <c r="S1970" i="72" s="1"/>
  <c r="T1970" i="72" s="1"/>
  <c r="N2120" i="72"/>
  <c r="P2120" i="72" s="1"/>
  <c r="S2120" i="72" s="1"/>
  <c r="T2120" i="72" s="1"/>
  <c r="J1689" i="58"/>
  <c r="N1689" i="58" s="1"/>
  <c r="N2130" i="72"/>
  <c r="P2130" i="72" s="1"/>
  <c r="N1984" i="72"/>
  <c r="P1984" i="72" s="1"/>
  <c r="S1984" i="72" s="1"/>
  <c r="T1984" i="72" s="1"/>
  <c r="P1318" i="58"/>
  <c r="N1508" i="72"/>
  <c r="P1508" i="72" s="1"/>
  <c r="S1508" i="72" s="1"/>
  <c r="T1508" i="72" s="1"/>
  <c r="N1474" i="72"/>
  <c r="P1474" i="72" s="1"/>
  <c r="S1474" i="72" s="1"/>
  <c r="T1474" i="72" s="1"/>
  <c r="N2069" i="72"/>
  <c r="P2069" i="72" s="1"/>
  <c r="N1909" i="72"/>
  <c r="P1909" i="72" s="1"/>
  <c r="J1647" i="58"/>
  <c r="I1648" i="58" s="1"/>
  <c r="N1960" i="72"/>
  <c r="P1960" i="72" s="1"/>
  <c r="J781" i="58"/>
  <c r="N781" i="58" s="1"/>
  <c r="N941" i="72"/>
  <c r="P941" i="72" s="1"/>
  <c r="S941" i="72" s="1"/>
  <c r="T941" i="72" s="1"/>
  <c r="N985" i="72"/>
  <c r="P985" i="72" s="1"/>
  <c r="S985" i="72" s="1"/>
  <c r="T985" i="72" s="1"/>
  <c r="N1377" i="72"/>
  <c r="P1377" i="72" s="1"/>
  <c r="N1436" i="72"/>
  <c r="P1436" i="72" s="1"/>
  <c r="N1675" i="72"/>
  <c r="P1675" i="72" s="1"/>
  <c r="N1539" i="72"/>
  <c r="P1539" i="72" s="1"/>
  <c r="N2003" i="72"/>
  <c r="P2003" i="72" s="1"/>
  <c r="S2003" i="72" s="1"/>
  <c r="T2003" i="72" s="1"/>
  <c r="N1843" i="72"/>
  <c r="P1843" i="72" s="1"/>
  <c r="S1843" i="72" s="1"/>
  <c r="T1843" i="72" s="1"/>
  <c r="J1458" i="58"/>
  <c r="I1459" i="58" s="1"/>
  <c r="N1875" i="72"/>
  <c r="P1875" i="72" s="1"/>
  <c r="N2035" i="72"/>
  <c r="P2035" i="72" s="1"/>
  <c r="J1478" i="58"/>
  <c r="I1479" i="58" s="1"/>
  <c r="N1884" i="72"/>
  <c r="P1884" i="72" s="1"/>
  <c r="N2044" i="72"/>
  <c r="P2044" i="72" s="1"/>
  <c r="N1402" i="72"/>
  <c r="P1402" i="72" s="1"/>
  <c r="N1343" i="72"/>
  <c r="P1343" i="72" s="1"/>
  <c r="A18" i="71"/>
  <c r="F12" i="11"/>
  <c r="E12" i="59"/>
  <c r="J21" i="59"/>
  <c r="H21" i="59"/>
  <c r="J1337" i="58"/>
  <c r="N1337" i="58" s="1"/>
  <c r="K52" i="58"/>
  <c r="K57" i="58" s="1"/>
  <c r="L57" i="58" s="1"/>
  <c r="Q45" i="58" s="1"/>
  <c r="I21" i="59" s="1"/>
  <c r="N18" i="76" s="1"/>
  <c r="P807" i="58"/>
  <c r="P808" i="58" s="1"/>
  <c r="I1358" i="58"/>
  <c r="B62" i="58"/>
  <c r="A18" i="69"/>
  <c r="E18" i="70"/>
  <c r="K18" i="70" s="1"/>
  <c r="K27" i="70" s="1"/>
  <c r="K28" i="70" s="1"/>
  <c r="L28" i="70" s="1"/>
  <c r="I107" i="59" s="1"/>
  <c r="C21" i="59"/>
  <c r="F21" i="59"/>
  <c r="I347" i="76" l="1"/>
  <c r="I71" i="77" s="1"/>
  <c r="I18" i="76"/>
  <c r="H347" i="76"/>
  <c r="H71" i="77" s="1"/>
  <c r="H18" i="76"/>
  <c r="D347" i="76"/>
  <c r="D71" i="77" s="1"/>
  <c r="D18" i="76"/>
  <c r="O347" i="76"/>
  <c r="Q347" i="76" s="1"/>
  <c r="O18" i="76"/>
  <c r="Q18" i="76" s="1"/>
  <c r="K2096" i="72"/>
  <c r="K1936" i="72"/>
  <c r="I1420" i="72"/>
  <c r="I1361" i="72"/>
  <c r="I1443" i="72"/>
  <c r="I1384" i="72"/>
  <c r="K2097" i="72"/>
  <c r="K1937" i="72"/>
  <c r="N1606" i="58"/>
  <c r="I1550" i="58"/>
  <c r="J1550" i="58" s="1"/>
  <c r="N1550" i="58" s="1"/>
  <c r="I1690" i="58"/>
  <c r="N1985" i="72" s="1"/>
  <c r="P1985" i="72" s="1"/>
  <c r="S1985" i="72" s="1"/>
  <c r="T1985" i="72" s="1"/>
  <c r="N1478" i="58"/>
  <c r="N1458" i="58"/>
  <c r="N1566" i="58"/>
  <c r="I1670" i="58"/>
  <c r="J1670" i="58" s="1"/>
  <c r="K1671" i="58" s="1"/>
  <c r="N1151" i="72"/>
  <c r="P1151" i="72" s="1"/>
  <c r="S1151" i="72" s="1"/>
  <c r="T1151" i="72" s="1"/>
  <c r="J910" i="58"/>
  <c r="N910" i="58" s="1"/>
  <c r="N1057" i="72"/>
  <c r="P1057" i="72" s="1"/>
  <c r="S1057" i="72" s="1"/>
  <c r="T1057" i="72" s="1"/>
  <c r="N1647" i="58"/>
  <c r="N1139" i="72"/>
  <c r="P1139" i="72" s="1"/>
  <c r="S1139" i="72" s="1"/>
  <c r="T1139" i="72" s="1"/>
  <c r="J868" i="58"/>
  <c r="N868" i="58" s="1"/>
  <c r="N1033" i="72"/>
  <c r="P1033" i="72" s="1"/>
  <c r="S1033" i="72" s="1"/>
  <c r="T1033" i="72" s="1"/>
  <c r="N443" i="72"/>
  <c r="P443" i="72" s="1"/>
  <c r="S443" i="72" s="1"/>
  <c r="T443" i="72" s="1"/>
  <c r="N898" i="72"/>
  <c r="P898" i="72" s="1"/>
  <c r="S898" i="72" s="1"/>
  <c r="T898" i="72" s="1"/>
  <c r="J553" i="58"/>
  <c r="N553" i="58" s="1"/>
  <c r="N1114" i="72"/>
  <c r="P1114" i="72" s="1"/>
  <c r="S1114" i="72" s="1"/>
  <c r="T1114" i="72" s="1"/>
  <c r="J931" i="58"/>
  <c r="N931" i="58" s="1"/>
  <c r="J580" i="58"/>
  <c r="N580" i="58" s="1"/>
  <c r="N915" i="72"/>
  <c r="P915" i="72" s="1"/>
  <c r="S915" i="72" s="1"/>
  <c r="T915" i="72" s="1"/>
  <c r="N458" i="72"/>
  <c r="P458" i="72" s="1"/>
  <c r="S458" i="72" s="1"/>
  <c r="T458" i="72" s="1"/>
  <c r="N1045" i="72"/>
  <c r="P1045" i="72" s="1"/>
  <c r="S1045" i="72" s="1"/>
  <c r="T1045" i="72" s="1"/>
  <c r="J889" i="58"/>
  <c r="N889" i="58" s="1"/>
  <c r="I232" i="58"/>
  <c r="N104" i="72" s="1"/>
  <c r="P104" i="72" s="1"/>
  <c r="S104" i="72" s="1"/>
  <c r="T104" i="72" s="1"/>
  <c r="I191" i="58"/>
  <c r="N114" i="72" s="1"/>
  <c r="P114" i="72" s="1"/>
  <c r="J1567" i="58"/>
  <c r="N1567" i="58" s="1"/>
  <c r="N2086" i="72"/>
  <c r="P2086" i="72" s="1"/>
  <c r="N1926" i="72"/>
  <c r="P1926" i="72" s="1"/>
  <c r="J1587" i="58"/>
  <c r="N1587" i="58" s="1"/>
  <c r="N1934" i="72"/>
  <c r="P1934" i="72" s="1"/>
  <c r="S1934" i="72" s="1"/>
  <c r="T1934" i="72" s="1"/>
  <c r="N2094" i="72"/>
  <c r="P2094" i="72" s="1"/>
  <c r="S2094" i="72" s="1"/>
  <c r="T2094" i="72" s="1"/>
  <c r="J1479" i="58"/>
  <c r="N1479" i="58" s="1"/>
  <c r="N1885" i="72"/>
  <c r="P1885" i="72" s="1"/>
  <c r="S1885" i="72" s="1"/>
  <c r="T1885" i="72" s="1"/>
  <c r="N2045" i="72"/>
  <c r="P2045" i="72" s="1"/>
  <c r="S2045" i="72" s="1"/>
  <c r="T2045" i="72" s="1"/>
  <c r="S2069" i="72"/>
  <c r="T2069" i="72" s="1"/>
  <c r="S2077" i="72"/>
  <c r="T2077" i="72" s="1"/>
  <c r="I1627" i="58"/>
  <c r="J1459" i="58"/>
  <c r="K1460" i="58" s="1"/>
  <c r="N1876" i="72"/>
  <c r="P1876" i="72" s="1"/>
  <c r="S1876" i="72" s="1"/>
  <c r="T1876" i="72" s="1"/>
  <c r="N2036" i="72"/>
  <c r="P2036" i="72" s="1"/>
  <c r="J1607" i="58"/>
  <c r="N1607" i="58" s="1"/>
  <c r="N1942" i="72"/>
  <c r="P1942" i="72" s="1"/>
  <c r="N2102" i="72"/>
  <c r="P2102" i="72" s="1"/>
  <c r="S2102" i="72" s="1"/>
  <c r="T2102" i="72" s="1"/>
  <c r="J1648" i="58"/>
  <c r="N1648" i="58" s="1"/>
  <c r="N1961" i="72"/>
  <c r="P1961" i="72" s="1"/>
  <c r="S1961" i="72" s="1"/>
  <c r="T1961" i="72" s="1"/>
  <c r="S1884" i="72"/>
  <c r="T1884" i="72" s="1"/>
  <c r="S1675" i="72"/>
  <c r="T1675" i="72" s="1"/>
  <c r="S1909" i="72"/>
  <c r="T1909" i="72" s="1"/>
  <c r="S1950" i="72"/>
  <c r="T1950" i="72" s="1"/>
  <c r="S1933" i="72"/>
  <c r="T1933" i="72" s="1"/>
  <c r="S1833" i="72"/>
  <c r="T1833" i="72" s="1"/>
  <c r="S2085" i="72"/>
  <c r="T2085" i="72" s="1"/>
  <c r="J1358" i="58"/>
  <c r="K1359" i="58" s="1"/>
  <c r="N1825" i="72"/>
  <c r="P1825" i="72" s="1"/>
  <c r="S1825" i="72" s="1"/>
  <c r="T1825" i="72" s="1"/>
  <c r="N1586" i="58"/>
  <c r="S2035" i="72"/>
  <c r="T2035" i="72" s="1"/>
  <c r="S1377" i="72"/>
  <c r="T1377" i="72" s="1"/>
  <c r="S1960" i="72"/>
  <c r="T1960" i="72" s="1"/>
  <c r="S2130" i="72"/>
  <c r="T2130" i="72" s="1"/>
  <c r="S2101" i="72"/>
  <c r="T2101" i="72" s="1"/>
  <c r="S1824" i="72"/>
  <c r="T1824" i="72" s="1"/>
  <c r="S1210" i="72"/>
  <c r="T1210" i="72" s="1"/>
  <c r="S1893" i="72"/>
  <c r="T1893" i="72" s="1"/>
  <c r="N1994" i="72"/>
  <c r="P1994" i="72" s="1"/>
  <c r="S1994" i="72" s="1"/>
  <c r="T1994" i="72" s="1"/>
  <c r="N1834" i="72"/>
  <c r="P1834" i="72" s="1"/>
  <c r="S1834" i="72" s="1"/>
  <c r="T1834" i="72" s="1"/>
  <c r="S1271" i="72"/>
  <c r="T1271" i="72" s="1"/>
  <c r="S1436" i="72"/>
  <c r="T1436" i="72" s="1"/>
  <c r="S1901" i="72"/>
  <c r="T1901" i="72" s="1"/>
  <c r="S1971" i="72"/>
  <c r="T1971" i="72" s="1"/>
  <c r="S2044" i="72"/>
  <c r="T2044" i="72" s="1"/>
  <c r="S1875" i="72"/>
  <c r="T1875" i="72" s="1"/>
  <c r="S1539" i="72"/>
  <c r="T1539" i="72" s="1"/>
  <c r="S2110" i="72"/>
  <c r="T2110" i="72" s="1"/>
  <c r="S1941" i="72"/>
  <c r="T1941" i="72" s="1"/>
  <c r="S2053" i="72"/>
  <c r="T2053" i="72" s="1"/>
  <c r="S1367" i="72"/>
  <c r="T1367" i="72" s="1"/>
  <c r="S1925" i="72"/>
  <c r="T1925" i="72" s="1"/>
  <c r="S1343" i="72"/>
  <c r="S1402" i="72"/>
  <c r="K1339" i="58"/>
  <c r="K29" i="70"/>
  <c r="K30" i="70" s="1"/>
  <c r="K1551" i="58" l="1"/>
  <c r="N2078" i="72"/>
  <c r="P2078" i="72" s="1"/>
  <c r="N2131" i="72"/>
  <c r="P2131" i="72" s="1"/>
  <c r="S2131" i="72" s="1"/>
  <c r="T2131" i="72" s="1"/>
  <c r="J1690" i="58"/>
  <c r="N1690" i="58" s="1"/>
  <c r="N1972" i="72"/>
  <c r="P1972" i="72" s="1"/>
  <c r="S1972" i="72" s="1"/>
  <c r="T1972" i="72" s="1"/>
  <c r="N1918" i="72"/>
  <c r="P1918" i="72" s="1"/>
  <c r="S1918" i="72" s="1"/>
  <c r="T1918" i="72" s="1"/>
  <c r="N1358" i="58"/>
  <c r="K1568" i="58"/>
  <c r="N2122" i="72"/>
  <c r="P2122" i="72" s="1"/>
  <c r="S2122" i="72" s="1"/>
  <c r="T2122" i="72" s="1"/>
  <c r="K1608" i="58"/>
  <c r="K1588" i="58"/>
  <c r="S114" i="72"/>
  <c r="T114" i="72" s="1"/>
  <c r="N1670" i="58"/>
  <c r="S2078" i="72"/>
  <c r="T2078" i="72" s="1"/>
  <c r="N1459" i="58"/>
  <c r="S1942" i="72"/>
  <c r="T1942" i="72" s="1"/>
  <c r="J1627" i="58"/>
  <c r="N1951" i="72"/>
  <c r="P1951" i="72" s="1"/>
  <c r="S1951" i="72" s="1"/>
  <c r="T1951" i="72" s="1"/>
  <c r="N2111" i="72"/>
  <c r="P2111" i="72" s="1"/>
  <c r="S2111" i="72" s="1"/>
  <c r="T2111" i="72" s="1"/>
  <c r="S2086" i="72"/>
  <c r="T2086" i="72" s="1"/>
  <c r="S1926" i="72"/>
  <c r="T1926" i="72" s="1"/>
  <c r="K1480" i="58"/>
  <c r="S2036" i="72"/>
  <c r="T2036" i="72" s="1"/>
  <c r="T1402" i="72"/>
  <c r="T1343" i="72"/>
  <c r="K9" i="70"/>
  <c r="G107" i="59"/>
  <c r="G320" i="69"/>
  <c r="X320" i="69" s="1"/>
  <c r="G314" i="69"/>
  <c r="G313" i="69"/>
  <c r="G312" i="69"/>
  <c r="G311" i="69"/>
  <c r="G310" i="69"/>
  <c r="X310" i="69" s="1"/>
  <c r="G309" i="69"/>
  <c r="X309" i="69" s="1"/>
  <c r="G308" i="69"/>
  <c r="X308" i="69" s="1"/>
  <c r="G307" i="69"/>
  <c r="X307" i="69" s="1"/>
  <c r="G306" i="69"/>
  <c r="X306" i="69" s="1"/>
  <c r="G305" i="69"/>
  <c r="X305" i="69" s="1"/>
  <c r="G304" i="69"/>
  <c r="X304" i="69" s="1"/>
  <c r="G303" i="69"/>
  <c r="X303" i="69" s="1"/>
  <c r="G302" i="69"/>
  <c r="X302" i="69" s="1"/>
  <c r="G301" i="69"/>
  <c r="X301" i="69" s="1"/>
  <c r="G300" i="69"/>
  <c r="X300" i="69" s="1"/>
  <c r="G299" i="69"/>
  <c r="X299" i="69" s="1"/>
  <c r="G298" i="69"/>
  <c r="X298" i="69" s="1"/>
  <c r="G297" i="69"/>
  <c r="X297" i="69" s="1"/>
  <c r="G296" i="69"/>
  <c r="X296" i="69" s="1"/>
  <c r="B296" i="69"/>
  <c r="B297" i="69" s="1"/>
  <c r="B298" i="69" s="1"/>
  <c r="B299" i="69" s="1"/>
  <c r="B300" i="69" s="1"/>
  <c r="B301" i="69" s="1"/>
  <c r="B302" i="69" s="1"/>
  <c r="B303" i="69" s="1"/>
  <c r="B304" i="69" s="1"/>
  <c r="B305" i="69" s="1"/>
  <c r="B306" i="69" s="1"/>
  <c r="B307" i="69" s="1"/>
  <c r="B308" i="69" s="1"/>
  <c r="B309" i="69" s="1"/>
  <c r="B310" i="69" s="1"/>
  <c r="B311" i="69" s="1"/>
  <c r="B312" i="69" s="1"/>
  <c r="B313" i="69" s="1"/>
  <c r="B314" i="69" s="1"/>
  <c r="G295" i="69"/>
  <c r="X295" i="69" s="1"/>
  <c r="G292" i="69"/>
  <c r="X292" i="69" s="1"/>
  <c r="G291" i="69"/>
  <c r="G290" i="69"/>
  <c r="G289" i="69"/>
  <c r="X289" i="69" s="1"/>
  <c r="G288" i="69"/>
  <c r="X288" i="69" s="1"/>
  <c r="G287" i="69"/>
  <c r="X287" i="69" s="1"/>
  <c r="G286" i="69"/>
  <c r="X286" i="69" s="1"/>
  <c r="G285" i="69"/>
  <c r="X285" i="69" s="1"/>
  <c r="G284" i="69"/>
  <c r="X284" i="69" s="1"/>
  <c r="G283" i="69"/>
  <c r="X283" i="69" s="1"/>
  <c r="G282" i="69"/>
  <c r="X282" i="69" s="1"/>
  <c r="G281" i="69"/>
  <c r="X281" i="69" s="1"/>
  <c r="G280" i="69"/>
  <c r="X280" i="69" s="1"/>
  <c r="G279" i="69"/>
  <c r="X279" i="69" s="1"/>
  <c r="G278" i="69"/>
  <c r="X278" i="69" s="1"/>
  <c r="G277" i="69"/>
  <c r="X277" i="69" s="1"/>
  <c r="G276" i="69"/>
  <c r="X276" i="69" s="1"/>
  <c r="G275" i="69"/>
  <c r="X275" i="69" s="1"/>
  <c r="G274" i="69"/>
  <c r="X274" i="69" s="1"/>
  <c r="B274" i="69"/>
  <c r="B275" i="69" s="1"/>
  <c r="B276" i="69" s="1"/>
  <c r="B277" i="69" s="1"/>
  <c r="B278" i="69" s="1"/>
  <c r="B279" i="69" s="1"/>
  <c r="B280" i="69" s="1"/>
  <c r="B281" i="69" s="1"/>
  <c r="B282" i="69" s="1"/>
  <c r="B283" i="69" s="1"/>
  <c r="B284" i="69" s="1"/>
  <c r="B285" i="69" s="1"/>
  <c r="B286" i="69" s="1"/>
  <c r="B287" i="69" s="1"/>
  <c r="B288" i="69" s="1"/>
  <c r="B289" i="69" s="1"/>
  <c r="B290" i="69" s="1"/>
  <c r="B291" i="69" s="1"/>
  <c r="B292" i="69" s="1"/>
  <c r="G273" i="69"/>
  <c r="X273" i="69" s="1"/>
  <c r="X268" i="69"/>
  <c r="G263" i="69"/>
  <c r="X263" i="69" s="1"/>
  <c r="G262" i="69"/>
  <c r="X262" i="69" s="1"/>
  <c r="G261" i="69"/>
  <c r="X261" i="69" s="1"/>
  <c r="G260" i="69"/>
  <c r="X260" i="69" s="1"/>
  <c r="B260" i="69"/>
  <c r="B261" i="69" s="1"/>
  <c r="B262" i="69" s="1"/>
  <c r="B263" i="69" s="1"/>
  <c r="B264" i="69" s="1"/>
  <c r="G259" i="69"/>
  <c r="X259" i="69" s="1"/>
  <c r="G257" i="69"/>
  <c r="X257" i="69" s="1"/>
  <c r="G255" i="69"/>
  <c r="X255" i="69" s="1"/>
  <c r="G253" i="69"/>
  <c r="X253" i="69" s="1"/>
  <c r="G252" i="69"/>
  <c r="X252" i="69" s="1"/>
  <c r="B252" i="69"/>
  <c r="B253" i="69" s="1"/>
  <c r="G251" i="69"/>
  <c r="X251" i="69" s="1"/>
  <c r="G249" i="69"/>
  <c r="X249" i="69" s="1"/>
  <c r="G248" i="69"/>
  <c r="X248" i="69" s="1"/>
  <c r="G247" i="69"/>
  <c r="X247" i="69" s="1"/>
  <c r="B247" i="69"/>
  <c r="B248" i="69" s="1"/>
  <c r="B249" i="69" s="1"/>
  <c r="G246" i="69"/>
  <c r="X246" i="69" s="1"/>
  <c r="G239" i="69"/>
  <c r="G238" i="69"/>
  <c r="X238" i="69" s="1"/>
  <c r="G237" i="69"/>
  <c r="X237" i="69" s="1"/>
  <c r="G236" i="69"/>
  <c r="X236" i="69" s="1"/>
  <c r="Z235" i="69"/>
  <c r="G235" i="69"/>
  <c r="X235" i="69" s="1"/>
  <c r="B235" i="69"/>
  <c r="B236" i="69" s="1"/>
  <c r="B237" i="69" s="1"/>
  <c r="B238" i="69" s="1"/>
  <c r="B239" i="69" s="1"/>
  <c r="B240" i="69" s="1"/>
  <c r="G234" i="69"/>
  <c r="X234" i="69" s="1"/>
  <c r="G232" i="69"/>
  <c r="X232" i="69" s="1"/>
  <c r="G230" i="69"/>
  <c r="X230" i="69" s="1"/>
  <c r="G229" i="69"/>
  <c r="X229" i="69" s="1"/>
  <c r="B229" i="69"/>
  <c r="B230" i="69" s="1"/>
  <c r="G228" i="69"/>
  <c r="X228" i="69" s="1"/>
  <c r="G226" i="69"/>
  <c r="X226" i="69" s="1"/>
  <c r="G225" i="69"/>
  <c r="X225" i="69" s="1"/>
  <c r="G224" i="69"/>
  <c r="X224" i="69" s="1"/>
  <c r="B224" i="69"/>
  <c r="B225" i="69" s="1"/>
  <c r="B226" i="69" s="1"/>
  <c r="G223" i="69"/>
  <c r="X223" i="69" s="1"/>
  <c r="G218" i="69"/>
  <c r="X218" i="69" s="1"/>
  <c r="AA216" i="69"/>
  <c r="AA215" i="69"/>
  <c r="G215" i="69"/>
  <c r="X215" i="69" s="1"/>
  <c r="G214" i="69"/>
  <c r="X214" i="69" s="1"/>
  <c r="G213" i="69"/>
  <c r="X213" i="69" s="1"/>
  <c r="B213" i="69"/>
  <c r="B214" i="69" s="1"/>
  <c r="B215" i="69" s="1"/>
  <c r="G212" i="69"/>
  <c r="X212" i="69" s="1"/>
  <c r="G210" i="69"/>
  <c r="X210" i="69" s="1"/>
  <c r="G209" i="69"/>
  <c r="X209" i="69" s="1"/>
  <c r="B209" i="69"/>
  <c r="B210" i="69" s="1"/>
  <c r="G208" i="69"/>
  <c r="X208" i="69" s="1"/>
  <c r="B200" i="69"/>
  <c r="B201" i="69" s="1"/>
  <c r="B202" i="69" s="1"/>
  <c r="B203" i="69" s="1"/>
  <c r="B204" i="69" s="1"/>
  <c r="B192" i="69"/>
  <c r="B193" i="69" s="1"/>
  <c r="B194" i="69" s="1"/>
  <c r="B195" i="69" s="1"/>
  <c r="B196" i="69" s="1"/>
  <c r="B197" i="69" s="1"/>
  <c r="G186" i="69"/>
  <c r="X186" i="69" s="1"/>
  <c r="B184" i="69"/>
  <c r="B185" i="69" s="1"/>
  <c r="B186" i="69" s="1"/>
  <c r="B182" i="69"/>
  <c r="Z181" i="69"/>
  <c r="G179" i="69"/>
  <c r="X179" i="69" s="1"/>
  <c r="G178" i="69"/>
  <c r="X178" i="69" s="1"/>
  <c r="G177" i="69"/>
  <c r="X177" i="69" s="1"/>
  <c r="G176" i="69"/>
  <c r="X176" i="69" s="1"/>
  <c r="B176" i="69"/>
  <c r="B177" i="69" s="1"/>
  <c r="B178" i="69" s="1"/>
  <c r="B179" i="69" s="1"/>
  <c r="G175" i="69"/>
  <c r="X175" i="69" s="1"/>
  <c r="G173" i="69"/>
  <c r="X173" i="69" s="1"/>
  <c r="G172" i="69"/>
  <c r="X172" i="69" s="1"/>
  <c r="G171" i="69"/>
  <c r="X171" i="69" s="1"/>
  <c r="G170" i="69"/>
  <c r="X170" i="69" s="1"/>
  <c r="B170" i="69"/>
  <c r="B171" i="69" s="1"/>
  <c r="B172" i="69" s="1"/>
  <c r="B173" i="69" s="1"/>
  <c r="G169" i="69"/>
  <c r="X169" i="69" s="1"/>
  <c r="G165" i="69"/>
  <c r="X165" i="69" s="1"/>
  <c r="G164" i="69"/>
  <c r="X164" i="69" s="1"/>
  <c r="G163" i="69"/>
  <c r="X163" i="69" s="1"/>
  <c r="G162" i="69"/>
  <c r="X162" i="69" s="1"/>
  <c r="B162" i="69"/>
  <c r="B163" i="69" s="1"/>
  <c r="B164" i="69" s="1"/>
  <c r="B165" i="69" s="1"/>
  <c r="G161" i="69"/>
  <c r="X161" i="69" s="1"/>
  <c r="D161" i="69"/>
  <c r="G159" i="69"/>
  <c r="X159" i="69" s="1"/>
  <c r="G158" i="69"/>
  <c r="X158" i="69" s="1"/>
  <c r="G157" i="69"/>
  <c r="X157" i="69" s="1"/>
  <c r="G156" i="69"/>
  <c r="X156" i="69" s="1"/>
  <c r="G154" i="69"/>
  <c r="X154" i="69" s="1"/>
  <c r="G153" i="69"/>
  <c r="X153" i="69" s="1"/>
  <c r="G152" i="69"/>
  <c r="X152" i="69" s="1"/>
  <c r="B152" i="69"/>
  <c r="B153" i="69" s="1"/>
  <c r="B154" i="69" s="1"/>
  <c r="B155" i="69" s="1"/>
  <c r="B156" i="69" s="1"/>
  <c r="B157" i="69" s="1"/>
  <c r="B158" i="69" s="1"/>
  <c r="B159" i="69" s="1"/>
  <c r="G151" i="69"/>
  <c r="X151" i="69" s="1"/>
  <c r="G147" i="69"/>
  <c r="X147" i="69" s="1"/>
  <c r="G146" i="69"/>
  <c r="X146" i="69" s="1"/>
  <c r="G145" i="69"/>
  <c r="X145" i="69" s="1"/>
  <c r="G144" i="69"/>
  <c r="X144" i="69" s="1"/>
  <c r="B144" i="69"/>
  <c r="B145" i="69" s="1"/>
  <c r="B146" i="69" s="1"/>
  <c r="B147" i="69" s="1"/>
  <c r="G143" i="69"/>
  <c r="X143" i="69" s="1"/>
  <c r="G137" i="69"/>
  <c r="X137" i="69" s="1"/>
  <c r="B137" i="69"/>
  <c r="B138" i="69" s="1"/>
  <c r="B139" i="69" s="1"/>
  <c r="B140" i="69" s="1"/>
  <c r="G136" i="69"/>
  <c r="X136" i="69" s="1"/>
  <c r="G131" i="69"/>
  <c r="X131" i="69" s="1"/>
  <c r="B131" i="69"/>
  <c r="G130" i="69"/>
  <c r="X130" i="69" s="1"/>
  <c r="B126" i="69"/>
  <c r="B127" i="69" s="1"/>
  <c r="B120" i="69"/>
  <c r="B121" i="69" s="1"/>
  <c r="B116" i="69"/>
  <c r="B117" i="69" s="1"/>
  <c r="B112" i="69"/>
  <c r="B113" i="69" s="1"/>
  <c r="B108" i="69"/>
  <c r="B109" i="69" s="1"/>
  <c r="B102" i="69"/>
  <c r="B103" i="69" s="1"/>
  <c r="B98" i="69"/>
  <c r="B99" i="69" s="1"/>
  <c r="B94" i="69"/>
  <c r="B95" i="69" s="1"/>
  <c r="B90" i="69"/>
  <c r="B91" i="69" s="1"/>
  <c r="B86" i="69"/>
  <c r="B87" i="69" s="1"/>
  <c r="G76" i="69"/>
  <c r="X76" i="69" s="1"/>
  <c r="B76" i="69"/>
  <c r="B78" i="69" s="1"/>
  <c r="B79" i="69" s="1"/>
  <c r="B80" i="69" s="1"/>
  <c r="G75" i="69"/>
  <c r="X75" i="69" s="1"/>
  <c r="G39" i="69"/>
  <c r="X39" i="69" s="1"/>
  <c r="G33" i="69"/>
  <c r="X33" i="69" s="1"/>
  <c r="B33" i="69"/>
  <c r="B34" i="69" s="1"/>
  <c r="G32" i="69"/>
  <c r="X32" i="69" s="1"/>
  <c r="G29" i="69"/>
  <c r="X29" i="69" s="1"/>
  <c r="G27" i="69"/>
  <c r="X27" i="69" s="1"/>
  <c r="G26" i="69"/>
  <c r="X26" i="69" s="1"/>
  <c r="B26" i="69"/>
  <c r="B27" i="69" s="1"/>
  <c r="B28" i="69" s="1"/>
  <c r="B29" i="69" s="1"/>
  <c r="G25" i="69"/>
  <c r="X25" i="69" s="1"/>
  <c r="G22" i="69"/>
  <c r="X22" i="69" s="1"/>
  <c r="G21" i="69"/>
  <c r="X21" i="69" s="1"/>
  <c r="G20" i="69"/>
  <c r="X20" i="69" s="1"/>
  <c r="G19" i="69"/>
  <c r="X19" i="69" s="1"/>
  <c r="G18" i="69"/>
  <c r="X18" i="69" s="1"/>
  <c r="B18" i="69"/>
  <c r="B19" i="69" s="1"/>
  <c r="B20" i="69" s="1"/>
  <c r="B21" i="69" s="1"/>
  <c r="B22" i="69" s="1"/>
  <c r="K1691" i="58" l="1"/>
  <c r="K1628" i="58"/>
  <c r="N1627" i="58"/>
  <c r="K107" i="59"/>
  <c r="X314" i="69"/>
  <c r="X313" i="69"/>
  <c r="X239" i="69"/>
  <c r="X291" i="69"/>
  <c r="X311" i="69"/>
  <c r="X290" i="69"/>
  <c r="X312" i="69"/>
  <c r="AB215" i="69"/>
  <c r="AC215" i="69" s="1"/>
  <c r="AB216" i="69"/>
  <c r="AC216" i="69" s="1"/>
  <c r="G96" i="63"/>
  <c r="S280" i="65"/>
  <c r="R280" i="65"/>
  <c r="R279" i="65"/>
  <c r="R278" i="65"/>
  <c r="J279" i="65"/>
  <c r="H279" i="65"/>
  <c r="J278" i="65"/>
  <c r="H278" i="65"/>
  <c r="G279" i="65"/>
  <c r="G278" i="65"/>
  <c r="G165" i="63"/>
  <c r="S498" i="65"/>
  <c r="R498" i="65"/>
  <c r="H498" i="65"/>
  <c r="G188" i="63"/>
  <c r="G187" i="63"/>
  <c r="G186" i="63"/>
  <c r="G185" i="63"/>
  <c r="G183" i="63"/>
  <c r="G179" i="63"/>
  <c r="G178" i="63"/>
  <c r="G177" i="63"/>
  <c r="G176" i="63"/>
  <c r="G175" i="63"/>
  <c r="G174" i="63"/>
  <c r="G173" i="63"/>
  <c r="G172" i="63"/>
  <c r="G171" i="63"/>
  <c r="G167" i="63"/>
  <c r="G166" i="63"/>
  <c r="G164" i="63"/>
  <c r="G159" i="63"/>
  <c r="G158" i="63"/>
  <c r="G157" i="63"/>
  <c r="G156" i="63"/>
  <c r="G155" i="63"/>
  <c r="G154" i="63"/>
  <c r="G153" i="63"/>
  <c r="G152" i="63"/>
  <c r="G150" i="63"/>
  <c r="G149" i="63"/>
  <c r="G148" i="63"/>
  <c r="G147" i="63"/>
  <c r="G146" i="63"/>
  <c r="G145" i="63"/>
  <c r="G144" i="63"/>
  <c r="G138" i="63"/>
  <c r="G137" i="63"/>
  <c r="G136" i="63"/>
  <c r="G134" i="63"/>
  <c r="G130" i="63"/>
  <c r="G129" i="63"/>
  <c r="G128" i="63"/>
  <c r="G127" i="63"/>
  <c r="G126" i="63"/>
  <c r="G125" i="63"/>
  <c r="G124" i="63"/>
  <c r="G123" i="63"/>
  <c r="G122" i="63"/>
  <c r="G121" i="63"/>
  <c r="G120" i="63"/>
  <c r="G115" i="63"/>
  <c r="G114" i="63"/>
  <c r="G113" i="63"/>
  <c r="G112" i="63"/>
  <c r="G107" i="63"/>
  <c r="G106" i="63"/>
  <c r="G105" i="63"/>
  <c r="G104" i="63"/>
  <c r="G100" i="63"/>
  <c r="G99" i="63"/>
  <c r="G98" i="63"/>
  <c r="G94" i="63"/>
  <c r="G92" i="63"/>
  <c r="G90" i="63"/>
  <c r="G88" i="63"/>
  <c r="G86" i="63"/>
  <c r="G80" i="63"/>
  <c r="G78" i="63"/>
  <c r="G76" i="63"/>
  <c r="G75" i="63"/>
  <c r="G74" i="63"/>
  <c r="G72" i="63"/>
  <c r="G70" i="63"/>
  <c r="G68" i="63"/>
  <c r="G67" i="63"/>
  <c r="G53" i="63"/>
  <c r="G41" i="63"/>
  <c r="G40" i="63"/>
  <c r="G37" i="63"/>
  <c r="R553" i="65"/>
  <c r="S553" i="65" s="1"/>
  <c r="H553" i="65"/>
  <c r="H552" i="65"/>
  <c r="R552" i="65" s="1"/>
  <c r="S552" i="65" s="1"/>
  <c r="R551" i="65"/>
  <c r="S551" i="65" s="1"/>
  <c r="S550" i="65"/>
  <c r="R550" i="65"/>
  <c r="C553" i="65"/>
  <c r="B553" i="65"/>
  <c r="C552" i="65"/>
  <c r="B552" i="65"/>
  <c r="C551" i="65"/>
  <c r="B551" i="65"/>
  <c r="C550" i="65"/>
  <c r="B550" i="65"/>
  <c r="B188" i="63"/>
  <c r="R544" i="65" l="1"/>
  <c r="R545" i="65"/>
  <c r="R546" i="65" s="1"/>
  <c r="S546" i="65" s="1"/>
  <c r="R543" i="65"/>
  <c r="J545" i="65"/>
  <c r="H545" i="65"/>
  <c r="J544" i="65"/>
  <c r="H544" i="65"/>
  <c r="R538" i="65"/>
  <c r="S538" i="65" s="1"/>
  <c r="R537" i="65"/>
  <c r="S537" i="65" s="1"/>
  <c r="R536" i="65"/>
  <c r="S536" i="65" s="1"/>
  <c r="R535" i="65"/>
  <c r="S535" i="65" s="1"/>
  <c r="R534" i="65"/>
  <c r="S534" i="65" s="1"/>
  <c r="R533" i="65"/>
  <c r="S533" i="65" s="1"/>
  <c r="R532" i="65"/>
  <c r="S532" i="65" s="1"/>
  <c r="R531" i="65"/>
  <c r="S531" i="65" s="1"/>
  <c r="S530" i="65"/>
  <c r="R530" i="65"/>
  <c r="H536" i="65"/>
  <c r="H535" i="65"/>
  <c r="H534" i="65"/>
  <c r="H533" i="65"/>
  <c r="H505" i="65"/>
  <c r="H504" i="65"/>
  <c r="G505" i="65"/>
  <c r="G504" i="65"/>
  <c r="H493" i="65"/>
  <c r="H509" i="65" s="1"/>
  <c r="H500" i="65"/>
  <c r="R500" i="65" s="1"/>
  <c r="H512" i="65" s="1"/>
  <c r="H523" i="65"/>
  <c r="J517" i="65"/>
  <c r="H517" i="65"/>
  <c r="G517" i="65"/>
  <c r="H485" i="65"/>
  <c r="R485" i="65" s="1"/>
  <c r="H496" i="65" s="1"/>
  <c r="H515" i="65"/>
  <c r="R515" i="65" s="1"/>
  <c r="H526" i="65" s="1"/>
  <c r="R487" i="65"/>
  <c r="J494" i="65"/>
  <c r="J524" i="65" s="1"/>
  <c r="H494" i="65"/>
  <c r="H510" i="65" s="1"/>
  <c r="J493" i="65"/>
  <c r="J523" i="65" s="1"/>
  <c r="J492" i="65"/>
  <c r="J522" i="65" s="1"/>
  <c r="H492" i="65"/>
  <c r="H508" i="65" s="1"/>
  <c r="J491" i="65"/>
  <c r="J521" i="65" s="1"/>
  <c r="H491" i="65"/>
  <c r="H521" i="65" s="1"/>
  <c r="J490" i="65"/>
  <c r="J520" i="65" s="1"/>
  <c r="H490" i="65"/>
  <c r="H506" i="65" s="1"/>
  <c r="J489" i="65"/>
  <c r="J519" i="65" s="1"/>
  <c r="H489" i="65"/>
  <c r="H503" i="65" s="1"/>
  <c r="J488" i="65"/>
  <c r="J518" i="65" s="1"/>
  <c r="H488" i="65"/>
  <c r="H502" i="65" s="1"/>
  <c r="R478" i="65"/>
  <c r="S478" i="65" s="1"/>
  <c r="R476" i="65"/>
  <c r="S476" i="65" s="1"/>
  <c r="R475" i="65"/>
  <c r="S475" i="65" s="1"/>
  <c r="R477" i="65"/>
  <c r="S477" i="65" s="1"/>
  <c r="N471" i="65"/>
  <c r="N472" i="65" s="1"/>
  <c r="L471" i="65"/>
  <c r="R469" i="65"/>
  <c r="S469" i="65" s="1"/>
  <c r="L466" i="65"/>
  <c r="H466" i="65"/>
  <c r="R461" i="65"/>
  <c r="H460" i="65"/>
  <c r="R458" i="65"/>
  <c r="S458" i="65" s="1"/>
  <c r="J449" i="65"/>
  <c r="R449" i="65" s="1"/>
  <c r="H454" i="65"/>
  <c r="R454" i="65" s="1"/>
  <c r="J453" i="65"/>
  <c r="J460" i="65" s="1"/>
  <c r="H453" i="65"/>
  <c r="R445" i="65"/>
  <c r="S445" i="65" s="1"/>
  <c r="H448" i="65" s="1"/>
  <c r="R448" i="65" s="1"/>
  <c r="R450" i="65" s="1"/>
  <c r="S450" i="65" s="1"/>
  <c r="S451" i="65" s="1"/>
  <c r="R471" i="65" l="1"/>
  <c r="H522" i="65"/>
  <c r="R522" i="65" s="1"/>
  <c r="J502" i="65"/>
  <c r="R502" i="65" s="1"/>
  <c r="R508" i="65"/>
  <c r="J506" i="65"/>
  <c r="R506" i="65" s="1"/>
  <c r="H518" i="65"/>
  <c r="R518" i="65" s="1"/>
  <c r="J508" i="65"/>
  <c r="H519" i="65"/>
  <c r="R519" i="65" s="1"/>
  <c r="R517" i="65"/>
  <c r="H520" i="65"/>
  <c r="R520" i="65" s="1"/>
  <c r="H524" i="65"/>
  <c r="R524" i="65" s="1"/>
  <c r="H507" i="65"/>
  <c r="R494" i="65"/>
  <c r="J503" i="65"/>
  <c r="R503" i="65" s="1"/>
  <c r="J507" i="65"/>
  <c r="J509" i="65"/>
  <c r="R509" i="65" s="1"/>
  <c r="J510" i="65"/>
  <c r="R510" i="65" s="1"/>
  <c r="R521" i="65"/>
  <c r="R523" i="65"/>
  <c r="R491" i="65"/>
  <c r="R493" i="65"/>
  <c r="R466" i="65"/>
  <c r="S466" i="65" s="1"/>
  <c r="H468" i="65" s="1"/>
  <c r="R468" i="65" s="1"/>
  <c r="S468" i="65" s="1"/>
  <c r="R488" i="65"/>
  <c r="R490" i="65"/>
  <c r="R492" i="65"/>
  <c r="R489" i="65"/>
  <c r="R460" i="65"/>
  <c r="R462" i="65" s="1"/>
  <c r="S462" i="65" s="1"/>
  <c r="L472" i="65"/>
  <c r="R472" i="65" s="1"/>
  <c r="R453" i="65"/>
  <c r="R455" i="65" s="1"/>
  <c r="S455" i="65" s="1"/>
  <c r="R473" i="65" l="1"/>
  <c r="S473" i="65" s="1"/>
  <c r="R507" i="65"/>
  <c r="R525" i="65"/>
  <c r="J526" i="65" s="1"/>
  <c r="R526" i="65" s="1"/>
  <c r="S526" i="65" s="1"/>
  <c r="R495" i="65"/>
  <c r="J496" i="65" s="1"/>
  <c r="R496" i="65" s="1"/>
  <c r="S496" i="65" s="1"/>
  <c r="J483" i="65" s="1"/>
  <c r="R443" i="65" l="1"/>
  <c r="S443" i="65" s="1"/>
  <c r="J424" i="65"/>
  <c r="H424" i="65"/>
  <c r="L428" i="65"/>
  <c r="J428" i="65"/>
  <c r="J410" i="65"/>
  <c r="G410" i="65"/>
  <c r="G421" i="65" s="1"/>
  <c r="L109" i="65"/>
  <c r="G109" i="65"/>
  <c r="H420" i="65"/>
  <c r="H415" i="65"/>
  <c r="H414" i="65"/>
  <c r="H413" i="65"/>
  <c r="H412" i="65"/>
  <c r="J415" i="65"/>
  <c r="N435" i="65" s="1"/>
  <c r="R435" i="65" s="1"/>
  <c r="J414" i="65"/>
  <c r="N434" i="65" s="1"/>
  <c r="R434" i="65" s="1"/>
  <c r="J413" i="65"/>
  <c r="N433" i="65" s="1"/>
  <c r="R433" i="65" s="1"/>
  <c r="J412" i="65"/>
  <c r="N432" i="65" s="1"/>
  <c r="R432" i="65" s="1"/>
  <c r="J411" i="65"/>
  <c r="N431" i="65" s="1"/>
  <c r="R431" i="65" s="1"/>
  <c r="J409" i="65"/>
  <c r="J408" i="65"/>
  <c r="N424" i="65" s="1"/>
  <c r="J407" i="65"/>
  <c r="N420" i="65" s="1"/>
  <c r="H411" i="65"/>
  <c r="R411" i="65" s="1"/>
  <c r="H408" i="65"/>
  <c r="H407" i="65"/>
  <c r="G415" i="65"/>
  <c r="G414" i="65"/>
  <c r="G413" i="65"/>
  <c r="G412" i="65"/>
  <c r="G411" i="65"/>
  <c r="G409" i="65"/>
  <c r="G408" i="65"/>
  <c r="G407" i="65"/>
  <c r="R405" i="65"/>
  <c r="S405" i="65" s="1"/>
  <c r="B405" i="65"/>
  <c r="B135" i="63"/>
  <c r="H401" i="65"/>
  <c r="R401" i="65" s="1"/>
  <c r="S401" i="65" s="1"/>
  <c r="H399" i="65"/>
  <c r="R399" i="65" s="1"/>
  <c r="S399" i="65" s="1"/>
  <c r="R400" i="65"/>
  <c r="S400" i="65" s="1"/>
  <c r="R397" i="65"/>
  <c r="S397" i="65" s="1"/>
  <c r="H392" i="65"/>
  <c r="H398" i="65" s="1"/>
  <c r="R398" i="65" s="1"/>
  <c r="S398" i="65" s="1"/>
  <c r="R396" i="65"/>
  <c r="S396" i="65" s="1"/>
  <c r="R395" i="65"/>
  <c r="S395" i="65" s="1"/>
  <c r="H394" i="65"/>
  <c r="R394" i="65" s="1"/>
  <c r="S394" i="65" s="1"/>
  <c r="R389" i="65"/>
  <c r="S389" i="65" s="1"/>
  <c r="R386" i="65"/>
  <c r="S386" i="65" s="1"/>
  <c r="G378" i="65"/>
  <c r="G377" i="65"/>
  <c r="E377" i="65"/>
  <c r="L372" i="65"/>
  <c r="L371" i="65"/>
  <c r="L370" i="65"/>
  <c r="H374" i="65"/>
  <c r="R374" i="65" s="1"/>
  <c r="G374" i="65"/>
  <c r="G372" i="65"/>
  <c r="G370" i="65"/>
  <c r="G369" i="65"/>
  <c r="G368" i="65"/>
  <c r="G367" i="65"/>
  <c r="R363" i="65"/>
  <c r="S363" i="65" s="1"/>
  <c r="J365" i="65" s="1"/>
  <c r="H359" i="65"/>
  <c r="R359" i="65" s="1"/>
  <c r="H358" i="65"/>
  <c r="H377" i="65" s="1"/>
  <c r="R377" i="65" s="1"/>
  <c r="H303" i="65"/>
  <c r="H356" i="65" s="1"/>
  <c r="J303" i="65"/>
  <c r="L353" i="65"/>
  <c r="L352" i="65"/>
  <c r="L351" i="65"/>
  <c r="J357" i="65"/>
  <c r="J355" i="65"/>
  <c r="H355" i="65"/>
  <c r="H354" i="65"/>
  <c r="H352" i="65"/>
  <c r="H349" i="65"/>
  <c r="G355" i="65"/>
  <c r="G353" i="65"/>
  <c r="G351" i="65"/>
  <c r="G350" i="65"/>
  <c r="G349" i="65"/>
  <c r="G348" i="65"/>
  <c r="H335" i="65"/>
  <c r="R335" i="65" s="1"/>
  <c r="R336" i="65" s="1"/>
  <c r="S336" i="65" s="1"/>
  <c r="L325" i="65"/>
  <c r="L324" i="65"/>
  <c r="L323" i="65"/>
  <c r="L322" i="65"/>
  <c r="G331" i="65"/>
  <c r="G330" i="65"/>
  <c r="G329" i="65"/>
  <c r="G327" i="65"/>
  <c r="G325" i="65"/>
  <c r="G324" i="65"/>
  <c r="G323" i="65"/>
  <c r="G322" i="65"/>
  <c r="J318" i="65"/>
  <c r="H318" i="65"/>
  <c r="J317" i="65"/>
  <c r="H317" i="65"/>
  <c r="J316" i="65"/>
  <c r="H316" i="65"/>
  <c r="H315" i="65"/>
  <c r="J315" i="65"/>
  <c r="H314" i="65"/>
  <c r="J314" i="65"/>
  <c r="H313" i="65"/>
  <c r="J313" i="65"/>
  <c r="L312" i="65"/>
  <c r="L326" i="65" s="1"/>
  <c r="H312" i="65"/>
  <c r="J311" i="65"/>
  <c r="J312" i="65"/>
  <c r="H311" i="65"/>
  <c r="J310" i="65"/>
  <c r="H310" i="65"/>
  <c r="J309" i="65"/>
  <c r="H309" i="65"/>
  <c r="H304" i="65"/>
  <c r="R304" i="65" s="1"/>
  <c r="R302" i="65"/>
  <c r="L301" i="65"/>
  <c r="L354" i="65" s="1"/>
  <c r="J301" i="65"/>
  <c r="J354" i="65" s="1"/>
  <c r="J300" i="65"/>
  <c r="J353" i="65" s="1"/>
  <c r="H300" i="65"/>
  <c r="H353" i="65" s="1"/>
  <c r="J299" i="65"/>
  <c r="R299" i="65" s="1"/>
  <c r="J298" i="65"/>
  <c r="J351" i="65" s="1"/>
  <c r="H298" i="65"/>
  <c r="H351" i="65" s="1"/>
  <c r="J308" i="65"/>
  <c r="H308" i="65"/>
  <c r="J297" i="65"/>
  <c r="J350" i="65" s="1"/>
  <c r="H297" i="65"/>
  <c r="H350" i="65" s="1"/>
  <c r="J296" i="65"/>
  <c r="R296" i="65" s="1"/>
  <c r="J290" i="65"/>
  <c r="H290" i="65"/>
  <c r="J287" i="65"/>
  <c r="H287" i="65"/>
  <c r="N286" i="65"/>
  <c r="N287" i="65" s="1"/>
  <c r="L290" i="65" s="1"/>
  <c r="Y287" i="65"/>
  <c r="Z287" i="65" s="1"/>
  <c r="AB287" i="65" s="1"/>
  <c r="Y286" i="65"/>
  <c r="Z286" i="65" s="1"/>
  <c r="H286" i="65"/>
  <c r="G434" i="65" l="1"/>
  <c r="G493" i="65"/>
  <c r="G431" i="65"/>
  <c r="G439" i="65" s="1"/>
  <c r="G490" i="65"/>
  <c r="G435" i="65"/>
  <c r="G494" i="65"/>
  <c r="G420" i="65"/>
  <c r="G488" i="65"/>
  <c r="G432" i="65"/>
  <c r="G491" i="65"/>
  <c r="G424" i="65"/>
  <c r="G489" i="65"/>
  <c r="G433" i="65"/>
  <c r="G492" i="65"/>
  <c r="R424" i="65"/>
  <c r="S424" i="65" s="1"/>
  <c r="R436" i="65"/>
  <c r="S436" i="65" s="1"/>
  <c r="G139" i="63" s="1"/>
  <c r="N439" i="65"/>
  <c r="R439" i="65" s="1"/>
  <c r="S439" i="65" s="1"/>
  <c r="G140" i="63" s="1"/>
  <c r="R407" i="65"/>
  <c r="R420" i="65"/>
  <c r="N421" i="65"/>
  <c r="R414" i="65"/>
  <c r="G428" i="65"/>
  <c r="R311" i="65"/>
  <c r="R408" i="65"/>
  <c r="R415" i="65"/>
  <c r="R412" i="65"/>
  <c r="R413" i="65"/>
  <c r="R351" i="65"/>
  <c r="R314" i="65"/>
  <c r="R316" i="65"/>
  <c r="R318" i="65"/>
  <c r="R392" i="65"/>
  <c r="S392" i="65" s="1"/>
  <c r="R353" i="65"/>
  <c r="R313" i="65"/>
  <c r="R315" i="65"/>
  <c r="R303" i="65"/>
  <c r="H375" i="65"/>
  <c r="R375" i="65" s="1"/>
  <c r="R355" i="65"/>
  <c r="H371" i="65"/>
  <c r="R371" i="65" s="1"/>
  <c r="R358" i="65"/>
  <c r="H368" i="65"/>
  <c r="R368" i="65" s="1"/>
  <c r="H372" i="65"/>
  <c r="R372" i="65" s="1"/>
  <c r="H376" i="65"/>
  <c r="R376" i="65" s="1"/>
  <c r="L373" i="65"/>
  <c r="H369" i="65"/>
  <c r="R369" i="65" s="1"/>
  <c r="H373" i="65"/>
  <c r="J352" i="65"/>
  <c r="H370" i="65"/>
  <c r="R370" i="65" s="1"/>
  <c r="H378" i="65"/>
  <c r="R378" i="65" s="1"/>
  <c r="R350" i="65"/>
  <c r="R354" i="65"/>
  <c r="J356" i="65"/>
  <c r="R356" i="65" s="1"/>
  <c r="H322" i="65"/>
  <c r="R322" i="65" s="1"/>
  <c r="J349" i="65"/>
  <c r="R349" i="65" s="1"/>
  <c r="R352" i="65"/>
  <c r="H357" i="65"/>
  <c r="R357" i="65" s="1"/>
  <c r="H326" i="65"/>
  <c r="R326" i="65" s="1"/>
  <c r="R309" i="65"/>
  <c r="H324" i="65"/>
  <c r="R324" i="65" s="1"/>
  <c r="H325" i="65"/>
  <c r="R325" i="65" s="1"/>
  <c r="H323" i="65"/>
  <c r="R323" i="65" s="1"/>
  <c r="R317" i="65"/>
  <c r="R312" i="65"/>
  <c r="R310" i="65"/>
  <c r="R308" i="65"/>
  <c r="R297" i="65"/>
  <c r="R301" i="65"/>
  <c r="R300" i="65"/>
  <c r="R298" i="65"/>
  <c r="R290" i="65"/>
  <c r="S290" i="65" s="1"/>
  <c r="L287" i="65"/>
  <c r="R287" i="65" s="1"/>
  <c r="AB286" i="65"/>
  <c r="L286" i="65"/>
  <c r="R286" i="65" s="1"/>
  <c r="R283" i="65"/>
  <c r="S283" i="65" s="1"/>
  <c r="C281" i="65"/>
  <c r="H275" i="65"/>
  <c r="H273" i="65"/>
  <c r="J274" i="65"/>
  <c r="Y274" i="65"/>
  <c r="Z274" i="65" s="1"/>
  <c r="AB274" i="65" s="1"/>
  <c r="Y272" i="65"/>
  <c r="Z272" i="65" s="1"/>
  <c r="L272" i="65" s="1"/>
  <c r="L273" i="65" s="1"/>
  <c r="J272" i="65"/>
  <c r="G274" i="65"/>
  <c r="G272" i="65"/>
  <c r="L268" i="65"/>
  <c r="H267" i="65"/>
  <c r="H272" i="65" s="1"/>
  <c r="J273" i="65" s="1"/>
  <c r="J263" i="65"/>
  <c r="J260" i="65"/>
  <c r="J259" i="65"/>
  <c r="H260" i="65"/>
  <c r="Y260" i="65"/>
  <c r="Z260" i="65" s="1"/>
  <c r="AB260" i="65" s="1"/>
  <c r="Y259" i="65"/>
  <c r="Z259" i="65" s="1"/>
  <c r="AB259" i="65" s="1"/>
  <c r="H259" i="65"/>
  <c r="H263" i="65" s="1"/>
  <c r="R257" i="65"/>
  <c r="S257" i="65" s="1"/>
  <c r="J254" i="65"/>
  <c r="H250" i="65"/>
  <c r="Y250" i="65"/>
  <c r="Z250" i="65" s="1"/>
  <c r="AB250" i="65" s="1"/>
  <c r="Y249" i="65"/>
  <c r="Z249" i="65" s="1"/>
  <c r="AB249" i="65" s="1"/>
  <c r="H246" i="65"/>
  <c r="R246" i="65" s="1"/>
  <c r="S246" i="65" s="1"/>
  <c r="J242" i="65"/>
  <c r="Y238" i="65"/>
  <c r="Z238" i="65" s="1"/>
  <c r="H238" i="65"/>
  <c r="Y237" i="65"/>
  <c r="Z237" i="65" s="1"/>
  <c r="AB237" i="65" s="1"/>
  <c r="R233" i="65"/>
  <c r="L228" i="65"/>
  <c r="J228" i="65"/>
  <c r="H224" i="65"/>
  <c r="N223" i="65"/>
  <c r="N224" i="65" s="1"/>
  <c r="Y224" i="65"/>
  <c r="Z224" i="65" s="1"/>
  <c r="AB224" i="65" s="1"/>
  <c r="Y223" i="65"/>
  <c r="Z223" i="65" s="1"/>
  <c r="L223" i="65" s="1"/>
  <c r="H223" i="65"/>
  <c r="R220" i="65"/>
  <c r="S220" i="65" s="1"/>
  <c r="H216" i="65"/>
  <c r="H202" i="65"/>
  <c r="H212" i="65"/>
  <c r="Y212" i="65"/>
  <c r="Z212" i="65" s="1"/>
  <c r="AB212" i="65" s="1"/>
  <c r="Y198" i="65"/>
  <c r="Z198" i="65" s="1"/>
  <c r="L198" i="65" s="1"/>
  <c r="H198" i="65"/>
  <c r="N210" i="65"/>
  <c r="N212" i="65" s="1"/>
  <c r="N196" i="65"/>
  <c r="L202" i="65" s="1"/>
  <c r="Y210" i="65"/>
  <c r="Z210" i="65" s="1"/>
  <c r="AB210" i="65" s="1"/>
  <c r="Y196" i="65"/>
  <c r="Z196" i="65" s="1"/>
  <c r="AB196" i="65" s="1"/>
  <c r="H210" i="65"/>
  <c r="J216" i="65" s="1"/>
  <c r="H196" i="65"/>
  <c r="J198" i="65" s="1"/>
  <c r="G210" i="65"/>
  <c r="G212" i="65" s="1"/>
  <c r="G216" i="65" s="1"/>
  <c r="G196" i="65"/>
  <c r="G198" i="65" s="1"/>
  <c r="G202" i="65" s="1"/>
  <c r="R207" i="65"/>
  <c r="S207" i="65" s="1"/>
  <c r="R192" i="65"/>
  <c r="R193" i="65" s="1"/>
  <c r="J188" i="65"/>
  <c r="Y184" i="65"/>
  <c r="Z184" i="65" s="1"/>
  <c r="H184" i="65"/>
  <c r="Y183" i="65"/>
  <c r="Z183" i="65" s="1"/>
  <c r="AB183" i="65" s="1"/>
  <c r="J169" i="65"/>
  <c r="H169" i="65"/>
  <c r="J168" i="65"/>
  <c r="H168" i="65"/>
  <c r="J167" i="65"/>
  <c r="H167" i="65"/>
  <c r="J165" i="65"/>
  <c r="H165" i="65"/>
  <c r="J164" i="65"/>
  <c r="H164" i="65"/>
  <c r="J163" i="65"/>
  <c r="H163" i="65"/>
  <c r="H158" i="65"/>
  <c r="J158" i="65"/>
  <c r="J157" i="65"/>
  <c r="H157" i="65"/>
  <c r="Y158" i="65"/>
  <c r="Z158" i="65" s="1"/>
  <c r="AB158" i="65" s="1"/>
  <c r="Y157" i="65"/>
  <c r="Z157" i="65" s="1"/>
  <c r="Y156" i="65"/>
  <c r="Z156" i="65" s="1"/>
  <c r="J156" i="65"/>
  <c r="H156" i="65"/>
  <c r="H154" i="65"/>
  <c r="H153" i="65"/>
  <c r="Y154" i="65"/>
  <c r="Z154" i="65" s="1"/>
  <c r="Y153" i="65"/>
  <c r="Z153" i="65" s="1"/>
  <c r="AB153" i="65" s="1"/>
  <c r="Y152" i="65"/>
  <c r="Z152" i="65" s="1"/>
  <c r="AB152" i="65" s="1"/>
  <c r="H152" i="65"/>
  <c r="F151" i="65"/>
  <c r="F166" i="65" s="1"/>
  <c r="Y150" i="65"/>
  <c r="Z150" i="65" s="1"/>
  <c r="Y149" i="65"/>
  <c r="Z149" i="65" s="1"/>
  <c r="AB149" i="65" s="1"/>
  <c r="J150" i="65"/>
  <c r="H150" i="65"/>
  <c r="J149" i="65"/>
  <c r="H149" i="65"/>
  <c r="Y148" i="65"/>
  <c r="Z148" i="65" s="1"/>
  <c r="J148" i="65"/>
  <c r="H148" i="65"/>
  <c r="F147" i="65"/>
  <c r="F162" i="65" s="1"/>
  <c r="L130" i="65"/>
  <c r="L131" i="65" s="1"/>
  <c r="J131" i="65"/>
  <c r="H131" i="65"/>
  <c r="J130" i="65"/>
  <c r="H130" i="65"/>
  <c r="J129" i="65"/>
  <c r="H129" i="65"/>
  <c r="G130" i="65"/>
  <c r="G129" i="65"/>
  <c r="N125" i="65"/>
  <c r="N139" i="65" s="1"/>
  <c r="R139" i="65" s="1"/>
  <c r="J125" i="65"/>
  <c r="H125" i="65"/>
  <c r="G125" i="65"/>
  <c r="G139" i="65" s="1"/>
  <c r="G143" i="65" s="1"/>
  <c r="G154" i="65" s="1"/>
  <c r="N124" i="65"/>
  <c r="N138" i="65" s="1"/>
  <c r="N149" i="65" s="1"/>
  <c r="J124" i="65"/>
  <c r="H124" i="65"/>
  <c r="G124" i="65"/>
  <c r="G138" i="65" s="1"/>
  <c r="N123" i="65"/>
  <c r="N137" i="65" s="1"/>
  <c r="L163" i="65" s="1"/>
  <c r="J123" i="65"/>
  <c r="H123" i="65"/>
  <c r="G123" i="65"/>
  <c r="G137" i="65" s="1"/>
  <c r="G141" i="65" s="1"/>
  <c r="G152" i="65" s="1"/>
  <c r="J91" i="65"/>
  <c r="H118" i="65"/>
  <c r="H91" i="65" s="1"/>
  <c r="H114" i="65"/>
  <c r="H113" i="65"/>
  <c r="H112" i="65"/>
  <c r="H111" i="65"/>
  <c r="H110" i="65"/>
  <c r="L114" i="65"/>
  <c r="L113" i="65"/>
  <c r="L112" i="65"/>
  <c r="L111" i="65"/>
  <c r="L110" i="65"/>
  <c r="L108" i="65"/>
  <c r="L107" i="65"/>
  <c r="H107" i="65"/>
  <c r="H106" i="65"/>
  <c r="L106" i="65"/>
  <c r="G114" i="65"/>
  <c r="G113" i="65"/>
  <c r="G112" i="65"/>
  <c r="G111" i="65"/>
  <c r="G110" i="65"/>
  <c r="G108" i="65"/>
  <c r="G107" i="65"/>
  <c r="G106" i="65"/>
  <c r="H101" i="65"/>
  <c r="R101" i="65" s="1"/>
  <c r="H100" i="65"/>
  <c r="R100" i="65" s="1"/>
  <c r="R90" i="65"/>
  <c r="R89" i="65"/>
  <c r="R88" i="65"/>
  <c r="R87" i="65"/>
  <c r="R86" i="65"/>
  <c r="J84" i="65"/>
  <c r="J504" i="65" s="1"/>
  <c r="R504" i="65" s="1"/>
  <c r="R83" i="65"/>
  <c r="R82" i="65"/>
  <c r="R81" i="65"/>
  <c r="H77" i="65"/>
  <c r="H179" i="65" s="1"/>
  <c r="R179" i="65" s="1"/>
  <c r="J73" i="65"/>
  <c r="J74" i="65" s="1"/>
  <c r="J75" i="65" s="1"/>
  <c r="J76" i="65" s="1"/>
  <c r="J77" i="65" s="1"/>
  <c r="G76" i="65"/>
  <c r="G75" i="65"/>
  <c r="G74" i="65"/>
  <c r="G73" i="65"/>
  <c r="L61" i="65"/>
  <c r="L62" i="65" s="1"/>
  <c r="L63" i="65" s="1"/>
  <c r="J63" i="65"/>
  <c r="J62" i="65"/>
  <c r="J61" i="65"/>
  <c r="J60" i="65"/>
  <c r="G63" i="65"/>
  <c r="G178" i="65" s="1"/>
  <c r="G62" i="65"/>
  <c r="G177" i="65" s="1"/>
  <c r="G61" i="65"/>
  <c r="G176" i="65" s="1"/>
  <c r="G60" i="65"/>
  <c r="G175" i="65" s="1"/>
  <c r="B59" i="65"/>
  <c r="B48" i="63"/>
  <c r="B65" i="65" s="1"/>
  <c r="J69" i="65"/>
  <c r="J68" i="65"/>
  <c r="J67" i="65"/>
  <c r="J66" i="65"/>
  <c r="G69" i="65"/>
  <c r="G68" i="65"/>
  <c r="G67" i="65"/>
  <c r="G66" i="65"/>
  <c r="N51" i="65"/>
  <c r="J51" i="65"/>
  <c r="H51" i="65"/>
  <c r="N50" i="65"/>
  <c r="J50" i="65"/>
  <c r="H50" i="65"/>
  <c r="N49" i="65"/>
  <c r="J49" i="65"/>
  <c r="H49" i="65"/>
  <c r="G51" i="65"/>
  <c r="G50" i="65"/>
  <c r="G49" i="65"/>
  <c r="L45" i="65"/>
  <c r="L46" i="65" s="1"/>
  <c r="L47" i="65" s="1"/>
  <c r="L51" i="65" s="1"/>
  <c r="L53" i="65" s="1"/>
  <c r="J47" i="65"/>
  <c r="J46" i="65"/>
  <c r="J45" i="65"/>
  <c r="J44" i="65"/>
  <c r="G47" i="65"/>
  <c r="G46" i="65"/>
  <c r="G45" i="65"/>
  <c r="G44" i="65"/>
  <c r="F48" i="65"/>
  <c r="F43" i="65"/>
  <c r="F174" i="65" s="1"/>
  <c r="H39" i="65"/>
  <c r="R39" i="65" s="1"/>
  <c r="S39" i="65" s="1"/>
  <c r="J38" i="65"/>
  <c r="R34" i="65"/>
  <c r="R33" i="65"/>
  <c r="R32" i="65"/>
  <c r="H26" i="65"/>
  <c r="R26" i="65" s="1"/>
  <c r="H29" i="65"/>
  <c r="R29" i="65" s="1"/>
  <c r="H28" i="65"/>
  <c r="R28" i="65" s="1"/>
  <c r="H27" i="65"/>
  <c r="R27" i="65" s="1"/>
  <c r="R21" i="65"/>
  <c r="L22" i="65"/>
  <c r="R22" i="65" s="1"/>
  <c r="B542" i="65"/>
  <c r="C541" i="65"/>
  <c r="B541" i="65"/>
  <c r="B530" i="65"/>
  <c r="C529" i="65"/>
  <c r="B529" i="65"/>
  <c r="B482" i="65"/>
  <c r="C481" i="65"/>
  <c r="B481" i="65"/>
  <c r="C464" i="65"/>
  <c r="B443" i="65"/>
  <c r="C442" i="65"/>
  <c r="B442" i="65"/>
  <c r="B406" i="65"/>
  <c r="C404" i="65"/>
  <c r="B404" i="65"/>
  <c r="B385" i="65"/>
  <c r="C384" i="65"/>
  <c r="B384" i="65"/>
  <c r="B347" i="65"/>
  <c r="C346" i="65"/>
  <c r="B346" i="65"/>
  <c r="B294" i="65"/>
  <c r="C293" i="65"/>
  <c r="B293" i="65"/>
  <c r="C265" i="65"/>
  <c r="C256" i="65"/>
  <c r="C244" i="65"/>
  <c r="C230" i="65"/>
  <c r="C218" i="65"/>
  <c r="C205" i="65"/>
  <c r="C190" i="65"/>
  <c r="C172" i="65"/>
  <c r="C134" i="65"/>
  <c r="C127" i="65"/>
  <c r="B122" i="65"/>
  <c r="C121" i="65"/>
  <c r="C120" i="65"/>
  <c r="B120" i="65"/>
  <c r="C58" i="65"/>
  <c r="B58" i="65"/>
  <c r="B20" i="65"/>
  <c r="C19" i="65"/>
  <c r="B19" i="65"/>
  <c r="B145" i="63"/>
  <c r="B444" i="65" s="1"/>
  <c r="B172" i="63"/>
  <c r="B173" i="63" s="1"/>
  <c r="B532" i="65" s="1"/>
  <c r="B531" i="65" l="1"/>
  <c r="G519" i="65"/>
  <c r="G503" i="65"/>
  <c r="G518" i="65"/>
  <c r="G502" i="65"/>
  <c r="G520" i="65"/>
  <c r="G506" i="65"/>
  <c r="G522" i="65"/>
  <c r="G508" i="65"/>
  <c r="G521" i="65"/>
  <c r="G507" i="65"/>
  <c r="G524" i="65"/>
  <c r="G510" i="65"/>
  <c r="G523" i="65"/>
  <c r="G509" i="65"/>
  <c r="J85" i="65"/>
  <c r="H428" i="65"/>
  <c r="R428" i="65" s="1"/>
  <c r="S428" i="65" s="1"/>
  <c r="H410" i="65"/>
  <c r="R410" i="65" s="1"/>
  <c r="R84" i="65"/>
  <c r="R422" i="65"/>
  <c r="S422" i="65" s="1"/>
  <c r="H409" i="65"/>
  <c r="R409" i="65" s="1"/>
  <c r="R373" i="65"/>
  <c r="R379" i="65" s="1"/>
  <c r="S379" i="65" s="1"/>
  <c r="R360" i="65"/>
  <c r="S360" i="65" s="1"/>
  <c r="H365" i="65" s="1"/>
  <c r="R365" i="65" s="1"/>
  <c r="S365" i="65" s="1"/>
  <c r="R319" i="65"/>
  <c r="S319" i="65" s="1"/>
  <c r="R332" i="65"/>
  <c r="S332" i="65" s="1"/>
  <c r="R288" i="65"/>
  <c r="S288" i="65" s="1"/>
  <c r="V283" i="65" s="1"/>
  <c r="R305" i="65"/>
  <c r="S305" i="65" s="1"/>
  <c r="R267" i="65"/>
  <c r="H268" i="65"/>
  <c r="H274" i="65" s="1"/>
  <c r="J275" i="65" s="1"/>
  <c r="R273" i="65"/>
  <c r="R263" i="65"/>
  <c r="S263" i="65" s="1"/>
  <c r="R272" i="65"/>
  <c r="L274" i="65"/>
  <c r="AB272" i="65"/>
  <c r="L260" i="65"/>
  <c r="R260" i="65" s="1"/>
  <c r="L259" i="65"/>
  <c r="R259" i="65" s="1"/>
  <c r="H249" i="65"/>
  <c r="L250" i="65"/>
  <c r="H254" i="65"/>
  <c r="R254" i="65" s="1"/>
  <c r="S254" i="65" s="1"/>
  <c r="L249" i="65"/>
  <c r="AB238" i="65"/>
  <c r="L238" i="65"/>
  <c r="L237" i="65"/>
  <c r="R223" i="65"/>
  <c r="L224" i="65"/>
  <c r="H228" i="65"/>
  <c r="R228" i="65" s="1"/>
  <c r="S228" i="65" s="1"/>
  <c r="J224" i="65"/>
  <c r="AB223" i="65"/>
  <c r="L196" i="65"/>
  <c r="R196" i="65" s="1"/>
  <c r="L210" i="65"/>
  <c r="R210" i="65" s="1"/>
  <c r="L212" i="65"/>
  <c r="J202" i="65"/>
  <c r="R202" i="65" s="1"/>
  <c r="R203" i="65" s="1"/>
  <c r="N198" i="65"/>
  <c r="R198" i="65" s="1"/>
  <c r="J212" i="65"/>
  <c r="L216" i="65"/>
  <c r="R216" i="65" s="1"/>
  <c r="S216" i="65" s="1"/>
  <c r="AB198" i="65"/>
  <c r="R129" i="65"/>
  <c r="R106" i="65"/>
  <c r="R111" i="65"/>
  <c r="L183" i="65"/>
  <c r="L184" i="65"/>
  <c r="AB184" i="65"/>
  <c r="R113" i="65"/>
  <c r="R130" i="65"/>
  <c r="R131" i="65"/>
  <c r="L153" i="65"/>
  <c r="R163" i="65"/>
  <c r="AB154" i="65"/>
  <c r="L154" i="65"/>
  <c r="G167" i="65"/>
  <c r="G156" i="65"/>
  <c r="G142" i="65"/>
  <c r="G153" i="65" s="1"/>
  <c r="G149" i="65"/>
  <c r="G164" i="65" s="1"/>
  <c r="G169" i="65"/>
  <c r="G158" i="65"/>
  <c r="AB148" i="65"/>
  <c r="L148" i="65"/>
  <c r="G148" i="65"/>
  <c r="G163" i="65" s="1"/>
  <c r="N148" i="65"/>
  <c r="R123" i="65"/>
  <c r="G150" i="65"/>
  <c r="G165" i="65" s="1"/>
  <c r="N150" i="65"/>
  <c r="L165" i="65"/>
  <c r="R165" i="65" s="1"/>
  <c r="L152" i="65"/>
  <c r="L164" i="65"/>
  <c r="R164" i="65" s="1"/>
  <c r="AB157" i="65"/>
  <c r="L157" i="65"/>
  <c r="L158" i="65"/>
  <c r="AB156" i="65"/>
  <c r="L156" i="65"/>
  <c r="AB150" i="65"/>
  <c r="L150" i="65"/>
  <c r="L149" i="65"/>
  <c r="R149" i="65" s="1"/>
  <c r="N141" i="65"/>
  <c r="R137" i="65"/>
  <c r="R138" i="65"/>
  <c r="N142" i="65"/>
  <c r="L168" i="65" s="1"/>
  <c r="R168" i="65" s="1"/>
  <c r="R102" i="65"/>
  <c r="J103" i="65" s="1"/>
  <c r="R110" i="65"/>
  <c r="R114" i="65"/>
  <c r="R118" i="65"/>
  <c r="S118" i="65" s="1"/>
  <c r="N143" i="65"/>
  <c r="L169" i="65" s="1"/>
  <c r="R169" i="65" s="1"/>
  <c r="R112" i="65"/>
  <c r="R124" i="65"/>
  <c r="R125" i="65"/>
  <c r="R107" i="65"/>
  <c r="R91" i="65"/>
  <c r="R77" i="65"/>
  <c r="H47" i="65"/>
  <c r="R47" i="65" s="1"/>
  <c r="H108" i="65"/>
  <c r="R108" i="65" s="1"/>
  <c r="H73" i="65"/>
  <c r="H45" i="65"/>
  <c r="R45" i="65" s="1"/>
  <c r="H61" i="65"/>
  <c r="R61" i="65" s="1"/>
  <c r="H63" i="65"/>
  <c r="R63" i="65" s="1"/>
  <c r="H74" i="65"/>
  <c r="R74" i="65" s="1"/>
  <c r="H60" i="65"/>
  <c r="R60" i="65" s="1"/>
  <c r="H62" i="65"/>
  <c r="R62" i="65" s="1"/>
  <c r="H75" i="65"/>
  <c r="R75" i="65" s="1"/>
  <c r="H76" i="65"/>
  <c r="R76" i="65" s="1"/>
  <c r="R53" i="65"/>
  <c r="L54" i="65"/>
  <c r="R51" i="65"/>
  <c r="H44" i="65"/>
  <c r="R44" i="65" s="1"/>
  <c r="L49" i="65"/>
  <c r="R49" i="65" s="1"/>
  <c r="H66" i="65"/>
  <c r="H68" i="65"/>
  <c r="H46" i="65"/>
  <c r="R46" i="65" s="1"/>
  <c r="L50" i="65"/>
  <c r="R50" i="65" s="1"/>
  <c r="H67" i="65"/>
  <c r="H69" i="65"/>
  <c r="R23" i="65"/>
  <c r="S23" i="65" s="1"/>
  <c r="R35" i="65"/>
  <c r="S35" i="65" s="1"/>
  <c r="H38" i="65" l="1"/>
  <c r="R38" i="65" s="1"/>
  <c r="S38" i="65" s="1"/>
  <c r="G38" i="63"/>
  <c r="R85" i="65"/>
  <c r="J505" i="65"/>
  <c r="R505" i="65" s="1"/>
  <c r="R511" i="65" s="1"/>
  <c r="J512" i="65" s="1"/>
  <c r="R512" i="65" s="1"/>
  <c r="S512" i="65" s="1"/>
  <c r="H421" i="65"/>
  <c r="R421" i="65" s="1"/>
  <c r="H109" i="65"/>
  <c r="R109" i="65" s="1"/>
  <c r="R92" i="65"/>
  <c r="J93" i="65" s="1"/>
  <c r="R416" i="65"/>
  <c r="S416" i="65" s="1"/>
  <c r="G135" i="63" s="1"/>
  <c r="R261" i="65"/>
  <c r="S261" i="65" s="1"/>
  <c r="R268" i="65"/>
  <c r="R269" i="65" s="1"/>
  <c r="S269" i="65" s="1"/>
  <c r="R274" i="65"/>
  <c r="L275" i="65"/>
  <c r="R275" i="65" s="1"/>
  <c r="J250" i="65"/>
  <c r="R250" i="65" s="1"/>
  <c r="R249" i="65"/>
  <c r="R73" i="65"/>
  <c r="R78" i="65" s="1"/>
  <c r="H93" i="65" s="1"/>
  <c r="R93" i="65" s="1"/>
  <c r="S93" i="65" s="1"/>
  <c r="H78" i="65"/>
  <c r="H232" i="65" s="1"/>
  <c r="R224" i="65"/>
  <c r="R225" i="65" s="1"/>
  <c r="S225" i="65" s="1"/>
  <c r="R212" i="65"/>
  <c r="R213" i="65" s="1"/>
  <c r="S213" i="65" s="1"/>
  <c r="V207" i="65" s="1"/>
  <c r="R199" i="65"/>
  <c r="R132" i="65"/>
  <c r="S132" i="65" s="1"/>
  <c r="G60" i="63" s="1"/>
  <c r="R150" i="65"/>
  <c r="R148" i="65"/>
  <c r="R67" i="65"/>
  <c r="H176" i="65"/>
  <c r="R176" i="65" s="1"/>
  <c r="R69" i="65"/>
  <c r="H178" i="65"/>
  <c r="R178" i="65" s="1"/>
  <c r="R68" i="65"/>
  <c r="H177" i="65"/>
  <c r="R177" i="65" s="1"/>
  <c r="R64" i="65"/>
  <c r="S64" i="65" s="1"/>
  <c r="G47" i="63" s="1"/>
  <c r="R126" i="65"/>
  <c r="S126" i="65" s="1"/>
  <c r="G58" i="63" s="1"/>
  <c r="R66" i="65"/>
  <c r="H175" i="65"/>
  <c r="G168" i="65"/>
  <c r="G157" i="65"/>
  <c r="R141" i="65"/>
  <c r="L167" i="65"/>
  <c r="R167" i="65" s="1"/>
  <c r="R170" i="65" s="1"/>
  <c r="S170" i="65" s="1"/>
  <c r="G64" i="63" s="1"/>
  <c r="N152" i="65"/>
  <c r="N156" i="65" s="1"/>
  <c r="R156" i="65" s="1"/>
  <c r="R143" i="65"/>
  <c r="N154" i="65"/>
  <c r="R142" i="65"/>
  <c r="N153" i="65"/>
  <c r="R115" i="65"/>
  <c r="S115" i="65" s="1"/>
  <c r="G52" i="63" s="1"/>
  <c r="L55" i="65"/>
  <c r="R55" i="65" s="1"/>
  <c r="R54" i="65"/>
  <c r="H96" i="65" l="1"/>
  <c r="R96" i="65" s="1"/>
  <c r="S96" i="65" s="1"/>
  <c r="G49" i="63"/>
  <c r="V220" i="65"/>
  <c r="G79" i="63"/>
  <c r="V257" i="65"/>
  <c r="G91" i="63"/>
  <c r="S41" i="65"/>
  <c r="G42" i="63" s="1"/>
  <c r="G39" i="63"/>
  <c r="R276" i="65"/>
  <c r="S276" i="65" s="1"/>
  <c r="R251" i="65"/>
  <c r="S251" i="65" s="1"/>
  <c r="H234" i="65"/>
  <c r="H237" i="65" s="1"/>
  <c r="H242" i="65" s="1"/>
  <c r="R242" i="65" s="1"/>
  <c r="S242" i="65" s="1"/>
  <c r="G84" i="63" s="1"/>
  <c r="R232" i="65"/>
  <c r="R234" i="65" s="1"/>
  <c r="S234" i="65" s="1"/>
  <c r="G82" i="63" s="1"/>
  <c r="R70" i="65"/>
  <c r="S70" i="65" s="1"/>
  <c r="G48" i="63" s="1"/>
  <c r="R175" i="65"/>
  <c r="R180" i="65" s="1"/>
  <c r="S180" i="65" s="1"/>
  <c r="G66" i="63" s="1"/>
  <c r="H180" i="65"/>
  <c r="H183" i="65" s="1"/>
  <c r="H188" i="65" s="1"/>
  <c r="R188" i="65" s="1"/>
  <c r="S188" i="65" s="1"/>
  <c r="R56" i="65"/>
  <c r="S56" i="65" s="1"/>
  <c r="G43" i="63" s="1"/>
  <c r="R153" i="65"/>
  <c r="N157" i="65"/>
  <c r="R157" i="65" s="1"/>
  <c r="R152" i="65"/>
  <c r="R144" i="65"/>
  <c r="S144" i="65" s="1"/>
  <c r="G62" i="63" s="1"/>
  <c r="R154" i="65"/>
  <c r="N158" i="65"/>
  <c r="R158" i="65" s="1"/>
  <c r="V246" i="65" l="1"/>
  <c r="G87" i="63"/>
  <c r="V269" i="65"/>
  <c r="G95" i="63"/>
  <c r="H103" i="65"/>
  <c r="R103" i="65" s="1"/>
  <c r="S103" i="65" s="1"/>
  <c r="G50" i="63"/>
  <c r="J238" i="65"/>
  <c r="R238" i="65" s="1"/>
  <c r="R237" i="65"/>
  <c r="J184" i="65"/>
  <c r="R184" i="65" s="1"/>
  <c r="R183" i="65"/>
  <c r="R159" i="65"/>
  <c r="S159" i="65" s="1"/>
  <c r="H483" i="65" l="1"/>
  <c r="R483" i="65" s="1"/>
  <c r="S483" i="65" s="1"/>
  <c r="G163" i="63" s="1"/>
  <c r="G51" i="63"/>
  <c r="V144" i="65"/>
  <c r="G63" i="63"/>
  <c r="R239" i="65"/>
  <c r="S239" i="65" s="1"/>
  <c r="R185" i="65"/>
  <c r="S185" i="65" s="1"/>
  <c r="V180" i="65" s="1"/>
  <c r="V234" i="65" l="1"/>
  <c r="G83" i="63"/>
  <c r="B113" i="63"/>
  <c r="B60" i="63"/>
  <c r="B49" i="63"/>
  <c r="B72" i="65" s="1"/>
  <c r="B38" i="63"/>
  <c r="B24" i="65" s="1"/>
  <c r="B62" i="63" l="1"/>
  <c r="B135" i="65" s="1"/>
  <c r="B128" i="65"/>
  <c r="B114" i="63"/>
  <c r="B365" i="65" s="1"/>
  <c r="B362" i="65"/>
  <c r="P1006" i="68" l="1"/>
  <c r="O1006" i="68"/>
  <c r="N1006" i="68"/>
  <c r="I1006" i="68" s="1"/>
  <c r="P1005" i="68"/>
  <c r="O1005" i="68"/>
  <c r="N1005" i="68"/>
  <c r="I1005" i="68" s="1"/>
  <c r="P1004" i="68"/>
  <c r="O1004" i="68"/>
  <c r="N1004" i="68"/>
  <c r="I1004" i="68" s="1"/>
  <c r="P1003" i="68"/>
  <c r="O1003" i="68"/>
  <c r="N1003" i="68"/>
  <c r="I1003" i="68" s="1"/>
  <c r="P1002" i="68"/>
  <c r="O1002" i="68"/>
  <c r="N1002" i="68"/>
  <c r="I1002" i="68" s="1"/>
  <c r="P1001" i="68"/>
  <c r="O1001" i="68"/>
  <c r="N1001" i="68"/>
  <c r="I1001" i="68" s="1"/>
  <c r="P1000" i="68"/>
  <c r="O1000" i="68"/>
  <c r="N1000" i="68"/>
  <c r="I1000" i="68" s="1"/>
  <c r="P999" i="68"/>
  <c r="O999" i="68"/>
  <c r="N999" i="68"/>
  <c r="I999" i="68" s="1"/>
  <c r="P998" i="68"/>
  <c r="O998" i="68"/>
  <c r="N998" i="68"/>
  <c r="I998" i="68" s="1"/>
  <c r="B998" i="68"/>
  <c r="B999" i="68" s="1"/>
  <c r="B1000" i="68" s="1"/>
  <c r="B1001" i="68" s="1"/>
  <c r="B1002" i="68" s="1"/>
  <c r="B1003" i="68" s="1"/>
  <c r="B1004" i="68" s="1"/>
  <c r="B1005" i="68" s="1"/>
  <c r="B1006" i="68" s="1"/>
  <c r="P997" i="68"/>
  <c r="O997" i="68"/>
  <c r="N997" i="68"/>
  <c r="I997" i="68" s="1"/>
  <c r="B997" i="68"/>
  <c r="P994" i="68"/>
  <c r="O994" i="68"/>
  <c r="N994" i="68"/>
  <c r="I994" i="68" s="1"/>
  <c r="P993" i="68"/>
  <c r="O993" i="68"/>
  <c r="N993" i="68"/>
  <c r="I993" i="68" s="1"/>
  <c r="P992" i="68"/>
  <c r="O992" i="68"/>
  <c r="N992" i="68"/>
  <c r="I992" i="68" s="1"/>
  <c r="P991" i="68"/>
  <c r="O991" i="68"/>
  <c r="N991" i="68"/>
  <c r="I991" i="68" s="1"/>
  <c r="P990" i="68"/>
  <c r="O990" i="68"/>
  <c r="N990" i="68"/>
  <c r="I990" i="68" s="1"/>
  <c r="P989" i="68"/>
  <c r="O989" i="68"/>
  <c r="N989" i="68"/>
  <c r="I989" i="68" s="1"/>
  <c r="P988" i="68"/>
  <c r="O988" i="68"/>
  <c r="N988" i="68"/>
  <c r="I988" i="68" s="1"/>
  <c r="P987" i="68"/>
  <c r="O987" i="68"/>
  <c r="N987" i="68"/>
  <c r="I987" i="68" s="1"/>
  <c r="P986" i="68"/>
  <c r="O986" i="68"/>
  <c r="N986" i="68"/>
  <c r="I986" i="68" s="1"/>
  <c r="P985" i="68"/>
  <c r="O985" i="68"/>
  <c r="N985" i="68"/>
  <c r="I985" i="68" s="1"/>
  <c r="P984" i="68"/>
  <c r="O984" i="68"/>
  <c r="N984" i="68"/>
  <c r="I984" i="68" s="1"/>
  <c r="B984" i="68"/>
  <c r="B985" i="68" s="1"/>
  <c r="B986" i="68" s="1"/>
  <c r="B987" i="68" s="1"/>
  <c r="B988" i="68" s="1"/>
  <c r="B989" i="68" s="1"/>
  <c r="B990" i="68" s="1"/>
  <c r="B991" i="68" s="1"/>
  <c r="B992" i="68" s="1"/>
  <c r="B993" i="68" s="1"/>
  <c r="B994" i="68" s="1"/>
  <c r="P983" i="68"/>
  <c r="O983" i="68"/>
  <c r="N983" i="68"/>
  <c r="I983" i="68" s="1"/>
  <c r="B983" i="68"/>
  <c r="P980" i="68"/>
  <c r="O980" i="68"/>
  <c r="N980" i="68"/>
  <c r="I980" i="68" s="1"/>
  <c r="P979" i="68"/>
  <c r="O979" i="68"/>
  <c r="N979" i="68"/>
  <c r="I979" i="68" s="1"/>
  <c r="P978" i="68"/>
  <c r="O978" i="68"/>
  <c r="N978" i="68"/>
  <c r="I978" i="68" s="1"/>
  <c r="P977" i="68"/>
  <c r="O977" i="68"/>
  <c r="N977" i="68"/>
  <c r="I977" i="68" s="1"/>
  <c r="P976" i="68"/>
  <c r="O976" i="68"/>
  <c r="N976" i="68"/>
  <c r="I976" i="68" s="1"/>
  <c r="P975" i="68"/>
  <c r="O975" i="68"/>
  <c r="N975" i="68"/>
  <c r="I975" i="68" s="1"/>
  <c r="P974" i="68"/>
  <c r="O974" i="68"/>
  <c r="N974" i="68"/>
  <c r="I974" i="68" s="1"/>
  <c r="P973" i="68"/>
  <c r="O973" i="68"/>
  <c r="N973" i="68"/>
  <c r="I973" i="68" s="1"/>
  <c r="P972" i="68"/>
  <c r="O972" i="68"/>
  <c r="N972" i="68"/>
  <c r="I972" i="68" s="1"/>
  <c r="P971" i="68"/>
  <c r="O971" i="68"/>
  <c r="N971" i="68"/>
  <c r="I971" i="68" s="1"/>
  <c r="P970" i="68"/>
  <c r="O970" i="68"/>
  <c r="N970" i="68"/>
  <c r="I970" i="68" s="1"/>
  <c r="P969" i="68"/>
  <c r="O969" i="68"/>
  <c r="N969" i="68"/>
  <c r="I969" i="68" s="1"/>
  <c r="P968" i="68"/>
  <c r="O968" i="68"/>
  <c r="N968" i="68"/>
  <c r="I968" i="68" s="1"/>
  <c r="P967" i="68"/>
  <c r="O967" i="68"/>
  <c r="N967" i="68"/>
  <c r="I967" i="68" s="1"/>
  <c r="P966" i="68"/>
  <c r="O966" i="68"/>
  <c r="N966" i="68"/>
  <c r="I966" i="68" s="1"/>
  <c r="P965" i="68"/>
  <c r="O965" i="68"/>
  <c r="N965" i="68"/>
  <c r="I965" i="68" s="1"/>
  <c r="P964" i="68"/>
  <c r="O964" i="68"/>
  <c r="N964" i="68"/>
  <c r="I964" i="68" s="1"/>
  <c r="P963" i="68"/>
  <c r="O963" i="68"/>
  <c r="N963" i="68"/>
  <c r="I963" i="68" s="1"/>
  <c r="P962" i="68"/>
  <c r="O962" i="68"/>
  <c r="N962" i="68"/>
  <c r="I962" i="68" s="1"/>
  <c r="P961" i="68"/>
  <c r="O961" i="68"/>
  <c r="N961" i="68"/>
  <c r="I961" i="68" s="1"/>
  <c r="P960" i="68"/>
  <c r="O960" i="68"/>
  <c r="N960" i="68"/>
  <c r="I960" i="68" s="1"/>
  <c r="P959" i="68"/>
  <c r="O959" i="68"/>
  <c r="N959" i="68"/>
  <c r="I959" i="68" s="1"/>
  <c r="P958" i="68"/>
  <c r="O958" i="68"/>
  <c r="N958" i="68"/>
  <c r="I958" i="68" s="1"/>
  <c r="P957" i="68"/>
  <c r="O957" i="68"/>
  <c r="N957" i="68"/>
  <c r="I957" i="68" s="1"/>
  <c r="P956" i="68"/>
  <c r="O956" i="68"/>
  <c r="N956" i="68"/>
  <c r="I956" i="68" s="1"/>
  <c r="P955" i="68"/>
  <c r="O955" i="68"/>
  <c r="N955" i="68"/>
  <c r="I955" i="68" s="1"/>
  <c r="P954" i="68"/>
  <c r="O954" i="68"/>
  <c r="N954" i="68"/>
  <c r="I954" i="68" s="1"/>
  <c r="P953" i="68"/>
  <c r="O953" i="68"/>
  <c r="N953" i="68"/>
  <c r="I953" i="68" s="1"/>
  <c r="P952" i="68"/>
  <c r="O952" i="68"/>
  <c r="N952" i="68"/>
  <c r="I952" i="68" s="1"/>
  <c r="P951" i="68"/>
  <c r="O951" i="68"/>
  <c r="N951" i="68"/>
  <c r="I951" i="68" s="1"/>
  <c r="P950" i="68"/>
  <c r="O950" i="68"/>
  <c r="N950" i="68"/>
  <c r="I950" i="68" s="1"/>
  <c r="P949" i="68"/>
  <c r="O949" i="68"/>
  <c r="N949" i="68"/>
  <c r="I949" i="68" s="1"/>
  <c r="P948" i="68"/>
  <c r="O948" i="68"/>
  <c r="N948" i="68"/>
  <c r="I948" i="68" s="1"/>
  <c r="P947" i="68"/>
  <c r="O947" i="68"/>
  <c r="N947" i="68"/>
  <c r="I947" i="68" s="1"/>
  <c r="P946" i="68"/>
  <c r="O946" i="68"/>
  <c r="N946" i="68"/>
  <c r="I946" i="68" s="1"/>
  <c r="P945" i="68"/>
  <c r="O945" i="68"/>
  <c r="N945" i="68"/>
  <c r="I945" i="68" s="1"/>
  <c r="P944" i="68"/>
  <c r="O944" i="68"/>
  <c r="N944" i="68"/>
  <c r="I944" i="68" s="1"/>
  <c r="P943" i="68"/>
  <c r="O943" i="68"/>
  <c r="N943" i="68"/>
  <c r="I943" i="68" s="1"/>
  <c r="P942" i="68"/>
  <c r="O942" i="68"/>
  <c r="N942" i="68"/>
  <c r="I942" i="68" s="1"/>
  <c r="P941" i="68"/>
  <c r="O941" i="68"/>
  <c r="N941" i="68"/>
  <c r="I941" i="68" s="1"/>
  <c r="P940" i="68"/>
  <c r="O940" i="68"/>
  <c r="N940" i="68"/>
  <c r="I940" i="68" s="1"/>
  <c r="P939" i="68"/>
  <c r="O939" i="68"/>
  <c r="N939" i="68"/>
  <c r="I939" i="68" s="1"/>
  <c r="P938" i="68"/>
  <c r="O938" i="68"/>
  <c r="N938" i="68"/>
  <c r="I938" i="68" s="1"/>
  <c r="P937" i="68"/>
  <c r="O937" i="68"/>
  <c r="N937" i="68"/>
  <c r="I937" i="68" s="1"/>
  <c r="P936" i="68"/>
  <c r="O936" i="68"/>
  <c r="N936" i="68"/>
  <c r="I936" i="68" s="1"/>
  <c r="P935" i="68"/>
  <c r="O935" i="68"/>
  <c r="N935" i="68"/>
  <c r="I935" i="68" s="1"/>
  <c r="P934" i="68"/>
  <c r="O934" i="68"/>
  <c r="N934" i="68"/>
  <c r="I934" i="68" s="1"/>
  <c r="P933" i="68"/>
  <c r="O933" i="68"/>
  <c r="N933" i="68"/>
  <c r="I933" i="68" s="1"/>
  <c r="P932" i="68"/>
  <c r="O932" i="68"/>
  <c r="N932" i="68"/>
  <c r="I932" i="68" s="1"/>
  <c r="P931" i="68"/>
  <c r="O931" i="68"/>
  <c r="N931" i="68"/>
  <c r="I931" i="68" s="1"/>
  <c r="P930" i="68"/>
  <c r="O930" i="68"/>
  <c r="N930" i="68"/>
  <c r="I930" i="68" s="1"/>
  <c r="P929" i="68"/>
  <c r="O929" i="68"/>
  <c r="N929" i="68"/>
  <c r="I929" i="68" s="1"/>
  <c r="P928" i="68"/>
  <c r="O928" i="68"/>
  <c r="N928" i="68"/>
  <c r="I928" i="68" s="1"/>
  <c r="P927" i="68"/>
  <c r="O927" i="68"/>
  <c r="N927" i="68"/>
  <c r="I927" i="68" s="1"/>
  <c r="P926" i="68"/>
  <c r="O926" i="68"/>
  <c r="N926" i="68"/>
  <c r="I926" i="68" s="1"/>
  <c r="P925" i="68"/>
  <c r="O925" i="68"/>
  <c r="N925" i="68"/>
  <c r="I925" i="68" s="1"/>
  <c r="P924" i="68"/>
  <c r="O924" i="68"/>
  <c r="N924" i="68"/>
  <c r="I924" i="68" s="1"/>
  <c r="P923" i="68"/>
  <c r="O923" i="68"/>
  <c r="N923" i="68"/>
  <c r="I923" i="68" s="1"/>
  <c r="P922" i="68"/>
  <c r="O922" i="68"/>
  <c r="N922" i="68"/>
  <c r="I922" i="68" s="1"/>
  <c r="B922" i="68"/>
  <c r="B923" i="68" s="1"/>
  <c r="B924" i="68" s="1"/>
  <c r="B925" i="68" s="1"/>
  <c r="B926" i="68" s="1"/>
  <c r="B927" i="68" s="1"/>
  <c r="B928" i="68" s="1"/>
  <c r="B929" i="68" s="1"/>
  <c r="B930" i="68" s="1"/>
  <c r="B931" i="68" s="1"/>
  <c r="B932" i="68" s="1"/>
  <c r="B933" i="68" s="1"/>
  <c r="B934" i="68" s="1"/>
  <c r="B935" i="68" s="1"/>
  <c r="B936" i="68" s="1"/>
  <c r="B937" i="68" s="1"/>
  <c r="B938" i="68" s="1"/>
  <c r="B939" i="68" s="1"/>
  <c r="B940" i="68" s="1"/>
  <c r="B941" i="68" s="1"/>
  <c r="B942" i="68" s="1"/>
  <c r="B943" i="68" s="1"/>
  <c r="B944" i="68" s="1"/>
  <c r="B945" i="68" s="1"/>
  <c r="B946" i="68" s="1"/>
  <c r="B947" i="68" s="1"/>
  <c r="B948" i="68" s="1"/>
  <c r="B949" i="68" s="1"/>
  <c r="B950" i="68" s="1"/>
  <c r="B951" i="68" s="1"/>
  <c r="B952" i="68" s="1"/>
  <c r="B953" i="68" s="1"/>
  <c r="B954" i="68" s="1"/>
  <c r="B955" i="68" s="1"/>
  <c r="B956" i="68" s="1"/>
  <c r="B957" i="68" s="1"/>
  <c r="B958" i="68" s="1"/>
  <c r="B959" i="68" s="1"/>
  <c r="B960" i="68" s="1"/>
  <c r="B961" i="68" s="1"/>
  <c r="B962" i="68" s="1"/>
  <c r="B963" i="68" s="1"/>
  <c r="B964" i="68" s="1"/>
  <c r="B965" i="68" s="1"/>
  <c r="B966" i="68" s="1"/>
  <c r="B967" i="68" s="1"/>
  <c r="B968" i="68" s="1"/>
  <c r="B969" i="68" s="1"/>
  <c r="B970" i="68" s="1"/>
  <c r="B971" i="68" s="1"/>
  <c r="B972" i="68" s="1"/>
  <c r="B973" i="68" s="1"/>
  <c r="B974" i="68" s="1"/>
  <c r="B975" i="68" s="1"/>
  <c r="B976" i="68" s="1"/>
  <c r="B977" i="68" s="1"/>
  <c r="B978" i="68" s="1"/>
  <c r="B979" i="68" s="1"/>
  <c r="B980" i="68" s="1"/>
  <c r="P921" i="68"/>
  <c r="O921" i="68"/>
  <c r="N921" i="68"/>
  <c r="I921" i="68" s="1"/>
  <c r="P917" i="68"/>
  <c r="O917" i="68"/>
  <c r="N917" i="68"/>
  <c r="I917" i="68" s="1"/>
  <c r="P916" i="68"/>
  <c r="O916" i="68"/>
  <c r="N916" i="68"/>
  <c r="I916" i="68" s="1"/>
  <c r="B916" i="68"/>
  <c r="B917" i="68" s="1"/>
  <c r="P915" i="68"/>
  <c r="O915" i="68"/>
  <c r="N915" i="68"/>
  <c r="I915" i="68" s="1"/>
  <c r="B915" i="68"/>
  <c r="P914" i="68"/>
  <c r="O914" i="68"/>
  <c r="N914" i="68"/>
  <c r="I914" i="68" s="1"/>
  <c r="P911" i="68"/>
  <c r="O911" i="68"/>
  <c r="N911" i="68"/>
  <c r="I911" i="68" s="1"/>
  <c r="P910" i="68"/>
  <c r="O910" i="68"/>
  <c r="N910" i="68"/>
  <c r="I910" i="68" s="1"/>
  <c r="P909" i="68"/>
  <c r="O909" i="68"/>
  <c r="N909" i="68"/>
  <c r="I909" i="68" s="1"/>
  <c r="B909" i="68"/>
  <c r="B910" i="68" s="1"/>
  <c r="B911" i="68" s="1"/>
  <c r="P908" i="68"/>
  <c r="O908" i="68"/>
  <c r="N908" i="68"/>
  <c r="I908" i="68" s="1"/>
  <c r="P905" i="68"/>
  <c r="O905" i="68"/>
  <c r="N905" i="68"/>
  <c r="I905" i="68" s="1"/>
  <c r="P902" i="68"/>
  <c r="O902" i="68"/>
  <c r="N902" i="68"/>
  <c r="I902" i="68" s="1"/>
  <c r="P901" i="68"/>
  <c r="O901" i="68"/>
  <c r="N901" i="68"/>
  <c r="I901" i="68" s="1"/>
  <c r="B901" i="68"/>
  <c r="B902" i="68" s="1"/>
  <c r="P900" i="68"/>
  <c r="O900" i="68"/>
  <c r="N900" i="68"/>
  <c r="I900" i="68" s="1"/>
  <c r="P899" i="68"/>
  <c r="O899" i="68"/>
  <c r="N899" i="68"/>
  <c r="P898" i="68"/>
  <c r="O898" i="68"/>
  <c r="N898" i="68"/>
  <c r="P897" i="68"/>
  <c r="O897" i="68"/>
  <c r="N897" i="68"/>
  <c r="I897" i="68" s="1"/>
  <c r="P896" i="68"/>
  <c r="O896" i="68"/>
  <c r="N896" i="68"/>
  <c r="I896" i="68" s="1"/>
  <c r="P895" i="68"/>
  <c r="O895" i="68"/>
  <c r="N895" i="68"/>
  <c r="I895" i="68" s="1"/>
  <c r="P894" i="68"/>
  <c r="O894" i="68"/>
  <c r="N894" i="68"/>
  <c r="I894" i="68" s="1"/>
  <c r="P893" i="68"/>
  <c r="O893" i="68"/>
  <c r="N893" i="68"/>
  <c r="I893" i="68" s="1"/>
  <c r="P892" i="68"/>
  <c r="O892" i="68"/>
  <c r="N892" i="68"/>
  <c r="I892" i="68" s="1"/>
  <c r="P891" i="68"/>
  <c r="O891" i="68"/>
  <c r="N891" i="68"/>
  <c r="I891" i="68" s="1"/>
  <c r="P890" i="68"/>
  <c r="O890" i="68"/>
  <c r="N890" i="68"/>
  <c r="I890" i="68" s="1"/>
  <c r="P889" i="68"/>
  <c r="O889" i="68"/>
  <c r="N889" i="68"/>
  <c r="I889" i="68" s="1"/>
  <c r="P888" i="68"/>
  <c r="O888" i="68"/>
  <c r="N888" i="68"/>
  <c r="I888" i="68" s="1"/>
  <c r="P887" i="68"/>
  <c r="O887" i="68"/>
  <c r="N887" i="68"/>
  <c r="I887" i="68" s="1"/>
  <c r="P886" i="68"/>
  <c r="O886" i="68"/>
  <c r="N886" i="68"/>
  <c r="I886" i="68" s="1"/>
  <c r="P885" i="68"/>
  <c r="O885" i="68"/>
  <c r="N885" i="68"/>
  <c r="I885" i="68" s="1"/>
  <c r="P884" i="68"/>
  <c r="O884" i="68"/>
  <c r="N884" i="68"/>
  <c r="I884" i="68" s="1"/>
  <c r="B884" i="68"/>
  <c r="B885" i="68" s="1"/>
  <c r="B886" i="68" s="1"/>
  <c r="B887" i="68" s="1"/>
  <c r="B888" i="68" s="1"/>
  <c r="B889" i="68" s="1"/>
  <c r="B890" i="68" s="1"/>
  <c r="B891" i="68" s="1"/>
  <c r="B892" i="68" s="1"/>
  <c r="B893" i="68" s="1"/>
  <c r="B894" i="68" s="1"/>
  <c r="B895" i="68" s="1"/>
  <c r="B896" i="68" s="1"/>
  <c r="B897" i="68" s="1"/>
  <c r="P883" i="68"/>
  <c r="O883" i="68"/>
  <c r="N883" i="68"/>
  <c r="I883" i="68" s="1"/>
  <c r="B883" i="68"/>
  <c r="P882" i="68"/>
  <c r="O882" i="68"/>
  <c r="N882" i="68"/>
  <c r="I882" i="68" s="1"/>
  <c r="P881" i="68"/>
  <c r="O881" i="68"/>
  <c r="N881" i="68"/>
  <c r="P880" i="68"/>
  <c r="O880" i="68"/>
  <c r="N880" i="68"/>
  <c r="P879" i="68"/>
  <c r="O879" i="68"/>
  <c r="N879" i="68"/>
  <c r="I879" i="68" s="1"/>
  <c r="P878" i="68"/>
  <c r="O878" i="68"/>
  <c r="N878" i="68"/>
  <c r="I878" i="68" s="1"/>
  <c r="P877" i="68"/>
  <c r="O877" i="68"/>
  <c r="N877" i="68"/>
  <c r="I877" i="68" s="1"/>
  <c r="P876" i="68"/>
  <c r="O876" i="68"/>
  <c r="N876" i="68"/>
  <c r="I876" i="68" s="1"/>
  <c r="P875" i="68"/>
  <c r="O875" i="68"/>
  <c r="N875" i="68"/>
  <c r="I875" i="68" s="1"/>
  <c r="P874" i="68"/>
  <c r="O874" i="68"/>
  <c r="N874" i="68"/>
  <c r="I874" i="68" s="1"/>
  <c r="P873" i="68"/>
  <c r="O873" i="68"/>
  <c r="N873" i="68"/>
  <c r="I873" i="68" s="1"/>
  <c r="P872" i="68"/>
  <c r="O872" i="68"/>
  <c r="N872" i="68"/>
  <c r="I872" i="68" s="1"/>
  <c r="P871" i="68"/>
  <c r="O871" i="68"/>
  <c r="N871" i="68"/>
  <c r="I871" i="68" s="1"/>
  <c r="P870" i="68"/>
  <c r="O870" i="68"/>
  <c r="N870" i="68"/>
  <c r="I870" i="68" s="1"/>
  <c r="P869" i="68"/>
  <c r="O869" i="68"/>
  <c r="N869" i="68"/>
  <c r="I869" i="68" s="1"/>
  <c r="P868" i="68"/>
  <c r="O868" i="68"/>
  <c r="N868" i="68"/>
  <c r="I868" i="68" s="1"/>
  <c r="P867" i="68"/>
  <c r="O867" i="68"/>
  <c r="N867" i="68"/>
  <c r="I867" i="68" s="1"/>
  <c r="P866" i="68"/>
  <c r="O866" i="68"/>
  <c r="N866" i="68"/>
  <c r="I866" i="68" s="1"/>
  <c r="P865" i="68"/>
  <c r="O865" i="68"/>
  <c r="N865" i="68"/>
  <c r="I865" i="68" s="1"/>
  <c r="P864" i="68"/>
  <c r="O864" i="68"/>
  <c r="N864" i="68"/>
  <c r="I864" i="68" s="1"/>
  <c r="P863" i="68"/>
  <c r="O863" i="68"/>
  <c r="N863" i="68"/>
  <c r="I863" i="68" s="1"/>
  <c r="P862" i="68"/>
  <c r="O862" i="68"/>
  <c r="N862" i="68"/>
  <c r="I862" i="68" s="1"/>
  <c r="P861" i="68"/>
  <c r="O861" i="68"/>
  <c r="N861" i="68"/>
  <c r="I861" i="68" s="1"/>
  <c r="P860" i="68"/>
  <c r="O860" i="68"/>
  <c r="N860" i="68"/>
  <c r="I860" i="68" s="1"/>
  <c r="P859" i="68"/>
  <c r="O859" i="68"/>
  <c r="N859" i="68"/>
  <c r="I859" i="68" s="1"/>
  <c r="P858" i="68"/>
  <c r="O858" i="68"/>
  <c r="N858" i="68"/>
  <c r="I858" i="68" s="1"/>
  <c r="P857" i="68"/>
  <c r="O857" i="68"/>
  <c r="N857" i="68"/>
  <c r="I857" i="68" s="1"/>
  <c r="P856" i="68"/>
  <c r="O856" i="68"/>
  <c r="N856" i="68"/>
  <c r="I856" i="68" s="1"/>
  <c r="P855" i="68"/>
  <c r="O855" i="68"/>
  <c r="N855" i="68"/>
  <c r="I855" i="68" s="1"/>
  <c r="P854" i="68"/>
  <c r="O854" i="68"/>
  <c r="N854" i="68"/>
  <c r="I854" i="68" s="1"/>
  <c r="P853" i="68"/>
  <c r="O853" i="68"/>
  <c r="N853" i="68"/>
  <c r="I853" i="68" s="1"/>
  <c r="P852" i="68"/>
  <c r="O852" i="68"/>
  <c r="N852" i="68"/>
  <c r="I852" i="68" s="1"/>
  <c r="P851" i="68"/>
  <c r="O851" i="68"/>
  <c r="N851" i="68"/>
  <c r="I851" i="68" s="1"/>
  <c r="P850" i="68"/>
  <c r="O850" i="68"/>
  <c r="N850" i="68"/>
  <c r="I850" i="68" s="1"/>
  <c r="P849" i="68"/>
  <c r="O849" i="68"/>
  <c r="N849" i="68"/>
  <c r="I849" i="68" s="1"/>
  <c r="P848" i="68"/>
  <c r="O848" i="68"/>
  <c r="N848" i="68"/>
  <c r="I848" i="68" s="1"/>
  <c r="P847" i="68"/>
  <c r="O847" i="68"/>
  <c r="N847" i="68"/>
  <c r="I847" i="68" s="1"/>
  <c r="P846" i="68"/>
  <c r="O846" i="68"/>
  <c r="N846" i="68"/>
  <c r="I846" i="68" s="1"/>
  <c r="P845" i="68"/>
  <c r="O845" i="68"/>
  <c r="N845" i="68"/>
  <c r="I845" i="68" s="1"/>
  <c r="P844" i="68"/>
  <c r="O844" i="68"/>
  <c r="N844" i="68"/>
  <c r="I844" i="68" s="1"/>
  <c r="P843" i="68"/>
  <c r="O843" i="68"/>
  <c r="N843" i="68"/>
  <c r="I843" i="68" s="1"/>
  <c r="P842" i="68"/>
  <c r="O842" i="68"/>
  <c r="N842" i="68"/>
  <c r="I842" i="68" s="1"/>
  <c r="P841" i="68"/>
  <c r="O841" i="68"/>
  <c r="N841" i="68"/>
  <c r="I841" i="68" s="1"/>
  <c r="P840" i="68"/>
  <c r="O840" i="68"/>
  <c r="N840" i="68"/>
  <c r="I840" i="68" s="1"/>
  <c r="P839" i="68"/>
  <c r="O839" i="68"/>
  <c r="N839" i="68"/>
  <c r="I839" i="68" s="1"/>
  <c r="P838" i="68"/>
  <c r="O838" i="68"/>
  <c r="N838" i="68"/>
  <c r="I838" i="68" s="1"/>
  <c r="P837" i="68"/>
  <c r="O837" i="68"/>
  <c r="N837" i="68"/>
  <c r="I837" i="68" s="1"/>
  <c r="P836" i="68"/>
  <c r="O836" i="68"/>
  <c r="N836" i="68"/>
  <c r="I836" i="68" s="1"/>
  <c r="P835" i="68"/>
  <c r="O835" i="68"/>
  <c r="N835" i="68"/>
  <c r="I835" i="68" s="1"/>
  <c r="P834" i="68"/>
  <c r="O834" i="68"/>
  <c r="N834" i="68"/>
  <c r="I834" i="68" s="1"/>
  <c r="P833" i="68"/>
  <c r="O833" i="68"/>
  <c r="N833" i="68"/>
  <c r="I833" i="68" s="1"/>
  <c r="P832" i="68"/>
  <c r="O832" i="68"/>
  <c r="N832" i="68"/>
  <c r="I832" i="68" s="1"/>
  <c r="P831" i="68"/>
  <c r="O831" i="68"/>
  <c r="N831" i="68"/>
  <c r="I831" i="68" s="1"/>
  <c r="P830" i="68"/>
  <c r="O830" i="68"/>
  <c r="N830" i="68"/>
  <c r="I830" i="68" s="1"/>
  <c r="P829" i="68"/>
  <c r="O829" i="68"/>
  <c r="N829" i="68"/>
  <c r="I829" i="68" s="1"/>
  <c r="P828" i="68"/>
  <c r="O828" i="68"/>
  <c r="N828" i="68"/>
  <c r="I828" i="68" s="1"/>
  <c r="P827" i="68"/>
  <c r="O827" i="68"/>
  <c r="N827" i="68"/>
  <c r="I827" i="68" s="1"/>
  <c r="P826" i="68"/>
  <c r="O826" i="68"/>
  <c r="N826" i="68"/>
  <c r="I826" i="68" s="1"/>
  <c r="P825" i="68"/>
  <c r="O825" i="68"/>
  <c r="N825" i="68"/>
  <c r="I825" i="68" s="1"/>
  <c r="P824" i="68"/>
  <c r="O824" i="68"/>
  <c r="N824" i="68"/>
  <c r="I824" i="68" s="1"/>
  <c r="P823" i="68"/>
  <c r="O823" i="68"/>
  <c r="N823" i="68"/>
  <c r="I823" i="68" s="1"/>
  <c r="P822" i="68"/>
  <c r="O822" i="68"/>
  <c r="N822" i="68"/>
  <c r="I822" i="68" s="1"/>
  <c r="P821" i="68"/>
  <c r="O821" i="68"/>
  <c r="N821" i="68"/>
  <c r="I821" i="68" s="1"/>
  <c r="P820" i="68"/>
  <c r="O820" i="68"/>
  <c r="N820" i="68"/>
  <c r="I820" i="68" s="1"/>
  <c r="P819" i="68"/>
  <c r="O819" i="68"/>
  <c r="N819" i="68"/>
  <c r="I819" i="68" s="1"/>
  <c r="P818" i="68"/>
  <c r="O818" i="68"/>
  <c r="N818" i="68"/>
  <c r="I818" i="68" s="1"/>
  <c r="P817" i="68"/>
  <c r="O817" i="68"/>
  <c r="N817" i="68"/>
  <c r="I817" i="68" s="1"/>
  <c r="P816" i="68"/>
  <c r="O816" i="68"/>
  <c r="N816" i="68"/>
  <c r="I816" i="68" s="1"/>
  <c r="P815" i="68"/>
  <c r="O815" i="68"/>
  <c r="N815" i="68"/>
  <c r="I815" i="68" s="1"/>
  <c r="P814" i="68"/>
  <c r="O814" i="68"/>
  <c r="N814" i="68"/>
  <c r="I814" i="68" s="1"/>
  <c r="P813" i="68"/>
  <c r="O813" i="68"/>
  <c r="N813" i="68"/>
  <c r="I813" i="68" s="1"/>
  <c r="P812" i="68"/>
  <c r="O812" i="68"/>
  <c r="N812" i="68"/>
  <c r="I812" i="68" s="1"/>
  <c r="P811" i="68"/>
  <c r="O811" i="68"/>
  <c r="N811" i="68"/>
  <c r="I811" i="68" s="1"/>
  <c r="P810" i="68"/>
  <c r="O810" i="68"/>
  <c r="N810" i="68"/>
  <c r="I810" i="68" s="1"/>
  <c r="P809" i="68"/>
  <c r="O809" i="68"/>
  <c r="N809" i="68"/>
  <c r="I809" i="68" s="1"/>
  <c r="P808" i="68"/>
  <c r="O808" i="68"/>
  <c r="N808" i="68"/>
  <c r="I808" i="68" s="1"/>
  <c r="P807" i="68"/>
  <c r="O807" i="68"/>
  <c r="N807" i="68"/>
  <c r="I807" i="68" s="1"/>
  <c r="P806" i="68"/>
  <c r="O806" i="68"/>
  <c r="N806" i="68"/>
  <c r="I806" i="68" s="1"/>
  <c r="P805" i="68"/>
  <c r="O805" i="68"/>
  <c r="N805" i="68"/>
  <c r="I805" i="68" s="1"/>
  <c r="P804" i="68"/>
  <c r="O804" i="68"/>
  <c r="N804" i="68"/>
  <c r="I804" i="68" s="1"/>
  <c r="P803" i="68"/>
  <c r="O803" i="68"/>
  <c r="N803" i="68"/>
  <c r="I803" i="68" s="1"/>
  <c r="P802" i="68"/>
  <c r="O802" i="68"/>
  <c r="N802" i="68"/>
  <c r="I802" i="68" s="1"/>
  <c r="P801" i="68"/>
  <c r="O801" i="68"/>
  <c r="N801" i="68"/>
  <c r="I801" i="68" s="1"/>
  <c r="P800" i="68"/>
  <c r="O800" i="68"/>
  <c r="N800" i="68"/>
  <c r="I800" i="68" s="1"/>
  <c r="P799" i="68"/>
  <c r="O799" i="68"/>
  <c r="N799" i="68"/>
  <c r="I799" i="68" s="1"/>
  <c r="P798" i="68"/>
  <c r="O798" i="68"/>
  <c r="N798" i="68"/>
  <c r="I798" i="68" s="1"/>
  <c r="P797" i="68"/>
  <c r="O797" i="68"/>
  <c r="N797" i="68"/>
  <c r="I797" i="68" s="1"/>
  <c r="P796" i="68"/>
  <c r="O796" i="68"/>
  <c r="N796" i="68"/>
  <c r="I796" i="68" s="1"/>
  <c r="B796" i="68"/>
  <c r="B797" i="68" s="1"/>
  <c r="B798" i="68" s="1"/>
  <c r="B799" i="68" s="1"/>
  <c r="B800" i="68" s="1"/>
  <c r="B801" i="68" s="1"/>
  <c r="B802" i="68" s="1"/>
  <c r="B803" i="68" s="1"/>
  <c r="B804" i="68" s="1"/>
  <c r="B805" i="68" s="1"/>
  <c r="B806" i="68" s="1"/>
  <c r="B807" i="68" s="1"/>
  <c r="B808" i="68" s="1"/>
  <c r="B809" i="68" s="1"/>
  <c r="B810" i="68" s="1"/>
  <c r="B811" i="68" s="1"/>
  <c r="B812" i="68" s="1"/>
  <c r="B813" i="68" s="1"/>
  <c r="B814" i="68" s="1"/>
  <c r="B815" i="68" s="1"/>
  <c r="B816" i="68" s="1"/>
  <c r="B817" i="68" s="1"/>
  <c r="B818" i="68" s="1"/>
  <c r="B819" i="68" s="1"/>
  <c r="B820" i="68" s="1"/>
  <c r="B821" i="68" s="1"/>
  <c r="B822" i="68" s="1"/>
  <c r="B823" i="68" s="1"/>
  <c r="B824" i="68" s="1"/>
  <c r="B825" i="68" s="1"/>
  <c r="B826" i="68" s="1"/>
  <c r="B827" i="68" s="1"/>
  <c r="B828" i="68" s="1"/>
  <c r="B829" i="68" s="1"/>
  <c r="B830" i="68" s="1"/>
  <c r="B831" i="68" s="1"/>
  <c r="B832" i="68" s="1"/>
  <c r="B833" i="68" s="1"/>
  <c r="B834" i="68" s="1"/>
  <c r="B835" i="68" s="1"/>
  <c r="B836" i="68" s="1"/>
  <c r="B837" i="68" s="1"/>
  <c r="B838" i="68" s="1"/>
  <c r="B839" i="68" s="1"/>
  <c r="B840" i="68" s="1"/>
  <c r="B841" i="68" s="1"/>
  <c r="B842" i="68" s="1"/>
  <c r="B843" i="68" s="1"/>
  <c r="B844" i="68" s="1"/>
  <c r="B845" i="68" s="1"/>
  <c r="B846" i="68" s="1"/>
  <c r="B847" i="68" s="1"/>
  <c r="B848" i="68" s="1"/>
  <c r="B849" i="68" s="1"/>
  <c r="B850" i="68" s="1"/>
  <c r="B851" i="68" s="1"/>
  <c r="B852" i="68" s="1"/>
  <c r="B853" i="68" s="1"/>
  <c r="B854" i="68" s="1"/>
  <c r="B855" i="68" s="1"/>
  <c r="B856" i="68" s="1"/>
  <c r="B857" i="68" s="1"/>
  <c r="B858" i="68" s="1"/>
  <c r="B859" i="68" s="1"/>
  <c r="B860" i="68" s="1"/>
  <c r="B861" i="68" s="1"/>
  <c r="B862" i="68" s="1"/>
  <c r="B863" i="68" s="1"/>
  <c r="B864" i="68" s="1"/>
  <c r="B865" i="68" s="1"/>
  <c r="B866" i="68" s="1"/>
  <c r="B867" i="68" s="1"/>
  <c r="B868" i="68" s="1"/>
  <c r="B869" i="68" s="1"/>
  <c r="B870" i="68" s="1"/>
  <c r="B871" i="68" s="1"/>
  <c r="B872" i="68" s="1"/>
  <c r="B873" i="68" s="1"/>
  <c r="B874" i="68" s="1"/>
  <c r="B875" i="68" s="1"/>
  <c r="B876" i="68" s="1"/>
  <c r="B877" i="68" s="1"/>
  <c r="B878" i="68" s="1"/>
  <c r="B879" i="68" s="1"/>
  <c r="P795" i="68"/>
  <c r="O795" i="68"/>
  <c r="N795" i="68"/>
  <c r="I795" i="68" s="1"/>
  <c r="B795" i="68"/>
  <c r="P794" i="68"/>
  <c r="O794" i="68"/>
  <c r="N794" i="68"/>
  <c r="I794" i="68" s="1"/>
  <c r="B794" i="68"/>
  <c r="P793" i="68"/>
  <c r="O793" i="68"/>
  <c r="N793" i="68"/>
  <c r="I793" i="68" s="1"/>
  <c r="B793" i="68"/>
  <c r="P792" i="68"/>
  <c r="O792" i="68"/>
  <c r="N792" i="68"/>
  <c r="I792" i="68" s="1"/>
  <c r="P789" i="68"/>
  <c r="O789" i="68"/>
  <c r="N789" i="68"/>
  <c r="I789" i="68" s="1"/>
  <c r="P788" i="68"/>
  <c r="O788" i="68"/>
  <c r="N788" i="68"/>
  <c r="I788" i="68" s="1"/>
  <c r="P787" i="68"/>
  <c r="O787" i="68"/>
  <c r="N787" i="68"/>
  <c r="I787" i="68" s="1"/>
  <c r="P786" i="68"/>
  <c r="O786" i="68"/>
  <c r="N786" i="68"/>
  <c r="I786" i="68" s="1"/>
  <c r="P785" i="68"/>
  <c r="O785" i="68"/>
  <c r="N785" i="68"/>
  <c r="I785" i="68" s="1"/>
  <c r="P784" i="68"/>
  <c r="O784" i="68"/>
  <c r="N784" i="68"/>
  <c r="I784" i="68" s="1"/>
  <c r="P783" i="68"/>
  <c r="O783" i="68"/>
  <c r="N783" i="68"/>
  <c r="I783" i="68" s="1"/>
  <c r="P782" i="68"/>
  <c r="O782" i="68"/>
  <c r="N782" i="68"/>
  <c r="I782" i="68" s="1"/>
  <c r="P781" i="68"/>
  <c r="O781" i="68"/>
  <c r="N781" i="68"/>
  <c r="I781" i="68" s="1"/>
  <c r="B781" i="68"/>
  <c r="B782" i="68" s="1"/>
  <c r="B783" i="68" s="1"/>
  <c r="B784" i="68" s="1"/>
  <c r="B785" i="68" s="1"/>
  <c r="B786" i="68" s="1"/>
  <c r="B787" i="68" s="1"/>
  <c r="B788" i="68" s="1"/>
  <c r="B789" i="68" s="1"/>
  <c r="P780" i="68"/>
  <c r="O780" i="68"/>
  <c r="N780" i="68"/>
  <c r="I780" i="68" s="1"/>
  <c r="B780" i="68"/>
  <c r="P779" i="68"/>
  <c r="O779" i="68"/>
  <c r="N779" i="68"/>
  <c r="I779" i="68" s="1"/>
  <c r="B765" i="68"/>
  <c r="B766" i="68" s="1"/>
  <c r="B767" i="68" s="1"/>
  <c r="B764" i="68"/>
  <c r="O746" i="68"/>
  <c r="I746" i="68" s="1"/>
  <c r="I745" i="68"/>
  <c r="O744" i="68"/>
  <c r="O743" i="68"/>
  <c r="O742" i="68"/>
  <c r="O741" i="68"/>
  <c r="O740" i="68"/>
  <c r="I739" i="68"/>
  <c r="O738" i="68"/>
  <c r="O737" i="68"/>
  <c r="I737" i="68" s="1"/>
  <c r="O736" i="68"/>
  <c r="O735" i="68"/>
  <c r="I735" i="68" s="1"/>
  <c r="O734" i="68"/>
  <c r="O733" i="68"/>
  <c r="O732" i="68"/>
  <c r="O731" i="68"/>
  <c r="O730" i="68"/>
  <c r="O729" i="68"/>
  <c r="O728" i="68"/>
  <c r="I728" i="68" s="1"/>
  <c r="O727" i="68"/>
  <c r="R726" i="68"/>
  <c r="O726" i="68"/>
  <c r="O725" i="68"/>
  <c r="O724" i="68"/>
  <c r="I724" i="68" s="1"/>
  <c r="O723" i="68"/>
  <c r="I723" i="68"/>
  <c r="O722" i="68"/>
  <c r="I722" i="68" s="1"/>
  <c r="O721" i="68"/>
  <c r="I721" i="68"/>
  <c r="O720" i="68"/>
  <c r="I720" i="68" s="1"/>
  <c r="O719" i="68"/>
  <c r="I719" i="68"/>
  <c r="O718" i="68"/>
  <c r="I718" i="68" s="1"/>
  <c r="O717" i="68"/>
  <c r="I717" i="68"/>
  <c r="O716" i="68"/>
  <c r="I716" i="68" s="1"/>
  <c r="O715" i="68"/>
  <c r="I715" i="68"/>
  <c r="N684" i="68"/>
  <c r="O635" i="68"/>
  <c r="B632" i="68"/>
  <c r="B633" i="68" s="1"/>
  <c r="B634" i="68" s="1"/>
  <c r="B635" i="68" s="1"/>
  <c r="B636" i="68" s="1"/>
  <c r="B637" i="68" s="1"/>
  <c r="B638" i="68" s="1"/>
  <c r="B639" i="68" s="1"/>
  <c r="B640" i="68" s="1"/>
  <c r="B641" i="68" s="1"/>
  <c r="B642" i="68" s="1"/>
  <c r="B643" i="68" s="1"/>
  <c r="B644" i="68" s="1"/>
  <c r="B645" i="68" s="1"/>
  <c r="B646" i="68" s="1"/>
  <c r="B647" i="68" s="1"/>
  <c r="B648" i="68" s="1"/>
  <c r="B649" i="68" s="1"/>
  <c r="B650" i="68" s="1"/>
  <c r="B651" i="68" s="1"/>
  <c r="B652" i="68" s="1"/>
  <c r="B653" i="68" s="1"/>
  <c r="B654" i="68" s="1"/>
  <c r="B655" i="68" s="1"/>
  <c r="B656" i="68" s="1"/>
  <c r="B657" i="68" s="1"/>
  <c r="B658" i="68" s="1"/>
  <c r="B659" i="68" s="1"/>
  <c r="B660" i="68" s="1"/>
  <c r="B661" i="68" s="1"/>
  <c r="B662" i="68" s="1"/>
  <c r="B663" i="68" s="1"/>
  <c r="B664" i="68" s="1"/>
  <c r="B665" i="68" s="1"/>
  <c r="B666" i="68" s="1"/>
  <c r="B667" i="68" s="1"/>
  <c r="B668" i="68" s="1"/>
  <c r="B669" i="68" s="1"/>
  <c r="B670" i="68" s="1"/>
  <c r="B671" i="68" s="1"/>
  <c r="B672" i="68" s="1"/>
  <c r="B673" i="68" s="1"/>
  <c r="B674" i="68" s="1"/>
  <c r="B675" i="68" s="1"/>
  <c r="B676" i="68" s="1"/>
  <c r="B677" i="68" s="1"/>
  <c r="B678" i="68" s="1"/>
  <c r="B679" i="68" s="1"/>
  <c r="B680" i="68" s="1"/>
  <c r="B681" i="68" s="1"/>
  <c r="B682" i="68" s="1"/>
  <c r="B683" i="68" s="1"/>
  <c r="B684" i="68" s="1"/>
  <c r="B685" i="68" s="1"/>
  <c r="B686" i="68" s="1"/>
  <c r="B687" i="68" s="1"/>
  <c r="B688" i="68" s="1"/>
  <c r="B689" i="68" s="1"/>
  <c r="B690" i="68" s="1"/>
  <c r="B691" i="68" s="1"/>
  <c r="B692" i="68" s="1"/>
  <c r="B693" i="68" s="1"/>
  <c r="B694" i="68" s="1"/>
  <c r="B695" i="68" s="1"/>
  <c r="B696" i="68" s="1"/>
  <c r="B697" i="68" s="1"/>
  <c r="B698" i="68" s="1"/>
  <c r="B699" i="68" s="1"/>
  <c r="B700" i="68" s="1"/>
  <c r="B701" i="68" s="1"/>
  <c r="B702" i="68" s="1"/>
  <c r="B703" i="68" s="1"/>
  <c r="B704" i="68" s="1"/>
  <c r="B705" i="68" s="1"/>
  <c r="B706" i="68" s="1"/>
  <c r="B707" i="68" s="1"/>
  <c r="B708" i="68" s="1"/>
  <c r="B709" i="68" s="1"/>
  <c r="B710" i="68" s="1"/>
  <c r="B711" i="68" s="1"/>
  <c r="B712" i="68" s="1"/>
  <c r="B713" i="68" s="1"/>
  <c r="B714" i="68" s="1"/>
  <c r="B715" i="68" s="1"/>
  <c r="B716" i="68" s="1"/>
  <c r="B717" i="68" s="1"/>
  <c r="B718" i="68" s="1"/>
  <c r="B719" i="68" s="1"/>
  <c r="B720" i="68" s="1"/>
  <c r="B721" i="68" s="1"/>
  <c r="B722" i="68" s="1"/>
  <c r="B723" i="68" s="1"/>
  <c r="B724" i="68" s="1"/>
  <c r="B725" i="68" s="1"/>
  <c r="B726" i="68" s="1"/>
  <c r="B727" i="68" s="1"/>
  <c r="B728" i="68" s="1"/>
  <c r="B729" i="68" s="1"/>
  <c r="B730" i="68" s="1"/>
  <c r="B731" i="68" s="1"/>
  <c r="B732" i="68" s="1"/>
  <c r="B733" i="68" s="1"/>
  <c r="B734" i="68" s="1"/>
  <c r="B735" i="68" s="1"/>
  <c r="B736" i="68" s="1"/>
  <c r="B737" i="68" s="1"/>
  <c r="B738" i="68" s="1"/>
  <c r="B739" i="68" s="1"/>
  <c r="B740" i="68" s="1"/>
  <c r="B741" i="68" s="1"/>
  <c r="B742" i="68" s="1"/>
  <c r="B743" i="68" s="1"/>
  <c r="B744" i="68" s="1"/>
  <c r="B745" i="68" s="1"/>
  <c r="B746" i="68" s="1"/>
  <c r="B747" i="68" s="1"/>
  <c r="B748" i="68" s="1"/>
  <c r="B749" i="68" s="1"/>
  <c r="B631" i="68"/>
  <c r="I629" i="68"/>
  <c r="H623" i="68"/>
  <c r="H622" i="68"/>
  <c r="H617" i="68"/>
  <c r="H616" i="68"/>
  <c r="N606" i="68"/>
  <c r="N605" i="68"/>
  <c r="N604" i="68"/>
  <c r="I602" i="68"/>
  <c r="I601" i="68"/>
  <c r="I600" i="68"/>
  <c r="I599" i="68"/>
  <c r="I598" i="68"/>
  <c r="I597" i="68"/>
  <c r="I596" i="68"/>
  <c r="I595" i="68"/>
  <c r="I594" i="68"/>
  <c r="I593" i="68"/>
  <c r="I592" i="68"/>
  <c r="I591" i="68"/>
  <c r="I590" i="68"/>
  <c r="I589" i="68"/>
  <c r="I588" i="68"/>
  <c r="I587" i="68"/>
  <c r="I586" i="68"/>
  <c r="I584" i="68"/>
  <c r="I583" i="68"/>
  <c r="I582" i="68"/>
  <c r="I581" i="68"/>
  <c r="I580" i="68"/>
  <c r="I579" i="68"/>
  <c r="I578" i="68"/>
  <c r="I577" i="68"/>
  <c r="I576" i="68"/>
  <c r="I575" i="68"/>
  <c r="I574" i="68"/>
  <c r="I573" i="68"/>
  <c r="I572" i="68"/>
  <c r="I571" i="68"/>
  <c r="I570" i="68"/>
  <c r="I569" i="68"/>
  <c r="I568" i="68"/>
  <c r="I567" i="68"/>
  <c r="P566" i="68"/>
  <c r="O566" i="68"/>
  <c r="N566" i="68"/>
  <c r="I566" i="68" s="1"/>
  <c r="I565" i="68"/>
  <c r="I564" i="68"/>
  <c r="I563" i="68"/>
  <c r="I562" i="68"/>
  <c r="I561" i="68"/>
  <c r="I560" i="68"/>
  <c r="I559" i="68"/>
  <c r="I558" i="68"/>
  <c r="I557" i="68"/>
  <c r="I556" i="68"/>
  <c r="I555" i="68"/>
  <c r="I554" i="68"/>
  <c r="I553" i="68"/>
  <c r="I552" i="68"/>
  <c r="I551" i="68"/>
  <c r="P550" i="68"/>
  <c r="O550" i="68"/>
  <c r="N550" i="68"/>
  <c r="I550" i="68" s="1"/>
  <c r="P549" i="68"/>
  <c r="O549" i="68"/>
  <c r="N549" i="68"/>
  <c r="I549" i="68" s="1"/>
  <c r="P546" i="68"/>
  <c r="O546" i="68"/>
  <c r="N546" i="68"/>
  <c r="I546" i="68" s="1"/>
  <c r="P545" i="68"/>
  <c r="O545" i="68"/>
  <c r="N545" i="68"/>
  <c r="I545" i="68" s="1"/>
  <c r="P544" i="68"/>
  <c r="O544" i="68"/>
  <c r="N544" i="68"/>
  <c r="I544" i="68" s="1"/>
  <c r="P541" i="68"/>
  <c r="O541" i="68"/>
  <c r="N541" i="68"/>
  <c r="I541" i="68" s="1"/>
  <c r="P540" i="68"/>
  <c r="O540" i="68"/>
  <c r="N540" i="68"/>
  <c r="I540" i="68" s="1"/>
  <c r="P539" i="68"/>
  <c r="O539" i="68"/>
  <c r="N539" i="68"/>
  <c r="I539" i="68" s="1"/>
  <c r="P538" i="68"/>
  <c r="O538" i="68"/>
  <c r="N538" i="68"/>
  <c r="I538" i="68" s="1"/>
  <c r="P537" i="68"/>
  <c r="O537" i="68"/>
  <c r="N537" i="68"/>
  <c r="I537" i="68" s="1"/>
  <c r="P536" i="68"/>
  <c r="O536" i="68"/>
  <c r="N536" i="68"/>
  <c r="I536" i="68" s="1"/>
  <c r="P535" i="68"/>
  <c r="O535" i="68"/>
  <c r="N535" i="68"/>
  <c r="I535" i="68" s="1"/>
  <c r="P534" i="68"/>
  <c r="O534" i="68"/>
  <c r="N534" i="68"/>
  <c r="I534" i="68" s="1"/>
  <c r="P533" i="68"/>
  <c r="O533" i="68"/>
  <c r="N533" i="68"/>
  <c r="I533" i="68" s="1"/>
  <c r="P532" i="68"/>
  <c r="O532" i="68"/>
  <c r="N532" i="68"/>
  <c r="I532" i="68" s="1"/>
  <c r="N531" i="68"/>
  <c r="I531" i="68" s="1"/>
  <c r="P530" i="68"/>
  <c r="O530" i="68"/>
  <c r="N530" i="68"/>
  <c r="I530" i="68" s="1"/>
  <c r="N529" i="68"/>
  <c r="I529" i="68" s="1"/>
  <c r="N528" i="68"/>
  <c r="I528" i="68" s="1"/>
  <c r="P527" i="68"/>
  <c r="O527" i="68"/>
  <c r="N527" i="68"/>
  <c r="I527" i="68" s="1"/>
  <c r="P526" i="68"/>
  <c r="O526" i="68"/>
  <c r="N526" i="68"/>
  <c r="I526" i="68" s="1"/>
  <c r="P525" i="68"/>
  <c r="O525" i="68"/>
  <c r="N525" i="68"/>
  <c r="I525" i="68" s="1"/>
  <c r="P524" i="68"/>
  <c r="O524" i="68"/>
  <c r="N524" i="68"/>
  <c r="I524" i="68" s="1"/>
  <c r="P523" i="68"/>
  <c r="O523" i="68"/>
  <c r="N523" i="68"/>
  <c r="I523" i="68" s="1"/>
  <c r="P522" i="68"/>
  <c r="O522" i="68"/>
  <c r="N522" i="68"/>
  <c r="I522" i="68" s="1"/>
  <c r="P521" i="68"/>
  <c r="O521" i="68"/>
  <c r="N521" i="68"/>
  <c r="I521" i="68" s="1"/>
  <c r="P520" i="68"/>
  <c r="O520" i="68"/>
  <c r="N520" i="68"/>
  <c r="I520" i="68" s="1"/>
  <c r="P519" i="68"/>
  <c r="O519" i="68"/>
  <c r="N519" i="68"/>
  <c r="I519" i="68" s="1"/>
  <c r="P518" i="68"/>
  <c r="O518" i="68"/>
  <c r="N518" i="68"/>
  <c r="I518" i="68" s="1"/>
  <c r="P517" i="68"/>
  <c r="O517" i="68"/>
  <c r="N517" i="68"/>
  <c r="I517" i="68" s="1"/>
  <c r="N516" i="68"/>
  <c r="I516" i="68" s="1"/>
  <c r="N515" i="68"/>
  <c r="I515" i="68" s="1"/>
  <c r="N514" i="68"/>
  <c r="I514" i="68" s="1"/>
  <c r="N513" i="68"/>
  <c r="I513" i="68" s="1"/>
  <c r="P512" i="68"/>
  <c r="O512" i="68"/>
  <c r="N512" i="68"/>
  <c r="I512" i="68" s="1"/>
  <c r="P511" i="68"/>
  <c r="O511" i="68"/>
  <c r="N511" i="68"/>
  <c r="I511" i="68" s="1"/>
  <c r="P509" i="68"/>
  <c r="O509" i="68"/>
  <c r="N509" i="68"/>
  <c r="I509" i="68" s="1"/>
  <c r="P508" i="68"/>
  <c r="O508" i="68"/>
  <c r="N508" i="68"/>
  <c r="I508" i="68" s="1"/>
  <c r="P507" i="68"/>
  <c r="O507" i="68"/>
  <c r="N507" i="68"/>
  <c r="I507" i="68" s="1"/>
  <c r="P506" i="68"/>
  <c r="O506" i="68"/>
  <c r="N506" i="68"/>
  <c r="I506" i="68" s="1"/>
  <c r="P505" i="68"/>
  <c r="O505" i="68"/>
  <c r="N505" i="68"/>
  <c r="I505" i="68" s="1"/>
  <c r="P504" i="68"/>
  <c r="O504" i="68"/>
  <c r="N504" i="68"/>
  <c r="I504" i="68" s="1"/>
  <c r="P503" i="68"/>
  <c r="O503" i="68"/>
  <c r="N503" i="68"/>
  <c r="I503" i="68" s="1"/>
  <c r="N502" i="68"/>
  <c r="I502" i="68" s="1"/>
  <c r="N501" i="68"/>
  <c r="I501" i="68" s="1"/>
  <c r="P500" i="68"/>
  <c r="O500" i="68"/>
  <c r="N500" i="68"/>
  <c r="I500" i="68" s="1"/>
  <c r="P499" i="68"/>
  <c r="O499" i="68"/>
  <c r="N499" i="68"/>
  <c r="I499" i="68" s="1"/>
  <c r="N498" i="68"/>
  <c r="I498" i="68" s="1"/>
  <c r="N497" i="68"/>
  <c r="I497" i="68" s="1"/>
  <c r="P496" i="68"/>
  <c r="O496" i="68"/>
  <c r="N496" i="68"/>
  <c r="I496" i="68" s="1"/>
  <c r="P495" i="68"/>
  <c r="O495" i="68"/>
  <c r="N495" i="68"/>
  <c r="I495" i="68" s="1"/>
  <c r="P494" i="68"/>
  <c r="O494" i="68"/>
  <c r="N494" i="68"/>
  <c r="I494" i="68" s="1"/>
  <c r="P493" i="68"/>
  <c r="O493" i="68"/>
  <c r="N493" i="68"/>
  <c r="I493" i="68" s="1"/>
  <c r="P492" i="68"/>
  <c r="O492" i="68"/>
  <c r="N492" i="68"/>
  <c r="I492" i="68" s="1"/>
  <c r="N491" i="68"/>
  <c r="I491" i="68" s="1"/>
  <c r="P490" i="68"/>
  <c r="O490" i="68"/>
  <c r="N490" i="68"/>
  <c r="I490" i="68" s="1"/>
  <c r="N489" i="68"/>
  <c r="I489" i="68" s="1"/>
  <c r="P488" i="68"/>
  <c r="O488" i="68"/>
  <c r="N488" i="68"/>
  <c r="I488" i="68" s="1"/>
  <c r="P487" i="68"/>
  <c r="O487" i="68"/>
  <c r="N487" i="68"/>
  <c r="I487" i="68" s="1"/>
  <c r="P486" i="68"/>
  <c r="O486" i="68"/>
  <c r="N486" i="68"/>
  <c r="I486" i="68" s="1"/>
  <c r="P485" i="68"/>
  <c r="O485" i="68"/>
  <c r="N485" i="68"/>
  <c r="I485" i="68" s="1"/>
  <c r="P484" i="68"/>
  <c r="O484" i="68"/>
  <c r="N484" i="68"/>
  <c r="I484" i="68" s="1"/>
  <c r="P483" i="68"/>
  <c r="O483" i="68"/>
  <c r="N483" i="68"/>
  <c r="I483" i="68" s="1"/>
  <c r="N482" i="68"/>
  <c r="I482" i="68" s="1"/>
  <c r="N481" i="68"/>
  <c r="I481" i="68" s="1"/>
  <c r="N480" i="68"/>
  <c r="I480" i="68" s="1"/>
  <c r="N479" i="68"/>
  <c r="I479" i="68" s="1"/>
  <c r="N478" i="68"/>
  <c r="I478" i="68" s="1"/>
  <c r="N477" i="68"/>
  <c r="I477" i="68" s="1"/>
  <c r="P476" i="68"/>
  <c r="O476" i="68"/>
  <c r="N476" i="68"/>
  <c r="I476" i="68" s="1"/>
  <c r="P475" i="68"/>
  <c r="O475" i="68"/>
  <c r="N475" i="68"/>
  <c r="I475" i="68" s="1"/>
  <c r="P474" i="68"/>
  <c r="O474" i="68"/>
  <c r="N474" i="68"/>
  <c r="I474" i="68" s="1"/>
  <c r="P473" i="68"/>
  <c r="O473" i="68"/>
  <c r="N473" i="68"/>
  <c r="I473" i="68" s="1"/>
  <c r="P472" i="68"/>
  <c r="O472" i="68"/>
  <c r="N472" i="68"/>
  <c r="I472" i="68" s="1"/>
  <c r="P471" i="68"/>
  <c r="O471" i="68"/>
  <c r="N471" i="68"/>
  <c r="I471" i="68" s="1"/>
  <c r="P470" i="68"/>
  <c r="O470" i="68"/>
  <c r="N470" i="68"/>
  <c r="I470" i="68" s="1"/>
  <c r="P469" i="68"/>
  <c r="O469" i="68"/>
  <c r="N469" i="68"/>
  <c r="I469" i="68" s="1"/>
  <c r="P468" i="68"/>
  <c r="O468" i="68"/>
  <c r="N468" i="68"/>
  <c r="I468" i="68" s="1"/>
  <c r="P467" i="68"/>
  <c r="O467" i="68"/>
  <c r="N467" i="68"/>
  <c r="I467" i="68" s="1"/>
  <c r="P466" i="68"/>
  <c r="O466" i="68"/>
  <c r="N466" i="68"/>
  <c r="I466" i="68" s="1"/>
  <c r="P465" i="68"/>
  <c r="O465" i="68"/>
  <c r="N465" i="68"/>
  <c r="I465" i="68" s="1"/>
  <c r="N464" i="68"/>
  <c r="I464" i="68" s="1"/>
  <c r="N463" i="68"/>
  <c r="I463" i="68" s="1"/>
  <c r="P462" i="68"/>
  <c r="O462" i="68"/>
  <c r="N462" i="68"/>
  <c r="I462" i="68" s="1"/>
  <c r="P461" i="68"/>
  <c r="O461" i="68"/>
  <c r="N461" i="68"/>
  <c r="I461" i="68" s="1"/>
  <c r="P460" i="68"/>
  <c r="O460" i="68"/>
  <c r="N460" i="68"/>
  <c r="I460" i="68" s="1"/>
  <c r="P459" i="68"/>
  <c r="O459" i="68"/>
  <c r="N459" i="68"/>
  <c r="I459" i="68" s="1"/>
  <c r="P458" i="68"/>
  <c r="O458" i="68"/>
  <c r="N458" i="68"/>
  <c r="I458" i="68" s="1"/>
  <c r="P457" i="68"/>
  <c r="O457" i="68"/>
  <c r="N457" i="68"/>
  <c r="I457" i="68" s="1"/>
  <c r="P456" i="68"/>
  <c r="O456" i="68"/>
  <c r="N456" i="68"/>
  <c r="I456" i="68" s="1"/>
  <c r="P455" i="68"/>
  <c r="O455" i="68"/>
  <c r="N455" i="68"/>
  <c r="I455" i="68" s="1"/>
  <c r="P454" i="68"/>
  <c r="O454" i="68"/>
  <c r="N454" i="68"/>
  <c r="I454" i="68" s="1"/>
  <c r="P453" i="68"/>
  <c r="O453" i="68"/>
  <c r="N453" i="68"/>
  <c r="I453" i="68" s="1"/>
  <c r="P452" i="68"/>
  <c r="O452" i="68"/>
  <c r="N452" i="68"/>
  <c r="I452" i="68" s="1"/>
  <c r="P451" i="68"/>
  <c r="O451" i="68"/>
  <c r="N451" i="68"/>
  <c r="I451" i="68" s="1"/>
  <c r="N450" i="68"/>
  <c r="I450" i="68" s="1"/>
  <c r="P449" i="68"/>
  <c r="O449" i="68"/>
  <c r="N449" i="68"/>
  <c r="I449" i="68" s="1"/>
  <c r="P448" i="68"/>
  <c r="O448" i="68"/>
  <c r="N448" i="68"/>
  <c r="I448" i="68" s="1"/>
  <c r="P447" i="68"/>
  <c r="O447" i="68"/>
  <c r="N447" i="68"/>
  <c r="I447" i="68" s="1"/>
  <c r="P446" i="68"/>
  <c r="O446" i="68"/>
  <c r="N446" i="68"/>
  <c r="I446" i="68" s="1"/>
  <c r="P445" i="68"/>
  <c r="O445" i="68"/>
  <c r="N445" i="68"/>
  <c r="I445" i="68" s="1"/>
  <c r="N444" i="68"/>
  <c r="I444" i="68" s="1"/>
  <c r="P443" i="68"/>
  <c r="O443" i="68"/>
  <c r="N443" i="68"/>
  <c r="I443" i="68" s="1"/>
  <c r="P442" i="68"/>
  <c r="O442" i="68"/>
  <c r="N442" i="68"/>
  <c r="I442" i="68" s="1"/>
  <c r="P441" i="68"/>
  <c r="O441" i="68"/>
  <c r="N441" i="68"/>
  <c r="I441" i="68" s="1"/>
  <c r="P440" i="68"/>
  <c r="O440" i="68"/>
  <c r="N440" i="68"/>
  <c r="I440" i="68" s="1"/>
  <c r="P439" i="68"/>
  <c r="O439" i="68"/>
  <c r="N439" i="68"/>
  <c r="I439" i="68" s="1"/>
  <c r="P438" i="68"/>
  <c r="O438" i="68"/>
  <c r="N438" i="68"/>
  <c r="I438" i="68" s="1"/>
  <c r="P437" i="68"/>
  <c r="O437" i="68"/>
  <c r="N437" i="68"/>
  <c r="I437" i="68" s="1"/>
  <c r="P436" i="68"/>
  <c r="O436" i="68"/>
  <c r="N436" i="68"/>
  <c r="I436" i="68" s="1"/>
  <c r="P435" i="68"/>
  <c r="O435" i="68"/>
  <c r="N435" i="68"/>
  <c r="I435" i="68" s="1"/>
  <c r="I434" i="68"/>
  <c r="P433" i="68"/>
  <c r="O433" i="68"/>
  <c r="N433" i="68"/>
  <c r="I433" i="68" s="1"/>
  <c r="P432" i="68"/>
  <c r="O432" i="68"/>
  <c r="N432" i="68"/>
  <c r="I432" i="68" s="1"/>
  <c r="P431" i="68"/>
  <c r="O431" i="68"/>
  <c r="N431" i="68"/>
  <c r="I431" i="68" s="1"/>
  <c r="P430" i="68"/>
  <c r="O430" i="68"/>
  <c r="N430" i="68"/>
  <c r="I430" i="68" s="1"/>
  <c r="P429" i="68"/>
  <c r="O429" i="68"/>
  <c r="N429" i="68"/>
  <c r="I429" i="68" s="1"/>
  <c r="P428" i="68"/>
  <c r="O428" i="68"/>
  <c r="N428" i="68"/>
  <c r="I428" i="68" s="1"/>
  <c r="P427" i="68"/>
  <c r="O427" i="68"/>
  <c r="N427" i="68"/>
  <c r="I427" i="68" s="1"/>
  <c r="P426" i="68"/>
  <c r="O426" i="68"/>
  <c r="N426" i="68"/>
  <c r="I426" i="68" s="1"/>
  <c r="P425" i="68"/>
  <c r="O425" i="68"/>
  <c r="N425" i="68"/>
  <c r="I425" i="68" s="1"/>
  <c r="P424" i="68"/>
  <c r="O424" i="68"/>
  <c r="N424" i="68"/>
  <c r="I424" i="68" s="1"/>
  <c r="P423" i="68"/>
  <c r="O423" i="68"/>
  <c r="N423" i="68"/>
  <c r="I423" i="68" s="1"/>
  <c r="P422" i="68"/>
  <c r="O422" i="68"/>
  <c r="N422" i="68"/>
  <c r="I422" i="68" s="1"/>
  <c r="P421" i="68"/>
  <c r="O421" i="68"/>
  <c r="N421" i="68"/>
  <c r="I421" i="68" s="1"/>
  <c r="P420" i="68"/>
  <c r="O420" i="68"/>
  <c r="N420" i="68"/>
  <c r="I420" i="68" s="1"/>
  <c r="P419" i="68"/>
  <c r="O419" i="68"/>
  <c r="N419" i="68"/>
  <c r="I419" i="68" s="1"/>
  <c r="P418" i="68"/>
  <c r="O418" i="68"/>
  <c r="N418" i="68"/>
  <c r="I418" i="68" s="1"/>
  <c r="P417" i="68"/>
  <c r="O417" i="68"/>
  <c r="N417" i="68"/>
  <c r="I417" i="68" s="1"/>
  <c r="P416" i="68"/>
  <c r="O416" i="68"/>
  <c r="N416" i="68"/>
  <c r="I416" i="68" s="1"/>
  <c r="P415" i="68"/>
  <c r="O415" i="68"/>
  <c r="N415" i="68"/>
  <c r="I415" i="68" s="1"/>
  <c r="P414" i="68"/>
  <c r="O414" i="68"/>
  <c r="N414" i="68"/>
  <c r="I414" i="68" s="1"/>
  <c r="P413" i="68"/>
  <c r="O413" i="68"/>
  <c r="N413" i="68"/>
  <c r="I413" i="68" s="1"/>
  <c r="P412" i="68"/>
  <c r="O412" i="68"/>
  <c r="N412" i="68"/>
  <c r="I412" i="68" s="1"/>
  <c r="P411" i="68"/>
  <c r="O411" i="68"/>
  <c r="N411" i="68"/>
  <c r="I411" i="68" s="1"/>
  <c r="P410" i="68"/>
  <c r="O410" i="68"/>
  <c r="N410" i="68"/>
  <c r="I410" i="68" s="1"/>
  <c r="N409" i="68"/>
  <c r="I409" i="68" s="1"/>
  <c r="P408" i="68"/>
  <c r="O408" i="68"/>
  <c r="N408" i="68"/>
  <c r="I408" i="68" s="1"/>
  <c r="P407" i="68"/>
  <c r="O407" i="68"/>
  <c r="N407" i="68"/>
  <c r="I407" i="68" s="1"/>
  <c r="P406" i="68"/>
  <c r="O406" i="68"/>
  <c r="N406" i="68"/>
  <c r="I406" i="68" s="1"/>
  <c r="P405" i="68"/>
  <c r="O405" i="68"/>
  <c r="N405" i="68"/>
  <c r="I405" i="68" s="1"/>
  <c r="P404" i="68"/>
  <c r="O404" i="68"/>
  <c r="N404" i="68"/>
  <c r="I404" i="68" s="1"/>
  <c r="P403" i="68"/>
  <c r="O403" i="68"/>
  <c r="N403" i="68"/>
  <c r="I403" i="68" s="1"/>
  <c r="P402" i="68"/>
  <c r="O402" i="68"/>
  <c r="N402" i="68"/>
  <c r="I402" i="68" s="1"/>
  <c r="P401" i="68"/>
  <c r="O401" i="68"/>
  <c r="N401" i="68"/>
  <c r="I401" i="68" s="1"/>
  <c r="P400" i="68"/>
  <c r="O400" i="68"/>
  <c r="N400" i="68"/>
  <c r="I400" i="68" s="1"/>
  <c r="P399" i="68"/>
  <c r="O399" i="68"/>
  <c r="N399" i="68"/>
  <c r="I399" i="68" s="1"/>
  <c r="P398" i="68"/>
  <c r="O398" i="68"/>
  <c r="N398" i="68"/>
  <c r="I398" i="68" s="1"/>
  <c r="P397" i="68"/>
  <c r="O397" i="68"/>
  <c r="N397" i="68"/>
  <c r="I397" i="68" s="1"/>
  <c r="P396" i="68"/>
  <c r="O396" i="68"/>
  <c r="N396" i="68"/>
  <c r="I396" i="68" s="1"/>
  <c r="P395" i="68"/>
  <c r="O395" i="68"/>
  <c r="N395" i="68"/>
  <c r="I395" i="68" s="1"/>
  <c r="P394" i="68"/>
  <c r="O394" i="68"/>
  <c r="N394" i="68"/>
  <c r="I394" i="68" s="1"/>
  <c r="P393" i="68"/>
  <c r="O393" i="68"/>
  <c r="N393" i="68"/>
  <c r="I393" i="68" s="1"/>
  <c r="P392" i="68"/>
  <c r="O392" i="68"/>
  <c r="N392" i="68"/>
  <c r="I392" i="68" s="1"/>
  <c r="P391" i="68"/>
  <c r="O391" i="68"/>
  <c r="N391" i="68"/>
  <c r="I391" i="68" s="1"/>
  <c r="P390" i="68"/>
  <c r="O390" i="68"/>
  <c r="N390" i="68"/>
  <c r="I390" i="68" s="1"/>
  <c r="P389" i="68"/>
  <c r="O389" i="68"/>
  <c r="N389" i="68"/>
  <c r="I389" i="68" s="1"/>
  <c r="P388" i="68"/>
  <c r="O388" i="68"/>
  <c r="N388" i="68"/>
  <c r="I388" i="68" s="1"/>
  <c r="P387" i="68"/>
  <c r="O387" i="68"/>
  <c r="N387" i="68"/>
  <c r="I387" i="68" s="1"/>
  <c r="P386" i="68"/>
  <c r="O386" i="68"/>
  <c r="N386" i="68"/>
  <c r="I386" i="68" s="1"/>
  <c r="P385" i="68"/>
  <c r="O385" i="68"/>
  <c r="N385" i="68"/>
  <c r="I385" i="68" s="1"/>
  <c r="P384" i="68"/>
  <c r="O384" i="68"/>
  <c r="N384" i="68"/>
  <c r="I384" i="68" s="1"/>
  <c r="P383" i="68"/>
  <c r="O383" i="68"/>
  <c r="N383" i="68"/>
  <c r="I383" i="68" s="1"/>
  <c r="N381" i="68"/>
  <c r="I381" i="68" s="1"/>
  <c r="N380" i="68"/>
  <c r="I380" i="68" s="1"/>
  <c r="P379" i="68"/>
  <c r="O379" i="68"/>
  <c r="N379" i="68"/>
  <c r="I379" i="68" s="1"/>
  <c r="P378" i="68"/>
  <c r="O378" i="68"/>
  <c r="N378" i="68"/>
  <c r="I378" i="68" s="1"/>
  <c r="P377" i="68"/>
  <c r="O377" i="68"/>
  <c r="N377" i="68"/>
  <c r="I377" i="68" s="1"/>
  <c r="P376" i="68"/>
  <c r="O376" i="68"/>
  <c r="N376" i="68"/>
  <c r="I376" i="68" s="1"/>
  <c r="P375" i="68"/>
  <c r="O375" i="68"/>
  <c r="N375" i="68"/>
  <c r="I375" i="68" s="1"/>
  <c r="P374" i="68"/>
  <c r="O374" i="68"/>
  <c r="N374" i="68"/>
  <c r="I374" i="68" s="1"/>
  <c r="P373" i="68"/>
  <c r="O373" i="68"/>
  <c r="N373" i="68"/>
  <c r="I373" i="68" s="1"/>
  <c r="P372" i="68"/>
  <c r="O372" i="68"/>
  <c r="N372" i="68"/>
  <c r="I372" i="68" s="1"/>
  <c r="P371" i="68"/>
  <c r="O371" i="68"/>
  <c r="N371" i="68"/>
  <c r="I371" i="68" s="1"/>
  <c r="P370" i="68"/>
  <c r="O370" i="68"/>
  <c r="N370" i="68"/>
  <c r="I370" i="68" s="1"/>
  <c r="P369" i="68"/>
  <c r="O369" i="68"/>
  <c r="N369" i="68"/>
  <c r="I369" i="68" s="1"/>
  <c r="P368" i="68"/>
  <c r="O368" i="68"/>
  <c r="N368" i="68"/>
  <c r="I368" i="68" s="1"/>
  <c r="P367" i="68"/>
  <c r="O367" i="68"/>
  <c r="N367" i="68"/>
  <c r="I367" i="68" s="1"/>
  <c r="P366" i="68"/>
  <c r="O366" i="68"/>
  <c r="N366" i="68"/>
  <c r="I366" i="68" s="1"/>
  <c r="P365" i="68"/>
  <c r="O365" i="68"/>
  <c r="N365" i="68"/>
  <c r="I365" i="68" s="1"/>
  <c r="P364" i="68"/>
  <c r="O364" i="68"/>
  <c r="N364" i="68"/>
  <c r="I364" i="68" s="1"/>
  <c r="P363" i="68"/>
  <c r="O363" i="68"/>
  <c r="N363" i="68"/>
  <c r="I363" i="68" s="1"/>
  <c r="N362" i="68"/>
  <c r="I362" i="68" s="1"/>
  <c r="N361" i="68"/>
  <c r="I361" i="68" s="1"/>
  <c r="P360" i="68"/>
  <c r="O360" i="68"/>
  <c r="N360" i="68"/>
  <c r="I360" i="68" s="1"/>
  <c r="P359" i="68"/>
  <c r="O359" i="68"/>
  <c r="N359" i="68"/>
  <c r="I359" i="68" s="1"/>
  <c r="P358" i="68"/>
  <c r="O358" i="68"/>
  <c r="N358" i="68"/>
  <c r="I358" i="68" s="1"/>
  <c r="P357" i="68"/>
  <c r="O357" i="68"/>
  <c r="N357" i="68"/>
  <c r="I357" i="68" s="1"/>
  <c r="P356" i="68"/>
  <c r="O356" i="68"/>
  <c r="N356" i="68"/>
  <c r="I356" i="68" s="1"/>
  <c r="P355" i="68"/>
  <c r="O355" i="68"/>
  <c r="N355" i="68"/>
  <c r="I355" i="68" s="1"/>
  <c r="P354" i="68"/>
  <c r="O354" i="68"/>
  <c r="N354" i="68"/>
  <c r="I354" i="68" s="1"/>
  <c r="N353" i="68"/>
  <c r="I353" i="68" s="1"/>
  <c r="N352" i="68"/>
  <c r="I352" i="68" s="1"/>
  <c r="N351" i="68"/>
  <c r="I351" i="68" s="1"/>
  <c r="P350" i="68"/>
  <c r="O350" i="68"/>
  <c r="N350" i="68"/>
  <c r="I350" i="68" s="1"/>
  <c r="P349" i="68"/>
  <c r="O349" i="68"/>
  <c r="N349" i="68"/>
  <c r="I349" i="68" s="1"/>
  <c r="P348" i="68"/>
  <c r="O348" i="68"/>
  <c r="N348" i="68"/>
  <c r="I348" i="68" s="1"/>
  <c r="P347" i="68"/>
  <c r="O347" i="68"/>
  <c r="N347" i="68"/>
  <c r="I347" i="68" s="1"/>
  <c r="P346" i="68"/>
  <c r="O346" i="68"/>
  <c r="N346" i="68"/>
  <c r="I346" i="68" s="1"/>
  <c r="N345" i="68"/>
  <c r="I345" i="68" s="1"/>
  <c r="N344" i="68"/>
  <c r="I344" i="68" s="1"/>
  <c r="P343" i="68"/>
  <c r="O343" i="68"/>
  <c r="N343" i="68"/>
  <c r="I343" i="68" s="1"/>
  <c r="P342" i="68"/>
  <c r="O342" i="68"/>
  <c r="N342" i="68"/>
  <c r="I342" i="68" s="1"/>
  <c r="P341" i="68"/>
  <c r="O341" i="68"/>
  <c r="N341" i="68"/>
  <c r="I341" i="68" s="1"/>
  <c r="P340" i="68"/>
  <c r="O340" i="68"/>
  <c r="N340" i="68"/>
  <c r="I340" i="68" s="1"/>
  <c r="P339" i="68"/>
  <c r="O339" i="68"/>
  <c r="N339" i="68"/>
  <c r="I339" i="68" s="1"/>
  <c r="P338" i="68"/>
  <c r="O338" i="68"/>
  <c r="N338" i="68"/>
  <c r="I338" i="68" s="1"/>
  <c r="P337" i="68"/>
  <c r="O337" i="68"/>
  <c r="N337" i="68"/>
  <c r="I337" i="68" s="1"/>
  <c r="N336" i="68"/>
  <c r="I336" i="68" s="1"/>
  <c r="P335" i="68"/>
  <c r="O335" i="68"/>
  <c r="N335" i="68"/>
  <c r="I335" i="68" s="1"/>
  <c r="P334" i="68"/>
  <c r="O334" i="68"/>
  <c r="N334" i="68"/>
  <c r="I334" i="68" s="1"/>
  <c r="P333" i="68"/>
  <c r="O333" i="68"/>
  <c r="N333" i="68"/>
  <c r="I333" i="68" s="1"/>
  <c r="P332" i="68"/>
  <c r="O332" i="68"/>
  <c r="N332" i="68"/>
  <c r="I332" i="68" s="1"/>
  <c r="P331" i="68"/>
  <c r="O331" i="68"/>
  <c r="N331" i="68"/>
  <c r="I331" i="68" s="1"/>
  <c r="P330" i="68"/>
  <c r="O330" i="68"/>
  <c r="N330" i="68"/>
  <c r="I330" i="68" s="1"/>
  <c r="P329" i="68"/>
  <c r="O329" i="68"/>
  <c r="N329" i="68"/>
  <c r="I329" i="68" s="1"/>
  <c r="P328" i="68"/>
  <c r="O328" i="68"/>
  <c r="N328" i="68"/>
  <c r="I328" i="68" s="1"/>
  <c r="P327" i="68"/>
  <c r="O327" i="68"/>
  <c r="N327" i="68"/>
  <c r="I327" i="68" s="1"/>
  <c r="P326" i="68"/>
  <c r="O326" i="68"/>
  <c r="N326" i="68"/>
  <c r="I326" i="68" s="1"/>
  <c r="N325" i="68"/>
  <c r="I325" i="68" s="1"/>
  <c r="P324" i="68"/>
  <c r="O324" i="68"/>
  <c r="N324" i="68"/>
  <c r="I324" i="68" s="1"/>
  <c r="P323" i="68"/>
  <c r="O323" i="68"/>
  <c r="N323" i="68"/>
  <c r="I323" i="68" s="1"/>
  <c r="P322" i="68"/>
  <c r="O322" i="68"/>
  <c r="N322" i="68"/>
  <c r="I322" i="68" s="1"/>
  <c r="P321" i="68"/>
  <c r="O321" i="68"/>
  <c r="N321" i="68"/>
  <c r="I321" i="68" s="1"/>
  <c r="P320" i="68"/>
  <c r="O320" i="68"/>
  <c r="N320" i="68"/>
  <c r="I320" i="68" s="1"/>
  <c r="P319" i="68"/>
  <c r="O319" i="68"/>
  <c r="N319" i="68"/>
  <c r="I319" i="68" s="1"/>
  <c r="P318" i="68"/>
  <c r="O318" i="68"/>
  <c r="N318" i="68"/>
  <c r="I318" i="68" s="1"/>
  <c r="P317" i="68"/>
  <c r="O317" i="68"/>
  <c r="N317" i="68"/>
  <c r="I317" i="68" s="1"/>
  <c r="P316" i="68"/>
  <c r="O316" i="68"/>
  <c r="N316" i="68"/>
  <c r="I316" i="68" s="1"/>
  <c r="P315" i="68"/>
  <c r="O315" i="68"/>
  <c r="N315" i="68"/>
  <c r="I315" i="68" s="1"/>
  <c r="P314" i="68"/>
  <c r="O314" i="68"/>
  <c r="N314" i="68"/>
  <c r="I314" i="68" s="1"/>
  <c r="P313" i="68"/>
  <c r="O313" i="68"/>
  <c r="N313" i="68"/>
  <c r="I313" i="68" s="1"/>
  <c r="P312" i="68"/>
  <c r="O312" i="68"/>
  <c r="N312" i="68"/>
  <c r="I312" i="68" s="1"/>
  <c r="N311" i="68"/>
  <c r="I311" i="68" s="1"/>
  <c r="P310" i="68"/>
  <c r="O310" i="68"/>
  <c r="N310" i="68"/>
  <c r="I310" i="68" s="1"/>
  <c r="P309" i="68"/>
  <c r="O309" i="68"/>
  <c r="N309" i="68"/>
  <c r="I309" i="68" s="1"/>
  <c r="P308" i="68"/>
  <c r="O308" i="68"/>
  <c r="N308" i="68"/>
  <c r="I308" i="68" s="1"/>
  <c r="P307" i="68"/>
  <c r="O307" i="68"/>
  <c r="N307" i="68"/>
  <c r="I307" i="68" s="1"/>
  <c r="P306" i="68"/>
  <c r="O306" i="68"/>
  <c r="N306" i="68"/>
  <c r="I306" i="68" s="1"/>
  <c r="P305" i="68"/>
  <c r="O305" i="68"/>
  <c r="N305" i="68"/>
  <c r="I305" i="68" s="1"/>
  <c r="P304" i="68"/>
  <c r="O304" i="68"/>
  <c r="N304" i="68"/>
  <c r="I304" i="68" s="1"/>
  <c r="P303" i="68"/>
  <c r="O303" i="68"/>
  <c r="N303" i="68"/>
  <c r="I303" i="68" s="1"/>
  <c r="P302" i="68"/>
  <c r="O302" i="68"/>
  <c r="N302" i="68"/>
  <c r="I302" i="68" s="1"/>
  <c r="P301" i="68"/>
  <c r="O301" i="68"/>
  <c r="N301" i="68"/>
  <c r="I301" i="68" s="1"/>
  <c r="N300" i="68"/>
  <c r="I300" i="68" s="1"/>
  <c r="P299" i="68"/>
  <c r="O299" i="68"/>
  <c r="N299" i="68"/>
  <c r="I299" i="68" s="1"/>
  <c r="P298" i="68"/>
  <c r="O298" i="68"/>
  <c r="N298" i="68"/>
  <c r="I298" i="68" s="1"/>
  <c r="N297" i="68"/>
  <c r="I297" i="68" s="1"/>
  <c r="P296" i="68"/>
  <c r="O296" i="68"/>
  <c r="N296" i="68"/>
  <c r="I296" i="68" s="1"/>
  <c r="P295" i="68"/>
  <c r="O295" i="68"/>
  <c r="N295" i="68"/>
  <c r="I295" i="68" s="1"/>
  <c r="P294" i="68"/>
  <c r="O294" i="68"/>
  <c r="N294" i="68"/>
  <c r="I294" i="68" s="1"/>
  <c r="P293" i="68"/>
  <c r="O293" i="68"/>
  <c r="N293" i="68"/>
  <c r="I293" i="68" s="1"/>
  <c r="P292" i="68"/>
  <c r="O292" i="68"/>
  <c r="N292" i="68"/>
  <c r="I292" i="68" s="1"/>
  <c r="P291" i="68"/>
  <c r="O291" i="68"/>
  <c r="N291" i="68"/>
  <c r="I291" i="68" s="1"/>
  <c r="P290" i="68"/>
  <c r="O290" i="68"/>
  <c r="N290" i="68"/>
  <c r="I290" i="68" s="1"/>
  <c r="P289" i="68"/>
  <c r="O289" i="68"/>
  <c r="N289" i="68"/>
  <c r="I289" i="68" s="1"/>
  <c r="P288" i="68"/>
  <c r="O288" i="68"/>
  <c r="N288" i="68"/>
  <c r="I288" i="68" s="1"/>
  <c r="N287" i="68"/>
  <c r="I287" i="68" s="1"/>
  <c r="P286" i="68"/>
  <c r="O286" i="68"/>
  <c r="N286" i="68"/>
  <c r="I286" i="68" s="1"/>
  <c r="P285" i="68"/>
  <c r="O285" i="68"/>
  <c r="N285" i="68"/>
  <c r="I285" i="68" s="1"/>
  <c r="P284" i="68"/>
  <c r="O284" i="68"/>
  <c r="N284" i="68"/>
  <c r="I284" i="68" s="1"/>
  <c r="P283" i="68"/>
  <c r="O283" i="68"/>
  <c r="N283" i="68"/>
  <c r="I283" i="68" s="1"/>
  <c r="P282" i="68"/>
  <c r="O282" i="68"/>
  <c r="N282" i="68"/>
  <c r="I282" i="68" s="1"/>
  <c r="P281" i="68"/>
  <c r="O281" i="68"/>
  <c r="N281" i="68"/>
  <c r="I281" i="68" s="1"/>
  <c r="P280" i="68"/>
  <c r="O280" i="68"/>
  <c r="N280" i="68"/>
  <c r="I280" i="68" s="1"/>
  <c r="P279" i="68"/>
  <c r="O279" i="68"/>
  <c r="N279" i="68"/>
  <c r="I279" i="68" s="1"/>
  <c r="P278" i="68"/>
  <c r="O278" i="68"/>
  <c r="N278" i="68"/>
  <c r="I278" i="68" s="1"/>
  <c r="P277" i="68"/>
  <c r="O277" i="68"/>
  <c r="N277" i="68"/>
  <c r="I277" i="68" s="1"/>
  <c r="P276" i="68"/>
  <c r="O276" i="68"/>
  <c r="N276" i="68"/>
  <c r="I276" i="68" s="1"/>
  <c r="P275" i="68"/>
  <c r="O275" i="68"/>
  <c r="N275" i="68"/>
  <c r="I275" i="68" s="1"/>
  <c r="P274" i="68"/>
  <c r="O274" i="68"/>
  <c r="N274" i="68"/>
  <c r="I274" i="68" s="1"/>
  <c r="P273" i="68"/>
  <c r="O273" i="68"/>
  <c r="N273" i="68"/>
  <c r="I273" i="68" s="1"/>
  <c r="P272" i="68"/>
  <c r="O272" i="68"/>
  <c r="N272" i="68"/>
  <c r="I272" i="68" s="1"/>
  <c r="N271" i="68"/>
  <c r="I271" i="68" s="1"/>
  <c r="P270" i="68"/>
  <c r="O270" i="68"/>
  <c r="N270" i="68"/>
  <c r="I270" i="68" s="1"/>
  <c r="N269" i="68"/>
  <c r="I269" i="68" s="1"/>
  <c r="P268" i="68"/>
  <c r="O268" i="68"/>
  <c r="N268" i="68"/>
  <c r="I268" i="68" s="1"/>
  <c r="P267" i="68"/>
  <c r="O267" i="68"/>
  <c r="N267" i="68"/>
  <c r="I267" i="68" s="1"/>
  <c r="P266" i="68"/>
  <c r="O266" i="68"/>
  <c r="N266" i="68"/>
  <c r="I266" i="68" s="1"/>
  <c r="P265" i="68"/>
  <c r="O265" i="68"/>
  <c r="N265" i="68"/>
  <c r="I265" i="68" s="1"/>
  <c r="N264" i="68"/>
  <c r="I264" i="68" s="1"/>
  <c r="N263" i="68"/>
  <c r="I263" i="68" s="1"/>
  <c r="P262" i="68"/>
  <c r="O262" i="68"/>
  <c r="N262" i="68"/>
  <c r="I262" i="68" s="1"/>
  <c r="P261" i="68"/>
  <c r="O261" i="68"/>
  <c r="N261" i="68"/>
  <c r="I261" i="68" s="1"/>
  <c r="N260" i="68"/>
  <c r="I260" i="68" s="1"/>
  <c r="P259" i="68"/>
  <c r="O259" i="68"/>
  <c r="N259" i="68"/>
  <c r="I259" i="68" s="1"/>
  <c r="N258" i="68"/>
  <c r="I258" i="68" s="1"/>
  <c r="P257" i="68"/>
  <c r="O257" i="68"/>
  <c r="N257" i="68"/>
  <c r="I257" i="68" s="1"/>
  <c r="P256" i="68"/>
  <c r="O256" i="68"/>
  <c r="N256" i="68"/>
  <c r="I256" i="68" s="1"/>
  <c r="P255" i="68"/>
  <c r="O255" i="68"/>
  <c r="N255" i="68"/>
  <c r="I255" i="68" s="1"/>
  <c r="P254" i="68"/>
  <c r="O254" i="68"/>
  <c r="N254" i="68"/>
  <c r="I254" i="68" s="1"/>
  <c r="P253" i="68"/>
  <c r="O253" i="68"/>
  <c r="N253" i="68"/>
  <c r="I253" i="68" s="1"/>
  <c r="P252" i="68"/>
  <c r="O252" i="68"/>
  <c r="N252" i="68"/>
  <c r="I252" i="68" s="1"/>
  <c r="P251" i="68"/>
  <c r="O251" i="68"/>
  <c r="N251" i="68"/>
  <c r="I251" i="68" s="1"/>
  <c r="P250" i="68"/>
  <c r="O250" i="68"/>
  <c r="N250" i="68"/>
  <c r="I250" i="68" s="1"/>
  <c r="P249" i="68"/>
  <c r="O249" i="68"/>
  <c r="N249" i="68"/>
  <c r="I249" i="68" s="1"/>
  <c r="P248" i="68"/>
  <c r="O248" i="68"/>
  <c r="N248" i="68"/>
  <c r="I248" i="68" s="1"/>
  <c r="P247" i="68"/>
  <c r="O247" i="68"/>
  <c r="N247" i="68"/>
  <c r="I247" i="68" s="1"/>
  <c r="P246" i="68"/>
  <c r="O246" i="68"/>
  <c r="N246" i="68"/>
  <c r="I246" i="68" s="1"/>
  <c r="P245" i="68"/>
  <c r="O245" i="68"/>
  <c r="N245" i="68"/>
  <c r="I245" i="68" s="1"/>
  <c r="R245" i="68" s="1"/>
  <c r="P244" i="68"/>
  <c r="O244" i="68"/>
  <c r="N244" i="68"/>
  <c r="I244" i="68" s="1"/>
  <c r="R244" i="68" s="1"/>
  <c r="P243" i="68"/>
  <c r="O243" i="68"/>
  <c r="N243" i="68"/>
  <c r="I243" i="68" s="1"/>
  <c r="N242" i="68"/>
  <c r="I242" i="68" s="1"/>
  <c r="P241" i="68"/>
  <c r="O241" i="68"/>
  <c r="N241" i="68"/>
  <c r="I241" i="68" s="1"/>
  <c r="N240" i="68"/>
  <c r="I240" i="68" s="1"/>
  <c r="P239" i="68"/>
  <c r="O239" i="68"/>
  <c r="N239" i="68"/>
  <c r="I239" i="68" s="1"/>
  <c r="P238" i="68"/>
  <c r="O238" i="68"/>
  <c r="N238" i="68"/>
  <c r="I238" i="68" s="1"/>
  <c r="P237" i="68"/>
  <c r="O237" i="68"/>
  <c r="N237" i="68"/>
  <c r="I237" i="68" s="1"/>
  <c r="P236" i="68"/>
  <c r="O236" i="68"/>
  <c r="N236" i="68"/>
  <c r="I236" i="68" s="1"/>
  <c r="P235" i="68"/>
  <c r="O235" i="68"/>
  <c r="N235" i="68"/>
  <c r="I235" i="68" s="1"/>
  <c r="P234" i="68"/>
  <c r="O234" i="68"/>
  <c r="N234" i="68"/>
  <c r="I234" i="68" s="1"/>
  <c r="P233" i="68"/>
  <c r="O233" i="68"/>
  <c r="N233" i="68"/>
  <c r="I233" i="68" s="1"/>
  <c r="P232" i="68"/>
  <c r="O232" i="68"/>
  <c r="N232" i="68"/>
  <c r="I232" i="68" s="1"/>
  <c r="P231" i="68"/>
  <c r="O231" i="68"/>
  <c r="N231" i="68"/>
  <c r="I231" i="68" s="1"/>
  <c r="P230" i="68"/>
  <c r="O230" i="68"/>
  <c r="N230" i="68"/>
  <c r="I230" i="68" s="1"/>
  <c r="N229" i="68"/>
  <c r="I229" i="68" s="1"/>
  <c r="P228" i="68"/>
  <c r="O228" i="68"/>
  <c r="N228" i="68"/>
  <c r="I228" i="68" s="1"/>
  <c r="P227" i="68"/>
  <c r="O227" i="68"/>
  <c r="N227" i="68"/>
  <c r="I227" i="68" s="1"/>
  <c r="P226" i="68"/>
  <c r="O226" i="68"/>
  <c r="N226" i="68"/>
  <c r="I226" i="68" s="1"/>
  <c r="P225" i="68"/>
  <c r="O225" i="68"/>
  <c r="N225" i="68"/>
  <c r="I225" i="68" s="1"/>
  <c r="P224" i="68"/>
  <c r="O224" i="68"/>
  <c r="N224" i="68"/>
  <c r="I224" i="68" s="1"/>
  <c r="P223" i="68"/>
  <c r="O223" i="68"/>
  <c r="N223" i="68"/>
  <c r="I223" i="68" s="1"/>
  <c r="P222" i="68"/>
  <c r="O222" i="68"/>
  <c r="N222" i="68"/>
  <c r="I222" i="68" s="1"/>
  <c r="P221" i="68"/>
  <c r="O221" i="68"/>
  <c r="N221" i="68"/>
  <c r="I221" i="68" s="1"/>
  <c r="P220" i="68"/>
  <c r="O220" i="68"/>
  <c r="N220" i="68"/>
  <c r="I220" i="68" s="1"/>
  <c r="P219" i="68"/>
  <c r="O219" i="68"/>
  <c r="N219" i="68"/>
  <c r="I219" i="68" s="1"/>
  <c r="P218" i="68"/>
  <c r="O218" i="68"/>
  <c r="N218" i="68"/>
  <c r="I218" i="68" s="1"/>
  <c r="P217" i="68"/>
  <c r="O217" i="68"/>
  <c r="N217" i="68"/>
  <c r="I217" i="68" s="1"/>
  <c r="P216" i="68"/>
  <c r="O216" i="68"/>
  <c r="N216" i="68"/>
  <c r="I216" i="68" s="1"/>
  <c r="P215" i="68"/>
  <c r="O215" i="68"/>
  <c r="N215" i="68"/>
  <c r="I215" i="68" s="1"/>
  <c r="P214" i="68"/>
  <c r="O214" i="68"/>
  <c r="N214" i="68"/>
  <c r="I214" i="68" s="1"/>
  <c r="P213" i="68"/>
  <c r="O213" i="68"/>
  <c r="N213" i="68"/>
  <c r="I213" i="68" s="1"/>
  <c r="P212" i="68"/>
  <c r="O212" i="68"/>
  <c r="N212" i="68"/>
  <c r="I212" i="68" s="1"/>
  <c r="P211" i="68"/>
  <c r="O211" i="68"/>
  <c r="N211" i="68"/>
  <c r="I211" i="68" s="1"/>
  <c r="P210" i="68"/>
  <c r="O210" i="68"/>
  <c r="N210" i="68"/>
  <c r="I210" i="68" s="1"/>
  <c r="N209" i="68"/>
  <c r="I209" i="68" s="1"/>
  <c r="N208" i="68"/>
  <c r="I208" i="68" s="1"/>
  <c r="N207" i="68"/>
  <c r="I207" i="68" s="1"/>
  <c r="P206" i="68"/>
  <c r="O206" i="68"/>
  <c r="N206" i="68"/>
  <c r="I206" i="68" s="1"/>
  <c r="P205" i="68"/>
  <c r="O205" i="68"/>
  <c r="N205" i="68"/>
  <c r="I205" i="68" s="1"/>
  <c r="P204" i="68"/>
  <c r="O204" i="68"/>
  <c r="N204" i="68"/>
  <c r="I204" i="68" s="1"/>
  <c r="P203" i="68"/>
  <c r="O203" i="68"/>
  <c r="N203" i="68"/>
  <c r="I203" i="68" s="1"/>
  <c r="N202" i="68"/>
  <c r="I202" i="68" s="1"/>
  <c r="P201" i="68"/>
  <c r="O201" i="68"/>
  <c r="N201" i="68"/>
  <c r="I201" i="68" s="1"/>
  <c r="P200" i="68"/>
  <c r="O200" i="68"/>
  <c r="N200" i="68"/>
  <c r="I200" i="68" s="1"/>
  <c r="P199" i="68"/>
  <c r="O199" i="68"/>
  <c r="N199" i="68"/>
  <c r="I199" i="68" s="1"/>
  <c r="P198" i="68"/>
  <c r="O198" i="68"/>
  <c r="N198" i="68"/>
  <c r="I198" i="68" s="1"/>
  <c r="P197" i="68"/>
  <c r="O197" i="68"/>
  <c r="N197" i="68"/>
  <c r="I197" i="68" s="1"/>
  <c r="P195" i="68"/>
  <c r="O195" i="68"/>
  <c r="N195" i="68"/>
  <c r="I195" i="68" s="1"/>
  <c r="P194" i="68"/>
  <c r="O194" i="68"/>
  <c r="N194" i="68"/>
  <c r="I194" i="68" s="1"/>
  <c r="P193" i="68"/>
  <c r="O193" i="68"/>
  <c r="N193" i="68"/>
  <c r="I193" i="68" s="1"/>
  <c r="P192" i="68"/>
  <c r="O192" i="68"/>
  <c r="N192" i="68"/>
  <c r="I192" i="68" s="1"/>
  <c r="P191" i="68"/>
  <c r="O191" i="68"/>
  <c r="N191" i="68"/>
  <c r="I191" i="68" s="1"/>
  <c r="P188" i="68"/>
  <c r="O188" i="68"/>
  <c r="N188" i="68"/>
  <c r="I188" i="68" s="1"/>
  <c r="P187" i="68"/>
  <c r="O187" i="68"/>
  <c r="N187" i="68"/>
  <c r="I187" i="68" s="1"/>
  <c r="P186" i="68"/>
  <c r="O186" i="68"/>
  <c r="N186" i="68"/>
  <c r="I186" i="68" s="1"/>
  <c r="P185" i="68"/>
  <c r="O185" i="68"/>
  <c r="N185" i="68"/>
  <c r="I185" i="68" s="1"/>
  <c r="P184" i="68"/>
  <c r="O184" i="68"/>
  <c r="N184" i="68"/>
  <c r="I184" i="68" s="1"/>
  <c r="P183" i="68"/>
  <c r="O183" i="68"/>
  <c r="N183" i="68"/>
  <c r="I183" i="68" s="1"/>
  <c r="N182" i="68"/>
  <c r="I182" i="68" s="1"/>
  <c r="P181" i="68"/>
  <c r="O181" i="68"/>
  <c r="N181" i="68"/>
  <c r="I181" i="68" s="1"/>
  <c r="P180" i="68"/>
  <c r="O180" i="68"/>
  <c r="N180" i="68"/>
  <c r="I180" i="68" s="1"/>
  <c r="P179" i="68"/>
  <c r="O179" i="68"/>
  <c r="N179" i="68"/>
  <c r="I179" i="68" s="1"/>
  <c r="P178" i="68"/>
  <c r="O178" i="68"/>
  <c r="N178" i="68"/>
  <c r="I178" i="68" s="1"/>
  <c r="P177" i="68"/>
  <c r="O177" i="68"/>
  <c r="N177" i="68"/>
  <c r="I177" i="68" s="1"/>
  <c r="P176" i="68"/>
  <c r="O176" i="68"/>
  <c r="N176" i="68"/>
  <c r="I176" i="68" s="1"/>
  <c r="P175" i="68"/>
  <c r="O175" i="68"/>
  <c r="N175" i="68"/>
  <c r="I175" i="68" s="1"/>
  <c r="P174" i="68"/>
  <c r="O174" i="68"/>
  <c r="N174" i="68"/>
  <c r="I174" i="68" s="1"/>
  <c r="P173" i="68"/>
  <c r="O173" i="68"/>
  <c r="N173" i="68"/>
  <c r="I173" i="68" s="1"/>
  <c r="P172" i="68"/>
  <c r="O172" i="68"/>
  <c r="N172" i="68"/>
  <c r="I172" i="68" s="1"/>
  <c r="P171" i="68"/>
  <c r="O171" i="68"/>
  <c r="N171" i="68"/>
  <c r="I171" i="68" s="1"/>
  <c r="N170" i="68"/>
  <c r="I170" i="68" s="1"/>
  <c r="N169" i="68"/>
  <c r="I169" i="68" s="1"/>
  <c r="P168" i="68"/>
  <c r="O168" i="68"/>
  <c r="N168" i="68"/>
  <c r="I168" i="68" s="1"/>
  <c r="P167" i="68"/>
  <c r="O167" i="68"/>
  <c r="N167" i="68"/>
  <c r="I167" i="68" s="1"/>
  <c r="N166" i="68"/>
  <c r="I166" i="68" s="1"/>
  <c r="N165" i="68"/>
  <c r="I165" i="68" s="1"/>
  <c r="P164" i="68"/>
  <c r="O164" i="68"/>
  <c r="N164" i="68"/>
  <c r="I164" i="68" s="1"/>
  <c r="P163" i="68"/>
  <c r="O163" i="68"/>
  <c r="N163" i="68"/>
  <c r="I163" i="68" s="1"/>
  <c r="P162" i="68"/>
  <c r="O162" i="68"/>
  <c r="N162" i="68"/>
  <c r="I162" i="68" s="1"/>
  <c r="P161" i="68"/>
  <c r="O161" i="68"/>
  <c r="N161" i="68"/>
  <c r="I161" i="68" s="1"/>
  <c r="P160" i="68"/>
  <c r="O160" i="68"/>
  <c r="N160" i="68"/>
  <c r="I160" i="68" s="1"/>
  <c r="P159" i="68"/>
  <c r="O159" i="68"/>
  <c r="N159" i="68"/>
  <c r="I159" i="68" s="1"/>
  <c r="P158" i="68"/>
  <c r="O158" i="68"/>
  <c r="N158" i="68"/>
  <c r="I158" i="68" s="1"/>
  <c r="P157" i="68"/>
  <c r="O157" i="68"/>
  <c r="N157" i="68"/>
  <c r="I157" i="68" s="1"/>
  <c r="P156" i="68"/>
  <c r="O156" i="68"/>
  <c r="N156" i="68"/>
  <c r="I156" i="68" s="1"/>
  <c r="P155" i="68"/>
  <c r="O155" i="68"/>
  <c r="N155" i="68"/>
  <c r="I155" i="68" s="1"/>
  <c r="P154" i="68"/>
  <c r="O154" i="68"/>
  <c r="N154" i="68"/>
  <c r="I154" i="68" s="1"/>
  <c r="P153" i="68"/>
  <c r="O153" i="68"/>
  <c r="N153" i="68"/>
  <c r="I153" i="68" s="1"/>
  <c r="P152" i="68"/>
  <c r="O152" i="68"/>
  <c r="N152" i="68"/>
  <c r="I152" i="68" s="1"/>
  <c r="N151" i="68"/>
  <c r="I151" i="68" s="1"/>
  <c r="N150" i="68"/>
  <c r="I150" i="68" s="1"/>
  <c r="P149" i="68"/>
  <c r="O149" i="68"/>
  <c r="N149" i="68"/>
  <c r="I149" i="68" s="1"/>
  <c r="P148" i="68"/>
  <c r="O148" i="68"/>
  <c r="N148" i="68"/>
  <c r="I148" i="68" s="1"/>
  <c r="P147" i="68"/>
  <c r="O147" i="68"/>
  <c r="N147" i="68"/>
  <c r="I147" i="68" s="1"/>
  <c r="P146" i="68"/>
  <c r="O146" i="68"/>
  <c r="N146" i="68"/>
  <c r="I146" i="68" s="1"/>
  <c r="P145" i="68"/>
  <c r="O145" i="68"/>
  <c r="N145" i="68"/>
  <c r="I145" i="68" s="1"/>
  <c r="P144" i="68"/>
  <c r="O144" i="68"/>
  <c r="N144" i="68"/>
  <c r="I144" i="68" s="1"/>
  <c r="P143" i="68"/>
  <c r="O143" i="68"/>
  <c r="N143" i="68"/>
  <c r="I143" i="68" s="1"/>
  <c r="P142" i="68"/>
  <c r="O142" i="68"/>
  <c r="N142" i="68"/>
  <c r="I142" i="68" s="1"/>
  <c r="P141" i="68"/>
  <c r="O141" i="68"/>
  <c r="N141" i="68"/>
  <c r="I141" i="68" s="1"/>
  <c r="P140" i="68"/>
  <c r="O140" i="68"/>
  <c r="N140" i="68"/>
  <c r="S140" i="68" s="1"/>
  <c r="P139" i="68"/>
  <c r="O139" i="68"/>
  <c r="N139" i="68"/>
  <c r="S139" i="68" s="1"/>
  <c r="T138" i="68"/>
  <c r="P138" i="68"/>
  <c r="O138" i="68"/>
  <c r="N138" i="68"/>
  <c r="S138" i="68" s="1"/>
  <c r="P137" i="68"/>
  <c r="O137" i="68"/>
  <c r="N137" i="68"/>
  <c r="I137" i="68" s="1"/>
  <c r="P136" i="68"/>
  <c r="O136" i="68"/>
  <c r="N136" i="68"/>
  <c r="I136" i="68" s="1"/>
  <c r="P135" i="68"/>
  <c r="O135" i="68"/>
  <c r="N135" i="68"/>
  <c r="I135" i="68" s="1"/>
  <c r="P134" i="68"/>
  <c r="O134" i="68"/>
  <c r="N134" i="68"/>
  <c r="S134" i="68" s="1"/>
  <c r="P133" i="68"/>
  <c r="O133" i="68"/>
  <c r="N133" i="68"/>
  <c r="I133" i="68" s="1"/>
  <c r="P132" i="68"/>
  <c r="O132" i="68"/>
  <c r="N132" i="68"/>
  <c r="I132" i="68" s="1"/>
  <c r="P131" i="68"/>
  <c r="O131" i="68"/>
  <c r="N131" i="68"/>
  <c r="S131" i="68" s="1"/>
  <c r="P130" i="68"/>
  <c r="O130" i="68"/>
  <c r="N130" i="68"/>
  <c r="I130" i="68" s="1"/>
  <c r="P129" i="68"/>
  <c r="O129" i="68"/>
  <c r="N129" i="68"/>
  <c r="I129" i="68" s="1"/>
  <c r="P128" i="68"/>
  <c r="O128" i="68"/>
  <c r="N128" i="68"/>
  <c r="I128" i="68" s="1"/>
  <c r="P127" i="68"/>
  <c r="O127" i="68"/>
  <c r="N127" i="68"/>
  <c r="I127" i="68" s="1"/>
  <c r="P126" i="68"/>
  <c r="O126" i="68"/>
  <c r="N126" i="68"/>
  <c r="I126" i="68" s="1"/>
  <c r="Q70" i="11" s="1"/>
  <c r="I70" i="11" s="1"/>
  <c r="P125" i="68"/>
  <c r="O125" i="68"/>
  <c r="N125" i="68"/>
  <c r="I125" i="68" s="1"/>
  <c r="Q69" i="11" s="1"/>
  <c r="I69" i="11" s="1"/>
  <c r="P124" i="68"/>
  <c r="O124" i="68"/>
  <c r="N124" i="68"/>
  <c r="I124" i="68" s="1"/>
  <c r="Q68" i="11" s="1"/>
  <c r="N123" i="68"/>
  <c r="I123" i="68" s="1"/>
  <c r="N122" i="68"/>
  <c r="I122" i="68" s="1"/>
  <c r="N121" i="68"/>
  <c r="I121" i="68" s="1"/>
  <c r="P120" i="68"/>
  <c r="O120" i="68"/>
  <c r="N120" i="68"/>
  <c r="I120" i="68" s="1"/>
  <c r="P119" i="68"/>
  <c r="O119" i="68"/>
  <c r="N119" i="68"/>
  <c r="I119" i="68" s="1"/>
  <c r="P118" i="68"/>
  <c r="O118" i="68"/>
  <c r="N118" i="68"/>
  <c r="I118" i="68" s="1"/>
  <c r="P117" i="68"/>
  <c r="O117" i="68"/>
  <c r="N117" i="68"/>
  <c r="I117" i="68" s="1"/>
  <c r="P116" i="68"/>
  <c r="O116" i="68"/>
  <c r="N116" i="68"/>
  <c r="I116" i="68" s="1"/>
  <c r="P115" i="68"/>
  <c r="O115" i="68"/>
  <c r="N115" i="68"/>
  <c r="I115" i="68" s="1"/>
  <c r="P114" i="68"/>
  <c r="O114" i="68"/>
  <c r="N114" i="68"/>
  <c r="I114" i="68" s="1"/>
  <c r="P113" i="68"/>
  <c r="O113" i="68"/>
  <c r="N113" i="68"/>
  <c r="I113" i="68" s="1"/>
  <c r="P112" i="68"/>
  <c r="O112" i="68"/>
  <c r="N112" i="68"/>
  <c r="I112" i="68" s="1"/>
  <c r="P111" i="68"/>
  <c r="O111" i="68"/>
  <c r="N111" i="68"/>
  <c r="I111" i="68" s="1"/>
  <c r="P110" i="68"/>
  <c r="O110" i="68"/>
  <c r="N110" i="68"/>
  <c r="I110" i="68" s="1"/>
  <c r="P109" i="68"/>
  <c r="O109" i="68"/>
  <c r="N109" i="68"/>
  <c r="I109" i="68" s="1"/>
  <c r="P107" i="68"/>
  <c r="O107" i="68"/>
  <c r="N107" i="68"/>
  <c r="I107" i="68" s="1"/>
  <c r="P106" i="68"/>
  <c r="O106" i="68"/>
  <c r="N106" i="68"/>
  <c r="I106" i="68" s="1"/>
  <c r="Q58" i="11" s="1"/>
  <c r="P105" i="68"/>
  <c r="O105" i="68"/>
  <c r="N105" i="68"/>
  <c r="I105" i="68" s="1"/>
  <c r="P104" i="68"/>
  <c r="O104" i="68"/>
  <c r="N104" i="68"/>
  <c r="I104" i="68" s="1"/>
  <c r="I103" i="68"/>
  <c r="P102" i="68"/>
  <c r="O102" i="68"/>
  <c r="N102" i="68"/>
  <c r="I102" i="68" s="1"/>
  <c r="P101" i="68"/>
  <c r="O101" i="68"/>
  <c r="N101" i="68"/>
  <c r="I101" i="68" s="1"/>
  <c r="P100" i="68"/>
  <c r="O100" i="68"/>
  <c r="N100" i="68"/>
  <c r="I100" i="68" s="1"/>
  <c r="P99" i="68"/>
  <c r="O99" i="68"/>
  <c r="N99" i="68"/>
  <c r="I99" i="68" s="1"/>
  <c r="P98" i="68"/>
  <c r="O98" i="68"/>
  <c r="N98" i="68"/>
  <c r="I98" i="68" s="1"/>
  <c r="N97" i="68"/>
  <c r="I97" i="68" s="1"/>
  <c r="P96" i="68"/>
  <c r="O96" i="68"/>
  <c r="N96" i="68"/>
  <c r="I96" i="68" s="1"/>
  <c r="P95" i="68"/>
  <c r="O95" i="68"/>
  <c r="N95" i="68"/>
  <c r="I95" i="68" s="1"/>
  <c r="P94" i="68"/>
  <c r="O94" i="68"/>
  <c r="N94" i="68"/>
  <c r="I94" i="68" s="1"/>
  <c r="P93" i="68"/>
  <c r="O93" i="68"/>
  <c r="N93" i="68"/>
  <c r="I93" i="68" s="1"/>
  <c r="P92" i="68"/>
  <c r="O92" i="68"/>
  <c r="N92" i="68"/>
  <c r="I92" i="68" s="1"/>
  <c r="P91" i="68"/>
  <c r="O91" i="68"/>
  <c r="N91" i="68"/>
  <c r="I91" i="68" s="1"/>
  <c r="P90" i="68"/>
  <c r="O90" i="68"/>
  <c r="N90" i="68"/>
  <c r="I90" i="68" s="1"/>
  <c r="P89" i="68"/>
  <c r="O89" i="68"/>
  <c r="N89" i="68"/>
  <c r="I89" i="68" s="1"/>
  <c r="P88" i="68"/>
  <c r="O88" i="68"/>
  <c r="N88" i="68"/>
  <c r="I88" i="68" s="1"/>
  <c r="P87" i="68"/>
  <c r="O87" i="68"/>
  <c r="N87" i="68"/>
  <c r="I87" i="68" s="1"/>
  <c r="P86" i="68"/>
  <c r="O86" i="68"/>
  <c r="N86" i="68"/>
  <c r="I86" i="68" s="1"/>
  <c r="P85" i="68"/>
  <c r="O85" i="68"/>
  <c r="N85" i="68"/>
  <c r="I85" i="68" s="1"/>
  <c r="N84" i="68"/>
  <c r="I84" i="68" s="1"/>
  <c r="G84" i="68"/>
  <c r="N83" i="68"/>
  <c r="I83" i="68" s="1"/>
  <c r="G83" i="68"/>
  <c r="N82" i="68"/>
  <c r="I82" i="68" s="1"/>
  <c r="P81" i="68"/>
  <c r="O81" i="68"/>
  <c r="N81" i="68"/>
  <c r="I81" i="68" s="1"/>
  <c r="P80" i="68"/>
  <c r="O80" i="68"/>
  <c r="N80" i="68"/>
  <c r="I80" i="68" s="1"/>
  <c r="P79" i="68"/>
  <c r="O79" i="68"/>
  <c r="N79" i="68"/>
  <c r="I79" i="68" s="1"/>
  <c r="P77" i="68"/>
  <c r="O77" i="68"/>
  <c r="N77" i="68"/>
  <c r="I77" i="68" s="1"/>
  <c r="P76" i="68"/>
  <c r="O76" i="68"/>
  <c r="N76" i="68"/>
  <c r="I76" i="68" s="1"/>
  <c r="P75" i="68"/>
  <c r="O75" i="68"/>
  <c r="N75" i="68"/>
  <c r="I75" i="68" s="1"/>
  <c r="P74" i="68"/>
  <c r="O74" i="68"/>
  <c r="N74" i="68"/>
  <c r="I74" i="68" s="1"/>
  <c r="P73" i="68"/>
  <c r="O73" i="68"/>
  <c r="N73" i="68"/>
  <c r="I73" i="68" s="1"/>
  <c r="P72" i="68"/>
  <c r="O72" i="68"/>
  <c r="N72" i="68"/>
  <c r="I72" i="68" s="1"/>
  <c r="P71" i="68"/>
  <c r="O71" i="68"/>
  <c r="N71" i="68"/>
  <c r="I71" i="68" s="1"/>
  <c r="P69" i="68"/>
  <c r="O69" i="68"/>
  <c r="N69" i="68"/>
  <c r="I69" i="68" s="1"/>
  <c r="P68" i="68"/>
  <c r="O68" i="68"/>
  <c r="N68" i="68"/>
  <c r="I68" i="68" s="1"/>
  <c r="Q50" i="11" s="1"/>
  <c r="P67" i="68"/>
  <c r="O67" i="68"/>
  <c r="N67" i="68"/>
  <c r="I67" i="68" s="1"/>
  <c r="Q49" i="11" s="1"/>
  <c r="P66" i="68"/>
  <c r="O66" i="68"/>
  <c r="N66" i="68"/>
  <c r="I66" i="68" s="1"/>
  <c r="B66" i="68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103" i="68" s="1"/>
  <c r="B104" i="68" s="1"/>
  <c r="B105" i="68" s="1"/>
  <c r="B106" i="68" s="1"/>
  <c r="B107" i="68" s="1"/>
  <c r="B108" i="68" s="1"/>
  <c r="B109" i="68" s="1"/>
  <c r="B110" i="68" s="1"/>
  <c r="B111" i="68" s="1"/>
  <c r="B112" i="68" s="1"/>
  <c r="B113" i="68" s="1"/>
  <c r="B114" i="68" s="1"/>
  <c r="B115" i="68" s="1"/>
  <c r="B116" i="68" s="1"/>
  <c r="B117" i="68" s="1"/>
  <c r="B118" i="68" s="1"/>
  <c r="B119" i="68" s="1"/>
  <c r="B120" i="68" s="1"/>
  <c r="B121" i="68" s="1"/>
  <c r="B122" i="68" s="1"/>
  <c r="B123" i="68" s="1"/>
  <c r="B124" i="68" s="1"/>
  <c r="B125" i="68" s="1"/>
  <c r="B126" i="68" s="1"/>
  <c r="B127" i="68" s="1"/>
  <c r="B128" i="68" s="1"/>
  <c r="B129" i="68" s="1"/>
  <c r="B130" i="68" s="1"/>
  <c r="B131" i="68" s="1"/>
  <c r="B132" i="68" s="1"/>
  <c r="B133" i="68" s="1"/>
  <c r="B134" i="68" s="1"/>
  <c r="B135" i="68" s="1"/>
  <c r="B136" i="68" s="1"/>
  <c r="B137" i="68" s="1"/>
  <c r="B138" i="68" s="1"/>
  <c r="B139" i="68" s="1"/>
  <c r="B140" i="68" s="1"/>
  <c r="B141" i="68" s="1"/>
  <c r="B142" i="68" s="1"/>
  <c r="B143" i="68" s="1"/>
  <c r="B144" i="68" s="1"/>
  <c r="B145" i="68" s="1"/>
  <c r="B146" i="68" s="1"/>
  <c r="B147" i="68" s="1"/>
  <c r="B148" i="68" s="1"/>
  <c r="B149" i="68" s="1"/>
  <c r="B150" i="68" s="1"/>
  <c r="B151" i="68" s="1"/>
  <c r="B152" i="68" s="1"/>
  <c r="B153" i="68" s="1"/>
  <c r="B154" i="68" s="1"/>
  <c r="B155" i="68" s="1"/>
  <c r="B156" i="68" s="1"/>
  <c r="P65" i="68"/>
  <c r="O65" i="68"/>
  <c r="N65" i="68"/>
  <c r="I65" i="68" s="1"/>
  <c r="Q47" i="11" s="1"/>
  <c r="P64" i="68"/>
  <c r="O64" i="68"/>
  <c r="N64" i="68"/>
  <c r="P56" i="68"/>
  <c r="O56" i="68"/>
  <c r="N56" i="68"/>
  <c r="I56" i="68" s="1"/>
  <c r="P55" i="68"/>
  <c r="O55" i="68"/>
  <c r="N55" i="68"/>
  <c r="I55" i="68" s="1"/>
  <c r="P54" i="68"/>
  <c r="O54" i="68"/>
  <c r="N54" i="68"/>
  <c r="I54" i="68" s="1"/>
  <c r="Q38" i="11" s="1"/>
  <c r="P53" i="68"/>
  <c r="O53" i="68"/>
  <c r="N53" i="68"/>
  <c r="I53" i="68" s="1"/>
  <c r="Q37" i="11" s="1"/>
  <c r="P52" i="68"/>
  <c r="O52" i="68"/>
  <c r="N52" i="68"/>
  <c r="I52" i="68" s="1"/>
  <c r="Q36" i="11" s="1"/>
  <c r="P51" i="68"/>
  <c r="O51" i="68"/>
  <c r="N51" i="68"/>
  <c r="I51" i="68" s="1"/>
  <c r="Q35" i="11" s="1"/>
  <c r="N50" i="68"/>
  <c r="I50" i="68" s="1"/>
  <c r="P49" i="68"/>
  <c r="O49" i="68"/>
  <c r="N49" i="68"/>
  <c r="I49" i="68" s="1"/>
  <c r="Q34" i="11" s="1"/>
  <c r="P48" i="68"/>
  <c r="O48" i="68"/>
  <c r="N48" i="68"/>
  <c r="I48" i="68" s="1"/>
  <c r="Q33" i="11" s="1"/>
  <c r="P47" i="68"/>
  <c r="O47" i="68"/>
  <c r="N47" i="68"/>
  <c r="I47" i="68" s="1"/>
  <c r="Q32" i="11" s="1"/>
  <c r="P46" i="68"/>
  <c r="O46" i="68"/>
  <c r="N46" i="68"/>
  <c r="I46" i="68" s="1"/>
  <c r="P45" i="68"/>
  <c r="O45" i="68"/>
  <c r="N45" i="68"/>
  <c r="I45" i="68" s="1"/>
  <c r="P44" i="68"/>
  <c r="O44" i="68"/>
  <c r="N44" i="68"/>
  <c r="I44" i="68" s="1"/>
  <c r="P43" i="68"/>
  <c r="O43" i="68"/>
  <c r="N43" i="68"/>
  <c r="I43" i="68" s="1"/>
  <c r="P42" i="68"/>
  <c r="O42" i="68"/>
  <c r="N42" i="68"/>
  <c r="I42" i="68" s="1"/>
  <c r="P41" i="68"/>
  <c r="O41" i="68"/>
  <c r="N41" i="68"/>
  <c r="I41" i="68" s="1"/>
  <c r="P40" i="68"/>
  <c r="O40" i="68"/>
  <c r="N40" i="68"/>
  <c r="I40" i="68" s="1"/>
  <c r="P39" i="68"/>
  <c r="O39" i="68"/>
  <c r="N39" i="68"/>
  <c r="I39" i="68" s="1"/>
  <c r="P38" i="68"/>
  <c r="O38" i="68"/>
  <c r="N38" i="68"/>
  <c r="I38" i="68" s="1"/>
  <c r="P37" i="68"/>
  <c r="O37" i="68"/>
  <c r="N37" i="68"/>
  <c r="I37" i="68" s="1"/>
  <c r="P36" i="68"/>
  <c r="O36" i="68"/>
  <c r="N36" i="68"/>
  <c r="I36" i="68" s="1"/>
  <c r="P35" i="68"/>
  <c r="O35" i="68"/>
  <c r="N35" i="68"/>
  <c r="I35" i="68" s="1"/>
  <c r="P34" i="68"/>
  <c r="O34" i="68"/>
  <c r="N34" i="68"/>
  <c r="I34" i="68" s="1"/>
  <c r="Q31" i="11" s="1"/>
  <c r="P33" i="68"/>
  <c r="O33" i="68"/>
  <c r="N33" i="68"/>
  <c r="I33" i="68" s="1"/>
  <c r="P32" i="68"/>
  <c r="O32" i="68"/>
  <c r="N32" i="68"/>
  <c r="I32" i="68" s="1"/>
  <c r="Q30" i="11" s="1"/>
  <c r="P31" i="68"/>
  <c r="O31" i="68"/>
  <c r="N31" i="68"/>
  <c r="I31" i="68" s="1"/>
  <c r="Q29" i="11" s="1"/>
  <c r="P30" i="68"/>
  <c r="O30" i="68"/>
  <c r="N30" i="68"/>
  <c r="I30" i="68" s="1"/>
  <c r="Q28" i="11" s="1"/>
  <c r="P29" i="68"/>
  <c r="O29" i="68"/>
  <c r="N29" i="68"/>
  <c r="I29" i="68" s="1"/>
  <c r="Q27" i="11" s="1"/>
  <c r="P28" i="68"/>
  <c r="O28" i="68"/>
  <c r="N28" i="68"/>
  <c r="I28" i="68" s="1"/>
  <c r="Q26" i="11" s="1"/>
  <c r="P27" i="68"/>
  <c r="O27" i="68"/>
  <c r="N27" i="68"/>
  <c r="I27" i="68" s="1"/>
  <c r="P26" i="68"/>
  <c r="O26" i="68"/>
  <c r="N26" i="68"/>
  <c r="I26" i="68" s="1"/>
  <c r="P25" i="68"/>
  <c r="O25" i="68"/>
  <c r="N25" i="68"/>
  <c r="I25" i="68" s="1"/>
  <c r="P24" i="68"/>
  <c r="O24" i="68"/>
  <c r="N24" i="68"/>
  <c r="I24" i="68" s="1"/>
  <c r="Q25" i="11" s="1"/>
  <c r="P23" i="68"/>
  <c r="O23" i="68"/>
  <c r="N23" i="68"/>
  <c r="I23" i="68" s="1"/>
  <c r="Q24" i="11" s="1"/>
  <c r="P22" i="68"/>
  <c r="O22" i="68"/>
  <c r="N22" i="68"/>
  <c r="I22" i="68" s="1"/>
  <c r="Q23" i="11" s="1"/>
  <c r="B22" i="68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4" i="68" s="1"/>
  <c r="B55" i="68" s="1"/>
  <c r="B56" i="68" s="1"/>
  <c r="P21" i="68"/>
  <c r="O21" i="68"/>
  <c r="N21" i="68"/>
  <c r="I21" i="68" s="1"/>
  <c r="F11" i="68"/>
  <c r="E11" i="68"/>
  <c r="B11" i="68"/>
  <c r="F10" i="68"/>
  <c r="E10" i="68"/>
  <c r="B10" i="68"/>
  <c r="F9" i="68"/>
  <c r="E9" i="68"/>
  <c r="B9" i="68"/>
  <c r="F8" i="68"/>
  <c r="E8" i="68"/>
  <c r="B8" i="68"/>
  <c r="F7" i="68"/>
  <c r="E7" i="68"/>
  <c r="B7" i="68"/>
  <c r="F6" i="68"/>
  <c r="F5" i="68"/>
  <c r="E5" i="68"/>
  <c r="B5" i="68"/>
  <c r="F4" i="68"/>
  <c r="E4" i="68"/>
  <c r="B4" i="68"/>
  <c r="I138" i="68" l="1"/>
  <c r="B549" i="68"/>
  <c r="B550" i="68" s="1"/>
  <c r="B551" i="68" s="1"/>
  <c r="B552" i="68" s="1"/>
  <c r="B553" i="68" s="1"/>
  <c r="B554" i="68" s="1"/>
  <c r="B555" i="68" s="1"/>
  <c r="B556" i="68" s="1"/>
  <c r="B557" i="68" s="1"/>
  <c r="B558" i="68" s="1"/>
  <c r="B559" i="68" s="1"/>
  <c r="B560" i="68" s="1"/>
  <c r="B561" i="68" s="1"/>
  <c r="B562" i="68" s="1"/>
  <c r="B563" i="68" s="1"/>
  <c r="B564" i="68" s="1"/>
  <c r="B565" i="68" s="1"/>
  <c r="B566" i="68" s="1"/>
  <c r="B567" i="68" s="1"/>
  <c r="B568" i="68" s="1"/>
  <c r="B569" i="68" s="1"/>
  <c r="B570" i="68" s="1"/>
  <c r="B571" i="68" s="1"/>
  <c r="B572" i="68" s="1"/>
  <c r="B573" i="68" s="1"/>
  <c r="B574" i="68" s="1"/>
  <c r="B575" i="68" s="1"/>
  <c r="B576" i="68" s="1"/>
  <c r="B577" i="68" s="1"/>
  <c r="B578" i="68" s="1"/>
  <c r="B579" i="68" s="1"/>
  <c r="B580" i="68" s="1"/>
  <c r="B581" i="68" s="1"/>
  <c r="B582" i="68" s="1"/>
  <c r="B583" i="68" s="1"/>
  <c r="B584" i="68" s="1"/>
  <c r="B585" i="68" s="1"/>
  <c r="B586" i="68" s="1"/>
  <c r="B587" i="68" s="1"/>
  <c r="B588" i="68" s="1"/>
  <c r="B589" i="68" s="1"/>
  <c r="B590" i="68" s="1"/>
  <c r="B591" i="68" s="1"/>
  <c r="B592" i="68" s="1"/>
  <c r="B593" i="68" s="1"/>
  <c r="B594" i="68" s="1"/>
  <c r="B595" i="68" s="1"/>
  <c r="B596" i="68" s="1"/>
  <c r="B597" i="68" s="1"/>
  <c r="B598" i="68" s="1"/>
  <c r="B599" i="68" s="1"/>
  <c r="B600" i="68" s="1"/>
  <c r="B601" i="68" s="1"/>
  <c r="B602" i="68" s="1"/>
  <c r="B603" i="68" s="1"/>
  <c r="B604" i="68" s="1"/>
  <c r="B605" i="68" s="1"/>
  <c r="B606" i="68" s="1"/>
  <c r="B607" i="68" s="1"/>
  <c r="B608" i="68" s="1"/>
  <c r="B609" i="68" s="1"/>
  <c r="B610" i="68" s="1"/>
  <c r="B157" i="68"/>
  <c r="B158" i="68" s="1"/>
  <c r="B159" i="68" s="1"/>
  <c r="B160" i="68" s="1"/>
  <c r="B161" i="68" s="1"/>
  <c r="B162" i="68" s="1"/>
  <c r="B163" i="68" s="1"/>
  <c r="B164" i="68" s="1"/>
  <c r="B165" i="68" s="1"/>
  <c r="B166" i="68" s="1"/>
  <c r="B167" i="68" s="1"/>
  <c r="B168" i="68" s="1"/>
  <c r="B169" i="68" s="1"/>
  <c r="B170" i="68" s="1"/>
  <c r="B171" i="68" s="1"/>
  <c r="B172" i="68" s="1"/>
  <c r="B173" i="68" s="1"/>
  <c r="B174" i="68" s="1"/>
  <c r="B175" i="68" s="1"/>
  <c r="B176" i="68" s="1"/>
  <c r="B177" i="68" s="1"/>
  <c r="B178" i="68" s="1"/>
  <c r="B179" i="68" s="1"/>
  <c r="B180" i="68" s="1"/>
  <c r="B181" i="68" s="1"/>
  <c r="B182" i="68" s="1"/>
  <c r="B183" i="68" s="1"/>
  <c r="B184" i="68" s="1"/>
  <c r="B185" i="68" s="1"/>
  <c r="B186" i="68" s="1"/>
  <c r="B187" i="68" s="1"/>
  <c r="B188" i="68" s="1"/>
  <c r="B189" i="68" s="1"/>
  <c r="B190" i="68" s="1"/>
  <c r="B191" i="68" s="1"/>
  <c r="B192" i="68" s="1"/>
  <c r="B193" i="68" s="1"/>
  <c r="B194" i="68" s="1"/>
  <c r="B195" i="68" s="1"/>
  <c r="B196" i="68" s="1"/>
  <c r="B197" i="68" s="1"/>
  <c r="B198" i="68" s="1"/>
  <c r="B199" i="68" s="1"/>
  <c r="B200" i="68" s="1"/>
  <c r="B201" i="68" s="1"/>
  <c r="B202" i="68" s="1"/>
  <c r="B203" i="68" s="1"/>
  <c r="B204" i="68" s="1"/>
  <c r="B205" i="68" s="1"/>
  <c r="B206" i="68" s="1"/>
  <c r="B207" i="68" s="1"/>
  <c r="B208" i="68" s="1"/>
  <c r="B209" i="68" s="1"/>
  <c r="B210" i="68" s="1"/>
  <c r="B211" i="68" s="1"/>
  <c r="B212" i="68" s="1"/>
  <c r="B213" i="68" s="1"/>
  <c r="B214" i="68" s="1"/>
  <c r="B215" i="68" s="1"/>
  <c r="B216" i="68" s="1"/>
  <c r="B217" i="68" s="1"/>
  <c r="B218" i="68" s="1"/>
  <c r="B219" i="68" s="1"/>
  <c r="B220" i="68" s="1"/>
  <c r="B221" i="68" s="1"/>
  <c r="B222" i="68" s="1"/>
  <c r="B223" i="68" s="1"/>
  <c r="B224" i="68" s="1"/>
  <c r="B225" i="68" s="1"/>
  <c r="B226" i="68" s="1"/>
  <c r="B227" i="68" s="1"/>
  <c r="B228" i="68" s="1"/>
  <c r="B229" i="68" s="1"/>
  <c r="B230" i="68" s="1"/>
  <c r="B231" i="68" s="1"/>
  <c r="B232" i="68" s="1"/>
  <c r="B233" i="68" s="1"/>
  <c r="B234" i="68" s="1"/>
  <c r="B235" i="68" s="1"/>
  <c r="B236" i="68" s="1"/>
  <c r="B237" i="68" s="1"/>
  <c r="B238" i="68" s="1"/>
  <c r="B239" i="68" s="1"/>
  <c r="B240" i="68" s="1"/>
  <c r="B241" i="68" s="1"/>
  <c r="B242" i="68" s="1"/>
  <c r="B243" i="68" s="1"/>
  <c r="B244" i="68" s="1"/>
  <c r="B245" i="68" s="1"/>
  <c r="B246" i="68" s="1"/>
  <c r="B247" i="68" s="1"/>
  <c r="B248" i="68" s="1"/>
  <c r="B249" i="68" s="1"/>
  <c r="B250" i="68" s="1"/>
  <c r="B251" i="68" s="1"/>
  <c r="B252" i="68" s="1"/>
  <c r="B253" i="68" s="1"/>
  <c r="B254" i="68" s="1"/>
  <c r="B255" i="68" s="1"/>
  <c r="B256" i="68" s="1"/>
  <c r="B257" i="68" s="1"/>
  <c r="B258" i="68" s="1"/>
  <c r="B259" i="68" s="1"/>
  <c r="B260" i="68" s="1"/>
  <c r="B261" i="68" s="1"/>
  <c r="B262" i="68" s="1"/>
  <c r="B263" i="68" s="1"/>
  <c r="B264" i="68" s="1"/>
  <c r="B265" i="68" s="1"/>
  <c r="B266" i="68" s="1"/>
  <c r="B267" i="68" s="1"/>
  <c r="B268" i="68" s="1"/>
  <c r="B269" i="68" s="1"/>
  <c r="B270" i="68" s="1"/>
  <c r="B271" i="68" s="1"/>
  <c r="B272" i="68" s="1"/>
  <c r="B273" i="68" s="1"/>
  <c r="B274" i="68" s="1"/>
  <c r="B275" i="68" s="1"/>
  <c r="B276" i="68" s="1"/>
  <c r="B277" i="68" s="1"/>
  <c r="B278" i="68" s="1"/>
  <c r="B279" i="68" s="1"/>
  <c r="B280" i="68" s="1"/>
  <c r="B281" i="68" s="1"/>
  <c r="B282" i="68" s="1"/>
  <c r="B283" i="68" s="1"/>
  <c r="B284" i="68" s="1"/>
  <c r="B285" i="68" s="1"/>
  <c r="B286" i="68" s="1"/>
  <c r="B287" i="68" s="1"/>
  <c r="B288" i="68" s="1"/>
  <c r="B289" i="68" s="1"/>
  <c r="B290" i="68" s="1"/>
  <c r="B291" i="68" s="1"/>
  <c r="B292" i="68" s="1"/>
  <c r="B293" i="68" s="1"/>
  <c r="B294" i="68" s="1"/>
  <c r="B295" i="68" s="1"/>
  <c r="B296" i="68" s="1"/>
  <c r="B297" i="68" s="1"/>
  <c r="B298" i="68" s="1"/>
  <c r="B299" i="68" s="1"/>
  <c r="B300" i="68" s="1"/>
  <c r="B301" i="68" s="1"/>
  <c r="B302" i="68" s="1"/>
  <c r="B303" i="68" s="1"/>
  <c r="B304" i="68" s="1"/>
  <c r="B305" i="68" s="1"/>
  <c r="B306" i="68" s="1"/>
  <c r="B307" i="68" s="1"/>
  <c r="B308" i="68" s="1"/>
  <c r="B309" i="68" s="1"/>
  <c r="B310" i="68" s="1"/>
  <c r="B311" i="68" s="1"/>
  <c r="B312" i="68" s="1"/>
  <c r="B313" i="68" s="1"/>
  <c r="B314" i="68" s="1"/>
  <c r="B315" i="68" s="1"/>
  <c r="B316" i="68" s="1"/>
  <c r="B317" i="68" s="1"/>
  <c r="B318" i="68" s="1"/>
  <c r="B319" i="68" s="1"/>
  <c r="B320" i="68" s="1"/>
  <c r="B321" i="68" s="1"/>
  <c r="B322" i="68" s="1"/>
  <c r="B323" i="68" s="1"/>
  <c r="B324" i="68" s="1"/>
  <c r="B325" i="68" s="1"/>
  <c r="B326" i="68" s="1"/>
  <c r="B327" i="68" s="1"/>
  <c r="B328" i="68" s="1"/>
  <c r="B329" i="68" s="1"/>
  <c r="B330" i="68" s="1"/>
  <c r="B331" i="68" s="1"/>
  <c r="B332" i="68" s="1"/>
  <c r="B333" i="68" s="1"/>
  <c r="B334" i="68" s="1"/>
  <c r="B335" i="68" s="1"/>
  <c r="B336" i="68" s="1"/>
  <c r="B337" i="68" s="1"/>
  <c r="B338" i="68" s="1"/>
  <c r="B339" i="68" s="1"/>
  <c r="B340" i="68" s="1"/>
  <c r="B341" i="68" s="1"/>
  <c r="B342" i="68" s="1"/>
  <c r="B343" i="68" s="1"/>
  <c r="B344" i="68" s="1"/>
  <c r="B345" i="68" s="1"/>
  <c r="B346" i="68" s="1"/>
  <c r="B347" i="68" s="1"/>
  <c r="B348" i="68" s="1"/>
  <c r="B349" i="68" s="1"/>
  <c r="B350" i="68" s="1"/>
  <c r="B351" i="68" s="1"/>
  <c r="B352" i="68" s="1"/>
  <c r="B353" i="68" s="1"/>
  <c r="B354" i="68" s="1"/>
  <c r="B355" i="68" s="1"/>
  <c r="B356" i="68" s="1"/>
  <c r="B357" i="68" s="1"/>
  <c r="B358" i="68" s="1"/>
  <c r="B359" i="68" s="1"/>
  <c r="B360" i="68" s="1"/>
  <c r="B361" i="68" s="1"/>
  <c r="B362" i="68" s="1"/>
  <c r="B363" i="68" s="1"/>
  <c r="B364" i="68" s="1"/>
  <c r="B365" i="68" s="1"/>
  <c r="B366" i="68" s="1"/>
  <c r="B367" i="68" s="1"/>
  <c r="B368" i="68" s="1"/>
  <c r="B369" i="68" s="1"/>
  <c r="B370" i="68" s="1"/>
  <c r="B371" i="68" s="1"/>
  <c r="B372" i="68" s="1"/>
  <c r="B373" i="68" s="1"/>
  <c r="B374" i="68" s="1"/>
  <c r="B375" i="68" s="1"/>
  <c r="B376" i="68" s="1"/>
  <c r="B377" i="68" s="1"/>
  <c r="B378" i="68" s="1"/>
  <c r="B379" i="68" s="1"/>
  <c r="B380" i="68" s="1"/>
  <c r="B381" i="68" s="1"/>
  <c r="B382" i="68" s="1"/>
  <c r="B383" i="68" s="1"/>
  <c r="B384" i="68" s="1"/>
  <c r="B385" i="68" s="1"/>
  <c r="B386" i="68" s="1"/>
  <c r="B387" i="68" s="1"/>
  <c r="B388" i="68" s="1"/>
  <c r="B389" i="68" s="1"/>
  <c r="B390" i="68" s="1"/>
  <c r="B391" i="68" s="1"/>
  <c r="B392" i="68" s="1"/>
  <c r="B393" i="68" s="1"/>
  <c r="B394" i="68" s="1"/>
  <c r="B395" i="68" s="1"/>
  <c r="B396" i="68" s="1"/>
  <c r="B397" i="68" s="1"/>
  <c r="B398" i="68" s="1"/>
  <c r="B399" i="68" s="1"/>
  <c r="B400" i="68" s="1"/>
  <c r="B401" i="68" s="1"/>
  <c r="B402" i="68" s="1"/>
  <c r="B403" i="68" s="1"/>
  <c r="B404" i="68" s="1"/>
  <c r="B405" i="68" s="1"/>
  <c r="B406" i="68" s="1"/>
  <c r="B407" i="68" s="1"/>
  <c r="B408" i="68" s="1"/>
  <c r="B409" i="68" s="1"/>
  <c r="B410" i="68" s="1"/>
  <c r="B411" i="68" s="1"/>
  <c r="B412" i="68" s="1"/>
  <c r="B413" i="68" s="1"/>
  <c r="B414" i="68" s="1"/>
  <c r="B415" i="68" s="1"/>
  <c r="B416" i="68" s="1"/>
  <c r="B417" i="68" s="1"/>
  <c r="B418" i="68" s="1"/>
  <c r="B419" i="68" s="1"/>
  <c r="B420" i="68" s="1"/>
  <c r="B421" i="68" s="1"/>
  <c r="B422" i="68" s="1"/>
  <c r="B423" i="68" s="1"/>
  <c r="B424" i="68" s="1"/>
  <c r="B425" i="68" s="1"/>
  <c r="B426" i="68" s="1"/>
  <c r="B427" i="68" s="1"/>
  <c r="B428" i="68" s="1"/>
  <c r="B429" i="68" s="1"/>
  <c r="B430" i="68" s="1"/>
  <c r="B431" i="68" s="1"/>
  <c r="B432" i="68" s="1"/>
  <c r="B433" i="68" s="1"/>
  <c r="B434" i="68" s="1"/>
  <c r="B435" i="68" s="1"/>
  <c r="B436" i="68" s="1"/>
  <c r="B437" i="68" s="1"/>
  <c r="B438" i="68" s="1"/>
  <c r="B439" i="68" s="1"/>
  <c r="B440" i="68" s="1"/>
  <c r="B441" i="68" s="1"/>
  <c r="B442" i="68" s="1"/>
  <c r="B443" i="68" s="1"/>
  <c r="B444" i="68" s="1"/>
  <c r="B445" i="68" s="1"/>
  <c r="B446" i="68" s="1"/>
  <c r="B447" i="68" s="1"/>
  <c r="B448" i="68" s="1"/>
  <c r="B449" i="68" s="1"/>
  <c r="B450" i="68" s="1"/>
  <c r="B451" i="68" s="1"/>
  <c r="B452" i="68" s="1"/>
  <c r="B453" i="68" s="1"/>
  <c r="B454" i="68" s="1"/>
  <c r="B455" i="68" s="1"/>
  <c r="B456" i="68" s="1"/>
  <c r="B457" i="68" s="1"/>
  <c r="B458" i="68" s="1"/>
  <c r="B459" i="68" s="1"/>
  <c r="B460" i="68" s="1"/>
  <c r="B461" i="68" s="1"/>
  <c r="B462" i="68" s="1"/>
  <c r="B463" i="68" s="1"/>
  <c r="B464" i="68" s="1"/>
  <c r="B465" i="68" s="1"/>
  <c r="B466" i="68" s="1"/>
  <c r="B467" i="68" s="1"/>
  <c r="B468" i="68" s="1"/>
  <c r="B469" i="68" s="1"/>
  <c r="B470" i="68" s="1"/>
  <c r="B471" i="68" s="1"/>
  <c r="B472" i="68" s="1"/>
  <c r="B473" i="68" s="1"/>
  <c r="B474" i="68" s="1"/>
  <c r="B475" i="68" s="1"/>
  <c r="B476" i="68" s="1"/>
  <c r="B477" i="68" s="1"/>
  <c r="B478" i="68" s="1"/>
  <c r="B479" i="68" s="1"/>
  <c r="B480" i="68" s="1"/>
  <c r="B481" i="68" s="1"/>
  <c r="B482" i="68" s="1"/>
  <c r="B483" i="68" s="1"/>
  <c r="B484" i="68" s="1"/>
  <c r="B485" i="68" s="1"/>
  <c r="B486" i="68" s="1"/>
  <c r="B487" i="68" s="1"/>
  <c r="B488" i="68" s="1"/>
  <c r="B489" i="68" s="1"/>
  <c r="B490" i="68" s="1"/>
  <c r="B491" i="68" s="1"/>
  <c r="B492" i="68" s="1"/>
  <c r="B493" i="68" s="1"/>
  <c r="B494" i="68" s="1"/>
  <c r="B495" i="68" s="1"/>
  <c r="B496" i="68" s="1"/>
  <c r="B497" i="68" s="1"/>
  <c r="B498" i="68" s="1"/>
  <c r="B499" i="68" s="1"/>
  <c r="B500" i="68" s="1"/>
  <c r="B501" i="68" s="1"/>
  <c r="B502" i="68" s="1"/>
  <c r="B503" i="68" s="1"/>
  <c r="B504" i="68" s="1"/>
  <c r="B505" i="68" s="1"/>
  <c r="B506" i="68" s="1"/>
  <c r="B507" i="68" s="1"/>
  <c r="B508" i="68" s="1"/>
  <c r="B509" i="68" s="1"/>
  <c r="B510" i="68" s="1"/>
  <c r="B511" i="68" s="1"/>
  <c r="B512" i="68" s="1"/>
  <c r="B513" i="68" s="1"/>
  <c r="B514" i="68" s="1"/>
  <c r="B515" i="68" s="1"/>
  <c r="B516" i="68" s="1"/>
  <c r="B517" i="68" s="1"/>
  <c r="B518" i="68" s="1"/>
  <c r="B519" i="68" s="1"/>
  <c r="B520" i="68" s="1"/>
  <c r="B521" i="68" s="1"/>
  <c r="B522" i="68" s="1"/>
  <c r="B523" i="68" s="1"/>
  <c r="B524" i="68" s="1"/>
  <c r="B525" i="68" s="1"/>
  <c r="B526" i="68" s="1"/>
  <c r="B527" i="68" s="1"/>
  <c r="B528" i="68" s="1"/>
  <c r="B529" i="68" s="1"/>
  <c r="B530" i="68" s="1"/>
  <c r="B531" i="68" s="1"/>
  <c r="B532" i="68" s="1"/>
  <c r="B533" i="68" s="1"/>
  <c r="B534" i="68" s="1"/>
  <c r="B535" i="68" s="1"/>
  <c r="B536" i="68" s="1"/>
  <c r="B537" i="68" s="1"/>
  <c r="B538" i="68" s="1"/>
  <c r="B539" i="68" s="1"/>
  <c r="B540" i="68" s="1"/>
  <c r="B541" i="68" s="1"/>
  <c r="B544" i="68" s="1"/>
  <c r="B545" i="68" s="1"/>
  <c r="B546" i="68" s="1"/>
  <c r="I140" i="68"/>
  <c r="I131" i="68"/>
  <c r="I134" i="68"/>
  <c r="I139" i="68"/>
  <c r="P23" i="11" l="1"/>
  <c r="R23" i="11"/>
  <c r="S23" i="11"/>
  <c r="T23" i="11"/>
  <c r="B146" i="63" l="1"/>
  <c r="B147" i="63" l="1"/>
  <c r="B451" i="65" s="1"/>
  <c r="B447" i="65"/>
  <c r="X1319" i="58" l="1"/>
  <c r="H452" i="58" l="1"/>
  <c r="G244" i="72" s="1"/>
  <c r="H477" i="58"/>
  <c r="H476" i="58"/>
  <c r="H473" i="58"/>
  <c r="G876" i="72" l="1"/>
  <c r="G383" i="72"/>
  <c r="G345" i="72"/>
  <c r="G421" i="72"/>
  <c r="G879" i="72"/>
  <c r="G386" i="72"/>
  <c r="G424" i="72"/>
  <c r="G348" i="72"/>
  <c r="G880" i="72"/>
  <c r="P880" i="72" s="1"/>
  <c r="S880" i="72" s="1"/>
  <c r="T880" i="72" s="1"/>
  <c r="G387" i="72"/>
  <c r="P387" i="72" s="1"/>
  <c r="S387" i="72" s="1"/>
  <c r="T387" i="72" s="1"/>
  <c r="G349" i="72"/>
  <c r="P349" i="72" s="1"/>
  <c r="S349" i="72" s="1"/>
  <c r="T349" i="72" s="1"/>
  <c r="G425" i="72"/>
  <c r="P425" i="72" s="1"/>
  <c r="S425" i="72" s="1"/>
  <c r="T425" i="72" s="1"/>
  <c r="R14" i="65"/>
  <c r="S14" i="65" s="1"/>
  <c r="R13" i="65"/>
  <c r="B13" i="65"/>
  <c r="C12" i="65"/>
  <c r="B12" i="65"/>
  <c r="B184" i="63"/>
  <c r="B185" i="63" l="1"/>
  <c r="B186" i="63" s="1"/>
  <c r="B187" i="63" s="1"/>
  <c r="B549" i="65"/>
  <c r="J161" i="63"/>
  <c r="B121" i="63"/>
  <c r="B388" i="65" s="1"/>
  <c r="B105" i="63"/>
  <c r="B307" i="65" s="1"/>
  <c r="I1221" i="58"/>
  <c r="K1230" i="58"/>
  <c r="O1216" i="58"/>
  <c r="B39" i="63"/>
  <c r="B37" i="65" s="1"/>
  <c r="T100" i="11"/>
  <c r="S100" i="11"/>
  <c r="R100" i="11"/>
  <c r="I100" i="11"/>
  <c r="I1259" i="58" s="1"/>
  <c r="P100" i="11"/>
  <c r="K1268" i="58"/>
  <c r="O1254" i="58"/>
  <c r="N1794" i="72" l="1"/>
  <c r="P1794" i="72" s="1"/>
  <c r="S1794" i="72" s="1"/>
  <c r="T1794" i="72" s="1"/>
  <c r="N1657" i="72"/>
  <c r="P1657" i="72" s="1"/>
  <c r="S1657" i="72" s="1"/>
  <c r="T1657" i="72" s="1"/>
  <c r="B122" i="63"/>
  <c r="B391" i="65" s="1"/>
  <c r="B148" i="63"/>
  <c r="B452" i="65" s="1"/>
  <c r="B40" i="63"/>
  <c r="B41" i="63" l="1"/>
  <c r="B38" i="65"/>
  <c r="B123" i="63"/>
  <c r="B394" i="65" s="1"/>
  <c r="B149" i="63"/>
  <c r="B457" i="65" s="1"/>
  <c r="B42" i="63" l="1"/>
  <c r="B39" i="65"/>
  <c r="B150" i="63"/>
  <c r="B460" i="65" s="1"/>
  <c r="B124" i="63"/>
  <c r="B395" i="65" s="1"/>
  <c r="B43" i="63" l="1"/>
  <c r="B42" i="65" s="1"/>
  <c r="B41" i="65"/>
  <c r="B152" i="63"/>
  <c r="B465" i="65" s="1"/>
  <c r="B125" i="63"/>
  <c r="B396" i="65" s="1"/>
  <c r="T105" i="11"/>
  <c r="S105" i="11"/>
  <c r="R105" i="11"/>
  <c r="P105" i="11"/>
  <c r="T103" i="11"/>
  <c r="S103" i="11"/>
  <c r="R103" i="11"/>
  <c r="P103" i="11"/>
  <c r="B153" i="63" l="1"/>
  <c r="B154" i="63"/>
  <c r="B155" i="63" l="1"/>
  <c r="B468" i="65"/>
  <c r="B156" i="63"/>
  <c r="B469" i="65"/>
  <c r="B157" i="63" l="1"/>
  <c r="B470" i="65"/>
  <c r="B158" i="63"/>
  <c r="B477" i="65" s="1"/>
  <c r="B475" i="65"/>
  <c r="J190" i="63"/>
  <c r="B159" i="63" l="1"/>
  <c r="B478" i="65" s="1"/>
  <c r="B476" i="65"/>
  <c r="R55" i="67"/>
  <c r="E17" i="67"/>
  <c r="E16" i="67"/>
  <c r="E15" i="67"/>
  <c r="E14" i="67"/>
  <c r="E13" i="67"/>
  <c r="B164" i="63"/>
  <c r="B485" i="65" s="1"/>
  <c r="B165" i="63" l="1"/>
  <c r="B498" i="65" l="1"/>
  <c r="B166" i="63"/>
  <c r="B167" i="63" l="1"/>
  <c r="B514" i="65" s="1"/>
  <c r="B499" i="65"/>
  <c r="T108" i="11"/>
  <c r="S108" i="11"/>
  <c r="R108" i="11"/>
  <c r="I657" i="58"/>
  <c r="N1229" i="72" s="1"/>
  <c r="P1229" i="72" s="1"/>
  <c r="P108" i="11"/>
  <c r="K666" i="58"/>
  <c r="O652" i="58"/>
  <c r="P619" i="58"/>
  <c r="P620" i="58" s="1"/>
  <c r="P621" i="58" s="1"/>
  <c r="K628" i="58"/>
  <c r="O614" i="58"/>
  <c r="S1229" i="72" l="1"/>
  <c r="T1229" i="72" s="1"/>
  <c r="P622" i="58"/>
  <c r="K1408" i="58" l="1"/>
  <c r="I1401" i="58"/>
  <c r="I1400" i="58"/>
  <c r="I1398" i="58"/>
  <c r="O1393" i="58"/>
  <c r="O1433" i="58"/>
  <c r="O1413" i="58"/>
  <c r="I1441" i="58"/>
  <c r="I1440" i="58"/>
  <c r="I1438" i="58"/>
  <c r="I1421" i="58"/>
  <c r="J1421" i="58" s="1"/>
  <c r="N1421" i="58" s="1"/>
  <c r="I1420" i="58"/>
  <c r="J1420" i="58" s="1"/>
  <c r="N1420" i="58" s="1"/>
  <c r="I1418" i="58"/>
  <c r="J1418" i="58" s="1"/>
  <c r="N1418" i="58" s="1"/>
  <c r="K1448" i="58"/>
  <c r="W1439" i="58"/>
  <c r="K1428" i="58"/>
  <c r="J1440" i="58" l="1"/>
  <c r="N1440" i="58" s="1"/>
  <c r="N2026" i="72"/>
  <c r="P2026" i="72" s="1"/>
  <c r="S2026" i="72" s="1"/>
  <c r="T2026" i="72" s="1"/>
  <c r="N1866" i="72"/>
  <c r="P1866" i="72" s="1"/>
  <c r="S1866" i="72" s="1"/>
  <c r="T1866" i="72" s="1"/>
  <c r="N1855" i="72"/>
  <c r="P1855" i="72" s="1"/>
  <c r="S1855" i="72" s="1"/>
  <c r="T1855" i="72" s="1"/>
  <c r="N2015" i="72"/>
  <c r="P2015" i="72" s="1"/>
  <c r="S2015" i="72" s="1"/>
  <c r="T2015" i="72" s="1"/>
  <c r="J1400" i="58"/>
  <c r="N1400" i="58" s="1"/>
  <c r="N2004" i="72"/>
  <c r="P2004" i="72" s="1"/>
  <c r="N1844" i="72"/>
  <c r="P1844" i="72" s="1"/>
  <c r="S1844" i="72" s="1"/>
  <c r="T1844" i="72" s="1"/>
  <c r="J1441" i="58"/>
  <c r="N1441" i="58" s="1"/>
  <c r="N2027" i="72"/>
  <c r="P2027" i="72" s="1"/>
  <c r="S2027" i="72" s="1"/>
  <c r="T2027" i="72" s="1"/>
  <c r="N1867" i="72"/>
  <c r="P1867" i="72" s="1"/>
  <c r="S1867" i="72" s="1"/>
  <c r="T1867" i="72" s="1"/>
  <c r="N2016" i="72"/>
  <c r="P2016" i="72" s="1"/>
  <c r="S2016" i="72" s="1"/>
  <c r="T2016" i="72" s="1"/>
  <c r="N1856" i="72"/>
  <c r="P1856" i="72" s="1"/>
  <c r="S1856" i="72" s="1"/>
  <c r="T1856" i="72" s="1"/>
  <c r="J1401" i="58"/>
  <c r="N1401" i="58" s="1"/>
  <c r="N1845" i="72"/>
  <c r="P1845" i="72" s="1"/>
  <c r="S1845" i="72" s="1"/>
  <c r="T1845" i="72" s="1"/>
  <c r="N2005" i="72"/>
  <c r="P2005" i="72" s="1"/>
  <c r="S2005" i="72" s="1"/>
  <c r="T2005" i="72" s="1"/>
  <c r="J1438" i="58"/>
  <c r="N1438" i="58" s="1"/>
  <c r="N2013" i="72"/>
  <c r="P2013" i="72" s="1"/>
  <c r="N1853" i="72"/>
  <c r="P1853" i="72" s="1"/>
  <c r="N2024" i="72"/>
  <c r="P2024" i="72" s="1"/>
  <c r="N1864" i="72"/>
  <c r="P1864" i="72" s="1"/>
  <c r="J1398" i="58"/>
  <c r="N1398" i="58" s="1"/>
  <c r="N2002" i="72"/>
  <c r="P2002" i="72" s="1"/>
  <c r="N1842" i="72"/>
  <c r="P1842" i="72" s="1"/>
  <c r="K209" i="63"/>
  <c r="K208" i="63"/>
  <c r="K199" i="63"/>
  <c r="K198" i="63"/>
  <c r="K197" i="63"/>
  <c r="S2024" i="72" l="1"/>
  <c r="T2024" i="72" s="1"/>
  <c r="S2002" i="72"/>
  <c r="T2002" i="72" s="1"/>
  <c r="S1853" i="72"/>
  <c r="T1853" i="72" s="1"/>
  <c r="S2004" i="72"/>
  <c r="T2004" i="72" s="1"/>
  <c r="S2013" i="72"/>
  <c r="T2013" i="72" s="1"/>
  <c r="S1842" i="72"/>
  <c r="T1842" i="72" s="1"/>
  <c r="S1864" i="72"/>
  <c r="T1864" i="72" s="1"/>
  <c r="J181" i="63"/>
  <c r="J169" i="63"/>
  <c r="J142" i="63"/>
  <c r="B136" i="63"/>
  <c r="J132" i="63"/>
  <c r="J118" i="63"/>
  <c r="J110" i="63"/>
  <c r="B419" i="65" l="1"/>
  <c r="B137" i="63"/>
  <c r="B174" i="63"/>
  <c r="B533" i="65" s="1"/>
  <c r="B115" i="63"/>
  <c r="B366" i="65" s="1"/>
  <c r="B423" i="65" l="1"/>
  <c r="B138" i="63"/>
  <c r="B427" i="65" s="1"/>
  <c r="B116" i="63"/>
  <c r="B381" i="65" s="1"/>
  <c r="B126" i="63"/>
  <c r="B397" i="65" s="1"/>
  <c r="B106" i="63"/>
  <c r="B321" i="65" s="1"/>
  <c r="B175" i="63"/>
  <c r="J102" i="63"/>
  <c r="J55" i="63"/>
  <c r="J45" i="63"/>
  <c r="B176" i="63" l="1"/>
  <c r="B535" i="65" s="1"/>
  <c r="B534" i="65"/>
  <c r="B139" i="63"/>
  <c r="B430" i="65" s="1"/>
  <c r="B107" i="63"/>
  <c r="B127" i="63"/>
  <c r="B398" i="65" s="1"/>
  <c r="B63" i="63"/>
  <c r="B146" i="65" s="1"/>
  <c r="B177" i="63" l="1"/>
  <c r="B536" i="65" s="1"/>
  <c r="B140" i="63"/>
  <c r="B438" i="65" s="1"/>
  <c r="B108" i="63"/>
  <c r="B338" i="65" s="1"/>
  <c r="B334" i="65"/>
  <c r="B128" i="63"/>
  <c r="B399" i="65" s="1"/>
  <c r="B50" i="63"/>
  <c r="B95" i="65" s="1"/>
  <c r="B64" i="63"/>
  <c r="B161" i="65" s="1"/>
  <c r="J28" i="63"/>
  <c r="H45" i="66"/>
  <c r="H46" i="66" s="1"/>
  <c r="H43" i="66"/>
  <c r="H39" i="66"/>
  <c r="H38" i="66"/>
  <c r="H37" i="66"/>
  <c r="H36" i="66"/>
  <c r="H33" i="66"/>
  <c r="H32" i="66"/>
  <c r="H31" i="66"/>
  <c r="H30" i="66"/>
  <c r="H29" i="66"/>
  <c r="H26" i="66"/>
  <c r="H27" i="66" s="1"/>
  <c r="H23" i="66"/>
  <c r="H24" i="66" s="1"/>
  <c r="F17" i="66"/>
  <c r="F18" i="66" s="1"/>
  <c r="H16" i="66"/>
  <c r="H13" i="66"/>
  <c r="G13" i="66"/>
  <c r="H12" i="66"/>
  <c r="H14" i="66" s="1"/>
  <c r="H7" i="66"/>
  <c r="H10" i="66" s="1"/>
  <c r="B178" i="63" l="1"/>
  <c r="B537" i="65" s="1"/>
  <c r="B129" i="63"/>
  <c r="B400" i="65" s="1"/>
  <c r="B51" i="63"/>
  <c r="B66" i="63"/>
  <c r="B173" i="65" s="1"/>
  <c r="H40" i="66"/>
  <c r="H34" i="66"/>
  <c r="H17" i="66"/>
  <c r="F19" i="66"/>
  <c r="H18" i="66"/>
  <c r="B179" i="63" l="1"/>
  <c r="B538" i="65" s="1"/>
  <c r="B52" i="63"/>
  <c r="B98" i="65"/>
  <c r="B130" i="63"/>
  <c r="B401" i="65" s="1"/>
  <c r="B67" i="63"/>
  <c r="B182" i="65" s="1"/>
  <c r="F20" i="66"/>
  <c r="H20" i="66" s="1"/>
  <c r="H19" i="66"/>
  <c r="H21" i="66" s="1"/>
  <c r="H47" i="66" s="1"/>
  <c r="B53" i="63" l="1"/>
  <c r="B117" i="65" s="1"/>
  <c r="B105" i="65"/>
  <c r="B68" i="63"/>
  <c r="B70" i="63" l="1"/>
  <c r="B191" i="65" s="1"/>
  <c r="B187" i="65"/>
  <c r="Y14" i="65"/>
  <c r="Z14" i="65" s="1"/>
  <c r="AB14" i="65" s="1"/>
  <c r="Y13" i="65"/>
  <c r="Z13" i="65" s="1"/>
  <c r="AB13" i="65" s="1"/>
  <c r="Y12" i="65"/>
  <c r="Z12" i="65" s="1"/>
  <c r="AB12" i="65" s="1"/>
  <c r="G8" i="65" l="1"/>
  <c r="G7" i="65"/>
  <c r="G6" i="65"/>
  <c r="G5" i="65"/>
  <c r="G4" i="65"/>
  <c r="E16" i="63"/>
  <c r="F8" i="65" s="1"/>
  <c r="E15" i="63"/>
  <c r="F7" i="65" s="1"/>
  <c r="E14" i="63"/>
  <c r="F6" i="65" s="1"/>
  <c r="E13" i="63"/>
  <c r="F5" i="65" s="1"/>
  <c r="E12" i="63"/>
  <c r="F4" i="65" s="1"/>
  <c r="C11" i="64" l="1"/>
  <c r="B27" i="63"/>
  <c r="B14" i="65" s="1"/>
  <c r="D16" i="63"/>
  <c r="C8" i="65" s="1"/>
  <c r="D15" i="63"/>
  <c r="C7" i="65" s="1"/>
  <c r="D14" i="63"/>
  <c r="C6" i="65" s="1"/>
  <c r="D13" i="63"/>
  <c r="C5" i="65" s="1"/>
  <c r="D12" i="63"/>
  <c r="C4" i="65" s="1"/>
  <c r="R202" i="63"/>
  <c r="J35" i="63"/>
  <c r="B71" i="63" l="1"/>
  <c r="B195" i="65" s="1"/>
  <c r="B28" i="63"/>
  <c r="E15" i="11"/>
  <c r="E14" i="11"/>
  <c r="E13" i="11"/>
  <c r="E12" i="11"/>
  <c r="E11" i="11"/>
  <c r="B15" i="11"/>
  <c r="B14" i="11"/>
  <c r="B13" i="11"/>
  <c r="B12" i="11"/>
  <c r="B11" i="11"/>
  <c r="Q161" i="11"/>
  <c r="P161" i="11"/>
  <c r="B15" i="65" l="1"/>
  <c r="B29" i="63"/>
  <c r="B16" i="65" s="1"/>
  <c r="B72" i="63"/>
  <c r="B201" i="65" s="1"/>
  <c r="B74" i="63" l="1"/>
  <c r="B206" i="65" s="1"/>
  <c r="H42" i="58"/>
  <c r="F42" i="58"/>
  <c r="V1701" i="58" l="1"/>
  <c r="V1621" i="58"/>
  <c r="V1544" i="58"/>
  <c r="V1473" i="58"/>
  <c r="V1393" i="58"/>
  <c r="V1312" i="58"/>
  <c r="V1235" i="58"/>
  <c r="V1159" i="58"/>
  <c r="V1081" i="58"/>
  <c r="V1001" i="58"/>
  <c r="V964" i="58"/>
  <c r="V882" i="58"/>
  <c r="V797" i="58"/>
  <c r="V711" i="58"/>
  <c r="V633" i="58"/>
  <c r="V541" i="58"/>
  <c r="V446" i="58"/>
  <c r="V363" i="58"/>
  <c r="V287" i="58"/>
  <c r="V206" i="58"/>
  <c r="V140" i="58"/>
  <c r="V76" i="58"/>
  <c r="V1684" i="58"/>
  <c r="V1601" i="58"/>
  <c r="V1527" i="58"/>
  <c r="V1453" i="58"/>
  <c r="V1372" i="58"/>
  <c r="V1292" i="58"/>
  <c r="V1216" i="58"/>
  <c r="V1140" i="58"/>
  <c r="V1063" i="58"/>
  <c r="V945" i="58"/>
  <c r="V861" i="58"/>
  <c r="V775" i="58"/>
  <c r="V691" i="58"/>
  <c r="V614" i="58"/>
  <c r="V517" i="58"/>
  <c r="V425" i="58"/>
  <c r="V344" i="58"/>
  <c r="V267" i="58"/>
  <c r="V186" i="58"/>
  <c r="V126" i="58"/>
  <c r="V62" i="58"/>
  <c r="V1662" i="58"/>
  <c r="V1581" i="58"/>
  <c r="V1510" i="58"/>
  <c r="V1433" i="58"/>
  <c r="V1352" i="58"/>
  <c r="V1273" i="58"/>
  <c r="V1197" i="58"/>
  <c r="V1120" i="58"/>
  <c r="V1041" i="58"/>
  <c r="V924" i="58"/>
  <c r="V841" i="58"/>
  <c r="V753" i="58"/>
  <c r="V671" i="58"/>
  <c r="V595" i="58"/>
  <c r="V492" i="58"/>
  <c r="V405" i="58"/>
  <c r="V326" i="58"/>
  <c r="V246" i="58"/>
  <c r="V170" i="58"/>
  <c r="V111" i="58"/>
  <c r="V45" i="58"/>
  <c r="U45" i="58" s="1"/>
  <c r="T45" i="58" s="1"/>
  <c r="K21" i="59" s="1"/>
  <c r="V1641" i="58"/>
  <c r="V1561" i="58"/>
  <c r="V1493" i="58"/>
  <c r="V1413" i="58"/>
  <c r="V1332" i="58"/>
  <c r="V1254" i="58"/>
  <c r="V1178" i="58"/>
  <c r="V1100" i="58"/>
  <c r="V1021" i="58"/>
  <c r="V983" i="58"/>
  <c r="V903" i="58"/>
  <c r="V819" i="58"/>
  <c r="V731" i="58"/>
  <c r="V652" i="58"/>
  <c r="V568" i="58"/>
  <c r="V467" i="58"/>
  <c r="V384" i="58"/>
  <c r="V306" i="58"/>
  <c r="V226" i="58"/>
  <c r="V154" i="58"/>
  <c r="V97" i="58"/>
  <c r="V28" i="58"/>
  <c r="F1251" i="58"/>
  <c r="H1251" i="58"/>
  <c r="F942" i="58"/>
  <c r="H942" i="58"/>
  <c r="F879" i="58"/>
  <c r="F900" i="58"/>
  <c r="F921" i="58"/>
  <c r="H900" i="58"/>
  <c r="H921" i="58"/>
  <c r="H879" i="58"/>
  <c r="F565" i="58"/>
  <c r="F592" i="58"/>
  <c r="H565" i="58"/>
  <c r="H592" i="58"/>
  <c r="F360" i="58"/>
  <c r="H360" i="58"/>
  <c r="F1681" i="58"/>
  <c r="F1698" i="58"/>
  <c r="H1698" i="58"/>
  <c r="H1681" i="58"/>
  <c r="F1638" i="58"/>
  <c r="F1659" i="58"/>
  <c r="H1638" i="58"/>
  <c r="H1659" i="58"/>
  <c r="F1578" i="58"/>
  <c r="F1618" i="58"/>
  <c r="H1578" i="58"/>
  <c r="H1618" i="58"/>
  <c r="F1470" i="58"/>
  <c r="F1558" i="58"/>
  <c r="H1470" i="58"/>
  <c r="H1558" i="58"/>
  <c r="F1349" i="58"/>
  <c r="F1369" i="58"/>
  <c r="H1349" i="58"/>
  <c r="H1369" i="58"/>
  <c r="F58" i="58"/>
  <c r="F794" i="58"/>
  <c r="H58" i="58"/>
  <c r="H794" i="58"/>
  <c r="B75" i="63"/>
  <c r="B209" i="65" s="1"/>
  <c r="F1232" i="58"/>
  <c r="H1232" i="58"/>
  <c r="F1270" i="58"/>
  <c r="H1270" i="58"/>
  <c r="H630" i="58"/>
  <c r="H668" i="58"/>
  <c r="F630" i="58"/>
  <c r="F668" i="58"/>
  <c r="F1410" i="58"/>
  <c r="H1410" i="58"/>
  <c r="F1450" i="58"/>
  <c r="F1430" i="58"/>
  <c r="H1450" i="58"/>
  <c r="H1430" i="58"/>
  <c r="Q160" i="11"/>
  <c r="I160" i="11" s="1"/>
  <c r="P160" i="11"/>
  <c r="Q159" i="11"/>
  <c r="I159" i="11" s="1"/>
  <c r="P159" i="11"/>
  <c r="Q158" i="11"/>
  <c r="I158" i="11" s="1"/>
  <c r="P158" i="11"/>
  <c r="Q157" i="11"/>
  <c r="I157" i="11" s="1"/>
  <c r="P157" i="11"/>
  <c r="P153" i="11"/>
  <c r="P152" i="11"/>
  <c r="P149" i="11"/>
  <c r="P143" i="11"/>
  <c r="P142" i="11"/>
  <c r="P141" i="11"/>
  <c r="P140" i="11"/>
  <c r="P139" i="11"/>
  <c r="P138" i="11"/>
  <c r="P137" i="11"/>
  <c r="P135" i="11"/>
  <c r="P134" i="11"/>
  <c r="P131" i="11"/>
  <c r="P130" i="11"/>
  <c r="P129" i="11"/>
  <c r="P128" i="11"/>
  <c r="P127" i="11"/>
  <c r="P126" i="11"/>
  <c r="P125" i="11"/>
  <c r="P124" i="11"/>
  <c r="P122" i="11"/>
  <c r="P121" i="11"/>
  <c r="P120" i="11"/>
  <c r="P119" i="11"/>
  <c r="P118" i="11"/>
  <c r="P111" i="11"/>
  <c r="P107" i="11"/>
  <c r="P102" i="11"/>
  <c r="P99" i="11"/>
  <c r="P94" i="11"/>
  <c r="P93" i="11"/>
  <c r="P92" i="11"/>
  <c r="P91" i="11"/>
  <c r="P90" i="11"/>
  <c r="P89" i="11"/>
  <c r="P87" i="11"/>
  <c r="P86" i="11"/>
  <c r="P85" i="11"/>
  <c r="P79" i="11"/>
  <c r="P77" i="11"/>
  <c r="P72" i="11"/>
  <c r="P68" i="11"/>
  <c r="P67" i="11"/>
  <c r="P66" i="11"/>
  <c r="P65" i="11"/>
  <c r="P64" i="11"/>
  <c r="P63" i="11"/>
  <c r="P62" i="11"/>
  <c r="P61" i="11"/>
  <c r="P60" i="11"/>
  <c r="P58" i="11"/>
  <c r="P57" i="11"/>
  <c r="P56" i="11"/>
  <c r="P55" i="11"/>
  <c r="P54" i="11"/>
  <c r="P52" i="11"/>
  <c r="P51" i="11"/>
  <c r="P50" i="11"/>
  <c r="P49" i="11"/>
  <c r="P48" i="11"/>
  <c r="P47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1006" i="62"/>
  <c r="O1006" i="62"/>
  <c r="N1006" i="62"/>
  <c r="I1006" i="62" s="1"/>
  <c r="P1005" i="62"/>
  <c r="O1005" i="62"/>
  <c r="N1005" i="62"/>
  <c r="I1005" i="62" s="1"/>
  <c r="P1004" i="62"/>
  <c r="O1004" i="62"/>
  <c r="N1004" i="62"/>
  <c r="I1004" i="62" s="1"/>
  <c r="P1003" i="62"/>
  <c r="O1003" i="62"/>
  <c r="N1003" i="62"/>
  <c r="I1003" i="62" s="1"/>
  <c r="P1002" i="62"/>
  <c r="O1002" i="62"/>
  <c r="N1002" i="62"/>
  <c r="I1002" i="62" s="1"/>
  <c r="P1001" i="62"/>
  <c r="O1001" i="62"/>
  <c r="N1001" i="62"/>
  <c r="I1001" i="62" s="1"/>
  <c r="P1000" i="62"/>
  <c r="O1000" i="62"/>
  <c r="N1000" i="62"/>
  <c r="I1000" i="62" s="1"/>
  <c r="P999" i="62"/>
  <c r="O999" i="62"/>
  <c r="N999" i="62"/>
  <c r="I999" i="62" s="1"/>
  <c r="P998" i="62"/>
  <c r="O998" i="62"/>
  <c r="N998" i="62"/>
  <c r="I998" i="62" s="1"/>
  <c r="P997" i="62"/>
  <c r="O997" i="62"/>
  <c r="N997" i="62"/>
  <c r="I997" i="62" s="1"/>
  <c r="B997" i="62"/>
  <c r="B998" i="62" s="1"/>
  <c r="B999" i="62" s="1"/>
  <c r="B1000" i="62" s="1"/>
  <c r="B1001" i="62" s="1"/>
  <c r="B1002" i="62" s="1"/>
  <c r="B1003" i="62" s="1"/>
  <c r="B1004" i="62" s="1"/>
  <c r="B1005" i="62" s="1"/>
  <c r="B1006" i="62" s="1"/>
  <c r="P994" i="62"/>
  <c r="O994" i="62"/>
  <c r="N994" i="62"/>
  <c r="I994" i="62" s="1"/>
  <c r="P993" i="62"/>
  <c r="O993" i="62"/>
  <c r="N993" i="62"/>
  <c r="I993" i="62" s="1"/>
  <c r="P992" i="62"/>
  <c r="O992" i="62"/>
  <c r="N992" i="62"/>
  <c r="I992" i="62" s="1"/>
  <c r="P991" i="62"/>
  <c r="O991" i="62"/>
  <c r="N991" i="62"/>
  <c r="I991" i="62" s="1"/>
  <c r="P990" i="62"/>
  <c r="O990" i="62"/>
  <c r="N990" i="62"/>
  <c r="I990" i="62" s="1"/>
  <c r="P989" i="62"/>
  <c r="O989" i="62"/>
  <c r="N989" i="62"/>
  <c r="I989" i="62" s="1"/>
  <c r="P988" i="62"/>
  <c r="O988" i="62"/>
  <c r="N988" i="62"/>
  <c r="I988" i="62" s="1"/>
  <c r="P987" i="62"/>
  <c r="O987" i="62"/>
  <c r="N987" i="62"/>
  <c r="I987" i="62" s="1"/>
  <c r="P986" i="62"/>
  <c r="O986" i="62"/>
  <c r="N986" i="62"/>
  <c r="I986" i="62" s="1"/>
  <c r="P985" i="62"/>
  <c r="O985" i="62"/>
  <c r="N985" i="62"/>
  <c r="I985" i="62" s="1"/>
  <c r="P984" i="62"/>
  <c r="O984" i="62"/>
  <c r="N984" i="62"/>
  <c r="I984" i="62" s="1"/>
  <c r="P983" i="62"/>
  <c r="O983" i="62"/>
  <c r="N983" i="62"/>
  <c r="I983" i="62" s="1"/>
  <c r="B983" i="62"/>
  <c r="B984" i="62" s="1"/>
  <c r="B985" i="62" s="1"/>
  <c r="B986" i="62" s="1"/>
  <c r="B987" i="62" s="1"/>
  <c r="B988" i="62" s="1"/>
  <c r="B989" i="62" s="1"/>
  <c r="B990" i="62" s="1"/>
  <c r="B991" i="62" s="1"/>
  <c r="B992" i="62" s="1"/>
  <c r="B993" i="62" s="1"/>
  <c r="B994" i="62" s="1"/>
  <c r="P980" i="62"/>
  <c r="O980" i="62"/>
  <c r="N980" i="62"/>
  <c r="I980" i="62" s="1"/>
  <c r="P979" i="62"/>
  <c r="O979" i="62"/>
  <c r="N979" i="62"/>
  <c r="I979" i="62" s="1"/>
  <c r="P978" i="62"/>
  <c r="O978" i="62"/>
  <c r="N978" i="62"/>
  <c r="I978" i="62" s="1"/>
  <c r="P977" i="62"/>
  <c r="O977" i="62"/>
  <c r="N977" i="62"/>
  <c r="I977" i="62" s="1"/>
  <c r="P976" i="62"/>
  <c r="O976" i="62"/>
  <c r="N976" i="62"/>
  <c r="I976" i="62" s="1"/>
  <c r="P975" i="62"/>
  <c r="O975" i="62"/>
  <c r="N975" i="62"/>
  <c r="I975" i="62" s="1"/>
  <c r="P974" i="62"/>
  <c r="O974" i="62"/>
  <c r="N974" i="62"/>
  <c r="I974" i="62" s="1"/>
  <c r="P973" i="62"/>
  <c r="O973" i="62"/>
  <c r="N973" i="62"/>
  <c r="I973" i="62" s="1"/>
  <c r="P972" i="62"/>
  <c r="O972" i="62"/>
  <c r="N972" i="62"/>
  <c r="I972" i="62" s="1"/>
  <c r="P971" i="62"/>
  <c r="O971" i="62"/>
  <c r="N971" i="62"/>
  <c r="I971" i="62" s="1"/>
  <c r="P970" i="62"/>
  <c r="O970" i="62"/>
  <c r="N970" i="62"/>
  <c r="I970" i="62" s="1"/>
  <c r="P969" i="62"/>
  <c r="O969" i="62"/>
  <c r="N969" i="62"/>
  <c r="I969" i="62" s="1"/>
  <c r="P968" i="62"/>
  <c r="O968" i="62"/>
  <c r="N968" i="62"/>
  <c r="I968" i="62" s="1"/>
  <c r="P967" i="62"/>
  <c r="O967" i="62"/>
  <c r="N967" i="62"/>
  <c r="I967" i="62" s="1"/>
  <c r="P966" i="62"/>
  <c r="O966" i="62"/>
  <c r="N966" i="62"/>
  <c r="I966" i="62" s="1"/>
  <c r="P965" i="62"/>
  <c r="O965" i="62"/>
  <c r="N965" i="62"/>
  <c r="I965" i="62" s="1"/>
  <c r="P964" i="62"/>
  <c r="O964" i="62"/>
  <c r="N964" i="62"/>
  <c r="I964" i="62" s="1"/>
  <c r="P963" i="62"/>
  <c r="O963" i="62"/>
  <c r="N963" i="62"/>
  <c r="I963" i="62" s="1"/>
  <c r="P962" i="62"/>
  <c r="O962" i="62"/>
  <c r="N962" i="62"/>
  <c r="I962" i="62" s="1"/>
  <c r="P961" i="62"/>
  <c r="O961" i="62"/>
  <c r="N961" i="62"/>
  <c r="I961" i="62" s="1"/>
  <c r="P960" i="62"/>
  <c r="O960" i="62"/>
  <c r="N960" i="62"/>
  <c r="I960" i="62" s="1"/>
  <c r="P959" i="62"/>
  <c r="O959" i="62"/>
  <c r="N959" i="62"/>
  <c r="I959" i="62" s="1"/>
  <c r="P958" i="62"/>
  <c r="O958" i="62"/>
  <c r="N958" i="62"/>
  <c r="I958" i="62" s="1"/>
  <c r="P957" i="62"/>
  <c r="O957" i="62"/>
  <c r="N957" i="62"/>
  <c r="I957" i="62" s="1"/>
  <c r="P956" i="62"/>
  <c r="O956" i="62"/>
  <c r="N956" i="62"/>
  <c r="I956" i="62" s="1"/>
  <c r="P955" i="62"/>
  <c r="O955" i="62"/>
  <c r="N955" i="62"/>
  <c r="I955" i="62" s="1"/>
  <c r="P954" i="62"/>
  <c r="O954" i="62"/>
  <c r="N954" i="62"/>
  <c r="I954" i="62" s="1"/>
  <c r="P953" i="62"/>
  <c r="O953" i="62"/>
  <c r="N953" i="62"/>
  <c r="I953" i="62" s="1"/>
  <c r="P952" i="62"/>
  <c r="O952" i="62"/>
  <c r="N952" i="62"/>
  <c r="I952" i="62" s="1"/>
  <c r="P951" i="62"/>
  <c r="O951" i="62"/>
  <c r="N951" i="62"/>
  <c r="I951" i="62" s="1"/>
  <c r="P950" i="62"/>
  <c r="O950" i="62"/>
  <c r="N950" i="62"/>
  <c r="I950" i="62" s="1"/>
  <c r="P949" i="62"/>
  <c r="O949" i="62"/>
  <c r="N949" i="62"/>
  <c r="I949" i="62" s="1"/>
  <c r="P948" i="62"/>
  <c r="O948" i="62"/>
  <c r="N948" i="62"/>
  <c r="I948" i="62" s="1"/>
  <c r="P947" i="62"/>
  <c r="O947" i="62"/>
  <c r="N947" i="62"/>
  <c r="I947" i="62" s="1"/>
  <c r="P946" i="62"/>
  <c r="O946" i="62"/>
  <c r="N946" i="62"/>
  <c r="I946" i="62" s="1"/>
  <c r="P945" i="62"/>
  <c r="O945" i="62"/>
  <c r="N945" i="62"/>
  <c r="I945" i="62" s="1"/>
  <c r="P944" i="62"/>
  <c r="O944" i="62"/>
  <c r="N944" i="62"/>
  <c r="I944" i="62" s="1"/>
  <c r="P943" i="62"/>
  <c r="O943" i="62"/>
  <c r="N943" i="62"/>
  <c r="I943" i="62" s="1"/>
  <c r="P942" i="62"/>
  <c r="O942" i="62"/>
  <c r="N942" i="62"/>
  <c r="I942" i="62" s="1"/>
  <c r="P941" i="62"/>
  <c r="O941" i="62"/>
  <c r="N941" i="62"/>
  <c r="I941" i="62" s="1"/>
  <c r="P940" i="62"/>
  <c r="O940" i="62"/>
  <c r="N940" i="62"/>
  <c r="I940" i="62" s="1"/>
  <c r="P939" i="62"/>
  <c r="O939" i="62"/>
  <c r="N939" i="62"/>
  <c r="I939" i="62" s="1"/>
  <c r="P938" i="62"/>
  <c r="O938" i="62"/>
  <c r="N938" i="62"/>
  <c r="I938" i="62" s="1"/>
  <c r="P937" i="62"/>
  <c r="O937" i="62"/>
  <c r="N937" i="62"/>
  <c r="I937" i="62" s="1"/>
  <c r="P936" i="62"/>
  <c r="O936" i="62"/>
  <c r="N936" i="62"/>
  <c r="I936" i="62" s="1"/>
  <c r="P935" i="62"/>
  <c r="O935" i="62"/>
  <c r="N935" i="62"/>
  <c r="I935" i="62" s="1"/>
  <c r="P934" i="62"/>
  <c r="O934" i="62"/>
  <c r="N934" i="62"/>
  <c r="I934" i="62" s="1"/>
  <c r="P933" i="62"/>
  <c r="O933" i="62"/>
  <c r="N933" i="62"/>
  <c r="I933" i="62" s="1"/>
  <c r="P932" i="62"/>
  <c r="O932" i="62"/>
  <c r="N932" i="62"/>
  <c r="I932" i="62" s="1"/>
  <c r="P931" i="62"/>
  <c r="O931" i="62"/>
  <c r="N931" i="62"/>
  <c r="I931" i="62" s="1"/>
  <c r="P930" i="62"/>
  <c r="O930" i="62"/>
  <c r="N930" i="62"/>
  <c r="I930" i="62" s="1"/>
  <c r="P929" i="62"/>
  <c r="O929" i="62"/>
  <c r="N929" i="62"/>
  <c r="I929" i="62" s="1"/>
  <c r="P928" i="62"/>
  <c r="O928" i="62"/>
  <c r="N928" i="62"/>
  <c r="I928" i="62" s="1"/>
  <c r="P927" i="62"/>
  <c r="O927" i="62"/>
  <c r="N927" i="62"/>
  <c r="I927" i="62" s="1"/>
  <c r="P926" i="62"/>
  <c r="O926" i="62"/>
  <c r="N926" i="62"/>
  <c r="I926" i="62" s="1"/>
  <c r="P925" i="62"/>
  <c r="O925" i="62"/>
  <c r="N925" i="62"/>
  <c r="I925" i="62" s="1"/>
  <c r="P924" i="62"/>
  <c r="O924" i="62"/>
  <c r="N924" i="62"/>
  <c r="I924" i="62" s="1"/>
  <c r="P923" i="62"/>
  <c r="O923" i="62"/>
  <c r="N923" i="62"/>
  <c r="I923" i="62" s="1"/>
  <c r="P922" i="62"/>
  <c r="O922" i="62"/>
  <c r="N922" i="62"/>
  <c r="I922" i="62" s="1"/>
  <c r="B922" i="62"/>
  <c r="B923" i="62" s="1"/>
  <c r="B924" i="62" s="1"/>
  <c r="B925" i="62" s="1"/>
  <c r="B926" i="62" s="1"/>
  <c r="B927" i="62" s="1"/>
  <c r="B928" i="62" s="1"/>
  <c r="B929" i="62" s="1"/>
  <c r="B930" i="62" s="1"/>
  <c r="B931" i="62" s="1"/>
  <c r="B932" i="62" s="1"/>
  <c r="B933" i="62" s="1"/>
  <c r="B934" i="62" s="1"/>
  <c r="B935" i="62" s="1"/>
  <c r="B936" i="62" s="1"/>
  <c r="B937" i="62" s="1"/>
  <c r="B938" i="62" s="1"/>
  <c r="B939" i="62" s="1"/>
  <c r="B940" i="62" s="1"/>
  <c r="B941" i="62" s="1"/>
  <c r="B942" i="62" s="1"/>
  <c r="B943" i="62" s="1"/>
  <c r="B944" i="62" s="1"/>
  <c r="B945" i="62" s="1"/>
  <c r="B946" i="62" s="1"/>
  <c r="B947" i="62" s="1"/>
  <c r="B948" i="62" s="1"/>
  <c r="B949" i="62" s="1"/>
  <c r="B950" i="62" s="1"/>
  <c r="B951" i="62" s="1"/>
  <c r="B952" i="62" s="1"/>
  <c r="B953" i="62" s="1"/>
  <c r="B954" i="62" s="1"/>
  <c r="B955" i="62" s="1"/>
  <c r="B956" i="62" s="1"/>
  <c r="B957" i="62" s="1"/>
  <c r="B958" i="62" s="1"/>
  <c r="B959" i="62" s="1"/>
  <c r="B960" i="62" s="1"/>
  <c r="B961" i="62" s="1"/>
  <c r="B962" i="62" s="1"/>
  <c r="B963" i="62" s="1"/>
  <c r="B964" i="62" s="1"/>
  <c r="B965" i="62" s="1"/>
  <c r="B966" i="62" s="1"/>
  <c r="B967" i="62" s="1"/>
  <c r="B968" i="62" s="1"/>
  <c r="B969" i="62" s="1"/>
  <c r="B970" i="62" s="1"/>
  <c r="B971" i="62" s="1"/>
  <c r="B972" i="62" s="1"/>
  <c r="B973" i="62" s="1"/>
  <c r="B974" i="62" s="1"/>
  <c r="B975" i="62" s="1"/>
  <c r="B976" i="62" s="1"/>
  <c r="B977" i="62" s="1"/>
  <c r="B978" i="62" s="1"/>
  <c r="B979" i="62" s="1"/>
  <c r="B980" i="62" s="1"/>
  <c r="P921" i="62"/>
  <c r="O921" i="62"/>
  <c r="N921" i="62"/>
  <c r="I921" i="62" s="1"/>
  <c r="P917" i="62"/>
  <c r="O917" i="62"/>
  <c r="N917" i="62"/>
  <c r="I917" i="62" s="1"/>
  <c r="P916" i="62"/>
  <c r="O916" i="62"/>
  <c r="N916" i="62"/>
  <c r="I916" i="62" s="1"/>
  <c r="P915" i="62"/>
  <c r="O915" i="62"/>
  <c r="N915" i="62"/>
  <c r="I915" i="62" s="1"/>
  <c r="B915" i="62"/>
  <c r="B916" i="62" s="1"/>
  <c r="B917" i="62" s="1"/>
  <c r="P914" i="62"/>
  <c r="O914" i="62"/>
  <c r="N914" i="62"/>
  <c r="I914" i="62" s="1"/>
  <c r="P911" i="62"/>
  <c r="O911" i="62"/>
  <c r="N911" i="62"/>
  <c r="I911" i="62" s="1"/>
  <c r="P910" i="62"/>
  <c r="O910" i="62"/>
  <c r="N910" i="62"/>
  <c r="I910" i="62" s="1"/>
  <c r="P909" i="62"/>
  <c r="O909" i="62"/>
  <c r="N909" i="62"/>
  <c r="I909" i="62" s="1"/>
  <c r="B909" i="62"/>
  <c r="B910" i="62" s="1"/>
  <c r="B911" i="62" s="1"/>
  <c r="P908" i="62"/>
  <c r="O908" i="62"/>
  <c r="N908" i="62"/>
  <c r="I908" i="62" s="1"/>
  <c r="P905" i="62"/>
  <c r="O905" i="62"/>
  <c r="N905" i="62"/>
  <c r="I905" i="62" s="1"/>
  <c r="P902" i="62"/>
  <c r="O902" i="62"/>
  <c r="N902" i="62"/>
  <c r="I902" i="62" s="1"/>
  <c r="P901" i="62"/>
  <c r="O901" i="62"/>
  <c r="N901" i="62"/>
  <c r="I901" i="62" s="1"/>
  <c r="B901" i="62"/>
  <c r="B902" i="62" s="1"/>
  <c r="P900" i="62"/>
  <c r="O900" i="62"/>
  <c r="N900" i="62"/>
  <c r="I900" i="62" s="1"/>
  <c r="P899" i="62"/>
  <c r="O899" i="62"/>
  <c r="N899" i="62"/>
  <c r="P898" i="62"/>
  <c r="O898" i="62"/>
  <c r="N898" i="62"/>
  <c r="P897" i="62"/>
  <c r="O897" i="62"/>
  <c r="N897" i="62"/>
  <c r="I897" i="62" s="1"/>
  <c r="P896" i="62"/>
  <c r="O896" i="62"/>
  <c r="N896" i="62"/>
  <c r="I896" i="62" s="1"/>
  <c r="P895" i="62"/>
  <c r="O895" i="62"/>
  <c r="N895" i="62"/>
  <c r="I895" i="62" s="1"/>
  <c r="P894" i="62"/>
  <c r="O894" i="62"/>
  <c r="N894" i="62"/>
  <c r="I894" i="62" s="1"/>
  <c r="P893" i="62"/>
  <c r="O893" i="62"/>
  <c r="N893" i="62"/>
  <c r="I893" i="62" s="1"/>
  <c r="P892" i="62"/>
  <c r="O892" i="62"/>
  <c r="N892" i="62"/>
  <c r="I892" i="62" s="1"/>
  <c r="P891" i="62"/>
  <c r="O891" i="62"/>
  <c r="N891" i="62"/>
  <c r="I891" i="62" s="1"/>
  <c r="P890" i="62"/>
  <c r="O890" i="62"/>
  <c r="N890" i="62"/>
  <c r="I890" i="62" s="1"/>
  <c r="P889" i="62"/>
  <c r="O889" i="62"/>
  <c r="N889" i="62"/>
  <c r="I889" i="62" s="1"/>
  <c r="P888" i="62"/>
  <c r="O888" i="62"/>
  <c r="N888" i="62"/>
  <c r="I888" i="62" s="1"/>
  <c r="P887" i="62"/>
  <c r="O887" i="62"/>
  <c r="N887" i="62"/>
  <c r="I887" i="62" s="1"/>
  <c r="P886" i="62"/>
  <c r="O886" i="62"/>
  <c r="N886" i="62"/>
  <c r="I886" i="62" s="1"/>
  <c r="P885" i="62"/>
  <c r="O885" i="62"/>
  <c r="N885" i="62"/>
  <c r="I885" i="62" s="1"/>
  <c r="P884" i="62"/>
  <c r="O884" i="62"/>
  <c r="N884" i="62"/>
  <c r="I884" i="62" s="1"/>
  <c r="P883" i="62"/>
  <c r="O883" i="62"/>
  <c r="N883" i="62"/>
  <c r="I883" i="62" s="1"/>
  <c r="B883" i="62"/>
  <c r="B884" i="62" s="1"/>
  <c r="B885" i="62" s="1"/>
  <c r="B886" i="62" s="1"/>
  <c r="B887" i="62" s="1"/>
  <c r="B888" i="62" s="1"/>
  <c r="B889" i="62" s="1"/>
  <c r="B890" i="62" s="1"/>
  <c r="B891" i="62" s="1"/>
  <c r="B892" i="62" s="1"/>
  <c r="B893" i="62" s="1"/>
  <c r="B894" i="62" s="1"/>
  <c r="B895" i="62" s="1"/>
  <c r="B896" i="62" s="1"/>
  <c r="B897" i="62" s="1"/>
  <c r="P882" i="62"/>
  <c r="O882" i="62"/>
  <c r="N882" i="62"/>
  <c r="I882" i="62" s="1"/>
  <c r="P881" i="62"/>
  <c r="O881" i="62"/>
  <c r="N881" i="62"/>
  <c r="P880" i="62"/>
  <c r="O880" i="62"/>
  <c r="N880" i="62"/>
  <c r="P879" i="62"/>
  <c r="O879" i="62"/>
  <c r="N879" i="62"/>
  <c r="I879" i="62" s="1"/>
  <c r="P878" i="62"/>
  <c r="O878" i="62"/>
  <c r="N878" i="62"/>
  <c r="I878" i="62" s="1"/>
  <c r="P877" i="62"/>
  <c r="O877" i="62"/>
  <c r="N877" i="62"/>
  <c r="I877" i="62" s="1"/>
  <c r="P876" i="62"/>
  <c r="O876" i="62"/>
  <c r="N876" i="62"/>
  <c r="I876" i="62" s="1"/>
  <c r="P875" i="62"/>
  <c r="O875" i="62"/>
  <c r="N875" i="62"/>
  <c r="I875" i="62" s="1"/>
  <c r="P874" i="62"/>
  <c r="O874" i="62"/>
  <c r="N874" i="62"/>
  <c r="I874" i="62" s="1"/>
  <c r="P873" i="62"/>
  <c r="O873" i="62"/>
  <c r="N873" i="62"/>
  <c r="I873" i="62" s="1"/>
  <c r="P872" i="62"/>
  <c r="O872" i="62"/>
  <c r="N872" i="62"/>
  <c r="I872" i="62" s="1"/>
  <c r="P871" i="62"/>
  <c r="O871" i="62"/>
  <c r="N871" i="62"/>
  <c r="I871" i="62" s="1"/>
  <c r="P870" i="62"/>
  <c r="O870" i="62"/>
  <c r="N870" i="62"/>
  <c r="I870" i="62" s="1"/>
  <c r="P869" i="62"/>
  <c r="O869" i="62"/>
  <c r="N869" i="62"/>
  <c r="I869" i="62" s="1"/>
  <c r="P868" i="62"/>
  <c r="O868" i="62"/>
  <c r="N868" i="62"/>
  <c r="I868" i="62" s="1"/>
  <c r="P867" i="62"/>
  <c r="O867" i="62"/>
  <c r="N867" i="62"/>
  <c r="I867" i="62" s="1"/>
  <c r="P866" i="62"/>
  <c r="O866" i="62"/>
  <c r="N866" i="62"/>
  <c r="I866" i="62" s="1"/>
  <c r="P865" i="62"/>
  <c r="O865" i="62"/>
  <c r="N865" i="62"/>
  <c r="I865" i="62" s="1"/>
  <c r="P864" i="62"/>
  <c r="O864" i="62"/>
  <c r="N864" i="62"/>
  <c r="I864" i="62" s="1"/>
  <c r="P863" i="62"/>
  <c r="O863" i="62"/>
  <c r="N863" i="62"/>
  <c r="I863" i="62" s="1"/>
  <c r="P862" i="62"/>
  <c r="O862" i="62"/>
  <c r="N862" i="62"/>
  <c r="I862" i="62" s="1"/>
  <c r="P861" i="62"/>
  <c r="O861" i="62"/>
  <c r="N861" i="62"/>
  <c r="I861" i="62" s="1"/>
  <c r="P860" i="62"/>
  <c r="O860" i="62"/>
  <c r="N860" i="62"/>
  <c r="I860" i="62" s="1"/>
  <c r="P859" i="62"/>
  <c r="O859" i="62"/>
  <c r="N859" i="62"/>
  <c r="I859" i="62" s="1"/>
  <c r="P858" i="62"/>
  <c r="O858" i="62"/>
  <c r="N858" i="62"/>
  <c r="I858" i="62" s="1"/>
  <c r="P857" i="62"/>
  <c r="O857" i="62"/>
  <c r="N857" i="62"/>
  <c r="I857" i="62" s="1"/>
  <c r="P856" i="62"/>
  <c r="O856" i="62"/>
  <c r="N856" i="62"/>
  <c r="I856" i="62" s="1"/>
  <c r="P855" i="62"/>
  <c r="O855" i="62"/>
  <c r="N855" i="62"/>
  <c r="I855" i="62" s="1"/>
  <c r="P854" i="62"/>
  <c r="O854" i="62"/>
  <c r="N854" i="62"/>
  <c r="I854" i="62" s="1"/>
  <c r="P853" i="62"/>
  <c r="O853" i="62"/>
  <c r="N853" i="62"/>
  <c r="I853" i="62" s="1"/>
  <c r="P852" i="62"/>
  <c r="O852" i="62"/>
  <c r="N852" i="62"/>
  <c r="I852" i="62" s="1"/>
  <c r="P851" i="62"/>
  <c r="O851" i="62"/>
  <c r="N851" i="62"/>
  <c r="I851" i="62" s="1"/>
  <c r="P850" i="62"/>
  <c r="O850" i="62"/>
  <c r="N850" i="62"/>
  <c r="I850" i="62" s="1"/>
  <c r="P849" i="62"/>
  <c r="O849" i="62"/>
  <c r="N849" i="62"/>
  <c r="I849" i="62" s="1"/>
  <c r="P848" i="62"/>
  <c r="O848" i="62"/>
  <c r="N848" i="62"/>
  <c r="I848" i="62" s="1"/>
  <c r="P847" i="62"/>
  <c r="O847" i="62"/>
  <c r="N847" i="62"/>
  <c r="I847" i="62" s="1"/>
  <c r="P846" i="62"/>
  <c r="O846" i="62"/>
  <c r="N846" i="62"/>
  <c r="I846" i="62" s="1"/>
  <c r="P845" i="62"/>
  <c r="O845" i="62"/>
  <c r="N845" i="62"/>
  <c r="I845" i="62" s="1"/>
  <c r="P844" i="62"/>
  <c r="O844" i="62"/>
  <c r="N844" i="62"/>
  <c r="I844" i="62" s="1"/>
  <c r="P843" i="62"/>
  <c r="O843" i="62"/>
  <c r="N843" i="62"/>
  <c r="I843" i="62" s="1"/>
  <c r="P842" i="62"/>
  <c r="O842" i="62"/>
  <c r="N842" i="62"/>
  <c r="I842" i="62" s="1"/>
  <c r="P841" i="62"/>
  <c r="O841" i="62"/>
  <c r="N841" i="62"/>
  <c r="I841" i="62" s="1"/>
  <c r="P840" i="62"/>
  <c r="O840" i="62"/>
  <c r="N840" i="62"/>
  <c r="I840" i="62" s="1"/>
  <c r="P839" i="62"/>
  <c r="O839" i="62"/>
  <c r="N839" i="62"/>
  <c r="I839" i="62" s="1"/>
  <c r="P838" i="62"/>
  <c r="O838" i="62"/>
  <c r="N838" i="62"/>
  <c r="I838" i="62" s="1"/>
  <c r="P837" i="62"/>
  <c r="O837" i="62"/>
  <c r="N837" i="62"/>
  <c r="I837" i="62" s="1"/>
  <c r="P836" i="62"/>
  <c r="O836" i="62"/>
  <c r="N836" i="62"/>
  <c r="I836" i="62" s="1"/>
  <c r="P835" i="62"/>
  <c r="O835" i="62"/>
  <c r="N835" i="62"/>
  <c r="I835" i="62" s="1"/>
  <c r="P834" i="62"/>
  <c r="O834" i="62"/>
  <c r="N834" i="62"/>
  <c r="I834" i="62" s="1"/>
  <c r="P833" i="62"/>
  <c r="O833" i="62"/>
  <c r="N833" i="62"/>
  <c r="I833" i="62" s="1"/>
  <c r="P832" i="62"/>
  <c r="O832" i="62"/>
  <c r="N832" i="62"/>
  <c r="I832" i="62" s="1"/>
  <c r="P831" i="62"/>
  <c r="O831" i="62"/>
  <c r="N831" i="62"/>
  <c r="I831" i="62" s="1"/>
  <c r="P830" i="62"/>
  <c r="O830" i="62"/>
  <c r="N830" i="62"/>
  <c r="I830" i="62" s="1"/>
  <c r="P829" i="62"/>
  <c r="O829" i="62"/>
  <c r="N829" i="62"/>
  <c r="I829" i="62" s="1"/>
  <c r="P828" i="62"/>
  <c r="O828" i="62"/>
  <c r="N828" i="62"/>
  <c r="I828" i="62" s="1"/>
  <c r="P827" i="62"/>
  <c r="O827" i="62"/>
  <c r="N827" i="62"/>
  <c r="I827" i="62" s="1"/>
  <c r="P826" i="62"/>
  <c r="O826" i="62"/>
  <c r="N826" i="62"/>
  <c r="I826" i="62" s="1"/>
  <c r="P825" i="62"/>
  <c r="O825" i="62"/>
  <c r="N825" i="62"/>
  <c r="I825" i="62" s="1"/>
  <c r="P824" i="62"/>
  <c r="O824" i="62"/>
  <c r="N824" i="62"/>
  <c r="I824" i="62" s="1"/>
  <c r="P823" i="62"/>
  <c r="O823" i="62"/>
  <c r="N823" i="62"/>
  <c r="I823" i="62" s="1"/>
  <c r="P822" i="62"/>
  <c r="O822" i="62"/>
  <c r="N822" i="62"/>
  <c r="I822" i="62" s="1"/>
  <c r="P821" i="62"/>
  <c r="O821" i="62"/>
  <c r="N821" i="62"/>
  <c r="I821" i="62" s="1"/>
  <c r="P820" i="62"/>
  <c r="O820" i="62"/>
  <c r="N820" i="62"/>
  <c r="I820" i="62" s="1"/>
  <c r="P819" i="62"/>
  <c r="O819" i="62"/>
  <c r="N819" i="62"/>
  <c r="I819" i="62" s="1"/>
  <c r="P818" i="62"/>
  <c r="O818" i="62"/>
  <c r="N818" i="62"/>
  <c r="I818" i="62" s="1"/>
  <c r="P817" i="62"/>
  <c r="O817" i="62"/>
  <c r="N817" i="62"/>
  <c r="I817" i="62" s="1"/>
  <c r="P816" i="62"/>
  <c r="O816" i="62"/>
  <c r="N816" i="62"/>
  <c r="I816" i="62" s="1"/>
  <c r="P815" i="62"/>
  <c r="O815" i="62"/>
  <c r="N815" i="62"/>
  <c r="I815" i="62" s="1"/>
  <c r="P814" i="62"/>
  <c r="O814" i="62"/>
  <c r="N814" i="62"/>
  <c r="I814" i="62" s="1"/>
  <c r="P813" i="62"/>
  <c r="O813" i="62"/>
  <c r="N813" i="62"/>
  <c r="I813" i="62" s="1"/>
  <c r="P812" i="62"/>
  <c r="O812" i="62"/>
  <c r="N812" i="62"/>
  <c r="I812" i="62" s="1"/>
  <c r="P811" i="62"/>
  <c r="O811" i="62"/>
  <c r="N811" i="62"/>
  <c r="I811" i="62" s="1"/>
  <c r="P810" i="62"/>
  <c r="O810" i="62"/>
  <c r="N810" i="62"/>
  <c r="I810" i="62" s="1"/>
  <c r="P809" i="62"/>
  <c r="O809" i="62"/>
  <c r="N809" i="62"/>
  <c r="I809" i="62" s="1"/>
  <c r="P808" i="62"/>
  <c r="O808" i="62"/>
  <c r="N808" i="62"/>
  <c r="I808" i="62" s="1"/>
  <c r="P807" i="62"/>
  <c r="O807" i="62"/>
  <c r="N807" i="62"/>
  <c r="I807" i="62" s="1"/>
  <c r="P806" i="62"/>
  <c r="O806" i="62"/>
  <c r="N806" i="62"/>
  <c r="I806" i="62" s="1"/>
  <c r="P805" i="62"/>
  <c r="O805" i="62"/>
  <c r="N805" i="62"/>
  <c r="I805" i="62" s="1"/>
  <c r="P804" i="62"/>
  <c r="O804" i="62"/>
  <c r="N804" i="62"/>
  <c r="I804" i="62" s="1"/>
  <c r="P803" i="62"/>
  <c r="O803" i="62"/>
  <c r="N803" i="62"/>
  <c r="I803" i="62" s="1"/>
  <c r="P802" i="62"/>
  <c r="O802" i="62"/>
  <c r="N802" i="62"/>
  <c r="I802" i="62" s="1"/>
  <c r="P801" i="62"/>
  <c r="O801" i="62"/>
  <c r="N801" i="62"/>
  <c r="I801" i="62" s="1"/>
  <c r="P800" i="62"/>
  <c r="O800" i="62"/>
  <c r="N800" i="62"/>
  <c r="I800" i="62" s="1"/>
  <c r="P799" i="62"/>
  <c r="O799" i="62"/>
  <c r="N799" i="62"/>
  <c r="I799" i="62" s="1"/>
  <c r="P798" i="62"/>
  <c r="O798" i="62"/>
  <c r="N798" i="62"/>
  <c r="I798" i="62" s="1"/>
  <c r="P797" i="62"/>
  <c r="O797" i="62"/>
  <c r="N797" i="62"/>
  <c r="I797" i="62" s="1"/>
  <c r="P796" i="62"/>
  <c r="O796" i="62"/>
  <c r="N796" i="62"/>
  <c r="I796" i="62" s="1"/>
  <c r="P795" i="62"/>
  <c r="O795" i="62"/>
  <c r="N795" i="62"/>
  <c r="I795" i="62" s="1"/>
  <c r="P794" i="62"/>
  <c r="O794" i="62"/>
  <c r="N794" i="62"/>
  <c r="I794" i="62" s="1"/>
  <c r="P793" i="62"/>
  <c r="O793" i="62"/>
  <c r="N793" i="62"/>
  <c r="I793" i="62" s="1"/>
  <c r="B793" i="62"/>
  <c r="B794" i="62" s="1"/>
  <c r="B795" i="62" s="1"/>
  <c r="B796" i="62" s="1"/>
  <c r="B797" i="62" s="1"/>
  <c r="B798" i="62" s="1"/>
  <c r="B799" i="62" s="1"/>
  <c r="B800" i="62" s="1"/>
  <c r="B801" i="62" s="1"/>
  <c r="B802" i="62" s="1"/>
  <c r="B803" i="62" s="1"/>
  <c r="B804" i="62" s="1"/>
  <c r="B805" i="62" s="1"/>
  <c r="B806" i="62" s="1"/>
  <c r="B807" i="62" s="1"/>
  <c r="B808" i="62" s="1"/>
  <c r="B809" i="62" s="1"/>
  <c r="B810" i="62" s="1"/>
  <c r="B811" i="62" s="1"/>
  <c r="B812" i="62" s="1"/>
  <c r="B813" i="62" s="1"/>
  <c r="B814" i="62" s="1"/>
  <c r="B815" i="62" s="1"/>
  <c r="B816" i="62" s="1"/>
  <c r="B817" i="62" s="1"/>
  <c r="B818" i="62" s="1"/>
  <c r="B819" i="62" s="1"/>
  <c r="B820" i="62" s="1"/>
  <c r="B821" i="62" s="1"/>
  <c r="B822" i="62" s="1"/>
  <c r="B823" i="62" s="1"/>
  <c r="B824" i="62" s="1"/>
  <c r="B825" i="62" s="1"/>
  <c r="B826" i="62" s="1"/>
  <c r="B827" i="62" s="1"/>
  <c r="B828" i="62" s="1"/>
  <c r="B829" i="62" s="1"/>
  <c r="B830" i="62" s="1"/>
  <c r="B831" i="62" s="1"/>
  <c r="B832" i="62" s="1"/>
  <c r="B833" i="62" s="1"/>
  <c r="B834" i="62" s="1"/>
  <c r="B835" i="62" s="1"/>
  <c r="B836" i="62" s="1"/>
  <c r="B837" i="62" s="1"/>
  <c r="B838" i="62" s="1"/>
  <c r="B839" i="62" s="1"/>
  <c r="B840" i="62" s="1"/>
  <c r="B841" i="62" s="1"/>
  <c r="B842" i="62" s="1"/>
  <c r="B843" i="62" s="1"/>
  <c r="B844" i="62" s="1"/>
  <c r="B845" i="62" s="1"/>
  <c r="B846" i="62" s="1"/>
  <c r="B847" i="62" s="1"/>
  <c r="B848" i="62" s="1"/>
  <c r="B849" i="62" s="1"/>
  <c r="B850" i="62" s="1"/>
  <c r="B851" i="62" s="1"/>
  <c r="B852" i="62" s="1"/>
  <c r="B853" i="62" s="1"/>
  <c r="B854" i="62" s="1"/>
  <c r="B855" i="62" s="1"/>
  <c r="B856" i="62" s="1"/>
  <c r="B857" i="62" s="1"/>
  <c r="B858" i="62" s="1"/>
  <c r="B859" i="62" s="1"/>
  <c r="B860" i="62" s="1"/>
  <c r="B861" i="62" s="1"/>
  <c r="B862" i="62" s="1"/>
  <c r="B863" i="62" s="1"/>
  <c r="B864" i="62" s="1"/>
  <c r="B865" i="62" s="1"/>
  <c r="B866" i="62" s="1"/>
  <c r="B867" i="62" s="1"/>
  <c r="B868" i="62" s="1"/>
  <c r="B869" i="62" s="1"/>
  <c r="B870" i="62" s="1"/>
  <c r="B871" i="62" s="1"/>
  <c r="B872" i="62" s="1"/>
  <c r="B873" i="62" s="1"/>
  <c r="B874" i="62" s="1"/>
  <c r="B875" i="62" s="1"/>
  <c r="B876" i="62" s="1"/>
  <c r="B877" i="62" s="1"/>
  <c r="B878" i="62" s="1"/>
  <c r="B879" i="62" s="1"/>
  <c r="P792" i="62"/>
  <c r="O792" i="62"/>
  <c r="N792" i="62"/>
  <c r="I792" i="62" s="1"/>
  <c r="P789" i="62"/>
  <c r="O789" i="62"/>
  <c r="N789" i="62"/>
  <c r="I789" i="62" s="1"/>
  <c r="P788" i="62"/>
  <c r="O788" i="62"/>
  <c r="N788" i="62"/>
  <c r="I788" i="62" s="1"/>
  <c r="P787" i="62"/>
  <c r="O787" i="62"/>
  <c r="N787" i="62"/>
  <c r="I787" i="62" s="1"/>
  <c r="P786" i="62"/>
  <c r="O786" i="62"/>
  <c r="N786" i="62"/>
  <c r="I786" i="62" s="1"/>
  <c r="P785" i="62"/>
  <c r="O785" i="62"/>
  <c r="N785" i="62"/>
  <c r="I785" i="62" s="1"/>
  <c r="P784" i="62"/>
  <c r="O784" i="62"/>
  <c r="N784" i="62"/>
  <c r="I784" i="62" s="1"/>
  <c r="P783" i="62"/>
  <c r="O783" i="62"/>
  <c r="N783" i="62"/>
  <c r="I783" i="62" s="1"/>
  <c r="P782" i="62"/>
  <c r="O782" i="62"/>
  <c r="N782" i="62"/>
  <c r="I782" i="62" s="1"/>
  <c r="P781" i="62"/>
  <c r="O781" i="62"/>
  <c r="N781" i="62"/>
  <c r="I781" i="62" s="1"/>
  <c r="P780" i="62"/>
  <c r="O780" i="62"/>
  <c r="N780" i="62"/>
  <c r="I780" i="62" s="1"/>
  <c r="B780" i="62"/>
  <c r="B781" i="62" s="1"/>
  <c r="B782" i="62" s="1"/>
  <c r="B783" i="62" s="1"/>
  <c r="B784" i="62" s="1"/>
  <c r="B785" i="62" s="1"/>
  <c r="B786" i="62" s="1"/>
  <c r="B787" i="62" s="1"/>
  <c r="B788" i="62" s="1"/>
  <c r="B789" i="62" s="1"/>
  <c r="P779" i="62"/>
  <c r="O779" i="62"/>
  <c r="N779" i="62"/>
  <c r="I779" i="62" s="1"/>
  <c r="B764" i="62"/>
  <c r="B765" i="62" s="1"/>
  <c r="B766" i="62" s="1"/>
  <c r="B767" i="62" s="1"/>
  <c r="O746" i="62"/>
  <c r="I746" i="62" s="1"/>
  <c r="I745" i="62"/>
  <c r="O744" i="62"/>
  <c r="O743" i="62"/>
  <c r="O742" i="62"/>
  <c r="O741" i="62"/>
  <c r="O740" i="62"/>
  <c r="I739" i="62"/>
  <c r="O738" i="62"/>
  <c r="O737" i="62"/>
  <c r="I737" i="62" s="1"/>
  <c r="O736" i="62"/>
  <c r="O735" i="62"/>
  <c r="I735" i="62" s="1"/>
  <c r="O734" i="62"/>
  <c r="O733" i="62"/>
  <c r="O732" i="62"/>
  <c r="O731" i="62"/>
  <c r="O730" i="62"/>
  <c r="O729" i="62"/>
  <c r="O728" i="62"/>
  <c r="I728" i="62" s="1"/>
  <c r="O727" i="62"/>
  <c r="R726" i="62"/>
  <c r="O726" i="62"/>
  <c r="O725" i="62"/>
  <c r="O724" i="62"/>
  <c r="I724" i="62" s="1"/>
  <c r="O723" i="62"/>
  <c r="O722" i="62"/>
  <c r="I722" i="62" s="1"/>
  <c r="O721" i="62"/>
  <c r="I721" i="62" s="1"/>
  <c r="O720" i="62"/>
  <c r="I720" i="62" s="1"/>
  <c r="O719" i="62"/>
  <c r="I719" i="62" s="1"/>
  <c r="O718" i="62"/>
  <c r="I718" i="62" s="1"/>
  <c r="O717" i="62"/>
  <c r="I717" i="62" s="1"/>
  <c r="O716" i="62"/>
  <c r="I716" i="62" s="1"/>
  <c r="O715" i="62"/>
  <c r="I715" i="62" s="1"/>
  <c r="N684" i="62"/>
  <c r="O635" i="62"/>
  <c r="B631" i="62"/>
  <c r="B632" i="62" s="1"/>
  <c r="B633" i="62" s="1"/>
  <c r="B634" i="62" s="1"/>
  <c r="B635" i="62" s="1"/>
  <c r="B636" i="62" s="1"/>
  <c r="B637" i="62" s="1"/>
  <c r="B638" i="62" s="1"/>
  <c r="B639" i="62" s="1"/>
  <c r="B640" i="62" s="1"/>
  <c r="B641" i="62" s="1"/>
  <c r="B642" i="62" s="1"/>
  <c r="B643" i="62" s="1"/>
  <c r="B644" i="62" s="1"/>
  <c r="B645" i="62" s="1"/>
  <c r="B646" i="62" s="1"/>
  <c r="B647" i="62" s="1"/>
  <c r="B648" i="62" s="1"/>
  <c r="B649" i="62" s="1"/>
  <c r="B650" i="62" s="1"/>
  <c r="B651" i="62" s="1"/>
  <c r="B652" i="62" s="1"/>
  <c r="B653" i="62" s="1"/>
  <c r="B654" i="62" s="1"/>
  <c r="B655" i="62" s="1"/>
  <c r="B656" i="62" s="1"/>
  <c r="B657" i="62" s="1"/>
  <c r="B658" i="62" s="1"/>
  <c r="B659" i="62" s="1"/>
  <c r="B660" i="62" s="1"/>
  <c r="B661" i="62" s="1"/>
  <c r="B662" i="62" s="1"/>
  <c r="B663" i="62" s="1"/>
  <c r="B664" i="62" s="1"/>
  <c r="B665" i="62" s="1"/>
  <c r="B666" i="62" s="1"/>
  <c r="B667" i="62" s="1"/>
  <c r="B668" i="62" s="1"/>
  <c r="B669" i="62" s="1"/>
  <c r="B670" i="62" s="1"/>
  <c r="B671" i="62" s="1"/>
  <c r="B672" i="62" s="1"/>
  <c r="B673" i="62" s="1"/>
  <c r="B674" i="62" s="1"/>
  <c r="B675" i="62" s="1"/>
  <c r="B676" i="62" s="1"/>
  <c r="B677" i="62" s="1"/>
  <c r="B678" i="62" s="1"/>
  <c r="B679" i="62" s="1"/>
  <c r="B680" i="62" s="1"/>
  <c r="B681" i="62" s="1"/>
  <c r="B682" i="62" s="1"/>
  <c r="B683" i="62" s="1"/>
  <c r="B684" i="62" s="1"/>
  <c r="B685" i="62" s="1"/>
  <c r="B686" i="62" s="1"/>
  <c r="B687" i="62" s="1"/>
  <c r="B688" i="62" s="1"/>
  <c r="B689" i="62" s="1"/>
  <c r="B690" i="62" s="1"/>
  <c r="B691" i="62" s="1"/>
  <c r="B692" i="62" s="1"/>
  <c r="B693" i="62" s="1"/>
  <c r="B694" i="62" s="1"/>
  <c r="B695" i="62" s="1"/>
  <c r="B696" i="62" s="1"/>
  <c r="B697" i="62" s="1"/>
  <c r="B698" i="62" s="1"/>
  <c r="B699" i="62" s="1"/>
  <c r="B700" i="62" s="1"/>
  <c r="B701" i="62" s="1"/>
  <c r="B702" i="62" s="1"/>
  <c r="B703" i="62" s="1"/>
  <c r="B704" i="62" s="1"/>
  <c r="B705" i="62" s="1"/>
  <c r="B706" i="62" s="1"/>
  <c r="B707" i="62" s="1"/>
  <c r="B708" i="62" s="1"/>
  <c r="B709" i="62" s="1"/>
  <c r="B710" i="62" s="1"/>
  <c r="B711" i="62" s="1"/>
  <c r="B712" i="62" s="1"/>
  <c r="B713" i="62" s="1"/>
  <c r="B714" i="62" s="1"/>
  <c r="B715" i="62" s="1"/>
  <c r="B716" i="62" s="1"/>
  <c r="B717" i="62" s="1"/>
  <c r="B718" i="62" s="1"/>
  <c r="B719" i="62" s="1"/>
  <c r="B720" i="62" s="1"/>
  <c r="B721" i="62" s="1"/>
  <c r="B722" i="62" s="1"/>
  <c r="B723" i="62" s="1"/>
  <c r="B724" i="62" s="1"/>
  <c r="B725" i="62" s="1"/>
  <c r="B726" i="62" s="1"/>
  <c r="B727" i="62" s="1"/>
  <c r="B728" i="62" s="1"/>
  <c r="B729" i="62" s="1"/>
  <c r="B730" i="62" s="1"/>
  <c r="B731" i="62" s="1"/>
  <c r="B732" i="62" s="1"/>
  <c r="B733" i="62" s="1"/>
  <c r="B734" i="62" s="1"/>
  <c r="B735" i="62" s="1"/>
  <c r="B736" i="62" s="1"/>
  <c r="B737" i="62" s="1"/>
  <c r="B738" i="62" s="1"/>
  <c r="B739" i="62" s="1"/>
  <c r="B740" i="62" s="1"/>
  <c r="B741" i="62" s="1"/>
  <c r="B742" i="62" s="1"/>
  <c r="B743" i="62" s="1"/>
  <c r="B744" i="62" s="1"/>
  <c r="B745" i="62" s="1"/>
  <c r="B746" i="62" s="1"/>
  <c r="B747" i="62" s="1"/>
  <c r="B748" i="62" s="1"/>
  <c r="B749" i="62" s="1"/>
  <c r="I629" i="62"/>
  <c r="H623" i="62"/>
  <c r="H622" i="62"/>
  <c r="H617" i="62"/>
  <c r="H616" i="62"/>
  <c r="N606" i="62"/>
  <c r="N605" i="62"/>
  <c r="N604" i="62"/>
  <c r="I602" i="62"/>
  <c r="I601" i="62"/>
  <c r="I600" i="62"/>
  <c r="I599" i="62"/>
  <c r="I598" i="62"/>
  <c r="I597" i="62"/>
  <c r="I596" i="62"/>
  <c r="I595" i="62"/>
  <c r="I594" i="62"/>
  <c r="I593" i="62"/>
  <c r="I592" i="62"/>
  <c r="I591" i="62"/>
  <c r="I590" i="62"/>
  <c r="I589" i="62"/>
  <c r="I588" i="62"/>
  <c r="I587" i="62"/>
  <c r="I586" i="62"/>
  <c r="I584" i="62"/>
  <c r="I583" i="62"/>
  <c r="I582" i="62"/>
  <c r="I581" i="62"/>
  <c r="I580" i="62"/>
  <c r="I579" i="62"/>
  <c r="I578" i="62"/>
  <c r="I577" i="62"/>
  <c r="I576" i="62"/>
  <c r="I575" i="62"/>
  <c r="I574" i="62"/>
  <c r="I573" i="62"/>
  <c r="I572" i="62"/>
  <c r="I571" i="62"/>
  <c r="I570" i="62"/>
  <c r="I569" i="62"/>
  <c r="I568" i="62"/>
  <c r="Q153" i="11" s="1"/>
  <c r="I153" i="11" s="1"/>
  <c r="I567" i="62"/>
  <c r="P566" i="62"/>
  <c r="O566" i="62"/>
  <c r="N566" i="62"/>
  <c r="I566" i="62" s="1"/>
  <c r="I565" i="62"/>
  <c r="I564" i="62"/>
  <c r="I563" i="62"/>
  <c r="I562" i="62"/>
  <c r="I561" i="62"/>
  <c r="I560" i="62"/>
  <c r="I559" i="62"/>
  <c r="I558" i="62"/>
  <c r="I557" i="62"/>
  <c r="I556" i="62"/>
  <c r="I555" i="62"/>
  <c r="I554" i="62"/>
  <c r="I553" i="62"/>
  <c r="I552" i="62"/>
  <c r="I551" i="62"/>
  <c r="P550" i="62"/>
  <c r="O550" i="62"/>
  <c r="N550" i="62"/>
  <c r="I550" i="62" s="1"/>
  <c r="Q141" i="11" s="1"/>
  <c r="P549" i="62"/>
  <c r="O549" i="62"/>
  <c r="N549" i="62"/>
  <c r="I549" i="62" s="1"/>
  <c r="Q140" i="11" s="1"/>
  <c r="P546" i="62"/>
  <c r="O546" i="62"/>
  <c r="N546" i="62"/>
  <c r="I546" i="62" s="1"/>
  <c r="P545" i="62"/>
  <c r="O545" i="62"/>
  <c r="N545" i="62"/>
  <c r="I545" i="62" s="1"/>
  <c r="P544" i="62"/>
  <c r="O544" i="62"/>
  <c r="N544" i="62"/>
  <c r="I544" i="62" s="1"/>
  <c r="P541" i="62"/>
  <c r="O541" i="62"/>
  <c r="N541" i="62"/>
  <c r="I541" i="62" s="1"/>
  <c r="Q152" i="11" s="1"/>
  <c r="I152" i="11" s="1"/>
  <c r="I349" i="58" s="1"/>
  <c r="P540" i="62"/>
  <c r="O540" i="62"/>
  <c r="N540" i="62"/>
  <c r="I540" i="62" s="1"/>
  <c r="N150" i="11" s="1"/>
  <c r="P539" i="62"/>
  <c r="O539" i="62"/>
  <c r="N539" i="62"/>
  <c r="I539" i="62" s="1"/>
  <c r="P538" i="62"/>
  <c r="O538" i="62"/>
  <c r="N538" i="62"/>
  <c r="I538" i="62" s="1"/>
  <c r="P537" i="62"/>
  <c r="O537" i="62"/>
  <c r="N537" i="62"/>
  <c r="I537" i="62" s="1"/>
  <c r="P536" i="62"/>
  <c r="O536" i="62"/>
  <c r="N536" i="62"/>
  <c r="I536" i="62" s="1"/>
  <c r="P535" i="62"/>
  <c r="O535" i="62"/>
  <c r="N535" i="62"/>
  <c r="I535" i="62" s="1"/>
  <c r="P534" i="62"/>
  <c r="O534" i="62"/>
  <c r="N534" i="62"/>
  <c r="I534" i="62" s="1"/>
  <c r="P533" i="62"/>
  <c r="O533" i="62"/>
  <c r="N533" i="62"/>
  <c r="I533" i="62" s="1"/>
  <c r="P532" i="62"/>
  <c r="O532" i="62"/>
  <c r="N532" i="62"/>
  <c r="I532" i="62" s="1"/>
  <c r="N531" i="62"/>
  <c r="I531" i="62" s="1"/>
  <c r="P530" i="62"/>
  <c r="O530" i="62"/>
  <c r="N530" i="62"/>
  <c r="I530" i="62" s="1"/>
  <c r="N529" i="62"/>
  <c r="I529" i="62" s="1"/>
  <c r="N528" i="62"/>
  <c r="I528" i="62" s="1"/>
  <c r="P527" i="62"/>
  <c r="O527" i="62"/>
  <c r="N527" i="62"/>
  <c r="I527" i="62" s="1"/>
  <c r="P526" i="62"/>
  <c r="O526" i="62"/>
  <c r="N526" i="62"/>
  <c r="I526" i="62" s="1"/>
  <c r="P525" i="62"/>
  <c r="O525" i="62"/>
  <c r="N525" i="62"/>
  <c r="I525" i="62" s="1"/>
  <c r="P524" i="62"/>
  <c r="O524" i="62"/>
  <c r="N524" i="62"/>
  <c r="I524" i="62" s="1"/>
  <c r="P523" i="62"/>
  <c r="O523" i="62"/>
  <c r="N523" i="62"/>
  <c r="I523" i="62" s="1"/>
  <c r="Q149" i="11" s="1"/>
  <c r="I149" i="11" s="1"/>
  <c r="P522" i="62"/>
  <c r="O522" i="62"/>
  <c r="N522" i="62"/>
  <c r="I522" i="62" s="1"/>
  <c r="P521" i="62"/>
  <c r="O521" i="62"/>
  <c r="N521" i="62"/>
  <c r="I521" i="62" s="1"/>
  <c r="P520" i="62"/>
  <c r="O520" i="62"/>
  <c r="N520" i="62"/>
  <c r="I520" i="62" s="1"/>
  <c r="P519" i="62"/>
  <c r="O519" i="62"/>
  <c r="N519" i="62"/>
  <c r="I519" i="62" s="1"/>
  <c r="P518" i="62"/>
  <c r="O518" i="62"/>
  <c r="N518" i="62"/>
  <c r="I518" i="62" s="1"/>
  <c r="P517" i="62"/>
  <c r="O517" i="62"/>
  <c r="N517" i="62"/>
  <c r="I517" i="62" s="1"/>
  <c r="N516" i="62"/>
  <c r="I516" i="62" s="1"/>
  <c r="N515" i="62"/>
  <c r="I515" i="62" s="1"/>
  <c r="N514" i="62"/>
  <c r="I514" i="62" s="1"/>
  <c r="N513" i="62"/>
  <c r="I513" i="62" s="1"/>
  <c r="P512" i="62"/>
  <c r="O512" i="62"/>
  <c r="N512" i="62"/>
  <c r="I512" i="62" s="1"/>
  <c r="P511" i="62"/>
  <c r="O511" i="62"/>
  <c r="N511" i="62"/>
  <c r="I511" i="62" s="1"/>
  <c r="P509" i="62"/>
  <c r="O509" i="62"/>
  <c r="N509" i="62"/>
  <c r="I509" i="62" s="1"/>
  <c r="P508" i="62"/>
  <c r="O508" i="62"/>
  <c r="N508" i="62"/>
  <c r="I508" i="62" s="1"/>
  <c r="P507" i="62"/>
  <c r="O507" i="62"/>
  <c r="N507" i="62"/>
  <c r="I507" i="62" s="1"/>
  <c r="Q148" i="11" s="1"/>
  <c r="I148" i="11" s="1"/>
  <c r="P506" i="62"/>
  <c r="O506" i="62"/>
  <c r="N506" i="62"/>
  <c r="I506" i="62" s="1"/>
  <c r="P505" i="62"/>
  <c r="O505" i="62"/>
  <c r="N505" i="62"/>
  <c r="I505" i="62" s="1"/>
  <c r="P504" i="62"/>
  <c r="O504" i="62"/>
  <c r="N504" i="62"/>
  <c r="I504" i="62" s="1"/>
  <c r="P503" i="62"/>
  <c r="O503" i="62"/>
  <c r="N503" i="62"/>
  <c r="I503" i="62" s="1"/>
  <c r="N502" i="62"/>
  <c r="I502" i="62" s="1"/>
  <c r="N501" i="62"/>
  <c r="I501" i="62" s="1"/>
  <c r="P500" i="62"/>
  <c r="O500" i="62"/>
  <c r="N500" i="62"/>
  <c r="I500" i="62" s="1"/>
  <c r="P499" i="62"/>
  <c r="O499" i="62"/>
  <c r="N499" i="62"/>
  <c r="I499" i="62" s="1"/>
  <c r="Q144" i="11" s="1"/>
  <c r="N498" i="62"/>
  <c r="I498" i="62" s="1"/>
  <c r="N497" i="62"/>
  <c r="I497" i="62" s="1"/>
  <c r="P496" i="62"/>
  <c r="O496" i="62"/>
  <c r="N496" i="62"/>
  <c r="I496" i="62" s="1"/>
  <c r="P495" i="62"/>
  <c r="O495" i="62"/>
  <c r="N495" i="62"/>
  <c r="I495" i="62" s="1"/>
  <c r="P494" i="62"/>
  <c r="O494" i="62"/>
  <c r="N494" i="62"/>
  <c r="I494" i="62" s="1"/>
  <c r="P493" i="62"/>
  <c r="O493" i="62"/>
  <c r="N493" i="62"/>
  <c r="I493" i="62" s="1"/>
  <c r="P492" i="62"/>
  <c r="O492" i="62"/>
  <c r="N492" i="62"/>
  <c r="I492" i="62" s="1"/>
  <c r="N491" i="62"/>
  <c r="I491" i="62" s="1"/>
  <c r="P490" i="62"/>
  <c r="O490" i="62"/>
  <c r="N490" i="62"/>
  <c r="I490" i="62" s="1"/>
  <c r="N489" i="62"/>
  <c r="I489" i="62" s="1"/>
  <c r="P488" i="62"/>
  <c r="O488" i="62"/>
  <c r="N488" i="62"/>
  <c r="I488" i="62" s="1"/>
  <c r="P487" i="62"/>
  <c r="O487" i="62"/>
  <c r="N487" i="62"/>
  <c r="I487" i="62" s="1"/>
  <c r="P486" i="62"/>
  <c r="O486" i="62"/>
  <c r="N486" i="62"/>
  <c r="I486" i="62" s="1"/>
  <c r="P485" i="62"/>
  <c r="O485" i="62"/>
  <c r="N485" i="62"/>
  <c r="I485" i="62" s="1"/>
  <c r="P484" i="62"/>
  <c r="O484" i="62"/>
  <c r="N484" i="62"/>
  <c r="I484" i="62" s="1"/>
  <c r="P483" i="62"/>
  <c r="O483" i="62"/>
  <c r="N483" i="62"/>
  <c r="I483" i="62" s="1"/>
  <c r="N482" i="62"/>
  <c r="I482" i="62" s="1"/>
  <c r="N481" i="62"/>
  <c r="I481" i="62" s="1"/>
  <c r="N480" i="62"/>
  <c r="I480" i="62" s="1"/>
  <c r="N479" i="62"/>
  <c r="I479" i="62" s="1"/>
  <c r="N478" i="62"/>
  <c r="I478" i="62" s="1"/>
  <c r="N477" i="62"/>
  <c r="I477" i="62" s="1"/>
  <c r="P476" i="62"/>
  <c r="O476" i="62"/>
  <c r="N476" i="62"/>
  <c r="I476" i="62" s="1"/>
  <c r="Q143" i="11" s="1"/>
  <c r="I143" i="11" s="1"/>
  <c r="I1260" i="58" s="1"/>
  <c r="P475" i="62"/>
  <c r="O475" i="62"/>
  <c r="N475" i="62"/>
  <c r="I475" i="62" s="1"/>
  <c r="Q142" i="11" s="1"/>
  <c r="I142" i="11" s="1"/>
  <c r="P474" i="62"/>
  <c r="O474" i="62"/>
  <c r="N474" i="62"/>
  <c r="I474" i="62" s="1"/>
  <c r="P473" i="62"/>
  <c r="O473" i="62"/>
  <c r="N473" i="62"/>
  <c r="I473" i="62" s="1"/>
  <c r="P472" i="62"/>
  <c r="O472" i="62"/>
  <c r="N472" i="62"/>
  <c r="I472" i="62" s="1"/>
  <c r="P471" i="62"/>
  <c r="O471" i="62"/>
  <c r="N471" i="62"/>
  <c r="I471" i="62" s="1"/>
  <c r="P470" i="62"/>
  <c r="O470" i="62"/>
  <c r="N470" i="62"/>
  <c r="I470" i="62" s="1"/>
  <c r="P469" i="62"/>
  <c r="O469" i="62"/>
  <c r="N469" i="62"/>
  <c r="I469" i="62" s="1"/>
  <c r="P468" i="62"/>
  <c r="O468" i="62"/>
  <c r="N468" i="62"/>
  <c r="I468" i="62" s="1"/>
  <c r="P467" i="62"/>
  <c r="O467" i="62"/>
  <c r="N467" i="62"/>
  <c r="I467" i="62" s="1"/>
  <c r="P466" i="62"/>
  <c r="O466" i="62"/>
  <c r="N466" i="62"/>
  <c r="I466" i="62" s="1"/>
  <c r="P465" i="62"/>
  <c r="O465" i="62"/>
  <c r="N465" i="62"/>
  <c r="I465" i="62" s="1"/>
  <c r="Q137" i="11" s="1"/>
  <c r="N464" i="62"/>
  <c r="I464" i="62" s="1"/>
  <c r="N463" i="62"/>
  <c r="I463" i="62" s="1"/>
  <c r="P462" i="62"/>
  <c r="O462" i="62"/>
  <c r="N462" i="62"/>
  <c r="I462" i="62" s="1"/>
  <c r="P461" i="62"/>
  <c r="O461" i="62"/>
  <c r="N461" i="62"/>
  <c r="I461" i="62" s="1"/>
  <c r="P460" i="62"/>
  <c r="O460" i="62"/>
  <c r="N460" i="62"/>
  <c r="I460" i="62" s="1"/>
  <c r="P459" i="62"/>
  <c r="O459" i="62"/>
  <c r="N459" i="62"/>
  <c r="I459" i="62" s="1"/>
  <c r="P458" i="62"/>
  <c r="O458" i="62"/>
  <c r="N458" i="62"/>
  <c r="I458" i="62" s="1"/>
  <c r="P457" i="62"/>
  <c r="O457" i="62"/>
  <c r="N457" i="62"/>
  <c r="I457" i="62" s="1"/>
  <c r="P456" i="62"/>
  <c r="O456" i="62"/>
  <c r="N456" i="62"/>
  <c r="I456" i="62" s="1"/>
  <c r="P455" i="62"/>
  <c r="O455" i="62"/>
  <c r="N455" i="62"/>
  <c r="I455" i="62" s="1"/>
  <c r="P454" i="62"/>
  <c r="O454" i="62"/>
  <c r="N454" i="62"/>
  <c r="I454" i="62" s="1"/>
  <c r="P453" i="62"/>
  <c r="O453" i="62"/>
  <c r="N453" i="62"/>
  <c r="I453" i="62" s="1"/>
  <c r="P452" i="62"/>
  <c r="O452" i="62"/>
  <c r="N452" i="62"/>
  <c r="I452" i="62" s="1"/>
  <c r="P451" i="62"/>
  <c r="O451" i="62"/>
  <c r="N451" i="62"/>
  <c r="I451" i="62" s="1"/>
  <c r="N450" i="62"/>
  <c r="I450" i="62" s="1"/>
  <c r="P449" i="62"/>
  <c r="O449" i="62"/>
  <c r="N449" i="62"/>
  <c r="I449" i="62" s="1"/>
  <c r="Q136" i="11" s="1"/>
  <c r="P448" i="62"/>
  <c r="O448" i="62"/>
  <c r="N448" i="62"/>
  <c r="I448" i="62" s="1"/>
  <c r="Q135" i="11" s="1"/>
  <c r="P447" i="62"/>
  <c r="O447" i="62"/>
  <c r="N447" i="62"/>
  <c r="I447" i="62" s="1"/>
  <c r="P446" i="62"/>
  <c r="O446" i="62"/>
  <c r="N446" i="62"/>
  <c r="I446" i="62" s="1"/>
  <c r="P445" i="62"/>
  <c r="O445" i="62"/>
  <c r="N445" i="62"/>
  <c r="I445" i="62" s="1"/>
  <c r="Q134" i="11" s="1"/>
  <c r="I134" i="11" s="1"/>
  <c r="N444" i="62"/>
  <c r="I444" i="62" s="1"/>
  <c r="P443" i="62"/>
  <c r="O443" i="62"/>
  <c r="N443" i="62"/>
  <c r="I443" i="62" s="1"/>
  <c r="P442" i="62"/>
  <c r="O442" i="62"/>
  <c r="N442" i="62"/>
  <c r="I442" i="62" s="1"/>
  <c r="P441" i="62"/>
  <c r="O441" i="62"/>
  <c r="N441" i="62"/>
  <c r="I441" i="62" s="1"/>
  <c r="P440" i="62"/>
  <c r="O440" i="62"/>
  <c r="N440" i="62"/>
  <c r="I440" i="62" s="1"/>
  <c r="P439" i="62"/>
  <c r="O439" i="62"/>
  <c r="N439" i="62"/>
  <c r="I439" i="62" s="1"/>
  <c r="P438" i="62"/>
  <c r="O438" i="62"/>
  <c r="N438" i="62"/>
  <c r="I438" i="62" s="1"/>
  <c r="P437" i="62"/>
  <c r="O437" i="62"/>
  <c r="N437" i="62"/>
  <c r="I437" i="62" s="1"/>
  <c r="Q131" i="11" s="1"/>
  <c r="P436" i="62"/>
  <c r="O436" i="62"/>
  <c r="N436" i="62"/>
  <c r="I436" i="62" s="1"/>
  <c r="Q130" i="11" s="1"/>
  <c r="I130" i="11" s="1"/>
  <c r="P435" i="62"/>
  <c r="O435" i="62"/>
  <c r="N435" i="62"/>
  <c r="I435" i="62" s="1"/>
  <c r="Q129" i="11" s="1"/>
  <c r="I129" i="11" s="1"/>
  <c r="I434" i="62"/>
  <c r="Q128" i="11" s="1"/>
  <c r="P433" i="62"/>
  <c r="O433" i="62"/>
  <c r="N433" i="62"/>
  <c r="I433" i="62" s="1"/>
  <c r="Q127" i="11" s="1"/>
  <c r="I127" i="11" s="1"/>
  <c r="P432" i="62"/>
  <c r="O432" i="62"/>
  <c r="N432" i="62"/>
  <c r="I432" i="62" s="1"/>
  <c r="Q126" i="11" s="1"/>
  <c r="I126" i="11" s="1"/>
  <c r="P431" i="62"/>
  <c r="O431" i="62"/>
  <c r="N431" i="62"/>
  <c r="I431" i="62" s="1"/>
  <c r="Q125" i="11" s="1"/>
  <c r="P430" i="62"/>
  <c r="O430" i="62"/>
  <c r="N430" i="62"/>
  <c r="I430" i="62" s="1"/>
  <c r="Q124" i="11" s="1"/>
  <c r="I124" i="11" s="1"/>
  <c r="P429" i="62"/>
  <c r="O429" i="62"/>
  <c r="N429" i="62"/>
  <c r="I429" i="62" s="1"/>
  <c r="P428" i="62"/>
  <c r="O428" i="62"/>
  <c r="N428" i="62"/>
  <c r="I428" i="62" s="1"/>
  <c r="P427" i="62"/>
  <c r="O427" i="62"/>
  <c r="N427" i="62"/>
  <c r="I427" i="62" s="1"/>
  <c r="P426" i="62"/>
  <c r="O426" i="62"/>
  <c r="N426" i="62"/>
  <c r="I426" i="62" s="1"/>
  <c r="P425" i="62"/>
  <c r="O425" i="62"/>
  <c r="N425" i="62"/>
  <c r="I425" i="62" s="1"/>
  <c r="P424" i="62"/>
  <c r="O424" i="62"/>
  <c r="N424" i="62"/>
  <c r="I424" i="62" s="1"/>
  <c r="P423" i="62"/>
  <c r="O423" i="62"/>
  <c r="N423" i="62"/>
  <c r="I423" i="62" s="1"/>
  <c r="P422" i="62"/>
  <c r="O422" i="62"/>
  <c r="N422" i="62"/>
  <c r="I422" i="62" s="1"/>
  <c r="P421" i="62"/>
  <c r="O421" i="62"/>
  <c r="N421" i="62"/>
  <c r="I421" i="62" s="1"/>
  <c r="P420" i="62"/>
  <c r="O420" i="62"/>
  <c r="N420" i="62"/>
  <c r="I420" i="62" s="1"/>
  <c r="P419" i="62"/>
  <c r="O419" i="62"/>
  <c r="N419" i="62"/>
  <c r="I419" i="62" s="1"/>
  <c r="P418" i="62"/>
  <c r="O418" i="62"/>
  <c r="N418" i="62"/>
  <c r="I418" i="62" s="1"/>
  <c r="P417" i="62"/>
  <c r="O417" i="62"/>
  <c r="N417" i="62"/>
  <c r="I417" i="62" s="1"/>
  <c r="P416" i="62"/>
  <c r="O416" i="62"/>
  <c r="N416" i="62"/>
  <c r="I416" i="62" s="1"/>
  <c r="P415" i="62"/>
  <c r="O415" i="62"/>
  <c r="N415" i="62"/>
  <c r="I415" i="62" s="1"/>
  <c r="P414" i="62"/>
  <c r="O414" i="62"/>
  <c r="N414" i="62"/>
  <c r="I414" i="62" s="1"/>
  <c r="P413" i="62"/>
  <c r="O413" i="62"/>
  <c r="N413" i="62"/>
  <c r="I413" i="62" s="1"/>
  <c r="P412" i="62"/>
  <c r="O412" i="62"/>
  <c r="N412" i="62"/>
  <c r="I412" i="62" s="1"/>
  <c r="P411" i="62"/>
  <c r="O411" i="62"/>
  <c r="N411" i="62"/>
  <c r="I411" i="62" s="1"/>
  <c r="P410" i="62"/>
  <c r="O410" i="62"/>
  <c r="N410" i="62"/>
  <c r="I410" i="62" s="1"/>
  <c r="N409" i="62"/>
  <c r="I409" i="62" s="1"/>
  <c r="P408" i="62"/>
  <c r="O408" i="62"/>
  <c r="N408" i="62"/>
  <c r="I408" i="62" s="1"/>
  <c r="Q119" i="11" s="1"/>
  <c r="I119" i="11" s="1"/>
  <c r="P407" i="62"/>
  <c r="O407" i="62"/>
  <c r="N407" i="62"/>
  <c r="I407" i="62" s="1"/>
  <c r="P406" i="62"/>
  <c r="O406" i="62"/>
  <c r="N406" i="62"/>
  <c r="I406" i="62" s="1"/>
  <c r="Q118" i="11" s="1"/>
  <c r="I118" i="11" s="1"/>
  <c r="P405" i="62"/>
  <c r="O405" i="62"/>
  <c r="N405" i="62"/>
  <c r="I405" i="62" s="1"/>
  <c r="P404" i="62"/>
  <c r="O404" i="62"/>
  <c r="N404" i="62"/>
  <c r="I404" i="62" s="1"/>
  <c r="P403" i="62"/>
  <c r="O403" i="62"/>
  <c r="N403" i="62"/>
  <c r="I403" i="62" s="1"/>
  <c r="P402" i="62"/>
  <c r="O402" i="62"/>
  <c r="N402" i="62"/>
  <c r="I402" i="62" s="1"/>
  <c r="P401" i="62"/>
  <c r="O401" i="62"/>
  <c r="N401" i="62"/>
  <c r="I401" i="62" s="1"/>
  <c r="P400" i="62"/>
  <c r="O400" i="62"/>
  <c r="N400" i="62"/>
  <c r="I400" i="62" s="1"/>
  <c r="Q123" i="11" s="1"/>
  <c r="I123" i="11" s="1"/>
  <c r="P399" i="62"/>
  <c r="O399" i="62"/>
  <c r="N399" i="62"/>
  <c r="I399" i="62" s="1"/>
  <c r="P398" i="62"/>
  <c r="O398" i="62"/>
  <c r="N398" i="62"/>
  <c r="I398" i="62" s="1"/>
  <c r="P397" i="62"/>
  <c r="O397" i="62"/>
  <c r="N397" i="62"/>
  <c r="I397" i="62" s="1"/>
  <c r="P396" i="62"/>
  <c r="O396" i="62"/>
  <c r="N396" i="62"/>
  <c r="I396" i="62" s="1"/>
  <c r="P395" i="62"/>
  <c r="O395" i="62"/>
  <c r="N395" i="62"/>
  <c r="I395" i="62" s="1"/>
  <c r="P394" i="62"/>
  <c r="O394" i="62"/>
  <c r="N394" i="62"/>
  <c r="I394" i="62" s="1"/>
  <c r="P393" i="62"/>
  <c r="O393" i="62"/>
  <c r="N393" i="62"/>
  <c r="I393" i="62" s="1"/>
  <c r="P392" i="62"/>
  <c r="O392" i="62"/>
  <c r="N392" i="62"/>
  <c r="I392" i="62" s="1"/>
  <c r="P391" i="62"/>
  <c r="O391" i="62"/>
  <c r="N391" i="62"/>
  <c r="I391" i="62" s="1"/>
  <c r="P390" i="62"/>
  <c r="O390" i="62"/>
  <c r="N390" i="62"/>
  <c r="I390" i="62" s="1"/>
  <c r="P389" i="62"/>
  <c r="O389" i="62"/>
  <c r="N389" i="62"/>
  <c r="I389" i="62" s="1"/>
  <c r="P388" i="62"/>
  <c r="O388" i="62"/>
  <c r="N388" i="62"/>
  <c r="I388" i="62" s="1"/>
  <c r="Q122" i="11" s="1"/>
  <c r="I122" i="11" s="1"/>
  <c r="P387" i="62"/>
  <c r="O387" i="62"/>
  <c r="N387" i="62"/>
  <c r="I387" i="62" s="1"/>
  <c r="P386" i="62"/>
  <c r="O386" i="62"/>
  <c r="N386" i="62"/>
  <c r="I386" i="62" s="1"/>
  <c r="P385" i="62"/>
  <c r="O385" i="62"/>
  <c r="N385" i="62"/>
  <c r="I385" i="62" s="1"/>
  <c r="P384" i="62"/>
  <c r="O384" i="62"/>
  <c r="N384" i="62"/>
  <c r="I384" i="62" s="1"/>
  <c r="Q121" i="11" s="1"/>
  <c r="P383" i="62"/>
  <c r="O383" i="62"/>
  <c r="N383" i="62"/>
  <c r="I383" i="62" s="1"/>
  <c r="Q120" i="11" s="1"/>
  <c r="N381" i="62"/>
  <c r="I381" i="62" s="1"/>
  <c r="N380" i="62"/>
  <c r="I380" i="62" s="1"/>
  <c r="P379" i="62"/>
  <c r="O379" i="62"/>
  <c r="N379" i="62"/>
  <c r="I379" i="62" s="1"/>
  <c r="P378" i="62"/>
  <c r="O378" i="62"/>
  <c r="N378" i="62"/>
  <c r="I378" i="62" s="1"/>
  <c r="Q117" i="11" s="1"/>
  <c r="I117" i="11" s="1"/>
  <c r="P377" i="62"/>
  <c r="O377" i="62"/>
  <c r="N377" i="62"/>
  <c r="I377" i="62" s="1"/>
  <c r="Q116" i="11" s="1"/>
  <c r="I116" i="11" s="1"/>
  <c r="P376" i="62"/>
  <c r="O376" i="62"/>
  <c r="N376" i="62"/>
  <c r="I376" i="62" s="1"/>
  <c r="P375" i="62"/>
  <c r="O375" i="62"/>
  <c r="N375" i="62"/>
  <c r="I375" i="62" s="1"/>
  <c r="Q115" i="11" s="1"/>
  <c r="P374" i="62"/>
  <c r="O374" i="62"/>
  <c r="N374" i="62"/>
  <c r="I374" i="62" s="1"/>
  <c r="P373" i="62"/>
  <c r="O373" i="62"/>
  <c r="N373" i="62"/>
  <c r="I373" i="62" s="1"/>
  <c r="Q114" i="11" s="1"/>
  <c r="P372" i="62"/>
  <c r="O372" i="62"/>
  <c r="N372" i="62"/>
  <c r="I372" i="62" s="1"/>
  <c r="P371" i="62"/>
  <c r="O371" i="62"/>
  <c r="N371" i="62"/>
  <c r="I371" i="62" s="1"/>
  <c r="Q113" i="11" s="1"/>
  <c r="P370" i="62"/>
  <c r="O370" i="62"/>
  <c r="N370" i="62"/>
  <c r="I370" i="62" s="1"/>
  <c r="Q112" i="11" s="1"/>
  <c r="I112" i="11" s="1"/>
  <c r="P369" i="62"/>
  <c r="O369" i="62"/>
  <c r="N369" i="62"/>
  <c r="I369" i="62" s="1"/>
  <c r="P368" i="62"/>
  <c r="O368" i="62"/>
  <c r="N368" i="62"/>
  <c r="I368" i="62" s="1"/>
  <c r="P367" i="62"/>
  <c r="O367" i="62"/>
  <c r="N367" i="62"/>
  <c r="I367" i="62" s="1"/>
  <c r="P366" i="62"/>
  <c r="O366" i="62"/>
  <c r="N366" i="62"/>
  <c r="I366" i="62" s="1"/>
  <c r="P365" i="62"/>
  <c r="O365" i="62"/>
  <c r="N365" i="62"/>
  <c r="I365" i="62" s="1"/>
  <c r="P364" i="62"/>
  <c r="O364" i="62"/>
  <c r="N364" i="62"/>
  <c r="I364" i="62" s="1"/>
  <c r="P363" i="62"/>
  <c r="O363" i="62"/>
  <c r="N363" i="62"/>
  <c r="I363" i="62" s="1"/>
  <c r="N362" i="62"/>
  <c r="I362" i="62" s="1"/>
  <c r="N361" i="62"/>
  <c r="I361" i="62" s="1"/>
  <c r="P360" i="62"/>
  <c r="O360" i="62"/>
  <c r="N360" i="62"/>
  <c r="I360" i="62" s="1"/>
  <c r="P359" i="62"/>
  <c r="O359" i="62"/>
  <c r="N359" i="62"/>
  <c r="I359" i="62" s="1"/>
  <c r="P358" i="62"/>
  <c r="O358" i="62"/>
  <c r="N358" i="62"/>
  <c r="I358" i="62" s="1"/>
  <c r="P357" i="62"/>
  <c r="O357" i="62"/>
  <c r="N357" i="62"/>
  <c r="I357" i="62" s="1"/>
  <c r="P356" i="62"/>
  <c r="O356" i="62"/>
  <c r="N356" i="62"/>
  <c r="I356" i="62" s="1"/>
  <c r="P355" i="62"/>
  <c r="O355" i="62"/>
  <c r="N355" i="62"/>
  <c r="I355" i="62" s="1"/>
  <c r="P354" i="62"/>
  <c r="O354" i="62"/>
  <c r="N354" i="62"/>
  <c r="I354" i="62" s="1"/>
  <c r="N353" i="62"/>
  <c r="I353" i="62" s="1"/>
  <c r="N352" i="62"/>
  <c r="I352" i="62" s="1"/>
  <c r="N351" i="62"/>
  <c r="I351" i="62" s="1"/>
  <c r="P350" i="62"/>
  <c r="O350" i="62"/>
  <c r="N350" i="62"/>
  <c r="I350" i="62" s="1"/>
  <c r="P349" i="62"/>
  <c r="O349" i="62"/>
  <c r="N349" i="62"/>
  <c r="I349" i="62" s="1"/>
  <c r="P348" i="62"/>
  <c r="O348" i="62"/>
  <c r="N348" i="62"/>
  <c r="I348" i="62" s="1"/>
  <c r="P347" i="62"/>
  <c r="O347" i="62"/>
  <c r="N347" i="62"/>
  <c r="I347" i="62" s="1"/>
  <c r="P346" i="62"/>
  <c r="O346" i="62"/>
  <c r="N346" i="62"/>
  <c r="I346" i="62" s="1"/>
  <c r="N345" i="62"/>
  <c r="I345" i="62" s="1"/>
  <c r="N344" i="62"/>
  <c r="I344" i="62" s="1"/>
  <c r="P343" i="62"/>
  <c r="O343" i="62"/>
  <c r="N343" i="62"/>
  <c r="I343" i="62" s="1"/>
  <c r="P342" i="62"/>
  <c r="O342" i="62"/>
  <c r="N342" i="62"/>
  <c r="I342" i="62" s="1"/>
  <c r="P341" i="62"/>
  <c r="O341" i="62"/>
  <c r="N341" i="62"/>
  <c r="I341" i="62" s="1"/>
  <c r="Q107" i="11" s="1"/>
  <c r="I107" i="11" s="1"/>
  <c r="J657" i="58" s="1"/>
  <c r="N657" i="58" s="1"/>
  <c r="P340" i="62"/>
  <c r="O340" i="62"/>
  <c r="N340" i="62"/>
  <c r="I340" i="62" s="1"/>
  <c r="P339" i="62"/>
  <c r="O339" i="62"/>
  <c r="N339" i="62"/>
  <c r="I339" i="62" s="1"/>
  <c r="P338" i="62"/>
  <c r="O338" i="62"/>
  <c r="N338" i="62"/>
  <c r="I338" i="62" s="1"/>
  <c r="P337" i="62"/>
  <c r="O337" i="62"/>
  <c r="N337" i="62"/>
  <c r="I337" i="62" s="1"/>
  <c r="N336" i="62"/>
  <c r="I336" i="62" s="1"/>
  <c r="P335" i="62"/>
  <c r="O335" i="62"/>
  <c r="N335" i="62"/>
  <c r="I335" i="62" s="1"/>
  <c r="P334" i="62"/>
  <c r="O334" i="62"/>
  <c r="N334" i="62"/>
  <c r="I334" i="62" s="1"/>
  <c r="P333" i="62"/>
  <c r="O333" i="62"/>
  <c r="N333" i="62"/>
  <c r="I333" i="62" s="1"/>
  <c r="P332" i="62"/>
  <c r="O332" i="62"/>
  <c r="N332" i="62"/>
  <c r="I332" i="62" s="1"/>
  <c r="Q102" i="11" s="1"/>
  <c r="I102" i="11" s="1"/>
  <c r="P331" i="62"/>
  <c r="O331" i="62"/>
  <c r="N331" i="62"/>
  <c r="I331" i="62" s="1"/>
  <c r="P330" i="62"/>
  <c r="O330" i="62"/>
  <c r="N330" i="62"/>
  <c r="I330" i="62" s="1"/>
  <c r="Q101" i="11" s="1"/>
  <c r="P329" i="62"/>
  <c r="O329" i="62"/>
  <c r="N329" i="62"/>
  <c r="I329" i="62" s="1"/>
  <c r="P328" i="62"/>
  <c r="O328" i="62"/>
  <c r="N328" i="62"/>
  <c r="I328" i="62" s="1"/>
  <c r="P327" i="62"/>
  <c r="O327" i="62"/>
  <c r="N327" i="62"/>
  <c r="I327" i="62" s="1"/>
  <c r="P326" i="62"/>
  <c r="O326" i="62"/>
  <c r="N326" i="62"/>
  <c r="I326" i="62" s="1"/>
  <c r="N325" i="62"/>
  <c r="I325" i="62" s="1"/>
  <c r="P324" i="62"/>
  <c r="O324" i="62"/>
  <c r="N324" i="62"/>
  <c r="I324" i="62" s="1"/>
  <c r="P323" i="62"/>
  <c r="O323" i="62"/>
  <c r="N323" i="62"/>
  <c r="I323" i="62" s="1"/>
  <c r="P322" i="62"/>
  <c r="O322" i="62"/>
  <c r="N322" i="62"/>
  <c r="I322" i="62" s="1"/>
  <c r="P321" i="62"/>
  <c r="O321" i="62"/>
  <c r="N321" i="62"/>
  <c r="I321" i="62" s="1"/>
  <c r="P320" i="62"/>
  <c r="O320" i="62"/>
  <c r="N320" i="62"/>
  <c r="I320" i="62" s="1"/>
  <c r="P319" i="62"/>
  <c r="O319" i="62"/>
  <c r="N319" i="62"/>
  <c r="I319" i="62" s="1"/>
  <c r="P318" i="62"/>
  <c r="O318" i="62"/>
  <c r="N318" i="62"/>
  <c r="I318" i="62" s="1"/>
  <c r="J1259" i="58" s="1"/>
  <c r="N1259" i="58" s="1"/>
  <c r="P317" i="62"/>
  <c r="O317" i="62"/>
  <c r="N317" i="62"/>
  <c r="I317" i="62" s="1"/>
  <c r="P316" i="62"/>
  <c r="O316" i="62"/>
  <c r="N316" i="62"/>
  <c r="I316" i="62" s="1"/>
  <c r="P315" i="62"/>
  <c r="O315" i="62"/>
  <c r="N315" i="62"/>
  <c r="I315" i="62" s="1"/>
  <c r="P314" i="62"/>
  <c r="O314" i="62"/>
  <c r="N314" i="62"/>
  <c r="I314" i="62" s="1"/>
  <c r="P313" i="62"/>
  <c r="O313" i="62"/>
  <c r="N313" i="62"/>
  <c r="I313" i="62" s="1"/>
  <c r="P312" i="62"/>
  <c r="O312" i="62"/>
  <c r="N312" i="62"/>
  <c r="I312" i="62" s="1"/>
  <c r="N311" i="62"/>
  <c r="I311" i="62" s="1"/>
  <c r="P310" i="62"/>
  <c r="O310" i="62"/>
  <c r="N310" i="62"/>
  <c r="I310" i="62" s="1"/>
  <c r="P309" i="62"/>
  <c r="O309" i="62"/>
  <c r="N309" i="62"/>
  <c r="I309" i="62" s="1"/>
  <c r="P308" i="62"/>
  <c r="O308" i="62"/>
  <c r="N308" i="62"/>
  <c r="I308" i="62" s="1"/>
  <c r="P307" i="62"/>
  <c r="O307" i="62"/>
  <c r="N307" i="62"/>
  <c r="I307" i="62" s="1"/>
  <c r="P306" i="62"/>
  <c r="O306" i="62"/>
  <c r="N306" i="62"/>
  <c r="I306" i="62" s="1"/>
  <c r="P305" i="62"/>
  <c r="O305" i="62"/>
  <c r="N305" i="62"/>
  <c r="I305" i="62" s="1"/>
  <c r="Q97" i="11" s="1"/>
  <c r="I97" i="11" s="1"/>
  <c r="P304" i="62"/>
  <c r="O304" i="62"/>
  <c r="N304" i="62"/>
  <c r="I304" i="62" s="1"/>
  <c r="P303" i="62"/>
  <c r="O303" i="62"/>
  <c r="N303" i="62"/>
  <c r="I303" i="62" s="1"/>
  <c r="P302" i="62"/>
  <c r="O302" i="62"/>
  <c r="N302" i="62"/>
  <c r="I302" i="62" s="1"/>
  <c r="P301" i="62"/>
  <c r="O301" i="62"/>
  <c r="N301" i="62"/>
  <c r="I301" i="62" s="1"/>
  <c r="N300" i="62"/>
  <c r="I300" i="62" s="1"/>
  <c r="P299" i="62"/>
  <c r="O299" i="62"/>
  <c r="N299" i="62"/>
  <c r="I299" i="62" s="1"/>
  <c r="Q99" i="11" s="1"/>
  <c r="I99" i="11" s="1"/>
  <c r="P298" i="62"/>
  <c r="O298" i="62"/>
  <c r="N298" i="62"/>
  <c r="I298" i="62" s="1"/>
  <c r="N297" i="62"/>
  <c r="I297" i="62" s="1"/>
  <c r="P296" i="62"/>
  <c r="O296" i="62"/>
  <c r="N296" i="62"/>
  <c r="I296" i="62" s="1"/>
  <c r="P295" i="62"/>
  <c r="O295" i="62"/>
  <c r="N295" i="62"/>
  <c r="I295" i="62" s="1"/>
  <c r="Q95" i="11" s="1"/>
  <c r="P294" i="62"/>
  <c r="O294" i="62"/>
  <c r="N294" i="62"/>
  <c r="I294" i="62" s="1"/>
  <c r="P293" i="62"/>
  <c r="O293" i="62"/>
  <c r="N293" i="62"/>
  <c r="I293" i="62" s="1"/>
  <c r="P292" i="62"/>
  <c r="O292" i="62"/>
  <c r="N292" i="62"/>
  <c r="I292" i="62" s="1"/>
  <c r="P291" i="62"/>
  <c r="O291" i="62"/>
  <c r="N291" i="62"/>
  <c r="I291" i="62" s="1"/>
  <c r="P290" i="62"/>
  <c r="O290" i="62"/>
  <c r="N290" i="62"/>
  <c r="I290" i="62" s="1"/>
  <c r="P289" i="62"/>
  <c r="O289" i="62"/>
  <c r="N289" i="62"/>
  <c r="I289" i="62" s="1"/>
  <c r="P288" i="62"/>
  <c r="O288" i="62"/>
  <c r="N288" i="62"/>
  <c r="I288" i="62" s="1"/>
  <c r="N287" i="62"/>
  <c r="I287" i="62" s="1"/>
  <c r="P286" i="62"/>
  <c r="O286" i="62"/>
  <c r="N286" i="62"/>
  <c r="I286" i="62" s="1"/>
  <c r="P285" i="62"/>
  <c r="O285" i="62"/>
  <c r="N285" i="62"/>
  <c r="I285" i="62" s="1"/>
  <c r="P284" i="62"/>
  <c r="O284" i="62"/>
  <c r="N284" i="62"/>
  <c r="I284" i="62" s="1"/>
  <c r="P283" i="62"/>
  <c r="O283" i="62"/>
  <c r="N283" i="62"/>
  <c r="I283" i="62" s="1"/>
  <c r="P282" i="62"/>
  <c r="O282" i="62"/>
  <c r="N282" i="62"/>
  <c r="I282" i="62" s="1"/>
  <c r="P281" i="62"/>
  <c r="O281" i="62"/>
  <c r="N281" i="62"/>
  <c r="I281" i="62" s="1"/>
  <c r="P280" i="62"/>
  <c r="O280" i="62"/>
  <c r="N280" i="62"/>
  <c r="I280" i="62" s="1"/>
  <c r="P279" i="62"/>
  <c r="O279" i="62"/>
  <c r="N279" i="62"/>
  <c r="I279" i="62" s="1"/>
  <c r="P278" i="62"/>
  <c r="O278" i="62"/>
  <c r="N278" i="62"/>
  <c r="I278" i="62" s="1"/>
  <c r="P277" i="62"/>
  <c r="O277" i="62"/>
  <c r="N277" i="62"/>
  <c r="I277" i="62" s="1"/>
  <c r="I94" i="11" s="1"/>
  <c r="P276" i="62"/>
  <c r="O276" i="62"/>
  <c r="N276" i="62"/>
  <c r="I276" i="62" s="1"/>
  <c r="P275" i="62"/>
  <c r="O275" i="62"/>
  <c r="N275" i="62"/>
  <c r="I275" i="62" s="1"/>
  <c r="P274" i="62"/>
  <c r="O274" i="62"/>
  <c r="N274" i="62"/>
  <c r="I274" i="62" s="1"/>
  <c r="P273" i="62"/>
  <c r="O273" i="62"/>
  <c r="N273" i="62"/>
  <c r="I273" i="62" s="1"/>
  <c r="P272" i="62"/>
  <c r="O272" i="62"/>
  <c r="N272" i="62"/>
  <c r="I272" i="62" s="1"/>
  <c r="N271" i="62"/>
  <c r="I271" i="62" s="1"/>
  <c r="P270" i="62"/>
  <c r="O270" i="62"/>
  <c r="N270" i="62"/>
  <c r="I270" i="62" s="1"/>
  <c r="N269" i="62"/>
  <c r="I269" i="62" s="1"/>
  <c r="P268" i="62"/>
  <c r="O268" i="62"/>
  <c r="N268" i="62"/>
  <c r="I268" i="62" s="1"/>
  <c r="P267" i="62"/>
  <c r="O267" i="62"/>
  <c r="N267" i="62"/>
  <c r="I267" i="62" s="1"/>
  <c r="Q93" i="11" s="1"/>
  <c r="I93" i="11" s="1"/>
  <c r="P266" i="62"/>
  <c r="O266" i="62"/>
  <c r="N266" i="62"/>
  <c r="I266" i="62" s="1"/>
  <c r="P265" i="62"/>
  <c r="O265" i="62"/>
  <c r="N265" i="62"/>
  <c r="I265" i="62" s="1"/>
  <c r="Q92" i="11" s="1"/>
  <c r="I92" i="11" s="1"/>
  <c r="N264" i="62"/>
  <c r="I264" i="62" s="1"/>
  <c r="N263" i="62"/>
  <c r="I263" i="62" s="1"/>
  <c r="P262" i="62"/>
  <c r="O262" i="62"/>
  <c r="N262" i="62"/>
  <c r="I262" i="62" s="1"/>
  <c r="P261" i="62"/>
  <c r="O261" i="62"/>
  <c r="N261" i="62"/>
  <c r="I261" i="62" s="1"/>
  <c r="N260" i="62"/>
  <c r="I260" i="62" s="1"/>
  <c r="P259" i="62"/>
  <c r="O259" i="62"/>
  <c r="N259" i="62"/>
  <c r="I259" i="62" s="1"/>
  <c r="N258" i="62"/>
  <c r="I258" i="62" s="1"/>
  <c r="P257" i="62"/>
  <c r="O257" i="62"/>
  <c r="N257" i="62"/>
  <c r="I257" i="62" s="1"/>
  <c r="P256" i="62"/>
  <c r="O256" i="62"/>
  <c r="N256" i="62"/>
  <c r="I256" i="62" s="1"/>
  <c r="P255" i="62"/>
  <c r="O255" i="62"/>
  <c r="N255" i="62"/>
  <c r="I255" i="62" s="1"/>
  <c r="P254" i="62"/>
  <c r="O254" i="62"/>
  <c r="N254" i="62"/>
  <c r="I254" i="62" s="1"/>
  <c r="P253" i="62"/>
  <c r="O253" i="62"/>
  <c r="N253" i="62"/>
  <c r="I253" i="62" s="1"/>
  <c r="Q90" i="11" s="1"/>
  <c r="I90" i="11" s="1"/>
  <c r="P252" i="62"/>
  <c r="O252" i="62"/>
  <c r="N252" i="62"/>
  <c r="I252" i="62" s="1"/>
  <c r="P251" i="62"/>
  <c r="O251" i="62"/>
  <c r="N251" i="62"/>
  <c r="I251" i="62" s="1"/>
  <c r="P250" i="62"/>
  <c r="O250" i="62"/>
  <c r="N250" i="62"/>
  <c r="I250" i="62" s="1"/>
  <c r="Q89" i="11" s="1"/>
  <c r="I89" i="11" s="1"/>
  <c r="P249" i="62"/>
  <c r="O249" i="62"/>
  <c r="N249" i="62"/>
  <c r="I249" i="62" s="1"/>
  <c r="P248" i="62"/>
  <c r="O248" i="62"/>
  <c r="N248" i="62"/>
  <c r="I248" i="62" s="1"/>
  <c r="P247" i="62"/>
  <c r="O247" i="62"/>
  <c r="N247" i="62"/>
  <c r="I247" i="62" s="1"/>
  <c r="P246" i="62"/>
  <c r="O246" i="62"/>
  <c r="N246" i="62"/>
  <c r="I246" i="62" s="1"/>
  <c r="Q87" i="11" s="1"/>
  <c r="I87" i="11" s="1"/>
  <c r="P245" i="62"/>
  <c r="O245" i="62"/>
  <c r="N245" i="62"/>
  <c r="I245" i="62" s="1"/>
  <c r="R245" i="62" s="1"/>
  <c r="P244" i="62"/>
  <c r="O244" i="62"/>
  <c r="N244" i="62"/>
  <c r="I244" i="62" s="1"/>
  <c r="R244" i="62" s="1"/>
  <c r="P243" i="62"/>
  <c r="O243" i="62"/>
  <c r="N243" i="62"/>
  <c r="I243" i="62" s="1"/>
  <c r="N242" i="62"/>
  <c r="I242" i="62" s="1"/>
  <c r="P241" i="62"/>
  <c r="O241" i="62"/>
  <c r="N241" i="62"/>
  <c r="I241" i="62" s="1"/>
  <c r="N240" i="62"/>
  <c r="I240" i="62" s="1"/>
  <c r="P239" i="62"/>
  <c r="O239" i="62"/>
  <c r="N239" i="62"/>
  <c r="I239" i="62" s="1"/>
  <c r="P238" i="62"/>
  <c r="O238" i="62"/>
  <c r="N238" i="62"/>
  <c r="I238" i="62" s="1"/>
  <c r="P237" i="62"/>
  <c r="O237" i="62"/>
  <c r="N237" i="62"/>
  <c r="I237" i="62" s="1"/>
  <c r="P236" i="62"/>
  <c r="O236" i="62"/>
  <c r="N236" i="62"/>
  <c r="I236" i="62" s="1"/>
  <c r="P235" i="62"/>
  <c r="O235" i="62"/>
  <c r="N235" i="62"/>
  <c r="I235" i="62" s="1"/>
  <c r="P234" i="62"/>
  <c r="O234" i="62"/>
  <c r="N234" i="62"/>
  <c r="I234" i="62" s="1"/>
  <c r="P233" i="62"/>
  <c r="O233" i="62"/>
  <c r="N233" i="62"/>
  <c r="I233" i="62" s="1"/>
  <c r="P232" i="62"/>
  <c r="O232" i="62"/>
  <c r="N232" i="62"/>
  <c r="I232" i="62" s="1"/>
  <c r="P231" i="62"/>
  <c r="O231" i="62"/>
  <c r="N231" i="62"/>
  <c r="I231" i="62" s="1"/>
  <c r="P230" i="62"/>
  <c r="O230" i="62"/>
  <c r="N230" i="62"/>
  <c r="I230" i="62" s="1"/>
  <c r="N229" i="62"/>
  <c r="I229" i="62" s="1"/>
  <c r="P228" i="62"/>
  <c r="O228" i="62"/>
  <c r="N228" i="62"/>
  <c r="I228" i="62" s="1"/>
  <c r="P227" i="62"/>
  <c r="O227" i="62"/>
  <c r="N227" i="62"/>
  <c r="I227" i="62" s="1"/>
  <c r="P226" i="62"/>
  <c r="O226" i="62"/>
  <c r="N226" i="62"/>
  <c r="I226" i="62" s="1"/>
  <c r="P225" i="62"/>
  <c r="O225" i="62"/>
  <c r="N225" i="62"/>
  <c r="I225" i="62" s="1"/>
  <c r="P224" i="62"/>
  <c r="O224" i="62"/>
  <c r="N224" i="62"/>
  <c r="I224" i="62" s="1"/>
  <c r="P223" i="62"/>
  <c r="O223" i="62"/>
  <c r="N223" i="62"/>
  <c r="I223" i="62" s="1"/>
  <c r="P222" i="62"/>
  <c r="O222" i="62"/>
  <c r="N222" i="62"/>
  <c r="I222" i="62" s="1"/>
  <c r="P221" i="62"/>
  <c r="O221" i="62"/>
  <c r="N221" i="62"/>
  <c r="I221" i="62" s="1"/>
  <c r="P220" i="62"/>
  <c r="O220" i="62"/>
  <c r="N220" i="62"/>
  <c r="I220" i="62" s="1"/>
  <c r="P219" i="62"/>
  <c r="O219" i="62"/>
  <c r="N219" i="62"/>
  <c r="I219" i="62" s="1"/>
  <c r="P218" i="62"/>
  <c r="O218" i="62"/>
  <c r="N218" i="62"/>
  <c r="I218" i="62" s="1"/>
  <c r="P217" i="62"/>
  <c r="O217" i="62"/>
  <c r="N217" i="62"/>
  <c r="I217" i="62" s="1"/>
  <c r="P216" i="62"/>
  <c r="O216" i="62"/>
  <c r="N216" i="62"/>
  <c r="I216" i="62" s="1"/>
  <c r="P215" i="62"/>
  <c r="O215" i="62"/>
  <c r="N215" i="62"/>
  <c r="I215" i="62" s="1"/>
  <c r="Q79" i="11" s="1"/>
  <c r="P214" i="62"/>
  <c r="O214" i="62"/>
  <c r="N214" i="62"/>
  <c r="I214" i="62" s="1"/>
  <c r="P213" i="62"/>
  <c r="O213" i="62"/>
  <c r="N213" i="62"/>
  <c r="I213" i="62" s="1"/>
  <c r="P212" i="62"/>
  <c r="O212" i="62"/>
  <c r="N212" i="62"/>
  <c r="I212" i="62" s="1"/>
  <c r="J619" i="58" s="1"/>
  <c r="N619" i="58" s="1"/>
  <c r="P211" i="62"/>
  <c r="O211" i="62"/>
  <c r="N211" i="62"/>
  <c r="I211" i="62" s="1"/>
  <c r="P210" i="62"/>
  <c r="O210" i="62"/>
  <c r="N210" i="62"/>
  <c r="I210" i="62" s="1"/>
  <c r="N209" i="62"/>
  <c r="I209" i="62" s="1"/>
  <c r="N208" i="62"/>
  <c r="I208" i="62" s="1"/>
  <c r="N207" i="62"/>
  <c r="I207" i="62" s="1"/>
  <c r="P206" i="62"/>
  <c r="O206" i="62"/>
  <c r="N206" i="62"/>
  <c r="I206" i="62" s="1"/>
  <c r="P205" i="62"/>
  <c r="O205" i="62"/>
  <c r="N205" i="62"/>
  <c r="I205" i="62" s="1"/>
  <c r="P204" i="62"/>
  <c r="O204" i="62"/>
  <c r="N204" i="62"/>
  <c r="I204" i="62" s="1"/>
  <c r="P203" i="62"/>
  <c r="O203" i="62"/>
  <c r="N203" i="62"/>
  <c r="I203" i="62" s="1"/>
  <c r="N202" i="62"/>
  <c r="I202" i="62" s="1"/>
  <c r="P201" i="62"/>
  <c r="O201" i="62"/>
  <c r="N201" i="62"/>
  <c r="I201" i="62" s="1"/>
  <c r="P200" i="62"/>
  <c r="O200" i="62"/>
  <c r="N200" i="62"/>
  <c r="I200" i="62" s="1"/>
  <c r="P199" i="62"/>
  <c r="O199" i="62"/>
  <c r="N199" i="62"/>
  <c r="I199" i="62" s="1"/>
  <c r="P198" i="62"/>
  <c r="O198" i="62"/>
  <c r="N198" i="62"/>
  <c r="I198" i="62" s="1"/>
  <c r="P197" i="62"/>
  <c r="O197" i="62"/>
  <c r="N197" i="62"/>
  <c r="I197" i="62" s="1"/>
  <c r="P195" i="62"/>
  <c r="O195" i="62"/>
  <c r="N195" i="62"/>
  <c r="I195" i="62" s="1"/>
  <c r="P194" i="62"/>
  <c r="O194" i="62"/>
  <c r="N194" i="62"/>
  <c r="I194" i="62" s="1"/>
  <c r="P193" i="62"/>
  <c r="O193" i="62"/>
  <c r="N193" i="62"/>
  <c r="I193" i="62" s="1"/>
  <c r="P192" i="62"/>
  <c r="O192" i="62"/>
  <c r="N192" i="62"/>
  <c r="I192" i="62" s="1"/>
  <c r="P191" i="62"/>
  <c r="O191" i="62"/>
  <c r="N191" i="62"/>
  <c r="I191" i="62" s="1"/>
  <c r="P188" i="62"/>
  <c r="O188" i="62"/>
  <c r="N188" i="62"/>
  <c r="I188" i="62" s="1"/>
  <c r="P187" i="62"/>
  <c r="O187" i="62"/>
  <c r="N187" i="62"/>
  <c r="I187" i="62" s="1"/>
  <c r="P186" i="62"/>
  <c r="O186" i="62"/>
  <c r="N186" i="62"/>
  <c r="I186" i="62" s="1"/>
  <c r="P185" i="62"/>
  <c r="O185" i="62"/>
  <c r="N185" i="62"/>
  <c r="I185" i="62" s="1"/>
  <c r="P184" i="62"/>
  <c r="O184" i="62"/>
  <c r="N184" i="62"/>
  <c r="I184" i="62" s="1"/>
  <c r="P183" i="62"/>
  <c r="O183" i="62"/>
  <c r="N183" i="62"/>
  <c r="I183" i="62" s="1"/>
  <c r="N182" i="62"/>
  <c r="I182" i="62" s="1"/>
  <c r="P181" i="62"/>
  <c r="O181" i="62"/>
  <c r="N181" i="62"/>
  <c r="I181" i="62" s="1"/>
  <c r="P180" i="62"/>
  <c r="O180" i="62"/>
  <c r="N180" i="62"/>
  <c r="I180" i="62" s="1"/>
  <c r="Q76" i="11" s="1"/>
  <c r="I76" i="11" s="1"/>
  <c r="P179" i="62"/>
  <c r="O179" i="62"/>
  <c r="N179" i="62"/>
  <c r="I179" i="62" s="1"/>
  <c r="P178" i="62"/>
  <c r="O178" i="62"/>
  <c r="N178" i="62"/>
  <c r="I178" i="62" s="1"/>
  <c r="P177" i="62"/>
  <c r="O177" i="62"/>
  <c r="N177" i="62"/>
  <c r="I177" i="62" s="1"/>
  <c r="P176" i="62"/>
  <c r="O176" i="62"/>
  <c r="N176" i="62"/>
  <c r="I176" i="62" s="1"/>
  <c r="P175" i="62"/>
  <c r="O175" i="62"/>
  <c r="N175" i="62"/>
  <c r="I175" i="62" s="1"/>
  <c r="P174" i="62"/>
  <c r="O174" i="62"/>
  <c r="N174" i="62"/>
  <c r="I174" i="62" s="1"/>
  <c r="P173" i="62"/>
  <c r="O173" i="62"/>
  <c r="N173" i="62"/>
  <c r="I173" i="62" s="1"/>
  <c r="P172" i="62"/>
  <c r="O172" i="62"/>
  <c r="N172" i="62"/>
  <c r="I172" i="62" s="1"/>
  <c r="P171" i="62"/>
  <c r="O171" i="62"/>
  <c r="N171" i="62"/>
  <c r="I171" i="62" s="1"/>
  <c r="N170" i="62"/>
  <c r="I170" i="62" s="1"/>
  <c r="N169" i="62"/>
  <c r="I169" i="62" s="1"/>
  <c r="P168" i="62"/>
  <c r="O168" i="62"/>
  <c r="N168" i="62"/>
  <c r="I168" i="62" s="1"/>
  <c r="P167" i="62"/>
  <c r="O167" i="62"/>
  <c r="N167" i="62"/>
  <c r="I167" i="62" s="1"/>
  <c r="N166" i="62"/>
  <c r="I166" i="62" s="1"/>
  <c r="N165" i="62"/>
  <c r="I165" i="62" s="1"/>
  <c r="P164" i="62"/>
  <c r="O164" i="62"/>
  <c r="N164" i="62"/>
  <c r="I164" i="62" s="1"/>
  <c r="P163" i="62"/>
  <c r="O163" i="62"/>
  <c r="N163" i="62"/>
  <c r="I163" i="62" s="1"/>
  <c r="P162" i="62"/>
  <c r="O162" i="62"/>
  <c r="N162" i="62"/>
  <c r="I162" i="62" s="1"/>
  <c r="Q73" i="11" s="1"/>
  <c r="P161" i="62"/>
  <c r="O161" i="62"/>
  <c r="N161" i="62"/>
  <c r="I161" i="62" s="1"/>
  <c r="P160" i="62"/>
  <c r="O160" i="62"/>
  <c r="N160" i="62"/>
  <c r="I160" i="62" s="1"/>
  <c r="P159" i="62"/>
  <c r="O159" i="62"/>
  <c r="N159" i="62"/>
  <c r="I159" i="62" s="1"/>
  <c r="P158" i="62"/>
  <c r="O158" i="62"/>
  <c r="N158" i="62"/>
  <c r="I158" i="62" s="1"/>
  <c r="P157" i="62"/>
  <c r="O157" i="62"/>
  <c r="N157" i="62"/>
  <c r="I157" i="62" s="1"/>
  <c r="Q71" i="11" s="1"/>
  <c r="P156" i="62"/>
  <c r="O156" i="62"/>
  <c r="N156" i="62"/>
  <c r="I156" i="62" s="1"/>
  <c r="P155" i="62"/>
  <c r="O155" i="62"/>
  <c r="N155" i="62"/>
  <c r="I155" i="62" s="1"/>
  <c r="P154" i="62"/>
  <c r="O154" i="62"/>
  <c r="N154" i="62"/>
  <c r="I154" i="62" s="1"/>
  <c r="P153" i="62"/>
  <c r="O153" i="62"/>
  <c r="N153" i="62"/>
  <c r="I153" i="62" s="1"/>
  <c r="P152" i="62"/>
  <c r="O152" i="62"/>
  <c r="N152" i="62"/>
  <c r="I152" i="62" s="1"/>
  <c r="N151" i="62"/>
  <c r="I151" i="62" s="1"/>
  <c r="N150" i="62"/>
  <c r="I150" i="62" s="1"/>
  <c r="P149" i="62"/>
  <c r="O149" i="62"/>
  <c r="N149" i="62"/>
  <c r="I149" i="62" s="1"/>
  <c r="P148" i="62"/>
  <c r="O148" i="62"/>
  <c r="N148" i="62"/>
  <c r="I148" i="62" s="1"/>
  <c r="P147" i="62"/>
  <c r="O147" i="62"/>
  <c r="N147" i="62"/>
  <c r="I147" i="62" s="1"/>
  <c r="P146" i="62"/>
  <c r="O146" i="62"/>
  <c r="N146" i="62"/>
  <c r="I146" i="62" s="1"/>
  <c r="P145" i="62"/>
  <c r="O145" i="62"/>
  <c r="N145" i="62"/>
  <c r="I145" i="62" s="1"/>
  <c r="P144" i="62"/>
  <c r="O144" i="62"/>
  <c r="N144" i="62"/>
  <c r="I144" i="62" s="1"/>
  <c r="P143" i="62"/>
  <c r="O143" i="62"/>
  <c r="N143" i="62"/>
  <c r="I143" i="62" s="1"/>
  <c r="P142" i="62"/>
  <c r="O142" i="62"/>
  <c r="N142" i="62"/>
  <c r="I142" i="62" s="1"/>
  <c r="P141" i="62"/>
  <c r="O141" i="62"/>
  <c r="N141" i="62"/>
  <c r="I141" i="62" s="1"/>
  <c r="P140" i="62"/>
  <c r="O140" i="62"/>
  <c r="N140" i="62"/>
  <c r="S140" i="62" s="1"/>
  <c r="P139" i="62"/>
  <c r="O139" i="62"/>
  <c r="N139" i="62"/>
  <c r="S139" i="62" s="1"/>
  <c r="T138" i="62"/>
  <c r="P138" i="62"/>
  <c r="O138" i="62"/>
  <c r="N138" i="62"/>
  <c r="S138" i="62" s="1"/>
  <c r="P137" i="62"/>
  <c r="O137" i="62"/>
  <c r="N137" i="62"/>
  <c r="I137" i="62" s="1"/>
  <c r="P136" i="62"/>
  <c r="O136" i="62"/>
  <c r="N136" i="62"/>
  <c r="I136" i="62" s="1"/>
  <c r="P135" i="62"/>
  <c r="O135" i="62"/>
  <c r="N135" i="62"/>
  <c r="I135" i="62" s="1"/>
  <c r="P134" i="62"/>
  <c r="O134" i="62"/>
  <c r="N134" i="62"/>
  <c r="S134" i="62" s="1"/>
  <c r="P133" i="62"/>
  <c r="O133" i="62"/>
  <c r="N133" i="62"/>
  <c r="I133" i="62" s="1"/>
  <c r="P132" i="62"/>
  <c r="O132" i="62"/>
  <c r="N132" i="62"/>
  <c r="I132" i="62" s="1"/>
  <c r="P131" i="62"/>
  <c r="O131" i="62"/>
  <c r="N131" i="62"/>
  <c r="S131" i="62" s="1"/>
  <c r="P130" i="62"/>
  <c r="O130" i="62"/>
  <c r="N130" i="62"/>
  <c r="I130" i="62" s="1"/>
  <c r="P129" i="62"/>
  <c r="O129" i="62"/>
  <c r="N129" i="62"/>
  <c r="I129" i="62" s="1"/>
  <c r="P128" i="62"/>
  <c r="O128" i="62"/>
  <c r="N128" i="62"/>
  <c r="I128" i="62" s="1"/>
  <c r="P127" i="62"/>
  <c r="O127" i="62"/>
  <c r="N127" i="62"/>
  <c r="I127" i="62" s="1"/>
  <c r="P126" i="62"/>
  <c r="O126" i="62"/>
  <c r="N126" i="62"/>
  <c r="I126" i="62" s="1"/>
  <c r="N1011" i="62" s="1"/>
  <c r="P125" i="62"/>
  <c r="O125" i="62"/>
  <c r="N125" i="62"/>
  <c r="I125" i="62" s="1"/>
  <c r="P124" i="62"/>
  <c r="O124" i="62"/>
  <c r="N124" i="62"/>
  <c r="I124" i="62" s="1"/>
  <c r="N123" i="62"/>
  <c r="I123" i="62" s="1"/>
  <c r="N122" i="62"/>
  <c r="I122" i="62" s="1"/>
  <c r="N121" i="62"/>
  <c r="I121" i="62" s="1"/>
  <c r="P120" i="62"/>
  <c r="O120" i="62"/>
  <c r="N120" i="62"/>
  <c r="I120" i="62" s="1"/>
  <c r="P119" i="62"/>
  <c r="O119" i="62"/>
  <c r="N119" i="62"/>
  <c r="I119" i="62" s="1"/>
  <c r="Q67" i="11" s="1"/>
  <c r="P118" i="62"/>
  <c r="O118" i="62"/>
  <c r="N118" i="62"/>
  <c r="I118" i="62" s="1"/>
  <c r="Q66" i="11" s="1"/>
  <c r="P117" i="62"/>
  <c r="O117" i="62"/>
  <c r="N117" i="62"/>
  <c r="I117" i="62" s="1"/>
  <c r="Q65" i="11" s="1"/>
  <c r="P116" i="62"/>
  <c r="O116" i="62"/>
  <c r="N116" i="62"/>
  <c r="I116" i="62" s="1"/>
  <c r="Q64" i="11" s="1"/>
  <c r="P115" i="62"/>
  <c r="O115" i="62"/>
  <c r="N115" i="62"/>
  <c r="I115" i="62" s="1"/>
  <c r="Q62" i="11" s="1"/>
  <c r="P114" i="62"/>
  <c r="O114" i="62"/>
  <c r="N114" i="62"/>
  <c r="I114" i="62" s="1"/>
  <c r="Q63" i="11" s="1"/>
  <c r="P113" i="62"/>
  <c r="O113" i="62"/>
  <c r="N113" i="62"/>
  <c r="I113" i="62" s="1"/>
  <c r="Q61" i="11" s="1"/>
  <c r="P112" i="62"/>
  <c r="O112" i="62"/>
  <c r="N112" i="62"/>
  <c r="I112" i="62" s="1"/>
  <c r="Q60" i="11" s="1"/>
  <c r="P111" i="62"/>
  <c r="O111" i="62"/>
  <c r="N111" i="62"/>
  <c r="I111" i="62" s="1"/>
  <c r="Q59" i="11" s="1"/>
  <c r="P110" i="62"/>
  <c r="O110" i="62"/>
  <c r="N110" i="62"/>
  <c r="I110" i="62" s="1"/>
  <c r="P109" i="62"/>
  <c r="O109" i="62"/>
  <c r="N109" i="62"/>
  <c r="I109" i="62" s="1"/>
  <c r="P107" i="62"/>
  <c r="O107" i="62"/>
  <c r="N107" i="62"/>
  <c r="I107" i="62" s="1"/>
  <c r="P106" i="62"/>
  <c r="O106" i="62"/>
  <c r="N106" i="62"/>
  <c r="I106" i="62" s="1"/>
  <c r="I58" i="11" s="1"/>
  <c r="P105" i="62"/>
  <c r="O105" i="62"/>
  <c r="N105" i="62"/>
  <c r="I105" i="62" s="1"/>
  <c r="P104" i="62"/>
  <c r="O104" i="62"/>
  <c r="N104" i="62"/>
  <c r="I104" i="62" s="1"/>
  <c r="I103" i="62"/>
  <c r="P102" i="62"/>
  <c r="O102" i="62"/>
  <c r="N102" i="62"/>
  <c r="I102" i="62" s="1"/>
  <c r="P101" i="62"/>
  <c r="O101" i="62"/>
  <c r="N101" i="62"/>
  <c r="I101" i="62" s="1"/>
  <c r="P100" i="62"/>
  <c r="O100" i="62"/>
  <c r="N100" i="62"/>
  <c r="I100" i="62" s="1"/>
  <c r="Q56" i="11" s="1"/>
  <c r="P99" i="62"/>
  <c r="O99" i="62"/>
  <c r="N99" i="62"/>
  <c r="I99" i="62" s="1"/>
  <c r="P98" i="62"/>
  <c r="O98" i="62"/>
  <c r="N98" i="62"/>
  <c r="I98" i="62" s="1"/>
  <c r="N97" i="62"/>
  <c r="I97" i="62" s="1"/>
  <c r="P96" i="62"/>
  <c r="O96" i="62"/>
  <c r="N96" i="62"/>
  <c r="I96" i="62" s="1"/>
  <c r="Q55" i="11" s="1"/>
  <c r="I55" i="11" s="1"/>
  <c r="P95" i="62"/>
  <c r="O95" i="62"/>
  <c r="N95" i="62"/>
  <c r="I95" i="62" s="1"/>
  <c r="Q54" i="11" s="1"/>
  <c r="P94" i="62"/>
  <c r="O94" i="62"/>
  <c r="N94" i="62"/>
  <c r="I94" i="62" s="1"/>
  <c r="P93" i="62"/>
  <c r="O93" i="62"/>
  <c r="N93" i="62"/>
  <c r="I93" i="62" s="1"/>
  <c r="P92" i="62"/>
  <c r="O92" i="62"/>
  <c r="N92" i="62"/>
  <c r="I92" i="62" s="1"/>
  <c r="P91" i="62"/>
  <c r="O91" i="62"/>
  <c r="N91" i="62"/>
  <c r="I91" i="62" s="1"/>
  <c r="P90" i="62"/>
  <c r="O90" i="62"/>
  <c r="N90" i="62"/>
  <c r="I90" i="62" s="1"/>
  <c r="P89" i="62"/>
  <c r="O89" i="62"/>
  <c r="N89" i="62"/>
  <c r="I89" i="62" s="1"/>
  <c r="P88" i="62"/>
  <c r="O88" i="62"/>
  <c r="N88" i="62"/>
  <c r="I88" i="62" s="1"/>
  <c r="P87" i="62"/>
  <c r="O87" i="62"/>
  <c r="N87" i="62"/>
  <c r="I87" i="62" s="1"/>
  <c r="P86" i="62"/>
  <c r="O86" i="62"/>
  <c r="N86" i="62"/>
  <c r="I86" i="62" s="1"/>
  <c r="P85" i="62"/>
  <c r="O85" i="62"/>
  <c r="N85" i="62"/>
  <c r="I85" i="62" s="1"/>
  <c r="N84" i="62"/>
  <c r="I84" i="62" s="1"/>
  <c r="G84" i="62"/>
  <c r="N83" i="62"/>
  <c r="I83" i="62" s="1"/>
  <c r="G83" i="62"/>
  <c r="N82" i="62"/>
  <c r="I82" i="62" s="1"/>
  <c r="P81" i="62"/>
  <c r="O81" i="62"/>
  <c r="N81" i="62"/>
  <c r="I81" i="62" s="1"/>
  <c r="P80" i="62"/>
  <c r="O80" i="62"/>
  <c r="N80" i="62"/>
  <c r="I80" i="62" s="1"/>
  <c r="P79" i="62"/>
  <c r="O79" i="62"/>
  <c r="N79" i="62"/>
  <c r="I79" i="62" s="1"/>
  <c r="P77" i="62"/>
  <c r="O77" i="62"/>
  <c r="N77" i="62"/>
  <c r="I77" i="62" s="1"/>
  <c r="P76" i="62"/>
  <c r="O76" i="62"/>
  <c r="N76" i="62"/>
  <c r="I76" i="62" s="1"/>
  <c r="P75" i="62"/>
  <c r="O75" i="62"/>
  <c r="N75" i="62"/>
  <c r="I75" i="62" s="1"/>
  <c r="P74" i="62"/>
  <c r="O74" i="62"/>
  <c r="N74" i="62"/>
  <c r="I74" i="62" s="1"/>
  <c r="P73" i="62"/>
  <c r="O73" i="62"/>
  <c r="N73" i="62"/>
  <c r="I73" i="62" s="1"/>
  <c r="P72" i="62"/>
  <c r="O72" i="62"/>
  <c r="N72" i="62"/>
  <c r="I72" i="62" s="1"/>
  <c r="P71" i="62"/>
  <c r="O71" i="62"/>
  <c r="N71" i="62"/>
  <c r="I71" i="62" s="1"/>
  <c r="P69" i="62"/>
  <c r="O69" i="62"/>
  <c r="N69" i="62"/>
  <c r="I69" i="62" s="1"/>
  <c r="P68" i="62"/>
  <c r="O68" i="62"/>
  <c r="N68" i="62"/>
  <c r="I68" i="62" s="1"/>
  <c r="I50" i="11" s="1"/>
  <c r="P67" i="62"/>
  <c r="O67" i="62"/>
  <c r="N67" i="62"/>
  <c r="I67" i="62" s="1"/>
  <c r="I49" i="11" s="1"/>
  <c r="P66" i="62"/>
  <c r="O66" i="62"/>
  <c r="N66" i="62"/>
  <c r="I66" i="62" s="1"/>
  <c r="Q48" i="11" s="1"/>
  <c r="I48" i="11" s="1"/>
  <c r="B66" i="62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B128" i="62" s="1"/>
  <c r="B129" i="62" s="1"/>
  <c r="B130" i="62" s="1"/>
  <c r="B131" i="62" s="1"/>
  <c r="B132" i="62" s="1"/>
  <c r="B133" i="62" s="1"/>
  <c r="B134" i="62" s="1"/>
  <c r="B135" i="62" s="1"/>
  <c r="B136" i="62" s="1"/>
  <c r="B137" i="62" s="1"/>
  <c r="B138" i="62" s="1"/>
  <c r="B139" i="62" s="1"/>
  <c r="B140" i="62" s="1"/>
  <c r="B141" i="62" s="1"/>
  <c r="B142" i="62" s="1"/>
  <c r="B143" i="62" s="1"/>
  <c r="B144" i="62" s="1"/>
  <c r="B145" i="62" s="1"/>
  <c r="B146" i="62" s="1"/>
  <c r="B147" i="62" s="1"/>
  <c r="B148" i="62" s="1"/>
  <c r="B149" i="62" s="1"/>
  <c r="B150" i="62" s="1"/>
  <c r="B151" i="62" s="1"/>
  <c r="B152" i="62" s="1"/>
  <c r="B153" i="62" s="1"/>
  <c r="B154" i="62" s="1"/>
  <c r="B155" i="62" s="1"/>
  <c r="B156" i="62" s="1"/>
  <c r="P65" i="62"/>
  <c r="O65" i="62"/>
  <c r="N65" i="62"/>
  <c r="I65" i="62" s="1"/>
  <c r="I47" i="11" s="1"/>
  <c r="P64" i="62"/>
  <c r="O64" i="62"/>
  <c r="N64" i="62"/>
  <c r="P56" i="62"/>
  <c r="O56" i="62"/>
  <c r="N56" i="62"/>
  <c r="I56" i="62" s="1"/>
  <c r="P55" i="62"/>
  <c r="O55" i="62"/>
  <c r="N55" i="62"/>
  <c r="I55" i="62" s="1"/>
  <c r="P54" i="62"/>
  <c r="O54" i="62"/>
  <c r="N54" i="62"/>
  <c r="I54" i="62" s="1"/>
  <c r="I1673" i="58" s="1"/>
  <c r="P53" i="62"/>
  <c r="O53" i="62"/>
  <c r="N53" i="62"/>
  <c r="I53" i="62" s="1"/>
  <c r="P52" i="62"/>
  <c r="O52" i="62"/>
  <c r="N52" i="62"/>
  <c r="I52" i="62" s="1"/>
  <c r="I36" i="11" s="1"/>
  <c r="P51" i="62"/>
  <c r="O51" i="62"/>
  <c r="N51" i="62"/>
  <c r="I51" i="62" s="1"/>
  <c r="N50" i="62"/>
  <c r="I50" i="62" s="1"/>
  <c r="P49" i="62"/>
  <c r="O49" i="62"/>
  <c r="N49" i="62"/>
  <c r="I49" i="62" s="1"/>
  <c r="P48" i="62"/>
  <c r="O48" i="62"/>
  <c r="N48" i="62"/>
  <c r="I48" i="62" s="1"/>
  <c r="P47" i="62"/>
  <c r="O47" i="62"/>
  <c r="N47" i="62"/>
  <c r="I47" i="62" s="1"/>
  <c r="P46" i="62"/>
  <c r="O46" i="62"/>
  <c r="I46" i="62"/>
  <c r="P45" i="62"/>
  <c r="O45" i="62"/>
  <c r="I45" i="62"/>
  <c r="P44" i="62"/>
  <c r="O44" i="62"/>
  <c r="I44" i="62"/>
  <c r="P43" i="62"/>
  <c r="O43" i="62"/>
  <c r="I43" i="62"/>
  <c r="P42" i="62"/>
  <c r="O42" i="62"/>
  <c r="I42" i="62"/>
  <c r="P41" i="62"/>
  <c r="O41" i="62"/>
  <c r="N41" i="62"/>
  <c r="I41" i="62" s="1"/>
  <c r="P40" i="62"/>
  <c r="O40" i="62"/>
  <c r="N40" i="62"/>
  <c r="I40" i="62" s="1"/>
  <c r="P39" i="62"/>
  <c r="O39" i="62"/>
  <c r="I39" i="62"/>
  <c r="P38" i="62"/>
  <c r="O38" i="62"/>
  <c r="N38" i="62"/>
  <c r="I38" i="62" s="1"/>
  <c r="P37" i="62"/>
  <c r="O37" i="62"/>
  <c r="N37" i="62"/>
  <c r="I37" i="62" s="1"/>
  <c r="P36" i="62"/>
  <c r="O36" i="62"/>
  <c r="N36" i="62"/>
  <c r="I36" i="62" s="1"/>
  <c r="P35" i="62"/>
  <c r="O35" i="62"/>
  <c r="N35" i="62"/>
  <c r="I35" i="62" s="1"/>
  <c r="P34" i="62"/>
  <c r="O34" i="62"/>
  <c r="N34" i="62"/>
  <c r="I34" i="62" s="1"/>
  <c r="I1674" i="58" s="1"/>
  <c r="P33" i="62"/>
  <c r="O33" i="62"/>
  <c r="N33" i="62"/>
  <c r="I33" i="62" s="1"/>
  <c r="P32" i="62"/>
  <c r="O32" i="62"/>
  <c r="N32" i="62"/>
  <c r="I32" i="62" s="1"/>
  <c r="I30" i="11" s="1"/>
  <c r="I354" i="58" s="1"/>
  <c r="P31" i="62"/>
  <c r="O31" i="62"/>
  <c r="N31" i="62"/>
  <c r="I31" i="62" s="1"/>
  <c r="I29" i="11" s="1"/>
  <c r="P30" i="62"/>
  <c r="O30" i="62"/>
  <c r="N30" i="62"/>
  <c r="I30" i="62" s="1"/>
  <c r="I28" i="11" s="1"/>
  <c r="P29" i="62"/>
  <c r="O29" i="62"/>
  <c r="N29" i="62"/>
  <c r="I29" i="62" s="1"/>
  <c r="I27" i="11" s="1"/>
  <c r="P28" i="62"/>
  <c r="O28" i="62"/>
  <c r="N28" i="62"/>
  <c r="I28" i="62" s="1"/>
  <c r="I26" i="11" s="1"/>
  <c r="P27" i="62"/>
  <c r="O27" i="62"/>
  <c r="N27" i="62"/>
  <c r="I27" i="62" s="1"/>
  <c r="P26" i="62"/>
  <c r="O26" i="62"/>
  <c r="N26" i="62"/>
  <c r="I26" i="62" s="1"/>
  <c r="P25" i="62"/>
  <c r="O25" i="62"/>
  <c r="I25" i="62"/>
  <c r="P24" i="62"/>
  <c r="O24" i="62"/>
  <c r="I24" i="62"/>
  <c r="P23" i="62"/>
  <c r="O23" i="62"/>
  <c r="I23" i="62"/>
  <c r="I1672" i="58" s="1"/>
  <c r="P22" i="62"/>
  <c r="O22" i="62"/>
  <c r="I22" i="62"/>
  <c r="B22" i="62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6" i="62" s="1"/>
  <c r="P21" i="62"/>
  <c r="O21" i="62"/>
  <c r="N21" i="62"/>
  <c r="I21" i="62" s="1"/>
  <c r="F11" i="62"/>
  <c r="E11" i="62"/>
  <c r="B11" i="62"/>
  <c r="F10" i="62"/>
  <c r="E10" i="62"/>
  <c r="B10" i="62"/>
  <c r="F9" i="62"/>
  <c r="E9" i="62"/>
  <c r="B9" i="62"/>
  <c r="F8" i="62"/>
  <c r="E8" i="62"/>
  <c r="B8" i="62"/>
  <c r="F7" i="62"/>
  <c r="E7" i="62"/>
  <c r="F6" i="62"/>
  <c r="F5" i="62"/>
  <c r="E5" i="62"/>
  <c r="B5" i="62"/>
  <c r="F4" i="62"/>
  <c r="E4" i="62"/>
  <c r="B4" i="62"/>
  <c r="P347" i="76" l="1"/>
  <c r="P18" i="76"/>
  <c r="Q80" i="11"/>
  <c r="I80" i="11" s="1"/>
  <c r="I780" i="58" s="1"/>
  <c r="Q98" i="11"/>
  <c r="I98" i="11" s="1"/>
  <c r="I908" i="58" s="1"/>
  <c r="I454" i="58"/>
  <c r="N246" i="72" s="1"/>
  <c r="P246" i="72" s="1"/>
  <c r="S246" i="72" s="1"/>
  <c r="T246" i="72" s="1"/>
  <c r="Q110" i="11"/>
  <c r="I574" i="58"/>
  <c r="I547" i="58"/>
  <c r="I888" i="58"/>
  <c r="I551" i="58"/>
  <c r="I578" i="58"/>
  <c r="I930" i="58"/>
  <c r="I909" i="58"/>
  <c r="I867" i="58"/>
  <c r="J349" i="58"/>
  <c r="N1325" i="72"/>
  <c r="P1325" i="72" s="1"/>
  <c r="I936" i="58"/>
  <c r="I915" i="58"/>
  <c r="I586" i="58"/>
  <c r="I1245" i="58"/>
  <c r="I894" i="58"/>
  <c r="I873" i="58"/>
  <c r="I559" i="58"/>
  <c r="I584" i="58"/>
  <c r="I557" i="58"/>
  <c r="I353" i="58"/>
  <c r="I577" i="58"/>
  <c r="I550" i="58"/>
  <c r="I869" i="58"/>
  <c r="I932" i="58"/>
  <c r="I911" i="58"/>
  <c r="I890" i="58"/>
  <c r="J1260" i="58"/>
  <c r="N1260" i="58" s="1"/>
  <c r="N1658" i="72"/>
  <c r="P1658" i="72" s="1"/>
  <c r="S1658" i="72" s="1"/>
  <c r="T1658" i="72" s="1"/>
  <c r="N1795" i="72"/>
  <c r="P1795" i="72" s="1"/>
  <c r="J354" i="58"/>
  <c r="N354" i="58" s="1"/>
  <c r="N1330" i="72"/>
  <c r="P1330" i="72" s="1"/>
  <c r="S1330" i="72" s="1"/>
  <c r="T1330" i="72" s="1"/>
  <c r="I453" i="58"/>
  <c r="N245" i="72" s="1"/>
  <c r="P245" i="72" s="1"/>
  <c r="S245" i="72" s="1"/>
  <c r="T245" i="72" s="1"/>
  <c r="I350" i="58"/>
  <c r="I575" i="58"/>
  <c r="I548" i="58"/>
  <c r="J1673" i="58"/>
  <c r="N1673" i="58" s="1"/>
  <c r="N1975" i="72"/>
  <c r="P1975" i="72" s="1"/>
  <c r="N2125" i="72"/>
  <c r="P2125" i="72" s="1"/>
  <c r="S2125" i="72" s="1"/>
  <c r="T2125" i="72" s="1"/>
  <c r="J1674" i="58"/>
  <c r="N1674" i="58" s="1"/>
  <c r="N1976" i="72"/>
  <c r="P1976" i="72" s="1"/>
  <c r="N2126" i="72"/>
  <c r="P2126" i="72" s="1"/>
  <c r="S2126" i="72" s="1"/>
  <c r="T2126" i="72" s="1"/>
  <c r="J1672" i="58"/>
  <c r="N1672" i="58" s="1"/>
  <c r="N2124" i="72"/>
  <c r="P2124" i="72" s="1"/>
  <c r="N1974" i="72"/>
  <c r="P1974" i="72" s="1"/>
  <c r="I1381" i="58"/>
  <c r="J1381" i="58" s="1"/>
  <c r="N1381" i="58" s="1"/>
  <c r="I1646" i="58"/>
  <c r="I1609" i="58"/>
  <c r="I1629" i="58"/>
  <c r="I1650" i="58"/>
  <c r="I1652" i="58"/>
  <c r="I1631" i="58"/>
  <c r="I1651" i="58"/>
  <c r="I1630" i="58"/>
  <c r="I1589" i="58"/>
  <c r="I1610" i="58"/>
  <c r="I1590" i="58"/>
  <c r="I1611" i="58"/>
  <c r="I1553" i="58"/>
  <c r="I1570" i="58"/>
  <c r="I1552" i="58"/>
  <c r="I1569" i="58"/>
  <c r="I1481" i="58"/>
  <c r="I1461" i="58"/>
  <c r="I1463" i="58"/>
  <c r="I1483" i="58"/>
  <c r="I1341" i="58"/>
  <c r="I1482" i="58"/>
  <c r="I1462" i="58"/>
  <c r="I1360" i="58"/>
  <c r="I1340" i="58"/>
  <c r="I1362" i="58"/>
  <c r="I1342" i="58"/>
  <c r="I1404" i="58"/>
  <c r="I1361" i="58"/>
  <c r="K58" i="58"/>
  <c r="K59" i="58" s="1"/>
  <c r="K60" i="58" s="1"/>
  <c r="P45" i="58" s="1"/>
  <c r="G21" i="59" s="1"/>
  <c r="I784" i="58"/>
  <c r="I785" i="58"/>
  <c r="I787" i="58"/>
  <c r="I786" i="58"/>
  <c r="I452" i="58"/>
  <c r="N244" i="72" s="1"/>
  <c r="P244" i="72" s="1"/>
  <c r="I81" i="58"/>
  <c r="N35" i="72" s="1"/>
  <c r="P35" i="72" s="1"/>
  <c r="I51" i="11"/>
  <c r="Q52" i="11"/>
  <c r="N138" i="11"/>
  <c r="I91" i="11"/>
  <c r="I759" i="58" s="1"/>
  <c r="N91" i="11"/>
  <c r="B76" i="63"/>
  <c r="B215" i="65" s="1"/>
  <c r="I502" i="58"/>
  <c r="N111" i="11"/>
  <c r="I68" i="11"/>
  <c r="N68" i="11"/>
  <c r="N72" i="11"/>
  <c r="I1264" i="58"/>
  <c r="I77" i="11"/>
  <c r="I1068" i="58" s="1"/>
  <c r="N77" i="11"/>
  <c r="I1265" i="58"/>
  <c r="I1227" i="58"/>
  <c r="J1227" i="58" s="1"/>
  <c r="N1227" i="58" s="1"/>
  <c r="I1222" i="58"/>
  <c r="J1222" i="58" s="1"/>
  <c r="N1222" i="58" s="1"/>
  <c r="J1221" i="58"/>
  <c r="N1221" i="58" s="1"/>
  <c r="I1262" i="58"/>
  <c r="I1224" i="58"/>
  <c r="J1224" i="58" s="1"/>
  <c r="N1224" i="58" s="1"/>
  <c r="I1263" i="58"/>
  <c r="I1226" i="58"/>
  <c r="J1226" i="58" s="1"/>
  <c r="N1226" i="58" s="1"/>
  <c r="I1225" i="58"/>
  <c r="J1225" i="58" s="1"/>
  <c r="N1225" i="58" s="1"/>
  <c r="I660" i="58"/>
  <c r="I663" i="58"/>
  <c r="I623" i="58"/>
  <c r="I661" i="58"/>
  <c r="I624" i="58"/>
  <c r="I662" i="58"/>
  <c r="I1405" i="58"/>
  <c r="I625" i="58"/>
  <c r="I1403" i="58"/>
  <c r="I622" i="58"/>
  <c r="I1423" i="58"/>
  <c r="J1423" i="58" s="1"/>
  <c r="N1423" i="58" s="1"/>
  <c r="I1383" i="58"/>
  <c r="J1383" i="58" s="1"/>
  <c r="N1383" i="58" s="1"/>
  <c r="I1443" i="58"/>
  <c r="I1385" i="58"/>
  <c r="J1385" i="58" s="1"/>
  <c r="N1385" i="58" s="1"/>
  <c r="I1425" i="58"/>
  <c r="J1425" i="58" s="1"/>
  <c r="N1425" i="58" s="1"/>
  <c r="I1445" i="58"/>
  <c r="I1444" i="58"/>
  <c r="I1384" i="58"/>
  <c r="J1384" i="58" s="1"/>
  <c r="N1384" i="58" s="1"/>
  <c r="I1424" i="58"/>
  <c r="J1424" i="58" s="1"/>
  <c r="N1424" i="58" s="1"/>
  <c r="I140" i="62"/>
  <c r="Q86" i="11"/>
  <c r="J1399" i="58" s="1"/>
  <c r="Q85" i="11"/>
  <c r="I782" i="58"/>
  <c r="Q139" i="11"/>
  <c r="I139" i="11" s="1"/>
  <c r="B549" i="62"/>
  <c r="B550" i="62" s="1"/>
  <c r="B551" i="62" s="1"/>
  <c r="B552" i="62" s="1"/>
  <c r="B553" i="62" s="1"/>
  <c r="B554" i="62" s="1"/>
  <c r="B555" i="62" s="1"/>
  <c r="B556" i="62" s="1"/>
  <c r="B557" i="62" s="1"/>
  <c r="B558" i="62" s="1"/>
  <c r="B559" i="62" s="1"/>
  <c r="B560" i="62" s="1"/>
  <c r="B561" i="62" s="1"/>
  <c r="B562" i="62" s="1"/>
  <c r="B563" i="62" s="1"/>
  <c r="B564" i="62" s="1"/>
  <c r="B565" i="62" s="1"/>
  <c r="B566" i="62" s="1"/>
  <c r="B567" i="62" s="1"/>
  <c r="B568" i="62" s="1"/>
  <c r="B569" i="62" s="1"/>
  <c r="B570" i="62" s="1"/>
  <c r="B571" i="62" s="1"/>
  <c r="B572" i="62" s="1"/>
  <c r="B573" i="62" s="1"/>
  <c r="B574" i="62" s="1"/>
  <c r="B575" i="62" s="1"/>
  <c r="B576" i="62" s="1"/>
  <c r="B577" i="62" s="1"/>
  <c r="B578" i="62" s="1"/>
  <c r="B579" i="62" s="1"/>
  <c r="B580" i="62" s="1"/>
  <c r="B581" i="62" s="1"/>
  <c r="B582" i="62" s="1"/>
  <c r="B583" i="62" s="1"/>
  <c r="B584" i="62" s="1"/>
  <c r="B585" i="62" s="1"/>
  <c r="B586" i="62" s="1"/>
  <c r="B587" i="62" s="1"/>
  <c r="B588" i="62" s="1"/>
  <c r="B589" i="62" s="1"/>
  <c r="B590" i="62" s="1"/>
  <c r="B591" i="62" s="1"/>
  <c r="B592" i="62" s="1"/>
  <c r="B593" i="62" s="1"/>
  <c r="B594" i="62" s="1"/>
  <c r="B595" i="62" s="1"/>
  <c r="B596" i="62" s="1"/>
  <c r="B597" i="62" s="1"/>
  <c r="B598" i="62" s="1"/>
  <c r="B599" i="62" s="1"/>
  <c r="B600" i="62" s="1"/>
  <c r="B601" i="62" s="1"/>
  <c r="B602" i="62" s="1"/>
  <c r="B603" i="62" s="1"/>
  <c r="B604" i="62" s="1"/>
  <c r="B605" i="62" s="1"/>
  <c r="B606" i="62" s="1"/>
  <c r="B607" i="62" s="1"/>
  <c r="B608" i="62" s="1"/>
  <c r="B609" i="62" s="1"/>
  <c r="B610" i="62" s="1"/>
  <c r="B157" i="62"/>
  <c r="B158" i="62" s="1"/>
  <c r="B159" i="62" s="1"/>
  <c r="B160" i="62" s="1"/>
  <c r="B161" i="62" s="1"/>
  <c r="B162" i="62" s="1"/>
  <c r="B163" i="62" s="1"/>
  <c r="B164" i="62" s="1"/>
  <c r="B165" i="62" s="1"/>
  <c r="B166" i="62" s="1"/>
  <c r="B167" i="62" s="1"/>
  <c r="B168" i="62" s="1"/>
  <c r="B169" i="62" s="1"/>
  <c r="B170" i="62" s="1"/>
  <c r="B171" i="62" s="1"/>
  <c r="B172" i="62" s="1"/>
  <c r="B173" i="62" s="1"/>
  <c r="B174" i="62" s="1"/>
  <c r="B175" i="62" s="1"/>
  <c r="B176" i="62" s="1"/>
  <c r="B177" i="62" s="1"/>
  <c r="B178" i="62" s="1"/>
  <c r="B179" i="62" s="1"/>
  <c r="B180" i="62" s="1"/>
  <c r="B181" i="62" s="1"/>
  <c r="B182" i="62" s="1"/>
  <c r="B183" i="62" s="1"/>
  <c r="B184" i="62" s="1"/>
  <c r="B185" i="62" s="1"/>
  <c r="B186" i="62" s="1"/>
  <c r="B187" i="62" s="1"/>
  <c r="B188" i="62" s="1"/>
  <c r="B189" i="62" s="1"/>
  <c r="B190" i="62" s="1"/>
  <c r="B191" i="62" s="1"/>
  <c r="B192" i="62" s="1"/>
  <c r="B193" i="62" s="1"/>
  <c r="B194" i="62" s="1"/>
  <c r="B195" i="62" s="1"/>
  <c r="B196" i="62" s="1"/>
  <c r="B197" i="62" s="1"/>
  <c r="B198" i="62" s="1"/>
  <c r="B199" i="62" s="1"/>
  <c r="B200" i="62" s="1"/>
  <c r="B201" i="62" s="1"/>
  <c r="B202" i="62" s="1"/>
  <c r="B203" i="62" s="1"/>
  <c r="B204" i="62" s="1"/>
  <c r="B205" i="62" s="1"/>
  <c r="B206" i="62" s="1"/>
  <c r="B207" i="62" s="1"/>
  <c r="B208" i="62" s="1"/>
  <c r="B209" i="62" s="1"/>
  <c r="B210" i="62" s="1"/>
  <c r="B211" i="62" s="1"/>
  <c r="B212" i="62" s="1"/>
  <c r="B213" i="62" s="1"/>
  <c r="B214" i="62" s="1"/>
  <c r="B215" i="62" s="1"/>
  <c r="B216" i="62" s="1"/>
  <c r="B217" i="62" s="1"/>
  <c r="B218" i="62" s="1"/>
  <c r="B219" i="62" s="1"/>
  <c r="B220" i="62" s="1"/>
  <c r="B221" i="62" s="1"/>
  <c r="B222" i="62" s="1"/>
  <c r="B223" i="62" s="1"/>
  <c r="B224" i="62" s="1"/>
  <c r="B225" i="62" s="1"/>
  <c r="B226" i="62" s="1"/>
  <c r="B227" i="62" s="1"/>
  <c r="B228" i="62" s="1"/>
  <c r="B229" i="62" s="1"/>
  <c r="B230" i="62" s="1"/>
  <c r="B231" i="62" s="1"/>
  <c r="B232" i="62" s="1"/>
  <c r="B233" i="62" s="1"/>
  <c r="B234" i="62" s="1"/>
  <c r="B235" i="62" s="1"/>
  <c r="B236" i="62" s="1"/>
  <c r="B237" i="62" s="1"/>
  <c r="B238" i="62" s="1"/>
  <c r="B239" i="62" s="1"/>
  <c r="B240" i="62" s="1"/>
  <c r="B241" i="62" s="1"/>
  <c r="B242" i="62" s="1"/>
  <c r="B243" i="62" s="1"/>
  <c r="B244" i="62" s="1"/>
  <c r="B245" i="62" s="1"/>
  <c r="B246" i="62" s="1"/>
  <c r="B247" i="62" s="1"/>
  <c r="B248" i="62" s="1"/>
  <c r="B249" i="62" s="1"/>
  <c r="B250" i="62" s="1"/>
  <c r="B251" i="62" s="1"/>
  <c r="B252" i="62" s="1"/>
  <c r="B253" i="62" s="1"/>
  <c r="B254" i="62" s="1"/>
  <c r="B255" i="62" s="1"/>
  <c r="B256" i="62" s="1"/>
  <c r="B257" i="62" s="1"/>
  <c r="B258" i="62" s="1"/>
  <c r="B259" i="62" s="1"/>
  <c r="B260" i="62" s="1"/>
  <c r="B261" i="62" s="1"/>
  <c r="B262" i="62" s="1"/>
  <c r="B263" i="62" s="1"/>
  <c r="B264" i="62" s="1"/>
  <c r="B265" i="62" s="1"/>
  <c r="B266" i="62" s="1"/>
  <c r="B267" i="62" s="1"/>
  <c r="B268" i="62" s="1"/>
  <c r="B269" i="62" s="1"/>
  <c r="B270" i="62" s="1"/>
  <c r="B271" i="62" s="1"/>
  <c r="B272" i="62" s="1"/>
  <c r="B273" i="62" s="1"/>
  <c r="B274" i="62" s="1"/>
  <c r="B275" i="62" s="1"/>
  <c r="B276" i="62" s="1"/>
  <c r="B277" i="62" s="1"/>
  <c r="B278" i="62" s="1"/>
  <c r="B279" i="62" s="1"/>
  <c r="B280" i="62" s="1"/>
  <c r="B281" i="62" s="1"/>
  <c r="B282" i="62" s="1"/>
  <c r="B283" i="62" s="1"/>
  <c r="B284" i="62" s="1"/>
  <c r="B285" i="62" s="1"/>
  <c r="B286" i="62" s="1"/>
  <c r="B287" i="62" s="1"/>
  <c r="B288" i="62" s="1"/>
  <c r="B289" i="62" s="1"/>
  <c r="B290" i="62" s="1"/>
  <c r="B291" i="62" s="1"/>
  <c r="B292" i="62" s="1"/>
  <c r="B293" i="62" s="1"/>
  <c r="B294" i="62" s="1"/>
  <c r="B295" i="62" s="1"/>
  <c r="B296" i="62" s="1"/>
  <c r="B297" i="62" s="1"/>
  <c r="B298" i="62" s="1"/>
  <c r="B299" i="62" s="1"/>
  <c r="B300" i="62" s="1"/>
  <c r="B301" i="62" s="1"/>
  <c r="B302" i="62" s="1"/>
  <c r="B303" i="62" s="1"/>
  <c r="B304" i="62" s="1"/>
  <c r="B305" i="62" s="1"/>
  <c r="B306" i="62" s="1"/>
  <c r="B307" i="62" s="1"/>
  <c r="B308" i="62" s="1"/>
  <c r="B309" i="62" s="1"/>
  <c r="B310" i="62" s="1"/>
  <c r="B311" i="62" s="1"/>
  <c r="B312" i="62" s="1"/>
  <c r="B313" i="62" s="1"/>
  <c r="B314" i="62" s="1"/>
  <c r="B315" i="62" s="1"/>
  <c r="B316" i="62" s="1"/>
  <c r="B317" i="62" s="1"/>
  <c r="B318" i="62" s="1"/>
  <c r="B319" i="62" s="1"/>
  <c r="B320" i="62" s="1"/>
  <c r="B321" i="62" s="1"/>
  <c r="B322" i="62" s="1"/>
  <c r="B323" i="62" s="1"/>
  <c r="B324" i="62" s="1"/>
  <c r="B325" i="62" s="1"/>
  <c r="B326" i="62" s="1"/>
  <c r="B327" i="62" s="1"/>
  <c r="B328" i="62" s="1"/>
  <c r="B329" i="62" s="1"/>
  <c r="B330" i="62" s="1"/>
  <c r="B331" i="62" s="1"/>
  <c r="B332" i="62" s="1"/>
  <c r="B333" i="62" s="1"/>
  <c r="B334" i="62" s="1"/>
  <c r="B335" i="62" s="1"/>
  <c r="B336" i="62" s="1"/>
  <c r="B337" i="62" s="1"/>
  <c r="B338" i="62" s="1"/>
  <c r="B339" i="62" s="1"/>
  <c r="B340" i="62" s="1"/>
  <c r="B341" i="62" s="1"/>
  <c r="B342" i="62" s="1"/>
  <c r="B343" i="62" s="1"/>
  <c r="B344" i="62" s="1"/>
  <c r="B345" i="62" s="1"/>
  <c r="B346" i="62" s="1"/>
  <c r="B347" i="62" s="1"/>
  <c r="B348" i="62" s="1"/>
  <c r="B349" i="62" s="1"/>
  <c r="B350" i="62" s="1"/>
  <c r="B351" i="62" s="1"/>
  <c r="B352" i="62" s="1"/>
  <c r="B353" i="62" s="1"/>
  <c r="B354" i="62" s="1"/>
  <c r="B355" i="62" s="1"/>
  <c r="B356" i="62" s="1"/>
  <c r="B357" i="62" s="1"/>
  <c r="B358" i="62" s="1"/>
  <c r="B359" i="62" s="1"/>
  <c r="B360" i="62" s="1"/>
  <c r="B361" i="62" s="1"/>
  <c r="B362" i="62" s="1"/>
  <c r="B363" i="62" s="1"/>
  <c r="B364" i="62" s="1"/>
  <c r="B365" i="62" s="1"/>
  <c r="B366" i="62" s="1"/>
  <c r="B367" i="62" s="1"/>
  <c r="B368" i="62" s="1"/>
  <c r="B369" i="62" s="1"/>
  <c r="B370" i="62" s="1"/>
  <c r="B371" i="62" s="1"/>
  <c r="B372" i="62" s="1"/>
  <c r="B373" i="62" s="1"/>
  <c r="B374" i="62" s="1"/>
  <c r="B375" i="62" s="1"/>
  <c r="B376" i="62" s="1"/>
  <c r="B377" i="62" s="1"/>
  <c r="B378" i="62" s="1"/>
  <c r="B379" i="62" s="1"/>
  <c r="B380" i="62" s="1"/>
  <c r="B381" i="62" s="1"/>
  <c r="B382" i="62" s="1"/>
  <c r="B383" i="62" s="1"/>
  <c r="B384" i="62" s="1"/>
  <c r="B385" i="62" s="1"/>
  <c r="B386" i="62" s="1"/>
  <c r="B387" i="62" s="1"/>
  <c r="B388" i="62" s="1"/>
  <c r="B389" i="62" s="1"/>
  <c r="B390" i="62" s="1"/>
  <c r="B391" i="62" s="1"/>
  <c r="B392" i="62" s="1"/>
  <c r="B393" i="62" s="1"/>
  <c r="B394" i="62" s="1"/>
  <c r="B395" i="62" s="1"/>
  <c r="B396" i="62" s="1"/>
  <c r="B397" i="62" s="1"/>
  <c r="B398" i="62" s="1"/>
  <c r="B399" i="62" s="1"/>
  <c r="B400" i="62" s="1"/>
  <c r="B401" i="62" s="1"/>
  <c r="B402" i="62" s="1"/>
  <c r="B403" i="62" s="1"/>
  <c r="B404" i="62" s="1"/>
  <c r="B405" i="62" s="1"/>
  <c r="B406" i="62" s="1"/>
  <c r="B407" i="62" s="1"/>
  <c r="B408" i="62" s="1"/>
  <c r="B409" i="62" s="1"/>
  <c r="B410" i="62" s="1"/>
  <c r="B411" i="62" s="1"/>
  <c r="B412" i="62" s="1"/>
  <c r="B413" i="62" s="1"/>
  <c r="B414" i="62" s="1"/>
  <c r="B415" i="62" s="1"/>
  <c r="B416" i="62" s="1"/>
  <c r="B417" i="62" s="1"/>
  <c r="B418" i="62" s="1"/>
  <c r="B419" i="62" s="1"/>
  <c r="B420" i="62" s="1"/>
  <c r="B421" i="62" s="1"/>
  <c r="B422" i="62" s="1"/>
  <c r="B423" i="62" s="1"/>
  <c r="B424" i="62" s="1"/>
  <c r="B425" i="62" s="1"/>
  <c r="B426" i="62" s="1"/>
  <c r="B427" i="62" s="1"/>
  <c r="B428" i="62" s="1"/>
  <c r="B429" i="62" s="1"/>
  <c r="B430" i="62" s="1"/>
  <c r="B431" i="62" s="1"/>
  <c r="B432" i="62" s="1"/>
  <c r="B433" i="62" s="1"/>
  <c r="B434" i="62" s="1"/>
  <c r="B435" i="62" s="1"/>
  <c r="B436" i="62" s="1"/>
  <c r="B437" i="62" s="1"/>
  <c r="B438" i="62" s="1"/>
  <c r="B439" i="62" s="1"/>
  <c r="B440" i="62" s="1"/>
  <c r="B441" i="62" s="1"/>
  <c r="B442" i="62" s="1"/>
  <c r="B443" i="62" s="1"/>
  <c r="B444" i="62" s="1"/>
  <c r="B445" i="62" s="1"/>
  <c r="B446" i="62" s="1"/>
  <c r="B447" i="62" s="1"/>
  <c r="B448" i="62" s="1"/>
  <c r="B449" i="62" s="1"/>
  <c r="B450" i="62" s="1"/>
  <c r="B451" i="62" s="1"/>
  <c r="B452" i="62" s="1"/>
  <c r="B453" i="62" s="1"/>
  <c r="B454" i="62" s="1"/>
  <c r="B455" i="62" s="1"/>
  <c r="B456" i="62" s="1"/>
  <c r="B457" i="62" s="1"/>
  <c r="B458" i="62" s="1"/>
  <c r="B459" i="62" s="1"/>
  <c r="B460" i="62" s="1"/>
  <c r="B461" i="62" s="1"/>
  <c r="B462" i="62" s="1"/>
  <c r="B463" i="62" s="1"/>
  <c r="B464" i="62" s="1"/>
  <c r="B465" i="62" s="1"/>
  <c r="B466" i="62" s="1"/>
  <c r="B467" i="62" s="1"/>
  <c r="B468" i="62" s="1"/>
  <c r="B469" i="62" s="1"/>
  <c r="B470" i="62" s="1"/>
  <c r="B471" i="62" s="1"/>
  <c r="B472" i="62" s="1"/>
  <c r="B473" i="62" s="1"/>
  <c r="B474" i="62" s="1"/>
  <c r="B475" i="62" s="1"/>
  <c r="B476" i="62" s="1"/>
  <c r="B477" i="62" s="1"/>
  <c r="B478" i="62" s="1"/>
  <c r="B479" i="62" s="1"/>
  <c r="B480" i="62" s="1"/>
  <c r="B481" i="62" s="1"/>
  <c r="B482" i="62" s="1"/>
  <c r="B483" i="62" s="1"/>
  <c r="B484" i="62" s="1"/>
  <c r="B485" i="62" s="1"/>
  <c r="B486" i="62" s="1"/>
  <c r="B487" i="62" s="1"/>
  <c r="B488" i="62" s="1"/>
  <c r="B489" i="62" s="1"/>
  <c r="B490" i="62" s="1"/>
  <c r="B491" i="62" s="1"/>
  <c r="B492" i="62" s="1"/>
  <c r="B493" i="62" s="1"/>
  <c r="B494" i="62" s="1"/>
  <c r="B495" i="62" s="1"/>
  <c r="B496" i="62" s="1"/>
  <c r="B497" i="62" s="1"/>
  <c r="B498" i="62" s="1"/>
  <c r="B499" i="62" s="1"/>
  <c r="B500" i="62" s="1"/>
  <c r="B501" i="62" s="1"/>
  <c r="B502" i="62" s="1"/>
  <c r="B503" i="62" s="1"/>
  <c r="B504" i="62" s="1"/>
  <c r="B505" i="62" s="1"/>
  <c r="B506" i="62" s="1"/>
  <c r="B507" i="62" s="1"/>
  <c r="B508" i="62" s="1"/>
  <c r="B509" i="62" s="1"/>
  <c r="B510" i="62" s="1"/>
  <c r="B511" i="62" s="1"/>
  <c r="B512" i="62" s="1"/>
  <c r="B513" i="62" s="1"/>
  <c r="B514" i="62" s="1"/>
  <c r="B515" i="62" s="1"/>
  <c r="B516" i="62" s="1"/>
  <c r="B517" i="62" s="1"/>
  <c r="B518" i="62" s="1"/>
  <c r="B519" i="62" s="1"/>
  <c r="B520" i="62" s="1"/>
  <c r="B521" i="62" s="1"/>
  <c r="B522" i="62" s="1"/>
  <c r="B523" i="62" s="1"/>
  <c r="B524" i="62" s="1"/>
  <c r="B525" i="62" s="1"/>
  <c r="B526" i="62" s="1"/>
  <c r="B527" i="62" s="1"/>
  <c r="B528" i="62" s="1"/>
  <c r="B529" i="62" s="1"/>
  <c r="B530" i="62" s="1"/>
  <c r="B531" i="62" s="1"/>
  <c r="B532" i="62" s="1"/>
  <c r="B533" i="62" s="1"/>
  <c r="B534" i="62" s="1"/>
  <c r="B535" i="62" s="1"/>
  <c r="B536" i="62" s="1"/>
  <c r="B537" i="62" s="1"/>
  <c r="B538" i="62" s="1"/>
  <c r="B539" i="62" s="1"/>
  <c r="B540" i="62" s="1"/>
  <c r="B541" i="62" s="1"/>
  <c r="B544" i="62" s="1"/>
  <c r="B545" i="62" s="1"/>
  <c r="B546" i="62" s="1"/>
  <c r="I131" i="62"/>
  <c r="I134" i="62"/>
  <c r="I139" i="62"/>
  <c r="I138" i="62"/>
  <c r="J347" i="76" l="1"/>
  <c r="J71" i="77" s="1"/>
  <c r="L71" i="77" s="1"/>
  <c r="J18" i="76"/>
  <c r="N984" i="72"/>
  <c r="P984" i="72" s="1"/>
  <c r="S984" i="72" s="1"/>
  <c r="T984" i="72" s="1"/>
  <c r="N940" i="72"/>
  <c r="P940" i="72" s="1"/>
  <c r="J780" i="58"/>
  <c r="N780" i="58" s="1"/>
  <c r="J908" i="58"/>
  <c r="N1149" i="72"/>
  <c r="P1149" i="72" s="1"/>
  <c r="N1055" i="72"/>
  <c r="P1055" i="72" s="1"/>
  <c r="K1261" i="58"/>
  <c r="N1680" i="58"/>
  <c r="J547" i="58"/>
  <c r="N547" i="58" s="1"/>
  <c r="N892" i="72"/>
  <c r="P892" i="72" s="1"/>
  <c r="S892" i="72" s="1"/>
  <c r="T892" i="72" s="1"/>
  <c r="N437" i="72"/>
  <c r="P437" i="72" s="1"/>
  <c r="N909" i="72"/>
  <c r="P909" i="72" s="1"/>
  <c r="N452" i="72"/>
  <c r="P452" i="72" s="1"/>
  <c r="J574" i="58"/>
  <c r="N574" i="58" s="1"/>
  <c r="N1378" i="72"/>
  <c r="P1378" i="72" s="1"/>
  <c r="S1378" i="72" s="1"/>
  <c r="T1378" i="72" s="1"/>
  <c r="N1437" i="72"/>
  <c r="P1437" i="72" s="1"/>
  <c r="S1437" i="72" s="1"/>
  <c r="T1437" i="72" s="1"/>
  <c r="N1806" i="72"/>
  <c r="P1806" i="72" s="1"/>
  <c r="N1785" i="72"/>
  <c r="P1785" i="72" s="1"/>
  <c r="N1638" i="72"/>
  <c r="P1638" i="72" s="1"/>
  <c r="K1675" i="58"/>
  <c r="K1680" i="58" s="1"/>
  <c r="K1681" i="58" s="1"/>
  <c r="K1682" i="58" s="1"/>
  <c r="P1662" i="58" s="1"/>
  <c r="S244" i="72"/>
  <c r="T244" i="72" s="1"/>
  <c r="S35" i="72"/>
  <c r="T35" i="72" s="1"/>
  <c r="J782" i="58"/>
  <c r="N782" i="58" s="1"/>
  <c r="N986" i="72"/>
  <c r="P986" i="72" s="1"/>
  <c r="S986" i="72" s="1"/>
  <c r="T986" i="72" s="1"/>
  <c r="N942" i="72"/>
  <c r="P942" i="72" s="1"/>
  <c r="S942" i="72" s="1"/>
  <c r="T942" i="72" s="1"/>
  <c r="N688" i="72"/>
  <c r="P688" i="72" s="1"/>
  <c r="N612" i="72"/>
  <c r="P612" i="72" s="1"/>
  <c r="S612" i="72" s="1"/>
  <c r="T612" i="72" s="1"/>
  <c r="N650" i="72"/>
  <c r="P650" i="72" s="1"/>
  <c r="S650" i="72" s="1"/>
  <c r="T650" i="72" s="1"/>
  <c r="N574" i="72"/>
  <c r="P574" i="72" s="1"/>
  <c r="S574" i="72" s="1"/>
  <c r="T574" i="72" s="1"/>
  <c r="N536" i="72"/>
  <c r="P536" i="72" s="1"/>
  <c r="S536" i="72" s="1"/>
  <c r="T536" i="72" s="1"/>
  <c r="J1264" i="58"/>
  <c r="N1264" i="58" s="1"/>
  <c r="N1662" i="72"/>
  <c r="P1662" i="72" s="1"/>
  <c r="S1662" i="72" s="1"/>
  <c r="T1662" i="72" s="1"/>
  <c r="N1799" i="72"/>
  <c r="P1799" i="72" s="1"/>
  <c r="S1799" i="72" s="1"/>
  <c r="T1799" i="72" s="1"/>
  <c r="I549" i="58"/>
  <c r="I576" i="58"/>
  <c r="S1055" i="72"/>
  <c r="J890" i="58"/>
  <c r="N890" i="58" s="1"/>
  <c r="N1046" i="72"/>
  <c r="P1046" i="72" s="1"/>
  <c r="S1046" i="72" s="1"/>
  <c r="T1046" i="72" s="1"/>
  <c r="J584" i="58"/>
  <c r="N919" i="72"/>
  <c r="P919" i="72" s="1"/>
  <c r="S919" i="72" s="1"/>
  <c r="T919" i="72" s="1"/>
  <c r="N462" i="72"/>
  <c r="P462" i="72" s="1"/>
  <c r="J559" i="58"/>
  <c r="N559" i="58" s="1"/>
  <c r="N904" i="72"/>
  <c r="P904" i="72" s="1"/>
  <c r="S904" i="72" s="1"/>
  <c r="T904" i="72" s="1"/>
  <c r="N349" i="58"/>
  <c r="J578" i="58"/>
  <c r="N578" i="58" s="1"/>
  <c r="N913" i="72"/>
  <c r="P913" i="72" s="1"/>
  <c r="S913" i="72" s="1"/>
  <c r="T913" i="72" s="1"/>
  <c r="N456" i="72"/>
  <c r="P456" i="72" s="1"/>
  <c r="S456" i="72" s="1"/>
  <c r="T456" i="72" s="1"/>
  <c r="J661" i="58"/>
  <c r="N661" i="58" s="1"/>
  <c r="N1233" i="72"/>
  <c r="P1233" i="72" s="1"/>
  <c r="J869" i="58"/>
  <c r="N869" i="58" s="1"/>
  <c r="N1034" i="72"/>
  <c r="P1034" i="72" s="1"/>
  <c r="N1140" i="72"/>
  <c r="P1140" i="72" s="1"/>
  <c r="S1140" i="72" s="1"/>
  <c r="T1140" i="72" s="1"/>
  <c r="J557" i="58"/>
  <c r="N902" i="72"/>
  <c r="P902" i="72" s="1"/>
  <c r="S902" i="72" s="1"/>
  <c r="T902" i="72" s="1"/>
  <c r="N447" i="72"/>
  <c r="P447" i="72" s="1"/>
  <c r="J1245" i="58"/>
  <c r="N1652" i="72"/>
  <c r="P1652" i="72" s="1"/>
  <c r="S1325" i="72"/>
  <c r="T1325" i="72" s="1"/>
  <c r="J930" i="58"/>
  <c r="N1113" i="72"/>
  <c r="P1113" i="72" s="1"/>
  <c r="J623" i="58"/>
  <c r="N623" i="58" s="1"/>
  <c r="N1275" i="72"/>
  <c r="P1275" i="72" s="1"/>
  <c r="S1275" i="72" s="1"/>
  <c r="T1275" i="72" s="1"/>
  <c r="N1213" i="72"/>
  <c r="P1213" i="72" s="1"/>
  <c r="S1213" i="72" s="1"/>
  <c r="T1213" i="72" s="1"/>
  <c r="J662" i="58"/>
  <c r="N662" i="58" s="1"/>
  <c r="N1234" i="72"/>
  <c r="P1234" i="72" s="1"/>
  <c r="S1234" i="72" s="1"/>
  <c r="T1234" i="72" s="1"/>
  <c r="J575" i="58"/>
  <c r="N453" i="72"/>
  <c r="P453" i="72" s="1"/>
  <c r="N910" i="72"/>
  <c r="P910" i="72" s="1"/>
  <c r="S1149" i="72"/>
  <c r="S1795" i="72"/>
  <c r="T1795" i="72" s="1"/>
  <c r="J911" i="58"/>
  <c r="N911" i="58" s="1"/>
  <c r="N1152" i="72"/>
  <c r="P1152" i="72" s="1"/>
  <c r="S1152" i="72" s="1"/>
  <c r="T1152" i="72" s="1"/>
  <c r="N1058" i="72"/>
  <c r="P1058" i="72" s="1"/>
  <c r="S1058" i="72" s="1"/>
  <c r="T1058" i="72" s="1"/>
  <c r="J577" i="58"/>
  <c r="N577" i="58" s="1"/>
  <c r="N912" i="72"/>
  <c r="P912" i="72" s="1"/>
  <c r="S912" i="72" s="1"/>
  <c r="T912" i="72" s="1"/>
  <c r="N455" i="72"/>
  <c r="P455" i="72" s="1"/>
  <c r="S455" i="72" s="1"/>
  <c r="T455" i="72" s="1"/>
  <c r="S940" i="72"/>
  <c r="T940" i="72" s="1"/>
  <c r="J873" i="58"/>
  <c r="N1038" i="72"/>
  <c r="P1038" i="72" s="1"/>
  <c r="S1038" i="72" s="1"/>
  <c r="T1038" i="72" s="1"/>
  <c r="N1144" i="72"/>
  <c r="P1144" i="72" s="1"/>
  <c r="S1144" i="72" s="1"/>
  <c r="T1144" i="72" s="1"/>
  <c r="J915" i="58"/>
  <c r="N1062" i="72"/>
  <c r="P1062" i="72" s="1"/>
  <c r="S1062" i="72" s="1"/>
  <c r="T1062" i="72" s="1"/>
  <c r="N1156" i="72"/>
  <c r="P1156" i="72" s="1"/>
  <c r="S1156" i="72" s="1"/>
  <c r="T1156" i="72" s="1"/>
  <c r="J867" i="58"/>
  <c r="N1138" i="72"/>
  <c r="P1138" i="72" s="1"/>
  <c r="N1032" i="72"/>
  <c r="P1032" i="72" s="1"/>
  <c r="J551" i="58"/>
  <c r="N551" i="58" s="1"/>
  <c r="N896" i="72"/>
  <c r="P896" i="72" s="1"/>
  <c r="S896" i="72" s="1"/>
  <c r="T896" i="72" s="1"/>
  <c r="N441" i="72"/>
  <c r="P441" i="72" s="1"/>
  <c r="S441" i="72" s="1"/>
  <c r="T441" i="72" s="1"/>
  <c r="J1646" i="58"/>
  <c r="N1646" i="58" s="1"/>
  <c r="N1959" i="72"/>
  <c r="P1959" i="72" s="1"/>
  <c r="J548" i="58"/>
  <c r="N893" i="72"/>
  <c r="P893" i="72" s="1"/>
  <c r="N438" i="72"/>
  <c r="P438" i="72" s="1"/>
  <c r="J550" i="58"/>
  <c r="N550" i="58" s="1"/>
  <c r="N895" i="72"/>
  <c r="P895" i="72" s="1"/>
  <c r="N440" i="72"/>
  <c r="P440" i="72" s="1"/>
  <c r="S440" i="72" s="1"/>
  <c r="T440" i="72" s="1"/>
  <c r="J586" i="58"/>
  <c r="N586" i="58" s="1"/>
  <c r="N921" i="72"/>
  <c r="P921" i="72" s="1"/>
  <c r="S921" i="72" s="1"/>
  <c r="T921" i="72" s="1"/>
  <c r="N464" i="72"/>
  <c r="P464" i="72" s="1"/>
  <c r="S464" i="72" s="1"/>
  <c r="T464" i="72" s="1"/>
  <c r="J624" i="58"/>
  <c r="N624" i="58" s="1"/>
  <c r="N1276" i="72"/>
  <c r="P1276" i="72" s="1"/>
  <c r="S1276" i="72" s="1"/>
  <c r="T1276" i="72" s="1"/>
  <c r="N1214" i="72"/>
  <c r="P1214" i="72" s="1"/>
  <c r="S1214" i="72" s="1"/>
  <c r="T1214" i="72" s="1"/>
  <c r="J786" i="58"/>
  <c r="N786" i="58" s="1"/>
  <c r="N946" i="72"/>
  <c r="P946" i="72" s="1"/>
  <c r="S946" i="72" s="1"/>
  <c r="T946" i="72" s="1"/>
  <c r="N990" i="72"/>
  <c r="P990" i="72" s="1"/>
  <c r="S990" i="72" s="1"/>
  <c r="T990" i="72" s="1"/>
  <c r="J350" i="58"/>
  <c r="N350" i="58" s="1"/>
  <c r="N1326" i="72"/>
  <c r="P1326" i="72" s="1"/>
  <c r="N908" i="58"/>
  <c r="J932" i="58"/>
  <c r="N932" i="58" s="1"/>
  <c r="N1115" i="72"/>
  <c r="P1115" i="72" s="1"/>
  <c r="S1115" i="72" s="1"/>
  <c r="T1115" i="72" s="1"/>
  <c r="J353" i="58"/>
  <c r="N1329" i="72"/>
  <c r="P1329" i="72" s="1"/>
  <c r="S1329" i="72" s="1"/>
  <c r="T1329" i="72" s="1"/>
  <c r="J894" i="58"/>
  <c r="N1050" i="72"/>
  <c r="P1050" i="72" s="1"/>
  <c r="S1050" i="72" s="1"/>
  <c r="T1050" i="72" s="1"/>
  <c r="J936" i="58"/>
  <c r="N1119" i="72"/>
  <c r="P1119" i="72" s="1"/>
  <c r="S1119" i="72" s="1"/>
  <c r="T1119" i="72" s="1"/>
  <c r="J909" i="58"/>
  <c r="N909" i="58" s="1"/>
  <c r="N1056" i="72"/>
  <c r="P1056" i="72" s="1"/>
  <c r="S1056" i="72" s="1"/>
  <c r="T1056" i="72" s="1"/>
  <c r="N1150" i="72"/>
  <c r="P1150" i="72" s="1"/>
  <c r="S1150" i="72" s="1"/>
  <c r="T1150" i="72" s="1"/>
  <c r="J888" i="58"/>
  <c r="N1044" i="72"/>
  <c r="P1044" i="72" s="1"/>
  <c r="J1404" i="58"/>
  <c r="N1404" i="58" s="1"/>
  <c r="N1848" i="72"/>
  <c r="P1848" i="72" s="1"/>
  <c r="S1848" i="72" s="1"/>
  <c r="T1848" i="72" s="1"/>
  <c r="N2008" i="72"/>
  <c r="P2008" i="72" s="1"/>
  <c r="S2008" i="72" s="1"/>
  <c r="T2008" i="72" s="1"/>
  <c r="J1569" i="58"/>
  <c r="N1569" i="58" s="1"/>
  <c r="N2088" i="72"/>
  <c r="P2088" i="72" s="1"/>
  <c r="S2088" i="72" s="1"/>
  <c r="T2088" i="72" s="1"/>
  <c r="N1928" i="72"/>
  <c r="P1928" i="72" s="1"/>
  <c r="S1928" i="72" s="1"/>
  <c r="T1928" i="72" s="1"/>
  <c r="J1630" i="58"/>
  <c r="N1630" i="58" s="1"/>
  <c r="N1954" i="72"/>
  <c r="P1954" i="72" s="1"/>
  <c r="S1954" i="72" s="1"/>
  <c r="T1954" i="72" s="1"/>
  <c r="N2114" i="72"/>
  <c r="P2114" i="72" s="1"/>
  <c r="S2114" i="72" s="1"/>
  <c r="T2114" i="72" s="1"/>
  <c r="J1462" i="58"/>
  <c r="N1462" i="58" s="1"/>
  <c r="N2039" i="72"/>
  <c r="P2039" i="72" s="1"/>
  <c r="N1879" i="72"/>
  <c r="P1879" i="72" s="1"/>
  <c r="S1879" i="72" s="1"/>
  <c r="T1879" i="72" s="1"/>
  <c r="J1552" i="58"/>
  <c r="N1552" i="58" s="1"/>
  <c r="N2080" i="72"/>
  <c r="P2080" i="72" s="1"/>
  <c r="S2080" i="72" s="1"/>
  <c r="T2080" i="72" s="1"/>
  <c r="N1920" i="72"/>
  <c r="P1920" i="72" s="1"/>
  <c r="J1651" i="58"/>
  <c r="N1651" i="58" s="1"/>
  <c r="N1964" i="72"/>
  <c r="P1964" i="72" s="1"/>
  <c r="S1964" i="72" s="1"/>
  <c r="T1964" i="72" s="1"/>
  <c r="J1444" i="58"/>
  <c r="N1444" i="58" s="1"/>
  <c r="N2019" i="72"/>
  <c r="P2019" i="72" s="1"/>
  <c r="S2019" i="72" s="1"/>
  <c r="T2019" i="72" s="1"/>
  <c r="N2030" i="72"/>
  <c r="P2030" i="72" s="1"/>
  <c r="S2030" i="72" s="1"/>
  <c r="T2030" i="72" s="1"/>
  <c r="N1859" i="72"/>
  <c r="P1859" i="72" s="1"/>
  <c r="S1859" i="72" s="1"/>
  <c r="T1859" i="72" s="1"/>
  <c r="N1870" i="72"/>
  <c r="P1870" i="72" s="1"/>
  <c r="J1482" i="58"/>
  <c r="N1482" i="58" s="1"/>
  <c r="N1888" i="72"/>
  <c r="P1888" i="72" s="1"/>
  <c r="S1888" i="72" s="1"/>
  <c r="T1888" i="72" s="1"/>
  <c r="N2048" i="72"/>
  <c r="P2048" i="72" s="1"/>
  <c r="S2048" i="72" s="1"/>
  <c r="T2048" i="72" s="1"/>
  <c r="J1610" i="58"/>
  <c r="N1610" i="58" s="1"/>
  <c r="N2105" i="72"/>
  <c r="P2105" i="72" s="1"/>
  <c r="S2105" i="72" s="1"/>
  <c r="T2105" i="72" s="1"/>
  <c r="N1945" i="72"/>
  <c r="P1945" i="72" s="1"/>
  <c r="S1975" i="72"/>
  <c r="T1975" i="72" s="1"/>
  <c r="J1361" i="58"/>
  <c r="N1361" i="58" s="1"/>
  <c r="N1828" i="72"/>
  <c r="P1828" i="72" s="1"/>
  <c r="S1828" i="72" s="1"/>
  <c r="T1828" i="72" s="1"/>
  <c r="J1341" i="58"/>
  <c r="N1341" i="58" s="1"/>
  <c r="N1837" i="72"/>
  <c r="P1837" i="72" s="1"/>
  <c r="S1837" i="72" s="1"/>
  <c r="T1837" i="72" s="1"/>
  <c r="N1997" i="72"/>
  <c r="P1997" i="72" s="1"/>
  <c r="S1997" i="72" s="1"/>
  <c r="T1997" i="72" s="1"/>
  <c r="J1589" i="58"/>
  <c r="N1589" i="58" s="1"/>
  <c r="N2096" i="72"/>
  <c r="P2096" i="72" s="1"/>
  <c r="S2096" i="72" s="1"/>
  <c r="T2096" i="72" s="1"/>
  <c r="N1936" i="72"/>
  <c r="P1936" i="72" s="1"/>
  <c r="S1936" i="72" s="1"/>
  <c r="T1936" i="72" s="1"/>
  <c r="J1263" i="58"/>
  <c r="N1263" i="58" s="1"/>
  <c r="N1798" i="72"/>
  <c r="P1798" i="72" s="1"/>
  <c r="S1798" i="72" s="1"/>
  <c r="T1798" i="72" s="1"/>
  <c r="N1661" i="72"/>
  <c r="P1661" i="72" s="1"/>
  <c r="S1661" i="72" s="1"/>
  <c r="T1661" i="72" s="1"/>
  <c r="J785" i="58"/>
  <c r="N785" i="58" s="1"/>
  <c r="N989" i="72"/>
  <c r="P989" i="72" s="1"/>
  <c r="S989" i="72" s="1"/>
  <c r="T989" i="72" s="1"/>
  <c r="N945" i="72"/>
  <c r="P945" i="72" s="1"/>
  <c r="S945" i="72" s="1"/>
  <c r="T945" i="72" s="1"/>
  <c r="J663" i="58"/>
  <c r="N663" i="58" s="1"/>
  <c r="N1235" i="72"/>
  <c r="P1235" i="72" s="1"/>
  <c r="S1235" i="72" s="1"/>
  <c r="T1235" i="72" s="1"/>
  <c r="J1342" i="58"/>
  <c r="N1342" i="58" s="1"/>
  <c r="N1838" i="72"/>
  <c r="P1838" i="72" s="1"/>
  <c r="S1838" i="72" s="1"/>
  <c r="T1838" i="72" s="1"/>
  <c r="N1998" i="72"/>
  <c r="P1998" i="72" s="1"/>
  <c r="S1998" i="72" s="1"/>
  <c r="T1998" i="72" s="1"/>
  <c r="J1463" i="58"/>
  <c r="N1463" i="58" s="1"/>
  <c r="N2040" i="72"/>
  <c r="P2040" i="72" s="1"/>
  <c r="S2040" i="72" s="1"/>
  <c r="T2040" i="72" s="1"/>
  <c r="N1880" i="72"/>
  <c r="P1880" i="72" s="1"/>
  <c r="S1880" i="72" s="1"/>
  <c r="T1880" i="72" s="1"/>
  <c r="J1590" i="58"/>
  <c r="N1590" i="58" s="1"/>
  <c r="N1937" i="72"/>
  <c r="P1937" i="72" s="1"/>
  <c r="N2097" i="72"/>
  <c r="P2097" i="72" s="1"/>
  <c r="J1362" i="58"/>
  <c r="N1362" i="58" s="1"/>
  <c r="N1829" i="72"/>
  <c r="P1829" i="72" s="1"/>
  <c r="J1570" i="58"/>
  <c r="N1570" i="58" s="1"/>
  <c r="N2089" i="72"/>
  <c r="P2089" i="72" s="1"/>
  <c r="N1929" i="72"/>
  <c r="P1929" i="72" s="1"/>
  <c r="N1955" i="72"/>
  <c r="P1955" i="72" s="1"/>
  <c r="S1955" i="72" s="1"/>
  <c r="T1955" i="72" s="1"/>
  <c r="N2115" i="72"/>
  <c r="P2115" i="72" s="1"/>
  <c r="J1445" i="58"/>
  <c r="N1445" i="58" s="1"/>
  <c r="N2020" i="72"/>
  <c r="P2020" i="72" s="1"/>
  <c r="S2020" i="72" s="1"/>
  <c r="T2020" i="72" s="1"/>
  <c r="N1871" i="72"/>
  <c r="P1871" i="72" s="1"/>
  <c r="N1860" i="72"/>
  <c r="P1860" i="72" s="1"/>
  <c r="S1860" i="72" s="1"/>
  <c r="T1860" i="72" s="1"/>
  <c r="N2031" i="72"/>
  <c r="P2031" i="72" s="1"/>
  <c r="S2031" i="72" s="1"/>
  <c r="T2031" i="72" s="1"/>
  <c r="J625" i="58"/>
  <c r="N625" i="58" s="1"/>
  <c r="N1277" i="72"/>
  <c r="P1277" i="72" s="1"/>
  <c r="S1277" i="72" s="1"/>
  <c r="T1277" i="72" s="1"/>
  <c r="N1215" i="72"/>
  <c r="P1215" i="72" s="1"/>
  <c r="S1215" i="72" s="1"/>
  <c r="T1215" i="72" s="1"/>
  <c r="J1265" i="58"/>
  <c r="N1265" i="58" s="1"/>
  <c r="N1800" i="72"/>
  <c r="P1800" i="72" s="1"/>
  <c r="S1800" i="72" s="1"/>
  <c r="T1800" i="72" s="1"/>
  <c r="N1663" i="72"/>
  <c r="P1663" i="72" s="1"/>
  <c r="S1663" i="72" s="1"/>
  <c r="T1663" i="72" s="1"/>
  <c r="J787" i="58"/>
  <c r="N787" i="58" s="1"/>
  <c r="N947" i="72"/>
  <c r="P947" i="72" s="1"/>
  <c r="S947" i="72" s="1"/>
  <c r="T947" i="72" s="1"/>
  <c r="N991" i="72"/>
  <c r="P991" i="72" s="1"/>
  <c r="S991" i="72" s="1"/>
  <c r="T991" i="72" s="1"/>
  <c r="J1553" i="58"/>
  <c r="N1553" i="58" s="1"/>
  <c r="N2081" i="72"/>
  <c r="P2081" i="72" s="1"/>
  <c r="N1921" i="72"/>
  <c r="P1921" i="72" s="1"/>
  <c r="J1652" i="58"/>
  <c r="N1652" i="58" s="1"/>
  <c r="N1965" i="72"/>
  <c r="P1965" i="72" s="1"/>
  <c r="S1965" i="72" s="1"/>
  <c r="T1965" i="72" s="1"/>
  <c r="S1976" i="72"/>
  <c r="T1976" i="72" s="1"/>
  <c r="J1405" i="58"/>
  <c r="N1405" i="58" s="1"/>
  <c r="N2009" i="72"/>
  <c r="P2009" i="72" s="1"/>
  <c r="S2009" i="72" s="1"/>
  <c r="T2009" i="72" s="1"/>
  <c r="N1849" i="72"/>
  <c r="P1849" i="72" s="1"/>
  <c r="S1849" i="72" s="1"/>
  <c r="T1849" i="72" s="1"/>
  <c r="J1483" i="58"/>
  <c r="N1483" i="58" s="1"/>
  <c r="N2049" i="72"/>
  <c r="P2049" i="72" s="1"/>
  <c r="S2049" i="72" s="1"/>
  <c r="T2049" i="72" s="1"/>
  <c r="N1889" i="72"/>
  <c r="P1889" i="72" s="1"/>
  <c r="S1889" i="72" s="1"/>
  <c r="T1889" i="72" s="1"/>
  <c r="J1611" i="58"/>
  <c r="N1611" i="58" s="1"/>
  <c r="N2106" i="72"/>
  <c r="P2106" i="72" s="1"/>
  <c r="S2106" i="72" s="1"/>
  <c r="T2106" i="72" s="1"/>
  <c r="N1946" i="72"/>
  <c r="P1946" i="72" s="1"/>
  <c r="S1946" i="72" s="1"/>
  <c r="T1946" i="72" s="1"/>
  <c r="J1262" i="58"/>
  <c r="N1262" i="58" s="1"/>
  <c r="N1797" i="72"/>
  <c r="P1797" i="72" s="1"/>
  <c r="N1660" i="72"/>
  <c r="P1660" i="72" s="1"/>
  <c r="J1340" i="58"/>
  <c r="N1340" i="58" s="1"/>
  <c r="N1996" i="72"/>
  <c r="P1996" i="72" s="1"/>
  <c r="N1836" i="72"/>
  <c r="P1836" i="72" s="1"/>
  <c r="J1481" i="58"/>
  <c r="N1481" i="58" s="1"/>
  <c r="N1887" i="72"/>
  <c r="P1887" i="72" s="1"/>
  <c r="N2047" i="72"/>
  <c r="P2047" i="72" s="1"/>
  <c r="S1974" i="72"/>
  <c r="P1977" i="72"/>
  <c r="X1967" i="72" s="1"/>
  <c r="J1443" i="58"/>
  <c r="N1443" i="58" s="1"/>
  <c r="N1858" i="72"/>
  <c r="P1858" i="72" s="1"/>
  <c r="N2018" i="72"/>
  <c r="P2018" i="72" s="1"/>
  <c r="N1869" i="72"/>
  <c r="P1869" i="72" s="1"/>
  <c r="N2029" i="72"/>
  <c r="P2029" i="72" s="1"/>
  <c r="J660" i="58"/>
  <c r="N660" i="58" s="1"/>
  <c r="N1232" i="72"/>
  <c r="P1232" i="72" s="1"/>
  <c r="J1360" i="58"/>
  <c r="N1360" i="58" s="1"/>
  <c r="N1827" i="72"/>
  <c r="P1827" i="72" s="1"/>
  <c r="J1650" i="58"/>
  <c r="N1650" i="58" s="1"/>
  <c r="N1963" i="72"/>
  <c r="P1963" i="72" s="1"/>
  <c r="S2124" i="72"/>
  <c r="P2127" i="72"/>
  <c r="X2117" i="72" s="1"/>
  <c r="J1403" i="58"/>
  <c r="N1403" i="58" s="1"/>
  <c r="N1847" i="72"/>
  <c r="P1847" i="72" s="1"/>
  <c r="N2007" i="72"/>
  <c r="P2007" i="72" s="1"/>
  <c r="J1461" i="58"/>
  <c r="N1461" i="58" s="1"/>
  <c r="N2038" i="72"/>
  <c r="P2038" i="72" s="1"/>
  <c r="N1878" i="72"/>
  <c r="P1878" i="72" s="1"/>
  <c r="J1609" i="58"/>
  <c r="N1609" i="58" s="1"/>
  <c r="N2104" i="72"/>
  <c r="P2104" i="72" s="1"/>
  <c r="N1944" i="72"/>
  <c r="P1944" i="72" s="1"/>
  <c r="J622" i="58"/>
  <c r="N622" i="58" s="1"/>
  <c r="N1274" i="72"/>
  <c r="P1274" i="72" s="1"/>
  <c r="N1212" i="72"/>
  <c r="P1212" i="72" s="1"/>
  <c r="J784" i="58"/>
  <c r="N784" i="58" s="1"/>
  <c r="N944" i="72"/>
  <c r="P944" i="72" s="1"/>
  <c r="N988" i="72"/>
  <c r="P988" i="72" s="1"/>
  <c r="J1629" i="58"/>
  <c r="N1629" i="58" s="1"/>
  <c r="N2113" i="72"/>
  <c r="P2113" i="72" s="1"/>
  <c r="N1953" i="72"/>
  <c r="P1953" i="72" s="1"/>
  <c r="K783" i="58"/>
  <c r="K1402" i="58"/>
  <c r="N1399" i="58"/>
  <c r="N1231" i="58"/>
  <c r="J1631" i="58"/>
  <c r="I1692" i="58"/>
  <c r="I1693" i="58"/>
  <c r="B78" i="63"/>
  <c r="B219" i="65" s="1"/>
  <c r="K1223" i="58"/>
  <c r="K1228" i="58"/>
  <c r="J620" i="58"/>
  <c r="I658" i="58"/>
  <c r="J1439" i="58"/>
  <c r="I1419" i="58"/>
  <c r="J1419" i="58" s="1"/>
  <c r="K1386" i="58"/>
  <c r="K1426" i="58"/>
  <c r="B7" i="62"/>
  <c r="AG18" i="76" l="1"/>
  <c r="L18" i="76"/>
  <c r="R18" i="76" s="1"/>
  <c r="S18" i="76" s="1"/>
  <c r="AG347" i="76"/>
  <c r="L347" i="76"/>
  <c r="R347" i="76" s="1"/>
  <c r="S347" i="76" s="1"/>
  <c r="L1680" i="58"/>
  <c r="Q1662" i="58" s="1"/>
  <c r="S1662" i="58"/>
  <c r="U1662" i="58" s="1"/>
  <c r="T1662" i="58" s="1"/>
  <c r="N1368" i="58"/>
  <c r="S1352" i="58" s="1"/>
  <c r="U1352" i="58" s="1"/>
  <c r="T1352" i="58" s="1"/>
  <c r="N1348" i="58"/>
  <c r="S1332" i="58" s="1"/>
  <c r="U1332" i="58" s="1"/>
  <c r="T1332" i="58" s="1"/>
  <c r="N1577" i="58"/>
  <c r="S1561" i="58" s="1"/>
  <c r="U1561" i="58" s="1"/>
  <c r="T1561" i="58" s="1"/>
  <c r="K1266" i="58"/>
  <c r="K1269" i="58" s="1"/>
  <c r="K1270" i="58" s="1"/>
  <c r="K1271" i="58" s="1"/>
  <c r="P1254" i="58" s="1"/>
  <c r="K1446" i="58"/>
  <c r="K1343" i="58"/>
  <c r="K1348" i="58" s="1"/>
  <c r="K1349" i="58" s="1"/>
  <c r="K1350" i="58" s="1"/>
  <c r="P1332" i="58" s="1"/>
  <c r="K1649" i="58"/>
  <c r="N1617" i="58"/>
  <c r="S1601" i="58" s="1"/>
  <c r="U1601" i="58" s="1"/>
  <c r="T1601" i="58" s="1"/>
  <c r="N1597" i="58"/>
  <c r="S1581" i="58" s="1"/>
  <c r="U1581" i="58" s="1"/>
  <c r="T1581" i="58" s="1"/>
  <c r="K1363" i="58"/>
  <c r="K1368" i="58" s="1"/>
  <c r="K1369" i="58" s="1"/>
  <c r="K1370" i="58" s="1"/>
  <c r="P1352" i="58" s="1"/>
  <c r="K1653" i="58"/>
  <c r="K1591" i="58"/>
  <c r="K1597" i="58" s="1"/>
  <c r="K1598" i="58" s="1"/>
  <c r="K1599" i="58" s="1"/>
  <c r="P1581" i="58" s="1"/>
  <c r="S437" i="72"/>
  <c r="T437" i="72" s="1"/>
  <c r="N1489" i="58"/>
  <c r="S1473" i="58" s="1"/>
  <c r="U1473" i="58" s="1"/>
  <c r="T1473" i="58" s="1"/>
  <c r="S452" i="72"/>
  <c r="T452" i="72" s="1"/>
  <c r="S909" i="72"/>
  <c r="T909" i="72" s="1"/>
  <c r="J658" i="58"/>
  <c r="K659" i="58" s="1"/>
  <c r="N1230" i="72"/>
  <c r="P1230" i="72" s="1"/>
  <c r="P1236" i="72" s="1"/>
  <c r="X1227" i="72" s="1"/>
  <c r="S1785" i="72"/>
  <c r="T1785" i="72" s="1"/>
  <c r="K1484" i="58"/>
  <c r="K1489" i="58" s="1"/>
  <c r="K1490" i="58" s="1"/>
  <c r="K1491" i="58" s="1"/>
  <c r="P1473" i="58" s="1"/>
  <c r="N1469" i="58"/>
  <c r="S1453" i="58" s="1"/>
  <c r="U1453" i="58" s="1"/>
  <c r="T1453" i="58" s="1"/>
  <c r="N1557" i="58"/>
  <c r="S1544" i="58" s="1"/>
  <c r="U1544" i="58" s="1"/>
  <c r="T1544" i="58" s="1"/>
  <c r="N1658" i="58"/>
  <c r="S1641" i="58" s="1"/>
  <c r="U1641" i="58" s="1"/>
  <c r="T1641" i="58" s="1"/>
  <c r="S1806" i="72"/>
  <c r="T1806" i="72" s="1"/>
  <c r="K1554" i="58"/>
  <c r="K1557" i="58" s="1"/>
  <c r="K1558" i="58" s="1"/>
  <c r="K1559" i="58" s="1"/>
  <c r="P1544" i="58" s="1"/>
  <c r="S688" i="72"/>
  <c r="T688" i="72" s="1"/>
  <c r="K788" i="58"/>
  <c r="K793" i="58" s="1"/>
  <c r="K794" i="58" s="1"/>
  <c r="K795" i="58" s="1"/>
  <c r="P775" i="58" s="1"/>
  <c r="K1571" i="58"/>
  <c r="K1577" i="58" s="1"/>
  <c r="K1578" i="58" s="1"/>
  <c r="K1579" i="58" s="1"/>
  <c r="P1561" i="58" s="1"/>
  <c r="N793" i="58"/>
  <c r="S775" i="58" s="1"/>
  <c r="U775" i="58" s="1"/>
  <c r="T775" i="58" s="1"/>
  <c r="K1406" i="58"/>
  <c r="K1409" i="58" s="1"/>
  <c r="K1410" i="58" s="1"/>
  <c r="K1411" i="58" s="1"/>
  <c r="P1393" i="58" s="1"/>
  <c r="K1612" i="58"/>
  <c r="K1617" i="58" s="1"/>
  <c r="K1618" i="58" s="1"/>
  <c r="K1619" i="58" s="1"/>
  <c r="P1601" i="58" s="1"/>
  <c r="N1409" i="58"/>
  <c r="S1393" i="58" s="1"/>
  <c r="U1393" i="58" s="1"/>
  <c r="T1393" i="58" s="1"/>
  <c r="S1977" i="72"/>
  <c r="Y1967" i="72" s="1"/>
  <c r="S1638" i="72"/>
  <c r="T1638" i="72" s="1"/>
  <c r="K912" i="58"/>
  <c r="K664" i="58"/>
  <c r="P1332" i="72"/>
  <c r="X1323" i="72" s="1"/>
  <c r="S1032" i="72"/>
  <c r="P1040" i="72"/>
  <c r="X1029" i="72" s="1"/>
  <c r="T1149" i="72"/>
  <c r="T1158" i="72" s="1"/>
  <c r="S1158" i="72"/>
  <c r="Y1147" i="72" s="1"/>
  <c r="S1034" i="72"/>
  <c r="T1034" i="72" s="1"/>
  <c r="P1064" i="72"/>
  <c r="X1053" i="72" s="1"/>
  <c r="S1044" i="72"/>
  <c r="P1052" i="72"/>
  <c r="X1041" i="72" s="1"/>
  <c r="N894" i="58"/>
  <c r="K896" i="58"/>
  <c r="S1959" i="72"/>
  <c r="T1959" i="72" s="1"/>
  <c r="P1158" i="72"/>
  <c r="X1147" i="72" s="1"/>
  <c r="N575" i="58"/>
  <c r="N1245" i="58"/>
  <c r="N1250" i="58" s="1"/>
  <c r="K1247" i="58"/>
  <c r="K1250" i="58" s="1"/>
  <c r="K1251" i="58" s="1"/>
  <c r="K1252" i="58" s="1"/>
  <c r="P1235" i="58" s="1"/>
  <c r="K351" i="58"/>
  <c r="S462" i="72"/>
  <c r="T462" i="72" s="1"/>
  <c r="J549" i="58"/>
  <c r="N549" i="58" s="1"/>
  <c r="N894" i="72"/>
  <c r="P894" i="72" s="1"/>
  <c r="S894" i="72" s="1"/>
  <c r="T894" i="72" s="1"/>
  <c r="N439" i="72"/>
  <c r="P439" i="72" s="1"/>
  <c r="S439" i="72" s="1"/>
  <c r="T439" i="72" s="1"/>
  <c r="S447" i="72"/>
  <c r="T447" i="72" s="1"/>
  <c r="N936" i="58"/>
  <c r="K938" i="58"/>
  <c r="N353" i="58"/>
  <c r="N359" i="58" s="1"/>
  <c r="S344" i="58" s="1"/>
  <c r="U344" i="58" s="1"/>
  <c r="T344" i="58" s="1"/>
  <c r="K356" i="58"/>
  <c r="S893" i="72"/>
  <c r="P906" i="72"/>
  <c r="X890" i="72" s="1"/>
  <c r="S1138" i="72"/>
  <c r="P1146" i="72"/>
  <c r="X1135" i="72" s="1"/>
  <c r="N915" i="58"/>
  <c r="N920" i="58" s="1"/>
  <c r="S903" i="58" s="1"/>
  <c r="U903" i="58" s="1"/>
  <c r="T903" i="58" s="1"/>
  <c r="K917" i="58"/>
  <c r="S910" i="72"/>
  <c r="S1113" i="72"/>
  <c r="P1121" i="72"/>
  <c r="X1110" i="72" s="1"/>
  <c r="N584" i="58"/>
  <c r="K588" i="58"/>
  <c r="T1055" i="72"/>
  <c r="T1064" i="72" s="1"/>
  <c r="N888" i="58"/>
  <c r="K891" i="58"/>
  <c r="S438" i="72"/>
  <c r="N873" i="58"/>
  <c r="K875" i="58"/>
  <c r="K626" i="58"/>
  <c r="S1326" i="72"/>
  <c r="S1332" i="72" s="1"/>
  <c r="Y1323" i="72" s="1"/>
  <c r="S895" i="72"/>
  <c r="T895" i="72" s="1"/>
  <c r="N548" i="58"/>
  <c r="N867" i="58"/>
  <c r="K870" i="58"/>
  <c r="S453" i="72"/>
  <c r="N930" i="58"/>
  <c r="K933" i="58"/>
  <c r="S1652" i="72"/>
  <c r="P1654" i="72"/>
  <c r="X1645" i="72" s="1"/>
  <c r="N557" i="58"/>
  <c r="K561" i="58"/>
  <c r="S1233" i="72"/>
  <c r="T1233" i="72" s="1"/>
  <c r="J576" i="58"/>
  <c r="N576" i="58" s="1"/>
  <c r="N454" i="72"/>
  <c r="P454" i="72" s="1"/>
  <c r="S454" i="72" s="1"/>
  <c r="T454" i="72" s="1"/>
  <c r="N911" i="72"/>
  <c r="P911" i="72" s="1"/>
  <c r="S911" i="72" s="1"/>
  <c r="T911" i="72" s="1"/>
  <c r="S1945" i="72"/>
  <c r="T1945" i="72" s="1"/>
  <c r="S1920" i="72"/>
  <c r="T1920" i="72" s="1"/>
  <c r="S2039" i="72"/>
  <c r="T2039" i="72" s="1"/>
  <c r="S1870" i="72"/>
  <c r="T1870" i="72" s="1"/>
  <c r="N1269" i="58"/>
  <c r="S1921" i="72"/>
  <c r="P1922" i="72"/>
  <c r="X1915" i="72" s="1"/>
  <c r="S2089" i="72"/>
  <c r="P2090" i="72"/>
  <c r="X2083" i="72" s="1"/>
  <c r="P2098" i="72"/>
  <c r="X2091" i="72" s="1"/>
  <c r="S2097" i="72"/>
  <c r="S2081" i="72"/>
  <c r="S2082" i="72" s="1"/>
  <c r="Y2075" i="72" s="1"/>
  <c r="P2082" i="72"/>
  <c r="X2075" i="72" s="1"/>
  <c r="S2115" i="72"/>
  <c r="T2115" i="72" s="1"/>
  <c r="S1937" i="72"/>
  <c r="P1938" i="72"/>
  <c r="X1931" i="72" s="1"/>
  <c r="J1693" i="58"/>
  <c r="N1693" i="58" s="1"/>
  <c r="N2134" i="72"/>
  <c r="P2134" i="72" s="1"/>
  <c r="S2134" i="72" s="1"/>
  <c r="T2134" i="72" s="1"/>
  <c r="N1988" i="72"/>
  <c r="P1988" i="72" s="1"/>
  <c r="S1988" i="72" s="1"/>
  <c r="T1988" i="72" s="1"/>
  <c r="S1871" i="72"/>
  <c r="T1871" i="72" s="1"/>
  <c r="S1829" i="72"/>
  <c r="T1829" i="72" s="1"/>
  <c r="J1692" i="58"/>
  <c r="N1692" i="58" s="1"/>
  <c r="N2133" i="72"/>
  <c r="P2133" i="72" s="1"/>
  <c r="N1987" i="72"/>
  <c r="P1987" i="72" s="1"/>
  <c r="S1929" i="72"/>
  <c r="P1930" i="72"/>
  <c r="X1923" i="72" s="1"/>
  <c r="S1212" i="72"/>
  <c r="P1216" i="72"/>
  <c r="X1207" i="72" s="1"/>
  <c r="S2029" i="72"/>
  <c r="S2032" i="72" s="1"/>
  <c r="Y2022" i="72" s="1"/>
  <c r="P2032" i="72"/>
  <c r="X2022" i="72" s="1"/>
  <c r="S2047" i="72"/>
  <c r="P2050" i="72"/>
  <c r="X2042" i="72" s="1"/>
  <c r="P1999" i="72"/>
  <c r="X1991" i="72" s="1"/>
  <c r="S1996" i="72"/>
  <c r="K1464" i="58"/>
  <c r="K1469" i="58" s="1"/>
  <c r="K1470" i="58" s="1"/>
  <c r="K1471" i="58" s="1"/>
  <c r="P1453" i="58" s="1"/>
  <c r="S1216" i="58"/>
  <c r="U1216" i="58" s="1"/>
  <c r="T1216" i="58" s="1"/>
  <c r="S988" i="72"/>
  <c r="P992" i="72"/>
  <c r="X982" i="72" s="1"/>
  <c r="S1274" i="72"/>
  <c r="P1278" i="72"/>
  <c r="X1269" i="72" s="1"/>
  <c r="S2007" i="72"/>
  <c r="P2010" i="72"/>
  <c r="X2000" i="72" s="1"/>
  <c r="T2124" i="72"/>
  <c r="T2127" i="72" s="1"/>
  <c r="S2127" i="72"/>
  <c r="Y2117" i="72" s="1"/>
  <c r="S1869" i="72"/>
  <c r="P1872" i="72"/>
  <c r="X1862" i="72" s="1"/>
  <c r="T1974" i="72"/>
  <c r="T1977" i="72" s="1"/>
  <c r="S1887" i="72"/>
  <c r="P1890" i="72"/>
  <c r="X1882" i="72" s="1"/>
  <c r="S1953" i="72"/>
  <c r="P1956" i="72"/>
  <c r="X1948" i="72" s="1"/>
  <c r="S944" i="72"/>
  <c r="P948" i="72"/>
  <c r="X938" i="72" s="1"/>
  <c r="S1878" i="72"/>
  <c r="P1881" i="72"/>
  <c r="X1873" i="72" s="1"/>
  <c r="S1847" i="72"/>
  <c r="P1850" i="72"/>
  <c r="X1840" i="72" s="1"/>
  <c r="S1963" i="72"/>
  <c r="P1966" i="72"/>
  <c r="X1957" i="72" s="1"/>
  <c r="S1232" i="72"/>
  <c r="S2018" i="72"/>
  <c r="P2021" i="72"/>
  <c r="X2011" i="72" s="1"/>
  <c r="S1660" i="72"/>
  <c r="P1664" i="72"/>
  <c r="X1655" i="72" s="1"/>
  <c r="S2104" i="72"/>
  <c r="P2107" i="72"/>
  <c r="X2099" i="72" s="1"/>
  <c r="S1827" i="72"/>
  <c r="P1830" i="72"/>
  <c r="X1822" i="72" s="1"/>
  <c r="S2113" i="72"/>
  <c r="P2116" i="72"/>
  <c r="X2108" i="72" s="1"/>
  <c r="S1944" i="72"/>
  <c r="P1947" i="72"/>
  <c r="X1939" i="72" s="1"/>
  <c r="S2038" i="72"/>
  <c r="P2041" i="72"/>
  <c r="X2033" i="72" s="1"/>
  <c r="S1858" i="72"/>
  <c r="P1861" i="72"/>
  <c r="X1851" i="72" s="1"/>
  <c r="S1836" i="72"/>
  <c r="P1839" i="72"/>
  <c r="X1831" i="72" s="1"/>
  <c r="P1801" i="72"/>
  <c r="X1792" i="72" s="1"/>
  <c r="S1797" i="72"/>
  <c r="K1442" i="58"/>
  <c r="N1439" i="58"/>
  <c r="N1449" i="58" s="1"/>
  <c r="K1632" i="58"/>
  <c r="K1637" i="58" s="1"/>
  <c r="K1638" i="58" s="1"/>
  <c r="K1639" i="58" s="1"/>
  <c r="P1621" i="58" s="1"/>
  <c r="N1631" i="58"/>
  <c r="N1637" i="58" s="1"/>
  <c r="K1422" i="58"/>
  <c r="K1429" i="58" s="1"/>
  <c r="K1430" i="58" s="1"/>
  <c r="K1431" i="58" s="1"/>
  <c r="P1413" i="58" s="1"/>
  <c r="N1419" i="58"/>
  <c r="N1429" i="58" s="1"/>
  <c r="K621" i="58"/>
  <c r="N620" i="58"/>
  <c r="N629" i="58" s="1"/>
  <c r="B79" i="63"/>
  <c r="B222" i="65" s="1"/>
  <c r="K1231" i="58"/>
  <c r="K1232" i="58" s="1"/>
  <c r="K1233" i="58" s="1"/>
  <c r="P1216" i="58" s="1"/>
  <c r="K629" i="58" l="1"/>
  <c r="K630" i="58" s="1"/>
  <c r="K631" i="58" s="1"/>
  <c r="P614" i="58" s="1"/>
  <c r="K1449" i="58"/>
  <c r="K1450" i="58" s="1"/>
  <c r="K1451" i="58" s="1"/>
  <c r="P1433" i="58" s="1"/>
  <c r="L1368" i="58"/>
  <c r="Q1352" i="58" s="1"/>
  <c r="L1348" i="58"/>
  <c r="Q1332" i="58" s="1"/>
  <c r="L1269" i="58"/>
  <c r="Q1254" i="58" s="1"/>
  <c r="L1489" i="58"/>
  <c r="Q1473" i="58" s="1"/>
  <c r="N658" i="58"/>
  <c r="N667" i="58" s="1"/>
  <c r="S652" i="58" s="1"/>
  <c r="U652" i="58" s="1"/>
  <c r="T652" i="58" s="1"/>
  <c r="L1577" i="58"/>
  <c r="Q1561" i="58" s="1"/>
  <c r="K1658" i="58"/>
  <c r="K1659" i="58" s="1"/>
  <c r="K1660" i="58" s="1"/>
  <c r="P1641" i="58" s="1"/>
  <c r="L1617" i="58"/>
  <c r="Q1601" i="58" s="1"/>
  <c r="K920" i="58"/>
  <c r="L920" i="58" s="1"/>
  <c r="Q903" i="58" s="1"/>
  <c r="N1697" i="58"/>
  <c r="S1684" i="58" s="1"/>
  <c r="U1684" i="58" s="1"/>
  <c r="T1684" i="58" s="1"/>
  <c r="L1557" i="58"/>
  <c r="Q1544" i="58" s="1"/>
  <c r="L1597" i="58"/>
  <c r="Q1581" i="58" s="1"/>
  <c r="P449" i="72"/>
  <c r="X435" i="72" s="1"/>
  <c r="N941" i="58"/>
  <c r="S924" i="58" s="1"/>
  <c r="U924" i="58" s="1"/>
  <c r="T924" i="58" s="1"/>
  <c r="N878" i="58"/>
  <c r="S861" i="58" s="1"/>
  <c r="U861" i="58" s="1"/>
  <c r="T861" i="58" s="1"/>
  <c r="K1694" i="58"/>
  <c r="K1697" i="58" s="1"/>
  <c r="K1698" i="58" s="1"/>
  <c r="K1699" i="58" s="1"/>
  <c r="P1684" i="58" s="1"/>
  <c r="L793" i="58"/>
  <c r="Q775" i="58" s="1"/>
  <c r="S1230" i="72"/>
  <c r="T1230" i="72" s="1"/>
  <c r="K667" i="58"/>
  <c r="K668" i="58" s="1"/>
  <c r="K669" i="58" s="1"/>
  <c r="P652" i="58" s="1"/>
  <c r="S1254" i="58"/>
  <c r="U1254" i="58" s="1"/>
  <c r="T1254" i="58" s="1"/>
  <c r="P466" i="72"/>
  <c r="X450" i="72" s="1"/>
  <c r="P923" i="72"/>
  <c r="X907" i="72" s="1"/>
  <c r="T1326" i="72"/>
  <c r="T1332" i="72" s="1"/>
  <c r="T1113" i="72"/>
  <c r="T1121" i="72" s="1"/>
  <c r="S1121" i="72"/>
  <c r="Y1110" i="72" s="1"/>
  <c r="N899" i="58"/>
  <c r="S882" i="58" s="1"/>
  <c r="U882" i="58" s="1"/>
  <c r="T882" i="58" s="1"/>
  <c r="L1250" i="58"/>
  <c r="Q1235" i="58" s="1"/>
  <c r="S1235" i="58"/>
  <c r="U1235" i="58" s="1"/>
  <c r="T1235" i="58" s="1"/>
  <c r="T1652" i="72"/>
  <c r="T1654" i="72" s="1"/>
  <c r="T453" i="72"/>
  <c r="T466" i="72" s="1"/>
  <c r="S466" i="72"/>
  <c r="Y450" i="72" s="1"/>
  <c r="N564" i="58"/>
  <c r="S541" i="58" s="1"/>
  <c r="U541" i="58" s="1"/>
  <c r="T541" i="58" s="1"/>
  <c r="S1064" i="72"/>
  <c r="Y1053" i="72" s="1"/>
  <c r="T910" i="72"/>
  <c r="T923" i="72" s="1"/>
  <c r="S923" i="72"/>
  <c r="Y907" i="72" s="1"/>
  <c r="T1138" i="72"/>
  <c r="T1146" i="72" s="1"/>
  <c r="S1146" i="72"/>
  <c r="Y1135" i="72" s="1"/>
  <c r="K581" i="58"/>
  <c r="K591" i="58" s="1"/>
  <c r="T1044" i="72"/>
  <c r="T1052" i="72" s="1"/>
  <c r="T893" i="72"/>
  <c r="T906" i="72" s="1"/>
  <c r="S906" i="72"/>
  <c r="Y890" i="72" s="1"/>
  <c r="K554" i="58"/>
  <c r="K564" i="58" s="1"/>
  <c r="K941" i="58"/>
  <c r="K878" i="58"/>
  <c r="T438" i="72"/>
  <c r="T449" i="72" s="1"/>
  <c r="S449" i="72"/>
  <c r="Y435" i="72" s="1"/>
  <c r="K359" i="58"/>
  <c r="N591" i="58"/>
  <c r="S568" i="58" s="1"/>
  <c r="U568" i="58" s="1"/>
  <c r="T568" i="58" s="1"/>
  <c r="K899" i="58"/>
  <c r="T1032" i="72"/>
  <c r="T1040" i="72" s="1"/>
  <c r="S2133" i="72"/>
  <c r="S2135" i="72" s="1"/>
  <c r="Y2128" i="72" s="1"/>
  <c r="P2135" i="72"/>
  <c r="X2128" i="72" s="1"/>
  <c r="T1937" i="72"/>
  <c r="T1938" i="72" s="1"/>
  <c r="S1938" i="72"/>
  <c r="Y1931" i="72" s="1"/>
  <c r="T2089" i="72"/>
  <c r="T2090" i="72" s="1"/>
  <c r="S2090" i="72"/>
  <c r="Y2083" i="72" s="1"/>
  <c r="T1929" i="72"/>
  <c r="T1930" i="72" s="1"/>
  <c r="S1930" i="72"/>
  <c r="Y1923" i="72" s="1"/>
  <c r="T2097" i="72"/>
  <c r="T2098" i="72" s="1"/>
  <c r="S2098" i="72"/>
  <c r="Y2091" i="72" s="1"/>
  <c r="S1987" i="72"/>
  <c r="P1989" i="72"/>
  <c r="X1982" i="72" s="1"/>
  <c r="T2081" i="72"/>
  <c r="T2082" i="72" s="1"/>
  <c r="T1921" i="72"/>
  <c r="T1922" i="72" s="1"/>
  <c r="S1922" i="72"/>
  <c r="Y1915" i="72" s="1"/>
  <c r="S614" i="58"/>
  <c r="U614" i="58" s="1"/>
  <c r="T614" i="58" s="1"/>
  <c r="L629" i="58"/>
  <c r="Q614" i="58" s="1"/>
  <c r="T1858" i="72"/>
  <c r="T1861" i="72" s="1"/>
  <c r="S1861" i="72"/>
  <c r="Y1851" i="72" s="1"/>
  <c r="T1944" i="72"/>
  <c r="T1947" i="72" s="1"/>
  <c r="S1947" i="72"/>
  <c r="Y1939" i="72" s="1"/>
  <c r="T1827" i="72"/>
  <c r="T1830" i="72" s="1"/>
  <c r="S1830" i="72"/>
  <c r="Y1822" i="72" s="1"/>
  <c r="T2018" i="72"/>
  <c r="T2021" i="72" s="1"/>
  <c r="S2021" i="72"/>
  <c r="Y2011" i="72" s="1"/>
  <c r="T1963" i="72"/>
  <c r="T1966" i="72" s="1"/>
  <c r="S1966" i="72"/>
  <c r="Y1957" i="72" s="1"/>
  <c r="T1878" i="72"/>
  <c r="T1881" i="72" s="1"/>
  <c r="S1881" i="72"/>
  <c r="Y1873" i="72" s="1"/>
  <c r="T1953" i="72"/>
  <c r="T1956" i="72" s="1"/>
  <c r="S1956" i="72"/>
  <c r="Y1948" i="72" s="1"/>
  <c r="T1887" i="72"/>
  <c r="T1890" i="72" s="1"/>
  <c r="S1890" i="72"/>
  <c r="Y1882" i="72" s="1"/>
  <c r="L1231" i="58"/>
  <c r="Q1216" i="58" s="1"/>
  <c r="L1469" i="58"/>
  <c r="Q1453" i="58" s="1"/>
  <c r="T1274" i="72"/>
  <c r="T1278" i="72" s="1"/>
  <c r="S1278" i="72"/>
  <c r="Y1269" i="72" s="1"/>
  <c r="S1621" i="58"/>
  <c r="U1621" i="58" s="1"/>
  <c r="T1621" i="58" s="1"/>
  <c r="L1637" i="58"/>
  <c r="Q1621" i="58" s="1"/>
  <c r="T1836" i="72"/>
  <c r="T1839" i="72" s="1"/>
  <c r="S1839" i="72"/>
  <c r="Y1831" i="72" s="1"/>
  <c r="T2113" i="72"/>
  <c r="T2116" i="72" s="1"/>
  <c r="S2116" i="72"/>
  <c r="Y2108" i="72" s="1"/>
  <c r="T2104" i="72"/>
  <c r="T2107" i="72" s="1"/>
  <c r="S2107" i="72"/>
  <c r="Y2099" i="72" s="1"/>
  <c r="T1660" i="72"/>
  <c r="T1664" i="72" s="1"/>
  <c r="T1232" i="72"/>
  <c r="T1847" i="72"/>
  <c r="T1850" i="72" s="1"/>
  <c r="S1850" i="72"/>
  <c r="Y1840" i="72" s="1"/>
  <c r="T944" i="72"/>
  <c r="T948" i="72" s="1"/>
  <c r="S948" i="72"/>
  <c r="Y938" i="72" s="1"/>
  <c r="T2047" i="72"/>
  <c r="T2050" i="72" s="1"/>
  <c r="S2050" i="72"/>
  <c r="Y2042" i="72" s="1"/>
  <c r="S1413" i="58"/>
  <c r="U1413" i="58" s="1"/>
  <c r="T1413" i="58" s="1"/>
  <c r="L1429" i="58"/>
  <c r="Q1413" i="58" s="1"/>
  <c r="S1433" i="58"/>
  <c r="U1433" i="58" s="1"/>
  <c r="T1433" i="58" s="1"/>
  <c r="T2038" i="72"/>
  <c r="T2041" i="72" s="1"/>
  <c r="S2041" i="72"/>
  <c r="Y2033" i="72" s="1"/>
  <c r="T1797" i="72"/>
  <c r="T1801" i="72" s="1"/>
  <c r="S1801" i="72"/>
  <c r="Y1792" i="72" s="1"/>
  <c r="L1409" i="58"/>
  <c r="Q1393" i="58" s="1"/>
  <c r="T1869" i="72"/>
  <c r="T1872" i="72" s="1"/>
  <c r="S1872" i="72"/>
  <c r="Y1862" i="72" s="1"/>
  <c r="T2007" i="72"/>
  <c r="T2010" i="72" s="1"/>
  <c r="S2010" i="72"/>
  <c r="Y2000" i="72" s="1"/>
  <c r="T988" i="72"/>
  <c r="T992" i="72" s="1"/>
  <c r="S992" i="72"/>
  <c r="Y982" i="72" s="1"/>
  <c r="T1996" i="72"/>
  <c r="T1999" i="72" s="1"/>
  <c r="S1999" i="72"/>
  <c r="Y1991" i="72" s="1"/>
  <c r="T2029" i="72"/>
  <c r="T2032" i="72" s="1"/>
  <c r="T1212" i="72"/>
  <c r="T1216" i="72" s="1"/>
  <c r="S1216" i="72"/>
  <c r="Y1207" i="72" s="1"/>
  <c r="B80" i="63"/>
  <c r="B227" i="65" s="1"/>
  <c r="K1730" i="58"/>
  <c r="G58" i="66" s="1"/>
  <c r="K1729" i="58"/>
  <c r="G57" i="66" s="1"/>
  <c r="G51" i="66"/>
  <c r="K1722" i="58"/>
  <c r="G50" i="66" s="1"/>
  <c r="K1721" i="58"/>
  <c r="G49" i="66" s="1"/>
  <c r="H144" i="59"/>
  <c r="H143" i="59"/>
  <c r="H136" i="59"/>
  <c r="H135" i="59"/>
  <c r="F24" i="58"/>
  <c r="F23" i="58"/>
  <c r="F22" i="58"/>
  <c r="F21" i="58"/>
  <c r="F20" i="58"/>
  <c r="L1449" i="58" l="1"/>
  <c r="Q1433" i="58" s="1"/>
  <c r="L1658" i="58"/>
  <c r="Q1641" i="58" s="1"/>
  <c r="L667" i="58"/>
  <c r="Q652" i="58" s="1"/>
  <c r="K921" i="58"/>
  <c r="K922" i="58" s="1"/>
  <c r="P903" i="58" s="1"/>
  <c r="L1697" i="58"/>
  <c r="Q1684" i="58" s="1"/>
  <c r="S1236" i="72"/>
  <c r="Y1227" i="72" s="1"/>
  <c r="T1236" i="72"/>
  <c r="S1654" i="72"/>
  <c r="Y1645" i="72" s="1"/>
  <c r="S1040" i="72"/>
  <c r="Y1029" i="72" s="1"/>
  <c r="L359" i="58"/>
  <c r="Q344" i="58" s="1"/>
  <c r="K360" i="58"/>
  <c r="K361" i="58" s="1"/>
  <c r="P344" i="58" s="1"/>
  <c r="L941" i="58"/>
  <c r="Q924" i="58" s="1"/>
  <c r="K942" i="58"/>
  <c r="K943" i="58" s="1"/>
  <c r="P924" i="58" s="1"/>
  <c r="L591" i="58"/>
  <c r="Q568" i="58" s="1"/>
  <c r="K592" i="58"/>
  <c r="K593" i="58" s="1"/>
  <c r="P568" i="58" s="1"/>
  <c r="L899" i="58"/>
  <c r="Q882" i="58" s="1"/>
  <c r="K900" i="58"/>
  <c r="K901" i="58" s="1"/>
  <c r="P882" i="58" s="1"/>
  <c r="S1052" i="72"/>
  <c r="Y1041" i="72" s="1"/>
  <c r="L878" i="58"/>
  <c r="Q861" i="58" s="1"/>
  <c r="K879" i="58"/>
  <c r="K880" i="58" s="1"/>
  <c r="P861" i="58" s="1"/>
  <c r="L564" i="58"/>
  <c r="Q541" i="58" s="1"/>
  <c r="K565" i="58"/>
  <c r="K566" i="58" s="1"/>
  <c r="P541" i="58" s="1"/>
  <c r="T2133" i="72"/>
  <c r="T2135" i="72" s="1"/>
  <c r="T1987" i="72"/>
  <c r="T1989" i="72" s="1"/>
  <c r="S1989" i="72"/>
  <c r="Y1982" i="72" s="1"/>
  <c r="S1664" i="72"/>
  <c r="Y1655" i="72" s="1"/>
  <c r="B82" i="63"/>
  <c r="B231" i="65" s="1"/>
  <c r="B19" i="59"/>
  <c r="C19" i="59"/>
  <c r="B20" i="59"/>
  <c r="A16" i="75" l="1"/>
  <c r="H17" i="75"/>
  <c r="P17" i="75"/>
  <c r="N17" i="75"/>
  <c r="D17" i="75"/>
  <c r="I17" i="75"/>
  <c r="O17" i="75"/>
  <c r="Q17" i="75" s="1"/>
  <c r="J17" i="75"/>
  <c r="P18" i="69"/>
  <c r="O18" i="69"/>
  <c r="Q18" i="69" s="1"/>
  <c r="A17" i="72"/>
  <c r="H27" i="72"/>
  <c r="Q27" i="72"/>
  <c r="R27" i="72"/>
  <c r="M27" i="72"/>
  <c r="D27" i="72"/>
  <c r="N27" i="72"/>
  <c r="A17" i="71"/>
  <c r="D18" i="71"/>
  <c r="O18" i="71"/>
  <c r="Q18" i="71" s="1"/>
  <c r="P18" i="71"/>
  <c r="R18" i="71" s="1"/>
  <c r="I18" i="71"/>
  <c r="N18" i="71"/>
  <c r="H18" i="71"/>
  <c r="J18" i="71"/>
  <c r="N18" i="69"/>
  <c r="J18" i="69"/>
  <c r="H18" i="69"/>
  <c r="I18" i="69"/>
  <c r="D18" i="69"/>
  <c r="A17" i="69"/>
  <c r="A26" i="63"/>
  <c r="B83" i="63"/>
  <c r="B236" i="65" s="1"/>
  <c r="F20" i="59"/>
  <c r="C20" i="59"/>
  <c r="D346" i="76" l="1"/>
  <c r="D110" i="77" s="1"/>
  <c r="D17" i="76"/>
  <c r="I16" i="75"/>
  <c r="I346" i="76"/>
  <c r="I110" i="77" s="1"/>
  <c r="I17" i="76"/>
  <c r="AG17" i="75"/>
  <c r="L17" i="75"/>
  <c r="W17" i="75" s="1"/>
  <c r="D17" i="72"/>
  <c r="D16" i="75"/>
  <c r="AJ27" i="72"/>
  <c r="P27" i="72"/>
  <c r="I17" i="71"/>
  <c r="M17" i="72"/>
  <c r="AF18" i="71"/>
  <c r="L18" i="71"/>
  <c r="S18" i="71" s="1"/>
  <c r="D17" i="69"/>
  <c r="D17" i="71"/>
  <c r="L18" i="69"/>
  <c r="AG18" i="69"/>
  <c r="I17" i="69"/>
  <c r="B84" i="63"/>
  <c r="B241" i="65" s="1"/>
  <c r="H1717" i="58"/>
  <c r="F1717" i="58"/>
  <c r="O1701" i="58"/>
  <c r="K1715" i="58"/>
  <c r="H1541" i="58"/>
  <c r="F1541" i="58"/>
  <c r="O1527" i="58"/>
  <c r="K1539" i="58"/>
  <c r="H1524" i="58"/>
  <c r="F1524" i="58"/>
  <c r="O1510" i="58"/>
  <c r="K1522" i="58"/>
  <c r="H1507" i="58"/>
  <c r="F1507" i="58"/>
  <c r="O1493" i="58"/>
  <c r="K1505" i="58"/>
  <c r="H1390" i="58"/>
  <c r="F1390" i="58"/>
  <c r="O1372" i="58"/>
  <c r="K1388" i="58"/>
  <c r="I1380" i="58"/>
  <c r="J1380" i="58" s="1"/>
  <c r="N1380" i="58" s="1"/>
  <c r="I1379" i="58"/>
  <c r="J1379" i="58" s="1"/>
  <c r="N1379" i="58" s="1"/>
  <c r="I1377" i="58"/>
  <c r="J1377" i="58" s="1"/>
  <c r="N1377" i="58" s="1"/>
  <c r="H1329" i="58"/>
  <c r="F1329" i="58"/>
  <c r="O1312" i="58"/>
  <c r="K1327" i="58"/>
  <c r="H1309" i="58"/>
  <c r="F1309" i="58"/>
  <c r="O1292" i="58"/>
  <c r="K1307" i="58"/>
  <c r="H1289" i="58"/>
  <c r="F1289" i="58"/>
  <c r="O1273" i="58"/>
  <c r="K1287" i="58"/>
  <c r="J1279" i="58"/>
  <c r="N1279" i="58" s="1"/>
  <c r="H1213" i="58"/>
  <c r="F1213" i="58"/>
  <c r="O1197" i="58"/>
  <c r="K1211" i="58"/>
  <c r="H1194" i="58"/>
  <c r="F1194" i="58"/>
  <c r="H1175" i="58"/>
  <c r="F1175" i="58"/>
  <c r="H1156" i="58"/>
  <c r="F1156" i="58"/>
  <c r="O1178" i="58"/>
  <c r="O1159" i="58"/>
  <c r="O1140" i="58"/>
  <c r="K1192" i="58"/>
  <c r="K1173" i="58"/>
  <c r="K1154" i="58"/>
  <c r="H1137" i="58"/>
  <c r="F1137" i="58"/>
  <c r="H1117" i="58"/>
  <c r="F1117" i="58"/>
  <c r="O1120" i="58"/>
  <c r="O1100" i="58"/>
  <c r="K1135" i="58"/>
  <c r="K1115" i="58"/>
  <c r="H1097" i="58"/>
  <c r="F1097" i="58"/>
  <c r="O1081" i="58"/>
  <c r="K1095" i="58"/>
  <c r="H1078" i="58"/>
  <c r="F1078" i="58"/>
  <c r="O1063" i="58"/>
  <c r="K1076" i="58"/>
  <c r="H1060" i="58"/>
  <c r="F1060" i="58"/>
  <c r="O1041" i="58"/>
  <c r="K1058" i="58"/>
  <c r="H1038" i="58"/>
  <c r="F1038" i="58"/>
  <c r="O1021" i="58"/>
  <c r="K1036" i="58"/>
  <c r="H1018" i="58"/>
  <c r="F1018" i="58"/>
  <c r="O1001" i="58"/>
  <c r="K1016" i="58"/>
  <c r="H998" i="58"/>
  <c r="F998" i="58"/>
  <c r="O983" i="58"/>
  <c r="K996" i="58"/>
  <c r="H980" i="58"/>
  <c r="F980" i="58"/>
  <c r="H961" i="58"/>
  <c r="F961" i="58"/>
  <c r="O964" i="58"/>
  <c r="O945" i="58"/>
  <c r="K978" i="58"/>
  <c r="K959" i="58"/>
  <c r="R17" i="75" l="1"/>
  <c r="S17" i="75" s="1"/>
  <c r="R18" i="69"/>
  <c r="S18" i="69" s="1"/>
  <c r="B86" i="63"/>
  <c r="B245" i="65" s="1"/>
  <c r="B87" i="63" l="1"/>
  <c r="B248" i="65" s="1"/>
  <c r="B88" i="63" l="1"/>
  <c r="O797" i="58"/>
  <c r="K814" i="58"/>
  <c r="H858" i="58"/>
  <c r="F858" i="58"/>
  <c r="O841" i="58"/>
  <c r="K856" i="58"/>
  <c r="H838" i="58"/>
  <c r="F838" i="58"/>
  <c r="B90" i="63" l="1"/>
  <c r="B253" i="65"/>
  <c r="O819" i="58"/>
  <c r="K836" i="58"/>
  <c r="H772" i="58"/>
  <c r="F772" i="58"/>
  <c r="O753" i="58"/>
  <c r="K770" i="58"/>
  <c r="H750" i="58"/>
  <c r="F750" i="58"/>
  <c r="O731" i="58"/>
  <c r="K748" i="58"/>
  <c r="H728" i="58"/>
  <c r="F728" i="58"/>
  <c r="O711" i="58"/>
  <c r="K726" i="58"/>
  <c r="H708" i="58"/>
  <c r="F708" i="58"/>
  <c r="O691" i="58"/>
  <c r="K706" i="58"/>
  <c r="H688" i="58"/>
  <c r="F688" i="58"/>
  <c r="O671" i="58"/>
  <c r="K686" i="58"/>
  <c r="P677" i="58"/>
  <c r="H649" i="58"/>
  <c r="F649" i="58"/>
  <c r="O633" i="58"/>
  <c r="K647" i="58"/>
  <c r="H611" i="58"/>
  <c r="F611" i="58"/>
  <c r="O595" i="58"/>
  <c r="K609" i="58"/>
  <c r="H538" i="58"/>
  <c r="F538" i="58"/>
  <c r="O517" i="58"/>
  <c r="K536" i="58"/>
  <c r="H514" i="58"/>
  <c r="F514" i="58"/>
  <c r="H489" i="58"/>
  <c r="F489" i="58"/>
  <c r="O492" i="58"/>
  <c r="K512" i="58"/>
  <c r="O467" i="58"/>
  <c r="K487" i="58"/>
  <c r="H464" i="58"/>
  <c r="F464" i="58"/>
  <c r="H443" i="58"/>
  <c r="F443" i="58"/>
  <c r="O446" i="58"/>
  <c r="O425" i="58"/>
  <c r="K462" i="58"/>
  <c r="K441" i="58"/>
  <c r="H421" i="58"/>
  <c r="F421" i="58"/>
  <c r="O405" i="58"/>
  <c r="K419" i="58"/>
  <c r="H402" i="58"/>
  <c r="F402" i="58"/>
  <c r="O384" i="58"/>
  <c r="K400" i="58"/>
  <c r="H381" i="58"/>
  <c r="F381" i="58"/>
  <c r="O363" i="58"/>
  <c r="K379" i="58"/>
  <c r="B91" i="63" l="1"/>
  <c r="B257" i="65"/>
  <c r="B92" i="63" l="1"/>
  <c r="B258" i="65"/>
  <c r="B94" i="63" l="1"/>
  <c r="B262" i="65"/>
  <c r="H341" i="58"/>
  <c r="F341" i="58"/>
  <c r="O326" i="58"/>
  <c r="K339" i="58"/>
  <c r="H323" i="58"/>
  <c r="F323" i="58"/>
  <c r="H303" i="58"/>
  <c r="F303" i="58"/>
  <c r="O306" i="58"/>
  <c r="O287" i="58"/>
  <c r="K321" i="58"/>
  <c r="K301" i="58"/>
  <c r="H284" i="58"/>
  <c r="F284" i="58"/>
  <c r="O267" i="58"/>
  <c r="K282" i="58"/>
  <c r="H264" i="58"/>
  <c r="F264" i="58"/>
  <c r="O246" i="58"/>
  <c r="K262" i="58"/>
  <c r="H243" i="58"/>
  <c r="F243" i="58"/>
  <c r="O226" i="58"/>
  <c r="K241" i="58"/>
  <c r="H223" i="58"/>
  <c r="F223" i="58"/>
  <c r="H203" i="58"/>
  <c r="F203" i="58"/>
  <c r="O206" i="58"/>
  <c r="K221" i="58"/>
  <c r="O186" i="58"/>
  <c r="K201" i="58"/>
  <c r="H183" i="58"/>
  <c r="F183" i="58"/>
  <c r="O170" i="58"/>
  <c r="K181" i="58"/>
  <c r="H167" i="58"/>
  <c r="F167" i="58"/>
  <c r="H151" i="58"/>
  <c r="F151" i="58"/>
  <c r="O154" i="58"/>
  <c r="O140" i="58"/>
  <c r="K165" i="58"/>
  <c r="K149" i="58"/>
  <c r="H137" i="58"/>
  <c r="F137" i="58"/>
  <c r="O126" i="58"/>
  <c r="K135" i="58"/>
  <c r="H122" i="58"/>
  <c r="F122" i="58"/>
  <c r="O111" i="58"/>
  <c r="K120" i="58"/>
  <c r="H108" i="58"/>
  <c r="F108" i="58"/>
  <c r="O97" i="58"/>
  <c r="K106" i="58"/>
  <c r="H93" i="58"/>
  <c r="F93" i="58"/>
  <c r="H73" i="58"/>
  <c r="F73" i="58"/>
  <c r="O62" i="58"/>
  <c r="O28" i="58"/>
  <c r="I37" i="58"/>
  <c r="I36" i="58"/>
  <c r="I35" i="58"/>
  <c r="I34" i="58"/>
  <c r="I33" i="58"/>
  <c r="K71" i="58"/>
  <c r="K91" i="58"/>
  <c r="O76" i="58"/>
  <c r="H20" i="59" l="1"/>
  <c r="J33" i="58"/>
  <c r="N33" i="58" s="1"/>
  <c r="N19" i="72"/>
  <c r="P19" i="72" s="1"/>
  <c r="J37" i="58"/>
  <c r="N37" i="58" s="1"/>
  <c r="N23" i="72"/>
  <c r="P23" i="72" s="1"/>
  <c r="S23" i="72" s="1"/>
  <c r="T23" i="72" s="1"/>
  <c r="J34" i="58"/>
  <c r="N34" i="58" s="1"/>
  <c r="N20" i="72"/>
  <c r="P20" i="72" s="1"/>
  <c r="S20" i="72" s="1"/>
  <c r="T20" i="72" s="1"/>
  <c r="J35" i="58"/>
  <c r="N35" i="58" s="1"/>
  <c r="N21" i="72"/>
  <c r="P21" i="72" s="1"/>
  <c r="S21" i="72" s="1"/>
  <c r="T21" i="72" s="1"/>
  <c r="J36" i="58"/>
  <c r="N36" i="58" s="1"/>
  <c r="N22" i="72"/>
  <c r="P22" i="72" s="1"/>
  <c r="S22" i="72" s="1"/>
  <c r="T22" i="72" s="1"/>
  <c r="B266" i="65"/>
  <c r="B95" i="63"/>
  <c r="B76" i="58"/>
  <c r="B22" i="59"/>
  <c r="A19" i="75" s="1"/>
  <c r="H346" i="76" l="1"/>
  <c r="H110" i="77" s="1"/>
  <c r="H17" i="76"/>
  <c r="H16" i="75"/>
  <c r="H17" i="71"/>
  <c r="H17" i="72"/>
  <c r="H17" i="69"/>
  <c r="K38" i="58"/>
  <c r="S19" i="72"/>
  <c r="T19" i="72" s="1"/>
  <c r="A20" i="71"/>
  <c r="A44" i="72"/>
  <c r="H22" i="59"/>
  <c r="B23" i="59"/>
  <c r="A18" i="75" s="1"/>
  <c r="B97" i="58"/>
  <c r="A20" i="69"/>
  <c r="B271" i="65"/>
  <c r="B96" i="63"/>
  <c r="F22" i="59"/>
  <c r="C22" i="59"/>
  <c r="H19" i="75" l="1"/>
  <c r="H348" i="76"/>
  <c r="H66" i="77" s="1"/>
  <c r="H20" i="76"/>
  <c r="D19" i="75"/>
  <c r="D348" i="76"/>
  <c r="D66" i="77" s="1"/>
  <c r="D20" i="76"/>
  <c r="I19" i="75"/>
  <c r="I348" i="76"/>
  <c r="I66" i="77" s="1"/>
  <c r="I20" i="76"/>
  <c r="A19" i="71"/>
  <c r="A33" i="72"/>
  <c r="D20" i="71"/>
  <c r="D44" i="72"/>
  <c r="I20" i="71"/>
  <c r="M44" i="72"/>
  <c r="H20" i="71"/>
  <c r="H44" i="72"/>
  <c r="A19" i="69"/>
  <c r="H23" i="59"/>
  <c r="C23" i="59"/>
  <c r="F23" i="59"/>
  <c r="H20" i="69"/>
  <c r="D20" i="69"/>
  <c r="I20" i="69"/>
  <c r="B277" i="65"/>
  <c r="B98" i="63"/>
  <c r="D18" i="75" l="1"/>
  <c r="D349" i="76"/>
  <c r="D65" i="77" s="1"/>
  <c r="D19" i="76"/>
  <c r="H18" i="75"/>
  <c r="H349" i="76"/>
  <c r="H65" i="77" s="1"/>
  <c r="H19" i="76"/>
  <c r="I18" i="75"/>
  <c r="I349" i="76"/>
  <c r="I65" i="77" s="1"/>
  <c r="I19" i="76"/>
  <c r="I19" i="71"/>
  <c r="M33" i="72"/>
  <c r="D19" i="71"/>
  <c r="D33" i="72"/>
  <c r="H19" i="71"/>
  <c r="H33" i="72"/>
  <c r="I19" i="69"/>
  <c r="D19" i="69"/>
  <c r="H19" i="69"/>
  <c r="B282" i="65"/>
  <c r="B99" i="63"/>
  <c r="B285" i="65" l="1"/>
  <c r="B100" i="63"/>
  <c r="B290" i="65" s="1"/>
  <c r="A37" i="63" l="1"/>
  <c r="B111" i="58"/>
  <c r="B126" i="58" s="1"/>
  <c r="B24" i="59"/>
  <c r="A22" i="75" s="1"/>
  <c r="S152" i="11"/>
  <c r="T152" i="11"/>
  <c r="R152" i="11"/>
  <c r="S137" i="11"/>
  <c r="T137" i="11"/>
  <c r="S138" i="11"/>
  <c r="T138" i="11"/>
  <c r="S139" i="11"/>
  <c r="T139" i="11"/>
  <c r="S140" i="11"/>
  <c r="T140" i="11"/>
  <c r="S141" i="11"/>
  <c r="T141" i="11"/>
  <c r="S142" i="11"/>
  <c r="T142" i="11"/>
  <c r="S143" i="11"/>
  <c r="T143" i="11"/>
  <c r="S149" i="11"/>
  <c r="T149" i="11"/>
  <c r="R137" i="11"/>
  <c r="R138" i="11"/>
  <c r="R139" i="11"/>
  <c r="R140" i="11"/>
  <c r="R141" i="11"/>
  <c r="R142" i="11"/>
  <c r="R143" i="11"/>
  <c r="R149" i="11"/>
  <c r="S124" i="11"/>
  <c r="T124" i="11"/>
  <c r="S125" i="11"/>
  <c r="T125" i="11"/>
  <c r="S126" i="11"/>
  <c r="T126" i="11"/>
  <c r="S127" i="11"/>
  <c r="T127" i="11"/>
  <c r="S128" i="11"/>
  <c r="T128" i="11"/>
  <c r="S129" i="11"/>
  <c r="T129" i="11"/>
  <c r="S130" i="11"/>
  <c r="T130" i="11"/>
  <c r="S131" i="11"/>
  <c r="T131" i="11"/>
  <c r="S134" i="11"/>
  <c r="T134" i="11"/>
  <c r="S135" i="11"/>
  <c r="T135" i="11"/>
  <c r="R124" i="11"/>
  <c r="R125" i="11"/>
  <c r="R126" i="11"/>
  <c r="R127" i="11"/>
  <c r="R128" i="11"/>
  <c r="R129" i="11"/>
  <c r="R130" i="11"/>
  <c r="R131" i="11"/>
  <c r="R134" i="11"/>
  <c r="R135" i="11"/>
  <c r="S111" i="11"/>
  <c r="T111" i="11"/>
  <c r="S118" i="11"/>
  <c r="T118" i="11"/>
  <c r="S119" i="11"/>
  <c r="T119" i="11"/>
  <c r="S120" i="11"/>
  <c r="T120" i="11"/>
  <c r="S121" i="11"/>
  <c r="T121" i="11"/>
  <c r="S122" i="11"/>
  <c r="T122" i="11"/>
  <c r="R111" i="11"/>
  <c r="R118" i="11"/>
  <c r="R119" i="11"/>
  <c r="R120" i="11"/>
  <c r="R121" i="11"/>
  <c r="R122" i="11"/>
  <c r="S99" i="11"/>
  <c r="T99" i="11"/>
  <c r="S102" i="11"/>
  <c r="T102" i="11"/>
  <c r="S107" i="11"/>
  <c r="T107" i="11"/>
  <c r="R99" i="11"/>
  <c r="R102" i="11"/>
  <c r="R107" i="11"/>
  <c r="S85" i="11"/>
  <c r="T85" i="11"/>
  <c r="S86" i="11"/>
  <c r="T86" i="11"/>
  <c r="S87" i="11"/>
  <c r="T87" i="11"/>
  <c r="S89" i="11"/>
  <c r="T89" i="11"/>
  <c r="S90" i="11"/>
  <c r="T90" i="11"/>
  <c r="S91" i="11"/>
  <c r="T91" i="11"/>
  <c r="S92" i="11"/>
  <c r="T92" i="11"/>
  <c r="S93" i="11"/>
  <c r="T93" i="11"/>
  <c r="S94" i="11"/>
  <c r="T94" i="11"/>
  <c r="R85" i="11"/>
  <c r="R86" i="11"/>
  <c r="R87" i="11"/>
  <c r="R89" i="11"/>
  <c r="R90" i="11"/>
  <c r="R91" i="11"/>
  <c r="R92" i="11"/>
  <c r="R93" i="11"/>
  <c r="R94" i="11"/>
  <c r="S77" i="11"/>
  <c r="T77" i="11"/>
  <c r="S79" i="11"/>
  <c r="T79" i="11"/>
  <c r="R79" i="11"/>
  <c r="S72" i="11"/>
  <c r="T72" i="11"/>
  <c r="R72" i="11"/>
  <c r="R77" i="11"/>
  <c r="S47" i="11"/>
  <c r="T47" i="11"/>
  <c r="S48" i="11"/>
  <c r="T48" i="11"/>
  <c r="S49" i="11"/>
  <c r="T49" i="11"/>
  <c r="S50" i="11"/>
  <c r="T50" i="11"/>
  <c r="S51" i="11"/>
  <c r="T51" i="11"/>
  <c r="S52" i="11"/>
  <c r="T52" i="11"/>
  <c r="S54" i="11"/>
  <c r="T54" i="11"/>
  <c r="S55" i="11"/>
  <c r="T55" i="11"/>
  <c r="S56" i="11"/>
  <c r="T56" i="11"/>
  <c r="S57" i="11"/>
  <c r="T57" i="11"/>
  <c r="S58" i="11"/>
  <c r="T58" i="11"/>
  <c r="S60" i="11"/>
  <c r="T60" i="11"/>
  <c r="S61" i="11"/>
  <c r="T61" i="11"/>
  <c r="S62" i="11"/>
  <c r="T62" i="11"/>
  <c r="S63" i="11"/>
  <c r="T63" i="11"/>
  <c r="S64" i="11"/>
  <c r="T64" i="11"/>
  <c r="S65" i="11"/>
  <c r="T65" i="11"/>
  <c r="S66" i="11"/>
  <c r="T66" i="11"/>
  <c r="S67" i="11"/>
  <c r="T67" i="11"/>
  <c r="S68" i="11"/>
  <c r="T68" i="11"/>
  <c r="R48" i="11"/>
  <c r="R49" i="11"/>
  <c r="R50" i="11"/>
  <c r="R51" i="11"/>
  <c r="R52" i="11"/>
  <c r="R54" i="11"/>
  <c r="R55" i="11"/>
  <c r="R56" i="11"/>
  <c r="R57" i="11"/>
  <c r="R58" i="11"/>
  <c r="R60" i="11"/>
  <c r="R61" i="11"/>
  <c r="R62" i="11"/>
  <c r="R63" i="11"/>
  <c r="R64" i="11"/>
  <c r="R65" i="11"/>
  <c r="R66" i="11"/>
  <c r="R67" i="11"/>
  <c r="R68" i="11"/>
  <c r="R47" i="11"/>
  <c r="S24" i="11"/>
  <c r="T24" i="11"/>
  <c r="S25" i="11"/>
  <c r="T25" i="11"/>
  <c r="S26" i="11"/>
  <c r="T26" i="11"/>
  <c r="S27" i="11"/>
  <c r="T27" i="11"/>
  <c r="S28" i="11"/>
  <c r="T28" i="11"/>
  <c r="S29" i="11"/>
  <c r="T29" i="11"/>
  <c r="S30" i="11"/>
  <c r="T30" i="11"/>
  <c r="S31" i="11"/>
  <c r="T31" i="11"/>
  <c r="S32" i="11"/>
  <c r="T32" i="11"/>
  <c r="S33" i="11"/>
  <c r="T33" i="11"/>
  <c r="S34" i="11"/>
  <c r="T34" i="11"/>
  <c r="S35" i="11"/>
  <c r="T35" i="11"/>
  <c r="S36" i="11"/>
  <c r="T36" i="11"/>
  <c r="S37" i="11"/>
  <c r="T37" i="11"/>
  <c r="S38" i="11"/>
  <c r="T38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A693" i="56"/>
  <c r="A694" i="56" s="1"/>
  <c r="A695" i="56" s="1"/>
  <c r="A696" i="56" s="1"/>
  <c r="A697" i="56" s="1"/>
  <c r="A698" i="56" s="1"/>
  <c r="A699" i="56" s="1"/>
  <c r="A700" i="56" s="1"/>
  <c r="A701" i="56" s="1"/>
  <c r="A702" i="56" s="1"/>
  <c r="A689" i="56"/>
  <c r="A690" i="56" s="1"/>
  <c r="A679" i="56"/>
  <c r="A680" i="56" s="1"/>
  <c r="A681" i="56" s="1"/>
  <c r="A682" i="56" s="1"/>
  <c r="A683" i="56" s="1"/>
  <c r="A684" i="56" s="1"/>
  <c r="A685" i="56" s="1"/>
  <c r="A686" i="56" s="1"/>
  <c r="A687" i="56" s="1"/>
  <c r="A688" i="56" s="1"/>
  <c r="A627" i="56"/>
  <c r="A628" i="56" s="1"/>
  <c r="A629" i="56" s="1"/>
  <c r="A630" i="56" s="1"/>
  <c r="A631" i="56" s="1"/>
  <c r="A632" i="56" s="1"/>
  <c r="A633" i="56" s="1"/>
  <c r="A634" i="56" s="1"/>
  <c r="A635" i="56" s="1"/>
  <c r="A636" i="56" s="1"/>
  <c r="A637" i="56" s="1"/>
  <c r="A638" i="56" s="1"/>
  <c r="A639" i="56" s="1"/>
  <c r="A640" i="56" s="1"/>
  <c r="A641" i="56" s="1"/>
  <c r="A642" i="56" s="1"/>
  <c r="A643" i="56" s="1"/>
  <c r="A644" i="56" s="1"/>
  <c r="A645" i="56" s="1"/>
  <c r="A646" i="56" s="1"/>
  <c r="A647" i="56" s="1"/>
  <c r="A648" i="56" s="1"/>
  <c r="A649" i="56" s="1"/>
  <c r="A650" i="56" s="1"/>
  <c r="A651" i="56" s="1"/>
  <c r="A652" i="56" s="1"/>
  <c r="A653" i="56" s="1"/>
  <c r="A654" i="56" s="1"/>
  <c r="A655" i="56" s="1"/>
  <c r="A656" i="56" s="1"/>
  <c r="A657" i="56" s="1"/>
  <c r="A658" i="56" s="1"/>
  <c r="A659" i="56" s="1"/>
  <c r="A660" i="56" s="1"/>
  <c r="A661" i="56" s="1"/>
  <c r="A662" i="56" s="1"/>
  <c r="A663" i="56" s="1"/>
  <c r="A664" i="56" s="1"/>
  <c r="A665" i="56" s="1"/>
  <c r="A666" i="56" s="1"/>
  <c r="A667" i="56" s="1"/>
  <c r="A668" i="56" s="1"/>
  <c r="A669" i="56" s="1"/>
  <c r="A670" i="56" s="1"/>
  <c r="A671" i="56" s="1"/>
  <c r="A672" i="56" s="1"/>
  <c r="A673" i="56" s="1"/>
  <c r="A674" i="56" s="1"/>
  <c r="A675" i="56" s="1"/>
  <c r="A676" i="56" s="1"/>
  <c r="A619" i="56"/>
  <c r="A620" i="56" s="1"/>
  <c r="A621" i="56" s="1"/>
  <c r="A622" i="56" s="1"/>
  <c r="A623" i="56" s="1"/>
  <c r="A624" i="56" s="1"/>
  <c r="A625" i="56" s="1"/>
  <c r="A626" i="56" s="1"/>
  <c r="A618" i="56"/>
  <c r="A611" i="56"/>
  <c r="A612" i="56" s="1"/>
  <c r="A613" i="56" s="1"/>
  <c r="A606" i="56"/>
  <c r="A607" i="56" s="1"/>
  <c r="A605" i="56"/>
  <c r="A598" i="56"/>
  <c r="A597" i="56"/>
  <c r="A579" i="56"/>
  <c r="A580" i="56" s="1"/>
  <c r="A581" i="56" s="1"/>
  <c r="A582" i="56" s="1"/>
  <c r="A583" i="56" s="1"/>
  <c r="A584" i="56" s="1"/>
  <c r="A585" i="56" s="1"/>
  <c r="A586" i="56" s="1"/>
  <c r="A587" i="56" s="1"/>
  <c r="A588" i="56" s="1"/>
  <c r="A589" i="56" s="1"/>
  <c r="A590" i="56" s="1"/>
  <c r="A591" i="56" s="1"/>
  <c r="A592" i="56" s="1"/>
  <c r="A593" i="56" s="1"/>
  <c r="A500" i="56"/>
  <c r="A501" i="56" s="1"/>
  <c r="A502" i="56" s="1"/>
  <c r="A503" i="56" s="1"/>
  <c r="A504" i="56" s="1"/>
  <c r="A505" i="56" s="1"/>
  <c r="A506" i="56" s="1"/>
  <c r="A507" i="56" s="1"/>
  <c r="A508" i="56" s="1"/>
  <c r="A509" i="56" s="1"/>
  <c r="A510" i="56" s="1"/>
  <c r="A511" i="56" s="1"/>
  <c r="A512" i="56" s="1"/>
  <c r="A513" i="56" s="1"/>
  <c r="A514" i="56" s="1"/>
  <c r="A515" i="56" s="1"/>
  <c r="A516" i="56" s="1"/>
  <c r="A517" i="56" s="1"/>
  <c r="A518" i="56" s="1"/>
  <c r="A519" i="56" s="1"/>
  <c r="A520" i="56" s="1"/>
  <c r="A521" i="56" s="1"/>
  <c r="A522" i="56" s="1"/>
  <c r="A523" i="56" s="1"/>
  <c r="A524" i="56" s="1"/>
  <c r="A525" i="56" s="1"/>
  <c r="A526" i="56" s="1"/>
  <c r="A527" i="56" s="1"/>
  <c r="A528" i="56" s="1"/>
  <c r="A529" i="56" s="1"/>
  <c r="A530" i="56" s="1"/>
  <c r="A531" i="56" s="1"/>
  <c r="A532" i="56" s="1"/>
  <c r="A533" i="56" s="1"/>
  <c r="A534" i="56" s="1"/>
  <c r="A535" i="56" s="1"/>
  <c r="A536" i="56" s="1"/>
  <c r="A537" i="56" s="1"/>
  <c r="A538" i="56" s="1"/>
  <c r="A539" i="56" s="1"/>
  <c r="A540" i="56" s="1"/>
  <c r="A541" i="56" s="1"/>
  <c r="A542" i="56" s="1"/>
  <c r="A543" i="56" s="1"/>
  <c r="A544" i="56" s="1"/>
  <c r="A545" i="56" s="1"/>
  <c r="A546" i="56" s="1"/>
  <c r="A547" i="56" s="1"/>
  <c r="A548" i="56" s="1"/>
  <c r="A549" i="56" s="1"/>
  <c r="A550" i="56" s="1"/>
  <c r="A551" i="56" s="1"/>
  <c r="A552" i="56" s="1"/>
  <c r="A553" i="56" s="1"/>
  <c r="A554" i="56" s="1"/>
  <c r="A555" i="56" s="1"/>
  <c r="A556" i="56" s="1"/>
  <c r="A557" i="56" s="1"/>
  <c r="A558" i="56" s="1"/>
  <c r="A559" i="56" s="1"/>
  <c r="A560" i="56" s="1"/>
  <c r="A561" i="56" s="1"/>
  <c r="A562" i="56" s="1"/>
  <c r="A563" i="56" s="1"/>
  <c r="A564" i="56" s="1"/>
  <c r="A565" i="56" s="1"/>
  <c r="A566" i="56" s="1"/>
  <c r="A567" i="56" s="1"/>
  <c r="A568" i="56" s="1"/>
  <c r="A569" i="56" s="1"/>
  <c r="A570" i="56" s="1"/>
  <c r="A571" i="56" s="1"/>
  <c r="A572" i="56" s="1"/>
  <c r="A573" i="56" s="1"/>
  <c r="A574" i="56" s="1"/>
  <c r="A575" i="56" s="1"/>
  <c r="A490" i="56"/>
  <c r="A491" i="56" s="1"/>
  <c r="A492" i="56" s="1"/>
  <c r="A493" i="56" s="1"/>
  <c r="A494" i="56" s="1"/>
  <c r="A495" i="56" s="1"/>
  <c r="A496" i="56" s="1"/>
  <c r="A497" i="56" s="1"/>
  <c r="A498" i="56" s="1"/>
  <c r="A499" i="56" s="1"/>
  <c r="A489" i="56"/>
  <c r="A485" i="56"/>
  <c r="A477" i="56"/>
  <c r="A478" i="56" s="1"/>
  <c r="A479" i="56" s="1"/>
  <c r="A480" i="56" s="1"/>
  <c r="A481" i="56" s="1"/>
  <c r="A482" i="56" s="1"/>
  <c r="A483" i="56" s="1"/>
  <c r="A484" i="56" s="1"/>
  <c r="A476" i="56"/>
  <c r="A65" i="56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A202" i="56" s="1"/>
  <c r="A203" i="56" s="1"/>
  <c r="A204" i="56" s="1"/>
  <c r="A205" i="56" s="1"/>
  <c r="A206" i="56" s="1"/>
  <c r="A207" i="56" s="1"/>
  <c r="A208" i="56" s="1"/>
  <c r="A209" i="56" s="1"/>
  <c r="A210" i="56" s="1"/>
  <c r="A211" i="56" s="1"/>
  <c r="A212" i="56" s="1"/>
  <c r="A213" i="56" s="1"/>
  <c r="A214" i="56" s="1"/>
  <c r="A215" i="56" s="1"/>
  <c r="A216" i="56" s="1"/>
  <c r="A217" i="56" s="1"/>
  <c r="A218" i="56" s="1"/>
  <c r="A219" i="56" s="1"/>
  <c r="A220" i="56" s="1"/>
  <c r="A221" i="56" s="1"/>
  <c r="A222" i="56" s="1"/>
  <c r="A223" i="56" s="1"/>
  <c r="A224" i="56" s="1"/>
  <c r="A225" i="56" s="1"/>
  <c r="A226" i="56" s="1"/>
  <c r="A227" i="56" s="1"/>
  <c r="A228" i="56" s="1"/>
  <c r="A229" i="56" s="1"/>
  <c r="A230" i="56" s="1"/>
  <c r="A231" i="56" s="1"/>
  <c r="A232" i="56" s="1"/>
  <c r="A233" i="56" s="1"/>
  <c r="A234" i="56" s="1"/>
  <c r="A235" i="56" s="1"/>
  <c r="A236" i="56" s="1"/>
  <c r="A237" i="56" s="1"/>
  <c r="A238" i="56" s="1"/>
  <c r="A239" i="56" s="1"/>
  <c r="A240" i="56" s="1"/>
  <c r="A241" i="56" s="1"/>
  <c r="A242" i="56" s="1"/>
  <c r="A243" i="56" s="1"/>
  <c r="A244" i="56" s="1"/>
  <c r="A245" i="56" s="1"/>
  <c r="A246" i="56" s="1"/>
  <c r="A247" i="56" s="1"/>
  <c r="A248" i="56" s="1"/>
  <c r="A249" i="56" s="1"/>
  <c r="A250" i="56" s="1"/>
  <c r="A251" i="56" s="1"/>
  <c r="A252" i="56" s="1"/>
  <c r="A253" i="56" s="1"/>
  <c r="A254" i="56" s="1"/>
  <c r="A255" i="56" s="1"/>
  <c r="A256" i="56" s="1"/>
  <c r="A257" i="56" s="1"/>
  <c r="A258" i="56" s="1"/>
  <c r="A259" i="56" s="1"/>
  <c r="A260" i="56" s="1"/>
  <c r="A261" i="56" s="1"/>
  <c r="A262" i="56" s="1"/>
  <c r="A263" i="56" s="1"/>
  <c r="A264" i="56" s="1"/>
  <c r="A265" i="56" s="1"/>
  <c r="A266" i="56" s="1"/>
  <c r="A267" i="56" s="1"/>
  <c r="A268" i="56" s="1"/>
  <c r="A269" i="56" s="1"/>
  <c r="A270" i="56" s="1"/>
  <c r="A271" i="56" s="1"/>
  <c r="A272" i="56" s="1"/>
  <c r="A273" i="56" s="1"/>
  <c r="A274" i="56" s="1"/>
  <c r="A275" i="56" s="1"/>
  <c r="A276" i="56" s="1"/>
  <c r="A277" i="56" s="1"/>
  <c r="A278" i="56" s="1"/>
  <c r="A279" i="56" s="1"/>
  <c r="A280" i="56" s="1"/>
  <c r="A281" i="56" s="1"/>
  <c r="A282" i="56" s="1"/>
  <c r="A283" i="56" s="1"/>
  <c r="A284" i="56" s="1"/>
  <c r="A285" i="56" s="1"/>
  <c r="A286" i="56" s="1"/>
  <c r="A287" i="56" s="1"/>
  <c r="A288" i="56" s="1"/>
  <c r="A289" i="56" s="1"/>
  <c r="A290" i="56" s="1"/>
  <c r="A291" i="56" s="1"/>
  <c r="A292" i="56" s="1"/>
  <c r="A293" i="56" s="1"/>
  <c r="A294" i="56" s="1"/>
  <c r="A295" i="56" s="1"/>
  <c r="A296" i="56" s="1"/>
  <c r="A297" i="56" s="1"/>
  <c r="A298" i="56" s="1"/>
  <c r="A299" i="56" s="1"/>
  <c r="A300" i="56" s="1"/>
  <c r="A301" i="56" s="1"/>
  <c r="A302" i="56" s="1"/>
  <c r="A303" i="56" s="1"/>
  <c r="A304" i="56" s="1"/>
  <c r="A305" i="56" s="1"/>
  <c r="A306" i="56" s="1"/>
  <c r="A307" i="56" s="1"/>
  <c r="A308" i="56" s="1"/>
  <c r="A309" i="56" s="1"/>
  <c r="A310" i="56" s="1"/>
  <c r="A311" i="56" s="1"/>
  <c r="A312" i="56" s="1"/>
  <c r="A313" i="56" s="1"/>
  <c r="A314" i="56" s="1"/>
  <c r="A315" i="56" s="1"/>
  <c r="A316" i="56" s="1"/>
  <c r="A317" i="56" s="1"/>
  <c r="A318" i="56" s="1"/>
  <c r="A319" i="56" s="1"/>
  <c r="A320" i="56" s="1"/>
  <c r="A321" i="56" s="1"/>
  <c r="A322" i="56" s="1"/>
  <c r="A323" i="56" s="1"/>
  <c r="A324" i="56" s="1"/>
  <c r="A325" i="56" s="1"/>
  <c r="A326" i="56" s="1"/>
  <c r="A327" i="56" s="1"/>
  <c r="A328" i="56" s="1"/>
  <c r="A329" i="56" s="1"/>
  <c r="A330" i="56" s="1"/>
  <c r="A331" i="56" s="1"/>
  <c r="A332" i="56" s="1"/>
  <c r="A333" i="56" s="1"/>
  <c r="A334" i="56" s="1"/>
  <c r="A335" i="56" s="1"/>
  <c r="A336" i="56" s="1"/>
  <c r="A337" i="56" s="1"/>
  <c r="A338" i="56" s="1"/>
  <c r="A339" i="56" s="1"/>
  <c r="A340" i="56" s="1"/>
  <c r="A341" i="56" s="1"/>
  <c r="A342" i="56" s="1"/>
  <c r="A343" i="56" s="1"/>
  <c r="A344" i="56" s="1"/>
  <c r="A345" i="56" s="1"/>
  <c r="A346" i="56" s="1"/>
  <c r="A347" i="56" s="1"/>
  <c r="A348" i="56" s="1"/>
  <c r="A349" i="56" s="1"/>
  <c r="A350" i="56" s="1"/>
  <c r="A351" i="56" s="1"/>
  <c r="A352" i="56" s="1"/>
  <c r="A353" i="56" s="1"/>
  <c r="A354" i="56" s="1"/>
  <c r="A355" i="56" s="1"/>
  <c r="A356" i="56" s="1"/>
  <c r="A357" i="56" s="1"/>
  <c r="A358" i="56" s="1"/>
  <c r="A359" i="56" s="1"/>
  <c r="A360" i="56" s="1"/>
  <c r="A361" i="56" s="1"/>
  <c r="A362" i="56" s="1"/>
  <c r="A363" i="56" s="1"/>
  <c r="A364" i="56" s="1"/>
  <c r="A365" i="56" s="1"/>
  <c r="A366" i="56" s="1"/>
  <c r="A367" i="56" s="1"/>
  <c r="A368" i="56" s="1"/>
  <c r="A369" i="56" s="1"/>
  <c r="A370" i="56" s="1"/>
  <c r="A371" i="56" s="1"/>
  <c r="A372" i="56" s="1"/>
  <c r="A373" i="56" s="1"/>
  <c r="A374" i="56" s="1"/>
  <c r="A375" i="56" s="1"/>
  <c r="A376" i="56" s="1"/>
  <c r="A377" i="56" s="1"/>
  <c r="A378" i="56" s="1"/>
  <c r="A379" i="56" s="1"/>
  <c r="A380" i="56" s="1"/>
  <c r="A381" i="56" s="1"/>
  <c r="A382" i="56" s="1"/>
  <c r="A383" i="56" s="1"/>
  <c r="A384" i="56" s="1"/>
  <c r="A385" i="56" s="1"/>
  <c r="A386" i="56" s="1"/>
  <c r="A387" i="56" s="1"/>
  <c r="A388" i="56" s="1"/>
  <c r="A389" i="56" s="1"/>
  <c r="A390" i="56" s="1"/>
  <c r="A391" i="56" s="1"/>
  <c r="A392" i="56" s="1"/>
  <c r="A393" i="56" s="1"/>
  <c r="A394" i="56" s="1"/>
  <c r="A395" i="56" s="1"/>
  <c r="A396" i="56" s="1"/>
  <c r="A397" i="56" s="1"/>
  <c r="A398" i="56" s="1"/>
  <c r="A399" i="56" s="1"/>
  <c r="A400" i="56" s="1"/>
  <c r="A401" i="56" s="1"/>
  <c r="A402" i="56" s="1"/>
  <c r="A403" i="56" s="1"/>
  <c r="A404" i="56" s="1"/>
  <c r="A405" i="56" s="1"/>
  <c r="A406" i="56" s="1"/>
  <c r="A407" i="56" s="1"/>
  <c r="A408" i="56" s="1"/>
  <c r="A409" i="56" s="1"/>
  <c r="A410" i="56" s="1"/>
  <c r="A411" i="56" s="1"/>
  <c r="A412" i="56" s="1"/>
  <c r="A413" i="56" s="1"/>
  <c r="A414" i="56" s="1"/>
  <c r="A415" i="56" s="1"/>
  <c r="A416" i="56" s="1"/>
  <c r="A417" i="56" s="1"/>
  <c r="A418" i="56" s="1"/>
  <c r="A419" i="56" s="1"/>
  <c r="A420" i="56" s="1"/>
  <c r="A421" i="56" s="1"/>
  <c r="A422" i="56" s="1"/>
  <c r="A423" i="56" s="1"/>
  <c r="A424" i="56" s="1"/>
  <c r="A425" i="56" s="1"/>
  <c r="A426" i="56" s="1"/>
  <c r="A427" i="56" s="1"/>
  <c r="A428" i="56" s="1"/>
  <c r="A429" i="56" s="1"/>
  <c r="A430" i="56" s="1"/>
  <c r="A431" i="56" s="1"/>
  <c r="A432" i="56" s="1"/>
  <c r="A433" i="56" s="1"/>
  <c r="A434" i="56" s="1"/>
  <c r="A435" i="56" s="1"/>
  <c r="A436" i="56" s="1"/>
  <c r="A437" i="56" s="1"/>
  <c r="A438" i="56" s="1"/>
  <c r="A439" i="56" s="1"/>
  <c r="A440" i="56" s="1"/>
  <c r="A441" i="56" s="1"/>
  <c r="A442" i="56" s="1"/>
  <c r="A443" i="56" s="1"/>
  <c r="A444" i="56" s="1"/>
  <c r="A445" i="56" s="1"/>
  <c r="A446" i="56" s="1"/>
  <c r="A447" i="56" s="1"/>
  <c r="A448" i="56" s="1"/>
  <c r="A449" i="56" s="1"/>
  <c r="A450" i="56" s="1"/>
  <c r="A451" i="56" s="1"/>
  <c r="A452" i="56" s="1"/>
  <c r="A453" i="56" s="1"/>
  <c r="A454" i="56" s="1"/>
  <c r="A455" i="56" s="1"/>
  <c r="A456" i="56" s="1"/>
  <c r="A457" i="56" s="1"/>
  <c r="A458" i="56" s="1"/>
  <c r="A459" i="56" s="1"/>
  <c r="A460" i="56" s="1"/>
  <c r="A461" i="56" s="1"/>
  <c r="A462" i="56" s="1"/>
  <c r="A463" i="56" s="1"/>
  <c r="A464" i="56" s="1"/>
  <c r="A465" i="56" s="1"/>
  <c r="A466" i="56" s="1"/>
  <c r="A467" i="56" s="1"/>
  <c r="A468" i="56" s="1"/>
  <c r="A469" i="56" s="1"/>
  <c r="A470" i="56" s="1"/>
  <c r="A471" i="56" s="1"/>
  <c r="H64" i="56"/>
  <c r="A64" i="56"/>
  <c r="A19" i="56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25" i="71" l="1"/>
  <c r="A71" i="72"/>
  <c r="A25" i="69"/>
  <c r="H24" i="59"/>
  <c r="J37" i="63"/>
  <c r="L37" i="63" s="1"/>
  <c r="I37" i="63"/>
  <c r="H37" i="63"/>
  <c r="D37" i="63"/>
  <c r="C20" i="65" s="1"/>
  <c r="C24" i="59"/>
  <c r="A38" i="63"/>
  <c r="F24" i="59"/>
  <c r="B25" i="59"/>
  <c r="I22" i="75" l="1"/>
  <c r="I350" i="76"/>
  <c r="I72" i="77" s="1"/>
  <c r="I25" i="76"/>
  <c r="H22" i="75"/>
  <c r="H25" i="76"/>
  <c r="H350" i="76"/>
  <c r="H72" i="77" s="1"/>
  <c r="D22" i="75"/>
  <c r="D25" i="76"/>
  <c r="D350" i="76"/>
  <c r="D72" i="77" s="1"/>
  <c r="A76" i="72"/>
  <c r="A23" i="75"/>
  <c r="H25" i="71"/>
  <c r="H71" i="72"/>
  <c r="I25" i="71"/>
  <c r="M71" i="72"/>
  <c r="D25" i="71"/>
  <c r="D71" i="72"/>
  <c r="A26" i="71"/>
  <c r="I25" i="69"/>
  <c r="H25" i="69"/>
  <c r="D25" i="69"/>
  <c r="H25" i="59"/>
  <c r="A26" i="69"/>
  <c r="A39" i="63"/>
  <c r="C25" i="59"/>
  <c r="F25" i="59"/>
  <c r="D38" i="63"/>
  <c r="C24" i="65" s="1"/>
  <c r="H38" i="63"/>
  <c r="I38" i="63"/>
  <c r="D351" i="76" l="1"/>
  <c r="D47" i="77" s="1"/>
  <c r="D26" i="76"/>
  <c r="I26" i="76"/>
  <c r="I351" i="76"/>
  <c r="I47" i="77" s="1"/>
  <c r="H351" i="76"/>
  <c r="H47" i="77" s="1"/>
  <c r="H26" i="76"/>
  <c r="I23" i="75"/>
  <c r="H23" i="75"/>
  <c r="D23" i="75"/>
  <c r="D26" i="71"/>
  <c r="D76" i="72"/>
  <c r="I26" i="71"/>
  <c r="M76" i="72"/>
  <c r="H26" i="71"/>
  <c r="H76" i="72"/>
  <c r="I26" i="69"/>
  <c r="D26" i="69"/>
  <c r="H26" i="69"/>
  <c r="I39" i="63"/>
  <c r="H39" i="63"/>
  <c r="D39" i="63"/>
  <c r="C37" i="65" s="1"/>
  <c r="J1068" i="58"/>
  <c r="I1006" i="58"/>
  <c r="I1319" i="58"/>
  <c r="I411" i="58"/>
  <c r="I737" i="58"/>
  <c r="I600" i="58"/>
  <c r="J232" i="58"/>
  <c r="N232" i="58" s="1"/>
  <c r="I1298" i="58"/>
  <c r="I825" i="58"/>
  <c r="I806" i="58"/>
  <c r="I828" i="58"/>
  <c r="I499" i="58"/>
  <c r="I474" i="58"/>
  <c r="J453" i="58"/>
  <c r="N453" i="58" s="1"/>
  <c r="I432" i="58"/>
  <c r="I523" i="58"/>
  <c r="I970" i="58"/>
  <c r="I1317" i="58"/>
  <c r="I1297" i="58"/>
  <c r="I1183" i="58"/>
  <c r="I1106" i="58"/>
  <c r="I1706" i="58"/>
  <c r="I736" i="58"/>
  <c r="J758" i="58"/>
  <c r="N758" i="58" s="1"/>
  <c r="I1046" i="58"/>
  <c r="I370" i="58"/>
  <c r="I391" i="58"/>
  <c r="I638" i="58"/>
  <c r="I233" i="58"/>
  <c r="I1707" i="58"/>
  <c r="I1050" i="58"/>
  <c r="I1028" i="58"/>
  <c r="J1028" i="58" s="1"/>
  <c r="N1028" i="58" s="1"/>
  <c r="I805" i="58"/>
  <c r="I848" i="58"/>
  <c r="I827" i="58"/>
  <c r="I293" i="58"/>
  <c r="J293" i="58" s="1"/>
  <c r="N293" i="58" s="1"/>
  <c r="I254" i="58"/>
  <c r="I313" i="58"/>
  <c r="I274" i="58"/>
  <c r="I601" i="58"/>
  <c r="I1164" i="58"/>
  <c r="I761" i="58"/>
  <c r="I739" i="58"/>
  <c r="I698" i="58"/>
  <c r="I760" i="58"/>
  <c r="I738" i="58"/>
  <c r="J717" i="58"/>
  <c r="N717" i="58" s="1"/>
  <c r="I272" i="58"/>
  <c r="I252" i="58"/>
  <c r="I410" i="58"/>
  <c r="I676" i="58"/>
  <c r="J1026" i="58"/>
  <c r="N1026" i="58" s="1"/>
  <c r="I1278" i="58"/>
  <c r="J759" i="58"/>
  <c r="N759" i="58" s="1"/>
  <c r="I525" i="58"/>
  <c r="I501" i="58"/>
  <c r="I476" i="58"/>
  <c r="I473" i="58"/>
  <c r="J452" i="58"/>
  <c r="N452" i="58" s="1"/>
  <c r="I431" i="58"/>
  <c r="I522" i="58"/>
  <c r="I498" i="58"/>
  <c r="J477" i="58"/>
  <c r="N477" i="58" s="1"/>
  <c r="I526" i="58"/>
  <c r="J502" i="58"/>
  <c r="N502" i="58" s="1"/>
  <c r="I390" i="58"/>
  <c r="I369" i="58"/>
  <c r="I1027" i="58"/>
  <c r="J1027" i="58" s="1"/>
  <c r="N1027" i="58" s="1"/>
  <c r="I1049" i="58"/>
  <c r="I847" i="58"/>
  <c r="I804" i="58"/>
  <c r="I826" i="58"/>
  <c r="I368" i="58"/>
  <c r="I389" i="58"/>
  <c r="I273" i="58"/>
  <c r="I331" i="58"/>
  <c r="I292" i="58"/>
  <c r="J292" i="58" s="1"/>
  <c r="N292" i="58" s="1"/>
  <c r="I253" i="58"/>
  <c r="I312" i="58"/>
  <c r="I1145" i="58"/>
  <c r="I639" i="58"/>
  <c r="J1515" i="58"/>
  <c r="N1515" i="58" s="1"/>
  <c r="J846" i="58"/>
  <c r="N846" i="58" s="1"/>
  <c r="J1378" i="58"/>
  <c r="J696" i="58"/>
  <c r="N696" i="58" s="1"/>
  <c r="I524" i="58"/>
  <c r="I500" i="58"/>
  <c r="I475" i="58"/>
  <c r="J454" i="58"/>
  <c r="N454" i="58" s="1"/>
  <c r="I433" i="58"/>
  <c r="J697" i="58"/>
  <c r="N697" i="58" s="1"/>
  <c r="I951" i="58"/>
  <c r="I803" i="58"/>
  <c r="I1202" i="58"/>
  <c r="I1126" i="58"/>
  <c r="J1532" i="58"/>
  <c r="N1532" i="58" s="1"/>
  <c r="J1498" i="58"/>
  <c r="I82" i="58"/>
  <c r="I211" i="58"/>
  <c r="J211" i="58" s="1"/>
  <c r="N211" i="58" s="1"/>
  <c r="J191" i="58"/>
  <c r="N191" i="58" s="1"/>
  <c r="I83" i="58"/>
  <c r="I175" i="58"/>
  <c r="I213" i="58"/>
  <c r="J213" i="58" s="1"/>
  <c r="N213" i="58" s="1"/>
  <c r="I193" i="58"/>
  <c r="I159" i="58"/>
  <c r="J81" i="58"/>
  <c r="N81" i="58" s="1"/>
  <c r="I212" i="58"/>
  <c r="J212" i="58" s="1"/>
  <c r="N212" i="58" s="1"/>
  <c r="I192" i="58"/>
  <c r="J433" i="58" l="1"/>
  <c r="N433" i="58" s="1"/>
  <c r="N211" i="72"/>
  <c r="P211" i="72" s="1"/>
  <c r="S211" i="72" s="1"/>
  <c r="T211" i="72" s="1"/>
  <c r="N177" i="72"/>
  <c r="P177" i="72" s="1"/>
  <c r="S177" i="72" s="1"/>
  <c r="T177" i="72" s="1"/>
  <c r="J524" i="58"/>
  <c r="N524" i="58" s="1"/>
  <c r="N839" i="72"/>
  <c r="P839" i="72" s="1"/>
  <c r="S839" i="72" s="1"/>
  <c r="T839" i="72" s="1"/>
  <c r="N763" i="72"/>
  <c r="P763" i="72" s="1"/>
  <c r="S763" i="72" s="1"/>
  <c r="T763" i="72" s="1"/>
  <c r="N494" i="72"/>
  <c r="P494" i="72" s="1"/>
  <c r="S494" i="72" s="1"/>
  <c r="T494" i="72" s="1"/>
  <c r="N801" i="72"/>
  <c r="P801" i="72" s="1"/>
  <c r="S801" i="72" s="1"/>
  <c r="T801" i="72" s="1"/>
  <c r="N725" i="72"/>
  <c r="P725" i="72" s="1"/>
  <c r="S725" i="72" s="1"/>
  <c r="T725" i="72" s="1"/>
  <c r="J390" i="58"/>
  <c r="N390" i="58" s="1"/>
  <c r="N816" i="72"/>
  <c r="P816" i="72" s="1"/>
  <c r="S816" i="72" s="1"/>
  <c r="T816" i="72" s="1"/>
  <c r="N740" i="72"/>
  <c r="P740" i="72" s="1"/>
  <c r="S740" i="72" s="1"/>
  <c r="T740" i="72" s="1"/>
  <c r="N471" i="72"/>
  <c r="P471" i="72" s="1"/>
  <c r="S471" i="72" s="1"/>
  <c r="T471" i="72" s="1"/>
  <c r="N400" i="72"/>
  <c r="P400" i="72" s="1"/>
  <c r="S400" i="72" s="1"/>
  <c r="T400" i="72" s="1"/>
  <c r="N324" i="72"/>
  <c r="P324" i="72" s="1"/>
  <c r="S324" i="72" s="1"/>
  <c r="T324" i="72" s="1"/>
  <c r="N290" i="72"/>
  <c r="P290" i="72" s="1"/>
  <c r="S290" i="72" s="1"/>
  <c r="T290" i="72" s="1"/>
  <c r="N257" i="72"/>
  <c r="P257" i="72" s="1"/>
  <c r="S257" i="72" s="1"/>
  <c r="T257" i="72" s="1"/>
  <c r="N188" i="72"/>
  <c r="P188" i="72" s="1"/>
  <c r="S188" i="72" s="1"/>
  <c r="T188" i="72" s="1"/>
  <c r="N702" i="72"/>
  <c r="P702" i="72" s="1"/>
  <c r="S702" i="72" s="1"/>
  <c r="T702" i="72" s="1"/>
  <c r="N663" i="72"/>
  <c r="P663" i="72" s="1"/>
  <c r="S663" i="72" s="1"/>
  <c r="T663" i="72" s="1"/>
  <c r="N587" i="72"/>
  <c r="P587" i="72" s="1"/>
  <c r="S587" i="72" s="1"/>
  <c r="T587" i="72" s="1"/>
  <c r="N223" i="72"/>
  <c r="P223" i="72" s="1"/>
  <c r="S223" i="72" s="1"/>
  <c r="T223" i="72" s="1"/>
  <c r="N855" i="72"/>
  <c r="P855" i="72" s="1"/>
  <c r="S855" i="72" s="1"/>
  <c r="T855" i="72" s="1"/>
  <c r="N778" i="72"/>
  <c r="P778" i="72" s="1"/>
  <c r="S778" i="72" s="1"/>
  <c r="T778" i="72" s="1"/>
  <c r="N511" i="72"/>
  <c r="P511" i="72" s="1"/>
  <c r="S511" i="72" s="1"/>
  <c r="T511" i="72" s="1"/>
  <c r="N362" i="72"/>
  <c r="P362" i="72" s="1"/>
  <c r="S362" i="72" s="1"/>
  <c r="T362" i="72" s="1"/>
  <c r="N625" i="72"/>
  <c r="P625" i="72" s="1"/>
  <c r="S625" i="72" s="1"/>
  <c r="T625" i="72" s="1"/>
  <c r="N549" i="72"/>
  <c r="P549" i="72" s="1"/>
  <c r="S549" i="72" s="1"/>
  <c r="T549" i="72" s="1"/>
  <c r="N154" i="72"/>
  <c r="P154" i="72" s="1"/>
  <c r="J498" i="58"/>
  <c r="N498" i="58" s="1"/>
  <c r="N646" i="72"/>
  <c r="P646" i="72" s="1"/>
  <c r="S646" i="72" s="1"/>
  <c r="T646" i="72" s="1"/>
  <c r="N570" i="72"/>
  <c r="P570" i="72" s="1"/>
  <c r="S570" i="72" s="1"/>
  <c r="T570" i="72" s="1"/>
  <c r="N532" i="72"/>
  <c r="P532" i="72" s="1"/>
  <c r="N684" i="72"/>
  <c r="P684" i="72" s="1"/>
  <c r="S684" i="72" s="1"/>
  <c r="T684" i="72" s="1"/>
  <c r="N608" i="72"/>
  <c r="P608" i="72" s="1"/>
  <c r="S608" i="72" s="1"/>
  <c r="T608" i="72" s="1"/>
  <c r="J473" i="58"/>
  <c r="N473" i="58" s="1"/>
  <c r="N876" i="72"/>
  <c r="P876" i="72" s="1"/>
  <c r="N383" i="72"/>
  <c r="P383" i="72" s="1"/>
  <c r="N345" i="72"/>
  <c r="P345" i="72" s="1"/>
  <c r="N421" i="72"/>
  <c r="P421" i="72" s="1"/>
  <c r="S421" i="72" s="1"/>
  <c r="T421" i="72" s="1"/>
  <c r="J827" i="58"/>
  <c r="N827" i="58" s="1"/>
  <c r="N1163" i="72"/>
  <c r="P1163" i="72" s="1"/>
  <c r="S1163" i="72" s="1"/>
  <c r="T1163" i="72" s="1"/>
  <c r="N1090" i="72"/>
  <c r="P1090" i="72" s="1"/>
  <c r="J760" i="58"/>
  <c r="N760" i="58" s="1"/>
  <c r="N1438" i="72"/>
  <c r="P1438" i="72" s="1"/>
  <c r="S1438" i="72" s="1"/>
  <c r="T1438" i="72" s="1"/>
  <c r="N1379" i="72"/>
  <c r="P1379" i="72" s="1"/>
  <c r="S1379" i="72" s="1"/>
  <c r="T1379" i="72" s="1"/>
  <c r="J313" i="58"/>
  <c r="N313" i="58" s="1"/>
  <c r="N996" i="72"/>
  <c r="P996" i="72" s="1"/>
  <c r="S996" i="72" s="1"/>
  <c r="T996" i="72" s="1"/>
  <c r="N952" i="72"/>
  <c r="P952" i="72" s="1"/>
  <c r="S952" i="72" s="1"/>
  <c r="T952" i="72" s="1"/>
  <c r="J391" i="58"/>
  <c r="N391" i="58" s="1"/>
  <c r="N664" i="72"/>
  <c r="P664" i="72" s="1"/>
  <c r="S664" i="72" s="1"/>
  <c r="T664" i="72" s="1"/>
  <c r="N588" i="72"/>
  <c r="P588" i="72" s="1"/>
  <c r="S588" i="72" s="1"/>
  <c r="T588" i="72" s="1"/>
  <c r="N224" i="72"/>
  <c r="P224" i="72" s="1"/>
  <c r="S224" i="72" s="1"/>
  <c r="T224" i="72" s="1"/>
  <c r="N155" i="72"/>
  <c r="P155" i="72" s="1"/>
  <c r="S155" i="72" s="1"/>
  <c r="T155" i="72" s="1"/>
  <c r="N856" i="72"/>
  <c r="P856" i="72" s="1"/>
  <c r="S856" i="72" s="1"/>
  <c r="T856" i="72" s="1"/>
  <c r="N779" i="72"/>
  <c r="P779" i="72" s="1"/>
  <c r="S779" i="72" s="1"/>
  <c r="T779" i="72" s="1"/>
  <c r="N703" i="72"/>
  <c r="P703" i="72" s="1"/>
  <c r="S703" i="72" s="1"/>
  <c r="T703" i="72" s="1"/>
  <c r="N512" i="72"/>
  <c r="P512" i="72" s="1"/>
  <c r="N363" i="72"/>
  <c r="P363" i="72" s="1"/>
  <c r="S363" i="72" s="1"/>
  <c r="T363" i="72" s="1"/>
  <c r="N626" i="72"/>
  <c r="P626" i="72" s="1"/>
  <c r="S626" i="72" s="1"/>
  <c r="T626" i="72" s="1"/>
  <c r="N550" i="72"/>
  <c r="P550" i="72" s="1"/>
  <c r="S550" i="72" s="1"/>
  <c r="T550" i="72" s="1"/>
  <c r="N817" i="72"/>
  <c r="P817" i="72" s="1"/>
  <c r="S817" i="72" s="1"/>
  <c r="T817" i="72" s="1"/>
  <c r="N741" i="72"/>
  <c r="P741" i="72" s="1"/>
  <c r="S741" i="72" s="1"/>
  <c r="T741" i="72" s="1"/>
  <c r="N472" i="72"/>
  <c r="P472" i="72" s="1"/>
  <c r="S472" i="72" s="1"/>
  <c r="T472" i="72" s="1"/>
  <c r="N401" i="72"/>
  <c r="P401" i="72" s="1"/>
  <c r="S401" i="72" s="1"/>
  <c r="T401" i="72" s="1"/>
  <c r="N325" i="72"/>
  <c r="P325" i="72" s="1"/>
  <c r="N291" i="72"/>
  <c r="P291" i="72" s="1"/>
  <c r="S291" i="72" s="1"/>
  <c r="T291" i="72" s="1"/>
  <c r="N258" i="72"/>
  <c r="P258" i="72" s="1"/>
  <c r="S258" i="72" s="1"/>
  <c r="T258" i="72" s="1"/>
  <c r="N189" i="72"/>
  <c r="P189" i="72" s="1"/>
  <c r="J193" i="58"/>
  <c r="N193" i="58" s="1"/>
  <c r="N116" i="72"/>
  <c r="P116" i="72" s="1"/>
  <c r="S116" i="72" s="1"/>
  <c r="T116" i="72" s="1"/>
  <c r="J951" i="58"/>
  <c r="N951" i="58" s="1"/>
  <c r="N1297" i="72"/>
  <c r="P1297" i="72" s="1"/>
  <c r="S1297" i="72" s="1"/>
  <c r="T1297" i="72" s="1"/>
  <c r="J475" i="58"/>
  <c r="N475" i="58" s="1"/>
  <c r="N423" i="72"/>
  <c r="P423" i="72" s="1"/>
  <c r="S423" i="72" s="1"/>
  <c r="T423" i="72" s="1"/>
  <c r="N878" i="72"/>
  <c r="P878" i="72" s="1"/>
  <c r="S878" i="72" s="1"/>
  <c r="T878" i="72" s="1"/>
  <c r="N385" i="72"/>
  <c r="P385" i="72" s="1"/>
  <c r="S385" i="72" s="1"/>
  <c r="T385" i="72" s="1"/>
  <c r="N347" i="72"/>
  <c r="P347" i="72" s="1"/>
  <c r="N1718" i="72"/>
  <c r="P1718" i="72" s="1"/>
  <c r="N1582" i="72"/>
  <c r="P1582" i="72" s="1"/>
  <c r="J526" i="58"/>
  <c r="N526" i="58" s="1"/>
  <c r="N803" i="72"/>
  <c r="P803" i="72" s="1"/>
  <c r="S803" i="72" s="1"/>
  <c r="T803" i="72" s="1"/>
  <c r="N727" i="72"/>
  <c r="P727" i="72" s="1"/>
  <c r="S727" i="72" s="1"/>
  <c r="T727" i="72" s="1"/>
  <c r="N841" i="72"/>
  <c r="P841" i="72" s="1"/>
  <c r="S841" i="72" s="1"/>
  <c r="T841" i="72" s="1"/>
  <c r="N765" i="72"/>
  <c r="P765" i="72" s="1"/>
  <c r="N496" i="72"/>
  <c r="P496" i="72" s="1"/>
  <c r="S496" i="72" s="1"/>
  <c r="T496" i="72" s="1"/>
  <c r="J431" i="58"/>
  <c r="N431" i="58" s="1"/>
  <c r="N209" i="72"/>
  <c r="P209" i="72" s="1"/>
  <c r="N175" i="72"/>
  <c r="P175" i="72" s="1"/>
  <c r="J501" i="58"/>
  <c r="N501" i="58" s="1"/>
  <c r="N687" i="72"/>
  <c r="P687" i="72" s="1"/>
  <c r="S687" i="72" s="1"/>
  <c r="T687" i="72" s="1"/>
  <c r="N611" i="72"/>
  <c r="P611" i="72" s="1"/>
  <c r="S611" i="72" s="1"/>
  <c r="T611" i="72" s="1"/>
  <c r="N649" i="72"/>
  <c r="P649" i="72" s="1"/>
  <c r="N573" i="72"/>
  <c r="P573" i="72" s="1"/>
  <c r="S573" i="72" s="1"/>
  <c r="T573" i="72" s="1"/>
  <c r="N535" i="72"/>
  <c r="P535" i="72" s="1"/>
  <c r="S535" i="72" s="1"/>
  <c r="T535" i="72" s="1"/>
  <c r="J272" i="58"/>
  <c r="N272" i="58" s="1"/>
  <c r="N929" i="72"/>
  <c r="P929" i="72" s="1"/>
  <c r="N973" i="72"/>
  <c r="P973" i="72" s="1"/>
  <c r="S973" i="72" s="1"/>
  <c r="T973" i="72" s="1"/>
  <c r="J254" i="58"/>
  <c r="N254" i="58" s="1"/>
  <c r="N127" i="72"/>
  <c r="P127" i="72" s="1"/>
  <c r="S127" i="72" s="1"/>
  <c r="T127" i="72" s="1"/>
  <c r="J805" i="58"/>
  <c r="N805" i="58" s="1"/>
  <c r="N1102" i="72"/>
  <c r="P1102" i="72" s="1"/>
  <c r="S1102" i="72" s="1"/>
  <c r="T1102" i="72" s="1"/>
  <c r="N1175" i="72"/>
  <c r="P1175" i="72" s="1"/>
  <c r="S1175" i="72" s="1"/>
  <c r="T1175" i="72" s="1"/>
  <c r="J370" i="58"/>
  <c r="N370" i="58" s="1"/>
  <c r="N1021" i="72"/>
  <c r="P1021" i="72" s="1"/>
  <c r="S1021" i="72" s="1"/>
  <c r="T1021" i="72" s="1"/>
  <c r="N1127" i="72"/>
  <c r="P1127" i="72" s="1"/>
  <c r="S1127" i="72" s="1"/>
  <c r="T1127" i="72" s="1"/>
  <c r="N142" i="72"/>
  <c r="P142" i="72" s="1"/>
  <c r="S142" i="72" s="1"/>
  <c r="T142" i="72" s="1"/>
  <c r="I1007" i="58"/>
  <c r="J1007" i="58" s="1"/>
  <c r="N1007" i="58" s="1"/>
  <c r="N1761" i="72"/>
  <c r="P1761" i="72" s="1"/>
  <c r="N1614" i="72"/>
  <c r="P1614" i="72" s="1"/>
  <c r="N1750" i="72"/>
  <c r="P1750" i="72" s="1"/>
  <c r="N1739" i="72"/>
  <c r="P1739" i="72" s="1"/>
  <c r="N1603" i="72"/>
  <c r="P1603" i="72" s="1"/>
  <c r="J738" i="58"/>
  <c r="N738" i="58" s="1"/>
  <c r="N1356" i="72"/>
  <c r="P1356" i="72" s="1"/>
  <c r="S1356" i="72" s="1"/>
  <c r="T1356" i="72" s="1"/>
  <c r="N1415" i="72"/>
  <c r="P1415" i="72" s="1"/>
  <c r="S1415" i="72" s="1"/>
  <c r="T1415" i="72" s="1"/>
  <c r="J274" i="58"/>
  <c r="N274" i="58" s="1"/>
  <c r="N975" i="72"/>
  <c r="P975" i="72" s="1"/>
  <c r="S975" i="72" s="1"/>
  <c r="T975" i="72" s="1"/>
  <c r="N931" i="72"/>
  <c r="P931" i="72" s="1"/>
  <c r="S931" i="72" s="1"/>
  <c r="T931" i="72" s="1"/>
  <c r="J1050" i="58"/>
  <c r="N1050" i="58" s="1"/>
  <c r="N1629" i="72"/>
  <c r="P1629" i="72" s="1"/>
  <c r="S1629" i="72" s="1"/>
  <c r="T1629" i="72" s="1"/>
  <c r="N1776" i="72"/>
  <c r="P1776" i="72" s="1"/>
  <c r="S1776" i="72" s="1"/>
  <c r="T1776" i="72" s="1"/>
  <c r="N1497" i="72"/>
  <c r="P1497" i="72" s="1"/>
  <c r="S1497" i="72" s="1"/>
  <c r="T1497" i="72" s="1"/>
  <c r="N1519" i="72"/>
  <c r="P1519" i="72" s="1"/>
  <c r="S1519" i="72" s="1"/>
  <c r="T1519" i="72" s="1"/>
  <c r="N1485" i="72"/>
  <c r="P1485" i="72" s="1"/>
  <c r="S1485" i="72" s="1"/>
  <c r="T1485" i="72" s="1"/>
  <c r="N1463" i="72"/>
  <c r="P1463" i="72" s="1"/>
  <c r="S1463" i="72" s="1"/>
  <c r="T1463" i="72" s="1"/>
  <c r="J83" i="58"/>
  <c r="N83" i="58" s="1"/>
  <c r="N37" i="72"/>
  <c r="P37" i="72" s="1"/>
  <c r="S37" i="72" s="1"/>
  <c r="T37" i="72" s="1"/>
  <c r="J522" i="58"/>
  <c r="N522" i="58" s="1"/>
  <c r="N799" i="72"/>
  <c r="P799" i="72" s="1"/>
  <c r="N723" i="72"/>
  <c r="P723" i="72" s="1"/>
  <c r="N837" i="72"/>
  <c r="P837" i="72" s="1"/>
  <c r="N761" i="72"/>
  <c r="P761" i="72" s="1"/>
  <c r="S761" i="72" s="1"/>
  <c r="T761" i="72" s="1"/>
  <c r="N492" i="72"/>
  <c r="P492" i="72" s="1"/>
  <c r="J476" i="58"/>
  <c r="N476" i="58" s="1"/>
  <c r="N424" i="72"/>
  <c r="P424" i="72" s="1"/>
  <c r="S424" i="72" s="1"/>
  <c r="T424" i="72" s="1"/>
  <c r="N348" i="72"/>
  <c r="P348" i="72" s="1"/>
  <c r="S348" i="72" s="1"/>
  <c r="T348" i="72" s="1"/>
  <c r="N879" i="72"/>
  <c r="P879" i="72" s="1"/>
  <c r="S879" i="72" s="1"/>
  <c r="T879" i="72" s="1"/>
  <c r="N386" i="72"/>
  <c r="P386" i="72" s="1"/>
  <c r="S386" i="72" s="1"/>
  <c r="T386" i="72" s="1"/>
  <c r="J252" i="58"/>
  <c r="N252" i="58" s="1"/>
  <c r="N125" i="72"/>
  <c r="P125" i="72" s="1"/>
  <c r="J848" i="58"/>
  <c r="N848" i="58" s="1"/>
  <c r="N1069" i="72"/>
  <c r="P1069" i="72" s="1"/>
  <c r="S1069" i="72" s="1"/>
  <c r="T1069" i="72" s="1"/>
  <c r="J1707" i="58"/>
  <c r="N1707" i="58" s="1"/>
  <c r="N2151" i="72"/>
  <c r="P2151" i="72" s="1"/>
  <c r="S2151" i="72" s="1"/>
  <c r="T2151" i="72" s="1"/>
  <c r="N1079" i="72"/>
  <c r="P1079" i="72" s="1"/>
  <c r="S1079" i="72" s="1"/>
  <c r="T1079" i="72" s="1"/>
  <c r="J736" i="58"/>
  <c r="N736" i="58" s="1"/>
  <c r="N1413" i="72"/>
  <c r="P1413" i="72" s="1"/>
  <c r="S1413" i="72" s="1"/>
  <c r="T1413" i="72" s="1"/>
  <c r="N1354" i="72"/>
  <c r="P1354" i="72" s="1"/>
  <c r="N1509" i="72"/>
  <c r="P1509" i="72" s="1"/>
  <c r="S1509" i="72" s="1"/>
  <c r="T1509" i="72" s="1"/>
  <c r="N1475" i="72"/>
  <c r="P1475" i="72" s="1"/>
  <c r="S1475" i="72" s="1"/>
  <c r="T1475" i="72" s="1"/>
  <c r="J500" i="58"/>
  <c r="N500" i="58" s="1"/>
  <c r="N648" i="72"/>
  <c r="P648" i="72" s="1"/>
  <c r="S648" i="72" s="1"/>
  <c r="T648" i="72" s="1"/>
  <c r="N572" i="72"/>
  <c r="P572" i="72" s="1"/>
  <c r="S572" i="72" s="1"/>
  <c r="T572" i="72" s="1"/>
  <c r="N534" i="72"/>
  <c r="P534" i="72" s="1"/>
  <c r="S534" i="72" s="1"/>
  <c r="T534" i="72" s="1"/>
  <c r="N686" i="72"/>
  <c r="P686" i="72" s="1"/>
  <c r="S686" i="72" s="1"/>
  <c r="T686" i="72" s="1"/>
  <c r="N610" i="72"/>
  <c r="P610" i="72" s="1"/>
  <c r="S610" i="72" s="1"/>
  <c r="T610" i="72" s="1"/>
  <c r="J369" i="58"/>
  <c r="N369" i="58" s="1"/>
  <c r="N1126" i="72"/>
  <c r="P1126" i="72" s="1"/>
  <c r="S1126" i="72" s="1"/>
  <c r="T1126" i="72" s="1"/>
  <c r="N1020" i="72"/>
  <c r="P1020" i="72" s="1"/>
  <c r="S1020" i="72" s="1"/>
  <c r="T1020" i="72" s="1"/>
  <c r="N141" i="72"/>
  <c r="P141" i="72" s="1"/>
  <c r="S141" i="72" s="1"/>
  <c r="T141" i="72" s="1"/>
  <c r="J525" i="58"/>
  <c r="N525" i="58" s="1"/>
  <c r="N840" i="72"/>
  <c r="P840" i="72" s="1"/>
  <c r="S840" i="72" s="1"/>
  <c r="T840" i="72" s="1"/>
  <c r="N764" i="72"/>
  <c r="P764" i="72" s="1"/>
  <c r="S764" i="72" s="1"/>
  <c r="T764" i="72" s="1"/>
  <c r="N495" i="72"/>
  <c r="P495" i="72" s="1"/>
  <c r="S495" i="72" s="1"/>
  <c r="T495" i="72" s="1"/>
  <c r="N802" i="72"/>
  <c r="P802" i="72" s="1"/>
  <c r="S802" i="72" s="1"/>
  <c r="T802" i="72" s="1"/>
  <c r="N726" i="72"/>
  <c r="P726" i="72" s="1"/>
  <c r="S726" i="72" s="1"/>
  <c r="T726" i="72" s="1"/>
  <c r="N1625" i="72"/>
  <c r="P1625" i="72" s="1"/>
  <c r="N1772" i="72"/>
  <c r="P1772" i="72" s="1"/>
  <c r="S1772" i="72" s="1"/>
  <c r="T1772" i="72" s="1"/>
  <c r="J159" i="58"/>
  <c r="K160" i="58" s="1"/>
  <c r="N88" i="72"/>
  <c r="P88" i="72" s="1"/>
  <c r="J639" i="58"/>
  <c r="N639" i="58" s="1"/>
  <c r="N1220" i="72"/>
  <c r="P1220" i="72" s="1"/>
  <c r="S1220" i="72" s="1"/>
  <c r="T1220" i="72" s="1"/>
  <c r="N1262" i="72"/>
  <c r="P1262" i="72" s="1"/>
  <c r="S1262" i="72" s="1"/>
  <c r="T1262" i="72" s="1"/>
  <c r="J1049" i="58"/>
  <c r="N1049" i="58" s="1"/>
  <c r="N1775" i="72"/>
  <c r="P1775" i="72" s="1"/>
  <c r="S1775" i="72" s="1"/>
  <c r="T1775" i="72" s="1"/>
  <c r="N1628" i="72"/>
  <c r="P1628" i="72" s="1"/>
  <c r="S1628" i="72" s="1"/>
  <c r="T1628" i="72" s="1"/>
  <c r="J432" i="58"/>
  <c r="N432" i="58" s="1"/>
  <c r="N210" i="72"/>
  <c r="P210" i="72" s="1"/>
  <c r="S210" i="72" s="1"/>
  <c r="T210" i="72" s="1"/>
  <c r="N176" i="72"/>
  <c r="P176" i="72" s="1"/>
  <c r="S176" i="72" s="1"/>
  <c r="T176" i="72" s="1"/>
  <c r="J331" i="58"/>
  <c r="K332" i="58" s="1"/>
  <c r="N1007" i="72"/>
  <c r="P1007" i="72" s="1"/>
  <c r="N963" i="72"/>
  <c r="P963" i="72" s="1"/>
  <c r="J175" i="58"/>
  <c r="K176" i="58" s="1"/>
  <c r="N2160" i="72"/>
  <c r="P2160" i="72" s="1"/>
  <c r="N95" i="72"/>
  <c r="P95" i="72" s="1"/>
  <c r="J82" i="58"/>
  <c r="N82" i="58" s="1"/>
  <c r="N36" i="72"/>
  <c r="P36" i="72" s="1"/>
  <c r="S36" i="72" s="1"/>
  <c r="T36" i="72" s="1"/>
  <c r="J253" i="58"/>
  <c r="N253" i="58" s="1"/>
  <c r="N126" i="72"/>
  <c r="P126" i="72" s="1"/>
  <c r="S126" i="72" s="1"/>
  <c r="T126" i="72" s="1"/>
  <c r="J389" i="58"/>
  <c r="N389" i="58" s="1"/>
  <c r="N548" i="72"/>
  <c r="P548" i="72" s="1"/>
  <c r="S548" i="72" s="1"/>
  <c r="T548" i="72" s="1"/>
  <c r="N510" i="72"/>
  <c r="P510" i="72" s="1"/>
  <c r="N222" i="72"/>
  <c r="P222" i="72" s="1"/>
  <c r="N777" i="72"/>
  <c r="P777" i="72" s="1"/>
  <c r="N586" i="72"/>
  <c r="P586" i="72" s="1"/>
  <c r="N323" i="72"/>
  <c r="P323" i="72" s="1"/>
  <c r="N153" i="72"/>
  <c r="P153" i="72" s="1"/>
  <c r="N854" i="72"/>
  <c r="P854" i="72" s="1"/>
  <c r="N739" i="72"/>
  <c r="P739" i="72" s="1"/>
  <c r="N701" i="72"/>
  <c r="P701" i="72" s="1"/>
  <c r="N662" i="72"/>
  <c r="P662" i="72" s="1"/>
  <c r="S662" i="72" s="1"/>
  <c r="T662" i="72" s="1"/>
  <c r="N470" i="72"/>
  <c r="P470" i="72" s="1"/>
  <c r="N399" i="72"/>
  <c r="P399" i="72" s="1"/>
  <c r="N256" i="72"/>
  <c r="P256" i="72" s="1"/>
  <c r="S256" i="72" s="1"/>
  <c r="T256" i="72" s="1"/>
  <c r="N187" i="72"/>
  <c r="P187" i="72" s="1"/>
  <c r="N361" i="72"/>
  <c r="P361" i="72" s="1"/>
  <c r="N815" i="72"/>
  <c r="P815" i="72" s="1"/>
  <c r="N624" i="72"/>
  <c r="P624" i="72" s="1"/>
  <c r="N289" i="72"/>
  <c r="P289" i="72" s="1"/>
  <c r="S289" i="72" s="1"/>
  <c r="T289" i="72" s="1"/>
  <c r="J847" i="58"/>
  <c r="N847" i="58" s="1"/>
  <c r="N1068" i="72"/>
  <c r="P1068" i="72" s="1"/>
  <c r="J410" i="58"/>
  <c r="N410" i="58" s="1"/>
  <c r="N866" i="72"/>
  <c r="P866" i="72" s="1"/>
  <c r="N751" i="72"/>
  <c r="P751" i="72" s="1"/>
  <c r="N713" i="72"/>
  <c r="P713" i="72" s="1"/>
  <c r="N674" i="72"/>
  <c r="P674" i="72" s="1"/>
  <c r="S674" i="72" s="1"/>
  <c r="T674" i="72" s="1"/>
  <c r="N522" i="72"/>
  <c r="P522" i="72" s="1"/>
  <c r="S522" i="72" s="1"/>
  <c r="T522" i="72" s="1"/>
  <c r="N482" i="72"/>
  <c r="P482" i="72" s="1"/>
  <c r="S482" i="72" s="1"/>
  <c r="T482" i="72" s="1"/>
  <c r="N411" i="72"/>
  <c r="P411" i="72" s="1"/>
  <c r="S411" i="72" s="1"/>
  <c r="T411" i="72" s="1"/>
  <c r="N268" i="72"/>
  <c r="P268" i="72" s="1"/>
  <c r="S268" i="72" s="1"/>
  <c r="T268" i="72" s="1"/>
  <c r="N560" i="72"/>
  <c r="P560" i="72" s="1"/>
  <c r="N827" i="72"/>
  <c r="P827" i="72" s="1"/>
  <c r="S827" i="72" s="1"/>
  <c r="T827" i="72" s="1"/>
  <c r="N636" i="72"/>
  <c r="P636" i="72" s="1"/>
  <c r="N373" i="72"/>
  <c r="P373" i="72" s="1"/>
  <c r="N301" i="72"/>
  <c r="P301" i="72" s="1"/>
  <c r="N278" i="72"/>
  <c r="P278" i="72" s="1"/>
  <c r="N234" i="72"/>
  <c r="P234" i="72" s="1"/>
  <c r="N199" i="72"/>
  <c r="P199" i="72" s="1"/>
  <c r="N598" i="72"/>
  <c r="P598" i="72" s="1"/>
  <c r="S598" i="72" s="1"/>
  <c r="T598" i="72" s="1"/>
  <c r="N335" i="72"/>
  <c r="P335" i="72" s="1"/>
  <c r="S335" i="72" s="1"/>
  <c r="T335" i="72" s="1"/>
  <c r="N789" i="72"/>
  <c r="P789" i="72" s="1"/>
  <c r="N311" i="72"/>
  <c r="P311" i="72" s="1"/>
  <c r="S311" i="72" s="1"/>
  <c r="T311" i="72" s="1"/>
  <c r="N165" i="72"/>
  <c r="P165" i="72" s="1"/>
  <c r="J761" i="58"/>
  <c r="N761" i="58" s="1"/>
  <c r="N1439" i="72"/>
  <c r="P1439" i="72" s="1"/>
  <c r="S1439" i="72" s="1"/>
  <c r="T1439" i="72" s="1"/>
  <c r="N1380" i="72"/>
  <c r="P1380" i="72" s="1"/>
  <c r="S1380" i="72" s="1"/>
  <c r="T1380" i="72" s="1"/>
  <c r="N1592" i="72"/>
  <c r="P1592" i="72" s="1"/>
  <c r="N1728" i="72"/>
  <c r="P1728" i="72" s="1"/>
  <c r="S1728" i="72" s="1"/>
  <c r="T1728" i="72" s="1"/>
  <c r="J523" i="58"/>
  <c r="N523" i="58" s="1"/>
  <c r="N800" i="72"/>
  <c r="P800" i="72" s="1"/>
  <c r="S800" i="72" s="1"/>
  <c r="T800" i="72" s="1"/>
  <c r="N724" i="72"/>
  <c r="P724" i="72" s="1"/>
  <c r="S724" i="72" s="1"/>
  <c r="T724" i="72" s="1"/>
  <c r="N838" i="72"/>
  <c r="P838" i="72" s="1"/>
  <c r="S838" i="72" s="1"/>
  <c r="T838" i="72" s="1"/>
  <c r="N762" i="72"/>
  <c r="P762" i="72" s="1"/>
  <c r="S762" i="72" s="1"/>
  <c r="T762" i="72" s="1"/>
  <c r="N493" i="72"/>
  <c r="P493" i="72" s="1"/>
  <c r="S493" i="72" s="1"/>
  <c r="T493" i="72" s="1"/>
  <c r="J499" i="58"/>
  <c r="N499" i="58" s="1"/>
  <c r="N609" i="72"/>
  <c r="P609" i="72" s="1"/>
  <c r="S609" i="72" s="1"/>
  <c r="T609" i="72" s="1"/>
  <c r="N533" i="72"/>
  <c r="P533" i="72" s="1"/>
  <c r="S533" i="72" s="1"/>
  <c r="T533" i="72" s="1"/>
  <c r="N647" i="72"/>
  <c r="P647" i="72" s="1"/>
  <c r="S647" i="72" s="1"/>
  <c r="T647" i="72" s="1"/>
  <c r="N571" i="72"/>
  <c r="P571" i="72" s="1"/>
  <c r="S571" i="72" s="1"/>
  <c r="T571" i="72" s="1"/>
  <c r="N685" i="72"/>
  <c r="P685" i="72" s="1"/>
  <c r="S685" i="72" s="1"/>
  <c r="T685" i="72" s="1"/>
  <c r="J411" i="58"/>
  <c r="N411" i="58" s="1"/>
  <c r="N561" i="72"/>
  <c r="P561" i="72" s="1"/>
  <c r="S561" i="72" s="1"/>
  <c r="T561" i="72" s="1"/>
  <c r="N166" i="72"/>
  <c r="P166" i="72" s="1"/>
  <c r="S166" i="72" s="1"/>
  <c r="T166" i="72" s="1"/>
  <c r="N790" i="72"/>
  <c r="P790" i="72" s="1"/>
  <c r="S790" i="72" s="1"/>
  <c r="T790" i="72" s="1"/>
  <c r="N599" i="72"/>
  <c r="P599" i="72" s="1"/>
  <c r="S599" i="72" s="1"/>
  <c r="T599" i="72" s="1"/>
  <c r="N336" i="72"/>
  <c r="P336" i="72" s="1"/>
  <c r="S336" i="72" s="1"/>
  <c r="T336" i="72" s="1"/>
  <c r="N312" i="72"/>
  <c r="P312" i="72" s="1"/>
  <c r="S312" i="72" s="1"/>
  <c r="T312" i="72" s="1"/>
  <c r="N867" i="72"/>
  <c r="P867" i="72" s="1"/>
  <c r="S867" i="72" s="1"/>
  <c r="T867" i="72" s="1"/>
  <c r="N752" i="72"/>
  <c r="P752" i="72" s="1"/>
  <c r="S752" i="72" s="1"/>
  <c r="T752" i="72" s="1"/>
  <c r="N714" i="72"/>
  <c r="P714" i="72" s="1"/>
  <c r="S714" i="72" s="1"/>
  <c r="T714" i="72" s="1"/>
  <c r="N675" i="72"/>
  <c r="P675" i="72" s="1"/>
  <c r="S675" i="72" s="1"/>
  <c r="T675" i="72" s="1"/>
  <c r="N523" i="72"/>
  <c r="P523" i="72" s="1"/>
  <c r="S523" i="72" s="1"/>
  <c r="T523" i="72" s="1"/>
  <c r="N483" i="72"/>
  <c r="P483" i="72" s="1"/>
  <c r="S483" i="72" s="1"/>
  <c r="T483" i="72" s="1"/>
  <c r="N412" i="72"/>
  <c r="P412" i="72" s="1"/>
  <c r="S412" i="72" s="1"/>
  <c r="T412" i="72" s="1"/>
  <c r="N269" i="72"/>
  <c r="P269" i="72" s="1"/>
  <c r="S269" i="72" s="1"/>
  <c r="T269" i="72" s="1"/>
  <c r="N374" i="72"/>
  <c r="P374" i="72" s="1"/>
  <c r="S374" i="72" s="1"/>
  <c r="T374" i="72" s="1"/>
  <c r="N279" i="72"/>
  <c r="P279" i="72" s="1"/>
  <c r="S279" i="72" s="1"/>
  <c r="T279" i="72" s="1"/>
  <c r="N828" i="72"/>
  <c r="P828" i="72" s="1"/>
  <c r="S828" i="72" s="1"/>
  <c r="T828" i="72" s="1"/>
  <c r="N637" i="72"/>
  <c r="P637" i="72" s="1"/>
  <c r="S637" i="72" s="1"/>
  <c r="T637" i="72" s="1"/>
  <c r="N302" i="72"/>
  <c r="P302" i="72" s="1"/>
  <c r="S302" i="72" s="1"/>
  <c r="T302" i="72" s="1"/>
  <c r="N235" i="72"/>
  <c r="P235" i="72" s="1"/>
  <c r="S235" i="72" s="1"/>
  <c r="T235" i="72" s="1"/>
  <c r="N200" i="72"/>
  <c r="P200" i="72" s="1"/>
  <c r="S200" i="72" s="1"/>
  <c r="T200" i="72" s="1"/>
  <c r="J698" i="58"/>
  <c r="N698" i="58" s="1"/>
  <c r="N1404" i="72"/>
  <c r="P1404" i="72" s="1"/>
  <c r="S1404" i="72" s="1"/>
  <c r="T1404" i="72" s="1"/>
  <c r="N1345" i="72"/>
  <c r="P1345" i="72" s="1"/>
  <c r="S1345" i="72" s="1"/>
  <c r="T1345" i="72" s="1"/>
  <c r="J233" i="58"/>
  <c r="N233" i="58" s="1"/>
  <c r="N105" i="72"/>
  <c r="P105" i="72" s="1"/>
  <c r="S105" i="72" s="1"/>
  <c r="T105" i="72" s="1"/>
  <c r="J1706" i="58"/>
  <c r="N1706" i="58" s="1"/>
  <c r="N2150" i="72"/>
  <c r="P2150" i="72" s="1"/>
  <c r="N1078" i="72"/>
  <c r="P1078" i="72" s="1"/>
  <c r="S1078" i="72" s="1"/>
  <c r="T1078" i="72" s="1"/>
  <c r="J1317" i="58"/>
  <c r="N1317" i="58" s="1"/>
  <c r="N1507" i="72"/>
  <c r="P1507" i="72" s="1"/>
  <c r="S1507" i="72" s="1"/>
  <c r="T1507" i="72" s="1"/>
  <c r="N1473" i="72"/>
  <c r="P1473" i="72" s="1"/>
  <c r="J806" i="58"/>
  <c r="N806" i="58" s="1"/>
  <c r="N1103" i="72"/>
  <c r="P1103" i="72" s="1"/>
  <c r="S1103" i="72" s="1"/>
  <c r="T1103" i="72" s="1"/>
  <c r="N1176" i="72"/>
  <c r="P1176" i="72" s="1"/>
  <c r="S1176" i="72" s="1"/>
  <c r="T1176" i="72" s="1"/>
  <c r="J600" i="58"/>
  <c r="N600" i="58" s="1"/>
  <c r="N1251" i="72"/>
  <c r="P1251" i="72" s="1"/>
  <c r="S1251" i="72" s="1"/>
  <c r="T1251" i="72" s="1"/>
  <c r="N1199" i="72"/>
  <c r="P1199" i="72" s="1"/>
  <c r="S1199" i="72" s="1"/>
  <c r="T1199" i="72" s="1"/>
  <c r="J803" i="58"/>
  <c r="N803" i="58" s="1"/>
  <c r="N1100" i="72"/>
  <c r="P1100" i="72" s="1"/>
  <c r="N1173" i="72"/>
  <c r="P1173" i="72" s="1"/>
  <c r="J368" i="58"/>
  <c r="N368" i="58" s="1"/>
  <c r="N1019" i="72"/>
  <c r="P1019" i="72" s="1"/>
  <c r="S1019" i="72" s="1"/>
  <c r="T1019" i="72" s="1"/>
  <c r="N1125" i="72"/>
  <c r="P1125" i="72" s="1"/>
  <c r="N140" i="72"/>
  <c r="P140" i="72" s="1"/>
  <c r="S140" i="72" s="1"/>
  <c r="T140" i="72" s="1"/>
  <c r="J1278" i="58"/>
  <c r="N1278" i="58" s="1"/>
  <c r="N1390" i="72"/>
  <c r="P1390" i="72" s="1"/>
  <c r="S1390" i="72" s="1"/>
  <c r="T1390" i="72" s="1"/>
  <c r="N1449" i="72"/>
  <c r="P1449" i="72" s="1"/>
  <c r="J1297" i="58"/>
  <c r="N1297" i="58" s="1"/>
  <c r="N1484" i="72"/>
  <c r="P1484" i="72" s="1"/>
  <c r="N1518" i="72"/>
  <c r="P1518" i="72" s="1"/>
  <c r="N1462" i="72"/>
  <c r="P1462" i="72" s="1"/>
  <c r="N1496" i="72"/>
  <c r="P1496" i="72" s="1"/>
  <c r="J828" i="58"/>
  <c r="N828" i="58" s="1"/>
  <c r="N1091" i="72"/>
  <c r="P1091" i="72" s="1"/>
  <c r="S1091" i="72" s="1"/>
  <c r="T1091" i="72" s="1"/>
  <c r="N1164" i="72"/>
  <c r="P1164" i="72" s="1"/>
  <c r="S1164" i="72" s="1"/>
  <c r="T1164" i="72" s="1"/>
  <c r="J192" i="58"/>
  <c r="N192" i="58" s="1"/>
  <c r="N115" i="72"/>
  <c r="P115" i="72" s="1"/>
  <c r="S115" i="72" s="1"/>
  <c r="T115" i="72" s="1"/>
  <c r="J826" i="58"/>
  <c r="N826" i="58" s="1"/>
  <c r="N1089" i="72"/>
  <c r="P1089" i="72" s="1"/>
  <c r="S1089" i="72" s="1"/>
  <c r="T1089" i="72" s="1"/>
  <c r="N1162" i="72"/>
  <c r="P1162" i="72" s="1"/>
  <c r="S1162" i="72" s="1"/>
  <c r="T1162" i="72" s="1"/>
  <c r="N1695" i="72"/>
  <c r="P1695" i="72" s="1"/>
  <c r="N1572" i="72"/>
  <c r="P1572" i="72" s="1"/>
  <c r="S1572" i="72" s="1"/>
  <c r="T1572" i="72" s="1"/>
  <c r="N1708" i="72"/>
  <c r="P1708" i="72" s="1"/>
  <c r="N1559" i="72"/>
  <c r="P1559" i="72" s="1"/>
  <c r="J312" i="58"/>
  <c r="N312" i="58" s="1"/>
  <c r="N995" i="72"/>
  <c r="P995" i="72" s="1"/>
  <c r="N951" i="72"/>
  <c r="P951" i="72" s="1"/>
  <c r="J273" i="58"/>
  <c r="N273" i="58" s="1"/>
  <c r="N974" i="72"/>
  <c r="P974" i="72" s="1"/>
  <c r="S974" i="72" s="1"/>
  <c r="T974" i="72" s="1"/>
  <c r="N930" i="72"/>
  <c r="P930" i="72" s="1"/>
  <c r="S930" i="72" s="1"/>
  <c r="T930" i="72" s="1"/>
  <c r="J804" i="58"/>
  <c r="N804" i="58" s="1"/>
  <c r="N1174" i="72"/>
  <c r="P1174" i="72" s="1"/>
  <c r="S1174" i="72" s="1"/>
  <c r="T1174" i="72" s="1"/>
  <c r="N1101" i="72"/>
  <c r="P1101" i="72" s="1"/>
  <c r="S1101" i="72" s="1"/>
  <c r="T1101" i="72" s="1"/>
  <c r="N1240" i="72"/>
  <c r="P1240" i="72" s="1"/>
  <c r="S1240" i="72" s="1"/>
  <c r="T1240" i="72" s="1"/>
  <c r="N1281" i="72"/>
  <c r="P1281" i="72" s="1"/>
  <c r="N1188" i="72"/>
  <c r="P1188" i="72" s="1"/>
  <c r="S1188" i="72" s="1"/>
  <c r="T1188" i="72" s="1"/>
  <c r="J739" i="58"/>
  <c r="N739" i="58" s="1"/>
  <c r="N1416" i="72"/>
  <c r="P1416" i="72" s="1"/>
  <c r="S1416" i="72" s="1"/>
  <c r="T1416" i="72" s="1"/>
  <c r="N1357" i="72"/>
  <c r="P1357" i="72" s="1"/>
  <c r="J601" i="58"/>
  <c r="N601" i="58" s="1"/>
  <c r="N1252" i="72"/>
  <c r="P1252" i="72" s="1"/>
  <c r="S1252" i="72" s="1"/>
  <c r="T1252" i="72" s="1"/>
  <c r="N1200" i="72"/>
  <c r="P1200" i="72" s="1"/>
  <c r="S1200" i="72" s="1"/>
  <c r="T1200" i="72" s="1"/>
  <c r="J638" i="58"/>
  <c r="N638" i="58" s="1"/>
  <c r="N1261" i="72"/>
  <c r="P1261" i="72" s="1"/>
  <c r="S1261" i="72" s="1"/>
  <c r="T1261" i="72" s="1"/>
  <c r="N1219" i="72"/>
  <c r="P1219" i="72" s="1"/>
  <c r="N1685" i="72"/>
  <c r="P1685" i="72" s="1"/>
  <c r="S1685" i="72" s="1"/>
  <c r="T1685" i="72" s="1"/>
  <c r="N1549" i="72"/>
  <c r="P1549" i="72" s="1"/>
  <c r="J970" i="58"/>
  <c r="N970" i="58" s="1"/>
  <c r="N1307" i="72"/>
  <c r="P1307" i="72" s="1"/>
  <c r="S1307" i="72" s="1"/>
  <c r="T1307" i="72" s="1"/>
  <c r="J474" i="58"/>
  <c r="N474" i="58" s="1"/>
  <c r="N384" i="72"/>
  <c r="P384" i="72" s="1"/>
  <c r="S384" i="72" s="1"/>
  <c r="T384" i="72" s="1"/>
  <c r="N422" i="72"/>
  <c r="P422" i="72" s="1"/>
  <c r="S422" i="72" s="1"/>
  <c r="T422" i="72" s="1"/>
  <c r="N346" i="72"/>
  <c r="P346" i="72" s="1"/>
  <c r="S346" i="72" s="1"/>
  <c r="T346" i="72" s="1"/>
  <c r="N877" i="72"/>
  <c r="P877" i="72" s="1"/>
  <c r="S877" i="72" s="1"/>
  <c r="T877" i="72" s="1"/>
  <c r="J825" i="58"/>
  <c r="N825" i="58" s="1"/>
  <c r="N1161" i="72"/>
  <c r="P1161" i="72" s="1"/>
  <c r="S1161" i="72" s="1"/>
  <c r="T1161" i="72" s="1"/>
  <c r="N1088" i="72"/>
  <c r="P1088" i="72" s="1"/>
  <c r="J737" i="58"/>
  <c r="N737" i="58" s="1"/>
  <c r="N1414" i="72"/>
  <c r="P1414" i="72" s="1"/>
  <c r="S1414" i="72" s="1"/>
  <c r="T1414" i="72" s="1"/>
  <c r="N1355" i="72"/>
  <c r="P1355" i="72" s="1"/>
  <c r="I1499" i="58"/>
  <c r="N1498" i="58"/>
  <c r="K1069" i="58"/>
  <c r="N1068" i="58"/>
  <c r="K1382" i="58"/>
  <c r="N1378" i="58"/>
  <c r="N1389" i="58" s="1"/>
  <c r="I1533" i="58"/>
  <c r="I1516" i="58"/>
  <c r="J1319" i="58"/>
  <c r="N1319" i="58" s="1"/>
  <c r="P1320" i="58"/>
  <c r="J1318" i="58"/>
  <c r="N1318" i="58" s="1"/>
  <c r="K294" i="58"/>
  <c r="I703" i="58"/>
  <c r="I1535" i="58"/>
  <c r="I1501" i="58"/>
  <c r="I1518" i="58"/>
  <c r="I1322" i="58"/>
  <c r="I1302" i="58"/>
  <c r="I702" i="58"/>
  <c r="I766" i="58"/>
  <c r="I744" i="58"/>
  <c r="I682" i="58"/>
  <c r="I722" i="58"/>
  <c r="I415" i="58"/>
  <c r="I371" i="58"/>
  <c r="I392" i="58"/>
  <c r="I1710" i="58"/>
  <c r="I1188" i="58"/>
  <c r="I1206" i="58"/>
  <c r="I1187" i="58"/>
  <c r="I1149" i="58"/>
  <c r="I1130" i="58"/>
  <c r="I1071" i="58"/>
  <c r="I1168" i="58"/>
  <c r="J1168" i="58" s="1"/>
  <c r="N1168" i="58" s="1"/>
  <c r="I1110" i="58"/>
  <c r="I1090" i="58"/>
  <c r="I1011" i="58"/>
  <c r="I1053" i="58"/>
  <c r="I1031" i="58"/>
  <c r="J1031" i="58" s="1"/>
  <c r="N1031" i="58" s="1"/>
  <c r="I851" i="58"/>
  <c r="I809" i="58"/>
  <c r="I831" i="58"/>
  <c r="I395" i="58"/>
  <c r="I374" i="58"/>
  <c r="I334" i="58"/>
  <c r="I316" i="58"/>
  <c r="I277" i="58"/>
  <c r="I236" i="58"/>
  <c r="I296" i="58"/>
  <c r="J296" i="58" s="1"/>
  <c r="N296" i="58" s="1"/>
  <c r="I257" i="58"/>
  <c r="I718" i="58"/>
  <c r="I1712" i="58"/>
  <c r="I1519" i="58"/>
  <c r="I1536" i="58"/>
  <c r="I1284" i="58"/>
  <c r="I1324" i="58"/>
  <c r="I1304" i="58"/>
  <c r="I1502" i="58"/>
  <c r="I1170" i="58"/>
  <c r="J1170" i="58" s="1"/>
  <c r="N1170" i="58" s="1"/>
  <c r="I1112" i="58"/>
  <c r="I1092" i="58"/>
  <c r="I993" i="58"/>
  <c r="I1208" i="58"/>
  <c r="I1189" i="58"/>
  <c r="I1151" i="58"/>
  <c r="I1132" i="58"/>
  <c r="I1073" i="58"/>
  <c r="I1055" i="58"/>
  <c r="I1033" i="58"/>
  <c r="J1033" i="58" s="1"/>
  <c r="N1033" i="58" s="1"/>
  <c r="I956" i="58"/>
  <c r="I975" i="58"/>
  <c r="I1013" i="58"/>
  <c r="I811" i="58"/>
  <c r="I853" i="58"/>
  <c r="I833" i="58"/>
  <c r="I767" i="58"/>
  <c r="I745" i="58"/>
  <c r="I683" i="58"/>
  <c r="I723" i="58"/>
  <c r="I644" i="58"/>
  <c r="I606" i="58"/>
  <c r="I509" i="58"/>
  <c r="I459" i="58"/>
  <c r="I376" i="58"/>
  <c r="I484" i="58"/>
  <c r="I397" i="58"/>
  <c r="I533" i="58"/>
  <c r="I438" i="58"/>
  <c r="I416" i="58"/>
  <c r="I298" i="58"/>
  <c r="J298" i="58" s="1"/>
  <c r="N298" i="58" s="1"/>
  <c r="I259" i="58"/>
  <c r="I336" i="58"/>
  <c r="I318" i="58"/>
  <c r="I279" i="58"/>
  <c r="I238" i="58"/>
  <c r="I1323" i="58"/>
  <c r="I1303" i="58"/>
  <c r="I988" i="58"/>
  <c r="I1146" i="58"/>
  <c r="J1145" i="58"/>
  <c r="N1145" i="58" s="1"/>
  <c r="I1087" i="58"/>
  <c r="J1086" i="58"/>
  <c r="N1086" i="58" s="1"/>
  <c r="I1107" i="58"/>
  <c r="J1106" i="58"/>
  <c r="N1106" i="58" s="1"/>
  <c r="J1006" i="58"/>
  <c r="N1006" i="58" s="1"/>
  <c r="K1029" i="58"/>
  <c r="I677" i="58"/>
  <c r="J676" i="58"/>
  <c r="N676" i="58" s="1"/>
  <c r="I1047" i="58"/>
  <c r="J1046" i="58"/>
  <c r="N1046" i="58" s="1"/>
  <c r="I1184" i="58"/>
  <c r="J1183" i="58"/>
  <c r="N1183" i="58" s="1"/>
  <c r="I721" i="58"/>
  <c r="I701" i="58"/>
  <c r="I765" i="58"/>
  <c r="I743" i="58"/>
  <c r="I681" i="58"/>
  <c r="I414" i="58"/>
  <c r="I1283" i="58"/>
  <c r="I992" i="58"/>
  <c r="I955" i="58"/>
  <c r="I974" i="58"/>
  <c r="I605" i="58"/>
  <c r="I643" i="58"/>
  <c r="I483" i="58"/>
  <c r="I532" i="58"/>
  <c r="I508" i="58"/>
  <c r="I437" i="58"/>
  <c r="I458" i="58"/>
  <c r="I1711" i="58"/>
  <c r="I1207" i="58"/>
  <c r="I1150" i="58"/>
  <c r="I1131" i="58"/>
  <c r="I1072" i="58"/>
  <c r="I1032" i="58"/>
  <c r="J1032" i="58" s="1"/>
  <c r="N1032" i="58" s="1"/>
  <c r="I1169" i="58"/>
  <c r="J1169" i="58" s="1"/>
  <c r="N1169" i="58" s="1"/>
  <c r="I1111" i="58"/>
  <c r="I1091" i="58"/>
  <c r="I1054" i="58"/>
  <c r="I1012" i="58"/>
  <c r="I852" i="58"/>
  <c r="I810" i="58"/>
  <c r="I832" i="58"/>
  <c r="I375" i="58"/>
  <c r="I396" i="58"/>
  <c r="I278" i="58"/>
  <c r="I237" i="58"/>
  <c r="I297" i="58"/>
  <c r="J297" i="58" s="1"/>
  <c r="N297" i="58" s="1"/>
  <c r="I258" i="58"/>
  <c r="I335" i="58"/>
  <c r="I317" i="58"/>
  <c r="I950" i="58"/>
  <c r="J969" i="58"/>
  <c r="I503" i="58"/>
  <c r="K455" i="58"/>
  <c r="I478" i="58"/>
  <c r="I527" i="58"/>
  <c r="J1126" i="58"/>
  <c r="N1126" i="58" s="1"/>
  <c r="I1127" i="58"/>
  <c r="I1203" i="58"/>
  <c r="J1202" i="58"/>
  <c r="N1202" i="58" s="1"/>
  <c r="I1165" i="58"/>
  <c r="J1165" i="58" s="1"/>
  <c r="N1165" i="58" s="1"/>
  <c r="J1164" i="58"/>
  <c r="N1164" i="58" s="1"/>
  <c r="I1282" i="58"/>
  <c r="I991" i="58"/>
  <c r="I954" i="58"/>
  <c r="I973" i="58"/>
  <c r="I642" i="58"/>
  <c r="I604" i="58"/>
  <c r="I531" i="58"/>
  <c r="I507" i="58"/>
  <c r="I436" i="58"/>
  <c r="I457" i="58"/>
  <c r="I482" i="58"/>
  <c r="I1709" i="58"/>
  <c r="I1321" i="58"/>
  <c r="I1301" i="58"/>
  <c r="I1281" i="58"/>
  <c r="I1167" i="58"/>
  <c r="J1167" i="58" s="1"/>
  <c r="N1167" i="58" s="1"/>
  <c r="I1109" i="58"/>
  <c r="I1089" i="58"/>
  <c r="I1052" i="58"/>
  <c r="I1010" i="58"/>
  <c r="I1205" i="58"/>
  <c r="I1186" i="58"/>
  <c r="I1148" i="58"/>
  <c r="I1129" i="58"/>
  <c r="I1070" i="58"/>
  <c r="I1030" i="58"/>
  <c r="J1030" i="58" s="1"/>
  <c r="N1030" i="58" s="1"/>
  <c r="I972" i="58"/>
  <c r="I990" i="58"/>
  <c r="I953" i="58"/>
  <c r="I808" i="58"/>
  <c r="I850" i="58"/>
  <c r="I830" i="58"/>
  <c r="I742" i="58"/>
  <c r="I680" i="58"/>
  <c r="I720" i="58"/>
  <c r="I641" i="58"/>
  <c r="I700" i="58"/>
  <c r="I603" i="58"/>
  <c r="I764" i="58"/>
  <c r="I481" i="58"/>
  <c r="I373" i="58"/>
  <c r="I530" i="58"/>
  <c r="I394" i="58"/>
  <c r="I506" i="58"/>
  <c r="I435" i="58"/>
  <c r="I413" i="58"/>
  <c r="I456" i="58"/>
  <c r="I295" i="58"/>
  <c r="J295" i="58" s="1"/>
  <c r="N295" i="58" s="1"/>
  <c r="I256" i="58"/>
  <c r="I333" i="58"/>
  <c r="I315" i="58"/>
  <c r="I276" i="58"/>
  <c r="I235" i="58"/>
  <c r="I1299" i="58"/>
  <c r="J1298" i="58"/>
  <c r="N1298" i="58" s="1"/>
  <c r="I85" i="58"/>
  <c r="I216" i="58"/>
  <c r="J216" i="58" s="1"/>
  <c r="N216" i="58" s="1"/>
  <c r="I196" i="58"/>
  <c r="I195" i="58"/>
  <c r="I161" i="58"/>
  <c r="I145" i="58"/>
  <c r="J145" i="58" s="1"/>
  <c r="N145" i="58" s="1"/>
  <c r="I116" i="58"/>
  <c r="I102" i="58"/>
  <c r="I86" i="58"/>
  <c r="I67" i="58"/>
  <c r="I215" i="58"/>
  <c r="J215" i="58" s="1"/>
  <c r="N215" i="58" s="1"/>
  <c r="I177" i="58"/>
  <c r="I131" i="58"/>
  <c r="K214" i="58"/>
  <c r="I39" i="58"/>
  <c r="I218" i="58"/>
  <c r="J218" i="58" s="1"/>
  <c r="N218" i="58" s="1"/>
  <c r="I198" i="58"/>
  <c r="I68" i="58"/>
  <c r="I178" i="58"/>
  <c r="I132" i="58"/>
  <c r="I162" i="58"/>
  <c r="I146" i="58"/>
  <c r="J146" i="58" s="1"/>
  <c r="N146" i="58" s="1"/>
  <c r="I117" i="58"/>
  <c r="I103" i="58"/>
  <c r="I88" i="58"/>
  <c r="I87" i="58"/>
  <c r="I217" i="58"/>
  <c r="J217" i="58" s="1"/>
  <c r="N217" i="58" s="1"/>
  <c r="I197" i="58"/>
  <c r="B48" i="11"/>
  <c r="B49" i="11" s="1"/>
  <c r="B50" i="11" s="1"/>
  <c r="B51" i="11" s="1"/>
  <c r="B24" i="11"/>
  <c r="B25" i="11" s="1"/>
  <c r="B26" i="11" l="1"/>
  <c r="B27" i="11" s="1"/>
  <c r="B28" i="11" s="1"/>
  <c r="B29" i="11" s="1"/>
  <c r="B30" i="11" s="1"/>
  <c r="N331" i="58"/>
  <c r="N159" i="58"/>
  <c r="K275" i="58"/>
  <c r="K194" i="58"/>
  <c r="K234" i="58"/>
  <c r="K1280" i="58"/>
  <c r="K84" i="58"/>
  <c r="K1708" i="58"/>
  <c r="K849" i="58"/>
  <c r="J1203" i="58"/>
  <c r="N1203" i="58" s="1"/>
  <c r="N1751" i="72"/>
  <c r="P1751" i="72" s="1"/>
  <c r="S1751" i="72" s="1"/>
  <c r="T1751" i="72" s="1"/>
  <c r="N1740" i="72"/>
  <c r="P1740" i="72" s="1"/>
  <c r="S1740" i="72" s="1"/>
  <c r="T1740" i="72" s="1"/>
  <c r="N1604" i="72"/>
  <c r="P1604" i="72" s="1"/>
  <c r="S1604" i="72" s="1"/>
  <c r="T1604" i="72" s="1"/>
  <c r="J950" i="58"/>
  <c r="N950" i="58" s="1"/>
  <c r="N1296" i="72"/>
  <c r="P1296" i="72" s="1"/>
  <c r="J1299" i="58"/>
  <c r="N1299" i="58" s="1"/>
  <c r="N1520" i="72"/>
  <c r="P1520" i="72" s="1"/>
  <c r="N1498" i="72"/>
  <c r="P1498" i="72" s="1"/>
  <c r="S1498" i="72" s="1"/>
  <c r="T1498" i="72" s="1"/>
  <c r="N1486" i="72"/>
  <c r="P1486" i="72" s="1"/>
  <c r="S1486" i="72" s="1"/>
  <c r="T1486" i="72" s="1"/>
  <c r="N1464" i="72"/>
  <c r="P1464" i="72" s="1"/>
  <c r="S1464" i="72" s="1"/>
  <c r="T1464" i="72" s="1"/>
  <c r="I762" i="58"/>
  <c r="N1381" i="72" s="1"/>
  <c r="P1381" i="72" s="1"/>
  <c r="S1381" i="72" s="1"/>
  <c r="T1381" i="72" s="1"/>
  <c r="J527" i="58"/>
  <c r="K529" i="58" s="1"/>
  <c r="N804" i="72"/>
  <c r="P804" i="72" s="1"/>
  <c r="S804" i="72" s="1"/>
  <c r="T804" i="72" s="1"/>
  <c r="N728" i="72"/>
  <c r="P728" i="72" s="1"/>
  <c r="S728" i="72" s="1"/>
  <c r="T728" i="72" s="1"/>
  <c r="N766" i="72"/>
  <c r="P766" i="72" s="1"/>
  <c r="S766" i="72" s="1"/>
  <c r="T766" i="72" s="1"/>
  <c r="N497" i="72"/>
  <c r="P497" i="72" s="1"/>
  <c r="S497" i="72" s="1"/>
  <c r="T497" i="72" s="1"/>
  <c r="N842" i="72"/>
  <c r="P842" i="72" s="1"/>
  <c r="S842" i="72" s="1"/>
  <c r="T842" i="72" s="1"/>
  <c r="I740" i="58"/>
  <c r="J740" i="58" s="1"/>
  <c r="K741" i="58" s="1"/>
  <c r="K255" i="58"/>
  <c r="K314" i="58"/>
  <c r="S1625" i="72"/>
  <c r="T1625" i="72" s="1"/>
  <c r="S837" i="72"/>
  <c r="T837" i="72" s="1"/>
  <c r="S1739" i="72"/>
  <c r="T1739" i="72" s="1"/>
  <c r="N1615" i="72"/>
  <c r="P1615" i="72" s="1"/>
  <c r="S1615" i="72" s="1"/>
  <c r="T1615" i="72" s="1"/>
  <c r="N1762" i="72"/>
  <c r="P1762" i="72" s="1"/>
  <c r="S1762" i="72" s="1"/>
  <c r="T1762" i="72" s="1"/>
  <c r="S209" i="72"/>
  <c r="T209" i="72" s="1"/>
  <c r="S1582" i="72"/>
  <c r="T1582" i="72" s="1"/>
  <c r="J1516" i="58"/>
  <c r="K1517" i="58" s="1"/>
  <c r="N2062" i="72"/>
  <c r="P2062" i="72" s="1"/>
  <c r="S2062" i="72" s="1"/>
  <c r="T2062" i="72" s="1"/>
  <c r="N1902" i="72"/>
  <c r="P1902" i="72" s="1"/>
  <c r="S1902" i="72" s="1"/>
  <c r="T1902" i="72" s="1"/>
  <c r="S723" i="72"/>
  <c r="T723" i="72" s="1"/>
  <c r="S1750" i="72"/>
  <c r="T1750" i="72" s="1"/>
  <c r="J1533" i="58"/>
  <c r="N1533" i="58" s="1"/>
  <c r="N2070" i="72"/>
  <c r="P2070" i="72" s="1"/>
  <c r="S2070" i="72" s="1"/>
  <c r="T2070" i="72" s="1"/>
  <c r="N1910" i="72"/>
  <c r="P1910" i="72" s="1"/>
  <c r="S492" i="72"/>
  <c r="T492" i="72" s="1"/>
  <c r="S799" i="72"/>
  <c r="T799" i="72" s="1"/>
  <c r="S1614" i="72"/>
  <c r="T1614" i="72" s="1"/>
  <c r="S347" i="72"/>
  <c r="T347" i="72" s="1"/>
  <c r="S325" i="72"/>
  <c r="T325" i="72" s="1"/>
  <c r="S512" i="72"/>
  <c r="T512" i="72" s="1"/>
  <c r="S383" i="72"/>
  <c r="T383" i="72" s="1"/>
  <c r="J478" i="58"/>
  <c r="K480" i="58" s="1"/>
  <c r="N881" i="72"/>
  <c r="P881" i="72" s="1"/>
  <c r="S881" i="72" s="1"/>
  <c r="T881" i="72" s="1"/>
  <c r="N388" i="72"/>
  <c r="P388" i="72" s="1"/>
  <c r="S388" i="72" s="1"/>
  <c r="T388" i="72" s="1"/>
  <c r="N350" i="72"/>
  <c r="P350" i="72" s="1"/>
  <c r="S350" i="72" s="1"/>
  <c r="T350" i="72" s="1"/>
  <c r="N426" i="72"/>
  <c r="P426" i="72" s="1"/>
  <c r="S426" i="72" s="1"/>
  <c r="T426" i="72" s="1"/>
  <c r="S1718" i="72"/>
  <c r="T1718" i="72" s="1"/>
  <c r="S1090" i="72"/>
  <c r="T1090" i="72" s="1"/>
  <c r="S345" i="72"/>
  <c r="T345" i="72" s="1"/>
  <c r="J1146" i="58"/>
  <c r="N1146" i="58" s="1"/>
  <c r="N1583" i="72"/>
  <c r="P1583" i="72" s="1"/>
  <c r="S1583" i="72" s="1"/>
  <c r="T1583" i="72" s="1"/>
  <c r="N1719" i="72"/>
  <c r="P1719" i="72" s="1"/>
  <c r="S1719" i="72" s="1"/>
  <c r="T1719" i="72" s="1"/>
  <c r="J1499" i="58"/>
  <c r="K1500" i="58" s="1"/>
  <c r="N2054" i="72"/>
  <c r="P2054" i="72" s="1"/>
  <c r="S2054" i="72" s="1"/>
  <c r="T2054" i="72" s="1"/>
  <c r="N1894" i="72"/>
  <c r="P1894" i="72" s="1"/>
  <c r="K434" i="58"/>
  <c r="J503" i="58"/>
  <c r="N503" i="58" s="1"/>
  <c r="N651" i="72"/>
  <c r="P651" i="72" s="1"/>
  <c r="N575" i="72"/>
  <c r="P575" i="72" s="1"/>
  <c r="S575" i="72" s="1"/>
  <c r="T575" i="72" s="1"/>
  <c r="N537" i="72"/>
  <c r="P537" i="72" s="1"/>
  <c r="S537" i="72" s="1"/>
  <c r="T537" i="72" s="1"/>
  <c r="N689" i="72"/>
  <c r="P689" i="72" s="1"/>
  <c r="S689" i="72" s="1"/>
  <c r="T689" i="72" s="1"/>
  <c r="N613" i="72"/>
  <c r="P613" i="72" s="1"/>
  <c r="S613" i="72" s="1"/>
  <c r="T613" i="72" s="1"/>
  <c r="J1047" i="58"/>
  <c r="N1047" i="58" s="1"/>
  <c r="N1773" i="72"/>
  <c r="P1773" i="72" s="1"/>
  <c r="S1773" i="72" s="1"/>
  <c r="T1773" i="72" s="1"/>
  <c r="N1626" i="72"/>
  <c r="P1626" i="72" s="1"/>
  <c r="S1626" i="72" s="1"/>
  <c r="T1626" i="72" s="1"/>
  <c r="J1087" i="58"/>
  <c r="N1087" i="58" s="1"/>
  <c r="N1676" i="72"/>
  <c r="P1676" i="72" s="1"/>
  <c r="S1676" i="72" s="1"/>
  <c r="T1676" i="72" s="1"/>
  <c r="N1540" i="72"/>
  <c r="P1540" i="72" s="1"/>
  <c r="S1540" i="72" s="1"/>
  <c r="T1540" i="72" s="1"/>
  <c r="K699" i="58"/>
  <c r="S1354" i="72"/>
  <c r="T1354" i="72" s="1"/>
  <c r="S125" i="72"/>
  <c r="T125" i="72" s="1"/>
  <c r="S1603" i="72"/>
  <c r="T1603" i="72" s="1"/>
  <c r="S1761" i="72"/>
  <c r="T1761" i="72" s="1"/>
  <c r="S929" i="72"/>
  <c r="T929" i="72" s="1"/>
  <c r="S649" i="72"/>
  <c r="T649" i="72" s="1"/>
  <c r="S175" i="72"/>
  <c r="T175" i="72" s="1"/>
  <c r="S765" i="72"/>
  <c r="T765" i="72" s="1"/>
  <c r="S189" i="72"/>
  <c r="T189" i="72" s="1"/>
  <c r="S876" i="72"/>
  <c r="T876" i="72" s="1"/>
  <c r="S532" i="72"/>
  <c r="T532" i="72" s="1"/>
  <c r="S154" i="72"/>
  <c r="T154" i="72" s="1"/>
  <c r="K807" i="58"/>
  <c r="J642" i="58"/>
  <c r="N642" i="58" s="1"/>
  <c r="N1223" i="72"/>
  <c r="P1223" i="72" s="1"/>
  <c r="S1223" i="72" s="1"/>
  <c r="T1223" i="72" s="1"/>
  <c r="N1265" i="72"/>
  <c r="P1265" i="72" s="1"/>
  <c r="S1265" i="72" s="1"/>
  <c r="T1265" i="72" s="1"/>
  <c r="J1012" i="58"/>
  <c r="N1012" i="58" s="1"/>
  <c r="N1767" i="72"/>
  <c r="P1767" i="72" s="1"/>
  <c r="S1767" i="72" s="1"/>
  <c r="T1767" i="72" s="1"/>
  <c r="N1620" i="72"/>
  <c r="P1620" i="72" s="1"/>
  <c r="S1620" i="72" s="1"/>
  <c r="T1620" i="72" s="1"/>
  <c r="J1150" i="58"/>
  <c r="N1150" i="58" s="1"/>
  <c r="N1587" i="72"/>
  <c r="P1587" i="72" s="1"/>
  <c r="S1587" i="72" s="1"/>
  <c r="T1587" i="72" s="1"/>
  <c r="N1723" i="72"/>
  <c r="P1723" i="72" s="1"/>
  <c r="S1723" i="72" s="1"/>
  <c r="T1723" i="72" s="1"/>
  <c r="J955" i="58"/>
  <c r="N955" i="58" s="1"/>
  <c r="N1301" i="72"/>
  <c r="P1301" i="72" s="1"/>
  <c r="S1301" i="72" s="1"/>
  <c r="T1301" i="72" s="1"/>
  <c r="J988" i="58"/>
  <c r="K989" i="58" s="1"/>
  <c r="N1316" i="72"/>
  <c r="P1316" i="72" s="1"/>
  <c r="S1357" i="72"/>
  <c r="T1357" i="72" s="1"/>
  <c r="S951" i="72"/>
  <c r="T951" i="72" s="1"/>
  <c r="S1449" i="72"/>
  <c r="T1449" i="72" s="1"/>
  <c r="S2150" i="72"/>
  <c r="T2150" i="72" s="1"/>
  <c r="S789" i="72"/>
  <c r="T789" i="72" s="1"/>
  <c r="S815" i="72"/>
  <c r="T815" i="72" s="1"/>
  <c r="S739" i="72"/>
  <c r="T739" i="72" s="1"/>
  <c r="J482" i="58"/>
  <c r="N482" i="58" s="1"/>
  <c r="N885" i="72"/>
  <c r="P885" i="72" s="1"/>
  <c r="S885" i="72" s="1"/>
  <c r="T885" i="72" s="1"/>
  <c r="N354" i="72"/>
  <c r="P354" i="72" s="1"/>
  <c r="S354" i="72" s="1"/>
  <c r="T354" i="72" s="1"/>
  <c r="N430" i="72"/>
  <c r="P430" i="72" s="1"/>
  <c r="S430" i="72" s="1"/>
  <c r="T430" i="72" s="1"/>
  <c r="N392" i="72"/>
  <c r="P392" i="72" s="1"/>
  <c r="S392" i="72" s="1"/>
  <c r="T392" i="72" s="1"/>
  <c r="J531" i="58"/>
  <c r="N531" i="58" s="1"/>
  <c r="N846" i="72"/>
  <c r="P846" i="72" s="1"/>
  <c r="S846" i="72" s="1"/>
  <c r="T846" i="72" s="1"/>
  <c r="N501" i="72"/>
  <c r="P501" i="72" s="1"/>
  <c r="S501" i="72" s="1"/>
  <c r="T501" i="72" s="1"/>
  <c r="N808" i="72"/>
  <c r="P808" i="72" s="1"/>
  <c r="S808" i="72" s="1"/>
  <c r="T808" i="72" s="1"/>
  <c r="N732" i="72"/>
  <c r="P732" i="72" s="1"/>
  <c r="S732" i="72" s="1"/>
  <c r="T732" i="72" s="1"/>
  <c r="N770" i="72"/>
  <c r="P770" i="72" s="1"/>
  <c r="S770" i="72" s="1"/>
  <c r="T770" i="72" s="1"/>
  <c r="J973" i="58"/>
  <c r="N973" i="58" s="1"/>
  <c r="N1310" i="72"/>
  <c r="P1310" i="72" s="1"/>
  <c r="S1310" i="72" s="1"/>
  <c r="T1310" i="72" s="1"/>
  <c r="J1127" i="58"/>
  <c r="N1127" i="58" s="1"/>
  <c r="N1709" i="72"/>
  <c r="P1709" i="72" s="1"/>
  <c r="S1709" i="72" s="1"/>
  <c r="T1709" i="72" s="1"/>
  <c r="N1560" i="72"/>
  <c r="P1560" i="72" s="1"/>
  <c r="S1560" i="72" s="1"/>
  <c r="T1560" i="72" s="1"/>
  <c r="N1696" i="72"/>
  <c r="P1696" i="72" s="1"/>
  <c r="S1696" i="72" s="1"/>
  <c r="T1696" i="72" s="1"/>
  <c r="N1573" i="72"/>
  <c r="P1573" i="72" s="1"/>
  <c r="S1573" i="72" s="1"/>
  <c r="T1573" i="72" s="1"/>
  <c r="J508" i="58"/>
  <c r="N508" i="58" s="1"/>
  <c r="N618" i="72"/>
  <c r="P618" i="72" s="1"/>
  <c r="S618" i="72" s="1"/>
  <c r="T618" i="72" s="1"/>
  <c r="N656" i="72"/>
  <c r="P656" i="72" s="1"/>
  <c r="N580" i="72"/>
  <c r="P580" i="72" s="1"/>
  <c r="S580" i="72" s="1"/>
  <c r="T580" i="72" s="1"/>
  <c r="N694" i="72"/>
  <c r="P694" i="72" s="1"/>
  <c r="S694" i="72" s="1"/>
  <c r="T694" i="72" s="1"/>
  <c r="N542" i="72"/>
  <c r="P542" i="72" s="1"/>
  <c r="S542" i="72" s="1"/>
  <c r="T542" i="72" s="1"/>
  <c r="J992" i="58"/>
  <c r="N992" i="58" s="1"/>
  <c r="N1320" i="72"/>
  <c r="P1320" i="72" s="1"/>
  <c r="S1320" i="72" s="1"/>
  <c r="T1320" i="72" s="1"/>
  <c r="J392" i="58"/>
  <c r="K393" i="58" s="1"/>
  <c r="N857" i="72"/>
  <c r="P857" i="72" s="1"/>
  <c r="S857" i="72" s="1"/>
  <c r="T857" i="72" s="1"/>
  <c r="N742" i="72"/>
  <c r="P742" i="72" s="1"/>
  <c r="S742" i="72" s="1"/>
  <c r="T742" i="72" s="1"/>
  <c r="N704" i="72"/>
  <c r="P704" i="72" s="1"/>
  <c r="S704" i="72" s="1"/>
  <c r="T704" i="72" s="1"/>
  <c r="N665" i="72"/>
  <c r="P665" i="72" s="1"/>
  <c r="S665" i="72" s="1"/>
  <c r="T665" i="72" s="1"/>
  <c r="N473" i="72"/>
  <c r="P473" i="72" s="1"/>
  <c r="N402" i="72"/>
  <c r="P402" i="72" s="1"/>
  <c r="S402" i="72" s="1"/>
  <c r="T402" i="72" s="1"/>
  <c r="N259" i="72"/>
  <c r="P259" i="72" s="1"/>
  <c r="S259" i="72" s="1"/>
  <c r="T259" i="72" s="1"/>
  <c r="N551" i="72"/>
  <c r="P551" i="72" s="1"/>
  <c r="S551" i="72" s="1"/>
  <c r="T551" i="72" s="1"/>
  <c r="N513" i="72"/>
  <c r="P513" i="72" s="1"/>
  <c r="S513" i="72" s="1"/>
  <c r="T513" i="72" s="1"/>
  <c r="N225" i="72"/>
  <c r="P225" i="72" s="1"/>
  <c r="S225" i="72" s="1"/>
  <c r="T225" i="72" s="1"/>
  <c r="N818" i="72"/>
  <c r="P818" i="72" s="1"/>
  <c r="S818" i="72" s="1"/>
  <c r="T818" i="72" s="1"/>
  <c r="N627" i="72"/>
  <c r="P627" i="72" s="1"/>
  <c r="N364" i="72"/>
  <c r="P364" i="72" s="1"/>
  <c r="S364" i="72" s="1"/>
  <c r="T364" i="72" s="1"/>
  <c r="N292" i="72"/>
  <c r="P292" i="72" s="1"/>
  <c r="S292" i="72" s="1"/>
  <c r="T292" i="72" s="1"/>
  <c r="N190" i="72"/>
  <c r="P190" i="72" s="1"/>
  <c r="S190" i="72" s="1"/>
  <c r="T190" i="72" s="1"/>
  <c r="N156" i="72"/>
  <c r="P156" i="72" s="1"/>
  <c r="S156" i="72" s="1"/>
  <c r="T156" i="72" s="1"/>
  <c r="N780" i="72"/>
  <c r="P780" i="72" s="1"/>
  <c r="N589" i="72"/>
  <c r="P589" i="72" s="1"/>
  <c r="S589" i="72" s="1"/>
  <c r="T589" i="72" s="1"/>
  <c r="N326" i="72"/>
  <c r="P326" i="72" s="1"/>
  <c r="S326" i="72" s="1"/>
  <c r="T326" i="72" s="1"/>
  <c r="J87" i="58"/>
  <c r="N87" i="58" s="1"/>
  <c r="N41" i="72"/>
  <c r="P41" i="72" s="1"/>
  <c r="S41" i="72" s="1"/>
  <c r="T41" i="72" s="1"/>
  <c r="J436" i="58"/>
  <c r="N436" i="58" s="1"/>
  <c r="N180" i="72"/>
  <c r="P180" i="72" s="1"/>
  <c r="N214" i="72"/>
  <c r="P214" i="72" s="1"/>
  <c r="S214" i="72" s="1"/>
  <c r="T214" i="72" s="1"/>
  <c r="J991" i="58"/>
  <c r="N991" i="58" s="1"/>
  <c r="N1319" i="72"/>
  <c r="P1319" i="72" s="1"/>
  <c r="S1319" i="72" s="1"/>
  <c r="T1319" i="72" s="1"/>
  <c r="J258" i="58"/>
  <c r="N258" i="58" s="1"/>
  <c r="N131" i="72"/>
  <c r="P131" i="72" s="1"/>
  <c r="S131" i="72" s="1"/>
  <c r="T131" i="72" s="1"/>
  <c r="J396" i="58"/>
  <c r="N396" i="58" s="1"/>
  <c r="N555" i="72"/>
  <c r="P555" i="72" s="1"/>
  <c r="S555" i="72" s="1"/>
  <c r="T555" i="72" s="1"/>
  <c r="N517" i="72"/>
  <c r="P517" i="72" s="1"/>
  <c r="S517" i="72" s="1"/>
  <c r="T517" i="72" s="1"/>
  <c r="N784" i="72"/>
  <c r="P784" i="72" s="1"/>
  <c r="N593" i="72"/>
  <c r="P593" i="72" s="1"/>
  <c r="S593" i="72" s="1"/>
  <c r="T593" i="72" s="1"/>
  <c r="N330" i="72"/>
  <c r="P330" i="72" s="1"/>
  <c r="S330" i="72" s="1"/>
  <c r="T330" i="72" s="1"/>
  <c r="N229" i="72"/>
  <c r="P229" i="72" s="1"/>
  <c r="S229" i="72" s="1"/>
  <c r="T229" i="72" s="1"/>
  <c r="N160" i="72"/>
  <c r="P160" i="72" s="1"/>
  <c r="S160" i="72" s="1"/>
  <c r="T160" i="72" s="1"/>
  <c r="N861" i="72"/>
  <c r="P861" i="72" s="1"/>
  <c r="S861" i="72" s="1"/>
  <c r="T861" i="72" s="1"/>
  <c r="N746" i="72"/>
  <c r="P746" i="72" s="1"/>
  <c r="S746" i="72" s="1"/>
  <c r="T746" i="72" s="1"/>
  <c r="N708" i="72"/>
  <c r="P708" i="72" s="1"/>
  <c r="S708" i="72" s="1"/>
  <c r="T708" i="72" s="1"/>
  <c r="N669" i="72"/>
  <c r="P669" i="72" s="1"/>
  <c r="S669" i="72" s="1"/>
  <c r="T669" i="72" s="1"/>
  <c r="N477" i="72"/>
  <c r="P477" i="72" s="1"/>
  <c r="S477" i="72" s="1"/>
  <c r="T477" i="72" s="1"/>
  <c r="N406" i="72"/>
  <c r="P406" i="72" s="1"/>
  <c r="S406" i="72" s="1"/>
  <c r="T406" i="72" s="1"/>
  <c r="N263" i="72"/>
  <c r="P263" i="72" s="1"/>
  <c r="S263" i="72" s="1"/>
  <c r="T263" i="72" s="1"/>
  <c r="N822" i="72"/>
  <c r="P822" i="72" s="1"/>
  <c r="S822" i="72" s="1"/>
  <c r="T822" i="72" s="1"/>
  <c r="N631" i="72"/>
  <c r="P631" i="72" s="1"/>
  <c r="N296" i="72"/>
  <c r="P296" i="72" s="1"/>
  <c r="S296" i="72" s="1"/>
  <c r="T296" i="72" s="1"/>
  <c r="N368" i="72"/>
  <c r="P368" i="72" s="1"/>
  <c r="N194" i="72"/>
  <c r="P194" i="72" s="1"/>
  <c r="S194" i="72" s="1"/>
  <c r="T194" i="72" s="1"/>
  <c r="J852" i="58"/>
  <c r="N852" i="58" s="1"/>
  <c r="N1073" i="72"/>
  <c r="P1073" i="72" s="1"/>
  <c r="S1073" i="72" s="1"/>
  <c r="T1073" i="72" s="1"/>
  <c r="J1111" i="58"/>
  <c r="N1111" i="58" s="1"/>
  <c r="N1554" i="72"/>
  <c r="P1554" i="72" s="1"/>
  <c r="S1554" i="72" s="1"/>
  <c r="T1554" i="72" s="1"/>
  <c r="N1690" i="72"/>
  <c r="P1690" i="72" s="1"/>
  <c r="S1690" i="72" s="1"/>
  <c r="T1690" i="72" s="1"/>
  <c r="J1131" i="58"/>
  <c r="N1131" i="58" s="1"/>
  <c r="N1713" i="72"/>
  <c r="P1713" i="72" s="1"/>
  <c r="S1713" i="72" s="1"/>
  <c r="T1713" i="72" s="1"/>
  <c r="N1564" i="72"/>
  <c r="P1564" i="72" s="1"/>
  <c r="S1564" i="72" s="1"/>
  <c r="T1564" i="72" s="1"/>
  <c r="N1700" i="72"/>
  <c r="P1700" i="72" s="1"/>
  <c r="S1700" i="72" s="1"/>
  <c r="T1700" i="72" s="1"/>
  <c r="N1577" i="72"/>
  <c r="P1577" i="72" s="1"/>
  <c r="S1577" i="72" s="1"/>
  <c r="T1577" i="72" s="1"/>
  <c r="J458" i="58"/>
  <c r="N458" i="58" s="1"/>
  <c r="N250" i="72"/>
  <c r="P250" i="72" s="1"/>
  <c r="S250" i="72" s="1"/>
  <c r="T250" i="72" s="1"/>
  <c r="J483" i="58"/>
  <c r="N483" i="58" s="1"/>
  <c r="N355" i="72"/>
  <c r="P355" i="72" s="1"/>
  <c r="N393" i="72"/>
  <c r="P393" i="72" s="1"/>
  <c r="S393" i="72" s="1"/>
  <c r="T393" i="72" s="1"/>
  <c r="N886" i="72"/>
  <c r="P886" i="72" s="1"/>
  <c r="S886" i="72" s="1"/>
  <c r="T886" i="72" s="1"/>
  <c r="N431" i="72"/>
  <c r="P431" i="72" s="1"/>
  <c r="S431" i="72" s="1"/>
  <c r="T431" i="72" s="1"/>
  <c r="J974" i="58"/>
  <c r="N974" i="58" s="1"/>
  <c r="N1311" i="72"/>
  <c r="P1311" i="72" s="1"/>
  <c r="S1311" i="72" s="1"/>
  <c r="T1311" i="72" s="1"/>
  <c r="J1107" i="58"/>
  <c r="N1107" i="58" s="1"/>
  <c r="N1686" i="72"/>
  <c r="P1686" i="72" s="1"/>
  <c r="S1686" i="72" s="1"/>
  <c r="T1686" i="72" s="1"/>
  <c r="N1550" i="72"/>
  <c r="P1550" i="72" s="1"/>
  <c r="S1550" i="72" s="1"/>
  <c r="T1550" i="72" s="1"/>
  <c r="J415" i="58"/>
  <c r="N415" i="58" s="1"/>
  <c r="N794" i="72"/>
  <c r="P794" i="72" s="1"/>
  <c r="S794" i="72" s="1"/>
  <c r="T794" i="72" s="1"/>
  <c r="N603" i="72"/>
  <c r="P603" i="72" s="1"/>
  <c r="S603" i="72" s="1"/>
  <c r="T603" i="72" s="1"/>
  <c r="N340" i="72"/>
  <c r="P340" i="72" s="1"/>
  <c r="N316" i="72"/>
  <c r="P316" i="72" s="1"/>
  <c r="S316" i="72" s="1"/>
  <c r="T316" i="72" s="1"/>
  <c r="N832" i="72"/>
  <c r="P832" i="72" s="1"/>
  <c r="S832" i="72" s="1"/>
  <c r="T832" i="72" s="1"/>
  <c r="N641" i="72"/>
  <c r="P641" i="72" s="1"/>
  <c r="S641" i="72" s="1"/>
  <c r="T641" i="72" s="1"/>
  <c r="N378" i="72"/>
  <c r="P378" i="72" s="1"/>
  <c r="S378" i="72" s="1"/>
  <c r="T378" i="72" s="1"/>
  <c r="N306" i="72"/>
  <c r="P306" i="72" s="1"/>
  <c r="S306" i="72" s="1"/>
  <c r="T306" i="72" s="1"/>
  <c r="N283" i="72"/>
  <c r="P283" i="72" s="1"/>
  <c r="S283" i="72" s="1"/>
  <c r="T283" i="72" s="1"/>
  <c r="N239" i="72"/>
  <c r="P239" i="72" s="1"/>
  <c r="S239" i="72" s="1"/>
  <c r="T239" i="72" s="1"/>
  <c r="N204" i="72"/>
  <c r="P204" i="72" s="1"/>
  <c r="S204" i="72" s="1"/>
  <c r="T204" i="72" s="1"/>
  <c r="N565" i="72"/>
  <c r="P565" i="72" s="1"/>
  <c r="S565" i="72" s="1"/>
  <c r="T565" i="72" s="1"/>
  <c r="N170" i="72"/>
  <c r="P170" i="72" s="1"/>
  <c r="S170" i="72" s="1"/>
  <c r="T170" i="72" s="1"/>
  <c r="N756" i="72"/>
  <c r="P756" i="72" s="1"/>
  <c r="S756" i="72" s="1"/>
  <c r="T756" i="72" s="1"/>
  <c r="N416" i="72"/>
  <c r="P416" i="72" s="1"/>
  <c r="S416" i="72" s="1"/>
  <c r="T416" i="72" s="1"/>
  <c r="N871" i="72"/>
  <c r="P871" i="72" s="1"/>
  <c r="S871" i="72" s="1"/>
  <c r="T871" i="72" s="1"/>
  <c r="N679" i="72"/>
  <c r="P679" i="72" s="1"/>
  <c r="S679" i="72" s="1"/>
  <c r="T679" i="72" s="1"/>
  <c r="N527" i="72"/>
  <c r="P527" i="72" s="1"/>
  <c r="S527" i="72" s="1"/>
  <c r="T527" i="72" s="1"/>
  <c r="N273" i="72"/>
  <c r="P273" i="72" s="1"/>
  <c r="S273" i="72" s="1"/>
  <c r="T273" i="72" s="1"/>
  <c r="N487" i="72"/>
  <c r="P487" i="72" s="1"/>
  <c r="S487" i="72" s="1"/>
  <c r="T487" i="72" s="1"/>
  <c r="N718" i="72"/>
  <c r="P718" i="72" s="1"/>
  <c r="S718" i="72" s="1"/>
  <c r="T718" i="72" s="1"/>
  <c r="J766" i="58"/>
  <c r="N766" i="58" s="1"/>
  <c r="N1444" i="72"/>
  <c r="P1444" i="72" s="1"/>
  <c r="S1444" i="72" s="1"/>
  <c r="T1444" i="72" s="1"/>
  <c r="N1385" i="72"/>
  <c r="P1385" i="72" s="1"/>
  <c r="S1385" i="72" s="1"/>
  <c r="T1385" i="72" s="1"/>
  <c r="K412" i="58"/>
  <c r="S1355" i="72"/>
  <c r="T1355" i="72" s="1"/>
  <c r="S1559" i="72"/>
  <c r="T1559" i="72" s="1"/>
  <c r="S1496" i="72"/>
  <c r="T1496" i="72" s="1"/>
  <c r="S1173" i="72"/>
  <c r="T1173" i="72" s="1"/>
  <c r="S199" i="72"/>
  <c r="T199" i="72" s="1"/>
  <c r="S373" i="72"/>
  <c r="T373" i="72" s="1"/>
  <c r="S624" i="72"/>
  <c r="T624" i="72" s="1"/>
  <c r="S701" i="72"/>
  <c r="T701" i="72" s="1"/>
  <c r="S323" i="72"/>
  <c r="T323" i="72" s="1"/>
  <c r="S510" i="72"/>
  <c r="T510" i="72" s="1"/>
  <c r="S2160" i="72"/>
  <c r="T2160" i="72" s="1"/>
  <c r="J507" i="58"/>
  <c r="N507" i="58" s="1"/>
  <c r="N579" i="72"/>
  <c r="P579" i="72" s="1"/>
  <c r="S579" i="72" s="1"/>
  <c r="T579" i="72" s="1"/>
  <c r="N617" i="72"/>
  <c r="P617" i="72" s="1"/>
  <c r="S617" i="72" s="1"/>
  <c r="T617" i="72" s="1"/>
  <c r="N693" i="72"/>
  <c r="P693" i="72" s="1"/>
  <c r="S693" i="72" s="1"/>
  <c r="T693" i="72" s="1"/>
  <c r="N541" i="72"/>
  <c r="P541" i="72" s="1"/>
  <c r="S541" i="72" s="1"/>
  <c r="T541" i="72" s="1"/>
  <c r="N655" i="72"/>
  <c r="P655" i="72" s="1"/>
  <c r="S655" i="72" s="1"/>
  <c r="T655" i="72" s="1"/>
  <c r="J1282" i="58"/>
  <c r="N1282" i="58" s="1"/>
  <c r="N1394" i="72"/>
  <c r="P1394" i="72" s="1"/>
  <c r="S1394" i="72" s="1"/>
  <c r="T1394" i="72" s="1"/>
  <c r="N1453" i="72"/>
  <c r="P1453" i="72" s="1"/>
  <c r="S1453" i="72" s="1"/>
  <c r="T1453" i="72" s="1"/>
  <c r="J437" i="58"/>
  <c r="N437" i="58" s="1"/>
  <c r="N181" i="72"/>
  <c r="P181" i="72" s="1"/>
  <c r="S181" i="72" s="1"/>
  <c r="T181" i="72" s="1"/>
  <c r="N215" i="72"/>
  <c r="P215" i="72" s="1"/>
  <c r="S215" i="72" s="1"/>
  <c r="T215" i="72" s="1"/>
  <c r="J1184" i="58"/>
  <c r="N1184" i="58" s="1"/>
  <c r="N1593" i="72"/>
  <c r="P1593" i="72" s="1"/>
  <c r="S1593" i="72" s="1"/>
  <c r="T1593" i="72" s="1"/>
  <c r="N1729" i="72"/>
  <c r="P1729" i="72" s="1"/>
  <c r="S1729" i="72" s="1"/>
  <c r="T1729" i="72" s="1"/>
  <c r="J702" i="58"/>
  <c r="N702" i="58" s="1"/>
  <c r="N1408" i="72"/>
  <c r="P1408" i="72" s="1"/>
  <c r="S1408" i="72" s="1"/>
  <c r="T1408" i="72" s="1"/>
  <c r="N1349" i="72"/>
  <c r="P1349" i="72" s="1"/>
  <c r="S1549" i="72"/>
  <c r="T1549" i="72" s="1"/>
  <c r="S1100" i="72"/>
  <c r="T1100" i="72" s="1"/>
  <c r="S234" i="72"/>
  <c r="T234" i="72" s="1"/>
  <c r="S1068" i="72"/>
  <c r="T1068" i="72" s="1"/>
  <c r="K829" i="58"/>
  <c r="J832" i="58"/>
  <c r="N832" i="58" s="1"/>
  <c r="N1168" i="72"/>
  <c r="P1168" i="72" s="1"/>
  <c r="S1168" i="72" s="1"/>
  <c r="T1168" i="72" s="1"/>
  <c r="N1095" i="72"/>
  <c r="P1095" i="72" s="1"/>
  <c r="S1095" i="72" s="1"/>
  <c r="T1095" i="72" s="1"/>
  <c r="K602" i="58"/>
  <c r="J1303" i="58"/>
  <c r="N1303" i="58" s="1"/>
  <c r="N1502" i="72"/>
  <c r="P1502" i="72" s="1"/>
  <c r="S1502" i="72" s="1"/>
  <c r="T1502" i="72" s="1"/>
  <c r="N1490" i="72"/>
  <c r="P1490" i="72" s="1"/>
  <c r="S1490" i="72" s="1"/>
  <c r="T1490" i="72" s="1"/>
  <c r="N1524" i="72"/>
  <c r="P1524" i="72" s="1"/>
  <c r="N1468" i="72"/>
  <c r="P1468" i="72" s="1"/>
  <c r="J682" i="58"/>
  <c r="N682" i="58" s="1"/>
  <c r="N1246" i="72"/>
  <c r="P1246" i="72" s="1"/>
  <c r="N1194" i="72"/>
  <c r="P1194" i="72" s="1"/>
  <c r="S1194" i="72" s="1"/>
  <c r="T1194" i="72" s="1"/>
  <c r="N1287" i="72"/>
  <c r="P1287" i="72" s="1"/>
  <c r="N175" i="58"/>
  <c r="S995" i="72"/>
  <c r="T995" i="72" s="1"/>
  <c r="S1518" i="72"/>
  <c r="T1518" i="72" s="1"/>
  <c r="S278" i="72"/>
  <c r="T278" i="72" s="1"/>
  <c r="S751" i="72"/>
  <c r="T751" i="72" s="1"/>
  <c r="S361" i="72"/>
  <c r="T361" i="72" s="1"/>
  <c r="S470" i="72"/>
  <c r="T470" i="72" s="1"/>
  <c r="S854" i="72"/>
  <c r="T854" i="72" s="1"/>
  <c r="S777" i="72"/>
  <c r="T777" i="72" s="1"/>
  <c r="S963" i="72"/>
  <c r="T963" i="72" s="1"/>
  <c r="S88" i="72"/>
  <c r="T88" i="72" s="1"/>
  <c r="J85" i="58"/>
  <c r="N85" i="58" s="1"/>
  <c r="N39" i="72"/>
  <c r="P39" i="72" s="1"/>
  <c r="S39" i="72" s="1"/>
  <c r="T39" i="72" s="1"/>
  <c r="J375" i="58"/>
  <c r="N375" i="58" s="1"/>
  <c r="N1132" i="72"/>
  <c r="P1132" i="72" s="1"/>
  <c r="S1132" i="72" s="1"/>
  <c r="T1132" i="72" s="1"/>
  <c r="N1026" i="72"/>
  <c r="P1026" i="72" s="1"/>
  <c r="S1026" i="72" s="1"/>
  <c r="T1026" i="72" s="1"/>
  <c r="N147" i="72"/>
  <c r="P147" i="72" s="1"/>
  <c r="S147" i="72" s="1"/>
  <c r="T147" i="72" s="1"/>
  <c r="J718" i="58"/>
  <c r="N1368" i="72"/>
  <c r="P1368" i="72" s="1"/>
  <c r="S1368" i="72" s="1"/>
  <c r="T1368" i="72" s="1"/>
  <c r="N1427" i="72"/>
  <c r="P1427" i="72" s="1"/>
  <c r="S1427" i="72" s="1"/>
  <c r="T1427" i="72" s="1"/>
  <c r="J722" i="58"/>
  <c r="N722" i="58" s="1"/>
  <c r="N1431" i="72"/>
  <c r="P1431" i="72" s="1"/>
  <c r="S1431" i="72" s="1"/>
  <c r="T1431" i="72" s="1"/>
  <c r="N1372" i="72"/>
  <c r="P1372" i="72" s="1"/>
  <c r="S1372" i="72" s="1"/>
  <c r="T1372" i="72" s="1"/>
  <c r="S1281" i="72"/>
  <c r="T1281" i="72" s="1"/>
  <c r="S1708" i="72"/>
  <c r="T1708" i="72" s="1"/>
  <c r="S1462" i="72"/>
  <c r="T1462" i="72" s="1"/>
  <c r="S1125" i="72"/>
  <c r="T1125" i="72" s="1"/>
  <c r="S1473" i="72"/>
  <c r="T1473" i="72" s="1"/>
  <c r="S636" i="72"/>
  <c r="T636" i="72" s="1"/>
  <c r="S713" i="72"/>
  <c r="T713" i="72" s="1"/>
  <c r="S399" i="72"/>
  <c r="T399" i="72" s="1"/>
  <c r="S586" i="72"/>
  <c r="T586" i="72" s="1"/>
  <c r="J197" i="58"/>
  <c r="N197" i="58" s="1"/>
  <c r="N120" i="72"/>
  <c r="P120" i="72" s="1"/>
  <c r="S120" i="72" s="1"/>
  <c r="T120" i="72" s="1"/>
  <c r="J317" i="58"/>
  <c r="N317" i="58" s="1"/>
  <c r="N956" i="72"/>
  <c r="P956" i="72" s="1"/>
  <c r="S956" i="72" s="1"/>
  <c r="T956" i="72" s="1"/>
  <c r="N1000" i="72"/>
  <c r="P1000" i="72" s="1"/>
  <c r="S1000" i="72" s="1"/>
  <c r="T1000" i="72" s="1"/>
  <c r="J237" i="58"/>
  <c r="N237" i="58" s="1"/>
  <c r="N109" i="72"/>
  <c r="P109" i="72" s="1"/>
  <c r="S109" i="72" s="1"/>
  <c r="T109" i="72" s="1"/>
  <c r="J1054" i="58"/>
  <c r="N1054" i="58" s="1"/>
  <c r="N1780" i="72"/>
  <c r="P1780" i="72" s="1"/>
  <c r="N1633" i="72"/>
  <c r="P1633" i="72" s="1"/>
  <c r="S1633" i="72" s="1"/>
  <c r="T1633" i="72" s="1"/>
  <c r="J1207" i="58"/>
  <c r="N1207" i="58" s="1"/>
  <c r="N1744" i="72"/>
  <c r="P1744" i="72" s="1"/>
  <c r="S1744" i="72" s="1"/>
  <c r="T1744" i="72" s="1"/>
  <c r="N1755" i="72"/>
  <c r="P1755" i="72" s="1"/>
  <c r="S1755" i="72" s="1"/>
  <c r="T1755" i="72" s="1"/>
  <c r="N1608" i="72"/>
  <c r="P1608" i="72" s="1"/>
  <c r="S1608" i="72" s="1"/>
  <c r="T1608" i="72" s="1"/>
  <c r="J643" i="58"/>
  <c r="N643" i="58" s="1"/>
  <c r="N1224" i="72"/>
  <c r="P1224" i="72" s="1"/>
  <c r="S1224" i="72" s="1"/>
  <c r="T1224" i="72" s="1"/>
  <c r="N1266" i="72"/>
  <c r="P1266" i="72" s="1"/>
  <c r="S1266" i="72" s="1"/>
  <c r="T1266" i="72" s="1"/>
  <c r="N1037" i="58"/>
  <c r="J457" i="58"/>
  <c r="N457" i="58" s="1"/>
  <c r="N249" i="72"/>
  <c r="P249" i="72" s="1"/>
  <c r="S249" i="72" s="1"/>
  <c r="T249" i="72" s="1"/>
  <c r="J604" i="58"/>
  <c r="N604" i="58" s="1"/>
  <c r="N1255" i="72"/>
  <c r="P1255" i="72" s="1"/>
  <c r="S1255" i="72" s="1"/>
  <c r="T1255" i="72" s="1"/>
  <c r="N1203" i="72"/>
  <c r="P1203" i="72" s="1"/>
  <c r="S1203" i="72" s="1"/>
  <c r="T1203" i="72" s="1"/>
  <c r="J954" i="58"/>
  <c r="N954" i="58" s="1"/>
  <c r="N1300" i="72"/>
  <c r="P1300" i="72" s="1"/>
  <c r="S1300" i="72" s="1"/>
  <c r="T1300" i="72" s="1"/>
  <c r="K640" i="58"/>
  <c r="J335" i="58"/>
  <c r="N335" i="58" s="1"/>
  <c r="N1011" i="72"/>
  <c r="P1011" i="72" s="1"/>
  <c r="S1011" i="72" s="1"/>
  <c r="T1011" i="72" s="1"/>
  <c r="N967" i="72"/>
  <c r="P967" i="72" s="1"/>
  <c r="S967" i="72" s="1"/>
  <c r="T967" i="72" s="1"/>
  <c r="J278" i="58"/>
  <c r="N278" i="58" s="1"/>
  <c r="N935" i="72"/>
  <c r="P935" i="72" s="1"/>
  <c r="S935" i="72" s="1"/>
  <c r="T935" i="72" s="1"/>
  <c r="N979" i="72"/>
  <c r="P979" i="72" s="1"/>
  <c r="S979" i="72" s="1"/>
  <c r="T979" i="72" s="1"/>
  <c r="J810" i="58"/>
  <c r="N810" i="58" s="1"/>
  <c r="N1107" i="72"/>
  <c r="P1107" i="72" s="1"/>
  <c r="S1107" i="72" s="1"/>
  <c r="T1107" i="72" s="1"/>
  <c r="N1180" i="72"/>
  <c r="P1180" i="72" s="1"/>
  <c r="S1180" i="72" s="1"/>
  <c r="T1180" i="72" s="1"/>
  <c r="J1091" i="58"/>
  <c r="N1091" i="58" s="1"/>
  <c r="N1680" i="72"/>
  <c r="P1680" i="72" s="1"/>
  <c r="N1544" i="72"/>
  <c r="P1544" i="72" s="1"/>
  <c r="S1544" i="72" s="1"/>
  <c r="T1544" i="72" s="1"/>
  <c r="J1072" i="58"/>
  <c r="N1072" i="58" s="1"/>
  <c r="N1810" i="72"/>
  <c r="P1810" i="72" s="1"/>
  <c r="S1810" i="72" s="1"/>
  <c r="T1810" i="72" s="1"/>
  <c r="N1789" i="72"/>
  <c r="P1789" i="72" s="1"/>
  <c r="S1789" i="72" s="1"/>
  <c r="T1789" i="72" s="1"/>
  <c r="N1642" i="72"/>
  <c r="P1642" i="72" s="1"/>
  <c r="S1642" i="72" s="1"/>
  <c r="T1642" i="72" s="1"/>
  <c r="J1711" i="58"/>
  <c r="N1711" i="58" s="1"/>
  <c r="N2155" i="72"/>
  <c r="P2155" i="72" s="1"/>
  <c r="S2155" i="72" s="1"/>
  <c r="T2155" i="72" s="1"/>
  <c r="N1083" i="72"/>
  <c r="P1083" i="72" s="1"/>
  <c r="S1083" i="72" s="1"/>
  <c r="T1083" i="72" s="1"/>
  <c r="J532" i="58"/>
  <c r="N532" i="58" s="1"/>
  <c r="N771" i="72"/>
  <c r="P771" i="72" s="1"/>
  <c r="S771" i="72" s="1"/>
  <c r="T771" i="72" s="1"/>
  <c r="N809" i="72"/>
  <c r="P809" i="72" s="1"/>
  <c r="S809" i="72" s="1"/>
  <c r="T809" i="72" s="1"/>
  <c r="N502" i="72"/>
  <c r="P502" i="72" s="1"/>
  <c r="S502" i="72" s="1"/>
  <c r="T502" i="72" s="1"/>
  <c r="N847" i="72"/>
  <c r="P847" i="72" s="1"/>
  <c r="S847" i="72" s="1"/>
  <c r="T847" i="72" s="1"/>
  <c r="N733" i="72"/>
  <c r="P733" i="72" s="1"/>
  <c r="S733" i="72" s="1"/>
  <c r="T733" i="72" s="1"/>
  <c r="J605" i="58"/>
  <c r="N605" i="58" s="1"/>
  <c r="N1256" i="72"/>
  <c r="P1256" i="72" s="1"/>
  <c r="S1256" i="72" s="1"/>
  <c r="T1256" i="72" s="1"/>
  <c r="N1204" i="72"/>
  <c r="P1204" i="72" s="1"/>
  <c r="S1204" i="72" s="1"/>
  <c r="T1204" i="72" s="1"/>
  <c r="J1283" i="58"/>
  <c r="N1283" i="58" s="1"/>
  <c r="N1454" i="72"/>
  <c r="P1454" i="72" s="1"/>
  <c r="S1454" i="72" s="1"/>
  <c r="T1454" i="72" s="1"/>
  <c r="N1395" i="72"/>
  <c r="P1395" i="72" s="1"/>
  <c r="S1395" i="72" s="1"/>
  <c r="T1395" i="72" s="1"/>
  <c r="J677" i="58"/>
  <c r="N677" i="58" s="1"/>
  <c r="N1282" i="72"/>
  <c r="P1282" i="72" s="1"/>
  <c r="S1282" i="72" s="1"/>
  <c r="T1282" i="72" s="1"/>
  <c r="N1189" i="72"/>
  <c r="P1189" i="72" s="1"/>
  <c r="S1189" i="72" s="1"/>
  <c r="T1189" i="72" s="1"/>
  <c r="N1241" i="72"/>
  <c r="P1241" i="72" s="1"/>
  <c r="S1241" i="72" s="1"/>
  <c r="T1241" i="72" s="1"/>
  <c r="J1323" i="58"/>
  <c r="N1323" i="58" s="1"/>
  <c r="N1479" i="72"/>
  <c r="P1479" i="72" s="1"/>
  <c r="S1479" i="72" s="1"/>
  <c r="T1479" i="72" s="1"/>
  <c r="N1513" i="72"/>
  <c r="P1513" i="72" s="1"/>
  <c r="S1513" i="72" s="1"/>
  <c r="T1513" i="72" s="1"/>
  <c r="J371" i="58"/>
  <c r="N371" i="58" s="1"/>
  <c r="N1022" i="72"/>
  <c r="P1022" i="72" s="1"/>
  <c r="N1128" i="72"/>
  <c r="P1128" i="72" s="1"/>
  <c r="S1128" i="72" s="1"/>
  <c r="T1128" i="72" s="1"/>
  <c r="N143" i="72"/>
  <c r="P143" i="72" s="1"/>
  <c r="S143" i="72" s="1"/>
  <c r="T143" i="72" s="1"/>
  <c r="J744" i="58"/>
  <c r="N744" i="58" s="1"/>
  <c r="N1421" i="72"/>
  <c r="P1421" i="72" s="1"/>
  <c r="S1421" i="72" s="1"/>
  <c r="T1421" i="72" s="1"/>
  <c r="N1362" i="72"/>
  <c r="P1362" i="72" s="1"/>
  <c r="S1362" i="72" s="1"/>
  <c r="T1362" i="72" s="1"/>
  <c r="S1088" i="72"/>
  <c r="T1088" i="72" s="1"/>
  <c r="S1219" i="72"/>
  <c r="T1219" i="72" s="1"/>
  <c r="S1695" i="72"/>
  <c r="T1695" i="72" s="1"/>
  <c r="S1484" i="72"/>
  <c r="T1484" i="72" s="1"/>
  <c r="S1592" i="72"/>
  <c r="T1592" i="72" s="1"/>
  <c r="S165" i="72"/>
  <c r="T165" i="72" s="1"/>
  <c r="S301" i="72"/>
  <c r="T301" i="72" s="1"/>
  <c r="S560" i="72"/>
  <c r="T560" i="72" s="1"/>
  <c r="S866" i="72"/>
  <c r="T866" i="72" s="1"/>
  <c r="S187" i="72"/>
  <c r="T187" i="72" s="1"/>
  <c r="S153" i="72"/>
  <c r="T153" i="72" s="1"/>
  <c r="S222" i="72"/>
  <c r="T222" i="72" s="1"/>
  <c r="S95" i="72"/>
  <c r="T95" i="72" s="1"/>
  <c r="S1007" i="72"/>
  <c r="T1007" i="72" s="1"/>
  <c r="J1518" i="58"/>
  <c r="N1518" i="58" s="1"/>
  <c r="N1904" i="72"/>
  <c r="P1904" i="72" s="1"/>
  <c r="S1904" i="72" s="1"/>
  <c r="T1904" i="72" s="1"/>
  <c r="N2064" i="72"/>
  <c r="P2064" i="72" s="1"/>
  <c r="S2064" i="72" s="1"/>
  <c r="T2064" i="72" s="1"/>
  <c r="J1501" i="58"/>
  <c r="N1501" i="58" s="1"/>
  <c r="N2056" i="72"/>
  <c r="P2056" i="72" s="1"/>
  <c r="S2056" i="72" s="1"/>
  <c r="T2056" i="72" s="1"/>
  <c r="N1896" i="72"/>
  <c r="P1896" i="72" s="1"/>
  <c r="J1535" i="58"/>
  <c r="N1535" i="58" s="1"/>
  <c r="N1912" i="72"/>
  <c r="P1912" i="72" s="1"/>
  <c r="S1912" i="72" s="1"/>
  <c r="T1912" i="72" s="1"/>
  <c r="N2072" i="72"/>
  <c r="P2072" i="72" s="1"/>
  <c r="S2072" i="72" s="1"/>
  <c r="T2072" i="72" s="1"/>
  <c r="J414" i="58"/>
  <c r="N414" i="58" s="1"/>
  <c r="N793" i="72"/>
  <c r="P793" i="72" s="1"/>
  <c r="S793" i="72" s="1"/>
  <c r="T793" i="72" s="1"/>
  <c r="N755" i="72"/>
  <c r="P755" i="72" s="1"/>
  <c r="S755" i="72" s="1"/>
  <c r="T755" i="72" s="1"/>
  <c r="N678" i="72"/>
  <c r="P678" i="72" s="1"/>
  <c r="S678" i="72" s="1"/>
  <c r="T678" i="72" s="1"/>
  <c r="N526" i="72"/>
  <c r="P526" i="72" s="1"/>
  <c r="S526" i="72" s="1"/>
  <c r="T526" i="72" s="1"/>
  <c r="N415" i="72"/>
  <c r="P415" i="72" s="1"/>
  <c r="S415" i="72" s="1"/>
  <c r="T415" i="72" s="1"/>
  <c r="N315" i="72"/>
  <c r="P315" i="72" s="1"/>
  <c r="S315" i="72" s="1"/>
  <c r="T315" i="72" s="1"/>
  <c r="N282" i="72"/>
  <c r="P282" i="72" s="1"/>
  <c r="S282" i="72" s="1"/>
  <c r="T282" i="72" s="1"/>
  <c r="N169" i="72"/>
  <c r="P169" i="72" s="1"/>
  <c r="N640" i="72"/>
  <c r="P640" i="72" s="1"/>
  <c r="S640" i="72" s="1"/>
  <c r="T640" i="72" s="1"/>
  <c r="N377" i="72"/>
  <c r="P377" i="72" s="1"/>
  <c r="N870" i="72"/>
  <c r="P870" i="72" s="1"/>
  <c r="S870" i="72" s="1"/>
  <c r="T870" i="72" s="1"/>
  <c r="N717" i="72"/>
  <c r="P717" i="72" s="1"/>
  <c r="S717" i="72" s="1"/>
  <c r="T717" i="72" s="1"/>
  <c r="N602" i="72"/>
  <c r="P602" i="72" s="1"/>
  <c r="S602" i="72" s="1"/>
  <c r="T602" i="72" s="1"/>
  <c r="N486" i="72"/>
  <c r="P486" i="72" s="1"/>
  <c r="S486" i="72" s="1"/>
  <c r="T486" i="72" s="1"/>
  <c r="N339" i="72"/>
  <c r="P339" i="72" s="1"/>
  <c r="S339" i="72" s="1"/>
  <c r="T339" i="72" s="1"/>
  <c r="N305" i="72"/>
  <c r="P305" i="72" s="1"/>
  <c r="S305" i="72" s="1"/>
  <c r="T305" i="72" s="1"/>
  <c r="N272" i="72"/>
  <c r="P272" i="72" s="1"/>
  <c r="S272" i="72" s="1"/>
  <c r="T272" i="72" s="1"/>
  <c r="N831" i="72"/>
  <c r="P831" i="72" s="1"/>
  <c r="S831" i="72" s="1"/>
  <c r="T831" i="72" s="1"/>
  <c r="N564" i="72"/>
  <c r="P564" i="72" s="1"/>
  <c r="S564" i="72" s="1"/>
  <c r="T564" i="72" s="1"/>
  <c r="N238" i="72"/>
  <c r="P238" i="72" s="1"/>
  <c r="S238" i="72" s="1"/>
  <c r="T238" i="72" s="1"/>
  <c r="N203" i="72"/>
  <c r="P203" i="72" s="1"/>
  <c r="S203" i="72" s="1"/>
  <c r="T203" i="72" s="1"/>
  <c r="J701" i="58"/>
  <c r="N701" i="58" s="1"/>
  <c r="N1348" i="72"/>
  <c r="P1348" i="72" s="1"/>
  <c r="S1348" i="72" s="1"/>
  <c r="T1348" i="72" s="1"/>
  <c r="N1407" i="72"/>
  <c r="P1407" i="72" s="1"/>
  <c r="S1407" i="72" s="1"/>
  <c r="T1407" i="72" s="1"/>
  <c r="J236" i="58"/>
  <c r="N236" i="58" s="1"/>
  <c r="N108" i="72"/>
  <c r="P108" i="72" s="1"/>
  <c r="S108" i="72" s="1"/>
  <c r="T108" i="72" s="1"/>
  <c r="J374" i="58"/>
  <c r="N374" i="58" s="1"/>
  <c r="N1131" i="72"/>
  <c r="P1131" i="72" s="1"/>
  <c r="S1131" i="72" s="1"/>
  <c r="T1131" i="72" s="1"/>
  <c r="N1025" i="72"/>
  <c r="P1025" i="72" s="1"/>
  <c r="S1025" i="72" s="1"/>
  <c r="T1025" i="72" s="1"/>
  <c r="N146" i="72"/>
  <c r="P146" i="72" s="1"/>
  <c r="S146" i="72" s="1"/>
  <c r="T146" i="72" s="1"/>
  <c r="J851" i="58"/>
  <c r="N851" i="58" s="1"/>
  <c r="N1072" i="72"/>
  <c r="P1072" i="72" s="1"/>
  <c r="J1090" i="58"/>
  <c r="N1090" i="58" s="1"/>
  <c r="N1679" i="72"/>
  <c r="P1679" i="72" s="1"/>
  <c r="S1679" i="72" s="1"/>
  <c r="T1679" i="72" s="1"/>
  <c r="N1543" i="72"/>
  <c r="P1543" i="72" s="1"/>
  <c r="S1543" i="72" s="1"/>
  <c r="T1543" i="72" s="1"/>
  <c r="J1130" i="58"/>
  <c r="N1130" i="58" s="1"/>
  <c r="N1712" i="72"/>
  <c r="P1712" i="72" s="1"/>
  <c r="S1712" i="72" s="1"/>
  <c r="T1712" i="72" s="1"/>
  <c r="N1563" i="72"/>
  <c r="P1563" i="72" s="1"/>
  <c r="N1699" i="72"/>
  <c r="P1699" i="72" s="1"/>
  <c r="S1699" i="72" s="1"/>
  <c r="T1699" i="72" s="1"/>
  <c r="N1576" i="72"/>
  <c r="P1576" i="72" s="1"/>
  <c r="S1576" i="72" s="1"/>
  <c r="T1576" i="72" s="1"/>
  <c r="J1188" i="58"/>
  <c r="N1188" i="58" s="1"/>
  <c r="N1597" i="72"/>
  <c r="P1597" i="72" s="1"/>
  <c r="S1597" i="72" s="1"/>
  <c r="T1597" i="72" s="1"/>
  <c r="N1733" i="72"/>
  <c r="P1733" i="72" s="1"/>
  <c r="S1733" i="72" s="1"/>
  <c r="T1733" i="72" s="1"/>
  <c r="J681" i="58"/>
  <c r="N681" i="58" s="1"/>
  <c r="N1245" i="72"/>
  <c r="P1245" i="72" s="1"/>
  <c r="S1245" i="72" s="1"/>
  <c r="T1245" i="72" s="1"/>
  <c r="N1193" i="72"/>
  <c r="P1193" i="72" s="1"/>
  <c r="N1286" i="72"/>
  <c r="P1286" i="72" s="1"/>
  <c r="S1286" i="72" s="1"/>
  <c r="T1286" i="72" s="1"/>
  <c r="J721" i="58"/>
  <c r="N721" i="58" s="1"/>
  <c r="N1430" i="72"/>
  <c r="P1430" i="72" s="1"/>
  <c r="S1430" i="72" s="1"/>
  <c r="T1430" i="72" s="1"/>
  <c r="N1371" i="72"/>
  <c r="P1371" i="72" s="1"/>
  <c r="S1371" i="72" s="1"/>
  <c r="T1371" i="72" s="1"/>
  <c r="J277" i="58"/>
  <c r="N277" i="58" s="1"/>
  <c r="N978" i="72"/>
  <c r="P978" i="72" s="1"/>
  <c r="S978" i="72" s="1"/>
  <c r="T978" i="72" s="1"/>
  <c r="N934" i="72"/>
  <c r="P934" i="72" s="1"/>
  <c r="S934" i="72" s="1"/>
  <c r="T934" i="72" s="1"/>
  <c r="J395" i="58"/>
  <c r="N395" i="58" s="1"/>
  <c r="N860" i="72"/>
  <c r="P860" i="72" s="1"/>
  <c r="S860" i="72" s="1"/>
  <c r="T860" i="72" s="1"/>
  <c r="N707" i="72"/>
  <c r="P707" i="72" s="1"/>
  <c r="S707" i="72" s="1"/>
  <c r="T707" i="72" s="1"/>
  <c r="N592" i="72"/>
  <c r="P592" i="72" s="1"/>
  <c r="S592" i="72" s="1"/>
  <c r="T592" i="72" s="1"/>
  <c r="N476" i="72"/>
  <c r="P476" i="72" s="1"/>
  <c r="S476" i="72" s="1"/>
  <c r="T476" i="72" s="1"/>
  <c r="N329" i="72"/>
  <c r="P329" i="72" s="1"/>
  <c r="S329" i="72" s="1"/>
  <c r="T329" i="72" s="1"/>
  <c r="N295" i="72"/>
  <c r="P295" i="72" s="1"/>
  <c r="S295" i="72" s="1"/>
  <c r="T295" i="72" s="1"/>
  <c r="N262" i="72"/>
  <c r="P262" i="72" s="1"/>
  <c r="S262" i="72" s="1"/>
  <c r="T262" i="72" s="1"/>
  <c r="N821" i="72"/>
  <c r="P821" i="72" s="1"/>
  <c r="S821" i="72" s="1"/>
  <c r="T821" i="72" s="1"/>
  <c r="N554" i="72"/>
  <c r="P554" i="72" s="1"/>
  <c r="S554" i="72" s="1"/>
  <c r="T554" i="72" s="1"/>
  <c r="N228" i="72"/>
  <c r="P228" i="72" s="1"/>
  <c r="S228" i="72" s="1"/>
  <c r="T228" i="72" s="1"/>
  <c r="N783" i="72"/>
  <c r="P783" i="72" s="1"/>
  <c r="S783" i="72" s="1"/>
  <c r="T783" i="72" s="1"/>
  <c r="N745" i="72"/>
  <c r="P745" i="72" s="1"/>
  <c r="S745" i="72" s="1"/>
  <c r="T745" i="72" s="1"/>
  <c r="N668" i="72"/>
  <c r="P668" i="72" s="1"/>
  <c r="S668" i="72" s="1"/>
  <c r="T668" i="72" s="1"/>
  <c r="N405" i="72"/>
  <c r="P405" i="72" s="1"/>
  <c r="S405" i="72" s="1"/>
  <c r="T405" i="72" s="1"/>
  <c r="N193" i="72"/>
  <c r="P193" i="72" s="1"/>
  <c r="S193" i="72" s="1"/>
  <c r="T193" i="72" s="1"/>
  <c r="N630" i="72"/>
  <c r="P630" i="72" s="1"/>
  <c r="S630" i="72" s="1"/>
  <c r="T630" i="72" s="1"/>
  <c r="N516" i="72"/>
  <c r="P516" i="72" s="1"/>
  <c r="N367" i="72"/>
  <c r="P367" i="72" s="1"/>
  <c r="S367" i="72" s="1"/>
  <c r="T367" i="72" s="1"/>
  <c r="N159" i="72"/>
  <c r="P159" i="72" s="1"/>
  <c r="J1110" i="58"/>
  <c r="N1110" i="58" s="1"/>
  <c r="N1553" i="72"/>
  <c r="P1553" i="72" s="1"/>
  <c r="S1553" i="72" s="1"/>
  <c r="T1553" i="72" s="1"/>
  <c r="N1689" i="72"/>
  <c r="P1689" i="72" s="1"/>
  <c r="S1689" i="72" s="1"/>
  <c r="T1689" i="72" s="1"/>
  <c r="J1149" i="58"/>
  <c r="N1149" i="58" s="1"/>
  <c r="N1586" i="72"/>
  <c r="P1586" i="72" s="1"/>
  <c r="S1586" i="72" s="1"/>
  <c r="T1586" i="72" s="1"/>
  <c r="N1722" i="72"/>
  <c r="P1722" i="72" s="1"/>
  <c r="S1722" i="72" s="1"/>
  <c r="T1722" i="72" s="1"/>
  <c r="J1710" i="58"/>
  <c r="N1710" i="58" s="1"/>
  <c r="N2154" i="72"/>
  <c r="P2154" i="72" s="1"/>
  <c r="S2154" i="72" s="1"/>
  <c r="T2154" i="72" s="1"/>
  <c r="N1082" i="72"/>
  <c r="P1082" i="72" s="1"/>
  <c r="S1082" i="72" s="1"/>
  <c r="T1082" i="72" s="1"/>
  <c r="J196" i="58"/>
  <c r="N196" i="58" s="1"/>
  <c r="N119" i="72"/>
  <c r="P119" i="72" s="1"/>
  <c r="S119" i="72" s="1"/>
  <c r="T119" i="72" s="1"/>
  <c r="J743" i="58"/>
  <c r="N743" i="58" s="1"/>
  <c r="N1361" i="72"/>
  <c r="P1361" i="72" s="1"/>
  <c r="N1420" i="72"/>
  <c r="P1420" i="72" s="1"/>
  <c r="S1420" i="72" s="1"/>
  <c r="T1420" i="72" s="1"/>
  <c r="J257" i="58"/>
  <c r="N257" i="58" s="1"/>
  <c r="N130" i="72"/>
  <c r="P130" i="72" s="1"/>
  <c r="S130" i="72" s="1"/>
  <c r="T130" i="72" s="1"/>
  <c r="J316" i="58"/>
  <c r="N316" i="58" s="1"/>
  <c r="N999" i="72"/>
  <c r="P999" i="72" s="1"/>
  <c r="S999" i="72" s="1"/>
  <c r="T999" i="72" s="1"/>
  <c r="N955" i="72"/>
  <c r="P955" i="72" s="1"/>
  <c r="S955" i="72" s="1"/>
  <c r="T955" i="72" s="1"/>
  <c r="J831" i="58"/>
  <c r="N831" i="58" s="1"/>
  <c r="N1094" i="72"/>
  <c r="P1094" i="72" s="1"/>
  <c r="S1094" i="72" s="1"/>
  <c r="T1094" i="72" s="1"/>
  <c r="N1167" i="72"/>
  <c r="P1167" i="72" s="1"/>
  <c r="S1167" i="72" s="1"/>
  <c r="T1167" i="72" s="1"/>
  <c r="J1053" i="58"/>
  <c r="N1053" i="58" s="1"/>
  <c r="N1779" i="72"/>
  <c r="P1779" i="72" s="1"/>
  <c r="S1779" i="72" s="1"/>
  <c r="T1779" i="72" s="1"/>
  <c r="N1632" i="72"/>
  <c r="P1632" i="72" s="1"/>
  <c r="S1632" i="72" s="1"/>
  <c r="T1632" i="72" s="1"/>
  <c r="J1187" i="58"/>
  <c r="N1187" i="58" s="1"/>
  <c r="N1596" i="72"/>
  <c r="P1596" i="72" s="1"/>
  <c r="S1596" i="72" s="1"/>
  <c r="T1596" i="72" s="1"/>
  <c r="N1732" i="72"/>
  <c r="P1732" i="72" s="1"/>
  <c r="S1732" i="72" s="1"/>
  <c r="T1732" i="72" s="1"/>
  <c r="J1302" i="58"/>
  <c r="N1302" i="58" s="1"/>
  <c r="N1523" i="72"/>
  <c r="P1523" i="72" s="1"/>
  <c r="S1523" i="72" s="1"/>
  <c r="T1523" i="72" s="1"/>
  <c r="N1467" i="72"/>
  <c r="P1467" i="72" s="1"/>
  <c r="S1467" i="72" s="1"/>
  <c r="T1467" i="72" s="1"/>
  <c r="N1489" i="72"/>
  <c r="P1489" i="72" s="1"/>
  <c r="S1489" i="72" s="1"/>
  <c r="T1489" i="72" s="1"/>
  <c r="N1501" i="72"/>
  <c r="P1501" i="72" s="1"/>
  <c r="S1501" i="72" s="1"/>
  <c r="T1501" i="72" s="1"/>
  <c r="J765" i="58"/>
  <c r="N765" i="58" s="1"/>
  <c r="N1443" i="72"/>
  <c r="P1443" i="72" s="1"/>
  <c r="S1443" i="72" s="1"/>
  <c r="T1443" i="72" s="1"/>
  <c r="N1384" i="72"/>
  <c r="P1384" i="72" s="1"/>
  <c r="S1384" i="72" s="1"/>
  <c r="T1384" i="72" s="1"/>
  <c r="J334" i="58"/>
  <c r="N334" i="58" s="1"/>
  <c r="N966" i="72"/>
  <c r="P966" i="72" s="1"/>
  <c r="N1010" i="72"/>
  <c r="P1010" i="72" s="1"/>
  <c r="S1010" i="72" s="1"/>
  <c r="T1010" i="72" s="1"/>
  <c r="J809" i="58"/>
  <c r="N809" i="58" s="1"/>
  <c r="N1106" i="72"/>
  <c r="P1106" i="72" s="1"/>
  <c r="S1106" i="72" s="1"/>
  <c r="T1106" i="72" s="1"/>
  <c r="N1179" i="72"/>
  <c r="P1179" i="72" s="1"/>
  <c r="S1179" i="72" s="1"/>
  <c r="T1179" i="72" s="1"/>
  <c r="J1011" i="58"/>
  <c r="N1011" i="58" s="1"/>
  <c r="N1619" i="72"/>
  <c r="P1619" i="72" s="1"/>
  <c r="N1766" i="72"/>
  <c r="P1766" i="72" s="1"/>
  <c r="S1766" i="72" s="1"/>
  <c r="T1766" i="72" s="1"/>
  <c r="J1071" i="58"/>
  <c r="N1071" i="58" s="1"/>
  <c r="N1641" i="72"/>
  <c r="P1641" i="72" s="1"/>
  <c r="S1641" i="72" s="1"/>
  <c r="T1641" i="72" s="1"/>
  <c r="N1809" i="72"/>
  <c r="P1809" i="72" s="1"/>
  <c r="S1809" i="72" s="1"/>
  <c r="T1809" i="72" s="1"/>
  <c r="N1788" i="72"/>
  <c r="P1788" i="72" s="1"/>
  <c r="J1206" i="58"/>
  <c r="N1206" i="58" s="1"/>
  <c r="N1607" i="72"/>
  <c r="P1607" i="72" s="1"/>
  <c r="S1607" i="72" s="1"/>
  <c r="T1607" i="72" s="1"/>
  <c r="N1743" i="72"/>
  <c r="P1743" i="72" s="1"/>
  <c r="S1743" i="72" s="1"/>
  <c r="T1743" i="72" s="1"/>
  <c r="N1754" i="72"/>
  <c r="P1754" i="72" s="1"/>
  <c r="S1754" i="72" s="1"/>
  <c r="T1754" i="72" s="1"/>
  <c r="J1322" i="58"/>
  <c r="N1322" i="58" s="1"/>
  <c r="N1478" i="72"/>
  <c r="P1478" i="72" s="1"/>
  <c r="S1478" i="72" s="1"/>
  <c r="T1478" i="72" s="1"/>
  <c r="N1512" i="72"/>
  <c r="P1512" i="72" s="1"/>
  <c r="S1512" i="72" s="1"/>
  <c r="T1512" i="72" s="1"/>
  <c r="J68" i="58"/>
  <c r="N68" i="58" s="1"/>
  <c r="N47" i="72"/>
  <c r="P47" i="72" s="1"/>
  <c r="S47" i="72" s="1"/>
  <c r="T47" i="72" s="1"/>
  <c r="J238" i="58"/>
  <c r="N238" i="58" s="1"/>
  <c r="N110" i="72"/>
  <c r="P110" i="72" s="1"/>
  <c r="S110" i="72" s="1"/>
  <c r="T110" i="72" s="1"/>
  <c r="J259" i="58"/>
  <c r="N259" i="58" s="1"/>
  <c r="N132" i="72"/>
  <c r="P132" i="72" s="1"/>
  <c r="S132" i="72" s="1"/>
  <c r="T132" i="72" s="1"/>
  <c r="J533" i="58"/>
  <c r="N533" i="58" s="1"/>
  <c r="N503" i="72"/>
  <c r="P503" i="72" s="1"/>
  <c r="S503" i="72" s="1"/>
  <c r="T503" i="72" s="1"/>
  <c r="N848" i="72"/>
  <c r="P848" i="72" s="1"/>
  <c r="S848" i="72" s="1"/>
  <c r="T848" i="72" s="1"/>
  <c r="N810" i="72"/>
  <c r="P810" i="72" s="1"/>
  <c r="S810" i="72" s="1"/>
  <c r="T810" i="72" s="1"/>
  <c r="N772" i="72"/>
  <c r="P772" i="72" s="1"/>
  <c r="S772" i="72" s="1"/>
  <c r="T772" i="72" s="1"/>
  <c r="N734" i="72"/>
  <c r="P734" i="72" s="1"/>
  <c r="S734" i="72" s="1"/>
  <c r="T734" i="72" s="1"/>
  <c r="J459" i="58"/>
  <c r="N459" i="58" s="1"/>
  <c r="N251" i="72"/>
  <c r="P251" i="72" s="1"/>
  <c r="J644" i="58"/>
  <c r="N644" i="58" s="1"/>
  <c r="N1225" i="72"/>
  <c r="P1225" i="72" s="1"/>
  <c r="N1267" i="72"/>
  <c r="P1267" i="72" s="1"/>
  <c r="S1267" i="72" s="1"/>
  <c r="T1267" i="72" s="1"/>
  <c r="J767" i="58"/>
  <c r="N767" i="58" s="1"/>
  <c r="N1386" i="72"/>
  <c r="P1386" i="72" s="1"/>
  <c r="S1386" i="72" s="1"/>
  <c r="T1386" i="72" s="1"/>
  <c r="N1445" i="72"/>
  <c r="P1445" i="72" s="1"/>
  <c r="S1445" i="72" s="1"/>
  <c r="T1445" i="72" s="1"/>
  <c r="J1013" i="58"/>
  <c r="N1013" i="58" s="1"/>
  <c r="N1621" i="72"/>
  <c r="P1621" i="72" s="1"/>
  <c r="S1621" i="72" s="1"/>
  <c r="T1621" i="72" s="1"/>
  <c r="N1768" i="72"/>
  <c r="P1768" i="72" s="1"/>
  <c r="S1768" i="72" s="1"/>
  <c r="T1768" i="72" s="1"/>
  <c r="J1055" i="58"/>
  <c r="N1055" i="58" s="1"/>
  <c r="N1634" i="72"/>
  <c r="P1634" i="72" s="1"/>
  <c r="N1781" i="72"/>
  <c r="P1781" i="72" s="1"/>
  <c r="J1189" i="58"/>
  <c r="N1189" i="58" s="1"/>
  <c r="N1598" i="72"/>
  <c r="P1598" i="72" s="1"/>
  <c r="S1598" i="72" s="1"/>
  <c r="T1598" i="72" s="1"/>
  <c r="N1734" i="72"/>
  <c r="P1734" i="72" s="1"/>
  <c r="S1734" i="72" s="1"/>
  <c r="T1734" i="72" s="1"/>
  <c r="J1112" i="58"/>
  <c r="N1112" i="58" s="1"/>
  <c r="N1691" i="72"/>
  <c r="P1691" i="72" s="1"/>
  <c r="S1691" i="72" s="1"/>
  <c r="T1691" i="72" s="1"/>
  <c r="N1555" i="72"/>
  <c r="P1555" i="72" s="1"/>
  <c r="S1555" i="72" s="1"/>
  <c r="T1555" i="72" s="1"/>
  <c r="J1324" i="58"/>
  <c r="N1324" i="58" s="1"/>
  <c r="N1514" i="72"/>
  <c r="P1514" i="72" s="1"/>
  <c r="S1514" i="72" s="1"/>
  <c r="T1514" i="72" s="1"/>
  <c r="N1480" i="72"/>
  <c r="P1480" i="72" s="1"/>
  <c r="S1480" i="72" s="1"/>
  <c r="T1480" i="72" s="1"/>
  <c r="J1712" i="58"/>
  <c r="N1712" i="58" s="1"/>
  <c r="N2156" i="72"/>
  <c r="P2156" i="72" s="1"/>
  <c r="S2156" i="72" s="1"/>
  <c r="T2156" i="72" s="1"/>
  <c r="N1084" i="72"/>
  <c r="P1084" i="72" s="1"/>
  <c r="S1084" i="72" s="1"/>
  <c r="T1084" i="72" s="1"/>
  <c r="J88" i="58"/>
  <c r="N88" i="58" s="1"/>
  <c r="N42" i="72"/>
  <c r="P42" i="72" s="1"/>
  <c r="J162" i="58"/>
  <c r="N162" i="58" s="1"/>
  <c r="N91" i="72"/>
  <c r="P91" i="72" s="1"/>
  <c r="S91" i="72" s="1"/>
  <c r="T91" i="72" s="1"/>
  <c r="J198" i="58"/>
  <c r="N198" i="58" s="1"/>
  <c r="N121" i="72"/>
  <c r="P121" i="72" s="1"/>
  <c r="S121" i="72" s="1"/>
  <c r="T121" i="72" s="1"/>
  <c r="J279" i="58"/>
  <c r="N279" i="58" s="1"/>
  <c r="N980" i="72"/>
  <c r="P980" i="72" s="1"/>
  <c r="N936" i="72"/>
  <c r="P936" i="72" s="1"/>
  <c r="S936" i="72" s="1"/>
  <c r="T936" i="72" s="1"/>
  <c r="J397" i="58"/>
  <c r="N397" i="58" s="1"/>
  <c r="N518" i="72"/>
  <c r="P518" i="72" s="1"/>
  <c r="S518" i="72" s="1"/>
  <c r="T518" i="72" s="1"/>
  <c r="N478" i="72"/>
  <c r="P478" i="72" s="1"/>
  <c r="S478" i="72" s="1"/>
  <c r="T478" i="72" s="1"/>
  <c r="N264" i="72"/>
  <c r="P264" i="72" s="1"/>
  <c r="N297" i="72"/>
  <c r="P297" i="72" s="1"/>
  <c r="S297" i="72" s="1"/>
  <c r="T297" i="72" s="1"/>
  <c r="N230" i="72"/>
  <c r="P230" i="72" s="1"/>
  <c r="S230" i="72" s="1"/>
  <c r="T230" i="72" s="1"/>
  <c r="N195" i="72"/>
  <c r="P195" i="72" s="1"/>
  <c r="N862" i="72"/>
  <c r="P862" i="72" s="1"/>
  <c r="S862" i="72" s="1"/>
  <c r="T862" i="72" s="1"/>
  <c r="N823" i="72"/>
  <c r="P823" i="72" s="1"/>
  <c r="S823" i="72" s="1"/>
  <c r="T823" i="72" s="1"/>
  <c r="N785" i="72"/>
  <c r="P785" i="72" s="1"/>
  <c r="S785" i="72" s="1"/>
  <c r="T785" i="72" s="1"/>
  <c r="N747" i="72"/>
  <c r="P747" i="72" s="1"/>
  <c r="S747" i="72" s="1"/>
  <c r="T747" i="72" s="1"/>
  <c r="N709" i="72"/>
  <c r="P709" i="72" s="1"/>
  <c r="S709" i="72" s="1"/>
  <c r="T709" i="72" s="1"/>
  <c r="N407" i="72"/>
  <c r="P407" i="72" s="1"/>
  <c r="S407" i="72" s="1"/>
  <c r="T407" i="72" s="1"/>
  <c r="N369" i="72"/>
  <c r="P369" i="72" s="1"/>
  <c r="S369" i="72" s="1"/>
  <c r="T369" i="72" s="1"/>
  <c r="N331" i="72"/>
  <c r="P331" i="72" s="1"/>
  <c r="S331" i="72" s="1"/>
  <c r="T331" i="72" s="1"/>
  <c r="N161" i="72"/>
  <c r="P161" i="72" s="1"/>
  <c r="N670" i="72"/>
  <c r="P670" i="72" s="1"/>
  <c r="S670" i="72" s="1"/>
  <c r="T670" i="72" s="1"/>
  <c r="N632" i="72"/>
  <c r="P632" i="72" s="1"/>
  <c r="S632" i="72" s="1"/>
  <c r="T632" i="72" s="1"/>
  <c r="N594" i="72"/>
  <c r="P594" i="72" s="1"/>
  <c r="S594" i="72" s="1"/>
  <c r="T594" i="72" s="1"/>
  <c r="N556" i="72"/>
  <c r="P556" i="72" s="1"/>
  <c r="S556" i="72" s="1"/>
  <c r="T556" i="72" s="1"/>
  <c r="J509" i="58"/>
  <c r="N509" i="58" s="1"/>
  <c r="N695" i="72"/>
  <c r="P695" i="72" s="1"/>
  <c r="S695" i="72" s="1"/>
  <c r="T695" i="72" s="1"/>
  <c r="N657" i="72"/>
  <c r="P657" i="72" s="1"/>
  <c r="S657" i="72" s="1"/>
  <c r="T657" i="72" s="1"/>
  <c r="N619" i="72"/>
  <c r="P619" i="72" s="1"/>
  <c r="S619" i="72" s="1"/>
  <c r="T619" i="72" s="1"/>
  <c r="N581" i="72"/>
  <c r="P581" i="72" s="1"/>
  <c r="S581" i="72" s="1"/>
  <c r="T581" i="72" s="1"/>
  <c r="N543" i="72"/>
  <c r="P543" i="72" s="1"/>
  <c r="S543" i="72" s="1"/>
  <c r="T543" i="72" s="1"/>
  <c r="J723" i="58"/>
  <c r="N723" i="58" s="1"/>
  <c r="N1373" i="72"/>
  <c r="P1373" i="72" s="1"/>
  <c r="S1373" i="72" s="1"/>
  <c r="T1373" i="72" s="1"/>
  <c r="N1432" i="72"/>
  <c r="P1432" i="72" s="1"/>
  <c r="S1432" i="72" s="1"/>
  <c r="T1432" i="72" s="1"/>
  <c r="J833" i="58"/>
  <c r="N833" i="58" s="1"/>
  <c r="N1096" i="72"/>
  <c r="P1096" i="72" s="1"/>
  <c r="S1096" i="72" s="1"/>
  <c r="T1096" i="72" s="1"/>
  <c r="N1169" i="72"/>
  <c r="P1169" i="72" s="1"/>
  <c r="S1169" i="72" s="1"/>
  <c r="T1169" i="72" s="1"/>
  <c r="J975" i="58"/>
  <c r="N975" i="58" s="1"/>
  <c r="N1312" i="72"/>
  <c r="P1312" i="72" s="1"/>
  <c r="S1312" i="72" s="1"/>
  <c r="T1312" i="72" s="1"/>
  <c r="J1073" i="58"/>
  <c r="N1073" i="58" s="1"/>
  <c r="N1643" i="72"/>
  <c r="P1643" i="72" s="1"/>
  <c r="S1643" i="72" s="1"/>
  <c r="T1643" i="72" s="1"/>
  <c r="N1790" i="72"/>
  <c r="P1790" i="72" s="1"/>
  <c r="N1811" i="72"/>
  <c r="P1811" i="72" s="1"/>
  <c r="S1811" i="72" s="1"/>
  <c r="T1811" i="72" s="1"/>
  <c r="J1208" i="58"/>
  <c r="N1208" i="58" s="1"/>
  <c r="N1609" i="72"/>
  <c r="P1609" i="72" s="1"/>
  <c r="S1609" i="72" s="1"/>
  <c r="T1609" i="72" s="1"/>
  <c r="N1756" i="72"/>
  <c r="P1756" i="72" s="1"/>
  <c r="S1756" i="72" s="1"/>
  <c r="T1756" i="72" s="1"/>
  <c r="N1745" i="72"/>
  <c r="P1745" i="72" s="1"/>
  <c r="S1745" i="72" s="1"/>
  <c r="T1745" i="72" s="1"/>
  <c r="J1284" i="58"/>
  <c r="N1284" i="58" s="1"/>
  <c r="N1455" i="72"/>
  <c r="P1455" i="72" s="1"/>
  <c r="S1455" i="72" s="1"/>
  <c r="T1455" i="72" s="1"/>
  <c r="N1396" i="72"/>
  <c r="P1396" i="72" s="1"/>
  <c r="S1396" i="72" s="1"/>
  <c r="T1396" i="72" s="1"/>
  <c r="J103" i="58"/>
  <c r="N103" i="58" s="1"/>
  <c r="N74" i="72"/>
  <c r="P74" i="72" s="1"/>
  <c r="S74" i="72" s="1"/>
  <c r="T74" i="72" s="1"/>
  <c r="J132" i="58"/>
  <c r="N132" i="58" s="1"/>
  <c r="N84" i="72"/>
  <c r="P84" i="72" s="1"/>
  <c r="S84" i="72" s="1"/>
  <c r="T84" i="72" s="1"/>
  <c r="J318" i="58"/>
  <c r="N318" i="58" s="1"/>
  <c r="N1001" i="72"/>
  <c r="P1001" i="72" s="1"/>
  <c r="S1001" i="72" s="1"/>
  <c r="T1001" i="72" s="1"/>
  <c r="N957" i="72"/>
  <c r="P957" i="72" s="1"/>
  <c r="S957" i="72" s="1"/>
  <c r="T957" i="72" s="1"/>
  <c r="J416" i="58"/>
  <c r="N416" i="58" s="1"/>
  <c r="N680" i="72"/>
  <c r="P680" i="72" s="1"/>
  <c r="S680" i="72" s="1"/>
  <c r="T680" i="72" s="1"/>
  <c r="N642" i="72"/>
  <c r="P642" i="72" s="1"/>
  <c r="S642" i="72" s="1"/>
  <c r="T642" i="72" s="1"/>
  <c r="N604" i="72"/>
  <c r="P604" i="72" s="1"/>
  <c r="S604" i="72" s="1"/>
  <c r="T604" i="72" s="1"/>
  <c r="N566" i="72"/>
  <c r="P566" i="72" s="1"/>
  <c r="S566" i="72" s="1"/>
  <c r="T566" i="72" s="1"/>
  <c r="N528" i="72"/>
  <c r="P528" i="72" s="1"/>
  <c r="S528" i="72" s="1"/>
  <c r="T528" i="72" s="1"/>
  <c r="N205" i="72"/>
  <c r="P205" i="72" s="1"/>
  <c r="S205" i="72" s="1"/>
  <c r="T205" i="72" s="1"/>
  <c r="N488" i="72"/>
  <c r="P488" i="72" s="1"/>
  <c r="S488" i="72" s="1"/>
  <c r="T488" i="72" s="1"/>
  <c r="N274" i="72"/>
  <c r="P274" i="72" s="1"/>
  <c r="S274" i="72" s="1"/>
  <c r="T274" i="72" s="1"/>
  <c r="N240" i="72"/>
  <c r="P240" i="72" s="1"/>
  <c r="S240" i="72" s="1"/>
  <c r="T240" i="72" s="1"/>
  <c r="N307" i="72"/>
  <c r="P307" i="72" s="1"/>
  <c r="S307" i="72" s="1"/>
  <c r="T307" i="72" s="1"/>
  <c r="N284" i="72"/>
  <c r="P284" i="72" s="1"/>
  <c r="N171" i="72"/>
  <c r="P171" i="72" s="1"/>
  <c r="S171" i="72" s="1"/>
  <c r="T171" i="72" s="1"/>
  <c r="N872" i="72"/>
  <c r="P872" i="72" s="1"/>
  <c r="S872" i="72" s="1"/>
  <c r="T872" i="72" s="1"/>
  <c r="N833" i="72"/>
  <c r="P833" i="72" s="1"/>
  <c r="S833" i="72" s="1"/>
  <c r="T833" i="72" s="1"/>
  <c r="N795" i="72"/>
  <c r="P795" i="72" s="1"/>
  <c r="S795" i="72" s="1"/>
  <c r="T795" i="72" s="1"/>
  <c r="N757" i="72"/>
  <c r="P757" i="72" s="1"/>
  <c r="N719" i="72"/>
  <c r="P719" i="72" s="1"/>
  <c r="S719" i="72" s="1"/>
  <c r="T719" i="72" s="1"/>
  <c r="N417" i="72"/>
  <c r="P417" i="72" s="1"/>
  <c r="S417" i="72" s="1"/>
  <c r="T417" i="72" s="1"/>
  <c r="N379" i="72"/>
  <c r="P379" i="72" s="1"/>
  <c r="S379" i="72" s="1"/>
  <c r="T379" i="72" s="1"/>
  <c r="N341" i="72"/>
  <c r="P341" i="72" s="1"/>
  <c r="S341" i="72" s="1"/>
  <c r="T341" i="72" s="1"/>
  <c r="N317" i="72"/>
  <c r="P317" i="72" s="1"/>
  <c r="S317" i="72" s="1"/>
  <c r="T317" i="72" s="1"/>
  <c r="J484" i="58"/>
  <c r="N484" i="58" s="1"/>
  <c r="N887" i="72"/>
  <c r="P887" i="72" s="1"/>
  <c r="S887" i="72" s="1"/>
  <c r="T887" i="72" s="1"/>
  <c r="N432" i="72"/>
  <c r="P432" i="72" s="1"/>
  <c r="S432" i="72" s="1"/>
  <c r="T432" i="72" s="1"/>
  <c r="N394" i="72"/>
  <c r="P394" i="72" s="1"/>
  <c r="S394" i="72" s="1"/>
  <c r="T394" i="72" s="1"/>
  <c r="N356" i="72"/>
  <c r="P356" i="72" s="1"/>
  <c r="S356" i="72" s="1"/>
  <c r="T356" i="72" s="1"/>
  <c r="J606" i="58"/>
  <c r="N606" i="58" s="1"/>
  <c r="N1257" i="72"/>
  <c r="P1257" i="72" s="1"/>
  <c r="N1205" i="72"/>
  <c r="P1205" i="72" s="1"/>
  <c r="S1205" i="72" s="1"/>
  <c r="T1205" i="72" s="1"/>
  <c r="J683" i="58"/>
  <c r="N683" i="58" s="1"/>
  <c r="N1195" i="72"/>
  <c r="P1195" i="72" s="1"/>
  <c r="S1195" i="72" s="1"/>
  <c r="T1195" i="72" s="1"/>
  <c r="N1247" i="72"/>
  <c r="P1247" i="72" s="1"/>
  <c r="N1288" i="72"/>
  <c r="P1288" i="72" s="1"/>
  <c r="S1288" i="72" s="1"/>
  <c r="T1288" i="72" s="1"/>
  <c r="J853" i="58"/>
  <c r="N853" i="58" s="1"/>
  <c r="N1074" i="72"/>
  <c r="P1074" i="72" s="1"/>
  <c r="S1074" i="72" s="1"/>
  <c r="T1074" i="72" s="1"/>
  <c r="J956" i="58"/>
  <c r="N956" i="58" s="1"/>
  <c r="N1302" i="72"/>
  <c r="P1302" i="72" s="1"/>
  <c r="S1302" i="72" s="1"/>
  <c r="T1302" i="72" s="1"/>
  <c r="J1132" i="58"/>
  <c r="N1132" i="58" s="1"/>
  <c r="N1578" i="72"/>
  <c r="P1578" i="72" s="1"/>
  <c r="N1565" i="72"/>
  <c r="P1565" i="72" s="1"/>
  <c r="S1565" i="72" s="1"/>
  <c r="T1565" i="72" s="1"/>
  <c r="N1714" i="72"/>
  <c r="P1714" i="72" s="1"/>
  <c r="S1714" i="72" s="1"/>
  <c r="T1714" i="72" s="1"/>
  <c r="N1701" i="72"/>
  <c r="P1701" i="72" s="1"/>
  <c r="S1701" i="72" s="1"/>
  <c r="T1701" i="72" s="1"/>
  <c r="J993" i="58"/>
  <c r="N993" i="58" s="1"/>
  <c r="N1321" i="72"/>
  <c r="P1321" i="72" s="1"/>
  <c r="S1321" i="72" s="1"/>
  <c r="T1321" i="72" s="1"/>
  <c r="J1502" i="58"/>
  <c r="N1502" i="58" s="1"/>
  <c r="N1897" i="72"/>
  <c r="P1897" i="72" s="1"/>
  <c r="N2057" i="72"/>
  <c r="P2057" i="72" s="1"/>
  <c r="J1536" i="58"/>
  <c r="N1536" i="58" s="1"/>
  <c r="N2073" i="72"/>
  <c r="P2073" i="72" s="1"/>
  <c r="N1913" i="72"/>
  <c r="P1913" i="72" s="1"/>
  <c r="J117" i="58"/>
  <c r="N117" i="58" s="1"/>
  <c r="N79" i="72"/>
  <c r="P79" i="72" s="1"/>
  <c r="J178" i="58"/>
  <c r="N178" i="58" s="1"/>
  <c r="N2163" i="72"/>
  <c r="P2163" i="72" s="1"/>
  <c r="S2163" i="72" s="1"/>
  <c r="T2163" i="72" s="1"/>
  <c r="N98" i="72"/>
  <c r="P98" i="72" s="1"/>
  <c r="S98" i="72" s="1"/>
  <c r="T98" i="72" s="1"/>
  <c r="J336" i="58"/>
  <c r="N336" i="58" s="1"/>
  <c r="N1012" i="72"/>
  <c r="P1012" i="72" s="1"/>
  <c r="S1012" i="72" s="1"/>
  <c r="T1012" i="72" s="1"/>
  <c r="N968" i="72"/>
  <c r="P968" i="72" s="1"/>
  <c r="S968" i="72" s="1"/>
  <c r="T968" i="72" s="1"/>
  <c r="J438" i="58"/>
  <c r="N438" i="58" s="1"/>
  <c r="N216" i="72"/>
  <c r="P216" i="72" s="1"/>
  <c r="S216" i="72" s="1"/>
  <c r="T216" i="72" s="1"/>
  <c r="N182" i="72"/>
  <c r="P182" i="72" s="1"/>
  <c r="J376" i="58"/>
  <c r="N376" i="58" s="1"/>
  <c r="N1027" i="72"/>
  <c r="P1027" i="72" s="1"/>
  <c r="S1027" i="72" s="1"/>
  <c r="T1027" i="72" s="1"/>
  <c r="N1133" i="72"/>
  <c r="P1133" i="72" s="1"/>
  <c r="S1133" i="72" s="1"/>
  <c r="T1133" i="72" s="1"/>
  <c r="N148" i="72"/>
  <c r="P148" i="72" s="1"/>
  <c r="S148" i="72" s="1"/>
  <c r="T148" i="72" s="1"/>
  <c r="J745" i="58"/>
  <c r="N745" i="58" s="1"/>
  <c r="N1422" i="72"/>
  <c r="P1422" i="72" s="1"/>
  <c r="S1422" i="72" s="1"/>
  <c r="T1422" i="72" s="1"/>
  <c r="N1363" i="72"/>
  <c r="P1363" i="72" s="1"/>
  <c r="J811" i="58"/>
  <c r="N811" i="58" s="1"/>
  <c r="N1108" i="72"/>
  <c r="P1108" i="72" s="1"/>
  <c r="S1108" i="72" s="1"/>
  <c r="T1108" i="72" s="1"/>
  <c r="N1181" i="72"/>
  <c r="P1181" i="72" s="1"/>
  <c r="S1181" i="72" s="1"/>
  <c r="T1181" i="72" s="1"/>
  <c r="J1151" i="58"/>
  <c r="N1151" i="58" s="1"/>
  <c r="N1588" i="72"/>
  <c r="P1588" i="72" s="1"/>
  <c r="S1588" i="72" s="1"/>
  <c r="T1588" i="72" s="1"/>
  <c r="N1724" i="72"/>
  <c r="P1724" i="72" s="1"/>
  <c r="S1724" i="72" s="1"/>
  <c r="T1724" i="72" s="1"/>
  <c r="J1092" i="58"/>
  <c r="N1092" i="58" s="1"/>
  <c r="N1681" i="72"/>
  <c r="P1681" i="72" s="1"/>
  <c r="N1545" i="72"/>
  <c r="P1545" i="72" s="1"/>
  <c r="S1545" i="72" s="1"/>
  <c r="T1545" i="72" s="1"/>
  <c r="J1304" i="58"/>
  <c r="N1304" i="58" s="1"/>
  <c r="N1525" i="72"/>
  <c r="P1525" i="72" s="1"/>
  <c r="S1525" i="72" s="1"/>
  <c r="T1525" i="72" s="1"/>
  <c r="N1503" i="72"/>
  <c r="P1503" i="72" s="1"/>
  <c r="S1503" i="72" s="1"/>
  <c r="T1503" i="72" s="1"/>
  <c r="N1491" i="72"/>
  <c r="P1491" i="72" s="1"/>
  <c r="S1491" i="72" s="1"/>
  <c r="T1491" i="72" s="1"/>
  <c r="N1469" i="72"/>
  <c r="P1469" i="72" s="1"/>
  <c r="S1469" i="72" s="1"/>
  <c r="T1469" i="72" s="1"/>
  <c r="J1519" i="58"/>
  <c r="N1519" i="58" s="1"/>
  <c r="N2065" i="72"/>
  <c r="P2065" i="72" s="1"/>
  <c r="N1905" i="72"/>
  <c r="P1905" i="72" s="1"/>
  <c r="J703" i="58"/>
  <c r="N703" i="58" s="1"/>
  <c r="N1350" i="72"/>
  <c r="P1350" i="72" s="1"/>
  <c r="N1409" i="72"/>
  <c r="P1409" i="72" s="1"/>
  <c r="S1409" i="72" s="1"/>
  <c r="T1409" i="72" s="1"/>
  <c r="J276" i="58"/>
  <c r="N276" i="58" s="1"/>
  <c r="N933" i="72"/>
  <c r="P933" i="72" s="1"/>
  <c r="N977" i="72"/>
  <c r="P977" i="72" s="1"/>
  <c r="J506" i="58"/>
  <c r="N506" i="58" s="1"/>
  <c r="N654" i="72"/>
  <c r="P654" i="72" s="1"/>
  <c r="N692" i="72"/>
  <c r="P692" i="72" s="1"/>
  <c r="N540" i="72"/>
  <c r="P540" i="72" s="1"/>
  <c r="N578" i="72"/>
  <c r="P578" i="72" s="1"/>
  <c r="N616" i="72"/>
  <c r="P616" i="72" s="1"/>
  <c r="J742" i="58"/>
  <c r="N742" i="58" s="1"/>
  <c r="N1419" i="72"/>
  <c r="P1419" i="72" s="1"/>
  <c r="N1360" i="72"/>
  <c r="P1360" i="72" s="1"/>
  <c r="J1205" i="58"/>
  <c r="N1205" i="58" s="1"/>
  <c r="N1742" i="72"/>
  <c r="P1742" i="72" s="1"/>
  <c r="N1753" i="72"/>
  <c r="P1753" i="72" s="1"/>
  <c r="N1606" i="72"/>
  <c r="P1606" i="72" s="1"/>
  <c r="J1321" i="58"/>
  <c r="N1321" i="58" s="1"/>
  <c r="N1511" i="72"/>
  <c r="P1511" i="72" s="1"/>
  <c r="N1477" i="72"/>
  <c r="P1477" i="72" s="1"/>
  <c r="J131" i="58"/>
  <c r="N131" i="58" s="1"/>
  <c r="N83" i="72"/>
  <c r="P83" i="72" s="1"/>
  <c r="J86" i="58"/>
  <c r="N86" i="58" s="1"/>
  <c r="N40" i="72"/>
  <c r="P40" i="72" s="1"/>
  <c r="J161" i="58"/>
  <c r="N161" i="58" s="1"/>
  <c r="N90" i="72"/>
  <c r="P90" i="72" s="1"/>
  <c r="J315" i="58"/>
  <c r="N315" i="58" s="1"/>
  <c r="N954" i="72"/>
  <c r="P954" i="72" s="1"/>
  <c r="N998" i="72"/>
  <c r="P998" i="72" s="1"/>
  <c r="J456" i="58"/>
  <c r="N456" i="58" s="1"/>
  <c r="N248" i="72"/>
  <c r="P248" i="72" s="1"/>
  <c r="J394" i="58"/>
  <c r="N394" i="58" s="1"/>
  <c r="N820" i="72"/>
  <c r="P820" i="72" s="1"/>
  <c r="N629" i="72"/>
  <c r="P629" i="72" s="1"/>
  <c r="N404" i="72"/>
  <c r="P404" i="72" s="1"/>
  <c r="N294" i="72"/>
  <c r="P294" i="72" s="1"/>
  <c r="N366" i="72"/>
  <c r="P366" i="72" s="1"/>
  <c r="N859" i="72"/>
  <c r="P859" i="72" s="1"/>
  <c r="N706" i="72"/>
  <c r="P706" i="72" s="1"/>
  <c r="N667" i="72"/>
  <c r="P667" i="72" s="1"/>
  <c r="N475" i="72"/>
  <c r="P475" i="72" s="1"/>
  <c r="N192" i="72"/>
  <c r="P192" i="72" s="1"/>
  <c r="N782" i="72"/>
  <c r="P782" i="72" s="1"/>
  <c r="N591" i="72"/>
  <c r="P591" i="72" s="1"/>
  <c r="N227" i="72"/>
  <c r="P227" i="72" s="1"/>
  <c r="N553" i="72"/>
  <c r="P553" i="72" s="1"/>
  <c r="N515" i="72"/>
  <c r="P515" i="72" s="1"/>
  <c r="N328" i="72"/>
  <c r="P328" i="72" s="1"/>
  <c r="N261" i="72"/>
  <c r="P261" i="72" s="1"/>
  <c r="N158" i="72"/>
  <c r="P158" i="72" s="1"/>
  <c r="N744" i="72"/>
  <c r="P744" i="72" s="1"/>
  <c r="J764" i="58"/>
  <c r="N764" i="58" s="1"/>
  <c r="N1383" i="72"/>
  <c r="P1383" i="72" s="1"/>
  <c r="N1442" i="72"/>
  <c r="P1442" i="72" s="1"/>
  <c r="J641" i="58"/>
  <c r="N641" i="58" s="1"/>
  <c r="N1264" i="72"/>
  <c r="P1264" i="72" s="1"/>
  <c r="N1222" i="72"/>
  <c r="P1222" i="72" s="1"/>
  <c r="J830" i="58"/>
  <c r="N830" i="58" s="1"/>
  <c r="N1166" i="72"/>
  <c r="P1166" i="72" s="1"/>
  <c r="N1093" i="72"/>
  <c r="P1093" i="72" s="1"/>
  <c r="J990" i="58"/>
  <c r="N990" i="58" s="1"/>
  <c r="N1318" i="72"/>
  <c r="P1318" i="72" s="1"/>
  <c r="J1129" i="58"/>
  <c r="N1129" i="58" s="1"/>
  <c r="N1698" i="72"/>
  <c r="P1698" i="72" s="1"/>
  <c r="N1711" i="72"/>
  <c r="P1711" i="72" s="1"/>
  <c r="N1562" i="72"/>
  <c r="P1562" i="72" s="1"/>
  <c r="N1575" i="72"/>
  <c r="P1575" i="72" s="1"/>
  <c r="J1010" i="58"/>
  <c r="N1010" i="58" s="1"/>
  <c r="N1765" i="72"/>
  <c r="P1765" i="72" s="1"/>
  <c r="N1618" i="72"/>
  <c r="P1618" i="72" s="1"/>
  <c r="J1709" i="58"/>
  <c r="N1709" i="58" s="1"/>
  <c r="N2153" i="72"/>
  <c r="P2153" i="72" s="1"/>
  <c r="N1081" i="72"/>
  <c r="P1081" i="72" s="1"/>
  <c r="S1372" i="58"/>
  <c r="U1372" i="58" s="1"/>
  <c r="T1372" i="58" s="1"/>
  <c r="J177" i="58"/>
  <c r="N177" i="58" s="1"/>
  <c r="N2162" i="72"/>
  <c r="P2162" i="72" s="1"/>
  <c r="N97" i="72"/>
  <c r="P97" i="72" s="1"/>
  <c r="J102" i="58"/>
  <c r="N102" i="58" s="1"/>
  <c r="N107" i="58" s="1"/>
  <c r="N73" i="72"/>
  <c r="P73" i="72" s="1"/>
  <c r="J195" i="58"/>
  <c r="N195" i="58" s="1"/>
  <c r="N118" i="72"/>
  <c r="P118" i="72" s="1"/>
  <c r="J333" i="58"/>
  <c r="N333" i="58" s="1"/>
  <c r="N1009" i="72"/>
  <c r="P1009" i="72" s="1"/>
  <c r="N965" i="72"/>
  <c r="P965" i="72" s="1"/>
  <c r="J413" i="58"/>
  <c r="N413" i="58" s="1"/>
  <c r="N830" i="72"/>
  <c r="P830" i="72" s="1"/>
  <c r="N639" i="72"/>
  <c r="P639" i="72" s="1"/>
  <c r="N414" i="72"/>
  <c r="P414" i="72" s="1"/>
  <c r="N314" i="72"/>
  <c r="P314" i="72" s="1"/>
  <c r="N304" i="72"/>
  <c r="P304" i="72" s="1"/>
  <c r="N792" i="72"/>
  <c r="P792" i="72" s="1"/>
  <c r="N754" i="72"/>
  <c r="P754" i="72" s="1"/>
  <c r="N601" i="72"/>
  <c r="P601" i="72" s="1"/>
  <c r="N869" i="72"/>
  <c r="P869" i="72" s="1"/>
  <c r="N716" i="72"/>
  <c r="P716" i="72" s="1"/>
  <c r="N677" i="72"/>
  <c r="P677" i="72" s="1"/>
  <c r="N525" i="72"/>
  <c r="P525" i="72" s="1"/>
  <c r="N485" i="72"/>
  <c r="P485" i="72" s="1"/>
  <c r="N237" i="72"/>
  <c r="P237" i="72" s="1"/>
  <c r="N168" i="72"/>
  <c r="P168" i="72" s="1"/>
  <c r="N563" i="72"/>
  <c r="P563" i="72" s="1"/>
  <c r="N338" i="72"/>
  <c r="P338" i="72" s="1"/>
  <c r="N281" i="72"/>
  <c r="P281" i="72" s="1"/>
  <c r="N271" i="72"/>
  <c r="P271" i="72" s="1"/>
  <c r="N202" i="72"/>
  <c r="P202" i="72" s="1"/>
  <c r="N376" i="72"/>
  <c r="P376" i="72" s="1"/>
  <c r="J530" i="58"/>
  <c r="N530" i="58" s="1"/>
  <c r="N769" i="72"/>
  <c r="P769" i="72" s="1"/>
  <c r="N845" i="72"/>
  <c r="P845" i="72" s="1"/>
  <c r="N807" i="72"/>
  <c r="P807" i="72" s="1"/>
  <c r="N500" i="72"/>
  <c r="P500" i="72" s="1"/>
  <c r="N731" i="72"/>
  <c r="P731" i="72" s="1"/>
  <c r="J603" i="58"/>
  <c r="N603" i="58" s="1"/>
  <c r="N1202" i="72"/>
  <c r="P1202" i="72" s="1"/>
  <c r="N1254" i="72"/>
  <c r="P1254" i="72" s="1"/>
  <c r="J720" i="58"/>
  <c r="N720" i="58" s="1"/>
  <c r="N1429" i="72"/>
  <c r="P1429" i="72" s="1"/>
  <c r="N1370" i="72"/>
  <c r="P1370" i="72" s="1"/>
  <c r="J850" i="58"/>
  <c r="N850" i="58" s="1"/>
  <c r="N857" i="58" s="1"/>
  <c r="N1071" i="72"/>
  <c r="P1071" i="72" s="1"/>
  <c r="J972" i="58"/>
  <c r="N972" i="58" s="1"/>
  <c r="N1309" i="72"/>
  <c r="P1309" i="72" s="1"/>
  <c r="J1148" i="58"/>
  <c r="N1148" i="58" s="1"/>
  <c r="N1585" i="72"/>
  <c r="P1585" i="72" s="1"/>
  <c r="N1721" i="72"/>
  <c r="P1721" i="72" s="1"/>
  <c r="J1052" i="58"/>
  <c r="N1052" i="58" s="1"/>
  <c r="N1778" i="72"/>
  <c r="P1778" i="72" s="1"/>
  <c r="N1631" i="72"/>
  <c r="P1631" i="72" s="1"/>
  <c r="J1281" i="58"/>
  <c r="N1281" i="58" s="1"/>
  <c r="N1452" i="72"/>
  <c r="P1452" i="72" s="1"/>
  <c r="N1393" i="72"/>
  <c r="P1393" i="72" s="1"/>
  <c r="J67" i="58"/>
  <c r="N67" i="58" s="1"/>
  <c r="N46" i="72"/>
  <c r="P46" i="72" s="1"/>
  <c r="J481" i="58"/>
  <c r="N481" i="58" s="1"/>
  <c r="N884" i="72"/>
  <c r="P884" i="72" s="1"/>
  <c r="N429" i="72"/>
  <c r="P429" i="72" s="1"/>
  <c r="N391" i="72"/>
  <c r="P391" i="72" s="1"/>
  <c r="N353" i="72"/>
  <c r="P353" i="72" s="1"/>
  <c r="J953" i="58"/>
  <c r="N953" i="58" s="1"/>
  <c r="N1299" i="72"/>
  <c r="P1299" i="72" s="1"/>
  <c r="J1070" i="58"/>
  <c r="N1070" i="58" s="1"/>
  <c r="N1787" i="72"/>
  <c r="P1787" i="72" s="1"/>
  <c r="N1640" i="72"/>
  <c r="P1640" i="72" s="1"/>
  <c r="N1808" i="72"/>
  <c r="P1808" i="72" s="1"/>
  <c r="J1109" i="58"/>
  <c r="N1109" i="58" s="1"/>
  <c r="N1688" i="72"/>
  <c r="P1688" i="72" s="1"/>
  <c r="N1552" i="72"/>
  <c r="P1552" i="72" s="1"/>
  <c r="J116" i="58"/>
  <c r="N116" i="58" s="1"/>
  <c r="N121" i="58" s="1"/>
  <c r="N78" i="72"/>
  <c r="P78" i="72" s="1"/>
  <c r="J235" i="58"/>
  <c r="N235" i="58" s="1"/>
  <c r="N107" i="72"/>
  <c r="P107" i="72" s="1"/>
  <c r="J256" i="58"/>
  <c r="N256" i="58" s="1"/>
  <c r="N129" i="72"/>
  <c r="P129" i="72" s="1"/>
  <c r="J435" i="58"/>
  <c r="N435" i="58" s="1"/>
  <c r="N179" i="72"/>
  <c r="P179" i="72" s="1"/>
  <c r="N213" i="72"/>
  <c r="P213" i="72" s="1"/>
  <c r="J373" i="58"/>
  <c r="N373" i="58" s="1"/>
  <c r="N1024" i="72"/>
  <c r="P1024" i="72" s="1"/>
  <c r="N1130" i="72"/>
  <c r="P1130" i="72" s="1"/>
  <c r="N145" i="72"/>
  <c r="P145" i="72" s="1"/>
  <c r="J700" i="58"/>
  <c r="N700" i="58" s="1"/>
  <c r="N1406" i="72"/>
  <c r="P1406" i="72" s="1"/>
  <c r="N1347" i="72"/>
  <c r="P1347" i="72" s="1"/>
  <c r="J680" i="58"/>
  <c r="N680" i="58" s="1"/>
  <c r="N1285" i="72"/>
  <c r="P1285" i="72" s="1"/>
  <c r="N1244" i="72"/>
  <c r="P1244" i="72" s="1"/>
  <c r="N1192" i="72"/>
  <c r="P1192" i="72" s="1"/>
  <c r="J808" i="58"/>
  <c r="N808" i="58" s="1"/>
  <c r="N1178" i="72"/>
  <c r="P1178" i="72" s="1"/>
  <c r="N1105" i="72"/>
  <c r="P1105" i="72" s="1"/>
  <c r="S1021" i="58"/>
  <c r="U1021" i="58" s="1"/>
  <c r="T1021" i="58" s="1"/>
  <c r="J1186" i="58"/>
  <c r="N1186" i="58" s="1"/>
  <c r="N1595" i="72"/>
  <c r="P1595" i="72" s="1"/>
  <c r="N1731" i="72"/>
  <c r="P1731" i="72" s="1"/>
  <c r="J1089" i="58"/>
  <c r="N1089" i="58" s="1"/>
  <c r="N1542" i="72"/>
  <c r="P1542" i="72" s="1"/>
  <c r="N1678" i="72"/>
  <c r="P1678" i="72" s="1"/>
  <c r="J1301" i="58"/>
  <c r="N1301" i="58" s="1"/>
  <c r="N1522" i="72"/>
  <c r="P1522" i="72" s="1"/>
  <c r="N1488" i="72"/>
  <c r="P1488" i="72" s="1"/>
  <c r="N1466" i="72"/>
  <c r="P1466" i="72" s="1"/>
  <c r="N1500" i="72"/>
  <c r="P1500" i="72" s="1"/>
  <c r="J39" i="58"/>
  <c r="N39" i="58" s="1"/>
  <c r="N41" i="58" s="1"/>
  <c r="N25" i="72"/>
  <c r="P25" i="72" s="1"/>
  <c r="N302" i="58"/>
  <c r="N222" i="58"/>
  <c r="N150" i="58"/>
  <c r="N1174" i="58"/>
  <c r="K971" i="58"/>
  <c r="N969" i="58"/>
  <c r="K952" i="58"/>
  <c r="K1320" i="58"/>
  <c r="K1034" i="58"/>
  <c r="K1037" i="58" s="1"/>
  <c r="K1038" i="58" s="1"/>
  <c r="K1039" i="58" s="1"/>
  <c r="P1021" i="58" s="1"/>
  <c r="K1171" i="58"/>
  <c r="K1389" i="58"/>
  <c r="L1389" i="58" s="1"/>
  <c r="Q1372" i="58" s="1"/>
  <c r="K299" i="58"/>
  <c r="K302" i="58" s="1"/>
  <c r="K303" i="58" s="1"/>
  <c r="K304" i="58" s="1"/>
  <c r="P287" i="58" s="1"/>
  <c r="K1009" i="58"/>
  <c r="K1166" i="58"/>
  <c r="K147" i="58"/>
  <c r="K150" i="58" s="1"/>
  <c r="K151" i="58" s="1"/>
  <c r="K152" i="58" s="1"/>
  <c r="P140" i="58" s="1"/>
  <c r="K219" i="58"/>
  <c r="K222" i="58" s="1"/>
  <c r="K223" i="58" s="1"/>
  <c r="K224" i="58" s="1"/>
  <c r="P206" i="58" s="1"/>
  <c r="F59" i="53"/>
  <c r="L59" i="53" s="1"/>
  <c r="L58" i="53"/>
  <c r="F58" i="53"/>
  <c r="F45" i="53"/>
  <c r="D45" i="53"/>
  <c r="L45" i="53" s="1"/>
  <c r="F44" i="53"/>
  <c r="D44" i="53"/>
  <c r="F43" i="53"/>
  <c r="D43" i="53"/>
  <c r="L43" i="53" s="1"/>
  <c r="F42" i="53"/>
  <c r="D42" i="53"/>
  <c r="L42" i="53" s="1"/>
  <c r="F41" i="53"/>
  <c r="D41" i="53"/>
  <c r="L41" i="53" s="1"/>
  <c r="F40" i="53"/>
  <c r="D40" i="53"/>
  <c r="L40" i="53" s="1"/>
  <c r="D39" i="53"/>
  <c r="L39" i="53" s="1"/>
  <c r="D38" i="53"/>
  <c r="L38" i="53" s="1"/>
  <c r="F37" i="53"/>
  <c r="D37" i="53"/>
  <c r="L37" i="53" s="1"/>
  <c r="F36" i="53"/>
  <c r="D36" i="53"/>
  <c r="L36" i="53" s="1"/>
  <c r="F35" i="53"/>
  <c r="D35" i="53"/>
  <c r="L35" i="53" s="1"/>
  <c r="F34" i="53"/>
  <c r="D34" i="53"/>
  <c r="L34" i="53" s="1"/>
  <c r="F33" i="53"/>
  <c r="D33" i="53"/>
  <c r="L33" i="53" s="1"/>
  <c r="F30" i="53"/>
  <c r="D30" i="53"/>
  <c r="L30" i="53" s="1"/>
  <c r="F29" i="53"/>
  <c r="L29" i="53" s="1"/>
  <c r="D26" i="53"/>
  <c r="D25" i="53"/>
  <c r="L25" i="53" s="1"/>
  <c r="D24" i="53"/>
  <c r="F26" i="53" s="1"/>
  <c r="D23" i="53"/>
  <c r="D22" i="53"/>
  <c r="D21" i="53"/>
  <c r="F23" i="53" s="1"/>
  <c r="D20" i="53"/>
  <c r="F22" i="53" s="1"/>
  <c r="F19" i="53"/>
  <c r="D19" i="53"/>
  <c r="L19" i="53" s="1"/>
  <c r="D18" i="53"/>
  <c r="L18" i="53" s="1"/>
  <c r="F15" i="53"/>
  <c r="D15" i="53"/>
  <c r="L15" i="53" s="1"/>
  <c r="D14" i="53"/>
  <c r="L14" i="53" s="1"/>
  <c r="F11" i="53"/>
  <c r="D11" i="53"/>
  <c r="L11" i="53" s="1"/>
  <c r="D10" i="53"/>
  <c r="L10" i="53" s="1"/>
  <c r="F7" i="53"/>
  <c r="L7" i="53" s="1"/>
  <c r="L6" i="53"/>
  <c r="D5" i="53"/>
  <c r="L5" i="53" s="1"/>
  <c r="F4" i="53"/>
  <c r="L4" i="53" s="1"/>
  <c r="L8" i="53" s="1"/>
  <c r="L49" i="53" s="1"/>
  <c r="B31" i="11" l="1"/>
  <c r="B32" i="11" s="1"/>
  <c r="B33" i="11" s="1"/>
  <c r="B34" i="11" s="1"/>
  <c r="B35" i="11" s="1"/>
  <c r="B36" i="11" s="1"/>
  <c r="B37" i="11" s="1"/>
  <c r="B38" i="11" s="1"/>
  <c r="N1499" i="58"/>
  <c r="N1506" i="58" s="1"/>
  <c r="S1493" i="58" s="1"/>
  <c r="U1493" i="58" s="1"/>
  <c r="T1493" i="58" s="1"/>
  <c r="K1300" i="58"/>
  <c r="K505" i="58"/>
  <c r="K372" i="58"/>
  <c r="N988" i="58"/>
  <c r="N997" i="58" s="1"/>
  <c r="S983" i="58" s="1"/>
  <c r="U983" i="58" s="1"/>
  <c r="T983" i="58" s="1"/>
  <c r="N1328" i="58"/>
  <c r="K1128" i="58"/>
  <c r="K1534" i="58"/>
  <c r="K163" i="58"/>
  <c r="K166" i="58" s="1"/>
  <c r="K167" i="58" s="1"/>
  <c r="K168" i="58" s="1"/>
  <c r="P154" i="58" s="1"/>
  <c r="K1537" i="58"/>
  <c r="N1516" i="58"/>
  <c r="N1523" i="58" s="1"/>
  <c r="S1510" i="58" s="1"/>
  <c r="U1510" i="58" s="1"/>
  <c r="T1510" i="58" s="1"/>
  <c r="N527" i="58"/>
  <c r="N537" i="58" s="1"/>
  <c r="K1204" i="58"/>
  <c r="K834" i="58"/>
  <c r="K837" i="58" s="1"/>
  <c r="K838" i="58" s="1"/>
  <c r="K839" i="58" s="1"/>
  <c r="P819" i="58" s="1"/>
  <c r="K104" i="58"/>
  <c r="K107" i="58" s="1"/>
  <c r="K108" i="58" s="1"/>
  <c r="K109" i="58" s="1"/>
  <c r="P97" i="58" s="1"/>
  <c r="G24" i="59" s="1"/>
  <c r="K1503" i="58"/>
  <c r="K1506" i="58" s="1"/>
  <c r="K1507" i="58" s="1"/>
  <c r="K1508" i="58" s="1"/>
  <c r="P1493" i="58" s="1"/>
  <c r="K976" i="58"/>
  <c r="K979" i="58" s="1"/>
  <c r="K980" i="58" s="1"/>
  <c r="K981" i="58" s="1"/>
  <c r="P964" i="58" s="1"/>
  <c r="N166" i="58"/>
  <c r="S154" i="58" s="1"/>
  <c r="U154" i="58" s="1"/>
  <c r="T154" i="58" s="1"/>
  <c r="N815" i="58"/>
  <c r="S797" i="58" s="1"/>
  <c r="U797" i="58" s="1"/>
  <c r="T797" i="58" s="1"/>
  <c r="N72" i="58"/>
  <c r="S62" i="58" s="1"/>
  <c r="K118" i="58"/>
  <c r="K121" i="58" s="1"/>
  <c r="K122" i="58" s="1"/>
  <c r="K123" i="58" s="1"/>
  <c r="P111" i="58" s="1"/>
  <c r="G25" i="59" s="1"/>
  <c r="N392" i="58"/>
  <c r="N401" i="58" s="1"/>
  <c r="N1155" i="58"/>
  <c r="S1140" i="58" s="1"/>
  <c r="U1140" i="58" s="1"/>
  <c r="T1140" i="58" s="1"/>
  <c r="N182" i="58"/>
  <c r="S170" i="58" s="1"/>
  <c r="U170" i="58" s="1"/>
  <c r="T170" i="58" s="1"/>
  <c r="N1136" i="58"/>
  <c r="S1120" i="58" s="1"/>
  <c r="U1120" i="58" s="1"/>
  <c r="T1120" i="58" s="1"/>
  <c r="N1440" i="72"/>
  <c r="P1440" i="72" s="1"/>
  <c r="S1440" i="72" s="1"/>
  <c r="T1440" i="72" s="1"/>
  <c r="K1108" i="58"/>
  <c r="N478" i="58"/>
  <c r="N488" i="58" s="1"/>
  <c r="K1147" i="58"/>
  <c r="K1088" i="58"/>
  <c r="N1540" i="58"/>
  <c r="S1527" i="58" s="1"/>
  <c r="U1527" i="58" s="1"/>
  <c r="T1527" i="58" s="1"/>
  <c r="K679" i="58"/>
  <c r="K377" i="58"/>
  <c r="N979" i="58"/>
  <c r="S964" i="58" s="1"/>
  <c r="U964" i="58" s="1"/>
  <c r="T964" i="58" s="1"/>
  <c r="N340" i="58"/>
  <c r="S326" i="58" s="1"/>
  <c r="U326" i="58" s="1"/>
  <c r="T326" i="58" s="1"/>
  <c r="N837" i="58"/>
  <c r="S819" i="58" s="1"/>
  <c r="U819" i="58" s="1"/>
  <c r="T819" i="58" s="1"/>
  <c r="K1051" i="58"/>
  <c r="N202" i="58"/>
  <c r="S186" i="58" s="1"/>
  <c r="U186" i="58" s="1"/>
  <c r="T186" i="58" s="1"/>
  <c r="N136" i="58"/>
  <c r="S126" i="58" s="1"/>
  <c r="U126" i="58" s="1"/>
  <c r="T126" i="58" s="1"/>
  <c r="N92" i="58"/>
  <c r="S76" i="58" s="1"/>
  <c r="N1116" i="58"/>
  <c r="S1100" i="58" s="1"/>
  <c r="U1100" i="58" s="1"/>
  <c r="T1100" i="58" s="1"/>
  <c r="N283" i="58"/>
  <c r="S267" i="58" s="1"/>
  <c r="U267" i="58" s="1"/>
  <c r="T267" i="58" s="1"/>
  <c r="N1096" i="58"/>
  <c r="S1081" i="58" s="1"/>
  <c r="U1081" i="58" s="1"/>
  <c r="T1081" i="58" s="1"/>
  <c r="N242" i="58"/>
  <c r="S226" i="58" s="1"/>
  <c r="U226" i="58" s="1"/>
  <c r="T226" i="58" s="1"/>
  <c r="K133" i="58"/>
  <c r="K136" i="58" s="1"/>
  <c r="K137" i="58" s="1"/>
  <c r="K138" i="58" s="1"/>
  <c r="P126" i="58" s="1"/>
  <c r="K89" i="58"/>
  <c r="K92" i="58" s="1"/>
  <c r="K93" i="58" s="1"/>
  <c r="K94" i="58" s="1"/>
  <c r="P76" i="58" s="1"/>
  <c r="G23" i="59" s="1"/>
  <c r="K812" i="58"/>
  <c r="K815" i="58" s="1"/>
  <c r="K816" i="58" s="1"/>
  <c r="K817" i="58" s="1"/>
  <c r="P797" i="58" s="1"/>
  <c r="K1190" i="58"/>
  <c r="K40" i="58"/>
  <c r="K41" i="58" s="1"/>
  <c r="K42" i="58" s="1"/>
  <c r="K43" i="58" s="1"/>
  <c r="P28" i="58" s="1"/>
  <c r="G20" i="59" s="1"/>
  <c r="J762" i="58"/>
  <c r="N762" i="58" s="1"/>
  <c r="N771" i="58" s="1"/>
  <c r="S753" i="58" s="1"/>
  <c r="U753" i="58" s="1"/>
  <c r="T753" i="58" s="1"/>
  <c r="N1308" i="58"/>
  <c r="S1292" i="58" s="1"/>
  <c r="U1292" i="58" s="1"/>
  <c r="T1292" i="58" s="1"/>
  <c r="N610" i="58"/>
  <c r="S595" i="58" s="1"/>
  <c r="U595" i="58" s="1"/>
  <c r="T595" i="58" s="1"/>
  <c r="N1059" i="58"/>
  <c r="S1041" i="58" s="1"/>
  <c r="U1041" i="58" s="1"/>
  <c r="T1041" i="58" s="1"/>
  <c r="N1358" i="72"/>
  <c r="P1358" i="72" s="1"/>
  <c r="S1358" i="72" s="1"/>
  <c r="T1358" i="72" s="1"/>
  <c r="K1520" i="58"/>
  <c r="K1523" i="58" s="1"/>
  <c r="K1524" i="58" s="1"/>
  <c r="K1525" i="58" s="1"/>
  <c r="P1510" i="58" s="1"/>
  <c r="K607" i="58"/>
  <c r="K610" i="58" s="1"/>
  <c r="K611" i="58" s="1"/>
  <c r="K612" i="58" s="1"/>
  <c r="P595" i="58" s="1"/>
  <c r="K1325" i="58"/>
  <c r="K1328" i="58" s="1"/>
  <c r="K1329" i="58" s="1"/>
  <c r="K1330" i="58" s="1"/>
  <c r="P1312" i="58" s="1"/>
  <c r="K704" i="58"/>
  <c r="K707" i="58" s="1"/>
  <c r="K708" i="58" s="1"/>
  <c r="K709" i="58" s="1"/>
  <c r="P691" i="58" s="1"/>
  <c r="N380" i="58"/>
  <c r="S363" i="58" s="1"/>
  <c r="U363" i="58" s="1"/>
  <c r="T363" i="58" s="1"/>
  <c r="S1520" i="72"/>
  <c r="T1520" i="72" s="1"/>
  <c r="S1910" i="72"/>
  <c r="T1910" i="72" s="1"/>
  <c r="K199" i="58"/>
  <c r="K202" i="58" s="1"/>
  <c r="K724" i="58"/>
  <c r="K319" i="58"/>
  <c r="K322" i="58" s="1"/>
  <c r="K323" i="58" s="1"/>
  <c r="K324" i="58" s="1"/>
  <c r="P306" i="58" s="1"/>
  <c r="K1305" i="58"/>
  <c r="K1308" i="58" s="1"/>
  <c r="K1309" i="58" s="1"/>
  <c r="K1310" i="58" s="1"/>
  <c r="P1292" i="58" s="1"/>
  <c r="K1133" i="58"/>
  <c r="K768" i="58"/>
  <c r="N960" i="58"/>
  <c r="N442" i="58"/>
  <c r="S425" i="58" s="1"/>
  <c r="U425" i="58" s="1"/>
  <c r="T425" i="58" s="1"/>
  <c r="N1288" i="58"/>
  <c r="S1273" i="58" s="1"/>
  <c r="U1273" i="58" s="1"/>
  <c r="T1273" i="58" s="1"/>
  <c r="N1716" i="58"/>
  <c r="S1701" i="58" s="1"/>
  <c r="U1701" i="58" s="1"/>
  <c r="T1701" i="58" s="1"/>
  <c r="N1077" i="58"/>
  <c r="S1063" i="58" s="1"/>
  <c r="U1063" i="58" s="1"/>
  <c r="T1063" i="58" s="1"/>
  <c r="N463" i="58"/>
  <c r="S446" i="58" s="1"/>
  <c r="U446" i="58" s="1"/>
  <c r="T446" i="58" s="1"/>
  <c r="N1212" i="58"/>
  <c r="S1197" i="58" s="1"/>
  <c r="U1197" i="58" s="1"/>
  <c r="T1197" i="58" s="1"/>
  <c r="N1417" i="72"/>
  <c r="P1417" i="72" s="1"/>
  <c r="S1417" i="72" s="1"/>
  <c r="T1417" i="72" s="1"/>
  <c r="S1894" i="72"/>
  <c r="T1894" i="72" s="1"/>
  <c r="S1296" i="72"/>
  <c r="T1296" i="72" s="1"/>
  <c r="K69" i="58"/>
  <c r="K72" i="58" s="1"/>
  <c r="K73" i="58" s="1"/>
  <c r="K74" i="58" s="1"/>
  <c r="P62" i="58" s="1"/>
  <c r="G22" i="59" s="1"/>
  <c r="K179" i="58"/>
  <c r="K182" i="58" s="1"/>
  <c r="K183" i="58" s="1"/>
  <c r="K184" i="58" s="1"/>
  <c r="P170" i="58" s="1"/>
  <c r="K746" i="58"/>
  <c r="K749" i="58" s="1"/>
  <c r="K750" i="58" s="1"/>
  <c r="K751" i="58" s="1"/>
  <c r="P731" i="58" s="1"/>
  <c r="K1113" i="58"/>
  <c r="K684" i="58"/>
  <c r="K957" i="58"/>
  <c r="K960" i="58" s="1"/>
  <c r="K961" i="58" s="1"/>
  <c r="K962" i="58" s="1"/>
  <c r="P945" i="58" s="1"/>
  <c r="K239" i="58"/>
  <c r="K242" i="58" s="1"/>
  <c r="K243" i="58" s="1"/>
  <c r="K244" i="58" s="1"/>
  <c r="P226" i="58" s="1"/>
  <c r="K439" i="58"/>
  <c r="K442" i="58" s="1"/>
  <c r="K443" i="58" s="1"/>
  <c r="K444" i="58" s="1"/>
  <c r="P425" i="58" s="1"/>
  <c r="K994" i="58"/>
  <c r="K997" i="58" s="1"/>
  <c r="K998" i="58" s="1"/>
  <c r="K999" i="58" s="1"/>
  <c r="P983" i="58" s="1"/>
  <c r="K280" i="58"/>
  <c r="K283" i="58" s="1"/>
  <c r="K284" i="58" s="1"/>
  <c r="K285" i="58" s="1"/>
  <c r="P267" i="58" s="1"/>
  <c r="N707" i="58"/>
  <c r="S691" i="58" s="1"/>
  <c r="U691" i="58" s="1"/>
  <c r="T691" i="58" s="1"/>
  <c r="S651" i="72"/>
  <c r="T651" i="72" s="1"/>
  <c r="K1093" i="58"/>
  <c r="N687" i="58"/>
  <c r="S671" i="58" s="1"/>
  <c r="U671" i="58" s="1"/>
  <c r="T671" i="58" s="1"/>
  <c r="K1056" i="58"/>
  <c r="S180" i="72"/>
  <c r="T180" i="72" s="1"/>
  <c r="S1316" i="72"/>
  <c r="T1316" i="72" s="1"/>
  <c r="K645" i="58"/>
  <c r="K648" i="58" s="1"/>
  <c r="K649" i="58" s="1"/>
  <c r="K650" i="58" s="1"/>
  <c r="P633" i="58" s="1"/>
  <c r="K1285" i="58"/>
  <c r="K1288" i="58" s="1"/>
  <c r="K1289" i="58" s="1"/>
  <c r="K1290" i="58" s="1"/>
  <c r="P1273" i="58" s="1"/>
  <c r="K260" i="58"/>
  <c r="K263" i="58" s="1"/>
  <c r="K264" i="58" s="1"/>
  <c r="K265" i="58" s="1"/>
  <c r="P246" i="58" s="1"/>
  <c r="N740" i="58"/>
  <c r="N749" i="58" s="1"/>
  <c r="S1022" i="72"/>
  <c r="T1022" i="72" s="1"/>
  <c r="N718" i="58"/>
  <c r="N727" i="58" s="1"/>
  <c r="S711" i="58" s="1"/>
  <c r="U711" i="58" s="1"/>
  <c r="T711" i="58" s="1"/>
  <c r="K719" i="58"/>
  <c r="S1287" i="72"/>
  <c r="T1287" i="72" s="1"/>
  <c r="S1468" i="72"/>
  <c r="T1468" i="72" s="1"/>
  <c r="S340" i="72"/>
  <c r="T340" i="72" s="1"/>
  <c r="S355" i="72"/>
  <c r="T355" i="72" s="1"/>
  <c r="S656" i="72"/>
  <c r="T656" i="72" s="1"/>
  <c r="K1209" i="58"/>
  <c r="K1713" i="58"/>
  <c r="K1716" i="58" s="1"/>
  <c r="K1717" i="58" s="1"/>
  <c r="K1718" i="58" s="1"/>
  <c r="P1701" i="58" s="1"/>
  <c r="N1193" i="58"/>
  <c r="S1178" i="58" s="1"/>
  <c r="U1178" i="58" s="1"/>
  <c r="T1178" i="58" s="1"/>
  <c r="N263" i="58"/>
  <c r="S246" i="58" s="1"/>
  <c r="U246" i="58" s="1"/>
  <c r="T246" i="58" s="1"/>
  <c r="N1017" i="58"/>
  <c r="S1001" i="58" s="1"/>
  <c r="U1001" i="58" s="1"/>
  <c r="T1001" i="58" s="1"/>
  <c r="S1680" i="72"/>
  <c r="T1680" i="72" s="1"/>
  <c r="S1780" i="72"/>
  <c r="T1780" i="72" s="1"/>
  <c r="S1524" i="72"/>
  <c r="T1524" i="72" s="1"/>
  <c r="S631" i="72"/>
  <c r="T631" i="72" s="1"/>
  <c r="S780" i="72"/>
  <c r="T780" i="72" s="1"/>
  <c r="S473" i="72"/>
  <c r="T473" i="72" s="1"/>
  <c r="S368" i="72"/>
  <c r="T368" i="72" s="1"/>
  <c r="K1185" i="58"/>
  <c r="K460" i="58"/>
  <c r="K463" i="58" s="1"/>
  <c r="K464" i="58" s="1"/>
  <c r="K465" i="58" s="1"/>
  <c r="P446" i="58" s="1"/>
  <c r="K510" i="58"/>
  <c r="N513" i="58"/>
  <c r="S492" i="58" s="1"/>
  <c r="U492" i="58" s="1"/>
  <c r="T492" i="58" s="1"/>
  <c r="K417" i="58"/>
  <c r="K420" i="58" s="1"/>
  <c r="K421" i="58" s="1"/>
  <c r="K422" i="58" s="1"/>
  <c r="I423" i="58" s="1"/>
  <c r="K423" i="58" s="1"/>
  <c r="P405" i="58" s="1"/>
  <c r="K337" i="58"/>
  <c r="K340" i="58" s="1"/>
  <c r="K341" i="58" s="1"/>
  <c r="K342" i="58" s="1"/>
  <c r="P326" i="58" s="1"/>
  <c r="K1074" i="58"/>
  <c r="K1077" i="58" s="1"/>
  <c r="K1078" i="58" s="1"/>
  <c r="K1079" i="58" s="1"/>
  <c r="P1063" i="58" s="1"/>
  <c r="N648" i="58"/>
  <c r="S633" i="58" s="1"/>
  <c r="U633" i="58" s="1"/>
  <c r="T633" i="58" s="1"/>
  <c r="N322" i="58"/>
  <c r="S306" i="58" s="1"/>
  <c r="U306" i="58" s="1"/>
  <c r="T306" i="58" s="1"/>
  <c r="S1246" i="72"/>
  <c r="T1246" i="72" s="1"/>
  <c r="S1349" i="72"/>
  <c r="T1349" i="72" s="1"/>
  <c r="S784" i="72"/>
  <c r="T784" i="72" s="1"/>
  <c r="S627" i="72"/>
  <c r="T627" i="72" s="1"/>
  <c r="S1896" i="72"/>
  <c r="T1896" i="72" s="1"/>
  <c r="S966" i="72"/>
  <c r="T966" i="72" s="1"/>
  <c r="S516" i="72"/>
  <c r="T516" i="72" s="1"/>
  <c r="S1788" i="72"/>
  <c r="T1788" i="72" s="1"/>
  <c r="S1361" i="72"/>
  <c r="T1361" i="72" s="1"/>
  <c r="S1193" i="72"/>
  <c r="T1193" i="72" s="1"/>
  <c r="S1563" i="72"/>
  <c r="T1563" i="72" s="1"/>
  <c r="S377" i="72"/>
  <c r="T377" i="72" s="1"/>
  <c r="S1619" i="72"/>
  <c r="T1619" i="72" s="1"/>
  <c r="S159" i="72"/>
  <c r="T159" i="72" s="1"/>
  <c r="S1072" i="72"/>
  <c r="T1072" i="72" s="1"/>
  <c r="S169" i="72"/>
  <c r="T169" i="72" s="1"/>
  <c r="P2066" i="72"/>
  <c r="X2059" i="72" s="1"/>
  <c r="S2065" i="72"/>
  <c r="S1681" i="72"/>
  <c r="T1681" i="72" s="1"/>
  <c r="S1363" i="72"/>
  <c r="T1363" i="72" s="1"/>
  <c r="S79" i="72"/>
  <c r="T79" i="72" s="1"/>
  <c r="S1247" i="72"/>
  <c r="T1247" i="72" s="1"/>
  <c r="S1257" i="72"/>
  <c r="T1257" i="72" s="1"/>
  <c r="S757" i="72"/>
  <c r="T757" i="72" s="1"/>
  <c r="S1790" i="72"/>
  <c r="T1790" i="72" s="1"/>
  <c r="S42" i="72"/>
  <c r="T42" i="72" s="1"/>
  <c r="S1225" i="72"/>
  <c r="T1225" i="72" s="1"/>
  <c r="S1350" i="72"/>
  <c r="T1350" i="72" s="1"/>
  <c r="S2057" i="72"/>
  <c r="P2058" i="72"/>
  <c r="X2051" i="72" s="1"/>
  <c r="S1578" i="72"/>
  <c r="T1578" i="72" s="1"/>
  <c r="S284" i="72"/>
  <c r="T284" i="72" s="1"/>
  <c r="S161" i="72"/>
  <c r="T161" i="72" s="1"/>
  <c r="S264" i="72"/>
  <c r="T264" i="72" s="1"/>
  <c r="S1913" i="72"/>
  <c r="P1914" i="72"/>
  <c r="X1907" i="72" s="1"/>
  <c r="S1897" i="72"/>
  <c r="P1898" i="72"/>
  <c r="X1891" i="72" s="1"/>
  <c r="S195" i="72"/>
  <c r="T195" i="72" s="1"/>
  <c r="S980" i="72"/>
  <c r="T980" i="72" s="1"/>
  <c r="S1781" i="72"/>
  <c r="T1781" i="72" s="1"/>
  <c r="S251" i="72"/>
  <c r="T251" i="72" s="1"/>
  <c r="S1905" i="72"/>
  <c r="P1906" i="72"/>
  <c r="X1899" i="72" s="1"/>
  <c r="S182" i="72"/>
  <c r="T182" i="72" s="1"/>
  <c r="S2073" i="72"/>
  <c r="P2074" i="72"/>
  <c r="X2067" i="72" s="1"/>
  <c r="S1634" i="72"/>
  <c r="T1634" i="72" s="1"/>
  <c r="S1159" i="58"/>
  <c r="U1159" i="58" s="1"/>
  <c r="T1159" i="58" s="1"/>
  <c r="S1466" i="72"/>
  <c r="T1466" i="72" s="1"/>
  <c r="P1470" i="72"/>
  <c r="X1460" i="72" s="1"/>
  <c r="S1105" i="72"/>
  <c r="P1109" i="72"/>
  <c r="X1098" i="72" s="1"/>
  <c r="S1406" i="72"/>
  <c r="P1410" i="72"/>
  <c r="X1400" i="72" s="1"/>
  <c r="S1024" i="72"/>
  <c r="P1028" i="72"/>
  <c r="X1017" i="72" s="1"/>
  <c r="S1688" i="72"/>
  <c r="P1692" i="72"/>
  <c r="X1683" i="72" s="1"/>
  <c r="S500" i="72"/>
  <c r="P504" i="72"/>
  <c r="X490" i="72" s="1"/>
  <c r="P241" i="72"/>
  <c r="X232" i="72" s="1"/>
  <c r="S237" i="72"/>
  <c r="S639" i="72"/>
  <c r="P643" i="72"/>
  <c r="X634" i="72" s="1"/>
  <c r="S1698" i="72"/>
  <c r="P1702" i="72"/>
  <c r="X1693" i="72" s="1"/>
  <c r="S667" i="72"/>
  <c r="P671" i="72"/>
  <c r="X660" i="72" s="1"/>
  <c r="S954" i="72"/>
  <c r="P958" i="72"/>
  <c r="X949" i="72" s="1"/>
  <c r="S1477" i="72"/>
  <c r="P1481" i="72"/>
  <c r="X1471" i="72" s="1"/>
  <c r="S540" i="72"/>
  <c r="P544" i="72"/>
  <c r="X530" i="72" s="1"/>
  <c r="K1014" i="58"/>
  <c r="K1017" i="58" s="1"/>
  <c r="K1018" i="58" s="1"/>
  <c r="K1019" i="58" s="1"/>
  <c r="P1001" i="58" s="1"/>
  <c r="K534" i="58"/>
  <c r="K537" i="58" s="1"/>
  <c r="K538" i="58" s="1"/>
  <c r="K539" i="58" s="1"/>
  <c r="P517" i="58" s="1"/>
  <c r="K854" i="58"/>
  <c r="K857" i="58" s="1"/>
  <c r="K858" i="58" s="1"/>
  <c r="K859" i="58" s="1"/>
  <c r="P841" i="58" s="1"/>
  <c r="S97" i="58"/>
  <c r="S1312" i="58"/>
  <c r="U1312" i="58" s="1"/>
  <c r="T1312" i="58" s="1"/>
  <c r="S1500" i="72"/>
  <c r="P1504" i="72"/>
  <c r="X1494" i="72" s="1"/>
  <c r="S1731" i="72"/>
  <c r="P1735" i="72"/>
  <c r="X1726" i="72" s="1"/>
  <c r="S1192" i="72"/>
  <c r="T1192" i="72" s="1"/>
  <c r="P1196" i="72"/>
  <c r="X1186" i="72" s="1"/>
  <c r="S1347" i="72"/>
  <c r="P1351" i="72"/>
  <c r="X1341" i="72" s="1"/>
  <c r="S1130" i="72"/>
  <c r="P1134" i="72"/>
  <c r="X1123" i="72" s="1"/>
  <c r="S179" i="72"/>
  <c r="P183" i="72"/>
  <c r="X172" i="72" s="1"/>
  <c r="S107" i="72"/>
  <c r="P111" i="72"/>
  <c r="X102" i="72" s="1"/>
  <c r="P1556" i="72"/>
  <c r="X1547" i="72" s="1"/>
  <c r="S1552" i="72"/>
  <c r="S1640" i="72"/>
  <c r="P1644" i="72"/>
  <c r="X1636" i="72" s="1"/>
  <c r="S884" i="72"/>
  <c r="P888" i="72"/>
  <c r="X874" i="72" s="1"/>
  <c r="S1631" i="72"/>
  <c r="P1635" i="72"/>
  <c r="X1623" i="72" s="1"/>
  <c r="S1585" i="72"/>
  <c r="P1589" i="72"/>
  <c r="X1580" i="72" s="1"/>
  <c r="S1071" i="72"/>
  <c r="P1075" i="72"/>
  <c r="X1065" i="72" s="1"/>
  <c r="S731" i="72"/>
  <c r="P735" i="72"/>
  <c r="X721" i="72" s="1"/>
  <c r="S769" i="72"/>
  <c r="S773" i="72" s="1"/>
  <c r="Y759" i="72" s="1"/>
  <c r="P773" i="72"/>
  <c r="X759" i="72" s="1"/>
  <c r="S271" i="72"/>
  <c r="P275" i="72"/>
  <c r="X266" i="72" s="1"/>
  <c r="S168" i="72"/>
  <c r="P172" i="72"/>
  <c r="X163" i="72" s="1"/>
  <c r="S677" i="72"/>
  <c r="S681" i="72" s="1"/>
  <c r="Y672" i="72" s="1"/>
  <c r="P681" i="72"/>
  <c r="X672" i="72" s="1"/>
  <c r="S754" i="72"/>
  <c r="P758" i="72"/>
  <c r="X749" i="72" s="1"/>
  <c r="S414" i="72"/>
  <c r="P418" i="72"/>
  <c r="X409" i="72" s="1"/>
  <c r="S965" i="72"/>
  <c r="P969" i="72"/>
  <c r="X961" i="72" s="1"/>
  <c r="P2164" i="72"/>
  <c r="X2158" i="72" s="1"/>
  <c r="S2162" i="72"/>
  <c r="P1085" i="72"/>
  <c r="X1076" i="72" s="1"/>
  <c r="S1081" i="72"/>
  <c r="S1765" i="72"/>
  <c r="P1769" i="72"/>
  <c r="X1759" i="72" s="1"/>
  <c r="S1711" i="72"/>
  <c r="T1711" i="72" s="1"/>
  <c r="T1715" i="72" s="1"/>
  <c r="P1715" i="72"/>
  <c r="X1706" i="72" s="1"/>
  <c r="S1222" i="72"/>
  <c r="P1226" i="72"/>
  <c r="X1217" i="72" s="1"/>
  <c r="S1383" i="72"/>
  <c r="P1387" i="72"/>
  <c r="X1375" i="72" s="1"/>
  <c r="S261" i="72"/>
  <c r="P265" i="72"/>
  <c r="X254" i="72" s="1"/>
  <c r="S227" i="72"/>
  <c r="P231" i="72"/>
  <c r="X220" i="72" s="1"/>
  <c r="S475" i="72"/>
  <c r="P479" i="72"/>
  <c r="X468" i="72" s="1"/>
  <c r="S366" i="72"/>
  <c r="P370" i="72"/>
  <c r="X359" i="72" s="1"/>
  <c r="S820" i="72"/>
  <c r="P824" i="72"/>
  <c r="X813" i="72" s="1"/>
  <c r="S998" i="72"/>
  <c r="P1002" i="72"/>
  <c r="X993" i="72" s="1"/>
  <c r="S1606" i="72"/>
  <c r="P1610" i="72"/>
  <c r="X1601" i="72" s="1"/>
  <c r="S1360" i="72"/>
  <c r="S578" i="72"/>
  <c r="P582" i="72"/>
  <c r="X568" i="72" s="1"/>
  <c r="S1595" i="72"/>
  <c r="P1599" i="72"/>
  <c r="X1590" i="72" s="1"/>
  <c r="S353" i="72"/>
  <c r="P357" i="72"/>
  <c r="X343" i="72" s="1"/>
  <c r="S841" i="58"/>
  <c r="U841" i="58" s="1"/>
  <c r="T841" i="58" s="1"/>
  <c r="S716" i="72"/>
  <c r="P720" i="72"/>
  <c r="X711" i="72" s="1"/>
  <c r="S73" i="72"/>
  <c r="S75" i="72" s="1"/>
  <c r="Y71" i="72" s="1"/>
  <c r="P75" i="72"/>
  <c r="X71" i="72" s="1"/>
  <c r="S2153" i="72"/>
  <c r="S2157" i="72" s="1"/>
  <c r="Y2148" i="72" s="1"/>
  <c r="P2157" i="72"/>
  <c r="X2148" i="72" s="1"/>
  <c r="S1264" i="72"/>
  <c r="P1268" i="72"/>
  <c r="X1259" i="72" s="1"/>
  <c r="S591" i="72"/>
  <c r="P595" i="72"/>
  <c r="X584" i="72" s="1"/>
  <c r="S294" i="72"/>
  <c r="S298" i="72" s="1"/>
  <c r="Y287" i="72" s="1"/>
  <c r="P298" i="72"/>
  <c r="X287" i="72" s="1"/>
  <c r="S40" i="72"/>
  <c r="P43" i="72"/>
  <c r="X33" i="72" s="1"/>
  <c r="S1419" i="72"/>
  <c r="S111" i="58"/>
  <c r="S140" i="58"/>
  <c r="U140" i="58" s="1"/>
  <c r="T140" i="58" s="1"/>
  <c r="L150" i="58"/>
  <c r="Q140" i="58" s="1"/>
  <c r="S1488" i="72"/>
  <c r="P1492" i="72"/>
  <c r="X1482" i="72" s="1"/>
  <c r="S1542" i="72"/>
  <c r="P1546" i="72"/>
  <c r="X1537" i="72" s="1"/>
  <c r="S1178" i="72"/>
  <c r="P1182" i="72"/>
  <c r="X1171" i="72" s="1"/>
  <c r="S1285" i="72"/>
  <c r="P1289" i="72"/>
  <c r="X1279" i="72" s="1"/>
  <c r="S129" i="72"/>
  <c r="P133" i="72"/>
  <c r="X123" i="72" s="1"/>
  <c r="P80" i="72"/>
  <c r="X76" i="72" s="1"/>
  <c r="S78" i="72"/>
  <c r="S391" i="72"/>
  <c r="P395" i="72"/>
  <c r="X381" i="72" s="1"/>
  <c r="S46" i="72"/>
  <c r="S48" i="72" s="1"/>
  <c r="Y44" i="72" s="1"/>
  <c r="P48" i="72"/>
  <c r="X44" i="72" s="1"/>
  <c r="S1452" i="72"/>
  <c r="P1456" i="72"/>
  <c r="X1447" i="72" s="1"/>
  <c r="S1309" i="72"/>
  <c r="P1313" i="72"/>
  <c r="X1304" i="72" s="1"/>
  <c r="S1370" i="72"/>
  <c r="S1374" i="72" s="1"/>
  <c r="Y1365" i="72" s="1"/>
  <c r="P1374" i="72"/>
  <c r="X1365" i="72" s="1"/>
  <c r="S1202" i="72"/>
  <c r="P1206" i="72"/>
  <c r="X1197" i="72" s="1"/>
  <c r="S807" i="72"/>
  <c r="P811" i="72"/>
  <c r="X797" i="72" s="1"/>
  <c r="S376" i="72"/>
  <c r="P380" i="72"/>
  <c r="X371" i="72" s="1"/>
  <c r="S338" i="72"/>
  <c r="P342" i="72"/>
  <c r="X333" i="72" s="1"/>
  <c r="S485" i="72"/>
  <c r="S489" i="72" s="1"/>
  <c r="Y480" i="72" s="1"/>
  <c r="P489" i="72"/>
  <c r="X480" i="72" s="1"/>
  <c r="S869" i="72"/>
  <c r="P873" i="72"/>
  <c r="X864" i="72" s="1"/>
  <c r="S304" i="72"/>
  <c r="P308" i="72"/>
  <c r="X299" i="72" s="1"/>
  <c r="S830" i="72"/>
  <c r="P834" i="72"/>
  <c r="X825" i="72" s="1"/>
  <c r="S1575" i="72"/>
  <c r="P1579" i="72"/>
  <c r="X1570" i="72" s="1"/>
  <c r="S1166" i="72"/>
  <c r="P1170" i="72"/>
  <c r="X1159" i="72" s="1"/>
  <c r="S744" i="72"/>
  <c r="P748" i="72"/>
  <c r="X737" i="72" s="1"/>
  <c r="S515" i="72"/>
  <c r="P519" i="72"/>
  <c r="X508" i="72" s="1"/>
  <c r="S782" i="72"/>
  <c r="P786" i="72"/>
  <c r="X775" i="72" s="1"/>
  <c r="S706" i="72"/>
  <c r="P710" i="72"/>
  <c r="X699" i="72" s="1"/>
  <c r="S404" i="72"/>
  <c r="P408" i="72"/>
  <c r="X397" i="72" s="1"/>
  <c r="S248" i="72"/>
  <c r="P252" i="72"/>
  <c r="X242" i="72" s="1"/>
  <c r="S1511" i="72"/>
  <c r="P1515" i="72"/>
  <c r="X1505" i="72" s="1"/>
  <c r="S1742" i="72"/>
  <c r="P1746" i="72"/>
  <c r="X1737" i="72" s="1"/>
  <c r="S692" i="72"/>
  <c r="P696" i="72"/>
  <c r="X682" i="72" s="1"/>
  <c r="S933" i="72"/>
  <c r="P937" i="72"/>
  <c r="X927" i="72" s="1"/>
  <c r="S1678" i="72"/>
  <c r="P1682" i="72"/>
  <c r="X1673" i="72" s="1"/>
  <c r="S1244" i="72"/>
  <c r="P1248" i="72"/>
  <c r="X1238" i="72" s="1"/>
  <c r="S1787" i="72"/>
  <c r="P1791" i="72"/>
  <c r="X1783" i="72" s="1"/>
  <c r="S1393" i="72"/>
  <c r="P1397" i="72"/>
  <c r="X1388" i="72" s="1"/>
  <c r="S1778" i="72"/>
  <c r="P1782" i="72"/>
  <c r="X1770" i="72" s="1"/>
  <c r="S1254" i="72"/>
  <c r="P1258" i="72"/>
  <c r="X1249" i="72" s="1"/>
  <c r="S281" i="72"/>
  <c r="P285" i="72"/>
  <c r="X276" i="72" s="1"/>
  <c r="S792" i="72"/>
  <c r="S796" i="72" s="1"/>
  <c r="Y787" i="72" s="1"/>
  <c r="P796" i="72"/>
  <c r="X787" i="72" s="1"/>
  <c r="S1009" i="72"/>
  <c r="P1013" i="72"/>
  <c r="X1005" i="72" s="1"/>
  <c r="P1097" i="72"/>
  <c r="X1086" i="72" s="1"/>
  <c r="S1093" i="72"/>
  <c r="S328" i="72"/>
  <c r="P332" i="72"/>
  <c r="X321" i="72" s="1"/>
  <c r="S1753" i="72"/>
  <c r="P1757" i="72"/>
  <c r="X1748" i="72" s="1"/>
  <c r="S977" i="72"/>
  <c r="P981" i="72"/>
  <c r="X971" i="72" s="1"/>
  <c r="K398" i="58"/>
  <c r="K401" i="58" s="1"/>
  <c r="K402" i="58" s="1"/>
  <c r="K403" i="58" s="1"/>
  <c r="P384" i="58" s="1"/>
  <c r="K1152" i="58"/>
  <c r="K485" i="58"/>
  <c r="K488" i="58" s="1"/>
  <c r="K489" i="58" s="1"/>
  <c r="K490" i="58" s="1"/>
  <c r="P467" i="58" s="1"/>
  <c r="S206" i="58"/>
  <c r="U206" i="58" s="1"/>
  <c r="T206" i="58" s="1"/>
  <c r="L222" i="58"/>
  <c r="Q206" i="58" s="1"/>
  <c r="S287" i="58"/>
  <c r="U287" i="58" s="1"/>
  <c r="T287" i="58" s="1"/>
  <c r="L302" i="58"/>
  <c r="Q287" i="58" s="1"/>
  <c r="S1522" i="72"/>
  <c r="P1526" i="72"/>
  <c r="X1516" i="72" s="1"/>
  <c r="L1037" i="58"/>
  <c r="Q1021" i="58" s="1"/>
  <c r="S145" i="72"/>
  <c r="P149" i="72"/>
  <c r="X138" i="72" s="1"/>
  <c r="S213" i="72"/>
  <c r="P217" i="72"/>
  <c r="X207" i="72" s="1"/>
  <c r="S1808" i="72"/>
  <c r="P1812" i="72"/>
  <c r="X1804" i="72" s="1"/>
  <c r="S1299" i="72"/>
  <c r="P1303" i="72"/>
  <c r="X1294" i="72" s="1"/>
  <c r="S429" i="72"/>
  <c r="P433" i="72"/>
  <c r="X419" i="72" s="1"/>
  <c r="S1721" i="72"/>
  <c r="P1725" i="72"/>
  <c r="X1716" i="72" s="1"/>
  <c r="S1429" i="72"/>
  <c r="P1433" i="72"/>
  <c r="X1424" i="72" s="1"/>
  <c r="S845" i="72"/>
  <c r="P849" i="72"/>
  <c r="X835" i="72" s="1"/>
  <c r="S202" i="72"/>
  <c r="P206" i="72"/>
  <c r="X197" i="72" s="1"/>
  <c r="S563" i="72"/>
  <c r="P567" i="72"/>
  <c r="X558" i="72" s="1"/>
  <c r="S525" i="72"/>
  <c r="P529" i="72"/>
  <c r="X520" i="72" s="1"/>
  <c r="S601" i="72"/>
  <c r="P605" i="72"/>
  <c r="X596" i="72" s="1"/>
  <c r="S314" i="72"/>
  <c r="P318" i="72"/>
  <c r="X309" i="72" s="1"/>
  <c r="N420" i="58"/>
  <c r="S118" i="72"/>
  <c r="P122" i="72"/>
  <c r="X112" i="72" s="1"/>
  <c r="S97" i="72"/>
  <c r="P99" i="72"/>
  <c r="X93" i="72" s="1"/>
  <c r="S1618" i="72"/>
  <c r="P1622" i="72"/>
  <c r="X1612" i="72" s="1"/>
  <c r="S1562" i="72"/>
  <c r="P1566" i="72"/>
  <c r="X1557" i="72" s="1"/>
  <c r="S1318" i="72"/>
  <c r="P1322" i="72"/>
  <c r="X1314" i="72" s="1"/>
  <c r="S1442" i="72"/>
  <c r="S158" i="72"/>
  <c r="P162" i="72"/>
  <c r="X151" i="72" s="1"/>
  <c r="S553" i="72"/>
  <c r="P557" i="72"/>
  <c r="X546" i="72" s="1"/>
  <c r="S192" i="72"/>
  <c r="P196" i="72"/>
  <c r="X185" i="72" s="1"/>
  <c r="S859" i="72"/>
  <c r="S863" i="72" s="1"/>
  <c r="Y852" i="72" s="1"/>
  <c r="P863" i="72"/>
  <c r="X852" i="72" s="1"/>
  <c r="S629" i="72"/>
  <c r="T629" i="72" s="1"/>
  <c r="P633" i="72"/>
  <c r="X622" i="72" s="1"/>
  <c r="P92" i="72"/>
  <c r="X86" i="72" s="1"/>
  <c r="S90" i="72"/>
  <c r="S83" i="72"/>
  <c r="P85" i="72"/>
  <c r="X81" i="72" s="1"/>
  <c r="S616" i="72"/>
  <c r="S620" i="72" s="1"/>
  <c r="Y606" i="72" s="1"/>
  <c r="P620" i="72"/>
  <c r="X606" i="72" s="1"/>
  <c r="S654" i="72"/>
  <c r="P658" i="72"/>
  <c r="X644" i="72" s="1"/>
  <c r="S25" i="72"/>
  <c r="P26" i="72"/>
  <c r="S28" i="58"/>
  <c r="U28" i="58" s="1"/>
  <c r="T28" i="58" s="1"/>
  <c r="K20" i="59" s="1"/>
  <c r="S731" i="58"/>
  <c r="U731" i="58" s="1"/>
  <c r="T731" i="58" s="1"/>
  <c r="K1390" i="58"/>
  <c r="K1174" i="58"/>
  <c r="K1175" i="58" s="1"/>
  <c r="K1176" i="58" s="1"/>
  <c r="P1159" i="58" s="1"/>
  <c r="B52" i="11"/>
  <c r="B53" i="11" s="1"/>
  <c r="L44" i="53"/>
  <c r="L46" i="53" s="1"/>
  <c r="L54" i="53" s="1"/>
  <c r="L60" i="53"/>
  <c r="L22" i="53"/>
  <c r="L26" i="53"/>
  <c r="L12" i="53"/>
  <c r="L50" i="53" s="1"/>
  <c r="L16" i="53"/>
  <c r="L51" i="53" s="1"/>
  <c r="L23" i="53"/>
  <c r="L31" i="53"/>
  <c r="L53" i="53" s="1"/>
  <c r="L20" i="53"/>
  <c r="L21" i="53"/>
  <c r="L24" i="53"/>
  <c r="J350" i="76" l="1"/>
  <c r="J72" i="77" s="1"/>
  <c r="L72" i="77" s="1"/>
  <c r="J25" i="76"/>
  <c r="P16" i="75"/>
  <c r="P346" i="76"/>
  <c r="P17" i="76"/>
  <c r="J348" i="76"/>
  <c r="J66" i="77" s="1"/>
  <c r="L66" i="77" s="1"/>
  <c r="J20" i="76"/>
  <c r="J349" i="76"/>
  <c r="J65" i="77" s="1"/>
  <c r="L65" i="77" s="1"/>
  <c r="J19" i="76"/>
  <c r="J17" i="76"/>
  <c r="J346" i="76"/>
  <c r="J110" i="77" s="1"/>
  <c r="L110" i="77" s="1"/>
  <c r="J351" i="76"/>
  <c r="J47" i="77" s="1"/>
  <c r="L47" i="77" s="1"/>
  <c r="J26" i="76"/>
  <c r="N71" i="72"/>
  <c r="J22" i="75"/>
  <c r="N44" i="72"/>
  <c r="P44" i="72" s="1"/>
  <c r="J19" i="75"/>
  <c r="N33" i="72"/>
  <c r="AJ33" i="72" s="1"/>
  <c r="J18" i="75"/>
  <c r="N17" i="72"/>
  <c r="P17" i="72" s="1"/>
  <c r="J16" i="75"/>
  <c r="N76" i="72"/>
  <c r="P76" i="72" s="1"/>
  <c r="J23" i="75"/>
  <c r="S380" i="72"/>
  <c r="Y371" i="72" s="1"/>
  <c r="K513" i="58"/>
  <c r="K514" i="58" s="1"/>
  <c r="K515" i="58" s="1"/>
  <c r="P492" i="58" s="1"/>
  <c r="S370" i="72"/>
  <c r="Y359" i="72" s="1"/>
  <c r="P1446" i="72"/>
  <c r="X1434" i="72" s="1"/>
  <c r="K380" i="58"/>
  <c r="K381" i="58" s="1"/>
  <c r="K382" i="58" s="1"/>
  <c r="P363" i="58" s="1"/>
  <c r="S1446" i="72"/>
  <c r="Y1434" i="72" s="1"/>
  <c r="L107" i="58"/>
  <c r="Q97" i="58" s="1"/>
  <c r="I24" i="59" s="1"/>
  <c r="N25" i="76" s="1"/>
  <c r="K1136" i="58"/>
  <c r="K1137" i="58" s="1"/>
  <c r="K1138" i="58" s="1"/>
  <c r="P1120" i="58" s="1"/>
  <c r="L202" i="58"/>
  <c r="Q186" i="58" s="1"/>
  <c r="L166" i="58"/>
  <c r="Q154" i="58" s="1"/>
  <c r="K1096" i="58"/>
  <c r="K1097" i="58" s="1"/>
  <c r="K1098" i="58" s="1"/>
  <c r="P1081" i="58" s="1"/>
  <c r="L136" i="58"/>
  <c r="Q126" i="58" s="1"/>
  <c r="K203" i="58"/>
  <c r="K204" i="58" s="1"/>
  <c r="P186" i="58" s="1"/>
  <c r="K1540" i="58"/>
  <c r="K1541" i="58" s="1"/>
  <c r="K1542" i="58" s="1"/>
  <c r="P1527" i="58" s="1"/>
  <c r="L610" i="58"/>
  <c r="Q595" i="58" s="1"/>
  <c r="K1155" i="58"/>
  <c r="K1156" i="58" s="1"/>
  <c r="K1157" i="58" s="1"/>
  <c r="P1140" i="58" s="1"/>
  <c r="L121" i="58"/>
  <c r="Q111" i="58" s="1"/>
  <c r="I25" i="59" s="1"/>
  <c r="N26" i="76" s="1"/>
  <c r="K1212" i="58"/>
  <c r="K1213" i="58" s="1"/>
  <c r="K1214" i="58" s="1"/>
  <c r="P1197" i="58" s="1"/>
  <c r="K1059" i="58"/>
  <c r="K1060" i="58" s="1"/>
  <c r="K1061" i="58" s="1"/>
  <c r="P1041" i="58" s="1"/>
  <c r="K1193" i="58"/>
  <c r="K1194" i="58" s="1"/>
  <c r="K1195" i="58" s="1"/>
  <c r="P1178" i="58" s="1"/>
  <c r="T366" i="72"/>
  <c r="K1116" i="58"/>
  <c r="K1117" i="58" s="1"/>
  <c r="K1118" i="58" s="1"/>
  <c r="P1100" i="58" s="1"/>
  <c r="L283" i="58"/>
  <c r="Q267" i="58" s="1"/>
  <c r="K763" i="58"/>
  <c r="K771" i="58" s="1"/>
  <c r="K772" i="58" s="1"/>
  <c r="K773" i="58" s="1"/>
  <c r="P753" i="58" s="1"/>
  <c r="L92" i="58"/>
  <c r="Q76" i="58" s="1"/>
  <c r="I23" i="59" s="1"/>
  <c r="N19" i="76" s="1"/>
  <c r="P1364" i="72"/>
  <c r="X1352" i="72" s="1"/>
  <c r="L182" i="58"/>
  <c r="Q170" i="58" s="1"/>
  <c r="L837" i="58"/>
  <c r="Q819" i="58" s="1"/>
  <c r="L815" i="58"/>
  <c r="Q797" i="58" s="1"/>
  <c r="L72" i="58"/>
  <c r="Q62" i="58" s="1"/>
  <c r="I22" i="59" s="1"/>
  <c r="N20" i="76" s="1"/>
  <c r="K687" i="58"/>
  <c r="K688" i="58" s="1"/>
  <c r="K689" i="58" s="1"/>
  <c r="P671" i="58" s="1"/>
  <c r="L960" i="58"/>
  <c r="Q945" i="58" s="1"/>
  <c r="L648" i="58"/>
  <c r="Q633" i="58" s="1"/>
  <c r="S1579" i="72"/>
  <c r="Y1570" i="72" s="1"/>
  <c r="S945" i="58"/>
  <c r="U945" i="58" s="1"/>
  <c r="T945" i="58" s="1"/>
  <c r="L41" i="58"/>
  <c r="Q28" i="58" s="1"/>
  <c r="I20" i="59" s="1"/>
  <c r="N17" i="76" s="1"/>
  <c r="T370" i="72"/>
  <c r="S80" i="72"/>
  <c r="Y76" i="72" s="1"/>
  <c r="L707" i="58"/>
  <c r="Q691" i="58" s="1"/>
  <c r="T294" i="72"/>
  <c r="T298" i="72" s="1"/>
  <c r="L1328" i="58"/>
  <c r="Q1312" i="58" s="1"/>
  <c r="L1716" i="58"/>
  <c r="Q1701" i="58" s="1"/>
  <c r="L442" i="58"/>
  <c r="Q425" i="58" s="1"/>
  <c r="T1442" i="72"/>
  <c r="T1446" i="72" s="1"/>
  <c r="T1575" i="72"/>
  <c r="T1579" i="72" s="1"/>
  <c r="T46" i="72"/>
  <c r="T48" i="72" s="1"/>
  <c r="S758" i="72"/>
  <c r="Y749" i="72" s="1"/>
  <c r="T769" i="72"/>
  <c r="T773" i="72" s="1"/>
  <c r="L997" i="58"/>
  <c r="Q983" i="58" s="1"/>
  <c r="K727" i="58"/>
  <c r="L727" i="58" s="1"/>
  <c r="Q711" i="58" s="1"/>
  <c r="S633" i="72"/>
  <c r="Y622" i="72" s="1"/>
  <c r="L420" i="58"/>
  <c r="Q405" i="58" s="1"/>
  <c r="T792" i="72"/>
  <c r="T796" i="72" s="1"/>
  <c r="L242" i="58"/>
  <c r="Q226" i="58" s="1"/>
  <c r="S786" i="72"/>
  <c r="Y775" i="72" s="1"/>
  <c r="P1423" i="72"/>
  <c r="X1411" i="72" s="1"/>
  <c r="S479" i="72"/>
  <c r="Y468" i="72" s="1"/>
  <c r="S1196" i="72"/>
  <c r="Y1186" i="72" s="1"/>
  <c r="L979" i="58"/>
  <c r="Q964" i="58" s="1"/>
  <c r="L1288" i="58"/>
  <c r="Q1273" i="58" s="1"/>
  <c r="J20" i="59"/>
  <c r="K728" i="58"/>
  <c r="K729" i="58" s="1"/>
  <c r="P711" i="58" s="1"/>
  <c r="T633" i="72"/>
  <c r="L263" i="58"/>
  <c r="Q246" i="58" s="1"/>
  <c r="L322" i="58"/>
  <c r="Q306" i="58" s="1"/>
  <c r="L340" i="58"/>
  <c r="Q326" i="58" s="1"/>
  <c r="L463" i="58"/>
  <c r="Q446" i="58" s="1"/>
  <c r="L1077" i="58"/>
  <c r="Q1063" i="58" s="1"/>
  <c r="T1470" i="72"/>
  <c r="S1470" i="72"/>
  <c r="Y1460" i="72" s="1"/>
  <c r="T1196" i="72"/>
  <c r="L1174" i="58"/>
  <c r="Q1159" i="58" s="1"/>
  <c r="T2073" i="72"/>
  <c r="T2074" i="72" s="1"/>
  <c r="S2074" i="72"/>
  <c r="Y2067" i="72" s="1"/>
  <c r="T1905" i="72"/>
  <c r="T1906" i="72" s="1"/>
  <c r="S1906" i="72"/>
  <c r="Y1899" i="72" s="1"/>
  <c r="T1913" i="72"/>
  <c r="T1914" i="72" s="1"/>
  <c r="S1914" i="72"/>
  <c r="Y1907" i="72" s="1"/>
  <c r="T2057" i="72"/>
  <c r="T2058" i="72" s="1"/>
  <c r="S2058" i="72"/>
  <c r="Y2051" i="72" s="1"/>
  <c r="L1308" i="58"/>
  <c r="Q1292" i="58" s="1"/>
  <c r="L1523" i="58"/>
  <c r="Q1510" i="58" s="1"/>
  <c r="T2065" i="72"/>
  <c r="T2066" i="72" s="1"/>
  <c r="S2066" i="72"/>
  <c r="Y2059" i="72" s="1"/>
  <c r="L1506" i="58"/>
  <c r="Q1493" i="58" s="1"/>
  <c r="T1897" i="72"/>
  <c r="T1898" i="72" s="1"/>
  <c r="S1898" i="72"/>
  <c r="Y1891" i="72" s="1"/>
  <c r="T1522" i="72"/>
  <c r="T1526" i="72" s="1"/>
  <c r="S1526" i="72"/>
  <c r="Y1516" i="72" s="1"/>
  <c r="T744" i="72"/>
  <c r="T748" i="72" s="1"/>
  <c r="S748" i="72"/>
  <c r="Y737" i="72" s="1"/>
  <c r="T1178" i="72"/>
  <c r="T1182" i="72" s="1"/>
  <c r="S1182" i="72"/>
  <c r="Y1171" i="72" s="1"/>
  <c r="T2162" i="72"/>
  <c r="T2164" i="72" s="1"/>
  <c r="S2164" i="72"/>
  <c r="Y2158" i="72" s="1"/>
  <c r="T731" i="72"/>
  <c r="T735" i="72" s="1"/>
  <c r="S735" i="72"/>
  <c r="Y721" i="72" s="1"/>
  <c r="T884" i="72"/>
  <c r="T888" i="72" s="1"/>
  <c r="S888" i="72"/>
  <c r="Y874" i="72" s="1"/>
  <c r="T179" i="72"/>
  <c r="T183" i="72" s="1"/>
  <c r="S183" i="72"/>
  <c r="Y172" i="72" s="1"/>
  <c r="T954" i="72"/>
  <c r="T958" i="72" s="1"/>
  <c r="S958" i="72"/>
  <c r="Y949" i="72" s="1"/>
  <c r="T1698" i="72"/>
  <c r="T1702" i="72" s="1"/>
  <c r="T1688" i="72"/>
  <c r="T1692" i="72" s="1"/>
  <c r="T616" i="72"/>
  <c r="T620" i="72" s="1"/>
  <c r="T90" i="72"/>
  <c r="T92" i="72" s="1"/>
  <c r="S92" i="72"/>
  <c r="Y86" i="72" s="1"/>
  <c r="T1318" i="72"/>
  <c r="T1322" i="72" s="1"/>
  <c r="S1322" i="72"/>
  <c r="Y1314" i="72" s="1"/>
  <c r="T1618" i="72"/>
  <c r="T1622" i="72" s="1"/>
  <c r="T118" i="72"/>
  <c r="T122" i="72" s="1"/>
  <c r="S122" i="72"/>
  <c r="Y112" i="72" s="1"/>
  <c r="T314" i="72"/>
  <c r="T318" i="72" s="1"/>
  <c r="S318" i="72"/>
  <c r="Y309" i="72" s="1"/>
  <c r="T525" i="72"/>
  <c r="T529" i="72" s="1"/>
  <c r="S529" i="72"/>
  <c r="Y520" i="72" s="1"/>
  <c r="T202" i="72"/>
  <c r="T206" i="72" s="1"/>
  <c r="S206" i="72"/>
  <c r="Y197" i="72" s="1"/>
  <c r="T1429" i="72"/>
  <c r="T1433" i="72" s="1"/>
  <c r="S1433" i="72"/>
  <c r="Y1424" i="72" s="1"/>
  <c r="T429" i="72"/>
  <c r="T433" i="72" s="1"/>
  <c r="S433" i="72"/>
  <c r="Y419" i="72" s="1"/>
  <c r="T1808" i="72"/>
  <c r="T1812" i="72" s="1"/>
  <c r="S1812" i="72"/>
  <c r="Y1804" i="72" s="1"/>
  <c r="T213" i="72"/>
  <c r="T217" i="72" s="1"/>
  <c r="S217" i="72"/>
  <c r="Y207" i="72" s="1"/>
  <c r="S384" i="58"/>
  <c r="U384" i="58" s="1"/>
  <c r="T384" i="58" s="1"/>
  <c r="L401" i="58"/>
  <c r="Q384" i="58" s="1"/>
  <c r="T1093" i="72"/>
  <c r="T1097" i="72" s="1"/>
  <c r="S1097" i="72"/>
  <c r="Y1086" i="72" s="1"/>
  <c r="T281" i="72"/>
  <c r="T285" i="72" s="1"/>
  <c r="S285" i="72"/>
  <c r="Y276" i="72" s="1"/>
  <c r="T1778" i="72"/>
  <c r="T1782" i="72" s="1"/>
  <c r="S1782" i="72"/>
  <c r="Y1770" i="72" s="1"/>
  <c r="T1787" i="72"/>
  <c r="T1791" i="72" s="1"/>
  <c r="S1791" i="72"/>
  <c r="Y1783" i="72" s="1"/>
  <c r="T1244" i="72"/>
  <c r="T1248" i="72" s="1"/>
  <c r="S1248" i="72"/>
  <c r="Y1238" i="72" s="1"/>
  <c r="T692" i="72"/>
  <c r="T696" i="72" s="1"/>
  <c r="S696" i="72"/>
  <c r="Y682" i="72" s="1"/>
  <c r="T1511" i="72"/>
  <c r="T1515" i="72" s="1"/>
  <c r="S1515" i="72"/>
  <c r="Y1505" i="72" s="1"/>
  <c r="T248" i="72"/>
  <c r="T252" i="72" s="1"/>
  <c r="S252" i="72"/>
  <c r="Y242" i="72" s="1"/>
  <c r="T706" i="72"/>
  <c r="T710" i="72" s="1"/>
  <c r="S710" i="72"/>
  <c r="Y699" i="72" s="1"/>
  <c r="T830" i="72"/>
  <c r="T834" i="72" s="1"/>
  <c r="S834" i="72"/>
  <c r="Y825" i="72" s="1"/>
  <c r="T869" i="72"/>
  <c r="T873" i="72" s="1"/>
  <c r="S873" i="72"/>
  <c r="Y864" i="72" s="1"/>
  <c r="T1202" i="72"/>
  <c r="T1206" i="72" s="1"/>
  <c r="S1206" i="72"/>
  <c r="Y1197" i="72" s="1"/>
  <c r="T391" i="72"/>
  <c r="T395" i="72" s="1"/>
  <c r="S395" i="72"/>
  <c r="Y381" i="72" s="1"/>
  <c r="S517" i="58"/>
  <c r="U517" i="58" s="1"/>
  <c r="T517" i="58" s="1"/>
  <c r="L537" i="58"/>
  <c r="Q517" i="58" s="1"/>
  <c r="T1419" i="72"/>
  <c r="T1423" i="72" s="1"/>
  <c r="T1765" i="72"/>
  <c r="T1769" i="72" s="1"/>
  <c r="S1769" i="72"/>
  <c r="Y1759" i="72" s="1"/>
  <c r="T414" i="72"/>
  <c r="T418" i="72" s="1"/>
  <c r="S418" i="72"/>
  <c r="Y409" i="72" s="1"/>
  <c r="T168" i="72"/>
  <c r="T172" i="72" s="1"/>
  <c r="S172" i="72"/>
  <c r="Y163" i="72" s="1"/>
  <c r="T1731" i="72"/>
  <c r="T1735" i="72" s="1"/>
  <c r="J24" i="59"/>
  <c r="U97" i="58"/>
  <c r="T97" i="58" s="1"/>
  <c r="K24" i="59" s="1"/>
  <c r="J22" i="59"/>
  <c r="U62" i="58"/>
  <c r="T62" i="58" s="1"/>
  <c r="K22" i="59" s="1"/>
  <c r="T328" i="72"/>
  <c r="T332" i="72" s="1"/>
  <c r="S332" i="72"/>
  <c r="Y321" i="72" s="1"/>
  <c r="T1488" i="72"/>
  <c r="T1492" i="72" s="1"/>
  <c r="S1492" i="72"/>
  <c r="Y1482" i="72" s="1"/>
  <c r="T1360" i="72"/>
  <c r="T1364" i="72" s="1"/>
  <c r="T998" i="72"/>
  <c r="T1002" i="72" s="1"/>
  <c r="S1002" i="72"/>
  <c r="Y993" i="72" s="1"/>
  <c r="T261" i="72"/>
  <c r="T265" i="72" s="1"/>
  <c r="S265" i="72"/>
  <c r="Y254" i="72" s="1"/>
  <c r="T1585" i="72"/>
  <c r="T1589" i="72" s="1"/>
  <c r="S1589" i="72"/>
  <c r="Y1580" i="72" s="1"/>
  <c r="L749" i="58"/>
  <c r="Q731" i="58" s="1"/>
  <c r="T192" i="72"/>
  <c r="T196" i="72" s="1"/>
  <c r="S196" i="72"/>
  <c r="Y185" i="72" s="1"/>
  <c r="T158" i="72"/>
  <c r="T162" i="72" s="1"/>
  <c r="S162" i="72"/>
  <c r="Y151" i="72" s="1"/>
  <c r="L513" i="58"/>
  <c r="Q492" i="58" s="1"/>
  <c r="T1753" i="72"/>
  <c r="T1757" i="72" s="1"/>
  <c r="L1155" i="58"/>
  <c r="Q1140" i="58" s="1"/>
  <c r="T515" i="72"/>
  <c r="T519" i="72" s="1"/>
  <c r="S519" i="72"/>
  <c r="Y508" i="72" s="1"/>
  <c r="T485" i="72"/>
  <c r="T489" i="72" s="1"/>
  <c r="T338" i="72"/>
  <c r="T342" i="72" s="1"/>
  <c r="S342" i="72"/>
  <c r="Y333" i="72" s="1"/>
  <c r="T1309" i="72"/>
  <c r="T1313" i="72" s="1"/>
  <c r="S1313" i="72"/>
  <c r="Y1304" i="72" s="1"/>
  <c r="T78" i="72"/>
  <c r="T80" i="72" s="1"/>
  <c r="T129" i="72"/>
  <c r="T133" i="72" s="1"/>
  <c r="S133" i="72"/>
  <c r="Y123" i="72" s="1"/>
  <c r="T1285" i="72"/>
  <c r="T1289" i="72" s="1"/>
  <c r="S1289" i="72"/>
  <c r="Y1279" i="72" s="1"/>
  <c r="T1542" i="72"/>
  <c r="T1546" i="72" s="1"/>
  <c r="S1546" i="72"/>
  <c r="Y1537" i="72" s="1"/>
  <c r="T1264" i="72"/>
  <c r="T1268" i="72" s="1"/>
  <c r="S1268" i="72"/>
  <c r="Y1259" i="72" s="1"/>
  <c r="T73" i="72"/>
  <c r="T75" i="72" s="1"/>
  <c r="T716" i="72"/>
  <c r="T720" i="72" s="1"/>
  <c r="S720" i="72"/>
  <c r="Y711" i="72" s="1"/>
  <c r="T353" i="72"/>
  <c r="T357" i="72" s="1"/>
  <c r="S357" i="72"/>
  <c r="Y343" i="72" s="1"/>
  <c r="T1595" i="72"/>
  <c r="T1599" i="72" s="1"/>
  <c r="S1599" i="72"/>
  <c r="Y1590" i="72" s="1"/>
  <c r="T578" i="72"/>
  <c r="T582" i="72" s="1"/>
  <c r="S582" i="72"/>
  <c r="Y568" i="72" s="1"/>
  <c r="T1606" i="72"/>
  <c r="T1610" i="72" s="1"/>
  <c r="S1610" i="72"/>
  <c r="Y1601" i="72" s="1"/>
  <c r="T820" i="72"/>
  <c r="T824" i="72" s="1"/>
  <c r="S824" i="72"/>
  <c r="Y813" i="72" s="1"/>
  <c r="T227" i="72"/>
  <c r="T231" i="72" s="1"/>
  <c r="S231" i="72"/>
  <c r="Y220" i="72" s="1"/>
  <c r="T1383" i="72"/>
  <c r="T1387" i="72" s="1"/>
  <c r="S1387" i="72"/>
  <c r="Y1375" i="72" s="1"/>
  <c r="T1081" i="72"/>
  <c r="T1085" i="72" s="1"/>
  <c r="S1085" i="72"/>
  <c r="Y1076" i="72" s="1"/>
  <c r="T677" i="72"/>
  <c r="T681" i="72" s="1"/>
  <c r="T1071" i="72"/>
  <c r="T1075" i="72" s="1"/>
  <c r="S1075" i="72"/>
  <c r="Y1065" i="72" s="1"/>
  <c r="T1631" i="72"/>
  <c r="T1635" i="72" s="1"/>
  <c r="T1640" i="72"/>
  <c r="T1644" i="72" s="1"/>
  <c r="S1644" i="72"/>
  <c r="Y1636" i="72" s="1"/>
  <c r="T107" i="72"/>
  <c r="T111" i="72" s="1"/>
  <c r="S111" i="72"/>
  <c r="Y102" i="72" s="1"/>
  <c r="T1130" i="72"/>
  <c r="T1134" i="72" s="1"/>
  <c r="S1134" i="72"/>
  <c r="Y1123" i="72" s="1"/>
  <c r="T1477" i="72"/>
  <c r="T1481" i="72" s="1"/>
  <c r="S1481" i="72"/>
  <c r="Y1471" i="72" s="1"/>
  <c r="T667" i="72"/>
  <c r="T671" i="72" s="1"/>
  <c r="S671" i="72"/>
  <c r="Y660" i="72" s="1"/>
  <c r="T639" i="72"/>
  <c r="T643" i="72" s="1"/>
  <c r="S643" i="72"/>
  <c r="Y634" i="72" s="1"/>
  <c r="T500" i="72"/>
  <c r="T504" i="72" s="1"/>
  <c r="S504" i="72"/>
  <c r="Y490" i="72" s="1"/>
  <c r="T1024" i="72"/>
  <c r="T1028" i="72" s="1"/>
  <c r="T1105" i="72"/>
  <c r="T1109" i="72" s="1"/>
  <c r="S1109" i="72"/>
  <c r="Y1098" i="72" s="1"/>
  <c r="L1017" i="58"/>
  <c r="Q1001" i="58" s="1"/>
  <c r="T83" i="72"/>
  <c r="T85" i="72" s="1"/>
  <c r="S85" i="72"/>
  <c r="Y81" i="72" s="1"/>
  <c r="T553" i="72"/>
  <c r="T557" i="72" s="1"/>
  <c r="S557" i="72"/>
  <c r="Y546" i="72" s="1"/>
  <c r="T977" i="72"/>
  <c r="T981" i="72" s="1"/>
  <c r="S981" i="72"/>
  <c r="Y971" i="72" s="1"/>
  <c r="T1009" i="72"/>
  <c r="T1013" i="72" s="1"/>
  <c r="S1013" i="72"/>
  <c r="Y1005" i="72" s="1"/>
  <c r="T1166" i="72"/>
  <c r="T1170" i="72" s="1"/>
  <c r="S1170" i="72"/>
  <c r="Y1159" i="72" s="1"/>
  <c r="T1452" i="72"/>
  <c r="T1456" i="72" s="1"/>
  <c r="S1456" i="72"/>
  <c r="Y1447" i="72" s="1"/>
  <c r="T591" i="72"/>
  <c r="T595" i="72" s="1"/>
  <c r="S595" i="72"/>
  <c r="Y584" i="72" s="1"/>
  <c r="T1222" i="72"/>
  <c r="T1226" i="72" s="1"/>
  <c r="S1226" i="72"/>
  <c r="Y1217" i="72" s="1"/>
  <c r="T1347" i="72"/>
  <c r="T1351" i="72" s="1"/>
  <c r="S1351" i="72"/>
  <c r="Y1341" i="72" s="1"/>
  <c r="T540" i="72"/>
  <c r="T544" i="72" s="1"/>
  <c r="S544" i="72"/>
  <c r="Y530" i="72" s="1"/>
  <c r="T1406" i="72"/>
  <c r="T1410" i="72" s="1"/>
  <c r="S1410" i="72"/>
  <c r="Y1400" i="72" s="1"/>
  <c r="T654" i="72"/>
  <c r="T658" i="72" s="1"/>
  <c r="S658" i="72"/>
  <c r="Y644" i="72" s="1"/>
  <c r="T859" i="72"/>
  <c r="T863" i="72" s="1"/>
  <c r="T1562" i="72"/>
  <c r="T1566" i="72" s="1"/>
  <c r="S1566" i="72"/>
  <c r="Y1557" i="72" s="1"/>
  <c r="T97" i="72"/>
  <c r="T99" i="72" s="1"/>
  <c r="S99" i="72"/>
  <c r="S405" i="58"/>
  <c r="U405" i="58" s="1"/>
  <c r="T405" i="58" s="1"/>
  <c r="T601" i="72"/>
  <c r="T605" i="72" s="1"/>
  <c r="S605" i="72"/>
  <c r="Y596" i="72" s="1"/>
  <c r="T563" i="72"/>
  <c r="T567" i="72" s="1"/>
  <c r="S567" i="72"/>
  <c r="Y558" i="72" s="1"/>
  <c r="T845" i="72"/>
  <c r="T849" i="72" s="1"/>
  <c r="S849" i="72"/>
  <c r="Y835" i="72" s="1"/>
  <c r="T1721" i="72"/>
  <c r="T1725" i="72" s="1"/>
  <c r="T1299" i="72"/>
  <c r="T1303" i="72" s="1"/>
  <c r="S1303" i="72"/>
  <c r="Y1294" i="72" s="1"/>
  <c r="T145" i="72"/>
  <c r="T149" i="72" s="1"/>
  <c r="S149" i="72"/>
  <c r="Y138" i="72" s="1"/>
  <c r="S467" i="58"/>
  <c r="U467" i="58" s="1"/>
  <c r="T467" i="58" s="1"/>
  <c r="L488" i="58"/>
  <c r="Q467" i="58" s="1"/>
  <c r="T1254" i="72"/>
  <c r="T1258" i="72" s="1"/>
  <c r="S1258" i="72"/>
  <c r="Y1249" i="72" s="1"/>
  <c r="T1393" i="72"/>
  <c r="T1397" i="72" s="1"/>
  <c r="S1397" i="72"/>
  <c r="Y1388" i="72" s="1"/>
  <c r="T1678" i="72"/>
  <c r="T1682" i="72" s="1"/>
  <c r="T933" i="72"/>
  <c r="T937" i="72" s="1"/>
  <c r="S937" i="72"/>
  <c r="Y927" i="72" s="1"/>
  <c r="T1742" i="72"/>
  <c r="T1746" i="72" s="1"/>
  <c r="T404" i="72"/>
  <c r="T408" i="72" s="1"/>
  <c r="S408" i="72"/>
  <c r="Y397" i="72" s="1"/>
  <c r="T782" i="72"/>
  <c r="T786" i="72" s="1"/>
  <c r="T304" i="72"/>
  <c r="T308" i="72" s="1"/>
  <c r="S308" i="72"/>
  <c r="Y299" i="72" s="1"/>
  <c r="T376" i="72"/>
  <c r="T380" i="72" s="1"/>
  <c r="T807" i="72"/>
  <c r="T811" i="72" s="1"/>
  <c r="S811" i="72"/>
  <c r="Y797" i="72" s="1"/>
  <c r="T1370" i="72"/>
  <c r="T1374" i="72" s="1"/>
  <c r="J25" i="59"/>
  <c r="U111" i="58"/>
  <c r="T111" i="58" s="1"/>
  <c r="K25" i="59" s="1"/>
  <c r="T40" i="72"/>
  <c r="T43" i="72" s="1"/>
  <c r="S43" i="72"/>
  <c r="Y33" i="72" s="1"/>
  <c r="T2153" i="72"/>
  <c r="T2157" i="72" s="1"/>
  <c r="L857" i="58"/>
  <c r="Q841" i="58" s="1"/>
  <c r="T475" i="72"/>
  <c r="T479" i="72" s="1"/>
  <c r="S1715" i="72"/>
  <c r="Y1706" i="72" s="1"/>
  <c r="T965" i="72"/>
  <c r="T969" i="72" s="1"/>
  <c r="S969" i="72"/>
  <c r="Y961" i="72" s="1"/>
  <c r="T754" i="72"/>
  <c r="T758" i="72" s="1"/>
  <c r="T271" i="72"/>
  <c r="T275" i="72" s="1"/>
  <c r="S275" i="72"/>
  <c r="Y266" i="72" s="1"/>
  <c r="T1552" i="72"/>
  <c r="T1556" i="72" s="1"/>
  <c r="S1556" i="72"/>
  <c r="Y1547" i="72" s="1"/>
  <c r="T1500" i="72"/>
  <c r="T1504" i="72" s="1"/>
  <c r="S1504" i="72"/>
  <c r="Y1494" i="72" s="1"/>
  <c r="T237" i="72"/>
  <c r="T241" i="72" s="1"/>
  <c r="S241" i="72"/>
  <c r="Y232" i="72" s="1"/>
  <c r="P17" i="71"/>
  <c r="R17" i="71" s="1"/>
  <c r="P17" i="69"/>
  <c r="V17" i="72"/>
  <c r="X17" i="72"/>
  <c r="T25" i="72"/>
  <c r="T26" i="72" s="1"/>
  <c r="S26" i="72"/>
  <c r="Y17" i="72" s="1"/>
  <c r="J23" i="59"/>
  <c r="U76" i="58"/>
  <c r="T76" i="58" s="1"/>
  <c r="K23" i="59" s="1"/>
  <c r="AJ76" i="72"/>
  <c r="AJ71" i="72"/>
  <c r="P71" i="72"/>
  <c r="J26" i="69"/>
  <c r="AG26" i="69" s="1"/>
  <c r="J26" i="71"/>
  <c r="J20" i="69"/>
  <c r="L20" i="69" s="1"/>
  <c r="J20" i="71"/>
  <c r="J25" i="69"/>
  <c r="AG25" i="69" s="1"/>
  <c r="J25" i="71"/>
  <c r="J17" i="69"/>
  <c r="L17" i="69" s="1"/>
  <c r="J17" i="71"/>
  <c r="J19" i="69"/>
  <c r="AG19" i="69" s="1"/>
  <c r="J19" i="71"/>
  <c r="J39" i="63"/>
  <c r="L39" i="63" s="1"/>
  <c r="J38" i="63"/>
  <c r="L38" i="63" s="1"/>
  <c r="K1391" i="58"/>
  <c r="P1372" i="58" s="1"/>
  <c r="L27" i="53"/>
  <c r="L52" i="53" s="1"/>
  <c r="L55" i="53"/>
  <c r="O17" i="76" l="1"/>
  <c r="Q17" i="76" s="1"/>
  <c r="O346" i="76"/>
  <c r="Q346" i="76" s="1"/>
  <c r="AG351" i="76"/>
  <c r="L351" i="76"/>
  <c r="AG349" i="76"/>
  <c r="L349" i="76"/>
  <c r="R349" i="76" s="1"/>
  <c r="S349" i="76" s="1"/>
  <c r="P18" i="75"/>
  <c r="P349" i="76"/>
  <c r="P19" i="76"/>
  <c r="O19" i="75"/>
  <c r="Q19" i="75" s="1"/>
  <c r="O348" i="76"/>
  <c r="Q348" i="76" s="1"/>
  <c r="O20" i="76"/>
  <c r="Q20" i="76" s="1"/>
  <c r="AG346" i="76"/>
  <c r="L346" i="76"/>
  <c r="AG20" i="76"/>
  <c r="L20" i="76"/>
  <c r="R20" i="76" s="1"/>
  <c r="S20" i="76" s="1"/>
  <c r="P23" i="75"/>
  <c r="P26" i="76"/>
  <c r="P351" i="76"/>
  <c r="P22" i="75"/>
  <c r="P25" i="76"/>
  <c r="P350" i="76"/>
  <c r="L17" i="76"/>
  <c r="AG17" i="76"/>
  <c r="AG348" i="76"/>
  <c r="L348" i="76"/>
  <c r="AG25" i="76"/>
  <c r="L25" i="76"/>
  <c r="P19" i="75"/>
  <c r="P348" i="76"/>
  <c r="P20" i="76"/>
  <c r="O18" i="75"/>
  <c r="Q18" i="75" s="1"/>
  <c r="O349" i="76"/>
  <c r="Q349" i="76" s="1"/>
  <c r="O19" i="76"/>
  <c r="Q19" i="76" s="1"/>
  <c r="O23" i="75"/>
  <c r="Q23" i="75" s="1"/>
  <c r="O26" i="76"/>
  <c r="Q26" i="76" s="1"/>
  <c r="O351" i="76"/>
  <c r="Q351" i="76" s="1"/>
  <c r="O22" i="75"/>
  <c r="Q22" i="75" s="1"/>
  <c r="O350" i="76"/>
  <c r="Q350" i="76" s="1"/>
  <c r="O25" i="76"/>
  <c r="Q25" i="76" s="1"/>
  <c r="AG26" i="76"/>
  <c r="L26" i="76"/>
  <c r="AG19" i="76"/>
  <c r="L19" i="76"/>
  <c r="R19" i="76" s="1"/>
  <c r="S19" i="76" s="1"/>
  <c r="AG350" i="76"/>
  <c r="L350" i="76"/>
  <c r="P33" i="72"/>
  <c r="AJ17" i="72"/>
  <c r="AJ44" i="72"/>
  <c r="N20" i="69"/>
  <c r="R20" i="69" s="1"/>
  <c r="S20" i="69" s="1"/>
  <c r="N19" i="75"/>
  <c r="AG16" i="75"/>
  <c r="L16" i="75"/>
  <c r="AG19" i="75"/>
  <c r="L19" i="75"/>
  <c r="O17" i="69"/>
  <c r="Q17" i="69" s="1"/>
  <c r="O16" i="75"/>
  <c r="Q16" i="75" s="1"/>
  <c r="Q33" i="72"/>
  <c r="N18" i="75"/>
  <c r="N26" i="71"/>
  <c r="N23" i="75"/>
  <c r="N17" i="69"/>
  <c r="R17" i="69" s="1"/>
  <c r="S17" i="69" s="1"/>
  <c r="N16" i="75"/>
  <c r="AG23" i="75"/>
  <c r="L23" i="75"/>
  <c r="AG18" i="75"/>
  <c r="L18" i="75"/>
  <c r="AG22" i="75"/>
  <c r="L22" i="75"/>
  <c r="W22" i="75" s="1"/>
  <c r="N25" i="69"/>
  <c r="N22" i="75"/>
  <c r="Q71" i="72"/>
  <c r="L1096" i="58"/>
  <c r="Q1081" i="58" s="1"/>
  <c r="L380" i="58"/>
  <c r="Q363" i="58" s="1"/>
  <c r="N25" i="71"/>
  <c r="N26" i="69"/>
  <c r="L1136" i="58"/>
  <c r="Q1120" i="58" s="1"/>
  <c r="N19" i="71"/>
  <c r="Q76" i="72"/>
  <c r="N19" i="69"/>
  <c r="L771" i="58"/>
  <c r="Q753" i="58" s="1"/>
  <c r="L1540" i="58"/>
  <c r="Q1527" i="58" s="1"/>
  <c r="L687" i="58"/>
  <c r="Q671" i="58" s="1"/>
  <c r="L1212" i="58"/>
  <c r="Q1197" i="58" s="1"/>
  <c r="Q44" i="72"/>
  <c r="L1059" i="58"/>
  <c r="Q1041" i="58" s="1"/>
  <c r="L1116" i="58"/>
  <c r="Q1100" i="58" s="1"/>
  <c r="L1193" i="58"/>
  <c r="Q1178" i="58" s="1"/>
  <c r="Q17" i="72"/>
  <c r="N17" i="71"/>
  <c r="N20" i="71"/>
  <c r="S1364" i="72"/>
  <c r="Y1352" i="72" s="1"/>
  <c r="R17" i="72"/>
  <c r="O17" i="71"/>
  <c r="Q17" i="71" s="1"/>
  <c r="S1635" i="72"/>
  <c r="Y1623" i="72" s="1"/>
  <c r="S1692" i="72"/>
  <c r="Y1683" i="72" s="1"/>
  <c r="S1746" i="72"/>
  <c r="Y1737" i="72" s="1"/>
  <c r="S1682" i="72"/>
  <c r="Y1673" i="72" s="1"/>
  <c r="S1725" i="72"/>
  <c r="Y1716" i="72" s="1"/>
  <c r="T100" i="72"/>
  <c r="S1028" i="72"/>
  <c r="Y1017" i="72" s="1"/>
  <c r="S1757" i="72"/>
  <c r="Y1748" i="72" s="1"/>
  <c r="S1735" i="72"/>
  <c r="Y1726" i="72" s="1"/>
  <c r="S1423" i="72"/>
  <c r="Y1411" i="72" s="1"/>
  <c r="S1622" i="72"/>
  <c r="Y1612" i="72" s="1"/>
  <c r="S1702" i="72"/>
  <c r="Y1693" i="72" s="1"/>
  <c r="P25" i="71"/>
  <c r="R25" i="71" s="1"/>
  <c r="P25" i="69"/>
  <c r="P26" i="71"/>
  <c r="R26" i="71" s="1"/>
  <c r="P26" i="69"/>
  <c r="Y93" i="72"/>
  <c r="S100" i="72"/>
  <c r="R71" i="72"/>
  <c r="O25" i="69"/>
  <c r="Q25" i="69" s="1"/>
  <c r="O25" i="71"/>
  <c r="Q25" i="71" s="1"/>
  <c r="R76" i="72"/>
  <c r="O26" i="71"/>
  <c r="Q26" i="71" s="1"/>
  <c r="O26" i="69"/>
  <c r="Q26" i="69" s="1"/>
  <c r="P20" i="69"/>
  <c r="P20" i="71"/>
  <c r="R20" i="71" s="1"/>
  <c r="R44" i="72"/>
  <c r="O20" i="71"/>
  <c r="Q20" i="71" s="1"/>
  <c r="O20" i="69"/>
  <c r="Q20" i="69" s="1"/>
  <c r="P19" i="69"/>
  <c r="P19" i="71"/>
  <c r="R19" i="71" s="1"/>
  <c r="O19" i="69"/>
  <c r="Q19" i="69" s="1"/>
  <c r="O19" i="71"/>
  <c r="Q19" i="71" s="1"/>
  <c r="R33" i="72"/>
  <c r="AG17" i="69"/>
  <c r="AG20" i="69"/>
  <c r="L25" i="69"/>
  <c r="AF25" i="71"/>
  <c r="L25" i="71"/>
  <c r="L19" i="69"/>
  <c r="L26" i="69"/>
  <c r="AF17" i="71"/>
  <c r="L17" i="71"/>
  <c r="AF20" i="71"/>
  <c r="L20" i="71"/>
  <c r="AF19" i="71"/>
  <c r="L19" i="71"/>
  <c r="AF26" i="71"/>
  <c r="L26" i="71"/>
  <c r="B54" i="1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40" i="58"/>
  <c r="B26" i="59"/>
  <c r="R25" i="76" l="1"/>
  <c r="R346" i="76"/>
  <c r="S346" i="76" s="1"/>
  <c r="R351" i="76"/>
  <c r="S351" i="76" s="1"/>
  <c r="R350" i="76"/>
  <c r="S350" i="76" s="1"/>
  <c r="R26" i="76"/>
  <c r="M23" i="76"/>
  <c r="R17" i="76"/>
  <c r="R348" i="76"/>
  <c r="S348" i="76" s="1"/>
  <c r="S25" i="76"/>
  <c r="A81" i="72"/>
  <c r="A24" i="75"/>
  <c r="S26" i="71"/>
  <c r="R16" i="75"/>
  <c r="S16" i="75" s="1"/>
  <c r="R23" i="75"/>
  <c r="S23" i="75" s="1"/>
  <c r="W23" i="75"/>
  <c r="W16" i="75"/>
  <c r="R22" i="75"/>
  <c r="S22" i="75" s="1"/>
  <c r="R18" i="75"/>
  <c r="S18" i="75" s="1"/>
  <c r="W18" i="75"/>
  <c r="R19" i="75"/>
  <c r="S19" i="75" s="1"/>
  <c r="W19" i="75"/>
  <c r="S20" i="71"/>
  <c r="S19" i="71"/>
  <c r="R26" i="69"/>
  <c r="S26" i="69" s="1"/>
  <c r="R25" i="69"/>
  <c r="S25" i="69" s="1"/>
  <c r="R19" i="69"/>
  <c r="S19" i="69" s="1"/>
  <c r="K26" i="59"/>
  <c r="A27" i="71"/>
  <c r="S17" i="71"/>
  <c r="S25" i="71"/>
  <c r="J26" i="59"/>
  <c r="I26" i="59"/>
  <c r="A27" i="69"/>
  <c r="G26" i="59"/>
  <c r="H26" i="59"/>
  <c r="C26" i="59"/>
  <c r="A40" i="63"/>
  <c r="F26" i="59"/>
  <c r="B27" i="59"/>
  <c r="K27" i="59" s="1"/>
  <c r="B154" i="58"/>
  <c r="D11" i="59"/>
  <c r="E20" i="58" s="1"/>
  <c r="D12" i="59"/>
  <c r="E21" i="58" s="1"/>
  <c r="D13" i="59"/>
  <c r="E22" i="58" s="1"/>
  <c r="D14" i="59"/>
  <c r="E23" i="58" s="1"/>
  <c r="D15" i="59"/>
  <c r="E24" i="58" s="1"/>
  <c r="B11" i="59"/>
  <c r="C20" i="58" s="1"/>
  <c r="B12" i="59"/>
  <c r="C21" i="58" s="1"/>
  <c r="B13" i="59"/>
  <c r="C22" i="58" s="1"/>
  <c r="B14" i="59"/>
  <c r="C23" i="58" s="1"/>
  <c r="B15" i="59"/>
  <c r="C24" i="58" s="1"/>
  <c r="P27" i="76" l="1"/>
  <c r="P352" i="76"/>
  <c r="I24" i="75"/>
  <c r="I27" i="76"/>
  <c r="I352" i="76"/>
  <c r="I73" i="77" s="1"/>
  <c r="J24" i="75"/>
  <c r="J352" i="76"/>
  <c r="J73" i="77" s="1"/>
  <c r="L73" i="77" s="1"/>
  <c r="J27" i="76"/>
  <c r="S26" i="76"/>
  <c r="H24" i="75"/>
  <c r="H352" i="76"/>
  <c r="H73" i="77" s="1"/>
  <c r="H27" i="76"/>
  <c r="U23" i="76"/>
  <c r="O24" i="75"/>
  <c r="Q24" i="75" s="1"/>
  <c r="O27" i="76"/>
  <c r="Q27" i="76" s="1"/>
  <c r="O352" i="76"/>
  <c r="Q352" i="76" s="1"/>
  <c r="D24" i="75"/>
  <c r="D352" i="76"/>
  <c r="D73" i="77" s="1"/>
  <c r="D27" i="76"/>
  <c r="N24" i="75"/>
  <c r="N27" i="76"/>
  <c r="S17" i="76"/>
  <c r="R23" i="76"/>
  <c r="AG24" i="75"/>
  <c r="L24" i="75"/>
  <c r="P27" i="71"/>
  <c r="R27" i="71" s="1"/>
  <c r="P24" i="75"/>
  <c r="H27" i="71"/>
  <c r="H81" i="72"/>
  <c r="I27" i="71"/>
  <c r="M81" i="72"/>
  <c r="J27" i="71"/>
  <c r="AF27" i="71" s="1"/>
  <c r="N81" i="72"/>
  <c r="D27" i="71"/>
  <c r="D81" i="72"/>
  <c r="N27" i="71"/>
  <c r="Q81" i="72"/>
  <c r="O27" i="71"/>
  <c r="Q27" i="71" s="1"/>
  <c r="R81" i="72"/>
  <c r="P27" i="69"/>
  <c r="O27" i="69"/>
  <c r="Q27" i="69" s="1"/>
  <c r="I27" i="59"/>
  <c r="J27" i="59"/>
  <c r="N27" i="69"/>
  <c r="I27" i="69"/>
  <c r="J27" i="69"/>
  <c r="AG27" i="69" s="1"/>
  <c r="D27" i="69"/>
  <c r="H27" i="69"/>
  <c r="A42" i="63"/>
  <c r="G27" i="59"/>
  <c r="H27" i="59"/>
  <c r="B28" i="59"/>
  <c r="B170" i="58"/>
  <c r="B186" i="58" s="1"/>
  <c r="F27" i="59"/>
  <c r="C27" i="59"/>
  <c r="I40" i="63"/>
  <c r="J40" i="63"/>
  <c r="L40" i="63" s="1"/>
  <c r="H40" i="63"/>
  <c r="D40" i="63"/>
  <c r="C38" i="65" s="1"/>
  <c r="W23" i="76" l="1"/>
  <c r="N23" i="76"/>
  <c r="S23" i="76"/>
  <c r="AG27" i="76"/>
  <c r="L27" i="76"/>
  <c r="AG352" i="76"/>
  <c r="L352" i="76"/>
  <c r="A86" i="72"/>
  <c r="A25" i="75"/>
  <c r="R24" i="75"/>
  <c r="S24" i="75" s="1"/>
  <c r="W24" i="75"/>
  <c r="I42" i="63"/>
  <c r="L27" i="71"/>
  <c r="S27" i="71" s="1"/>
  <c r="AJ81" i="72"/>
  <c r="P81" i="72"/>
  <c r="K28" i="59"/>
  <c r="A28" i="71"/>
  <c r="J42" i="63"/>
  <c r="L42" i="63" s="1"/>
  <c r="J28" i="59"/>
  <c r="I28" i="59"/>
  <c r="L27" i="69"/>
  <c r="R27" i="69" s="1"/>
  <c r="H42" i="63"/>
  <c r="D42" i="63"/>
  <c r="C41" i="65" s="1"/>
  <c r="G28" i="59"/>
  <c r="H28" i="59"/>
  <c r="A41" i="63"/>
  <c r="A28" i="69"/>
  <c r="B29" i="59"/>
  <c r="C28" i="59"/>
  <c r="F28" i="59"/>
  <c r="R352" i="76" l="1"/>
  <c r="S352" i="76" s="1"/>
  <c r="J25" i="75"/>
  <c r="O25" i="75"/>
  <c r="Q25" i="75" s="1"/>
  <c r="O353" i="76"/>
  <c r="Q353" i="76" s="1"/>
  <c r="O28" i="76"/>
  <c r="Q28" i="76" s="1"/>
  <c r="J28" i="76"/>
  <c r="J353" i="76" s="1"/>
  <c r="J32" i="77" s="1"/>
  <c r="L32" i="77" s="1"/>
  <c r="H25" i="75"/>
  <c r="H28" i="76"/>
  <c r="H353" i="76"/>
  <c r="H32" i="77" s="1"/>
  <c r="R27" i="76"/>
  <c r="I25" i="75"/>
  <c r="I353" i="76"/>
  <c r="I32" i="77" s="1"/>
  <c r="I28" i="76"/>
  <c r="N25" i="75"/>
  <c r="N28" i="76"/>
  <c r="P25" i="75"/>
  <c r="P353" i="76"/>
  <c r="P28" i="76"/>
  <c r="A223" i="75"/>
  <c r="A26" i="75"/>
  <c r="AG25" i="75"/>
  <c r="L25" i="75"/>
  <c r="P28" i="69"/>
  <c r="P28" i="71"/>
  <c r="R28" i="71" s="1"/>
  <c r="S27" i="69"/>
  <c r="A93" i="72"/>
  <c r="A2158" i="72"/>
  <c r="O28" i="71"/>
  <c r="Q28" i="71" s="1"/>
  <c r="R86" i="72"/>
  <c r="H28" i="71"/>
  <c r="H86" i="72"/>
  <c r="I28" i="71"/>
  <c r="M86" i="72"/>
  <c r="J28" i="71"/>
  <c r="L28" i="71" s="1"/>
  <c r="N86" i="72"/>
  <c r="N28" i="71"/>
  <c r="Q86" i="72"/>
  <c r="K29" i="59"/>
  <c r="A29" i="71"/>
  <c r="A320" i="71"/>
  <c r="O28" i="69"/>
  <c r="I29" i="59"/>
  <c r="J29" i="59"/>
  <c r="N28" i="69"/>
  <c r="H29" i="59"/>
  <c r="G29" i="59"/>
  <c r="A29" i="69"/>
  <c r="A320" i="69"/>
  <c r="I41" i="63"/>
  <c r="I28" i="69"/>
  <c r="H41" i="63"/>
  <c r="H28" i="69"/>
  <c r="D41" i="63"/>
  <c r="C39" i="65" s="1"/>
  <c r="J41" i="63"/>
  <c r="L41" i="63" s="1"/>
  <c r="J28" i="69"/>
  <c r="C29" i="59"/>
  <c r="A43" i="63"/>
  <c r="F29" i="59"/>
  <c r="I354" i="76" l="1"/>
  <c r="I60" i="77" s="1"/>
  <c r="I29" i="76"/>
  <c r="I320" i="76"/>
  <c r="J354" i="76"/>
  <c r="J60" i="77" s="1"/>
  <c r="L60" i="77" s="1"/>
  <c r="J29" i="76"/>
  <c r="J320" i="76"/>
  <c r="N320" i="76"/>
  <c r="N29" i="76"/>
  <c r="P320" i="76"/>
  <c r="P354" i="76"/>
  <c r="P29" i="76"/>
  <c r="S27" i="76"/>
  <c r="AG28" i="76"/>
  <c r="L28" i="76"/>
  <c r="AG353" i="76"/>
  <c r="L353" i="76"/>
  <c r="H320" i="76"/>
  <c r="H29" i="76"/>
  <c r="H354" i="76"/>
  <c r="H60" i="77" s="1"/>
  <c r="D320" i="76"/>
  <c r="D354" i="76"/>
  <c r="D60" i="77" s="1"/>
  <c r="D29" i="76"/>
  <c r="O354" i="76"/>
  <c r="Q354" i="76" s="1"/>
  <c r="O29" i="76"/>
  <c r="Q29" i="76" s="1"/>
  <c r="O320" i="76"/>
  <c r="Q320" i="76" s="1"/>
  <c r="I26" i="75"/>
  <c r="I223" i="75"/>
  <c r="N26" i="75"/>
  <c r="N223" i="75"/>
  <c r="H223" i="75"/>
  <c r="H26" i="75"/>
  <c r="D26" i="75"/>
  <c r="D223" i="75"/>
  <c r="R25" i="75"/>
  <c r="W25" i="75"/>
  <c r="O223" i="75"/>
  <c r="Q223" i="75" s="1"/>
  <c r="O26" i="75"/>
  <c r="Q26" i="75" s="1"/>
  <c r="J26" i="75"/>
  <c r="J223" i="75"/>
  <c r="P26" i="75"/>
  <c r="P223" i="75"/>
  <c r="S2158" i="72"/>
  <c r="T2158" i="72" s="1"/>
  <c r="N93" i="72"/>
  <c r="N2158" i="72"/>
  <c r="P320" i="71"/>
  <c r="R320" i="71" s="1"/>
  <c r="H93" i="72"/>
  <c r="H2158" i="72"/>
  <c r="P29" i="71"/>
  <c r="R29" i="71" s="1"/>
  <c r="Q2158" i="72"/>
  <c r="Q93" i="72"/>
  <c r="Q100" i="72" s="1"/>
  <c r="D93" i="72"/>
  <c r="D2158" i="72"/>
  <c r="P320" i="69"/>
  <c r="AF28" i="71"/>
  <c r="M93" i="72"/>
  <c r="M2158" i="72"/>
  <c r="P29" i="69"/>
  <c r="R2158" i="72"/>
  <c r="R93" i="72"/>
  <c r="AJ86" i="72"/>
  <c r="P86" i="72"/>
  <c r="D29" i="71"/>
  <c r="D320" i="71"/>
  <c r="I29" i="71"/>
  <c r="I320" i="71"/>
  <c r="O29" i="71"/>
  <c r="Q29" i="71" s="1"/>
  <c r="O320" i="71"/>
  <c r="Q320" i="71" s="1"/>
  <c r="S28" i="71"/>
  <c r="J29" i="71"/>
  <c r="J320" i="71"/>
  <c r="N29" i="71"/>
  <c r="N320" i="71"/>
  <c r="H29" i="71"/>
  <c r="H320" i="71"/>
  <c r="N320" i="69"/>
  <c r="N29" i="69"/>
  <c r="O29" i="69"/>
  <c r="Q29" i="69" s="1"/>
  <c r="O320" i="69"/>
  <c r="Q320" i="69" s="1"/>
  <c r="J320" i="69"/>
  <c r="L320" i="69" s="1"/>
  <c r="H29" i="69"/>
  <c r="H320" i="69"/>
  <c r="I29" i="69"/>
  <c r="I320" i="69"/>
  <c r="D29" i="69"/>
  <c r="D320" i="69"/>
  <c r="AG28" i="69"/>
  <c r="J29" i="69"/>
  <c r="J43" i="63"/>
  <c r="L43" i="63" s="1"/>
  <c r="I43" i="63"/>
  <c r="D43" i="63"/>
  <c r="C42" i="65" s="1"/>
  <c r="H43" i="63"/>
  <c r="R353" i="76" l="1"/>
  <c r="S353" i="76" s="1"/>
  <c r="AG354" i="76"/>
  <c r="L354" i="76"/>
  <c r="AG320" i="76"/>
  <c r="L320" i="76"/>
  <c r="R320" i="76" s="1"/>
  <c r="S320" i="76" s="1"/>
  <c r="R28" i="76"/>
  <c r="AG29" i="76"/>
  <c r="L29" i="76"/>
  <c r="R29" i="76" s="1"/>
  <c r="S29" i="76" s="1"/>
  <c r="AG223" i="75"/>
  <c r="L223" i="75"/>
  <c r="AG26" i="75"/>
  <c r="L26" i="75"/>
  <c r="S25" i="75"/>
  <c r="R320" i="69"/>
  <c r="S320" i="69" s="1"/>
  <c r="AJ2158" i="72"/>
  <c r="P2158" i="72"/>
  <c r="AJ93" i="72"/>
  <c r="P93" i="72"/>
  <c r="AF320" i="71"/>
  <c r="L320" i="71"/>
  <c r="S320" i="71" s="1"/>
  <c r="AF29" i="71"/>
  <c r="L29" i="71"/>
  <c r="AG320" i="69"/>
  <c r="L29" i="69"/>
  <c r="AG29" i="69"/>
  <c r="L45" i="63"/>
  <c r="M30" i="76" l="1"/>
  <c r="R354" i="76"/>
  <c r="S354" i="76" s="1"/>
  <c r="S28" i="76"/>
  <c r="R30" i="76"/>
  <c r="R223" i="75"/>
  <c r="S223" i="75" s="1"/>
  <c r="W223" i="75"/>
  <c r="R26" i="75"/>
  <c r="S26" i="75" s="1"/>
  <c r="W26" i="75"/>
  <c r="R29" i="69"/>
  <c r="S29" i="69" s="1"/>
  <c r="S29" i="71"/>
  <c r="M30" i="71"/>
  <c r="N30" i="76" l="1"/>
  <c r="S30" i="76"/>
  <c r="U30" i="76"/>
  <c r="U30" i="71"/>
  <c r="B206" i="58" l="1"/>
  <c r="B226" i="58" s="1"/>
  <c r="B246" i="58" s="1"/>
  <c r="B267" i="58" s="1"/>
  <c r="B287" i="58" s="1"/>
  <c r="B30" i="59"/>
  <c r="A112" i="72" l="1"/>
  <c r="A28" i="75"/>
  <c r="K30" i="59"/>
  <c r="A33" i="71"/>
  <c r="J30" i="59"/>
  <c r="I30" i="59"/>
  <c r="A33" i="69"/>
  <c r="G30" i="59"/>
  <c r="H30" i="59"/>
  <c r="F30" i="59"/>
  <c r="C30" i="59"/>
  <c r="B31" i="59"/>
  <c r="K31" i="59" s="1"/>
  <c r="T46" i="11"/>
  <c r="S46" i="11"/>
  <c r="R46" i="11"/>
  <c r="J28" i="75" l="1"/>
  <c r="L28" i="75" s="1"/>
  <c r="J355" i="76"/>
  <c r="J46" i="77" s="1"/>
  <c r="L46" i="77" s="1"/>
  <c r="J33" i="76"/>
  <c r="D28" i="75"/>
  <c r="D355" i="76"/>
  <c r="D46" i="77" s="1"/>
  <c r="D33" i="76"/>
  <c r="P28" i="75"/>
  <c r="P355" i="76"/>
  <c r="P33" i="76"/>
  <c r="I28" i="75"/>
  <c r="I355" i="76"/>
  <c r="I46" i="77" s="1"/>
  <c r="I33" i="76"/>
  <c r="N28" i="75"/>
  <c r="N33" i="76"/>
  <c r="H28" i="75"/>
  <c r="H355" i="76"/>
  <c r="H46" i="77" s="1"/>
  <c r="H33" i="76"/>
  <c r="O28" i="75"/>
  <c r="Q28" i="75" s="1"/>
  <c r="O355" i="76"/>
  <c r="Q355" i="76" s="1"/>
  <c r="O33" i="76"/>
  <c r="Q33" i="76" s="1"/>
  <c r="AG28" i="75"/>
  <c r="P33" i="69"/>
  <c r="N33" i="71"/>
  <c r="Q112" i="72"/>
  <c r="H33" i="71"/>
  <c r="H112" i="72"/>
  <c r="O33" i="71"/>
  <c r="Q33" i="71" s="1"/>
  <c r="R112" i="72"/>
  <c r="I33" i="71"/>
  <c r="M112" i="72"/>
  <c r="J33" i="71"/>
  <c r="AF33" i="71" s="1"/>
  <c r="N112" i="72"/>
  <c r="D33" i="71"/>
  <c r="D112" i="72"/>
  <c r="P33" i="71"/>
  <c r="R33" i="71" s="1"/>
  <c r="S112" i="72"/>
  <c r="T112" i="72" s="1"/>
  <c r="O33" i="69"/>
  <c r="Q33" i="69" s="1"/>
  <c r="I31" i="59"/>
  <c r="J31" i="59"/>
  <c r="N33" i="69"/>
  <c r="D33" i="69"/>
  <c r="H33" i="69"/>
  <c r="I33" i="69"/>
  <c r="J33" i="69"/>
  <c r="AG33" i="69" s="1"/>
  <c r="A48" i="63"/>
  <c r="G31" i="59"/>
  <c r="H31" i="59"/>
  <c r="F31" i="59"/>
  <c r="C31" i="59"/>
  <c r="D48" i="63" s="1"/>
  <c r="C65" i="65" s="1"/>
  <c r="AG33" i="76" l="1"/>
  <c r="L33" i="76"/>
  <c r="R33" i="76" s="1"/>
  <c r="S33" i="76" s="1"/>
  <c r="AG355" i="76"/>
  <c r="L355" i="76"/>
  <c r="R28" i="75"/>
  <c r="S28" i="75" s="1"/>
  <c r="W28" i="75"/>
  <c r="H48" i="63"/>
  <c r="L33" i="71"/>
  <c r="S33" i="71" s="1"/>
  <c r="AJ112" i="72"/>
  <c r="P112" i="72"/>
  <c r="J48" i="63"/>
  <c r="L48" i="63" s="1"/>
  <c r="I48" i="63"/>
  <c r="L33" i="69"/>
  <c r="B32" i="59"/>
  <c r="R355" i="76" l="1"/>
  <c r="S355" i="76" s="1"/>
  <c r="A102" i="72"/>
  <c r="A27" i="75"/>
  <c r="R33" i="69"/>
  <c r="S33" i="69" s="1"/>
  <c r="K32" i="59"/>
  <c r="A32" i="71"/>
  <c r="J32" i="59"/>
  <c r="I32" i="59"/>
  <c r="G32" i="59"/>
  <c r="H32" i="59"/>
  <c r="A47" i="63"/>
  <c r="A32" i="69"/>
  <c r="C32" i="59"/>
  <c r="F32" i="59"/>
  <c r="I27" i="75" l="1"/>
  <c r="I356" i="76"/>
  <c r="I82" i="77" s="1"/>
  <c r="I32" i="76"/>
  <c r="J27" i="75"/>
  <c r="AG27" i="75" s="1"/>
  <c r="J356" i="76"/>
  <c r="J82" i="77" s="1"/>
  <c r="L82" i="77" s="1"/>
  <c r="J32" i="76"/>
  <c r="O27" i="75"/>
  <c r="Q27" i="75" s="1"/>
  <c r="O356" i="76"/>
  <c r="Q356" i="76" s="1"/>
  <c r="O32" i="76"/>
  <c r="Q32" i="76" s="1"/>
  <c r="H27" i="75"/>
  <c r="H356" i="76"/>
  <c r="H82" i="77" s="1"/>
  <c r="H32" i="76"/>
  <c r="P27" i="75"/>
  <c r="P356" i="76"/>
  <c r="P32" i="76"/>
  <c r="D27" i="75"/>
  <c r="D356" i="76"/>
  <c r="D82" i="77" s="1"/>
  <c r="D32" i="76"/>
  <c r="N27" i="75"/>
  <c r="N32" i="76"/>
  <c r="P32" i="71"/>
  <c r="R32" i="71" s="1"/>
  <c r="P32" i="69"/>
  <c r="D32" i="71"/>
  <c r="D102" i="72"/>
  <c r="N32" i="71"/>
  <c r="Q102" i="72"/>
  <c r="I32" i="71"/>
  <c r="M102" i="72"/>
  <c r="H32" i="71"/>
  <c r="H102" i="72"/>
  <c r="O32" i="71"/>
  <c r="Q32" i="71" s="1"/>
  <c r="R102" i="72"/>
  <c r="J32" i="71"/>
  <c r="AF32" i="71" s="1"/>
  <c r="N102" i="72"/>
  <c r="O32" i="69"/>
  <c r="Q32" i="69" s="1"/>
  <c r="N32" i="69"/>
  <c r="J32" i="69"/>
  <c r="I47" i="63"/>
  <c r="I32" i="69"/>
  <c r="D47" i="63"/>
  <c r="C59" i="65" s="1"/>
  <c r="D32" i="69"/>
  <c r="H47" i="63"/>
  <c r="H32" i="69"/>
  <c r="J47" i="63"/>
  <c r="L47" i="63" s="1"/>
  <c r="L27" i="75" l="1"/>
  <c r="AG32" i="76"/>
  <c r="L32" i="76"/>
  <c r="L356" i="76"/>
  <c r="R356" i="76" s="1"/>
  <c r="S356" i="76" s="1"/>
  <c r="AG356" i="76"/>
  <c r="R27" i="75"/>
  <c r="S27" i="75" s="1"/>
  <c r="W27" i="75"/>
  <c r="AJ102" i="72"/>
  <c r="P102" i="72"/>
  <c r="L32" i="71"/>
  <c r="S32" i="71" s="1"/>
  <c r="L32" i="69"/>
  <c r="AG32" i="69"/>
  <c r="R32" i="76" l="1"/>
  <c r="S32" i="76" s="1"/>
  <c r="R32" i="69"/>
  <c r="S32" i="69" s="1"/>
  <c r="B33" i="59" l="1"/>
  <c r="A123" i="72" l="1"/>
  <c r="A29" i="75"/>
  <c r="K33" i="59"/>
  <c r="A34" i="71"/>
  <c r="I33" i="59"/>
  <c r="N34" i="76" s="1"/>
  <c r="J33" i="59"/>
  <c r="A34" i="69"/>
  <c r="H33" i="59"/>
  <c r="G33" i="59"/>
  <c r="C33" i="59"/>
  <c r="D357" i="76" s="1"/>
  <c r="D100" i="77" s="1"/>
  <c r="F33" i="59"/>
  <c r="I29" i="75" l="1"/>
  <c r="I357" i="76"/>
  <c r="I100" i="77" s="1"/>
  <c r="I34" i="76"/>
  <c r="J357" i="76"/>
  <c r="J100" i="77" s="1"/>
  <c r="L100" i="77" s="1"/>
  <c r="J34" i="76"/>
  <c r="H357" i="76"/>
  <c r="H100" i="77" s="1"/>
  <c r="H34" i="76"/>
  <c r="O29" i="75"/>
  <c r="Q29" i="75" s="1"/>
  <c r="O357" i="76"/>
  <c r="Q357" i="76" s="1"/>
  <c r="O34" i="76"/>
  <c r="Q34" i="76" s="1"/>
  <c r="P357" i="76"/>
  <c r="P34" i="76"/>
  <c r="J29" i="75"/>
  <c r="L29" i="75" s="1"/>
  <c r="N29" i="75"/>
  <c r="H29" i="75"/>
  <c r="P29" i="75"/>
  <c r="P34" i="69"/>
  <c r="O34" i="71"/>
  <c r="Q34" i="71" s="1"/>
  <c r="R123" i="72"/>
  <c r="J34" i="71"/>
  <c r="AF34" i="71" s="1"/>
  <c r="N123" i="72"/>
  <c r="N34" i="71"/>
  <c r="Q123" i="72"/>
  <c r="Q134" i="72" s="1"/>
  <c r="H34" i="71"/>
  <c r="H123" i="72"/>
  <c r="I34" i="71"/>
  <c r="M123" i="72"/>
  <c r="P34" i="71"/>
  <c r="R34" i="71" s="1"/>
  <c r="S123" i="72"/>
  <c r="T123" i="72" s="1"/>
  <c r="N34" i="69"/>
  <c r="O34" i="69"/>
  <c r="I34" i="69"/>
  <c r="H34" i="69"/>
  <c r="J34" i="69"/>
  <c r="AG34" i="69" s="1"/>
  <c r="L357" i="76" l="1"/>
  <c r="R357" i="76" s="1"/>
  <c r="S357" i="76" s="1"/>
  <c r="AG357" i="76"/>
  <c r="AG34" i="76"/>
  <c r="L34" i="76"/>
  <c r="M35" i="76" s="1"/>
  <c r="AG29" i="75"/>
  <c r="R29" i="75"/>
  <c r="S29" i="75" s="1"/>
  <c r="W29" i="75"/>
  <c r="AJ123" i="72"/>
  <c r="P123" i="72"/>
  <c r="L34" i="71"/>
  <c r="S34" i="71" s="1"/>
  <c r="B34" i="59"/>
  <c r="R34" i="76" l="1"/>
  <c r="A97" i="75"/>
  <c r="A92" i="75"/>
  <c r="A971" i="72"/>
  <c r="A927" i="72"/>
  <c r="M35" i="71"/>
  <c r="U35" i="71" s="1"/>
  <c r="K34" i="59"/>
  <c r="A136" i="71"/>
  <c r="A143" i="71"/>
  <c r="J34" i="59"/>
  <c r="I34" i="59"/>
  <c r="G34" i="59"/>
  <c r="H34" i="59"/>
  <c r="A143" i="69"/>
  <c r="A136" i="69"/>
  <c r="F34" i="59"/>
  <c r="C34" i="59"/>
  <c r="A49" i="63"/>
  <c r="N136" i="76" l="1"/>
  <c r="N143" i="76"/>
  <c r="P358" i="76"/>
  <c r="P143" i="76"/>
  <c r="P136" i="76"/>
  <c r="O358" i="76"/>
  <c r="Q358" i="76" s="1"/>
  <c r="O136" i="76"/>
  <c r="Q136" i="76" s="1"/>
  <c r="O143" i="76"/>
  <c r="Q143" i="76" s="1"/>
  <c r="D358" i="76"/>
  <c r="D26" i="77" s="1"/>
  <c r="D136" i="76"/>
  <c r="D143" i="76"/>
  <c r="H358" i="76"/>
  <c r="H26" i="77" s="1"/>
  <c r="H143" i="76"/>
  <c r="H136" i="76"/>
  <c r="S34" i="76"/>
  <c r="S35" i="76" s="1"/>
  <c r="R35" i="76"/>
  <c r="N35" i="76" s="1"/>
  <c r="I358" i="76"/>
  <c r="I26" i="77" s="1"/>
  <c r="I136" i="76"/>
  <c r="I143" i="76"/>
  <c r="J358" i="76"/>
  <c r="J26" i="77" s="1"/>
  <c r="L26" i="77" s="1"/>
  <c r="J143" i="76"/>
  <c r="J136" i="76"/>
  <c r="U35" i="76"/>
  <c r="I92" i="75"/>
  <c r="I97" i="75"/>
  <c r="N97" i="75"/>
  <c r="N92" i="75"/>
  <c r="P92" i="75"/>
  <c r="P97" i="75"/>
  <c r="O97" i="75"/>
  <c r="Q97" i="75" s="1"/>
  <c r="O92" i="75"/>
  <c r="Q92" i="75" s="1"/>
  <c r="D92" i="75"/>
  <c r="D97" i="75"/>
  <c r="H97" i="75"/>
  <c r="H92" i="75"/>
  <c r="J92" i="75"/>
  <c r="J97" i="75"/>
  <c r="P136" i="69"/>
  <c r="P143" i="69"/>
  <c r="H927" i="72"/>
  <c r="H971" i="72"/>
  <c r="M927" i="72"/>
  <c r="M971" i="72"/>
  <c r="N971" i="72"/>
  <c r="N927" i="72"/>
  <c r="P143" i="71"/>
  <c r="R143" i="71" s="1"/>
  <c r="Q971" i="72"/>
  <c r="Q927" i="72"/>
  <c r="P136" i="71"/>
  <c r="R136" i="71" s="1"/>
  <c r="D971" i="72"/>
  <c r="D927" i="72"/>
  <c r="R927" i="72"/>
  <c r="R971" i="72"/>
  <c r="S971" i="72"/>
  <c r="T971" i="72" s="1"/>
  <c r="S927" i="72"/>
  <c r="T927" i="72" s="1"/>
  <c r="H136" i="71"/>
  <c r="H143" i="71"/>
  <c r="I143" i="71"/>
  <c r="I136" i="71"/>
  <c r="J143" i="71"/>
  <c r="J136" i="71"/>
  <c r="N136" i="71"/>
  <c r="N143" i="71"/>
  <c r="O143" i="71"/>
  <c r="Q143" i="71" s="1"/>
  <c r="O136" i="71"/>
  <c r="Q136" i="71" s="1"/>
  <c r="D136" i="71"/>
  <c r="D143" i="71"/>
  <c r="O143" i="69"/>
  <c r="Q143" i="69" s="1"/>
  <c r="N143" i="69"/>
  <c r="O136" i="69"/>
  <c r="Q136" i="69" s="1"/>
  <c r="N136" i="69"/>
  <c r="D136" i="69"/>
  <c r="H136" i="69"/>
  <c r="J136" i="69"/>
  <c r="AG136" i="69" s="1"/>
  <c r="I136" i="69"/>
  <c r="H143" i="69"/>
  <c r="J143" i="69"/>
  <c r="L143" i="69" s="1"/>
  <c r="I143" i="69"/>
  <c r="D143" i="69"/>
  <c r="J49" i="63"/>
  <c r="L49" i="63" s="1"/>
  <c r="I49" i="63"/>
  <c r="H49" i="63"/>
  <c r="D49" i="63"/>
  <c r="C72" i="65" s="1"/>
  <c r="L358" i="76" l="1"/>
  <c r="R358" i="76" s="1"/>
  <c r="S358" i="76" s="1"/>
  <c r="AG358" i="76"/>
  <c r="AG136" i="76"/>
  <c r="L136" i="76"/>
  <c r="AG143" i="76"/>
  <c r="L143" i="76"/>
  <c r="R143" i="76" s="1"/>
  <c r="S143" i="76" s="1"/>
  <c r="AG97" i="75"/>
  <c r="L97" i="75"/>
  <c r="R97" i="75" s="1"/>
  <c r="AG92" i="75"/>
  <c r="L92" i="75"/>
  <c r="R143" i="69"/>
  <c r="S143" i="69" s="1"/>
  <c r="AJ927" i="72"/>
  <c r="P927" i="72"/>
  <c r="AJ971" i="72"/>
  <c r="P971" i="72"/>
  <c r="AF136" i="71"/>
  <c r="L136" i="71"/>
  <c r="AF143" i="71"/>
  <c r="L143" i="71"/>
  <c r="S143" i="71" s="1"/>
  <c r="L136" i="69"/>
  <c r="AG143" i="69"/>
  <c r="R136" i="76" l="1"/>
  <c r="R92" i="75"/>
  <c r="S92" i="75" s="1"/>
  <c r="W92" i="75"/>
  <c r="W97" i="75"/>
  <c r="S97" i="75"/>
  <c r="R136" i="69"/>
  <c r="S136" i="69" s="1"/>
  <c r="S136" i="71"/>
  <c r="A53" i="63"/>
  <c r="S136" i="76" l="1"/>
  <c r="I53" i="63"/>
  <c r="J53" i="63"/>
  <c r="L53" i="63" s="1"/>
  <c r="D53" i="63"/>
  <c r="C117" i="65" s="1"/>
  <c r="H53" i="63"/>
  <c r="B306" i="58" l="1"/>
  <c r="B326" i="58" s="1"/>
  <c r="B35" i="59"/>
  <c r="K35" i="59" s="1"/>
  <c r="I35" i="59" l="1"/>
  <c r="J35" i="59"/>
  <c r="G35" i="59"/>
  <c r="H35" i="59"/>
  <c r="B344" i="58"/>
  <c r="B363" i="58" s="1"/>
  <c r="B384" i="58" s="1"/>
  <c r="B405" i="58" s="1"/>
  <c r="B425" i="58" s="1"/>
  <c r="B36" i="59"/>
  <c r="F35" i="59"/>
  <c r="C35" i="59"/>
  <c r="A94" i="75" l="1"/>
  <c r="A99" i="75"/>
  <c r="A949" i="72"/>
  <c r="A993" i="72"/>
  <c r="K36" i="59"/>
  <c r="A138" i="71"/>
  <c r="A145" i="71"/>
  <c r="J36" i="59"/>
  <c r="I36" i="59"/>
  <c r="A138" i="69"/>
  <c r="G36" i="59"/>
  <c r="H36" i="59"/>
  <c r="A145" i="69"/>
  <c r="F36" i="59"/>
  <c r="C36" i="59"/>
  <c r="D359" i="76" l="1"/>
  <c r="D28" i="77" s="1"/>
  <c r="D145" i="76"/>
  <c r="D138" i="76"/>
  <c r="J359" i="76"/>
  <c r="J28" i="77" s="1"/>
  <c r="L28" i="77" s="1"/>
  <c r="J145" i="76"/>
  <c r="J138" i="76"/>
  <c r="O359" i="76"/>
  <c r="Q359" i="76" s="1"/>
  <c r="O138" i="76"/>
  <c r="Q138" i="76" s="1"/>
  <c r="O145" i="76"/>
  <c r="Q145" i="76" s="1"/>
  <c r="I359" i="76"/>
  <c r="I28" i="77" s="1"/>
  <c r="I145" i="76"/>
  <c r="I138" i="76"/>
  <c r="H359" i="76"/>
  <c r="H28" i="77" s="1"/>
  <c r="H138" i="76"/>
  <c r="H145" i="76"/>
  <c r="N145" i="76"/>
  <c r="N138" i="76"/>
  <c r="P359" i="76"/>
  <c r="P145" i="76"/>
  <c r="P138" i="76"/>
  <c r="J94" i="75"/>
  <c r="J99" i="75"/>
  <c r="I99" i="75"/>
  <c r="I94" i="75"/>
  <c r="P145" i="71"/>
  <c r="R145" i="71" s="1"/>
  <c r="P94" i="75"/>
  <c r="P99" i="75"/>
  <c r="N94" i="75"/>
  <c r="N99" i="75"/>
  <c r="H99" i="75"/>
  <c r="H94" i="75"/>
  <c r="O99" i="75"/>
  <c r="Q99" i="75" s="1"/>
  <c r="O94" i="75"/>
  <c r="Q94" i="75" s="1"/>
  <c r="D94" i="75"/>
  <c r="D99" i="75"/>
  <c r="P138" i="71"/>
  <c r="R138" i="71" s="1"/>
  <c r="P145" i="69"/>
  <c r="D993" i="72"/>
  <c r="D949" i="72"/>
  <c r="M949" i="72"/>
  <c r="M993" i="72"/>
  <c r="P138" i="69"/>
  <c r="H949" i="72"/>
  <c r="H993" i="72"/>
  <c r="R949" i="72"/>
  <c r="R993" i="72"/>
  <c r="Q993" i="72"/>
  <c r="Q949" i="72"/>
  <c r="N993" i="72"/>
  <c r="N949" i="72"/>
  <c r="S993" i="72"/>
  <c r="T993" i="72" s="1"/>
  <c r="S949" i="72"/>
  <c r="T949" i="72" s="1"/>
  <c r="N145" i="71"/>
  <c r="N138" i="71"/>
  <c r="H145" i="71"/>
  <c r="H138" i="71"/>
  <c r="O145" i="71"/>
  <c r="Q145" i="71" s="1"/>
  <c r="O138" i="71"/>
  <c r="Q138" i="71" s="1"/>
  <c r="D138" i="71"/>
  <c r="D145" i="71"/>
  <c r="J145" i="71"/>
  <c r="J138" i="71"/>
  <c r="I138" i="71"/>
  <c r="I145" i="71"/>
  <c r="O138" i="69"/>
  <c r="N138" i="69"/>
  <c r="O145" i="69"/>
  <c r="Q145" i="69" s="1"/>
  <c r="N145" i="69"/>
  <c r="D138" i="69"/>
  <c r="D145" i="69"/>
  <c r="H138" i="69"/>
  <c r="H145" i="69"/>
  <c r="J138" i="69"/>
  <c r="AG138" i="69" s="1"/>
  <c r="J145" i="69"/>
  <c r="L145" i="69" s="1"/>
  <c r="I138" i="69"/>
  <c r="I145" i="69"/>
  <c r="AG138" i="76" l="1"/>
  <c r="L138" i="76"/>
  <c r="R138" i="76" s="1"/>
  <c r="S138" i="76" s="1"/>
  <c r="L359" i="76"/>
  <c r="R359" i="76" s="1"/>
  <c r="S359" i="76" s="1"/>
  <c r="AG359" i="76"/>
  <c r="AG145" i="76"/>
  <c r="L145" i="76"/>
  <c r="R145" i="76" s="1"/>
  <c r="S145" i="76" s="1"/>
  <c r="AG99" i="75"/>
  <c r="L99" i="75"/>
  <c r="AG94" i="75"/>
  <c r="L94" i="75"/>
  <c r="R145" i="69"/>
  <c r="S145" i="69" s="1"/>
  <c r="AJ993" i="72"/>
  <c r="P993" i="72"/>
  <c r="AJ949" i="72"/>
  <c r="P949" i="72"/>
  <c r="AF145" i="71"/>
  <c r="L145" i="71"/>
  <c r="S145" i="71" s="1"/>
  <c r="AF138" i="71"/>
  <c r="L138" i="71"/>
  <c r="S138" i="71" s="1"/>
  <c r="AG145" i="69"/>
  <c r="A50" i="63"/>
  <c r="R94" i="75" l="1"/>
  <c r="S94" i="75" s="1"/>
  <c r="W94" i="75"/>
  <c r="R99" i="75"/>
  <c r="S99" i="75" s="1"/>
  <c r="W99" i="75"/>
  <c r="I50" i="63"/>
  <c r="H50" i="63"/>
  <c r="J50" i="63"/>
  <c r="L50" i="63" s="1"/>
  <c r="D50" i="63"/>
  <c r="C95" i="65" s="1"/>
  <c r="B37" i="59" l="1"/>
  <c r="A96" i="75" l="1"/>
  <c r="A101" i="75"/>
  <c r="A961" i="72"/>
  <c r="A1005" i="72"/>
  <c r="K37" i="59"/>
  <c r="A140" i="71"/>
  <c r="A147" i="71"/>
  <c r="I37" i="59"/>
  <c r="J37" i="59"/>
  <c r="H37" i="59"/>
  <c r="G37" i="59"/>
  <c r="A140" i="69"/>
  <c r="A147" i="69"/>
  <c r="C37" i="59"/>
  <c r="F37" i="59"/>
  <c r="A51" i="63"/>
  <c r="D360" i="76" l="1"/>
  <c r="D36" i="77" s="1"/>
  <c r="D140" i="76"/>
  <c r="D147" i="76"/>
  <c r="N140" i="76"/>
  <c r="N147" i="76"/>
  <c r="J360" i="76"/>
  <c r="J36" i="77" s="1"/>
  <c r="L36" i="77" s="1"/>
  <c r="J140" i="76"/>
  <c r="J147" i="76"/>
  <c r="H360" i="76"/>
  <c r="H36" i="77" s="1"/>
  <c r="H140" i="76"/>
  <c r="H147" i="76"/>
  <c r="I360" i="76"/>
  <c r="I36" i="77" s="1"/>
  <c r="I147" i="76"/>
  <c r="I140" i="76"/>
  <c r="O360" i="76"/>
  <c r="Q360" i="76" s="1"/>
  <c r="O140" i="76"/>
  <c r="Q140" i="76" s="1"/>
  <c r="O147" i="76"/>
  <c r="Q147" i="76" s="1"/>
  <c r="P360" i="76"/>
  <c r="P147" i="76"/>
  <c r="P140" i="76"/>
  <c r="D96" i="75"/>
  <c r="D101" i="75"/>
  <c r="H101" i="75"/>
  <c r="H96" i="75"/>
  <c r="P96" i="75"/>
  <c r="P101" i="75"/>
  <c r="I101" i="75"/>
  <c r="I96" i="75"/>
  <c r="O101" i="75"/>
  <c r="Q101" i="75" s="1"/>
  <c r="O96" i="75"/>
  <c r="Q96" i="75" s="1"/>
  <c r="N96" i="75"/>
  <c r="N101" i="75"/>
  <c r="J96" i="75"/>
  <c r="J101" i="75"/>
  <c r="P147" i="69"/>
  <c r="P140" i="69"/>
  <c r="P147" i="71"/>
  <c r="R147" i="71" s="1"/>
  <c r="D1005" i="72"/>
  <c r="D961" i="72"/>
  <c r="Q1005" i="72"/>
  <c r="Q961" i="72"/>
  <c r="M1005" i="72"/>
  <c r="M961" i="72"/>
  <c r="H961" i="72"/>
  <c r="H1005" i="72"/>
  <c r="P140" i="71"/>
  <c r="R140" i="71" s="1"/>
  <c r="N1005" i="72"/>
  <c r="N961" i="72"/>
  <c r="R961" i="72"/>
  <c r="R1005" i="72"/>
  <c r="S1005" i="72"/>
  <c r="T1005" i="72" s="1"/>
  <c r="S961" i="72"/>
  <c r="T961" i="72" s="1"/>
  <c r="H147" i="71"/>
  <c r="H140" i="71"/>
  <c r="O147" i="71"/>
  <c r="Q147" i="71" s="1"/>
  <c r="O140" i="71"/>
  <c r="Q140" i="71" s="1"/>
  <c r="N147" i="71"/>
  <c r="N140" i="71"/>
  <c r="I147" i="71"/>
  <c r="I140" i="71"/>
  <c r="J140" i="71"/>
  <c r="J147" i="71"/>
  <c r="D140" i="71"/>
  <c r="D147" i="71"/>
  <c r="O147" i="69"/>
  <c r="Q147" i="69" s="1"/>
  <c r="N147" i="69"/>
  <c r="N140" i="69"/>
  <c r="O140" i="69"/>
  <c r="D140" i="69"/>
  <c r="D147" i="69"/>
  <c r="H140" i="69"/>
  <c r="H147" i="69"/>
  <c r="J140" i="69"/>
  <c r="AG140" i="69" s="1"/>
  <c r="J147" i="69"/>
  <c r="L147" i="69" s="1"/>
  <c r="I140" i="69"/>
  <c r="I147" i="69"/>
  <c r="J51" i="63"/>
  <c r="L51" i="63" s="1"/>
  <c r="D51" i="63"/>
  <c r="C98" i="65" s="1"/>
  <c r="H51" i="63"/>
  <c r="I51" i="63"/>
  <c r="AG147" i="76" l="1"/>
  <c r="L147" i="76"/>
  <c r="AG360" i="76"/>
  <c r="L360" i="76"/>
  <c r="R360" i="76" s="1"/>
  <c r="S360" i="76" s="1"/>
  <c r="AG140" i="76"/>
  <c r="L140" i="76"/>
  <c r="R140" i="76" s="1"/>
  <c r="S140" i="76" s="1"/>
  <c r="AG101" i="75"/>
  <c r="L101" i="75"/>
  <c r="AG96" i="75"/>
  <c r="L96" i="75"/>
  <c r="R147" i="69"/>
  <c r="S147" i="69" s="1"/>
  <c r="AJ961" i="72"/>
  <c r="P961" i="72"/>
  <c r="AJ1005" i="72"/>
  <c r="P1005" i="72"/>
  <c r="AF140" i="71"/>
  <c r="L140" i="71"/>
  <c r="S140" i="71" s="1"/>
  <c r="AF147" i="71"/>
  <c r="L147" i="71"/>
  <c r="S147" i="71" s="1"/>
  <c r="AG147" i="69"/>
  <c r="R147" i="76" l="1"/>
  <c r="S147" i="76" s="1"/>
  <c r="R96" i="75"/>
  <c r="S96" i="75" s="1"/>
  <c r="W96" i="75"/>
  <c r="R101" i="75"/>
  <c r="S101" i="75" s="1"/>
  <c r="W101" i="75"/>
  <c r="B38" i="59"/>
  <c r="A1323" i="72" l="1"/>
  <c r="A130" i="75"/>
  <c r="K38" i="59"/>
  <c r="A186" i="71"/>
  <c r="J38" i="59"/>
  <c r="I38" i="59"/>
  <c r="G38" i="59"/>
  <c r="H38" i="59"/>
  <c r="A149" i="63"/>
  <c r="A186" i="69"/>
  <c r="C38" i="59"/>
  <c r="F38" i="59"/>
  <c r="I130" i="75" l="1"/>
  <c r="I361" i="76"/>
  <c r="I77" i="77" s="1"/>
  <c r="I186" i="76"/>
  <c r="H130" i="75"/>
  <c r="H361" i="76"/>
  <c r="H77" i="77" s="1"/>
  <c r="H186" i="76"/>
  <c r="J130" i="75"/>
  <c r="AG130" i="75" s="1"/>
  <c r="J186" i="76"/>
  <c r="J361" i="76"/>
  <c r="J77" i="77" s="1"/>
  <c r="L77" i="77" s="1"/>
  <c r="N130" i="75"/>
  <c r="N186" i="76"/>
  <c r="D130" i="75"/>
  <c r="D361" i="76"/>
  <c r="D77" i="77" s="1"/>
  <c r="D186" i="76"/>
  <c r="P361" i="76"/>
  <c r="P186" i="76"/>
  <c r="O361" i="76"/>
  <c r="Q361" i="76" s="1"/>
  <c r="O186" i="76"/>
  <c r="Q186" i="76" s="1"/>
  <c r="P130" i="75"/>
  <c r="O130" i="75"/>
  <c r="Q130" i="75" s="1"/>
  <c r="P186" i="69"/>
  <c r="N186" i="71"/>
  <c r="Q1323" i="72"/>
  <c r="O186" i="71"/>
  <c r="Q186" i="71" s="1"/>
  <c r="R1323" i="72"/>
  <c r="I186" i="71"/>
  <c r="M1323" i="72"/>
  <c r="H186" i="71"/>
  <c r="H1323" i="72"/>
  <c r="D186" i="71"/>
  <c r="D1323" i="72"/>
  <c r="J186" i="71"/>
  <c r="AF186" i="71" s="1"/>
  <c r="N1323" i="72"/>
  <c r="P186" i="71"/>
  <c r="R186" i="71" s="1"/>
  <c r="S1323" i="72"/>
  <c r="T1323" i="72" s="1"/>
  <c r="O186" i="69"/>
  <c r="Q186" i="69" s="1"/>
  <c r="N186" i="69"/>
  <c r="D149" i="63"/>
  <c r="C457" i="65" s="1"/>
  <c r="D186" i="69"/>
  <c r="H149" i="63"/>
  <c r="H186" i="69"/>
  <c r="J149" i="63"/>
  <c r="L149" i="63" s="1"/>
  <c r="J186" i="69"/>
  <c r="I149" i="63"/>
  <c r="I186" i="69"/>
  <c r="AG186" i="76" l="1"/>
  <c r="L186" i="76"/>
  <c r="R186" i="76" s="1"/>
  <c r="S186" i="76" s="1"/>
  <c r="L130" i="75"/>
  <c r="W130" i="75" s="1"/>
  <c r="AG361" i="76"/>
  <c r="L361" i="76"/>
  <c r="L186" i="71"/>
  <c r="S186" i="71" s="1"/>
  <c r="P1323" i="72"/>
  <c r="AJ1323" i="72"/>
  <c r="L186" i="69"/>
  <c r="AG186" i="69"/>
  <c r="R130" i="75" l="1"/>
  <c r="S130" i="75" s="1"/>
  <c r="R361" i="76"/>
  <c r="S361" i="76" s="1"/>
  <c r="R186" i="69"/>
  <c r="S186" i="69" s="1"/>
  <c r="B39" i="59"/>
  <c r="A102" i="75" l="1"/>
  <c r="A111" i="75"/>
  <c r="A30" i="75"/>
  <c r="A1123" i="72"/>
  <c r="A1017" i="72"/>
  <c r="A138" i="72"/>
  <c r="K39" i="59"/>
  <c r="A161" i="71"/>
  <c r="A151" i="71"/>
  <c r="A39" i="71"/>
  <c r="I39" i="59"/>
  <c r="J39" i="59"/>
  <c r="G39" i="59"/>
  <c r="H39" i="59"/>
  <c r="A161" i="69"/>
  <c r="A151" i="69"/>
  <c r="A60" i="63"/>
  <c r="A39" i="69"/>
  <c r="C39" i="59"/>
  <c r="D362" i="76" s="1"/>
  <c r="D25" i="77" s="1"/>
  <c r="A58" i="63"/>
  <c r="F39" i="59"/>
  <c r="O362" i="76" l="1"/>
  <c r="Q362" i="76" s="1"/>
  <c r="O39" i="76"/>
  <c r="Q39" i="76" s="1"/>
  <c r="O161" i="76"/>
  <c r="Q161" i="76" s="1"/>
  <c r="O151" i="76"/>
  <c r="Q151" i="76" s="1"/>
  <c r="N151" i="76"/>
  <c r="N39" i="76"/>
  <c r="N161" i="76"/>
  <c r="P362" i="76"/>
  <c r="P151" i="76"/>
  <c r="P39" i="76"/>
  <c r="P161" i="76"/>
  <c r="H362" i="76"/>
  <c r="H25" i="77" s="1"/>
  <c r="H39" i="76"/>
  <c r="H151" i="76"/>
  <c r="H161" i="76"/>
  <c r="I362" i="76"/>
  <c r="I25" i="77" s="1"/>
  <c r="I39" i="76"/>
  <c r="I151" i="76"/>
  <c r="I161" i="76"/>
  <c r="J362" i="76"/>
  <c r="J25" i="77" s="1"/>
  <c r="L25" i="77" s="1"/>
  <c r="J151" i="76"/>
  <c r="J39" i="76"/>
  <c r="J161" i="76"/>
  <c r="N30" i="75"/>
  <c r="N111" i="75"/>
  <c r="N102" i="75"/>
  <c r="P30" i="75"/>
  <c r="P102" i="75"/>
  <c r="P111" i="75"/>
  <c r="H111" i="75"/>
  <c r="H30" i="75"/>
  <c r="H102" i="75"/>
  <c r="J30" i="75"/>
  <c r="J102" i="75"/>
  <c r="J111" i="75"/>
  <c r="I30" i="75"/>
  <c r="I102" i="75"/>
  <c r="I111" i="75"/>
  <c r="O111" i="75"/>
  <c r="Q111" i="75" s="1"/>
  <c r="O102" i="75"/>
  <c r="Q102" i="75" s="1"/>
  <c r="O30" i="75"/>
  <c r="Q30" i="75" s="1"/>
  <c r="P161" i="69"/>
  <c r="P39" i="69"/>
  <c r="P39" i="71"/>
  <c r="R39" i="71" s="1"/>
  <c r="P151" i="69"/>
  <c r="M138" i="72"/>
  <c r="M1123" i="72"/>
  <c r="M1017" i="72"/>
  <c r="N138" i="72"/>
  <c r="N1017" i="72"/>
  <c r="N1123" i="72"/>
  <c r="H1017" i="72"/>
  <c r="H138" i="72"/>
  <c r="H1123" i="72"/>
  <c r="R138" i="72"/>
  <c r="R1123" i="72"/>
  <c r="R1017" i="72"/>
  <c r="P161" i="71"/>
  <c r="R161" i="71" s="1"/>
  <c r="Q1017" i="72"/>
  <c r="Q138" i="72"/>
  <c r="Q1123" i="72"/>
  <c r="P151" i="71"/>
  <c r="R151" i="71" s="1"/>
  <c r="S1017" i="72"/>
  <c r="T1017" i="72" s="1"/>
  <c r="S1123" i="72"/>
  <c r="T1123" i="72" s="1"/>
  <c r="N151" i="71"/>
  <c r="N161" i="71"/>
  <c r="N39" i="71"/>
  <c r="H151" i="71"/>
  <c r="H161" i="71"/>
  <c r="H39" i="71"/>
  <c r="I151" i="71"/>
  <c r="I39" i="71"/>
  <c r="I161" i="71"/>
  <c r="J39" i="71"/>
  <c r="J151" i="71"/>
  <c r="J161" i="71"/>
  <c r="O151" i="71"/>
  <c r="Q151" i="71" s="1"/>
  <c r="O39" i="71"/>
  <c r="Q39" i="71" s="1"/>
  <c r="O161" i="71"/>
  <c r="Q161" i="71" s="1"/>
  <c r="O161" i="69"/>
  <c r="Q161" i="69" s="1"/>
  <c r="N161" i="69"/>
  <c r="O39" i="69"/>
  <c r="Q39" i="69" s="1"/>
  <c r="N39" i="69"/>
  <c r="N151" i="69"/>
  <c r="O151" i="69"/>
  <c r="Q151" i="69" s="1"/>
  <c r="J161" i="69"/>
  <c r="L161" i="69" s="1"/>
  <c r="H161" i="69"/>
  <c r="I161" i="69"/>
  <c r="H39" i="69"/>
  <c r="H151" i="69"/>
  <c r="I39" i="69"/>
  <c r="I151" i="69"/>
  <c r="J39" i="69"/>
  <c r="L39" i="69" s="1"/>
  <c r="J151" i="69"/>
  <c r="L151" i="69" s="1"/>
  <c r="I60" i="63"/>
  <c r="J60" i="63"/>
  <c r="L60" i="63" s="1"/>
  <c r="D60" i="63"/>
  <c r="C128" i="65" s="1"/>
  <c r="H60" i="63"/>
  <c r="H58" i="63"/>
  <c r="D58" i="63"/>
  <c r="C122" i="65" s="1"/>
  <c r="J58" i="63"/>
  <c r="L58" i="63" s="1"/>
  <c r="I58" i="63"/>
  <c r="L362" i="76" l="1"/>
  <c r="R362" i="76" s="1"/>
  <c r="S362" i="76" s="1"/>
  <c r="AG362" i="76"/>
  <c r="AG161" i="76"/>
  <c r="L161" i="76"/>
  <c r="R161" i="76" s="1"/>
  <c r="S161" i="76" s="1"/>
  <c r="AG39" i="76"/>
  <c r="L39" i="76"/>
  <c r="AG151" i="76"/>
  <c r="L151" i="76"/>
  <c r="AG111" i="75"/>
  <c r="L111" i="75"/>
  <c r="W111" i="75" s="1"/>
  <c r="AG102" i="75"/>
  <c r="L102" i="75"/>
  <c r="AG30" i="75"/>
  <c r="L30" i="75"/>
  <c r="R161" i="69"/>
  <c r="S161" i="69" s="1"/>
  <c r="R151" i="69"/>
  <c r="S151" i="69" s="1"/>
  <c r="R39" i="69"/>
  <c r="S39" i="69" s="1"/>
  <c r="AJ138" i="72"/>
  <c r="P138" i="72"/>
  <c r="AJ1123" i="72"/>
  <c r="P1123" i="72"/>
  <c r="AJ1017" i="72"/>
  <c r="P1017" i="72"/>
  <c r="AF161" i="71"/>
  <c r="L161" i="71"/>
  <c r="S161" i="71" s="1"/>
  <c r="AF151" i="71"/>
  <c r="L151" i="71"/>
  <c r="AF39" i="71"/>
  <c r="L39" i="71"/>
  <c r="AG39" i="69"/>
  <c r="AG151" i="69"/>
  <c r="R39" i="76" l="1"/>
  <c r="S39" i="76" s="1"/>
  <c r="R151" i="76"/>
  <c r="S151" i="76" s="1"/>
  <c r="R111" i="75"/>
  <c r="S111" i="75" s="1"/>
  <c r="W102" i="75"/>
  <c r="W30" i="75"/>
  <c r="R30" i="75"/>
  <c r="S30" i="75" s="1"/>
  <c r="R102" i="75"/>
  <c r="S102" i="75" s="1"/>
  <c r="S151" i="71"/>
  <c r="S39" i="71"/>
  <c r="AG161" i="69"/>
  <c r="A98" i="63" l="1"/>
  <c r="A78" i="63"/>
  <c r="A90" i="63"/>
  <c r="A94" i="63"/>
  <c r="A74" i="63"/>
  <c r="A70" i="63"/>
  <c r="A86" i="63"/>
  <c r="A62" i="63"/>
  <c r="A66" i="63"/>
  <c r="A82" i="63"/>
  <c r="I90" i="63" l="1"/>
  <c r="I98" i="63"/>
  <c r="H90" i="63"/>
  <c r="H98" i="63"/>
  <c r="D90" i="63"/>
  <c r="C257" i="65" s="1"/>
  <c r="D98" i="63"/>
  <c r="C282" i="65" s="1"/>
  <c r="J90" i="63"/>
  <c r="L90" i="63" s="1"/>
  <c r="J98" i="63"/>
  <c r="L98" i="63" s="1"/>
  <c r="B40" i="59"/>
  <c r="A78" i="75" l="1"/>
  <c r="A66" i="75"/>
  <c r="A57" i="75"/>
  <c r="A49" i="75"/>
  <c r="A43" i="75"/>
  <c r="A37" i="75"/>
  <c r="A81" i="75"/>
  <c r="A69" i="75"/>
  <c r="A31" i="75"/>
  <c r="A84" i="75"/>
  <c r="A72" i="75"/>
  <c r="A60" i="75"/>
  <c r="A52" i="75"/>
  <c r="A46" i="75"/>
  <c r="A40" i="75"/>
  <c r="A34" i="75"/>
  <c r="A87" i="75"/>
  <c r="A75" i="75"/>
  <c r="A63" i="75"/>
  <c r="A852" i="72"/>
  <c r="A699" i="72"/>
  <c r="A813" i="72"/>
  <c r="A775" i="72"/>
  <c r="A660" i="72"/>
  <c r="A546" i="72"/>
  <c r="A397" i="72"/>
  <c r="A359" i="72"/>
  <c r="A321" i="72"/>
  <c r="A185" i="72"/>
  <c r="A151" i="72"/>
  <c r="A737" i="72"/>
  <c r="A622" i="72"/>
  <c r="A508" i="72"/>
  <c r="A254" i="72"/>
  <c r="A584" i="72"/>
  <c r="A468" i="72"/>
  <c r="A287" i="72"/>
  <c r="A220" i="72"/>
  <c r="K40" i="59"/>
  <c r="A125" i="71"/>
  <c r="A111" i="71"/>
  <c r="A97" i="71"/>
  <c r="A93" i="71"/>
  <c r="A63" i="71"/>
  <c r="A119" i="71"/>
  <c r="A107" i="71"/>
  <c r="A89" i="71"/>
  <c r="A85" i="71"/>
  <c r="A78" i="71"/>
  <c r="A58" i="71"/>
  <c r="A115" i="71"/>
  <c r="A101" i="71"/>
  <c r="A71" i="71"/>
  <c r="A67" i="71"/>
  <c r="A54" i="71"/>
  <c r="A50" i="71"/>
  <c r="A45" i="71"/>
  <c r="A41" i="71"/>
  <c r="J40" i="59"/>
  <c r="I40" i="59"/>
  <c r="G40" i="59"/>
  <c r="H40" i="59"/>
  <c r="A115" i="69"/>
  <c r="A107" i="69"/>
  <c r="A97" i="69"/>
  <c r="A89" i="69"/>
  <c r="A78" i="69"/>
  <c r="A67" i="69"/>
  <c r="A58" i="69"/>
  <c r="A50" i="69"/>
  <c r="A41" i="69"/>
  <c r="A119" i="69"/>
  <c r="A125" i="69"/>
  <c r="A111" i="69"/>
  <c r="A101" i="69"/>
  <c r="A93" i="69"/>
  <c r="A85" i="69"/>
  <c r="A71" i="69"/>
  <c r="A63" i="69"/>
  <c r="A54" i="69"/>
  <c r="A45" i="69"/>
  <c r="C40" i="59"/>
  <c r="F40" i="59"/>
  <c r="I363" i="76" l="1"/>
  <c r="I17" i="77" s="1"/>
  <c r="I54" i="76"/>
  <c r="I115" i="76"/>
  <c r="I119" i="76"/>
  <c r="I78" i="76"/>
  <c r="I85" i="76"/>
  <c r="I125" i="76"/>
  <c r="I101" i="76"/>
  <c r="I58" i="76"/>
  <c r="I45" i="76"/>
  <c r="I50" i="76"/>
  <c r="I63" i="76"/>
  <c r="I41" i="76"/>
  <c r="I97" i="76"/>
  <c r="I71" i="76"/>
  <c r="I67" i="76"/>
  <c r="I89" i="76"/>
  <c r="I107" i="76"/>
  <c r="I111" i="76"/>
  <c r="I93" i="76"/>
  <c r="P363" i="76"/>
  <c r="P97" i="76"/>
  <c r="P50" i="76"/>
  <c r="P54" i="76"/>
  <c r="P63" i="76"/>
  <c r="P41" i="76"/>
  <c r="P115" i="76"/>
  <c r="P111" i="76"/>
  <c r="P89" i="76"/>
  <c r="P67" i="76"/>
  <c r="P119" i="76"/>
  <c r="P45" i="76"/>
  <c r="P107" i="76"/>
  <c r="P101" i="76"/>
  <c r="P71" i="76"/>
  <c r="P125" i="76"/>
  <c r="P78" i="76"/>
  <c r="P93" i="76"/>
  <c r="P58" i="76"/>
  <c r="P85" i="76"/>
  <c r="N111" i="76"/>
  <c r="N89" i="76"/>
  <c r="N97" i="76"/>
  <c r="N67" i="76"/>
  <c r="N50" i="76"/>
  <c r="N107" i="76"/>
  <c r="N54" i="76"/>
  <c r="N93" i="76"/>
  <c r="N78" i="76"/>
  <c r="N71" i="76"/>
  <c r="N63" i="76"/>
  <c r="N125" i="76"/>
  <c r="N58" i="76"/>
  <c r="N119" i="76"/>
  <c r="N45" i="76"/>
  <c r="N41" i="76"/>
  <c r="N85" i="76"/>
  <c r="N101" i="76"/>
  <c r="N115" i="76"/>
  <c r="O363" i="76"/>
  <c r="Q363" i="76" s="1"/>
  <c r="O115" i="76"/>
  <c r="Q115" i="76" s="1"/>
  <c r="O119" i="76"/>
  <c r="Q119" i="76" s="1"/>
  <c r="O78" i="76"/>
  <c r="Q78" i="76" s="1"/>
  <c r="O85" i="76"/>
  <c r="Q85" i="76" s="1"/>
  <c r="O97" i="76"/>
  <c r="Q97" i="76" s="1"/>
  <c r="O45" i="76"/>
  <c r="Q45" i="76" s="1"/>
  <c r="O50" i="76"/>
  <c r="Q50" i="76" s="1"/>
  <c r="O101" i="76"/>
  <c r="Q101" i="76" s="1"/>
  <c r="O89" i="76"/>
  <c r="Q89" i="76" s="1"/>
  <c r="O41" i="76"/>
  <c r="Q41" i="76" s="1"/>
  <c r="O54" i="76"/>
  <c r="Q54" i="76" s="1"/>
  <c r="O111" i="76"/>
  <c r="Q111" i="76" s="1"/>
  <c r="O63" i="76"/>
  <c r="Q63" i="76" s="1"/>
  <c r="O93" i="76"/>
  <c r="Q93" i="76" s="1"/>
  <c r="O125" i="76"/>
  <c r="Q125" i="76" s="1"/>
  <c r="O71" i="76"/>
  <c r="Q71" i="76" s="1"/>
  <c r="O67" i="76"/>
  <c r="Q67" i="76" s="1"/>
  <c r="O58" i="76"/>
  <c r="Q58" i="76" s="1"/>
  <c r="O107" i="76"/>
  <c r="Q107" i="76" s="1"/>
  <c r="H363" i="76"/>
  <c r="H17" i="77" s="1"/>
  <c r="H107" i="76"/>
  <c r="H111" i="76"/>
  <c r="H89" i="76"/>
  <c r="H97" i="76"/>
  <c r="H67" i="76"/>
  <c r="H50" i="76"/>
  <c r="H63" i="76"/>
  <c r="H71" i="76"/>
  <c r="H101" i="76"/>
  <c r="H115" i="76"/>
  <c r="H45" i="76"/>
  <c r="H41" i="76"/>
  <c r="H54" i="76"/>
  <c r="H58" i="76"/>
  <c r="H125" i="76"/>
  <c r="H119" i="76"/>
  <c r="H85" i="76"/>
  <c r="H78" i="76"/>
  <c r="H93" i="76"/>
  <c r="D363" i="76"/>
  <c r="D17" i="77" s="1"/>
  <c r="D119" i="76"/>
  <c r="D111" i="76"/>
  <c r="D89" i="76"/>
  <c r="D97" i="76"/>
  <c r="D67" i="76"/>
  <c r="D50" i="76"/>
  <c r="D115" i="76"/>
  <c r="D107" i="76"/>
  <c r="D41" i="76"/>
  <c r="D78" i="76"/>
  <c r="D93" i="76"/>
  <c r="D85" i="76"/>
  <c r="D101" i="76"/>
  <c r="D54" i="76"/>
  <c r="D58" i="76"/>
  <c r="D71" i="76"/>
  <c r="D45" i="76"/>
  <c r="D63" i="76"/>
  <c r="D125" i="76"/>
  <c r="J363" i="76"/>
  <c r="J17" i="77" s="1"/>
  <c r="L17" i="77" s="1"/>
  <c r="J107" i="76"/>
  <c r="J111" i="76"/>
  <c r="J89" i="76"/>
  <c r="J97" i="76"/>
  <c r="J41" i="76"/>
  <c r="J71" i="76"/>
  <c r="J54" i="76"/>
  <c r="J45" i="76"/>
  <c r="J85" i="76"/>
  <c r="J101" i="76"/>
  <c r="J58" i="76"/>
  <c r="J78" i="76"/>
  <c r="J93" i="76"/>
  <c r="J115" i="76"/>
  <c r="J50" i="76"/>
  <c r="J63" i="76"/>
  <c r="J125" i="76"/>
  <c r="J67" i="76"/>
  <c r="J119" i="76"/>
  <c r="I87" i="75"/>
  <c r="I34" i="75"/>
  <c r="I43" i="75"/>
  <c r="I49" i="75"/>
  <c r="I52" i="75"/>
  <c r="I31" i="75"/>
  <c r="I40" i="75"/>
  <c r="I37" i="75"/>
  <c r="I46" i="75"/>
  <c r="I60" i="75"/>
  <c r="I84" i="75"/>
  <c r="I78" i="75"/>
  <c r="I75" i="75"/>
  <c r="I72" i="75"/>
  <c r="I57" i="75"/>
  <c r="I63" i="75"/>
  <c r="I69" i="75"/>
  <c r="I66" i="75"/>
  <c r="I81" i="75"/>
  <c r="O46" i="75"/>
  <c r="Q46" i="75" s="1"/>
  <c r="O69" i="75"/>
  <c r="Q69" i="75" s="1"/>
  <c r="O31" i="75"/>
  <c r="Q31" i="75" s="1"/>
  <c r="O78" i="75"/>
  <c r="Q78" i="75" s="1"/>
  <c r="O87" i="75"/>
  <c r="Q87" i="75" s="1"/>
  <c r="O72" i="75"/>
  <c r="Q72" i="75" s="1"/>
  <c r="O37" i="75"/>
  <c r="Q37" i="75" s="1"/>
  <c r="O40" i="75"/>
  <c r="Q40" i="75" s="1"/>
  <c r="O49" i="75"/>
  <c r="Q49" i="75" s="1"/>
  <c r="O43" i="75"/>
  <c r="Q43" i="75" s="1"/>
  <c r="O66" i="75"/>
  <c r="Q66" i="75" s="1"/>
  <c r="O34" i="75"/>
  <c r="Q34" i="75" s="1"/>
  <c r="O60" i="75"/>
  <c r="Q60" i="75" s="1"/>
  <c r="O81" i="75"/>
  <c r="Q81" i="75" s="1"/>
  <c r="O63" i="75"/>
  <c r="Q63" i="75" s="1"/>
  <c r="O75" i="75"/>
  <c r="Q75" i="75" s="1"/>
  <c r="O52" i="75"/>
  <c r="Q52" i="75" s="1"/>
  <c r="O57" i="75"/>
  <c r="Q57" i="75" s="1"/>
  <c r="O84" i="75"/>
  <c r="Q84" i="75" s="1"/>
  <c r="P75" i="75"/>
  <c r="P84" i="75"/>
  <c r="P57" i="75"/>
  <c r="P63" i="75"/>
  <c r="P78" i="75"/>
  <c r="P66" i="75"/>
  <c r="P31" i="75"/>
  <c r="P60" i="75"/>
  <c r="P81" i="75"/>
  <c r="P49" i="75"/>
  <c r="P72" i="75"/>
  <c r="P40" i="75"/>
  <c r="P34" i="75"/>
  <c r="P37" i="75"/>
  <c r="P43" i="75"/>
  <c r="P46" i="75"/>
  <c r="P52" i="75"/>
  <c r="P87" i="75"/>
  <c r="P69" i="75"/>
  <c r="H66" i="75"/>
  <c r="H78" i="75"/>
  <c r="H81" i="75"/>
  <c r="H49" i="75"/>
  <c r="H84" i="75"/>
  <c r="H46" i="75"/>
  <c r="H60" i="75"/>
  <c r="H63" i="75"/>
  <c r="H57" i="75"/>
  <c r="H43" i="75"/>
  <c r="H72" i="75"/>
  <c r="H87" i="75"/>
  <c r="H37" i="75"/>
  <c r="H69" i="75"/>
  <c r="H31" i="75"/>
  <c r="H40" i="75"/>
  <c r="H75" i="75"/>
  <c r="H34" i="75"/>
  <c r="H52" i="75"/>
  <c r="D66" i="75"/>
  <c r="D31" i="75"/>
  <c r="D60" i="75"/>
  <c r="D49" i="75"/>
  <c r="D78" i="75"/>
  <c r="D72" i="75"/>
  <c r="D40" i="75"/>
  <c r="D57" i="75"/>
  <c r="D81" i="75"/>
  <c r="D69" i="75"/>
  <c r="D34" i="75"/>
  <c r="D37" i="75"/>
  <c r="D43" i="75"/>
  <c r="D75" i="75"/>
  <c r="D46" i="75"/>
  <c r="D52" i="75"/>
  <c r="D87" i="75"/>
  <c r="D63" i="75"/>
  <c r="D84" i="75"/>
  <c r="J72" i="75"/>
  <c r="J60" i="75"/>
  <c r="J66" i="75"/>
  <c r="J81" i="75"/>
  <c r="J31" i="75"/>
  <c r="J40" i="75"/>
  <c r="J78" i="75"/>
  <c r="J49" i="75"/>
  <c r="J46" i="75"/>
  <c r="J52" i="75"/>
  <c r="J63" i="75"/>
  <c r="J84" i="75"/>
  <c r="J69" i="75"/>
  <c r="J87" i="75"/>
  <c r="J34" i="75"/>
  <c r="J37" i="75"/>
  <c r="J43" i="75"/>
  <c r="J75" i="75"/>
  <c r="J57" i="75"/>
  <c r="N49" i="75"/>
  <c r="N40" i="75"/>
  <c r="N31" i="75"/>
  <c r="N81" i="75"/>
  <c r="N43" i="75"/>
  <c r="N37" i="75"/>
  <c r="N34" i="75"/>
  <c r="N66" i="75"/>
  <c r="N52" i="75"/>
  <c r="N78" i="75"/>
  <c r="N72" i="75"/>
  <c r="N46" i="75"/>
  <c r="N60" i="75"/>
  <c r="N75" i="75"/>
  <c r="N87" i="75"/>
  <c r="N63" i="75"/>
  <c r="N57" i="75"/>
  <c r="N84" i="75"/>
  <c r="N69" i="75"/>
  <c r="P85" i="71"/>
  <c r="R85" i="71" s="1"/>
  <c r="P54" i="69"/>
  <c r="P71" i="69"/>
  <c r="P111" i="69"/>
  <c r="P50" i="69"/>
  <c r="P89" i="69"/>
  <c r="P93" i="69"/>
  <c r="P119" i="69"/>
  <c r="P67" i="69"/>
  <c r="P107" i="69"/>
  <c r="P115" i="71"/>
  <c r="R115" i="71" s="1"/>
  <c r="P54" i="71"/>
  <c r="R54" i="71" s="1"/>
  <c r="P89" i="71"/>
  <c r="R89" i="71" s="1"/>
  <c r="P93" i="71"/>
  <c r="R93" i="71" s="1"/>
  <c r="P45" i="69"/>
  <c r="P85" i="69"/>
  <c r="P125" i="69"/>
  <c r="P58" i="69"/>
  <c r="P97" i="69"/>
  <c r="P63" i="69"/>
  <c r="P101" i="69"/>
  <c r="P41" i="69"/>
  <c r="P78" i="69"/>
  <c r="P115" i="69"/>
  <c r="P45" i="71"/>
  <c r="R45" i="71" s="1"/>
  <c r="P71" i="71"/>
  <c r="R71" i="71" s="1"/>
  <c r="P107" i="71"/>
  <c r="R107" i="71" s="1"/>
  <c r="P97" i="71"/>
  <c r="R97" i="71" s="1"/>
  <c r="P78" i="71"/>
  <c r="R78" i="71" s="1"/>
  <c r="P119" i="71"/>
  <c r="R119" i="71" s="1"/>
  <c r="P111" i="71"/>
  <c r="R111" i="71" s="1"/>
  <c r="P50" i="71"/>
  <c r="R50" i="71" s="1"/>
  <c r="M359" i="72"/>
  <c r="M508" i="72"/>
  <c r="M185" i="72"/>
  <c r="M321" i="72"/>
  <c r="M622" i="72"/>
  <c r="M660" i="72"/>
  <c r="M813" i="72"/>
  <c r="M220" i="72"/>
  <c r="M254" i="72"/>
  <c r="M546" i="72"/>
  <c r="M151" i="72"/>
  <c r="M737" i="72"/>
  <c r="M775" i="72"/>
  <c r="M397" i="72"/>
  <c r="M699" i="72"/>
  <c r="M852" i="72"/>
  <c r="M468" i="72"/>
  <c r="M287" i="72"/>
  <c r="M584" i="72"/>
  <c r="D254" i="72"/>
  <c r="D852" i="72"/>
  <c r="D546" i="72"/>
  <c r="D185" i="72"/>
  <c r="D397" i="72"/>
  <c r="D321" i="72"/>
  <c r="D699" i="72"/>
  <c r="D775" i="72"/>
  <c r="D151" i="72"/>
  <c r="D468" i="72"/>
  <c r="D737" i="72"/>
  <c r="D660" i="72"/>
  <c r="D220" i="72"/>
  <c r="D359" i="72"/>
  <c r="D584" i="72"/>
  <c r="D287" i="72"/>
  <c r="D508" i="72"/>
  <c r="D622" i="72"/>
  <c r="D813" i="72"/>
  <c r="H321" i="72"/>
  <c r="H546" i="72"/>
  <c r="H397" i="72"/>
  <c r="H852" i="72"/>
  <c r="H185" i="72"/>
  <c r="H775" i="72"/>
  <c r="H622" i="72"/>
  <c r="H254" i="72"/>
  <c r="H699" i="72"/>
  <c r="H220" i="72"/>
  <c r="H584" i="72"/>
  <c r="H508" i="72"/>
  <c r="H151" i="72"/>
  <c r="H287" i="72"/>
  <c r="H813" i="72"/>
  <c r="H468" i="72"/>
  <c r="H737" i="72"/>
  <c r="H359" i="72"/>
  <c r="H660" i="72"/>
  <c r="P125" i="71"/>
  <c r="R125" i="71" s="1"/>
  <c r="P58" i="71"/>
  <c r="R58" i="71" s="1"/>
  <c r="Q852" i="72"/>
  <c r="Q546" i="72"/>
  <c r="Q151" i="72"/>
  <c r="Q220" i="72"/>
  <c r="Q397" i="72"/>
  <c r="Q699" i="72"/>
  <c r="Q775" i="72"/>
  <c r="Q185" i="72"/>
  <c r="Q622" i="72"/>
  <c r="Q287" i="72"/>
  <c r="Q813" i="72"/>
  <c r="Q359" i="72"/>
  <c r="Q660" i="72"/>
  <c r="Q468" i="72"/>
  <c r="Q321" i="72"/>
  <c r="Q508" i="72"/>
  <c r="Q737" i="72"/>
  <c r="Q254" i="72"/>
  <c r="Q584" i="72"/>
  <c r="P101" i="71"/>
  <c r="R101" i="71" s="1"/>
  <c r="N254" i="72"/>
  <c r="N397" i="72"/>
  <c r="N321" i="72"/>
  <c r="N546" i="72"/>
  <c r="N852" i="72"/>
  <c r="N622" i="72"/>
  <c r="N185" i="72"/>
  <c r="N584" i="72"/>
  <c r="N287" i="72"/>
  <c r="N699" i="72"/>
  <c r="N151" i="72"/>
  <c r="N468" i="72"/>
  <c r="N737" i="72"/>
  <c r="N775" i="72"/>
  <c r="N508" i="72"/>
  <c r="N813" i="72"/>
  <c r="N359" i="72"/>
  <c r="N660" i="72"/>
  <c r="N220" i="72"/>
  <c r="R775" i="72"/>
  <c r="R737" i="72"/>
  <c r="R584" i="72"/>
  <c r="R546" i="72"/>
  <c r="R468" i="72"/>
  <c r="R254" i="72"/>
  <c r="R321" i="72"/>
  <c r="R852" i="72"/>
  <c r="R397" i="72"/>
  <c r="R699" i="72"/>
  <c r="R220" i="72"/>
  <c r="R185" i="72"/>
  <c r="R359" i="72"/>
  <c r="R508" i="72"/>
  <c r="R151" i="72"/>
  <c r="R287" i="72"/>
  <c r="R622" i="72"/>
  <c r="R660" i="72"/>
  <c r="R813" i="72"/>
  <c r="P41" i="71"/>
  <c r="R41" i="71" s="1"/>
  <c r="S359" i="72"/>
  <c r="T359" i="72" s="1"/>
  <c r="S508" i="72"/>
  <c r="T508" i="72" s="1"/>
  <c r="S775" i="72"/>
  <c r="T775" i="72" s="1"/>
  <c r="S287" i="72"/>
  <c r="T287" i="72" s="1"/>
  <c r="S699" i="72"/>
  <c r="T699" i="72" s="1"/>
  <c r="S813" i="72"/>
  <c r="T813" i="72" s="1"/>
  <c r="S852" i="72"/>
  <c r="T852" i="72" s="1"/>
  <c r="S321" i="72"/>
  <c r="T321" i="72" s="1"/>
  <c r="S660" i="72"/>
  <c r="T660" i="72" s="1"/>
  <c r="S546" i="72"/>
  <c r="T546" i="72" s="1"/>
  <c r="S622" i="72"/>
  <c r="T622" i="72" s="1"/>
  <c r="S584" i="72"/>
  <c r="T584" i="72" s="1"/>
  <c r="S254" i="72"/>
  <c r="T254" i="72" s="1"/>
  <c r="S397" i="72"/>
  <c r="T397" i="72" s="1"/>
  <c r="S220" i="72"/>
  <c r="T220" i="72" s="1"/>
  <c r="S737" i="72"/>
  <c r="T737" i="72" s="1"/>
  <c r="S468" i="72"/>
  <c r="T468" i="72" s="1"/>
  <c r="P67" i="71"/>
  <c r="R67" i="71" s="1"/>
  <c r="P63" i="71"/>
  <c r="R63" i="71" s="1"/>
  <c r="I125" i="71"/>
  <c r="I111" i="71"/>
  <c r="I89" i="71"/>
  <c r="I54" i="71"/>
  <c r="I58" i="71"/>
  <c r="I67" i="71"/>
  <c r="I71" i="71"/>
  <c r="I45" i="71"/>
  <c r="I85" i="71"/>
  <c r="I50" i="71"/>
  <c r="I93" i="71"/>
  <c r="I97" i="71"/>
  <c r="I107" i="71"/>
  <c r="I119" i="71"/>
  <c r="I101" i="71"/>
  <c r="I63" i="71"/>
  <c r="I41" i="71"/>
  <c r="I78" i="71"/>
  <c r="I115" i="71"/>
  <c r="O125" i="71"/>
  <c r="Q125" i="71" s="1"/>
  <c r="O111" i="71"/>
  <c r="Q111" i="71" s="1"/>
  <c r="O101" i="71"/>
  <c r="Q101" i="71" s="1"/>
  <c r="O119" i="71"/>
  <c r="Q119" i="71" s="1"/>
  <c r="O71" i="71"/>
  <c r="Q71" i="71" s="1"/>
  <c r="O67" i="71"/>
  <c r="Q67" i="71" s="1"/>
  <c r="O85" i="71"/>
  <c r="Q85" i="71" s="1"/>
  <c r="O41" i="71"/>
  <c r="Q41" i="71" s="1"/>
  <c r="O58" i="71"/>
  <c r="Q58" i="71" s="1"/>
  <c r="O78" i="71"/>
  <c r="Q78" i="71" s="1"/>
  <c r="O50" i="71"/>
  <c r="Q50" i="71" s="1"/>
  <c r="O93" i="71"/>
  <c r="Q93" i="71" s="1"/>
  <c r="O97" i="71"/>
  <c r="Q97" i="71" s="1"/>
  <c r="O54" i="71"/>
  <c r="Q54" i="71" s="1"/>
  <c r="O63" i="71"/>
  <c r="Q63" i="71" s="1"/>
  <c r="O115" i="71"/>
  <c r="Q115" i="71" s="1"/>
  <c r="O45" i="71"/>
  <c r="Q45" i="71" s="1"/>
  <c r="O89" i="71"/>
  <c r="Q89" i="71" s="1"/>
  <c r="O107" i="71"/>
  <c r="Q107" i="71" s="1"/>
  <c r="D119" i="71"/>
  <c r="D78" i="71"/>
  <c r="D93" i="71"/>
  <c r="D85" i="71"/>
  <c r="D115" i="71"/>
  <c r="D67" i="71"/>
  <c r="D58" i="71"/>
  <c r="D50" i="71"/>
  <c r="D41" i="71"/>
  <c r="D107" i="71"/>
  <c r="D54" i="71"/>
  <c r="D97" i="71"/>
  <c r="D45" i="71"/>
  <c r="D63" i="71"/>
  <c r="D101" i="71"/>
  <c r="D71" i="71"/>
  <c r="D111" i="71"/>
  <c r="D125" i="71"/>
  <c r="D89" i="71"/>
  <c r="H115" i="71"/>
  <c r="H119" i="71"/>
  <c r="H111" i="71"/>
  <c r="H78" i="71"/>
  <c r="H125" i="71"/>
  <c r="H93" i="71"/>
  <c r="H85" i="71"/>
  <c r="H67" i="71"/>
  <c r="H58" i="71"/>
  <c r="H50" i="71"/>
  <c r="H41" i="71"/>
  <c r="H71" i="71"/>
  <c r="H54" i="71"/>
  <c r="H45" i="71"/>
  <c r="H89" i="71"/>
  <c r="H97" i="71"/>
  <c r="H101" i="71"/>
  <c r="H63" i="71"/>
  <c r="H107" i="71"/>
  <c r="J119" i="71"/>
  <c r="J78" i="71"/>
  <c r="J93" i="71"/>
  <c r="J85" i="71"/>
  <c r="J115" i="71"/>
  <c r="J58" i="71"/>
  <c r="J50" i="71"/>
  <c r="J41" i="71"/>
  <c r="J67" i="71"/>
  <c r="J54" i="71"/>
  <c r="J45" i="71"/>
  <c r="J107" i="71"/>
  <c r="J71" i="71"/>
  <c r="J97" i="71"/>
  <c r="J63" i="71"/>
  <c r="J89" i="71"/>
  <c r="J111" i="71"/>
  <c r="J125" i="71"/>
  <c r="J101" i="71"/>
  <c r="N119" i="71"/>
  <c r="N78" i="71"/>
  <c r="N125" i="71"/>
  <c r="N115" i="71"/>
  <c r="N107" i="71"/>
  <c r="N93" i="71"/>
  <c r="N85" i="71"/>
  <c r="N67" i="71"/>
  <c r="N50" i="71"/>
  <c r="N41" i="71"/>
  <c r="N58" i="71"/>
  <c r="N71" i="71"/>
  <c r="N89" i="71"/>
  <c r="N54" i="71"/>
  <c r="N45" i="71"/>
  <c r="N111" i="71"/>
  <c r="N63" i="71"/>
  <c r="N101" i="71"/>
  <c r="N97" i="71"/>
  <c r="O63" i="69"/>
  <c r="N63" i="69"/>
  <c r="O101" i="69"/>
  <c r="N101" i="69"/>
  <c r="O41" i="69"/>
  <c r="N41" i="69"/>
  <c r="O78" i="69"/>
  <c r="N78" i="69"/>
  <c r="N115" i="69"/>
  <c r="O115" i="69"/>
  <c r="O71" i="69"/>
  <c r="O111" i="69"/>
  <c r="N111" i="69"/>
  <c r="O50" i="69"/>
  <c r="N50" i="69"/>
  <c r="N89" i="69"/>
  <c r="O89" i="69"/>
  <c r="O45" i="69"/>
  <c r="N45" i="69"/>
  <c r="N85" i="69"/>
  <c r="O85" i="69"/>
  <c r="O125" i="69"/>
  <c r="N125" i="69"/>
  <c r="O58" i="69"/>
  <c r="N58" i="69"/>
  <c r="O97" i="69"/>
  <c r="N97" i="69"/>
  <c r="O54" i="69"/>
  <c r="N54" i="69"/>
  <c r="N93" i="69"/>
  <c r="O93" i="69"/>
  <c r="O119" i="69"/>
  <c r="N119" i="69"/>
  <c r="N67" i="69"/>
  <c r="O67" i="69"/>
  <c r="N107" i="69"/>
  <c r="O107" i="69"/>
  <c r="N71" i="69"/>
  <c r="D119" i="69"/>
  <c r="I125" i="69"/>
  <c r="H125" i="69"/>
  <c r="J125" i="69"/>
  <c r="I119" i="69"/>
  <c r="I115" i="69"/>
  <c r="I107" i="69"/>
  <c r="I111" i="69"/>
  <c r="J115" i="69"/>
  <c r="J107" i="69"/>
  <c r="J111" i="69"/>
  <c r="J119" i="69"/>
  <c r="H111" i="69"/>
  <c r="H115" i="69"/>
  <c r="H107" i="69"/>
  <c r="H119" i="69"/>
  <c r="I101" i="69"/>
  <c r="I93" i="69"/>
  <c r="I85" i="69"/>
  <c r="I97" i="69"/>
  <c r="I89" i="69"/>
  <c r="J101" i="69"/>
  <c r="J93" i="69"/>
  <c r="J85" i="69"/>
  <c r="J89" i="69"/>
  <c r="J97" i="69"/>
  <c r="H97" i="69"/>
  <c r="H89" i="69"/>
  <c r="H101" i="69"/>
  <c r="H93" i="69"/>
  <c r="H85" i="69"/>
  <c r="I41" i="69"/>
  <c r="I71" i="69"/>
  <c r="I63" i="69"/>
  <c r="I54" i="69"/>
  <c r="I45" i="69"/>
  <c r="I78" i="69"/>
  <c r="I67" i="69"/>
  <c r="I58" i="69"/>
  <c r="I50" i="69"/>
  <c r="J41" i="69"/>
  <c r="AG41" i="69" s="1"/>
  <c r="J71" i="69"/>
  <c r="J63" i="69"/>
  <c r="J54" i="69"/>
  <c r="J45" i="69"/>
  <c r="J78" i="69"/>
  <c r="J67" i="69"/>
  <c r="J58" i="69"/>
  <c r="J50" i="69"/>
  <c r="D41" i="69"/>
  <c r="D115" i="69"/>
  <c r="D107" i="69"/>
  <c r="D101" i="69"/>
  <c r="D93" i="69"/>
  <c r="D85" i="69"/>
  <c r="D125" i="69"/>
  <c r="D111" i="69"/>
  <c r="D97" i="69"/>
  <c r="D89" i="69"/>
  <c r="D45" i="69"/>
  <c r="D63" i="69"/>
  <c r="D78" i="69"/>
  <c r="D71" i="69"/>
  <c r="D50" i="69"/>
  <c r="D58" i="69"/>
  <c r="D54" i="69"/>
  <c r="D67" i="69"/>
  <c r="H41" i="69"/>
  <c r="H78" i="69"/>
  <c r="H67" i="69"/>
  <c r="H58" i="69"/>
  <c r="H50" i="69"/>
  <c r="H71" i="69"/>
  <c r="H63" i="69"/>
  <c r="H54" i="69"/>
  <c r="H45" i="69"/>
  <c r="D94" i="63"/>
  <c r="C266" i="65" s="1"/>
  <c r="H94" i="63"/>
  <c r="I94" i="63"/>
  <c r="J94" i="63"/>
  <c r="L94" i="63" s="1"/>
  <c r="D66" i="63"/>
  <c r="C173" i="65" s="1"/>
  <c r="H66" i="63"/>
  <c r="J66" i="63"/>
  <c r="L66" i="63" s="1"/>
  <c r="D70" i="63"/>
  <c r="C191" i="65" s="1"/>
  <c r="I70" i="63"/>
  <c r="J70" i="63"/>
  <c r="H70" i="63"/>
  <c r="I82" i="63"/>
  <c r="I86" i="63"/>
  <c r="D78" i="63"/>
  <c r="C219" i="65" s="1"/>
  <c r="I62" i="63"/>
  <c r="I74" i="63"/>
  <c r="J82" i="63"/>
  <c r="L82" i="63" s="1"/>
  <c r="J86" i="63"/>
  <c r="L86" i="63" s="1"/>
  <c r="I78" i="63"/>
  <c r="D62" i="63"/>
  <c r="C135" i="65" s="1"/>
  <c r="H74" i="63"/>
  <c r="D86" i="63"/>
  <c r="C245" i="65" s="1"/>
  <c r="D82" i="63"/>
  <c r="C231" i="65" s="1"/>
  <c r="H78" i="63"/>
  <c r="J62" i="63"/>
  <c r="L62" i="63" s="1"/>
  <c r="J74" i="63"/>
  <c r="L74" i="63" s="1"/>
  <c r="H82" i="63"/>
  <c r="H86" i="63"/>
  <c r="J78" i="63"/>
  <c r="L78" i="63" s="1"/>
  <c r="H62" i="63"/>
  <c r="I66" i="63"/>
  <c r="D74" i="63"/>
  <c r="C206" i="65" s="1"/>
  <c r="AG97" i="76" l="1"/>
  <c r="L97" i="76"/>
  <c r="AG119" i="76"/>
  <c r="L119" i="76"/>
  <c r="AG50" i="76"/>
  <c r="L50" i="76"/>
  <c r="R50" i="76" s="1"/>
  <c r="S50" i="76" s="1"/>
  <c r="AG58" i="76"/>
  <c r="L58" i="76"/>
  <c r="AG54" i="76"/>
  <c r="L54" i="76"/>
  <c r="AG89" i="76"/>
  <c r="L89" i="76"/>
  <c r="L78" i="76"/>
  <c r="R78" i="76" s="1"/>
  <c r="S78" i="76" s="1"/>
  <c r="AG78" i="76"/>
  <c r="L363" i="76"/>
  <c r="R363" i="76" s="1"/>
  <c r="S363" i="76" s="1"/>
  <c r="AG363" i="76"/>
  <c r="AG67" i="76"/>
  <c r="L67" i="76"/>
  <c r="R67" i="76" s="1"/>
  <c r="S67" i="76" s="1"/>
  <c r="AG115" i="76"/>
  <c r="L115" i="76"/>
  <c r="AG101" i="76"/>
  <c r="L101" i="76"/>
  <c r="AG71" i="76"/>
  <c r="L71" i="76"/>
  <c r="AG111" i="76"/>
  <c r="L111" i="76"/>
  <c r="R111" i="76" s="1"/>
  <c r="S111" i="76" s="1"/>
  <c r="AG63" i="76"/>
  <c r="L63" i="76"/>
  <c r="AG45" i="76"/>
  <c r="L45" i="76"/>
  <c r="R45" i="76" s="1"/>
  <c r="S45" i="76" s="1"/>
  <c r="AG125" i="76"/>
  <c r="L125" i="76"/>
  <c r="AG93" i="76"/>
  <c r="L93" i="76"/>
  <c r="R93" i="76" s="1"/>
  <c r="S93" i="76" s="1"/>
  <c r="AG85" i="76"/>
  <c r="L85" i="76"/>
  <c r="R85" i="76" s="1"/>
  <c r="S85" i="76" s="1"/>
  <c r="AG41" i="76"/>
  <c r="L41" i="76"/>
  <c r="AG107" i="76"/>
  <c r="L107" i="76"/>
  <c r="R107" i="76" s="1"/>
  <c r="S107" i="76" s="1"/>
  <c r="L43" i="75"/>
  <c r="W43" i="75" s="1"/>
  <c r="AG43" i="75"/>
  <c r="AG69" i="75"/>
  <c r="L69" i="75"/>
  <c r="W69" i="75" s="1"/>
  <c r="AG46" i="75"/>
  <c r="L46" i="75"/>
  <c r="W46" i="75" s="1"/>
  <c r="AG31" i="75"/>
  <c r="L31" i="75"/>
  <c r="AG72" i="75"/>
  <c r="L72" i="75"/>
  <c r="W72" i="75" s="1"/>
  <c r="AG37" i="75"/>
  <c r="L37" i="75"/>
  <c r="W37" i="75" s="1"/>
  <c r="AG84" i="75"/>
  <c r="L84" i="75"/>
  <c r="W84" i="75" s="1"/>
  <c r="AG49" i="75"/>
  <c r="L49" i="75"/>
  <c r="AG81" i="75"/>
  <c r="L81" i="75"/>
  <c r="AG57" i="75"/>
  <c r="L57" i="75"/>
  <c r="L34" i="75"/>
  <c r="W34" i="75" s="1"/>
  <c r="AG34" i="75"/>
  <c r="AG63" i="75"/>
  <c r="L63" i="75"/>
  <c r="W63" i="75" s="1"/>
  <c r="AG78" i="75"/>
  <c r="L78" i="75"/>
  <c r="W78" i="75" s="1"/>
  <c r="AG66" i="75"/>
  <c r="L66" i="75"/>
  <c r="AG75" i="75"/>
  <c r="L75" i="75"/>
  <c r="AG87" i="75"/>
  <c r="L87" i="75"/>
  <c r="AG52" i="75"/>
  <c r="L52" i="75"/>
  <c r="W52" i="75" s="1"/>
  <c r="AG40" i="75"/>
  <c r="L40" i="75"/>
  <c r="AG60" i="75"/>
  <c r="L60" i="75"/>
  <c r="W60" i="75" s="1"/>
  <c r="AJ468" i="72"/>
  <c r="P468" i="72"/>
  <c r="AJ359" i="72"/>
  <c r="P359" i="72"/>
  <c r="AJ737" i="72"/>
  <c r="P737" i="72"/>
  <c r="AJ287" i="72"/>
  <c r="P287" i="72"/>
  <c r="AJ852" i="72"/>
  <c r="P852" i="72"/>
  <c r="AJ254" i="72"/>
  <c r="P254" i="72"/>
  <c r="AJ584" i="72"/>
  <c r="P584" i="72"/>
  <c r="AJ220" i="72"/>
  <c r="P220" i="72"/>
  <c r="AJ508" i="72"/>
  <c r="P508" i="72"/>
  <c r="AJ151" i="72"/>
  <c r="P151" i="72"/>
  <c r="AJ185" i="72"/>
  <c r="P185" i="72"/>
  <c r="AJ321" i="72"/>
  <c r="P321" i="72"/>
  <c r="AJ813" i="72"/>
  <c r="P813" i="72"/>
  <c r="AJ546" i="72"/>
  <c r="P546" i="72"/>
  <c r="AJ660" i="72"/>
  <c r="P660" i="72"/>
  <c r="AJ775" i="72"/>
  <c r="P775" i="72"/>
  <c r="AJ699" i="72"/>
  <c r="P699" i="72"/>
  <c r="AJ622" i="72"/>
  <c r="P622" i="72"/>
  <c r="AJ397" i="72"/>
  <c r="P397" i="72"/>
  <c r="AF89" i="71"/>
  <c r="L89" i="71"/>
  <c r="S89" i="71" s="1"/>
  <c r="AF107" i="71"/>
  <c r="L107" i="71"/>
  <c r="S107" i="71" s="1"/>
  <c r="AF41" i="71"/>
  <c r="L41" i="71"/>
  <c r="AF85" i="71"/>
  <c r="L85" i="71"/>
  <c r="S85" i="71" s="1"/>
  <c r="AF101" i="71"/>
  <c r="L101" i="71"/>
  <c r="S101" i="71" s="1"/>
  <c r="AF63" i="71"/>
  <c r="L63" i="71"/>
  <c r="S63" i="71" s="1"/>
  <c r="AF45" i="71"/>
  <c r="L45" i="71"/>
  <c r="S45" i="71" s="1"/>
  <c r="AF50" i="71"/>
  <c r="L50" i="71"/>
  <c r="S50" i="71" s="1"/>
  <c r="AF93" i="71"/>
  <c r="L93" i="71"/>
  <c r="S93" i="71" s="1"/>
  <c r="AF125" i="71"/>
  <c r="L125" i="71"/>
  <c r="S125" i="71" s="1"/>
  <c r="AF97" i="71"/>
  <c r="L97" i="71"/>
  <c r="S97" i="71" s="1"/>
  <c r="AF54" i="71"/>
  <c r="L54" i="71"/>
  <c r="S54" i="71" s="1"/>
  <c r="AF58" i="71"/>
  <c r="L58" i="71"/>
  <c r="S58" i="71" s="1"/>
  <c r="AF78" i="71"/>
  <c r="L78" i="71"/>
  <c r="S78" i="71" s="1"/>
  <c r="L111" i="71"/>
  <c r="S111" i="71" s="1"/>
  <c r="AF111" i="71"/>
  <c r="AF71" i="71"/>
  <c r="L71" i="71"/>
  <c r="S71" i="71" s="1"/>
  <c r="AF67" i="71"/>
  <c r="L67" i="71"/>
  <c r="S67" i="71" s="1"/>
  <c r="L115" i="71"/>
  <c r="S115" i="71" s="1"/>
  <c r="AF115" i="71"/>
  <c r="AF119" i="71"/>
  <c r="L119" i="71"/>
  <c r="S119" i="71" s="1"/>
  <c r="AG119" i="69"/>
  <c r="AG111" i="69"/>
  <c r="AG107" i="69"/>
  <c r="AG115" i="69"/>
  <c r="AG63" i="69"/>
  <c r="AG54" i="69"/>
  <c r="AG58" i="69"/>
  <c r="AG78" i="69"/>
  <c r="AG50" i="69"/>
  <c r="AG67" i="69"/>
  <c r="AG45" i="69"/>
  <c r="AG85" i="69"/>
  <c r="R58" i="76" l="1"/>
  <c r="S58" i="76" s="1"/>
  <c r="R101" i="76"/>
  <c r="S101" i="76" s="1"/>
  <c r="R125" i="76"/>
  <c r="S125" i="76" s="1"/>
  <c r="T125" i="76"/>
  <c r="R119" i="76"/>
  <c r="S119" i="76" s="1"/>
  <c r="R63" i="76"/>
  <c r="S63" i="76" s="1"/>
  <c r="R54" i="76"/>
  <c r="S54" i="76" s="1"/>
  <c r="R89" i="76"/>
  <c r="S89" i="76" s="1"/>
  <c r="R41" i="76"/>
  <c r="R71" i="76"/>
  <c r="S71" i="76" s="1"/>
  <c r="R115" i="76"/>
  <c r="S115" i="76" s="1"/>
  <c r="R97" i="76"/>
  <c r="S97" i="76" s="1"/>
  <c r="R72" i="75"/>
  <c r="S72" i="75" s="1"/>
  <c r="R46" i="75"/>
  <c r="S46" i="75" s="1"/>
  <c r="R43" i="75"/>
  <c r="S43" i="75" s="1"/>
  <c r="R69" i="75"/>
  <c r="S69" i="75" s="1"/>
  <c r="R34" i="75"/>
  <c r="S34" i="75" s="1"/>
  <c r="R66" i="75"/>
  <c r="S66" i="75" s="1"/>
  <c r="W66" i="75"/>
  <c r="R57" i="75"/>
  <c r="S57" i="75" s="1"/>
  <c r="W57" i="75"/>
  <c r="R81" i="75"/>
  <c r="S81" i="75" s="1"/>
  <c r="W81" i="75"/>
  <c r="R40" i="75"/>
  <c r="S40" i="75" s="1"/>
  <c r="W40" i="75"/>
  <c r="R87" i="75"/>
  <c r="S87" i="75" s="1"/>
  <c r="W87" i="75"/>
  <c r="R52" i="75"/>
  <c r="S52" i="75" s="1"/>
  <c r="R31" i="75"/>
  <c r="S31" i="75" s="1"/>
  <c r="W31" i="75"/>
  <c r="R37" i="75"/>
  <c r="S37" i="75" s="1"/>
  <c r="R49" i="75"/>
  <c r="S49" i="75" s="1"/>
  <c r="W49" i="75"/>
  <c r="R60" i="75"/>
  <c r="S60" i="75" s="1"/>
  <c r="R78" i="75"/>
  <c r="S78" i="75" s="1"/>
  <c r="R75" i="75"/>
  <c r="S75" i="75" s="1"/>
  <c r="W75" i="75"/>
  <c r="R63" i="75"/>
  <c r="S63" i="75" s="1"/>
  <c r="R84" i="75"/>
  <c r="S84" i="75" s="1"/>
  <c r="S41" i="71"/>
  <c r="AG71" i="69"/>
  <c r="S41" i="76" l="1"/>
  <c r="AG93" i="69"/>
  <c r="AG89" i="69"/>
  <c r="AG97" i="69"/>
  <c r="AG101" i="69" l="1"/>
  <c r="AG125" i="69"/>
  <c r="B41" i="59" l="1"/>
  <c r="A85" i="75" l="1"/>
  <c r="A73" i="75"/>
  <c r="A61" i="75"/>
  <c r="A53" i="75"/>
  <c r="A47" i="75"/>
  <c r="A41" i="75"/>
  <c r="A35" i="75"/>
  <c r="A88" i="75"/>
  <c r="A76" i="75"/>
  <c r="A64" i="75"/>
  <c r="A32" i="75"/>
  <c r="A79" i="75"/>
  <c r="A67" i="75"/>
  <c r="A58" i="75"/>
  <c r="A50" i="75"/>
  <c r="A44" i="75"/>
  <c r="A38" i="75"/>
  <c r="A82" i="75"/>
  <c r="A70" i="75"/>
  <c r="A825" i="72"/>
  <c r="A787" i="72"/>
  <c r="A749" i="72"/>
  <c r="A672" i="72"/>
  <c r="A634" i="72"/>
  <c r="A596" i="72"/>
  <c r="A558" i="72"/>
  <c r="A371" i="72"/>
  <c r="A197" i="72"/>
  <c r="A711" i="72"/>
  <c r="A520" i="72"/>
  <c r="A480" i="72"/>
  <c r="A299" i="72"/>
  <c r="A266" i="72"/>
  <c r="A232" i="72"/>
  <c r="A864" i="72"/>
  <c r="A333" i="72"/>
  <c r="A163" i="72"/>
  <c r="A409" i="72"/>
  <c r="K41" i="59"/>
  <c r="A68" i="71"/>
  <c r="A51" i="71"/>
  <c r="A42" i="71"/>
  <c r="A116" i="71"/>
  <c r="A102" i="71"/>
  <c r="A94" i="71"/>
  <c r="A72" i="71"/>
  <c r="A55" i="71"/>
  <c r="A46" i="71"/>
  <c r="A126" i="71"/>
  <c r="A120" i="71"/>
  <c r="A112" i="71"/>
  <c r="A108" i="71"/>
  <c r="A98" i="71"/>
  <c r="A86" i="71"/>
  <c r="A64" i="71"/>
  <c r="A90" i="71"/>
  <c r="A79" i="71"/>
  <c r="A59" i="71"/>
  <c r="I41" i="59"/>
  <c r="J41" i="59"/>
  <c r="H41" i="59"/>
  <c r="G41" i="59"/>
  <c r="A116" i="69"/>
  <c r="A108" i="69"/>
  <c r="A98" i="69"/>
  <c r="A90" i="69"/>
  <c r="A79" i="69"/>
  <c r="A68" i="69"/>
  <c r="A59" i="69"/>
  <c r="A51" i="69"/>
  <c r="A42" i="69"/>
  <c r="A126" i="69"/>
  <c r="A112" i="69"/>
  <c r="A102" i="69"/>
  <c r="A94" i="69"/>
  <c r="A86" i="69"/>
  <c r="A72" i="69"/>
  <c r="A64" i="69"/>
  <c r="A55" i="69"/>
  <c r="A46" i="69"/>
  <c r="A120" i="69"/>
  <c r="A99" i="63"/>
  <c r="A91" i="63"/>
  <c r="A95" i="63"/>
  <c r="A83" i="63"/>
  <c r="A87" i="63"/>
  <c r="A67" i="63"/>
  <c r="A71" i="63"/>
  <c r="C41" i="59"/>
  <c r="A63" i="63"/>
  <c r="F41" i="59"/>
  <c r="A75" i="63"/>
  <c r="A79" i="63"/>
  <c r="D364" i="76" l="1"/>
  <c r="D15" i="77" s="1"/>
  <c r="D116" i="76"/>
  <c r="D98" i="76"/>
  <c r="D86" i="76"/>
  <c r="D72" i="76"/>
  <c r="D64" i="76"/>
  <c r="D120" i="76"/>
  <c r="D42" i="76"/>
  <c r="D102" i="76"/>
  <c r="D51" i="76"/>
  <c r="D68" i="76"/>
  <c r="D59" i="76"/>
  <c r="D90" i="76"/>
  <c r="D112" i="76"/>
  <c r="D46" i="76"/>
  <c r="D108" i="76"/>
  <c r="D55" i="76"/>
  <c r="D79" i="76"/>
  <c r="D94" i="76"/>
  <c r="D126" i="76"/>
  <c r="H364" i="76"/>
  <c r="H15" i="77" s="1"/>
  <c r="H51" i="76"/>
  <c r="H72" i="76"/>
  <c r="H64" i="76"/>
  <c r="H126" i="76"/>
  <c r="H55" i="76"/>
  <c r="H90" i="76"/>
  <c r="H68" i="76"/>
  <c r="H46" i="76"/>
  <c r="H59" i="76"/>
  <c r="H102" i="76"/>
  <c r="H79" i="76"/>
  <c r="H94" i="76"/>
  <c r="H108" i="76"/>
  <c r="H98" i="76"/>
  <c r="H86" i="76"/>
  <c r="H120" i="76"/>
  <c r="H42" i="76"/>
  <c r="H112" i="76"/>
  <c r="H116" i="76"/>
  <c r="I364" i="76"/>
  <c r="I15" i="77" s="1"/>
  <c r="I102" i="76"/>
  <c r="I116" i="76"/>
  <c r="I94" i="76"/>
  <c r="I86" i="76"/>
  <c r="I79" i="76"/>
  <c r="I120" i="76"/>
  <c r="I51" i="76"/>
  <c r="I72" i="76"/>
  <c r="I55" i="76"/>
  <c r="I90" i="76"/>
  <c r="I126" i="76"/>
  <c r="I42" i="76"/>
  <c r="I64" i="76"/>
  <c r="I68" i="76"/>
  <c r="I108" i="76"/>
  <c r="I98" i="76"/>
  <c r="I112" i="76"/>
  <c r="I46" i="76"/>
  <c r="I59" i="76"/>
  <c r="P364" i="76"/>
  <c r="P120" i="76"/>
  <c r="P72" i="76"/>
  <c r="P98" i="76"/>
  <c r="P102" i="76"/>
  <c r="P42" i="76"/>
  <c r="P116" i="76"/>
  <c r="P86" i="76"/>
  <c r="P51" i="76"/>
  <c r="P55" i="76"/>
  <c r="P59" i="76"/>
  <c r="P64" i="76"/>
  <c r="P68" i="76"/>
  <c r="P112" i="76"/>
  <c r="P46" i="76"/>
  <c r="P79" i="76"/>
  <c r="P94" i="76"/>
  <c r="P126" i="76"/>
  <c r="P90" i="76"/>
  <c r="P108" i="76"/>
  <c r="O364" i="76"/>
  <c r="Q364" i="76" s="1"/>
  <c r="O116" i="76"/>
  <c r="Q116" i="76" s="1"/>
  <c r="O86" i="76"/>
  <c r="Q86" i="76" s="1"/>
  <c r="O120" i="76"/>
  <c r="Q120" i="76" s="1"/>
  <c r="O94" i="76"/>
  <c r="Q94" i="76" s="1"/>
  <c r="O79" i="76"/>
  <c r="Q79" i="76" s="1"/>
  <c r="O102" i="76"/>
  <c r="Q102" i="76" s="1"/>
  <c r="O46" i="76"/>
  <c r="Q46" i="76" s="1"/>
  <c r="O98" i="76"/>
  <c r="Q98" i="76" s="1"/>
  <c r="O42" i="76"/>
  <c r="Q42" i="76" s="1"/>
  <c r="O90" i="76"/>
  <c r="Q90" i="76" s="1"/>
  <c r="O126" i="76"/>
  <c r="Q126" i="76" s="1"/>
  <c r="O72" i="76"/>
  <c r="Q72" i="76" s="1"/>
  <c r="O64" i="76"/>
  <c r="Q64" i="76" s="1"/>
  <c r="O68" i="76"/>
  <c r="Q68" i="76" s="1"/>
  <c r="O112" i="76"/>
  <c r="Q112" i="76" s="1"/>
  <c r="O108" i="76"/>
  <c r="Q108" i="76" s="1"/>
  <c r="O55" i="76"/>
  <c r="Q55" i="76" s="1"/>
  <c r="O59" i="76"/>
  <c r="Q59" i="76" s="1"/>
  <c r="O51" i="76"/>
  <c r="Q51" i="76" s="1"/>
  <c r="N51" i="76"/>
  <c r="N72" i="76"/>
  <c r="N64" i="76"/>
  <c r="N108" i="76"/>
  <c r="N120" i="76"/>
  <c r="N94" i="76"/>
  <c r="N79" i="76"/>
  <c r="N102" i="76"/>
  <c r="N55" i="76"/>
  <c r="N86" i="76"/>
  <c r="N112" i="76"/>
  <c r="N126" i="76"/>
  <c r="N116" i="76"/>
  <c r="N68" i="76"/>
  <c r="N42" i="76"/>
  <c r="N46" i="76"/>
  <c r="N90" i="76"/>
  <c r="N59" i="76"/>
  <c r="N98" i="76"/>
  <c r="J364" i="76"/>
  <c r="J15" i="77" s="1"/>
  <c r="L15" i="77" s="1"/>
  <c r="J102" i="76"/>
  <c r="J116" i="76"/>
  <c r="J86" i="76"/>
  <c r="J120" i="76"/>
  <c r="J98" i="76"/>
  <c r="J42" i="76"/>
  <c r="J59" i="76"/>
  <c r="J51" i="76"/>
  <c r="J55" i="76"/>
  <c r="J108" i="76"/>
  <c r="J79" i="76"/>
  <c r="J94" i="76"/>
  <c r="J112" i="76"/>
  <c r="J46" i="76"/>
  <c r="J72" i="76"/>
  <c r="J126" i="76"/>
  <c r="J64" i="76"/>
  <c r="J90" i="76"/>
  <c r="J68" i="76"/>
  <c r="N61" i="75"/>
  <c r="N44" i="75"/>
  <c r="N35" i="75"/>
  <c r="N70" i="75"/>
  <c r="N38" i="75"/>
  <c r="N41" i="75"/>
  <c r="N79" i="75"/>
  <c r="N85" i="75"/>
  <c r="N32" i="75"/>
  <c r="N50" i="75"/>
  <c r="N76" i="75"/>
  <c r="N64" i="75"/>
  <c r="N53" i="75"/>
  <c r="N82" i="75"/>
  <c r="N58" i="75"/>
  <c r="N88" i="75"/>
  <c r="N47" i="75"/>
  <c r="N67" i="75"/>
  <c r="N73" i="75"/>
  <c r="P67" i="75"/>
  <c r="P58" i="75"/>
  <c r="P50" i="75"/>
  <c r="P76" i="75"/>
  <c r="P32" i="75"/>
  <c r="P73" i="75"/>
  <c r="P64" i="75"/>
  <c r="P41" i="75"/>
  <c r="P47" i="75"/>
  <c r="P53" i="75"/>
  <c r="P82" i="75"/>
  <c r="P85" i="75"/>
  <c r="P70" i="75"/>
  <c r="P88" i="75"/>
  <c r="P61" i="75"/>
  <c r="P35" i="75"/>
  <c r="P38" i="75"/>
  <c r="P44" i="75"/>
  <c r="P79" i="75"/>
  <c r="I64" i="75"/>
  <c r="I70" i="75"/>
  <c r="I44" i="75"/>
  <c r="I47" i="75"/>
  <c r="I35" i="75"/>
  <c r="I50" i="75"/>
  <c r="I53" i="75"/>
  <c r="I32" i="75"/>
  <c r="I38" i="75"/>
  <c r="I41" i="75"/>
  <c r="I76" i="75"/>
  <c r="I58" i="75"/>
  <c r="I85" i="75"/>
  <c r="I61" i="75"/>
  <c r="I88" i="75"/>
  <c r="I79" i="75"/>
  <c r="I67" i="75"/>
  <c r="I73" i="75"/>
  <c r="I82" i="75"/>
  <c r="J32" i="75"/>
  <c r="J85" i="75"/>
  <c r="J82" i="75"/>
  <c r="J41" i="75"/>
  <c r="J76" i="75"/>
  <c r="J61" i="75"/>
  <c r="J64" i="75"/>
  <c r="J73" i="75"/>
  <c r="J79" i="75"/>
  <c r="J70" i="75"/>
  <c r="J50" i="75"/>
  <c r="J35" i="75"/>
  <c r="J38" i="75"/>
  <c r="J44" i="75"/>
  <c r="J47" i="75"/>
  <c r="J53" i="75"/>
  <c r="J88" i="75"/>
  <c r="J58" i="75"/>
  <c r="J67" i="75"/>
  <c r="H88" i="75"/>
  <c r="H79" i="75"/>
  <c r="H32" i="75"/>
  <c r="H41" i="75"/>
  <c r="H35" i="75"/>
  <c r="H53" i="75"/>
  <c r="H70" i="75"/>
  <c r="H61" i="75"/>
  <c r="H50" i="75"/>
  <c r="H76" i="75"/>
  <c r="H67" i="75"/>
  <c r="H47" i="75"/>
  <c r="H44" i="75"/>
  <c r="H64" i="75"/>
  <c r="H58" i="75"/>
  <c r="H38" i="75"/>
  <c r="H82" i="75"/>
  <c r="H73" i="75"/>
  <c r="H85" i="75"/>
  <c r="D73" i="75"/>
  <c r="D82" i="75"/>
  <c r="D32" i="75"/>
  <c r="D85" i="75"/>
  <c r="D41" i="75"/>
  <c r="D76" i="75"/>
  <c r="D64" i="75"/>
  <c r="D50" i="75"/>
  <c r="D61" i="75"/>
  <c r="D70" i="75"/>
  <c r="D88" i="75"/>
  <c r="D35" i="75"/>
  <c r="D38" i="75"/>
  <c r="D44" i="75"/>
  <c r="D79" i="75"/>
  <c r="D47" i="75"/>
  <c r="D53" i="75"/>
  <c r="D67" i="75"/>
  <c r="D58" i="75"/>
  <c r="O47" i="75"/>
  <c r="Q47" i="75" s="1"/>
  <c r="O35" i="75"/>
  <c r="Q35" i="75" s="1"/>
  <c r="O79" i="75"/>
  <c r="Q79" i="75" s="1"/>
  <c r="O64" i="75"/>
  <c r="Q64" i="75" s="1"/>
  <c r="O38" i="75"/>
  <c r="Q38" i="75" s="1"/>
  <c r="O76" i="75"/>
  <c r="Q76" i="75" s="1"/>
  <c r="O85" i="75"/>
  <c r="Q85" i="75" s="1"/>
  <c r="O32" i="75"/>
  <c r="Q32" i="75" s="1"/>
  <c r="O50" i="75"/>
  <c r="Q50" i="75" s="1"/>
  <c r="O41" i="75"/>
  <c r="Q41" i="75" s="1"/>
  <c r="O44" i="75"/>
  <c r="Q44" i="75" s="1"/>
  <c r="O53" i="75"/>
  <c r="Q53" i="75" s="1"/>
  <c r="O73" i="75"/>
  <c r="Q73" i="75" s="1"/>
  <c r="O58" i="75"/>
  <c r="Q58" i="75" s="1"/>
  <c r="O61" i="75"/>
  <c r="Q61" i="75" s="1"/>
  <c r="O70" i="75"/>
  <c r="Q70" i="75" s="1"/>
  <c r="O67" i="75"/>
  <c r="Q67" i="75" s="1"/>
  <c r="O82" i="75"/>
  <c r="Q82" i="75" s="1"/>
  <c r="O88" i="75"/>
  <c r="Q88" i="75" s="1"/>
  <c r="P120" i="71"/>
  <c r="R120" i="71" s="1"/>
  <c r="P64" i="69"/>
  <c r="P102" i="69"/>
  <c r="P51" i="69"/>
  <c r="P90" i="69"/>
  <c r="P46" i="69"/>
  <c r="P86" i="69"/>
  <c r="P126" i="69"/>
  <c r="P102" i="71"/>
  <c r="R102" i="71" s="1"/>
  <c r="P112" i="71"/>
  <c r="R112" i="71" s="1"/>
  <c r="P68" i="69"/>
  <c r="P108" i="69"/>
  <c r="P120" i="69"/>
  <c r="P72" i="69"/>
  <c r="P112" i="69"/>
  <c r="P59" i="69"/>
  <c r="P98" i="69"/>
  <c r="P55" i="69"/>
  <c r="P94" i="69"/>
  <c r="P42" i="69"/>
  <c r="P79" i="69"/>
  <c r="P116" i="69"/>
  <c r="P108" i="71"/>
  <c r="R108" i="71" s="1"/>
  <c r="P116" i="71"/>
  <c r="R116" i="71" s="1"/>
  <c r="P64" i="71"/>
  <c r="R64" i="71" s="1"/>
  <c r="P79" i="71"/>
  <c r="R79" i="71" s="1"/>
  <c r="P98" i="71"/>
  <c r="R98" i="71" s="1"/>
  <c r="P94" i="71"/>
  <c r="R94" i="71" s="1"/>
  <c r="P51" i="71"/>
  <c r="R51" i="71" s="1"/>
  <c r="P126" i="71"/>
  <c r="R126" i="71" s="1"/>
  <c r="P68" i="71"/>
  <c r="R68" i="71" s="1"/>
  <c r="Q480" i="72"/>
  <c r="Q596" i="72"/>
  <c r="Q749" i="72"/>
  <c r="Q634" i="72"/>
  <c r="Q787" i="72"/>
  <c r="Q711" i="72"/>
  <c r="Q163" i="72"/>
  <c r="Q333" i="72"/>
  <c r="Q520" i="72"/>
  <c r="Q864" i="72"/>
  <c r="Q197" i="72"/>
  <c r="Q266" i="72"/>
  <c r="Q371" i="72"/>
  <c r="Q672" i="72"/>
  <c r="Q232" i="72"/>
  <c r="Q299" i="72"/>
  <c r="Q409" i="72"/>
  <c r="Q558" i="72"/>
  <c r="Q825" i="72"/>
  <c r="R480" i="72"/>
  <c r="R520" i="72"/>
  <c r="R711" i="72"/>
  <c r="R299" i="72"/>
  <c r="R672" i="72"/>
  <c r="R232" i="72"/>
  <c r="R197" i="72"/>
  <c r="R371" i="72"/>
  <c r="R596" i="72"/>
  <c r="R749" i="72"/>
  <c r="R787" i="72"/>
  <c r="R409" i="72"/>
  <c r="R266" i="72"/>
  <c r="R825" i="72"/>
  <c r="R333" i="72"/>
  <c r="R634" i="72"/>
  <c r="R864" i="72"/>
  <c r="R163" i="72"/>
  <c r="R558" i="72"/>
  <c r="P42" i="71"/>
  <c r="R42" i="71" s="1"/>
  <c r="P55" i="71"/>
  <c r="R55" i="71" s="1"/>
  <c r="N711" i="72"/>
  <c r="N596" i="72"/>
  <c r="N480" i="72"/>
  <c r="N333" i="72"/>
  <c r="N197" i="72"/>
  <c r="N634" i="72"/>
  <c r="N232" i="72"/>
  <c r="N163" i="72"/>
  <c r="N266" i="72"/>
  <c r="N787" i="72"/>
  <c r="N749" i="72"/>
  <c r="N672" i="72"/>
  <c r="N371" i="72"/>
  <c r="N299" i="72"/>
  <c r="N558" i="72"/>
  <c r="N864" i="72"/>
  <c r="N520" i="72"/>
  <c r="N825" i="72"/>
  <c r="N409" i="72"/>
  <c r="P72" i="71"/>
  <c r="R72" i="71" s="1"/>
  <c r="P90" i="71"/>
  <c r="R90" i="71" s="1"/>
  <c r="P46" i="71"/>
  <c r="R46" i="71" s="1"/>
  <c r="M371" i="72"/>
  <c r="M711" i="72"/>
  <c r="M672" i="72"/>
  <c r="M299" i="72"/>
  <c r="M520" i="72"/>
  <c r="M749" i="72"/>
  <c r="M163" i="72"/>
  <c r="M596" i="72"/>
  <c r="M825" i="72"/>
  <c r="M232" i="72"/>
  <c r="M266" i="72"/>
  <c r="M558" i="72"/>
  <c r="M480" i="72"/>
  <c r="M787" i="72"/>
  <c r="M409" i="72"/>
  <c r="M197" i="72"/>
  <c r="M333" i="72"/>
  <c r="M634" i="72"/>
  <c r="M864" i="72"/>
  <c r="D197" i="72"/>
  <c r="D711" i="72"/>
  <c r="D266" i="72"/>
  <c r="D787" i="72"/>
  <c r="D634" i="72"/>
  <c r="D232" i="72"/>
  <c r="D480" i="72"/>
  <c r="D749" i="72"/>
  <c r="D333" i="72"/>
  <c r="D163" i="72"/>
  <c r="D371" i="72"/>
  <c r="D596" i="72"/>
  <c r="D299" i="72"/>
  <c r="D672" i="72"/>
  <c r="D825" i="72"/>
  <c r="D520" i="72"/>
  <c r="D409" i="72"/>
  <c r="D558" i="72"/>
  <c r="D864" i="72"/>
  <c r="H266" i="72"/>
  <c r="H711" i="72"/>
  <c r="H197" i="72"/>
  <c r="H371" i="72"/>
  <c r="H672" i="72"/>
  <c r="H409" i="72"/>
  <c r="H480" i="72"/>
  <c r="H299" i="72"/>
  <c r="H825" i="72"/>
  <c r="H232" i="72"/>
  <c r="H333" i="72"/>
  <c r="H520" i="72"/>
  <c r="H864" i="72"/>
  <c r="H558" i="72"/>
  <c r="H596" i="72"/>
  <c r="H634" i="72"/>
  <c r="H787" i="72"/>
  <c r="H163" i="72"/>
  <c r="H749" i="72"/>
  <c r="P86" i="71"/>
  <c r="R86" i="71" s="1"/>
  <c r="S409" i="72"/>
  <c r="T409" i="72" s="1"/>
  <c r="S266" i="72"/>
  <c r="T266" i="72" s="1"/>
  <c r="S299" i="72"/>
  <c r="T299" i="72" s="1"/>
  <c r="S672" i="72"/>
  <c r="T672" i="72" s="1"/>
  <c r="S825" i="72"/>
  <c r="T825" i="72" s="1"/>
  <c r="S711" i="72"/>
  <c r="T711" i="72" s="1"/>
  <c r="S480" i="72"/>
  <c r="T480" i="72" s="1"/>
  <c r="S634" i="72"/>
  <c r="T634" i="72" s="1"/>
  <c r="S749" i="72"/>
  <c r="T749" i="72" s="1"/>
  <c r="S558" i="72"/>
  <c r="T558" i="72" s="1"/>
  <c r="S596" i="72"/>
  <c r="T596" i="72" s="1"/>
  <c r="S232" i="72"/>
  <c r="T232" i="72" s="1"/>
  <c r="S864" i="72"/>
  <c r="T864" i="72" s="1"/>
  <c r="S371" i="72"/>
  <c r="T371" i="72" s="1"/>
  <c r="S787" i="72"/>
  <c r="T787" i="72" s="1"/>
  <c r="S333" i="72"/>
  <c r="T333" i="72" s="1"/>
  <c r="S520" i="72"/>
  <c r="T520" i="72" s="1"/>
  <c r="S163" i="72"/>
  <c r="T163" i="72" s="1"/>
  <c r="P59" i="71"/>
  <c r="R59" i="71" s="1"/>
  <c r="N112" i="71"/>
  <c r="N120" i="71"/>
  <c r="N68" i="71"/>
  <c r="N42" i="71"/>
  <c r="N55" i="71"/>
  <c r="N46" i="71"/>
  <c r="N86" i="71"/>
  <c r="N51" i="71"/>
  <c r="N79" i="71"/>
  <c r="N64" i="71"/>
  <c r="N59" i="71"/>
  <c r="N90" i="71"/>
  <c r="N98" i="71"/>
  <c r="N102" i="71"/>
  <c r="N72" i="71"/>
  <c r="N116" i="71"/>
  <c r="N94" i="71"/>
  <c r="N126" i="71"/>
  <c r="N108" i="71"/>
  <c r="I120" i="71"/>
  <c r="I102" i="71"/>
  <c r="I98" i="71"/>
  <c r="I90" i="71"/>
  <c r="I72" i="71"/>
  <c r="I64" i="71"/>
  <c r="I46" i="71"/>
  <c r="I55" i="71"/>
  <c r="I42" i="71"/>
  <c r="I116" i="71"/>
  <c r="I59" i="71"/>
  <c r="I68" i="71"/>
  <c r="I108" i="71"/>
  <c r="I51" i="71"/>
  <c r="I86" i="71"/>
  <c r="I94" i="71"/>
  <c r="I79" i="71"/>
  <c r="I112" i="71"/>
  <c r="I126" i="71"/>
  <c r="J120" i="71"/>
  <c r="J102" i="71"/>
  <c r="J68" i="71"/>
  <c r="J98" i="71"/>
  <c r="J86" i="71"/>
  <c r="J116" i="71"/>
  <c r="J108" i="71"/>
  <c r="J55" i="71"/>
  <c r="J51" i="71"/>
  <c r="J59" i="71"/>
  <c r="J46" i="71"/>
  <c r="J64" i="71"/>
  <c r="J42" i="71"/>
  <c r="J126" i="71"/>
  <c r="J112" i="71"/>
  <c r="J79" i="71"/>
  <c r="J94" i="71"/>
  <c r="J72" i="71"/>
  <c r="J90" i="71"/>
  <c r="D98" i="71"/>
  <c r="D86" i="71"/>
  <c r="D108" i="71"/>
  <c r="D120" i="71"/>
  <c r="D102" i="71"/>
  <c r="D55" i="71"/>
  <c r="D68" i="71"/>
  <c r="D64" i="71"/>
  <c r="D46" i="71"/>
  <c r="D51" i="71"/>
  <c r="D59" i="71"/>
  <c r="D42" i="71"/>
  <c r="D72" i="71"/>
  <c r="D116" i="71"/>
  <c r="D79" i="71"/>
  <c r="D94" i="71"/>
  <c r="D126" i="71"/>
  <c r="D90" i="71"/>
  <c r="D112" i="71"/>
  <c r="H112" i="71"/>
  <c r="H51" i="71"/>
  <c r="H79" i="71"/>
  <c r="H42" i="71"/>
  <c r="H90" i="71"/>
  <c r="H72" i="71"/>
  <c r="H116" i="71"/>
  <c r="H59" i="71"/>
  <c r="H64" i="71"/>
  <c r="H94" i="71"/>
  <c r="H55" i="71"/>
  <c r="H108" i="71"/>
  <c r="H126" i="71"/>
  <c r="H102" i="71"/>
  <c r="H120" i="71"/>
  <c r="H68" i="71"/>
  <c r="H86" i="71"/>
  <c r="H46" i="71"/>
  <c r="H98" i="71"/>
  <c r="O98" i="71"/>
  <c r="Q98" i="71" s="1"/>
  <c r="O90" i="71"/>
  <c r="Q90" i="71" s="1"/>
  <c r="O116" i="71"/>
  <c r="Q116" i="71" s="1"/>
  <c r="O102" i="71"/>
  <c r="Q102" i="71" s="1"/>
  <c r="O112" i="71"/>
  <c r="Q112" i="71" s="1"/>
  <c r="O72" i="71"/>
  <c r="Q72" i="71" s="1"/>
  <c r="O64" i="71"/>
  <c r="Q64" i="71" s="1"/>
  <c r="O55" i="71"/>
  <c r="Q55" i="71" s="1"/>
  <c r="O46" i="71"/>
  <c r="Q46" i="71" s="1"/>
  <c r="O86" i="71"/>
  <c r="Q86" i="71" s="1"/>
  <c r="O59" i="71"/>
  <c r="Q59" i="71" s="1"/>
  <c r="O108" i="71"/>
  <c r="Q108" i="71" s="1"/>
  <c r="O51" i="71"/>
  <c r="Q51" i="71" s="1"/>
  <c r="O120" i="71"/>
  <c r="Q120" i="71" s="1"/>
  <c r="O42" i="71"/>
  <c r="Q42" i="71" s="1"/>
  <c r="O68" i="71"/>
  <c r="Q68" i="71" s="1"/>
  <c r="O79" i="71"/>
  <c r="Q79" i="71" s="1"/>
  <c r="O94" i="71"/>
  <c r="Q94" i="71" s="1"/>
  <c r="O126" i="71"/>
  <c r="Q126" i="71" s="1"/>
  <c r="N72" i="69"/>
  <c r="N55" i="69"/>
  <c r="O55" i="69"/>
  <c r="O94" i="69"/>
  <c r="N94" i="69"/>
  <c r="N42" i="69"/>
  <c r="O42" i="69"/>
  <c r="N79" i="69"/>
  <c r="O79" i="69"/>
  <c r="O116" i="69"/>
  <c r="N116" i="69"/>
  <c r="O64" i="69"/>
  <c r="N64" i="69"/>
  <c r="O102" i="69"/>
  <c r="N102" i="69"/>
  <c r="N51" i="69"/>
  <c r="O51" i="69"/>
  <c r="N90" i="69"/>
  <c r="O90" i="69"/>
  <c r="N120" i="69"/>
  <c r="O120" i="69"/>
  <c r="N112" i="69"/>
  <c r="O112" i="69"/>
  <c r="N59" i="69"/>
  <c r="O59" i="69"/>
  <c r="N98" i="69"/>
  <c r="O98" i="69"/>
  <c r="O46" i="69"/>
  <c r="N46" i="69"/>
  <c r="N86" i="69"/>
  <c r="O86" i="69"/>
  <c r="N126" i="69"/>
  <c r="O126" i="69"/>
  <c r="O68" i="69"/>
  <c r="N68" i="69"/>
  <c r="O108" i="69"/>
  <c r="N108" i="69"/>
  <c r="O72" i="69"/>
  <c r="D120" i="69"/>
  <c r="J126" i="69"/>
  <c r="I126" i="69"/>
  <c r="H126" i="69"/>
  <c r="I112" i="69"/>
  <c r="I120" i="69"/>
  <c r="I116" i="69"/>
  <c r="I108" i="69"/>
  <c r="H112" i="69"/>
  <c r="H120" i="69"/>
  <c r="H116" i="69"/>
  <c r="H108" i="69"/>
  <c r="J120" i="69"/>
  <c r="J116" i="69"/>
  <c r="J108" i="69"/>
  <c r="J112" i="69"/>
  <c r="I90" i="69"/>
  <c r="I98" i="69"/>
  <c r="I102" i="69"/>
  <c r="I94" i="69"/>
  <c r="I86" i="69"/>
  <c r="H90" i="69"/>
  <c r="H98" i="69"/>
  <c r="H102" i="69"/>
  <c r="H94" i="69"/>
  <c r="H86" i="69"/>
  <c r="J98" i="69"/>
  <c r="J102" i="69"/>
  <c r="J94" i="69"/>
  <c r="J86" i="69"/>
  <c r="J90" i="69"/>
  <c r="I42" i="69"/>
  <c r="I79" i="69"/>
  <c r="I68" i="69"/>
  <c r="I59" i="69"/>
  <c r="I51" i="69"/>
  <c r="I72" i="69"/>
  <c r="I64" i="69"/>
  <c r="I55" i="69"/>
  <c r="I46" i="69"/>
  <c r="H42" i="69"/>
  <c r="H79" i="69"/>
  <c r="H68" i="69"/>
  <c r="H59" i="69"/>
  <c r="H51" i="69"/>
  <c r="H72" i="69"/>
  <c r="H64" i="69"/>
  <c r="H55" i="69"/>
  <c r="H46" i="69"/>
  <c r="J42" i="69"/>
  <c r="J72" i="69"/>
  <c r="J64" i="69"/>
  <c r="J55" i="69"/>
  <c r="J46" i="69"/>
  <c r="J79" i="69"/>
  <c r="J68" i="69"/>
  <c r="J59" i="69"/>
  <c r="J51" i="69"/>
  <c r="D126" i="69"/>
  <c r="D112" i="69"/>
  <c r="D98" i="69"/>
  <c r="D90" i="69"/>
  <c r="D79" i="69"/>
  <c r="D46" i="69"/>
  <c r="D116" i="69"/>
  <c r="D108" i="69"/>
  <c r="D102" i="69"/>
  <c r="D94" i="69"/>
  <c r="D86" i="69"/>
  <c r="D51" i="69"/>
  <c r="D59" i="69"/>
  <c r="D68" i="69"/>
  <c r="D55" i="69"/>
  <c r="D64" i="69"/>
  <c r="D72" i="69"/>
  <c r="D99" i="63"/>
  <c r="C285" i="65" s="1"/>
  <c r="D42" i="69"/>
  <c r="J91" i="63"/>
  <c r="L91" i="63" s="1"/>
  <c r="J99" i="63"/>
  <c r="L99" i="63" s="1"/>
  <c r="I91" i="63"/>
  <c r="I99" i="63"/>
  <c r="H91" i="63"/>
  <c r="H99" i="63"/>
  <c r="D91" i="63"/>
  <c r="C258" i="65" s="1"/>
  <c r="H95" i="63"/>
  <c r="J95" i="63"/>
  <c r="L95" i="63" s="1"/>
  <c r="D95" i="63"/>
  <c r="C271" i="65" s="1"/>
  <c r="I95" i="63"/>
  <c r="I87" i="63"/>
  <c r="I83" i="63"/>
  <c r="H83" i="63"/>
  <c r="H87" i="63"/>
  <c r="J87" i="63"/>
  <c r="L87" i="63" s="1"/>
  <c r="J83" i="63"/>
  <c r="L83" i="63" s="1"/>
  <c r="D87" i="63"/>
  <c r="C248" i="65" s="1"/>
  <c r="D83" i="63"/>
  <c r="C236" i="65" s="1"/>
  <c r="J79" i="63"/>
  <c r="L79" i="63" s="1"/>
  <c r="I79" i="63"/>
  <c r="D79" i="63"/>
  <c r="C222" i="65" s="1"/>
  <c r="H79" i="63"/>
  <c r="D63" i="63"/>
  <c r="C146" i="65" s="1"/>
  <c r="I63" i="63"/>
  <c r="J63" i="63"/>
  <c r="L63" i="63" s="1"/>
  <c r="H63" i="63"/>
  <c r="J75" i="63"/>
  <c r="L75" i="63" s="1"/>
  <c r="I75" i="63"/>
  <c r="H75" i="63"/>
  <c r="D75" i="63"/>
  <c r="C209" i="65" s="1"/>
  <c r="D71" i="63"/>
  <c r="C195" i="65" s="1"/>
  <c r="J71" i="63"/>
  <c r="I71" i="63"/>
  <c r="H71" i="63"/>
  <c r="J67" i="63"/>
  <c r="L67" i="63" s="1"/>
  <c r="I67" i="63"/>
  <c r="H67" i="63"/>
  <c r="D67" i="63"/>
  <c r="C182" i="65" s="1"/>
  <c r="L94" i="76" l="1"/>
  <c r="R94" i="76" s="1"/>
  <c r="S94" i="76" s="1"/>
  <c r="AG94" i="76"/>
  <c r="AG68" i="76"/>
  <c r="L68" i="76"/>
  <c r="R68" i="76" s="1"/>
  <c r="S68" i="76" s="1"/>
  <c r="AG72" i="76"/>
  <c r="L72" i="76"/>
  <c r="R72" i="76" s="1"/>
  <c r="S72" i="76" s="1"/>
  <c r="L79" i="76"/>
  <c r="R79" i="76" s="1"/>
  <c r="S79" i="76" s="1"/>
  <c r="AG79" i="76"/>
  <c r="AG59" i="76"/>
  <c r="L59" i="76"/>
  <c r="R59" i="76" s="1"/>
  <c r="S59" i="76" s="1"/>
  <c r="AG86" i="76"/>
  <c r="L86" i="76"/>
  <c r="R86" i="76" s="1"/>
  <c r="S86" i="76" s="1"/>
  <c r="L126" i="76"/>
  <c r="R126" i="76" s="1"/>
  <c r="S126" i="76" s="1"/>
  <c r="AG126" i="76"/>
  <c r="AG364" i="76"/>
  <c r="L364" i="76"/>
  <c r="R364" i="76" s="1"/>
  <c r="S364" i="76" s="1"/>
  <c r="AG90" i="76"/>
  <c r="L90" i="76"/>
  <c r="L46" i="76"/>
  <c r="R46" i="76" s="1"/>
  <c r="S46" i="76" s="1"/>
  <c r="AG46" i="76"/>
  <c r="AG108" i="76"/>
  <c r="L108" i="76"/>
  <c r="R108" i="76" s="1"/>
  <c r="S108" i="76" s="1"/>
  <c r="AG42" i="76"/>
  <c r="L42" i="76"/>
  <c r="AG116" i="76"/>
  <c r="L116" i="76"/>
  <c r="R116" i="76" s="1"/>
  <c r="S116" i="76" s="1"/>
  <c r="L51" i="76"/>
  <c r="R51" i="76" s="1"/>
  <c r="S51" i="76" s="1"/>
  <c r="AG51" i="76"/>
  <c r="AG120" i="76"/>
  <c r="L120" i="76"/>
  <c r="AG64" i="76"/>
  <c r="L64" i="76"/>
  <c r="R64" i="76" s="1"/>
  <c r="S64" i="76" s="1"/>
  <c r="L112" i="76"/>
  <c r="R112" i="76" s="1"/>
  <c r="S112" i="76" s="1"/>
  <c r="AG112" i="76"/>
  <c r="AG55" i="76"/>
  <c r="L55" i="76"/>
  <c r="R55" i="76" s="1"/>
  <c r="S55" i="76" s="1"/>
  <c r="AG98" i="76"/>
  <c r="L98" i="76"/>
  <c r="R98" i="76" s="1"/>
  <c r="S98" i="76" s="1"/>
  <c r="AG102" i="76"/>
  <c r="L102" i="76"/>
  <c r="R102" i="76" s="1"/>
  <c r="S102" i="76" s="1"/>
  <c r="AG67" i="75"/>
  <c r="L67" i="75"/>
  <c r="L47" i="75"/>
  <c r="W47" i="75" s="1"/>
  <c r="AG47" i="75"/>
  <c r="AG50" i="75"/>
  <c r="L50" i="75"/>
  <c r="W50" i="75" s="1"/>
  <c r="AG64" i="75"/>
  <c r="L64" i="75"/>
  <c r="AG82" i="75"/>
  <c r="L82" i="75"/>
  <c r="AG58" i="75"/>
  <c r="L58" i="75"/>
  <c r="L44" i="75"/>
  <c r="W44" i="75" s="1"/>
  <c r="AG44" i="75"/>
  <c r="AG70" i="75"/>
  <c r="L70" i="75"/>
  <c r="AG61" i="75"/>
  <c r="L61" i="75"/>
  <c r="AG85" i="75"/>
  <c r="L85" i="75"/>
  <c r="AG88" i="75"/>
  <c r="L88" i="75"/>
  <c r="AG38" i="75"/>
  <c r="L38" i="75"/>
  <c r="W38" i="75" s="1"/>
  <c r="AG79" i="75"/>
  <c r="L79" i="75"/>
  <c r="W79" i="75" s="1"/>
  <c r="AG76" i="75"/>
  <c r="L76" i="75"/>
  <c r="AG32" i="75"/>
  <c r="L32" i="75"/>
  <c r="AG53" i="75"/>
  <c r="L53" i="75"/>
  <c r="AG35" i="75"/>
  <c r="L35" i="75"/>
  <c r="W35" i="75" s="1"/>
  <c r="AG73" i="75"/>
  <c r="L73" i="75"/>
  <c r="AG41" i="75"/>
  <c r="L41" i="75"/>
  <c r="AJ409" i="72"/>
  <c r="P409" i="72"/>
  <c r="AJ232" i="72"/>
  <c r="P232" i="72"/>
  <c r="AJ864" i="72"/>
  <c r="P864" i="72"/>
  <c r="AJ672" i="72"/>
  <c r="P672" i="72"/>
  <c r="AJ163" i="72"/>
  <c r="P163" i="72"/>
  <c r="AJ333" i="72"/>
  <c r="P333" i="72"/>
  <c r="AJ558" i="72"/>
  <c r="P558" i="72"/>
  <c r="AJ480" i="72"/>
  <c r="P480" i="72"/>
  <c r="AJ825" i="72"/>
  <c r="P825" i="72"/>
  <c r="AJ299" i="72"/>
  <c r="P299" i="72"/>
  <c r="AJ787" i="72"/>
  <c r="P787" i="72"/>
  <c r="AJ634" i="72"/>
  <c r="P634" i="72"/>
  <c r="AJ596" i="72"/>
  <c r="P596" i="72"/>
  <c r="AJ749" i="72"/>
  <c r="P749" i="72"/>
  <c r="AJ520" i="72"/>
  <c r="P520" i="72"/>
  <c r="AJ371" i="72"/>
  <c r="P371" i="72"/>
  <c r="AJ266" i="72"/>
  <c r="P266" i="72"/>
  <c r="AJ197" i="72"/>
  <c r="P197" i="72"/>
  <c r="AJ711" i="72"/>
  <c r="P711" i="72"/>
  <c r="AF72" i="71"/>
  <c r="L72" i="71"/>
  <c r="S72" i="71" s="1"/>
  <c r="AF126" i="71"/>
  <c r="L126" i="71"/>
  <c r="S126" i="71" s="1"/>
  <c r="AF59" i="71"/>
  <c r="L59" i="71"/>
  <c r="S59" i="71" s="1"/>
  <c r="AF116" i="71"/>
  <c r="L116" i="71"/>
  <c r="S116" i="71" s="1"/>
  <c r="AF102" i="71"/>
  <c r="L102" i="71"/>
  <c r="S102" i="71" s="1"/>
  <c r="AF94" i="71"/>
  <c r="L94" i="71"/>
  <c r="S94" i="71" s="1"/>
  <c r="AF42" i="71"/>
  <c r="L42" i="71"/>
  <c r="AF51" i="71"/>
  <c r="L51" i="71"/>
  <c r="S51" i="71" s="1"/>
  <c r="AF86" i="71"/>
  <c r="L86" i="71"/>
  <c r="S86" i="71" s="1"/>
  <c r="AF120" i="71"/>
  <c r="L120" i="71"/>
  <c r="S120" i="71" s="1"/>
  <c r="AF79" i="71"/>
  <c r="L79" i="71"/>
  <c r="S79" i="71" s="1"/>
  <c r="AF64" i="71"/>
  <c r="L64" i="71"/>
  <c r="S64" i="71" s="1"/>
  <c r="AF55" i="71"/>
  <c r="L55" i="71"/>
  <c r="S55" i="71" s="1"/>
  <c r="AF98" i="71"/>
  <c r="L98" i="71"/>
  <c r="S98" i="71" s="1"/>
  <c r="AF90" i="71"/>
  <c r="L90" i="71"/>
  <c r="S90" i="71" s="1"/>
  <c r="L112" i="71"/>
  <c r="S112" i="71" s="1"/>
  <c r="AF112" i="71"/>
  <c r="AF46" i="71"/>
  <c r="L46" i="71"/>
  <c r="S46" i="71" s="1"/>
  <c r="AF108" i="71"/>
  <c r="L108" i="71"/>
  <c r="S108" i="71" s="1"/>
  <c r="AF68" i="71"/>
  <c r="L68" i="71"/>
  <c r="S68" i="71" s="1"/>
  <c r="AG126" i="69"/>
  <c r="AG112" i="69"/>
  <c r="AG108" i="69"/>
  <c r="AG116" i="69"/>
  <c r="AG120" i="69"/>
  <c r="AG42" i="69"/>
  <c r="AG86" i="69"/>
  <c r="AG64" i="69"/>
  <c r="AG51" i="69"/>
  <c r="AG55" i="69"/>
  <c r="AG68" i="69"/>
  <c r="AG79" i="69"/>
  <c r="AG46" i="69"/>
  <c r="B446" i="58"/>
  <c r="B42" i="59"/>
  <c r="T126" i="76" l="1"/>
  <c r="R42" i="76"/>
  <c r="R120" i="76"/>
  <c r="S120" i="76" s="1"/>
  <c r="R90" i="76"/>
  <c r="S90" i="76" s="1"/>
  <c r="A33" i="75"/>
  <c r="A36" i="75"/>
  <c r="R44" i="75"/>
  <c r="S44" i="75" s="1"/>
  <c r="R47" i="75"/>
  <c r="S47" i="75" s="1"/>
  <c r="R50" i="75"/>
  <c r="S50" i="75" s="1"/>
  <c r="R38" i="75"/>
  <c r="S38" i="75" s="1"/>
  <c r="R73" i="75"/>
  <c r="S73" i="75" s="1"/>
  <c r="W73" i="75"/>
  <c r="R53" i="75"/>
  <c r="S53" i="75" s="1"/>
  <c r="W53" i="75"/>
  <c r="R32" i="75"/>
  <c r="S32" i="75" s="1"/>
  <c r="W32" i="75"/>
  <c r="R88" i="75"/>
  <c r="S88" i="75" s="1"/>
  <c r="W88" i="75"/>
  <c r="R85" i="75"/>
  <c r="S85" i="75" s="1"/>
  <c r="W85" i="75"/>
  <c r="R70" i="75"/>
  <c r="S70" i="75" s="1"/>
  <c r="W70" i="75"/>
  <c r="R58" i="75"/>
  <c r="S58" i="75" s="1"/>
  <c r="W58" i="75"/>
  <c r="R64" i="75"/>
  <c r="S64" i="75" s="1"/>
  <c r="W64" i="75"/>
  <c r="R41" i="75"/>
  <c r="S41" i="75" s="1"/>
  <c r="W41" i="75"/>
  <c r="R76" i="75"/>
  <c r="S76" i="75" s="1"/>
  <c r="W76" i="75"/>
  <c r="R35" i="75"/>
  <c r="S35" i="75" s="1"/>
  <c r="R61" i="75"/>
  <c r="S61" i="75" s="1"/>
  <c r="W61" i="75"/>
  <c r="R82" i="75"/>
  <c r="S82" i="75" s="1"/>
  <c r="W82" i="75"/>
  <c r="R67" i="75"/>
  <c r="S67" i="75" s="1"/>
  <c r="W67" i="75"/>
  <c r="R79" i="75"/>
  <c r="S79" i="75" s="1"/>
  <c r="A207" i="72"/>
  <c r="A173" i="72"/>
  <c r="K42" i="59"/>
  <c r="A43" i="71"/>
  <c r="A47" i="71"/>
  <c r="S42" i="71"/>
  <c r="J42" i="59"/>
  <c r="I42" i="59"/>
  <c r="G42" i="59"/>
  <c r="H42" i="59"/>
  <c r="B43" i="59"/>
  <c r="B467" i="58"/>
  <c r="A47" i="69"/>
  <c r="A43" i="69"/>
  <c r="AG72" i="69"/>
  <c r="AG94" i="69"/>
  <c r="AG59" i="69"/>
  <c r="AG90" i="69"/>
  <c r="A64" i="63"/>
  <c r="C42" i="59"/>
  <c r="F42" i="59"/>
  <c r="O365" i="76" l="1"/>
  <c r="Q365" i="76" s="1"/>
  <c r="O43" i="76"/>
  <c r="Q43" i="76" s="1"/>
  <c r="O47" i="76"/>
  <c r="Q47" i="76" s="1"/>
  <c r="P365" i="76"/>
  <c r="P43" i="76"/>
  <c r="P47" i="76"/>
  <c r="H365" i="76"/>
  <c r="H61" i="77" s="1"/>
  <c r="H43" i="76"/>
  <c r="S42" i="76"/>
  <c r="I33" i="75"/>
  <c r="I365" i="76"/>
  <c r="I61" i="77" s="1"/>
  <c r="I43" i="76"/>
  <c r="J33" i="75"/>
  <c r="J365" i="76"/>
  <c r="J61" i="77" s="1"/>
  <c r="L61" i="77" s="1"/>
  <c r="J43" i="76"/>
  <c r="D365" i="76"/>
  <c r="D61" i="77" s="1"/>
  <c r="D43" i="76"/>
  <c r="D47" i="76"/>
  <c r="N47" i="76"/>
  <c r="N43" i="76"/>
  <c r="A45" i="75"/>
  <c r="A39" i="75"/>
  <c r="A42" i="75"/>
  <c r="H33" i="75"/>
  <c r="I36" i="75"/>
  <c r="H36" i="75"/>
  <c r="O33" i="75"/>
  <c r="Q33" i="75" s="1"/>
  <c r="O36" i="75"/>
  <c r="Q36" i="75" s="1"/>
  <c r="L33" i="75"/>
  <c r="J36" i="75"/>
  <c r="AG33" i="75"/>
  <c r="D33" i="75"/>
  <c r="D36" i="75"/>
  <c r="N36" i="75"/>
  <c r="N33" i="75"/>
  <c r="P47" i="71"/>
  <c r="R47" i="71" s="1"/>
  <c r="P33" i="75"/>
  <c r="P36" i="75"/>
  <c r="P43" i="69"/>
  <c r="A276" i="72"/>
  <c r="A242" i="72"/>
  <c r="A309" i="72"/>
  <c r="H207" i="72"/>
  <c r="M207" i="72"/>
  <c r="P47" i="69"/>
  <c r="I43" i="71"/>
  <c r="M173" i="72"/>
  <c r="J43" i="71"/>
  <c r="J47" i="71" s="1"/>
  <c r="N173" i="72"/>
  <c r="D207" i="72"/>
  <c r="D173" i="72"/>
  <c r="Q173" i="72"/>
  <c r="Q207" i="72"/>
  <c r="R173" i="72"/>
  <c r="R207" i="72"/>
  <c r="H43" i="71"/>
  <c r="H173" i="72"/>
  <c r="P43" i="71"/>
  <c r="R43" i="71" s="1"/>
  <c r="S207" i="72"/>
  <c r="T207" i="72" s="1"/>
  <c r="A52" i="71"/>
  <c r="A56" i="71"/>
  <c r="A60" i="71"/>
  <c r="I47" i="71"/>
  <c r="H47" i="71"/>
  <c r="N43" i="71"/>
  <c r="N47" i="71"/>
  <c r="D47" i="71"/>
  <c r="D43" i="71"/>
  <c r="O47" i="71"/>
  <c r="Q47" i="71" s="1"/>
  <c r="O43" i="71"/>
  <c r="Q43" i="71" s="1"/>
  <c r="A60" i="69"/>
  <c r="K43" i="59"/>
  <c r="N47" i="69"/>
  <c r="N43" i="69"/>
  <c r="O43" i="69"/>
  <c r="I43" i="59"/>
  <c r="J43" i="59"/>
  <c r="O47" i="69"/>
  <c r="A56" i="69"/>
  <c r="G43" i="59"/>
  <c r="H43" i="59"/>
  <c r="D43" i="69"/>
  <c r="A52" i="69"/>
  <c r="D47" i="69"/>
  <c r="I47" i="69"/>
  <c r="H47" i="69"/>
  <c r="I43" i="69"/>
  <c r="J43" i="69"/>
  <c r="H43" i="69"/>
  <c r="AG98" i="69"/>
  <c r="AG102" i="69"/>
  <c r="F43" i="59"/>
  <c r="C43" i="59"/>
  <c r="J47" i="76" l="1"/>
  <c r="L43" i="76"/>
  <c r="R43" i="76" s="1"/>
  <c r="AG43" i="76"/>
  <c r="AG365" i="76"/>
  <c r="L365" i="76"/>
  <c r="D366" i="76"/>
  <c r="D42" i="77" s="1"/>
  <c r="D56" i="76"/>
  <c r="D52" i="76"/>
  <c r="D60" i="76"/>
  <c r="H366" i="76"/>
  <c r="H42" i="77" s="1"/>
  <c r="H52" i="76"/>
  <c r="H60" i="76"/>
  <c r="H56" i="76"/>
  <c r="O366" i="76"/>
  <c r="Q366" i="76" s="1"/>
  <c r="O56" i="76"/>
  <c r="Q56" i="76" s="1"/>
  <c r="O60" i="76"/>
  <c r="Q60" i="76" s="1"/>
  <c r="O52" i="76"/>
  <c r="Q52" i="76" s="1"/>
  <c r="I366" i="76"/>
  <c r="I42" i="77" s="1"/>
  <c r="I56" i="76"/>
  <c r="I60" i="76"/>
  <c r="I52" i="76"/>
  <c r="J366" i="76"/>
  <c r="J42" i="77" s="1"/>
  <c r="L42" i="77" s="1"/>
  <c r="J56" i="76"/>
  <c r="J52" i="76"/>
  <c r="J60" i="76"/>
  <c r="N56" i="76"/>
  <c r="N52" i="76"/>
  <c r="N60" i="76"/>
  <c r="P366" i="76"/>
  <c r="P52" i="76"/>
  <c r="P56" i="76"/>
  <c r="P60" i="76"/>
  <c r="I39" i="75"/>
  <c r="I42" i="75"/>
  <c r="I45" i="75"/>
  <c r="L36" i="75"/>
  <c r="W36" i="75" s="1"/>
  <c r="AG36" i="75"/>
  <c r="O42" i="75"/>
  <c r="Q42" i="75" s="1"/>
  <c r="O39" i="75"/>
  <c r="Q39" i="75" s="1"/>
  <c r="O45" i="75"/>
  <c r="Q45" i="75" s="1"/>
  <c r="R33" i="75"/>
  <c r="S33" i="75" s="1"/>
  <c r="W33" i="75"/>
  <c r="H39" i="75"/>
  <c r="H42" i="75"/>
  <c r="H45" i="75"/>
  <c r="N45" i="75"/>
  <c r="N39" i="75"/>
  <c r="N42" i="75"/>
  <c r="P42" i="75"/>
  <c r="P39" i="75"/>
  <c r="P45" i="75"/>
  <c r="D42" i="75"/>
  <c r="D39" i="75"/>
  <c r="D45" i="75"/>
  <c r="J42" i="75"/>
  <c r="J39" i="75"/>
  <c r="J45" i="75"/>
  <c r="H309" i="72"/>
  <c r="H276" i="72"/>
  <c r="H242" i="72"/>
  <c r="S309" i="72"/>
  <c r="T309" i="72" s="1"/>
  <c r="S276" i="72"/>
  <c r="T276" i="72" s="1"/>
  <c r="S242" i="72"/>
  <c r="T242" i="72" s="1"/>
  <c r="AF43" i="71"/>
  <c r="L43" i="71"/>
  <c r="S43" i="71" s="1"/>
  <c r="P173" i="72"/>
  <c r="N207" i="72"/>
  <c r="AJ173" i="72"/>
  <c r="M242" i="72"/>
  <c r="M309" i="72"/>
  <c r="M276" i="72"/>
  <c r="Q242" i="72"/>
  <c r="Q309" i="72"/>
  <c r="Q276" i="72"/>
  <c r="D276" i="72"/>
  <c r="D242" i="72"/>
  <c r="D309" i="72"/>
  <c r="R276" i="72"/>
  <c r="R309" i="72"/>
  <c r="R242" i="72"/>
  <c r="N276" i="72"/>
  <c r="N242" i="72"/>
  <c r="N309" i="72"/>
  <c r="H60" i="71"/>
  <c r="H52" i="71"/>
  <c r="H56" i="71"/>
  <c r="O56" i="71"/>
  <c r="Q56" i="71" s="1"/>
  <c r="O52" i="71"/>
  <c r="Q52" i="71" s="1"/>
  <c r="O60" i="71"/>
  <c r="Q60" i="71" s="1"/>
  <c r="P56" i="71"/>
  <c r="R56" i="71" s="1"/>
  <c r="P52" i="71"/>
  <c r="R52" i="71" s="1"/>
  <c r="P60" i="71"/>
  <c r="R60" i="71" s="1"/>
  <c r="I56" i="71"/>
  <c r="I60" i="71"/>
  <c r="I52" i="71"/>
  <c r="N60" i="71"/>
  <c r="N52" i="71"/>
  <c r="N56" i="71"/>
  <c r="AF47" i="71"/>
  <c r="L47" i="71"/>
  <c r="S47" i="71" s="1"/>
  <c r="D52" i="71"/>
  <c r="D60" i="71"/>
  <c r="D56" i="71"/>
  <c r="J56" i="71"/>
  <c r="J52" i="71"/>
  <c r="J60" i="71"/>
  <c r="P52" i="69"/>
  <c r="P56" i="69"/>
  <c r="P60" i="69"/>
  <c r="O56" i="69"/>
  <c r="N56" i="69"/>
  <c r="O52" i="69"/>
  <c r="N52" i="69"/>
  <c r="N60" i="69"/>
  <c r="O60" i="69"/>
  <c r="D52" i="69"/>
  <c r="H52" i="69"/>
  <c r="I52" i="69"/>
  <c r="J52" i="69"/>
  <c r="AG52" i="69" s="1"/>
  <c r="I60" i="69"/>
  <c r="J60" i="69"/>
  <c r="AG60" i="69" s="1"/>
  <c r="I56" i="69"/>
  <c r="H56" i="69"/>
  <c r="J56" i="69"/>
  <c r="AG56" i="69" s="1"/>
  <c r="D60" i="69"/>
  <c r="H60" i="69"/>
  <c r="D56" i="69"/>
  <c r="J47" i="69"/>
  <c r="AG47" i="69" s="1"/>
  <c r="AG43" i="69"/>
  <c r="A88" i="63"/>
  <c r="A84" i="63"/>
  <c r="A80" i="63"/>
  <c r="B492" i="58"/>
  <c r="B44" i="59"/>
  <c r="A68" i="63"/>
  <c r="S43" i="76" l="1"/>
  <c r="L366" i="76"/>
  <c r="R366" i="76" s="1"/>
  <c r="S366" i="76" s="1"/>
  <c r="AG366" i="76"/>
  <c r="AG56" i="76"/>
  <c r="L56" i="76"/>
  <c r="R56" i="76" s="1"/>
  <c r="S56" i="76" s="1"/>
  <c r="AG60" i="76"/>
  <c r="L60" i="76"/>
  <c r="R60" i="76" s="1"/>
  <c r="S60" i="76" s="1"/>
  <c r="R365" i="76"/>
  <c r="S365" i="76" s="1"/>
  <c r="AG47" i="76"/>
  <c r="L47" i="76"/>
  <c r="R47" i="76" s="1"/>
  <c r="S47" i="76" s="1"/>
  <c r="AG52" i="76"/>
  <c r="L52" i="76"/>
  <c r="R52" i="76" s="1"/>
  <c r="S52" i="76" s="1"/>
  <c r="A51" i="75"/>
  <c r="A89" i="75"/>
  <c r="A54" i="75"/>
  <c r="A48" i="75"/>
  <c r="AG42" i="75"/>
  <c r="L42" i="75"/>
  <c r="R36" i="75"/>
  <c r="S36" i="75" s="1"/>
  <c r="AG45" i="75"/>
  <c r="L45" i="75"/>
  <c r="W45" i="75" s="1"/>
  <c r="AG39" i="75"/>
  <c r="L39" i="75"/>
  <c r="W39" i="75" s="1"/>
  <c r="A874" i="72"/>
  <c r="A419" i="72"/>
  <c r="A381" i="72"/>
  <c r="A343" i="72"/>
  <c r="AJ242" i="72"/>
  <c r="P242" i="72"/>
  <c r="P207" i="72"/>
  <c r="AJ207" i="72"/>
  <c r="AJ309" i="72"/>
  <c r="P309" i="72"/>
  <c r="AJ276" i="72"/>
  <c r="P276" i="72"/>
  <c r="K44" i="59"/>
  <c r="A69" i="71"/>
  <c r="A73" i="71"/>
  <c r="A127" i="71"/>
  <c r="D127" i="71" s="1"/>
  <c r="A65" i="71"/>
  <c r="AF60" i="71"/>
  <c r="L60" i="71"/>
  <c r="S60" i="71" s="1"/>
  <c r="AF52" i="71"/>
  <c r="L52" i="71"/>
  <c r="AF56" i="71"/>
  <c r="L56" i="71"/>
  <c r="S56" i="71" s="1"/>
  <c r="J44" i="59"/>
  <c r="I44" i="59"/>
  <c r="G44" i="59"/>
  <c r="H44" i="59"/>
  <c r="A73" i="69"/>
  <c r="A69" i="69"/>
  <c r="A127" i="69"/>
  <c r="A65" i="69"/>
  <c r="A76" i="63"/>
  <c r="A72" i="63"/>
  <c r="I68" i="63"/>
  <c r="J68" i="63"/>
  <c r="L68" i="63" s="1"/>
  <c r="H68" i="63"/>
  <c r="D68" i="63"/>
  <c r="C187" i="65" s="1"/>
  <c r="D64" i="63"/>
  <c r="C161" i="65" s="1"/>
  <c r="I64" i="63"/>
  <c r="J64" i="63"/>
  <c r="L64" i="63" s="1"/>
  <c r="H64" i="63"/>
  <c r="C44" i="59"/>
  <c r="F44" i="59"/>
  <c r="B45" i="59"/>
  <c r="B517" i="58"/>
  <c r="P367" i="76" l="1"/>
  <c r="P127" i="76"/>
  <c r="P73" i="76"/>
  <c r="P69" i="76"/>
  <c r="P65" i="76"/>
  <c r="O367" i="76"/>
  <c r="Q367" i="76" s="1"/>
  <c r="O127" i="76"/>
  <c r="Q127" i="76" s="1"/>
  <c r="O65" i="76"/>
  <c r="Q65" i="76" s="1"/>
  <c r="O69" i="76"/>
  <c r="Q69" i="76" s="1"/>
  <c r="O73" i="76"/>
  <c r="Q73" i="76" s="1"/>
  <c r="N69" i="76"/>
  <c r="N127" i="76"/>
  <c r="N73" i="76"/>
  <c r="N65" i="76"/>
  <c r="I367" i="76"/>
  <c r="I38" i="77" s="1"/>
  <c r="I127" i="76"/>
  <c r="I65" i="76"/>
  <c r="I69" i="76"/>
  <c r="I73" i="76"/>
  <c r="H367" i="76"/>
  <c r="H38" i="77" s="1"/>
  <c r="H69" i="76"/>
  <c r="H73" i="76"/>
  <c r="H65" i="76"/>
  <c r="H127" i="76"/>
  <c r="D367" i="76"/>
  <c r="D38" i="77" s="1"/>
  <c r="D69" i="76"/>
  <c r="D127" i="76"/>
  <c r="D73" i="76"/>
  <c r="D65" i="76"/>
  <c r="J367" i="76"/>
  <c r="J38" i="77" s="1"/>
  <c r="L38" i="77" s="1"/>
  <c r="J127" i="76"/>
  <c r="J69" i="76"/>
  <c r="J73" i="76"/>
  <c r="J65" i="76"/>
  <c r="A71" i="75"/>
  <c r="A74" i="75"/>
  <c r="A62" i="75"/>
  <c r="A65" i="75"/>
  <c r="A68" i="75"/>
  <c r="I48" i="75"/>
  <c r="I51" i="75"/>
  <c r="I54" i="75"/>
  <c r="I89" i="75"/>
  <c r="H89" i="75"/>
  <c r="H54" i="75"/>
  <c r="H51" i="75"/>
  <c r="H48" i="75"/>
  <c r="D51" i="75"/>
  <c r="D48" i="75"/>
  <c r="D54" i="75"/>
  <c r="D89" i="75"/>
  <c r="J48" i="75"/>
  <c r="J54" i="75"/>
  <c r="J51" i="75"/>
  <c r="J89" i="75"/>
  <c r="R39" i="75"/>
  <c r="S39" i="75" s="1"/>
  <c r="N51" i="75"/>
  <c r="N54" i="75"/>
  <c r="N48" i="75"/>
  <c r="N89" i="75"/>
  <c r="P51" i="75"/>
  <c r="P48" i="75"/>
  <c r="P54" i="75"/>
  <c r="P89" i="75"/>
  <c r="R42" i="75"/>
  <c r="S42" i="75" s="1"/>
  <c r="W42" i="75"/>
  <c r="O54" i="75"/>
  <c r="Q54" i="75" s="1"/>
  <c r="O51" i="75"/>
  <c r="Q51" i="75" s="1"/>
  <c r="O89" i="75"/>
  <c r="Q89" i="75" s="1"/>
  <c r="O48" i="75"/>
  <c r="Q48" i="75" s="1"/>
  <c r="R45" i="75"/>
  <c r="S45" i="75" s="1"/>
  <c r="P69" i="69"/>
  <c r="P65" i="69"/>
  <c r="P73" i="71"/>
  <c r="R73" i="71" s="1"/>
  <c r="A644" i="72"/>
  <c r="A606" i="72"/>
  <c r="A682" i="72"/>
  <c r="A568" i="72"/>
  <c r="A530" i="72"/>
  <c r="P65" i="71"/>
  <c r="R65" i="71" s="1"/>
  <c r="P73" i="69"/>
  <c r="P127" i="69"/>
  <c r="D127" i="69"/>
  <c r="D874" i="72"/>
  <c r="D343" i="72"/>
  <c r="D381" i="72"/>
  <c r="D419" i="72"/>
  <c r="M381" i="72"/>
  <c r="M343" i="72"/>
  <c r="M419" i="72"/>
  <c r="M874" i="72"/>
  <c r="H343" i="72"/>
  <c r="H874" i="72"/>
  <c r="H419" i="72"/>
  <c r="H381" i="72"/>
  <c r="Q343" i="72"/>
  <c r="Q381" i="72"/>
  <c r="Q419" i="72"/>
  <c r="Q874" i="72"/>
  <c r="N381" i="72"/>
  <c r="N419" i="72"/>
  <c r="N874" i="72"/>
  <c r="N343" i="72"/>
  <c r="R381" i="72"/>
  <c r="R343" i="72"/>
  <c r="R874" i="72"/>
  <c r="R419" i="72"/>
  <c r="P69" i="71"/>
  <c r="R69" i="71" s="1"/>
  <c r="S874" i="72"/>
  <c r="T874" i="72" s="1"/>
  <c r="S419" i="72"/>
  <c r="T419" i="72" s="1"/>
  <c r="S381" i="72"/>
  <c r="T381" i="72" s="1"/>
  <c r="S343" i="72"/>
  <c r="T343" i="72" s="1"/>
  <c r="K45" i="59"/>
  <c r="A91" i="71"/>
  <c r="A95" i="71"/>
  <c r="A103" i="71"/>
  <c r="A87" i="71"/>
  <c r="A99" i="71"/>
  <c r="P127" i="71"/>
  <c r="R127" i="71" s="1"/>
  <c r="I73" i="71"/>
  <c r="I65" i="71"/>
  <c r="I69" i="71"/>
  <c r="I127" i="71"/>
  <c r="N69" i="71"/>
  <c r="N73" i="71"/>
  <c r="N65" i="71"/>
  <c r="N127" i="71"/>
  <c r="S52" i="71"/>
  <c r="O73" i="71"/>
  <c r="Q73" i="71" s="1"/>
  <c r="O65" i="71"/>
  <c r="Q65" i="71" s="1"/>
  <c r="O69" i="71"/>
  <c r="Q69" i="71" s="1"/>
  <c r="O127" i="71"/>
  <c r="Q127" i="71" s="1"/>
  <c r="H127" i="71"/>
  <c r="H73" i="71"/>
  <c r="H65" i="71"/>
  <c r="H69" i="71"/>
  <c r="D69" i="71"/>
  <c r="D65" i="71"/>
  <c r="D73" i="71"/>
  <c r="J69" i="71"/>
  <c r="J65" i="71"/>
  <c r="J73" i="71"/>
  <c r="J127" i="71"/>
  <c r="N127" i="69"/>
  <c r="O69" i="69"/>
  <c r="N69" i="69"/>
  <c r="N65" i="69"/>
  <c r="O65" i="69"/>
  <c r="I45" i="59"/>
  <c r="J45" i="59"/>
  <c r="O73" i="69"/>
  <c r="N73" i="69"/>
  <c r="O127" i="69"/>
  <c r="H73" i="69"/>
  <c r="H45" i="59"/>
  <c r="G45" i="59"/>
  <c r="B541" i="58"/>
  <c r="B568" i="58" s="1"/>
  <c r="B595" i="58" s="1"/>
  <c r="B614" i="58" s="1"/>
  <c r="J73" i="69"/>
  <c r="I73" i="69"/>
  <c r="J127" i="69"/>
  <c r="I127" i="69"/>
  <c r="H127" i="69"/>
  <c r="A100" i="63"/>
  <c r="A99" i="69"/>
  <c r="A95" i="69"/>
  <c r="A91" i="69"/>
  <c r="A103" i="69"/>
  <c r="A87" i="69"/>
  <c r="J65" i="69"/>
  <c r="J69" i="69"/>
  <c r="D65" i="69"/>
  <c r="D69" i="69"/>
  <c r="D73" i="69"/>
  <c r="I65" i="69"/>
  <c r="I69" i="69"/>
  <c r="H65" i="69"/>
  <c r="H69" i="69"/>
  <c r="I72" i="63"/>
  <c r="J72" i="63"/>
  <c r="H72" i="63"/>
  <c r="D72" i="63"/>
  <c r="C201" i="65" s="1"/>
  <c r="F45" i="59"/>
  <c r="C45" i="59"/>
  <c r="B46" i="59"/>
  <c r="I368" i="76" l="1"/>
  <c r="I21" i="77" s="1"/>
  <c r="I103" i="76"/>
  <c r="I95" i="76"/>
  <c r="I87" i="76"/>
  <c r="I91" i="76"/>
  <c r="I99" i="76"/>
  <c r="AG65" i="76"/>
  <c r="L65" i="76"/>
  <c r="L367" i="76"/>
  <c r="R367" i="76" s="1"/>
  <c r="S367" i="76" s="1"/>
  <c r="AG367" i="76"/>
  <c r="D368" i="76"/>
  <c r="D21" i="77" s="1"/>
  <c r="D103" i="76"/>
  <c r="D87" i="76"/>
  <c r="D99" i="76"/>
  <c r="D95" i="76"/>
  <c r="D91" i="76"/>
  <c r="H368" i="76"/>
  <c r="H21" i="77" s="1"/>
  <c r="H91" i="76"/>
  <c r="H103" i="76"/>
  <c r="H95" i="76"/>
  <c r="H99" i="76"/>
  <c r="H87" i="76"/>
  <c r="AG127" i="76"/>
  <c r="L127" i="76"/>
  <c r="R127" i="76" s="1"/>
  <c r="S127" i="76" s="1"/>
  <c r="O368" i="76"/>
  <c r="Q368" i="76" s="1"/>
  <c r="O103" i="76"/>
  <c r="Q103" i="76" s="1"/>
  <c r="O95" i="76"/>
  <c r="Q95" i="76" s="1"/>
  <c r="O87" i="76"/>
  <c r="Q87" i="76" s="1"/>
  <c r="O99" i="76"/>
  <c r="Q99" i="76" s="1"/>
  <c r="O91" i="76"/>
  <c r="Q91" i="76" s="1"/>
  <c r="N103" i="76"/>
  <c r="N95" i="76"/>
  <c r="N87" i="76"/>
  <c r="N91" i="76"/>
  <c r="N99" i="76"/>
  <c r="P87" i="76"/>
  <c r="P99" i="76"/>
  <c r="P368" i="76"/>
  <c r="P103" i="76"/>
  <c r="P95" i="76"/>
  <c r="P91" i="76"/>
  <c r="AG73" i="76"/>
  <c r="L73" i="76"/>
  <c r="R73" i="76" s="1"/>
  <c r="S73" i="76" s="1"/>
  <c r="J368" i="76"/>
  <c r="J21" i="77" s="1"/>
  <c r="L21" i="77" s="1"/>
  <c r="J99" i="76"/>
  <c r="J103" i="76"/>
  <c r="J87" i="76"/>
  <c r="J91" i="76"/>
  <c r="J95" i="76"/>
  <c r="AG69" i="76"/>
  <c r="L69" i="76"/>
  <c r="R69" i="76" s="1"/>
  <c r="S69" i="76" s="1"/>
  <c r="A83" i="75"/>
  <c r="A59" i="75"/>
  <c r="A86" i="75"/>
  <c r="A77" i="75"/>
  <c r="A80" i="75"/>
  <c r="I65" i="75"/>
  <c r="I68" i="75"/>
  <c r="I71" i="75"/>
  <c r="I74" i="75"/>
  <c r="I62" i="75"/>
  <c r="D62" i="75"/>
  <c r="D65" i="75"/>
  <c r="D74" i="75"/>
  <c r="D71" i="75"/>
  <c r="D68" i="75"/>
  <c r="H65" i="75"/>
  <c r="H68" i="75"/>
  <c r="H62" i="75"/>
  <c r="H74" i="75"/>
  <c r="H71" i="75"/>
  <c r="AG89" i="75"/>
  <c r="L89" i="75"/>
  <c r="W89" i="75" s="1"/>
  <c r="O71" i="75"/>
  <c r="Q71" i="75" s="1"/>
  <c r="O65" i="75"/>
  <c r="Q65" i="75" s="1"/>
  <c r="O62" i="75"/>
  <c r="Q62" i="75" s="1"/>
  <c r="O74" i="75"/>
  <c r="Q74" i="75" s="1"/>
  <c r="O68" i="75"/>
  <c r="Q68" i="75" s="1"/>
  <c r="AG51" i="75"/>
  <c r="L51" i="75"/>
  <c r="N74" i="75"/>
  <c r="N62" i="75"/>
  <c r="N71" i="75"/>
  <c r="N65" i="75"/>
  <c r="N68" i="75"/>
  <c r="P91" i="71"/>
  <c r="R91" i="71" s="1"/>
  <c r="P68" i="75"/>
  <c r="P74" i="75"/>
  <c r="P65" i="75"/>
  <c r="P71" i="75"/>
  <c r="P62" i="75"/>
  <c r="AG54" i="75"/>
  <c r="L54" i="75"/>
  <c r="J65" i="75"/>
  <c r="J62" i="75"/>
  <c r="J74" i="75"/>
  <c r="J71" i="75"/>
  <c r="J68" i="75"/>
  <c r="AG48" i="75"/>
  <c r="L48" i="75"/>
  <c r="W48" i="75" s="1"/>
  <c r="P99" i="69"/>
  <c r="P95" i="71"/>
  <c r="R95" i="71" s="1"/>
  <c r="A721" i="72"/>
  <c r="A490" i="72"/>
  <c r="A835" i="72"/>
  <c r="A797" i="72"/>
  <c r="A759" i="72"/>
  <c r="P103" i="69"/>
  <c r="P87" i="71"/>
  <c r="R87" i="71" s="1"/>
  <c r="P91" i="69"/>
  <c r="P95" i="69"/>
  <c r="P103" i="71"/>
  <c r="R103" i="71" s="1"/>
  <c r="D644" i="72"/>
  <c r="D606" i="72"/>
  <c r="D530" i="72"/>
  <c r="D682" i="72"/>
  <c r="D568" i="72"/>
  <c r="H530" i="72"/>
  <c r="H568" i="72"/>
  <c r="H606" i="72"/>
  <c r="H682" i="72"/>
  <c r="H644" i="72"/>
  <c r="P99" i="71"/>
  <c r="R99" i="71" s="1"/>
  <c r="S530" i="72"/>
  <c r="T530" i="72" s="1"/>
  <c r="S682" i="72"/>
  <c r="T682" i="72" s="1"/>
  <c r="S568" i="72"/>
  <c r="T568" i="72" s="1"/>
  <c r="S644" i="72"/>
  <c r="T644" i="72" s="1"/>
  <c r="S606" i="72"/>
  <c r="T606" i="72" s="1"/>
  <c r="AJ419" i="72"/>
  <c r="P419" i="72"/>
  <c r="M530" i="72"/>
  <c r="M606" i="72"/>
  <c r="M682" i="72"/>
  <c r="M644" i="72"/>
  <c r="M568" i="72"/>
  <c r="R530" i="72"/>
  <c r="R606" i="72"/>
  <c r="R644" i="72"/>
  <c r="R682" i="72"/>
  <c r="R568" i="72"/>
  <c r="AJ381" i="72"/>
  <c r="P381" i="72"/>
  <c r="N644" i="72"/>
  <c r="N606" i="72"/>
  <c r="N682" i="72"/>
  <c r="N568" i="72"/>
  <c r="N530" i="72"/>
  <c r="AJ874" i="72"/>
  <c r="P874" i="72"/>
  <c r="Q644" i="72"/>
  <c r="Q606" i="72"/>
  <c r="Q682" i="72"/>
  <c r="Q568" i="72"/>
  <c r="Q530" i="72"/>
  <c r="AJ343" i="72"/>
  <c r="P343" i="72"/>
  <c r="K46" i="59"/>
  <c r="P370" i="76" s="1"/>
  <c r="A121" i="71"/>
  <c r="A117" i="71"/>
  <c r="A109" i="71"/>
  <c r="A113" i="71"/>
  <c r="A80" i="71"/>
  <c r="N103" i="71"/>
  <c r="N91" i="71"/>
  <c r="N87" i="71"/>
  <c r="N99" i="71"/>
  <c r="N95" i="71"/>
  <c r="AF65" i="71"/>
  <c r="L65" i="71"/>
  <c r="S65" i="71" s="1"/>
  <c r="D103" i="71"/>
  <c r="D99" i="71"/>
  <c r="D87" i="71"/>
  <c r="D91" i="71"/>
  <c r="D95" i="71"/>
  <c r="J87" i="71"/>
  <c r="J103" i="71"/>
  <c r="J99" i="71"/>
  <c r="J91" i="71"/>
  <c r="J95" i="71"/>
  <c r="AF69" i="71"/>
  <c r="L69" i="71"/>
  <c r="S69" i="71" s="1"/>
  <c r="I103" i="71"/>
  <c r="I99" i="71"/>
  <c r="I91" i="71"/>
  <c r="I87" i="71"/>
  <c r="I95" i="71"/>
  <c r="H91" i="71"/>
  <c r="H99" i="71"/>
  <c r="H95" i="71"/>
  <c r="H103" i="71"/>
  <c r="H87" i="71"/>
  <c r="AF127" i="71"/>
  <c r="L127" i="71"/>
  <c r="S127" i="71" s="1"/>
  <c r="O103" i="71"/>
  <c r="Q103" i="71" s="1"/>
  <c r="O99" i="71"/>
  <c r="Q99" i="71" s="1"/>
  <c r="O91" i="71"/>
  <c r="Q91" i="71" s="1"/>
  <c r="O87" i="71"/>
  <c r="Q87" i="71" s="1"/>
  <c r="O95" i="71"/>
  <c r="Q95" i="71" s="1"/>
  <c r="AF73" i="71"/>
  <c r="L73" i="71"/>
  <c r="S73" i="71" s="1"/>
  <c r="N87" i="69"/>
  <c r="P87" i="69"/>
  <c r="J46" i="59"/>
  <c r="O370" i="76" s="1"/>
  <c r="Q370" i="76" s="1"/>
  <c r="I46" i="59"/>
  <c r="N103" i="69"/>
  <c r="O103" i="69"/>
  <c r="O91" i="69"/>
  <c r="N91" i="69"/>
  <c r="O99" i="69"/>
  <c r="N99" i="69"/>
  <c r="O95" i="69"/>
  <c r="N95" i="69"/>
  <c r="O87" i="69"/>
  <c r="G46" i="59"/>
  <c r="H46" i="59"/>
  <c r="H370" i="76" s="1"/>
  <c r="H111" i="77" s="1"/>
  <c r="A92" i="63"/>
  <c r="A96" i="63" s="1"/>
  <c r="A117" i="69"/>
  <c r="P117" i="69" s="1"/>
  <c r="A113" i="69"/>
  <c r="A80" i="69"/>
  <c r="A109" i="69"/>
  <c r="A121" i="69"/>
  <c r="P121" i="69" s="1"/>
  <c r="H99" i="69"/>
  <c r="H103" i="69"/>
  <c r="H91" i="69"/>
  <c r="H95" i="69"/>
  <c r="D91" i="69"/>
  <c r="D103" i="69"/>
  <c r="D95" i="69"/>
  <c r="D99" i="69"/>
  <c r="I103" i="69"/>
  <c r="I91" i="69"/>
  <c r="I95" i="69"/>
  <c r="I99" i="69"/>
  <c r="J91" i="69"/>
  <c r="J95" i="69"/>
  <c r="J99" i="69"/>
  <c r="J103" i="69"/>
  <c r="H100" i="63"/>
  <c r="H87" i="69"/>
  <c r="D100" i="63"/>
  <c r="C290" i="65" s="1"/>
  <c r="D87" i="69"/>
  <c r="I100" i="63"/>
  <c r="I87" i="69"/>
  <c r="J100" i="63"/>
  <c r="L100" i="63" s="1"/>
  <c r="J87" i="69"/>
  <c r="AG65" i="69"/>
  <c r="I84" i="63"/>
  <c r="I88" i="63"/>
  <c r="J88" i="63"/>
  <c r="L88" i="63" s="1"/>
  <c r="J84" i="63"/>
  <c r="L84" i="63" s="1"/>
  <c r="H88" i="63"/>
  <c r="H84" i="63"/>
  <c r="D84" i="63"/>
  <c r="C241" i="65" s="1"/>
  <c r="D88" i="63"/>
  <c r="C253" i="65" s="1"/>
  <c r="J80" i="63"/>
  <c r="L80" i="63" s="1"/>
  <c r="H80" i="63"/>
  <c r="D80" i="63"/>
  <c r="C227" i="65" s="1"/>
  <c r="I80" i="63"/>
  <c r="C46" i="59"/>
  <c r="D370" i="76" s="1"/>
  <c r="D111" i="77" s="1"/>
  <c r="F46" i="59"/>
  <c r="I370" i="76" s="1"/>
  <c r="I111" i="77" s="1"/>
  <c r="AG91" i="76" l="1"/>
  <c r="L91" i="76"/>
  <c r="D369" i="76"/>
  <c r="D19" i="77" s="1"/>
  <c r="D121" i="76"/>
  <c r="D117" i="76"/>
  <c r="D113" i="76"/>
  <c r="D109" i="76"/>
  <c r="H369" i="76"/>
  <c r="H19" i="77" s="1"/>
  <c r="H113" i="76"/>
  <c r="H80" i="76"/>
  <c r="H117" i="76"/>
  <c r="H109" i="76"/>
  <c r="H121" i="76"/>
  <c r="O369" i="76"/>
  <c r="Q369" i="76" s="1"/>
  <c r="O121" i="76"/>
  <c r="Q121" i="76" s="1"/>
  <c r="O117" i="76"/>
  <c r="Q117" i="76" s="1"/>
  <c r="O80" i="76"/>
  <c r="Q80" i="76" s="1"/>
  <c r="O113" i="76"/>
  <c r="Q113" i="76" s="1"/>
  <c r="O109" i="76"/>
  <c r="Q109" i="76" s="1"/>
  <c r="AG87" i="76"/>
  <c r="L87" i="76"/>
  <c r="R87" i="76" s="1"/>
  <c r="S87" i="76" s="1"/>
  <c r="I369" i="76"/>
  <c r="I19" i="77" s="1"/>
  <c r="I121" i="76"/>
  <c r="I117" i="76"/>
  <c r="I80" i="76"/>
  <c r="I109" i="76"/>
  <c r="I113" i="76"/>
  <c r="N109" i="76"/>
  <c r="N80" i="76"/>
  <c r="N113" i="76"/>
  <c r="N117" i="76"/>
  <c r="N121" i="76"/>
  <c r="R65" i="76"/>
  <c r="S65" i="76" s="1"/>
  <c r="J369" i="76"/>
  <c r="J19" i="77" s="1"/>
  <c r="L19" i="77" s="1"/>
  <c r="J80" i="76"/>
  <c r="J370" i="76" s="1"/>
  <c r="J121" i="76"/>
  <c r="J117" i="76"/>
  <c r="J109" i="76"/>
  <c r="J113" i="76"/>
  <c r="AG103" i="76"/>
  <c r="L103" i="76"/>
  <c r="R103" i="76" s="1"/>
  <c r="S103" i="76" s="1"/>
  <c r="L368" i="76"/>
  <c r="R368" i="76" s="1"/>
  <c r="S368" i="76" s="1"/>
  <c r="AG368" i="76"/>
  <c r="P369" i="76"/>
  <c r="P121" i="76"/>
  <c r="P117" i="76"/>
  <c r="P113" i="76"/>
  <c r="P80" i="76"/>
  <c r="P109" i="76"/>
  <c r="AG95" i="76"/>
  <c r="L95" i="76"/>
  <c r="R95" i="76" s="1"/>
  <c r="S95" i="76" s="1"/>
  <c r="AG99" i="76"/>
  <c r="L99" i="76"/>
  <c r="R99" i="76" s="1"/>
  <c r="S99" i="76" s="1"/>
  <c r="R89" i="75"/>
  <c r="S89" i="75" s="1"/>
  <c r="J86" i="75"/>
  <c r="J77" i="75"/>
  <c r="J80" i="75"/>
  <c r="J59" i="75"/>
  <c r="J83" i="75"/>
  <c r="AG62" i="75"/>
  <c r="L62" i="75"/>
  <c r="R48" i="75"/>
  <c r="S48" i="75" s="1"/>
  <c r="P59" i="75"/>
  <c r="P77" i="75"/>
  <c r="P83" i="75"/>
  <c r="P86" i="75"/>
  <c r="P80" i="75"/>
  <c r="AG68" i="75"/>
  <c r="L68" i="75"/>
  <c r="AG65" i="75"/>
  <c r="L65" i="75"/>
  <c r="W65" i="75" s="1"/>
  <c r="I86" i="75"/>
  <c r="I59" i="75"/>
  <c r="I80" i="75"/>
  <c r="I77" i="75"/>
  <c r="I83" i="75"/>
  <c r="N80" i="75"/>
  <c r="N77" i="75"/>
  <c r="N83" i="75"/>
  <c r="N86" i="75"/>
  <c r="N59" i="75"/>
  <c r="AG71" i="75"/>
  <c r="L71" i="75"/>
  <c r="R54" i="75"/>
  <c r="S54" i="75" s="1"/>
  <c r="W54" i="75"/>
  <c r="D86" i="75"/>
  <c r="D77" i="75"/>
  <c r="D80" i="75"/>
  <c r="D83" i="75"/>
  <c r="H80" i="75"/>
  <c r="H59" i="75"/>
  <c r="H77" i="75"/>
  <c r="H86" i="75"/>
  <c r="H83" i="75"/>
  <c r="O80" i="75"/>
  <c r="Q80" i="75" s="1"/>
  <c r="O77" i="75"/>
  <c r="Q77" i="75" s="1"/>
  <c r="O59" i="75"/>
  <c r="Q59" i="75" s="1"/>
  <c r="O86" i="75"/>
  <c r="Q86" i="75" s="1"/>
  <c r="O83" i="75"/>
  <c r="Q83" i="75" s="1"/>
  <c r="AG74" i="75"/>
  <c r="L74" i="75"/>
  <c r="R51" i="75"/>
  <c r="S51" i="75" s="1"/>
  <c r="W51" i="75"/>
  <c r="P109" i="71"/>
  <c r="R109" i="71" s="1"/>
  <c r="P109" i="69"/>
  <c r="P113" i="71"/>
  <c r="R113" i="71" s="1"/>
  <c r="P113" i="69"/>
  <c r="P121" i="71"/>
  <c r="R121" i="71" s="1"/>
  <c r="H490" i="72"/>
  <c r="H835" i="72"/>
  <c r="H721" i="72"/>
  <c r="H759" i="72"/>
  <c r="H797" i="72"/>
  <c r="M759" i="72"/>
  <c r="M835" i="72"/>
  <c r="M797" i="72"/>
  <c r="M490" i="72"/>
  <c r="M721" i="72"/>
  <c r="Q797" i="72"/>
  <c r="Q759" i="72"/>
  <c r="Q490" i="72"/>
  <c r="Q835" i="72"/>
  <c r="Q721" i="72"/>
  <c r="P117" i="71"/>
  <c r="R117" i="71" s="1"/>
  <c r="AJ530" i="72"/>
  <c r="P530" i="72"/>
  <c r="AJ644" i="72"/>
  <c r="P644" i="72"/>
  <c r="N797" i="72"/>
  <c r="N759" i="72"/>
  <c r="N490" i="72"/>
  <c r="N835" i="72"/>
  <c r="N721" i="72"/>
  <c r="S835" i="72"/>
  <c r="T835" i="72" s="1"/>
  <c r="S721" i="72"/>
  <c r="T721" i="72" s="1"/>
  <c r="S797" i="72"/>
  <c r="T797" i="72" s="1"/>
  <c r="S759" i="72"/>
  <c r="T759" i="72" s="1"/>
  <c r="S490" i="72"/>
  <c r="T490" i="72" s="1"/>
  <c r="AJ682" i="72"/>
  <c r="P682" i="72"/>
  <c r="D759" i="72"/>
  <c r="D797" i="72"/>
  <c r="D835" i="72"/>
  <c r="D721" i="72"/>
  <c r="R835" i="72"/>
  <c r="R759" i="72"/>
  <c r="R490" i="72"/>
  <c r="R721" i="72"/>
  <c r="R797" i="72"/>
  <c r="AJ568" i="72"/>
  <c r="P568" i="72"/>
  <c r="P80" i="71"/>
  <c r="R80" i="71" s="1"/>
  <c r="AJ606" i="72"/>
  <c r="P606" i="72"/>
  <c r="AF99" i="71"/>
  <c r="L99" i="71"/>
  <c r="S99" i="71" s="1"/>
  <c r="I117" i="71"/>
  <c r="I109" i="71"/>
  <c r="I121" i="71"/>
  <c r="I80" i="71"/>
  <c r="I113" i="71"/>
  <c r="N109" i="71"/>
  <c r="N113" i="71"/>
  <c r="N121" i="71"/>
  <c r="N117" i="71"/>
  <c r="N80" i="71"/>
  <c r="AF103" i="71"/>
  <c r="L103" i="71"/>
  <c r="S103" i="71" s="1"/>
  <c r="D121" i="71"/>
  <c r="D117" i="71"/>
  <c r="D113" i="71"/>
  <c r="D109" i="71"/>
  <c r="H113" i="71"/>
  <c r="H80" i="71"/>
  <c r="H109" i="71"/>
  <c r="H117" i="71"/>
  <c r="H121" i="71"/>
  <c r="O121" i="71"/>
  <c r="Q121" i="71" s="1"/>
  <c r="O117" i="71"/>
  <c r="Q117" i="71" s="1"/>
  <c r="O113" i="71"/>
  <c r="Q113" i="71" s="1"/>
  <c r="O109" i="71"/>
  <c r="Q109" i="71" s="1"/>
  <c r="O80" i="71"/>
  <c r="Q80" i="71" s="1"/>
  <c r="AF95" i="71"/>
  <c r="L95" i="71"/>
  <c r="S95" i="71" s="1"/>
  <c r="AF87" i="71"/>
  <c r="L87" i="71"/>
  <c r="S87" i="71" s="1"/>
  <c r="J117" i="71"/>
  <c r="J121" i="71"/>
  <c r="J109" i="71"/>
  <c r="J80" i="71"/>
  <c r="J113" i="71"/>
  <c r="AF91" i="71"/>
  <c r="L91" i="71"/>
  <c r="S91" i="71" s="1"/>
  <c r="O80" i="69"/>
  <c r="P80" i="69"/>
  <c r="O121" i="69"/>
  <c r="N121" i="69"/>
  <c r="O117" i="69"/>
  <c r="N117" i="69"/>
  <c r="O113" i="69"/>
  <c r="N113" i="69"/>
  <c r="O109" i="69"/>
  <c r="N109" i="69"/>
  <c r="N80" i="69"/>
  <c r="J80" i="69"/>
  <c r="AG80" i="69" s="1"/>
  <c r="J117" i="69"/>
  <c r="J121" i="69"/>
  <c r="J113" i="69"/>
  <c r="J109" i="69"/>
  <c r="I113" i="69"/>
  <c r="I117" i="69"/>
  <c r="I121" i="69"/>
  <c r="I109" i="69"/>
  <c r="D121" i="69"/>
  <c r="D117" i="69"/>
  <c r="D113" i="69"/>
  <c r="D109" i="69"/>
  <c r="H113" i="69"/>
  <c r="H117" i="69"/>
  <c r="H121" i="69"/>
  <c r="H109" i="69"/>
  <c r="I92" i="63"/>
  <c r="I80" i="69"/>
  <c r="H92" i="63"/>
  <c r="H80" i="69"/>
  <c r="D92" i="63"/>
  <c r="C262" i="65" s="1"/>
  <c r="J92" i="63"/>
  <c r="L92" i="63" s="1"/>
  <c r="J111" i="77" l="1"/>
  <c r="L111" i="77" s="1"/>
  <c r="AG370" i="76"/>
  <c r="L370" i="76"/>
  <c r="R370" i="76" s="1"/>
  <c r="S370" i="76" s="1"/>
  <c r="AG117" i="76"/>
  <c r="L117" i="76"/>
  <c r="AG121" i="76"/>
  <c r="L121" i="76"/>
  <c r="L113" i="76"/>
  <c r="R113" i="76" s="1"/>
  <c r="S113" i="76" s="1"/>
  <c r="AG113" i="76"/>
  <c r="AG80" i="76"/>
  <c r="L80" i="76"/>
  <c r="R91" i="76"/>
  <c r="S91" i="76" s="1"/>
  <c r="AG109" i="76"/>
  <c r="L109" i="76"/>
  <c r="R109" i="76" s="1"/>
  <c r="S109" i="76" s="1"/>
  <c r="AG369" i="76"/>
  <c r="L369" i="76"/>
  <c r="R65" i="75"/>
  <c r="S65" i="75" s="1"/>
  <c r="AG59" i="75"/>
  <c r="L59" i="75"/>
  <c r="R74" i="75"/>
  <c r="S74" i="75" s="1"/>
  <c r="W74" i="75"/>
  <c r="R68" i="75"/>
  <c r="S68" i="75" s="1"/>
  <c r="W68" i="75"/>
  <c r="R62" i="75"/>
  <c r="S62" i="75" s="1"/>
  <c r="W62" i="75"/>
  <c r="L80" i="75"/>
  <c r="W80" i="75" s="1"/>
  <c r="AG80" i="75"/>
  <c r="AG77" i="75"/>
  <c r="L77" i="75"/>
  <c r="W77" i="75" s="1"/>
  <c r="R71" i="75"/>
  <c r="S71" i="75" s="1"/>
  <c r="W71" i="75"/>
  <c r="AG83" i="75"/>
  <c r="L83" i="75"/>
  <c r="W83" i="75" s="1"/>
  <c r="AG86" i="75"/>
  <c r="L86" i="75"/>
  <c r="AJ835" i="72"/>
  <c r="P835" i="72"/>
  <c r="AJ759" i="72"/>
  <c r="P759" i="72"/>
  <c r="AJ490" i="72"/>
  <c r="P490" i="72"/>
  <c r="AJ721" i="72"/>
  <c r="P721" i="72"/>
  <c r="AJ797" i="72"/>
  <c r="P797" i="72"/>
  <c r="AF80" i="71"/>
  <c r="L80" i="71"/>
  <c r="S80" i="71" s="1"/>
  <c r="AF109" i="71"/>
  <c r="L109" i="71"/>
  <c r="S109" i="71" s="1"/>
  <c r="AF121" i="71"/>
  <c r="L121" i="71"/>
  <c r="S121" i="71" s="1"/>
  <c r="AF113" i="71"/>
  <c r="L113" i="71"/>
  <c r="S113" i="71" s="1"/>
  <c r="AF117" i="71"/>
  <c r="L117" i="71"/>
  <c r="S117" i="71" s="1"/>
  <c r="H76" i="63"/>
  <c r="J76" i="63"/>
  <c r="L76" i="63" s="1"/>
  <c r="I76" i="63"/>
  <c r="R369" i="76" l="1"/>
  <c r="S369" i="76" s="1"/>
  <c r="R80" i="76"/>
  <c r="S80" i="76" s="1"/>
  <c r="R121" i="76"/>
  <c r="S121" i="76" s="1"/>
  <c r="R117" i="76"/>
  <c r="S117" i="76" s="1"/>
  <c r="R59" i="75"/>
  <c r="S59" i="75" s="1"/>
  <c r="W59" i="75"/>
  <c r="R86" i="75"/>
  <c r="S86" i="75" s="1"/>
  <c r="W86" i="75"/>
  <c r="R83" i="75"/>
  <c r="S83" i="75" s="1"/>
  <c r="R80" i="75"/>
  <c r="S80" i="75" s="1"/>
  <c r="R77" i="75"/>
  <c r="S77" i="75" s="1"/>
  <c r="I96" i="63"/>
  <c r="D96" i="63"/>
  <c r="C277" i="65" s="1"/>
  <c r="H96" i="63"/>
  <c r="J96" i="63"/>
  <c r="L96" i="63" s="1"/>
  <c r="B47" i="59" l="1"/>
  <c r="B48" i="59"/>
  <c r="A90" i="75" l="1"/>
  <c r="A55" i="75"/>
  <c r="A91" i="75"/>
  <c r="A56" i="75"/>
  <c r="A890" i="72"/>
  <c r="A435" i="72"/>
  <c r="A907" i="72"/>
  <c r="A450" i="72"/>
  <c r="K48" i="59"/>
  <c r="A131" i="71"/>
  <c r="A76" i="71"/>
  <c r="K47" i="59"/>
  <c r="A130" i="71"/>
  <c r="A75" i="71"/>
  <c r="J48" i="59"/>
  <c r="I48" i="59"/>
  <c r="I47" i="59"/>
  <c r="J47" i="59"/>
  <c r="G48" i="59"/>
  <c r="H48" i="59"/>
  <c r="H47" i="59"/>
  <c r="G47" i="59"/>
  <c r="A131" i="69"/>
  <c r="A76" i="69"/>
  <c r="A130" i="69"/>
  <c r="A75" i="69"/>
  <c r="C47" i="59"/>
  <c r="F47" i="59"/>
  <c r="C48" i="59"/>
  <c r="D372" i="76" s="1"/>
  <c r="D52" i="77" s="1"/>
  <c r="F48" i="59"/>
  <c r="H372" i="76" l="1"/>
  <c r="H52" i="77" s="1"/>
  <c r="H131" i="76"/>
  <c r="H76" i="76"/>
  <c r="P371" i="76"/>
  <c r="P130" i="76"/>
  <c r="P75" i="76"/>
  <c r="D371" i="76"/>
  <c r="D45" i="77" s="1"/>
  <c r="D130" i="76"/>
  <c r="D75" i="76"/>
  <c r="J372" i="76"/>
  <c r="J52" i="77" s="1"/>
  <c r="L52" i="77" s="1"/>
  <c r="J76" i="76"/>
  <c r="J131" i="76"/>
  <c r="O372" i="76"/>
  <c r="Q372" i="76" s="1"/>
  <c r="O131" i="76"/>
  <c r="Q131" i="76" s="1"/>
  <c r="O76" i="76"/>
  <c r="Q76" i="76" s="1"/>
  <c r="I371" i="76"/>
  <c r="I45" i="77" s="1"/>
  <c r="I75" i="76"/>
  <c r="I130" i="76"/>
  <c r="N131" i="76"/>
  <c r="N76" i="76"/>
  <c r="I372" i="76"/>
  <c r="I52" i="77" s="1"/>
  <c r="I76" i="76"/>
  <c r="I131" i="76"/>
  <c r="J371" i="76"/>
  <c r="J45" i="77" s="1"/>
  <c r="L45" i="77" s="1"/>
  <c r="J130" i="76"/>
  <c r="J75" i="76"/>
  <c r="O371" i="76"/>
  <c r="Q371" i="76" s="1"/>
  <c r="O130" i="76"/>
  <c r="Q130" i="76" s="1"/>
  <c r="O75" i="76"/>
  <c r="Q75" i="76" s="1"/>
  <c r="H371" i="76"/>
  <c r="H45" i="77" s="1"/>
  <c r="H130" i="76"/>
  <c r="H75" i="76"/>
  <c r="N75" i="76"/>
  <c r="N130" i="76"/>
  <c r="P372" i="76"/>
  <c r="P76" i="76"/>
  <c r="P131" i="76"/>
  <c r="H91" i="75"/>
  <c r="H56" i="75"/>
  <c r="N91" i="75"/>
  <c r="N56" i="75"/>
  <c r="P55" i="75"/>
  <c r="P90" i="75"/>
  <c r="D55" i="75"/>
  <c r="D90" i="75"/>
  <c r="J56" i="75"/>
  <c r="J91" i="75"/>
  <c r="O56" i="75"/>
  <c r="Q56" i="75" s="1"/>
  <c r="O91" i="75"/>
  <c r="Q91" i="75" s="1"/>
  <c r="I90" i="75"/>
  <c r="I55" i="75"/>
  <c r="I56" i="75"/>
  <c r="I91" i="75"/>
  <c r="J55" i="75"/>
  <c r="J90" i="75"/>
  <c r="O55" i="75"/>
  <c r="Q55" i="75" s="1"/>
  <c r="O90" i="75"/>
  <c r="Q90" i="75" s="1"/>
  <c r="H55" i="75"/>
  <c r="H90" i="75"/>
  <c r="N55" i="75"/>
  <c r="N90" i="75"/>
  <c r="P91" i="75"/>
  <c r="P56" i="75"/>
  <c r="P76" i="71"/>
  <c r="R76" i="71" s="1"/>
  <c r="P76" i="69"/>
  <c r="P131" i="69"/>
  <c r="N435" i="72"/>
  <c r="N890" i="72"/>
  <c r="D435" i="72"/>
  <c r="D890" i="72"/>
  <c r="N450" i="72"/>
  <c r="N907" i="72"/>
  <c r="R907" i="72"/>
  <c r="R450" i="72"/>
  <c r="P130" i="71"/>
  <c r="R130" i="71" s="1"/>
  <c r="S890" i="72"/>
  <c r="T890" i="72" s="1"/>
  <c r="S435" i="72"/>
  <c r="T435" i="72" s="1"/>
  <c r="R890" i="72"/>
  <c r="R435" i="72"/>
  <c r="H890" i="72"/>
  <c r="H435" i="72"/>
  <c r="Q435" i="72"/>
  <c r="Q890" i="72"/>
  <c r="P75" i="71"/>
  <c r="R75" i="71" s="1"/>
  <c r="M907" i="72"/>
  <c r="M450" i="72"/>
  <c r="M890" i="72"/>
  <c r="M435" i="72"/>
  <c r="H907" i="72"/>
  <c r="H450" i="72"/>
  <c r="Q450" i="72"/>
  <c r="Q907" i="72"/>
  <c r="P131" i="71"/>
  <c r="R131" i="71" s="1"/>
  <c r="S450" i="72"/>
  <c r="T450" i="72" s="1"/>
  <c r="S907" i="72"/>
  <c r="T907" i="72" s="1"/>
  <c r="P75" i="69"/>
  <c r="P130" i="69"/>
  <c r="I76" i="71"/>
  <c r="I131" i="71"/>
  <c r="J75" i="71"/>
  <c r="J130" i="71"/>
  <c r="O130" i="71"/>
  <c r="Q130" i="71" s="1"/>
  <c r="O75" i="71"/>
  <c r="Q75" i="71" s="1"/>
  <c r="H75" i="71"/>
  <c r="H130" i="71"/>
  <c r="N75" i="71"/>
  <c r="N130" i="71"/>
  <c r="I130" i="71"/>
  <c r="I75" i="71"/>
  <c r="H76" i="71"/>
  <c r="H131" i="71"/>
  <c r="N76" i="71"/>
  <c r="N131" i="71"/>
  <c r="D75" i="71"/>
  <c r="D130" i="71"/>
  <c r="J131" i="71"/>
  <c r="J76" i="71"/>
  <c r="O76" i="71"/>
  <c r="Q76" i="71" s="1"/>
  <c r="O131" i="71"/>
  <c r="Q131" i="71" s="1"/>
  <c r="N130" i="69"/>
  <c r="O75" i="69"/>
  <c r="Q75" i="69" s="1"/>
  <c r="N75" i="69"/>
  <c r="O130" i="69"/>
  <c r="Q130" i="69" s="1"/>
  <c r="N76" i="69"/>
  <c r="O76" i="69"/>
  <c r="Q76" i="69" s="1"/>
  <c r="N131" i="69"/>
  <c r="O131" i="69"/>
  <c r="Q131" i="69" s="1"/>
  <c r="I76" i="69"/>
  <c r="I75" i="69"/>
  <c r="H75" i="69"/>
  <c r="H76" i="69"/>
  <c r="J76" i="69"/>
  <c r="AG76" i="69" s="1"/>
  <c r="J75" i="69"/>
  <c r="L75" i="69" s="1"/>
  <c r="D75" i="69"/>
  <c r="D130" i="69"/>
  <c r="J130" i="69"/>
  <c r="L130" i="69" s="1"/>
  <c r="I130" i="69"/>
  <c r="H130" i="69"/>
  <c r="H131" i="69"/>
  <c r="J131" i="69"/>
  <c r="L131" i="69" s="1"/>
  <c r="I131" i="69"/>
  <c r="AG76" i="76" l="1"/>
  <c r="L76" i="76"/>
  <c r="L328" i="76" s="1"/>
  <c r="L371" i="76"/>
  <c r="R371" i="76" s="1"/>
  <c r="S371" i="76" s="1"/>
  <c r="AG371" i="76"/>
  <c r="AG131" i="76"/>
  <c r="L131" i="76"/>
  <c r="AG75" i="76"/>
  <c r="L75" i="76"/>
  <c r="R75" i="76" s="1"/>
  <c r="S75" i="76" s="1"/>
  <c r="AG372" i="76"/>
  <c r="L372" i="76"/>
  <c r="R372" i="76" s="1"/>
  <c r="S372" i="76" s="1"/>
  <c r="AG130" i="76"/>
  <c r="L130" i="76"/>
  <c r="R130" i="76" s="1"/>
  <c r="S130" i="76" s="1"/>
  <c r="AG90" i="75"/>
  <c r="L90" i="75"/>
  <c r="AG91" i="75"/>
  <c r="L91" i="75"/>
  <c r="W91" i="75" s="1"/>
  <c r="AG55" i="75"/>
  <c r="L55" i="75"/>
  <c r="W55" i="75" s="1"/>
  <c r="AG56" i="75"/>
  <c r="L56" i="75"/>
  <c r="W56" i="75" s="1"/>
  <c r="R130" i="69"/>
  <c r="S130" i="69" s="1"/>
  <c r="R131" i="69"/>
  <c r="S131" i="69" s="1"/>
  <c r="R75" i="69"/>
  <c r="S75" i="69" s="1"/>
  <c r="Q924" i="72"/>
  <c r="AJ907" i="72"/>
  <c r="P907" i="72"/>
  <c r="AJ890" i="72"/>
  <c r="P890" i="72"/>
  <c r="T924" i="72"/>
  <c r="AJ450" i="72"/>
  <c r="P450" i="72"/>
  <c r="AJ435" i="72"/>
  <c r="P435" i="72"/>
  <c r="AF76" i="71"/>
  <c r="L76" i="71"/>
  <c r="S76" i="71" s="1"/>
  <c r="AF130" i="71"/>
  <c r="L130" i="71"/>
  <c r="S130" i="71" s="1"/>
  <c r="AF131" i="71"/>
  <c r="L131" i="71"/>
  <c r="AF75" i="71"/>
  <c r="L75" i="71"/>
  <c r="S75" i="71" s="1"/>
  <c r="L76" i="69"/>
  <c r="R76" i="69" s="1"/>
  <c r="AG75" i="69"/>
  <c r="AG131" i="69"/>
  <c r="AG130" i="69"/>
  <c r="R131" i="76" l="1"/>
  <c r="M132" i="76"/>
  <c r="S131" i="76"/>
  <c r="R76" i="76"/>
  <c r="S76" i="76" s="1"/>
  <c r="R91" i="75"/>
  <c r="S91" i="75" s="1"/>
  <c r="R55" i="75"/>
  <c r="S55" i="75" s="1"/>
  <c r="R90" i="75"/>
  <c r="S90" i="75" s="1"/>
  <c r="W90" i="75"/>
  <c r="R56" i="75"/>
  <c r="S56" i="75" s="1"/>
  <c r="S76" i="69"/>
  <c r="S131" i="71"/>
  <c r="M132" i="71"/>
  <c r="B49" i="59"/>
  <c r="R132" i="76" l="1"/>
  <c r="N132" i="76" s="1"/>
  <c r="U132" i="76"/>
  <c r="S132" i="76"/>
  <c r="A117" i="75"/>
  <c r="A122" i="75"/>
  <c r="A1249" i="72"/>
  <c r="A1197" i="72"/>
  <c r="K49" i="59"/>
  <c r="A176" i="71"/>
  <c r="A170" i="71"/>
  <c r="U132" i="71"/>
  <c r="I49" i="59"/>
  <c r="J49" i="59"/>
  <c r="H49" i="59"/>
  <c r="G49" i="59"/>
  <c r="A176" i="69"/>
  <c r="A170" i="69"/>
  <c r="B50" i="59"/>
  <c r="B633" i="58"/>
  <c r="B652" i="58" s="1"/>
  <c r="B671" i="58" s="1"/>
  <c r="B691" i="58" s="1"/>
  <c r="B711" i="58" s="1"/>
  <c r="C49" i="59"/>
  <c r="F49" i="59"/>
  <c r="D373" i="76" l="1"/>
  <c r="D33" i="77" s="1"/>
  <c r="D176" i="76"/>
  <c r="D170" i="76"/>
  <c r="J373" i="76"/>
  <c r="J33" i="77" s="1"/>
  <c r="L33" i="77" s="1"/>
  <c r="J170" i="76"/>
  <c r="J176" i="76"/>
  <c r="I373" i="76"/>
  <c r="I33" i="77" s="1"/>
  <c r="I170" i="76"/>
  <c r="I176" i="76"/>
  <c r="O373" i="76"/>
  <c r="Q373" i="76" s="1"/>
  <c r="O176" i="76"/>
  <c r="Q176" i="76" s="1"/>
  <c r="O170" i="76"/>
  <c r="Q170" i="76" s="1"/>
  <c r="H373" i="76"/>
  <c r="H33" i="77" s="1"/>
  <c r="H176" i="76"/>
  <c r="H170" i="76"/>
  <c r="N176" i="76"/>
  <c r="N170" i="76"/>
  <c r="P373" i="76"/>
  <c r="P176" i="76"/>
  <c r="P170" i="76"/>
  <c r="A124" i="75"/>
  <c r="A118" i="75"/>
  <c r="I117" i="75"/>
  <c r="I122" i="75"/>
  <c r="O122" i="75"/>
  <c r="Q122" i="75" s="1"/>
  <c r="O117" i="75"/>
  <c r="Q117" i="75" s="1"/>
  <c r="D117" i="75"/>
  <c r="D122" i="75"/>
  <c r="P176" i="71"/>
  <c r="R176" i="71" s="1"/>
  <c r="P117" i="75"/>
  <c r="P122" i="75"/>
  <c r="N117" i="75"/>
  <c r="N122" i="75"/>
  <c r="J117" i="75"/>
  <c r="J122" i="75"/>
  <c r="H122" i="75"/>
  <c r="H117" i="75"/>
  <c r="P176" i="69"/>
  <c r="A1207" i="72"/>
  <c r="A1269" i="72"/>
  <c r="P170" i="69"/>
  <c r="P170" i="71"/>
  <c r="R170" i="71" s="1"/>
  <c r="H1249" i="72"/>
  <c r="H1197" i="72"/>
  <c r="R1197" i="72"/>
  <c r="R1249" i="72"/>
  <c r="D1249" i="72"/>
  <c r="D1197" i="72"/>
  <c r="Q1249" i="72"/>
  <c r="Q1197" i="72"/>
  <c r="M1197" i="72"/>
  <c r="M1249" i="72"/>
  <c r="N1249" i="72"/>
  <c r="N1197" i="72"/>
  <c r="S1249" i="72"/>
  <c r="T1249" i="72" s="1"/>
  <c r="S1197" i="72"/>
  <c r="T1197" i="72" s="1"/>
  <c r="K50" i="59"/>
  <c r="A171" i="71"/>
  <c r="A178" i="71"/>
  <c r="I170" i="71"/>
  <c r="I176" i="71"/>
  <c r="J170" i="71"/>
  <c r="J176" i="71"/>
  <c r="H170" i="71"/>
  <c r="H176" i="71"/>
  <c r="O170" i="71"/>
  <c r="Q170" i="71" s="1"/>
  <c r="O176" i="71"/>
  <c r="Q176" i="71" s="1"/>
  <c r="D170" i="71"/>
  <c r="D176" i="71"/>
  <c r="N170" i="71"/>
  <c r="N176" i="71"/>
  <c r="I50" i="59"/>
  <c r="J50" i="59"/>
  <c r="N170" i="69"/>
  <c r="O170" i="69"/>
  <c r="Q170" i="69" s="1"/>
  <c r="O176" i="69"/>
  <c r="Q176" i="69" s="1"/>
  <c r="N176" i="69"/>
  <c r="G50" i="59"/>
  <c r="H50" i="59"/>
  <c r="A171" i="69"/>
  <c r="A178" i="69"/>
  <c r="J170" i="69"/>
  <c r="AG170" i="69" s="1"/>
  <c r="J176" i="69"/>
  <c r="D170" i="69"/>
  <c r="D176" i="69"/>
  <c r="H170" i="69"/>
  <c r="H176" i="69"/>
  <c r="I170" i="69"/>
  <c r="I176" i="69"/>
  <c r="A114" i="63"/>
  <c r="B52" i="59"/>
  <c r="C50" i="59"/>
  <c r="F50" i="59"/>
  <c r="B51" i="59"/>
  <c r="D374" i="76" l="1"/>
  <c r="D58" i="77" s="1"/>
  <c r="D171" i="76"/>
  <c r="D178" i="76"/>
  <c r="N178" i="76"/>
  <c r="N171" i="76"/>
  <c r="L373" i="76"/>
  <c r="R373" i="76" s="1"/>
  <c r="S373" i="76" s="1"/>
  <c r="AG373" i="76"/>
  <c r="H374" i="76"/>
  <c r="H58" i="77" s="1"/>
  <c r="H178" i="76"/>
  <c r="H171" i="76"/>
  <c r="J374" i="76"/>
  <c r="J58" i="77" s="1"/>
  <c r="L58" i="77" s="1"/>
  <c r="J171" i="76"/>
  <c r="J178" i="76"/>
  <c r="L176" i="76"/>
  <c r="AG176" i="76"/>
  <c r="I374" i="76"/>
  <c r="I58" i="77" s="1"/>
  <c r="I171" i="76"/>
  <c r="I178" i="76"/>
  <c r="O374" i="76"/>
  <c r="Q374" i="76" s="1"/>
  <c r="O171" i="76"/>
  <c r="Q171" i="76" s="1"/>
  <c r="O178" i="76"/>
  <c r="Q178" i="76" s="1"/>
  <c r="P374" i="76"/>
  <c r="P171" i="76"/>
  <c r="P178" i="76"/>
  <c r="AG170" i="76"/>
  <c r="L170" i="76"/>
  <c r="R170" i="76" s="1"/>
  <c r="S170" i="76" s="1"/>
  <c r="A120" i="75"/>
  <c r="A125" i="75"/>
  <c r="A119" i="75"/>
  <c r="A123" i="75"/>
  <c r="I118" i="75"/>
  <c r="I124" i="75"/>
  <c r="J118" i="75"/>
  <c r="J124" i="75"/>
  <c r="N118" i="75"/>
  <c r="N124" i="75"/>
  <c r="AG117" i="75"/>
  <c r="L117" i="75"/>
  <c r="P171" i="71"/>
  <c r="R171" i="71" s="1"/>
  <c r="P118" i="75"/>
  <c r="P124" i="75"/>
  <c r="D118" i="75"/>
  <c r="D124" i="75"/>
  <c r="H124" i="75"/>
  <c r="H118" i="75"/>
  <c r="O124" i="75"/>
  <c r="Q124" i="75" s="1"/>
  <c r="O118" i="75"/>
  <c r="Q118" i="75" s="1"/>
  <c r="AG122" i="75"/>
  <c r="L122" i="75"/>
  <c r="A1217" i="72"/>
  <c r="A1259" i="72"/>
  <c r="A1227" i="72"/>
  <c r="A1279" i="72"/>
  <c r="P178" i="71"/>
  <c r="R178" i="71" s="1"/>
  <c r="P178" i="69"/>
  <c r="P171" i="69"/>
  <c r="H1269" i="72"/>
  <c r="H1207" i="72"/>
  <c r="R1207" i="72"/>
  <c r="R1269" i="72"/>
  <c r="S1269" i="72"/>
  <c r="T1269" i="72" s="1"/>
  <c r="S1207" i="72"/>
  <c r="T1207" i="72" s="1"/>
  <c r="AJ1249" i="72"/>
  <c r="P1249" i="72"/>
  <c r="D1269" i="72"/>
  <c r="D1207" i="72"/>
  <c r="N1269" i="72"/>
  <c r="N1207" i="72"/>
  <c r="Q1269" i="72"/>
  <c r="Q1207" i="72"/>
  <c r="AJ1197" i="72"/>
  <c r="P1197" i="72"/>
  <c r="M1207" i="72"/>
  <c r="M1269" i="72"/>
  <c r="K51" i="59"/>
  <c r="A177" i="71"/>
  <c r="A172" i="71"/>
  <c r="K52" i="59"/>
  <c r="A179" i="71"/>
  <c r="A173" i="71"/>
  <c r="I171" i="71"/>
  <c r="I178" i="71"/>
  <c r="AF176" i="71"/>
  <c r="L176" i="71"/>
  <c r="S176" i="71" s="1"/>
  <c r="D171" i="71"/>
  <c r="D178" i="71"/>
  <c r="AF170" i="71"/>
  <c r="L170" i="71"/>
  <c r="S170" i="71" s="1"/>
  <c r="H171" i="71"/>
  <c r="H178" i="71"/>
  <c r="O171" i="71"/>
  <c r="Q171" i="71" s="1"/>
  <c r="O178" i="71"/>
  <c r="Q178" i="71" s="1"/>
  <c r="J171" i="71"/>
  <c r="J178" i="71"/>
  <c r="N171" i="71"/>
  <c r="N178" i="71"/>
  <c r="N178" i="69"/>
  <c r="O178" i="69"/>
  <c r="Q178" i="69" s="1"/>
  <c r="I52" i="59"/>
  <c r="J52" i="59"/>
  <c r="J51" i="59"/>
  <c r="I51" i="59"/>
  <c r="O171" i="69"/>
  <c r="Q171" i="69" s="1"/>
  <c r="N171" i="69"/>
  <c r="G51" i="59"/>
  <c r="H51" i="59"/>
  <c r="H52" i="59"/>
  <c r="G52" i="59"/>
  <c r="L170" i="69"/>
  <c r="A177" i="69"/>
  <c r="A172" i="69"/>
  <c r="A179" i="69"/>
  <c r="A173" i="69"/>
  <c r="I171" i="69"/>
  <c r="I178" i="69"/>
  <c r="D171" i="69"/>
  <c r="D178" i="69"/>
  <c r="H171" i="69"/>
  <c r="H178" i="69"/>
  <c r="L176" i="69"/>
  <c r="R176" i="69" s="1"/>
  <c r="AG176" i="69"/>
  <c r="J171" i="69"/>
  <c r="L171" i="69" s="1"/>
  <c r="J178" i="69"/>
  <c r="L178" i="69" s="1"/>
  <c r="H114" i="63"/>
  <c r="D114" i="63"/>
  <c r="C365" i="65" s="1"/>
  <c r="I114" i="63"/>
  <c r="J114" i="63"/>
  <c r="L114" i="63" s="1"/>
  <c r="A115" i="63"/>
  <c r="C52" i="59"/>
  <c r="F52" i="59"/>
  <c r="F51" i="59"/>
  <c r="C51" i="59"/>
  <c r="O375" i="76" l="1"/>
  <c r="Q375" i="76" s="1"/>
  <c r="O177" i="76"/>
  <c r="Q177" i="76" s="1"/>
  <c r="O172" i="76"/>
  <c r="Q172" i="76" s="1"/>
  <c r="I173" i="76"/>
  <c r="I376" i="76"/>
  <c r="I81" i="77" s="1"/>
  <c r="I179" i="76"/>
  <c r="H375" i="76"/>
  <c r="H53" i="77" s="1"/>
  <c r="H177" i="76"/>
  <c r="H172" i="76"/>
  <c r="N177" i="76"/>
  <c r="N172" i="76"/>
  <c r="P376" i="76"/>
  <c r="P173" i="76"/>
  <c r="P179" i="76"/>
  <c r="AG374" i="76"/>
  <c r="L374" i="76"/>
  <c r="J375" i="76"/>
  <c r="J53" i="77" s="1"/>
  <c r="L53" i="77" s="1"/>
  <c r="J172" i="76"/>
  <c r="J177" i="76"/>
  <c r="D375" i="76"/>
  <c r="D53" i="77" s="1"/>
  <c r="D172" i="76"/>
  <c r="D177" i="76"/>
  <c r="J376" i="76"/>
  <c r="J81" i="77" s="1"/>
  <c r="L81" i="77" s="1"/>
  <c r="J179" i="76"/>
  <c r="J173" i="76"/>
  <c r="O376" i="76"/>
  <c r="Q376" i="76" s="1"/>
  <c r="O173" i="76"/>
  <c r="Q173" i="76" s="1"/>
  <c r="O179" i="76"/>
  <c r="Q179" i="76" s="1"/>
  <c r="AG178" i="76"/>
  <c r="L178" i="76"/>
  <c r="R178" i="76" s="1"/>
  <c r="S178" i="76" s="1"/>
  <c r="R176" i="76"/>
  <c r="S176" i="76" s="1"/>
  <c r="D376" i="76"/>
  <c r="D81" i="77" s="1"/>
  <c r="D173" i="76"/>
  <c r="D179" i="76"/>
  <c r="I375" i="76"/>
  <c r="I53" i="77" s="1"/>
  <c r="I172" i="76"/>
  <c r="I177" i="76"/>
  <c r="H376" i="76"/>
  <c r="H81" i="77" s="1"/>
  <c r="H173" i="76"/>
  <c r="H179" i="76"/>
  <c r="N173" i="76"/>
  <c r="N179" i="76"/>
  <c r="P375" i="76"/>
  <c r="P177" i="76"/>
  <c r="P172" i="76"/>
  <c r="AG171" i="76"/>
  <c r="L171" i="76"/>
  <c r="R171" i="76" s="1"/>
  <c r="S171" i="76" s="1"/>
  <c r="H123" i="75"/>
  <c r="H119" i="75"/>
  <c r="N119" i="75"/>
  <c r="N123" i="75"/>
  <c r="P120" i="75"/>
  <c r="P125" i="75"/>
  <c r="R117" i="75"/>
  <c r="S117" i="75" s="1"/>
  <c r="W117" i="75"/>
  <c r="AG124" i="75"/>
  <c r="L124" i="75"/>
  <c r="I120" i="75"/>
  <c r="I125" i="75"/>
  <c r="D120" i="75"/>
  <c r="D125" i="75"/>
  <c r="J119" i="75"/>
  <c r="J123" i="75"/>
  <c r="O123" i="75"/>
  <c r="Q123" i="75" s="1"/>
  <c r="O119" i="75"/>
  <c r="Q119" i="75" s="1"/>
  <c r="R122" i="75"/>
  <c r="S122" i="75" s="1"/>
  <c r="W122" i="75"/>
  <c r="AG118" i="75"/>
  <c r="L118" i="75"/>
  <c r="D119" i="75"/>
  <c r="D123" i="75"/>
  <c r="J120" i="75"/>
  <c r="J125" i="75"/>
  <c r="O120" i="75"/>
  <c r="Q120" i="75" s="1"/>
  <c r="O125" i="75"/>
  <c r="Q125" i="75" s="1"/>
  <c r="I119" i="75"/>
  <c r="I123" i="75"/>
  <c r="H125" i="75"/>
  <c r="H120" i="75"/>
  <c r="N120" i="75"/>
  <c r="N125" i="75"/>
  <c r="P119" i="75"/>
  <c r="P123" i="75"/>
  <c r="P179" i="69"/>
  <c r="P173" i="71"/>
  <c r="R173" i="71" s="1"/>
  <c r="R178" i="69"/>
  <c r="S178" i="69" s="1"/>
  <c r="S176" i="69"/>
  <c r="R171" i="69"/>
  <c r="S171" i="69" s="1"/>
  <c r="R170" i="69"/>
  <c r="S170" i="69" s="1"/>
  <c r="P173" i="69"/>
  <c r="P179" i="71"/>
  <c r="R179" i="71" s="1"/>
  <c r="N1259" i="72"/>
  <c r="N1217" i="72"/>
  <c r="AJ1269" i="72"/>
  <c r="P1269" i="72"/>
  <c r="M1279" i="72"/>
  <c r="M1227" i="72"/>
  <c r="P177" i="69"/>
  <c r="H1217" i="72"/>
  <c r="H1259" i="72"/>
  <c r="Q1259" i="72"/>
  <c r="Q1217" i="72"/>
  <c r="P1207" i="72"/>
  <c r="AJ1207" i="72"/>
  <c r="D1259" i="72"/>
  <c r="D1217" i="72"/>
  <c r="N1279" i="72"/>
  <c r="N1227" i="72"/>
  <c r="R1227" i="72"/>
  <c r="R1279" i="72"/>
  <c r="S1279" i="72"/>
  <c r="T1279" i="72" s="1"/>
  <c r="S1227" i="72"/>
  <c r="T1227" i="72" s="1"/>
  <c r="D1279" i="72"/>
  <c r="D1227" i="72"/>
  <c r="R1217" i="72"/>
  <c r="R1259" i="72"/>
  <c r="P172" i="71"/>
  <c r="R172" i="71" s="1"/>
  <c r="S1259" i="72"/>
  <c r="T1259" i="72" s="1"/>
  <c r="S1217" i="72"/>
  <c r="T1217" i="72" s="1"/>
  <c r="M1217" i="72"/>
  <c r="M1259" i="72"/>
  <c r="P172" i="69"/>
  <c r="H1279" i="72"/>
  <c r="H1227" i="72"/>
  <c r="Q1279" i="72"/>
  <c r="Q1227" i="72"/>
  <c r="P177" i="71"/>
  <c r="R177" i="71" s="1"/>
  <c r="D172" i="71"/>
  <c r="D177" i="71"/>
  <c r="J173" i="71"/>
  <c r="J179" i="71"/>
  <c r="O173" i="71"/>
  <c r="Q173" i="71" s="1"/>
  <c r="O179" i="71"/>
  <c r="Q179" i="71" s="1"/>
  <c r="I172" i="71"/>
  <c r="I177" i="71"/>
  <c r="H173" i="71"/>
  <c r="H179" i="71"/>
  <c r="N173" i="71"/>
  <c r="N179" i="71"/>
  <c r="I173" i="71"/>
  <c r="I179" i="71"/>
  <c r="H172" i="71"/>
  <c r="H177" i="71"/>
  <c r="N177" i="71"/>
  <c r="N172" i="71"/>
  <c r="AF178" i="71"/>
  <c r="L178" i="71"/>
  <c r="S178" i="71" s="1"/>
  <c r="D173" i="71"/>
  <c r="D179" i="71"/>
  <c r="J172" i="71"/>
  <c r="J177" i="71"/>
  <c r="O172" i="71"/>
  <c r="Q172" i="71" s="1"/>
  <c r="O177" i="71"/>
  <c r="Q177" i="71" s="1"/>
  <c r="AF171" i="71"/>
  <c r="L171" i="71"/>
  <c r="S171" i="71" s="1"/>
  <c r="N179" i="69"/>
  <c r="O179" i="69"/>
  <c r="Q179" i="69" s="1"/>
  <c r="O172" i="69"/>
  <c r="Q172" i="69" s="1"/>
  <c r="N172" i="69"/>
  <c r="N177" i="69"/>
  <c r="O177" i="69"/>
  <c r="Q177" i="69" s="1"/>
  <c r="O173" i="69"/>
  <c r="Q173" i="69" s="1"/>
  <c r="N173" i="69"/>
  <c r="I172" i="69"/>
  <c r="I177" i="69"/>
  <c r="D173" i="69"/>
  <c r="D179" i="69"/>
  <c r="J172" i="69"/>
  <c r="AG172" i="69" s="1"/>
  <c r="J177" i="69"/>
  <c r="J173" i="69"/>
  <c r="L173" i="69" s="1"/>
  <c r="J179" i="69"/>
  <c r="H172" i="69"/>
  <c r="H177" i="69"/>
  <c r="H173" i="69"/>
  <c r="H179" i="69"/>
  <c r="D172" i="69"/>
  <c r="D177" i="69"/>
  <c r="I173" i="69"/>
  <c r="I179" i="69"/>
  <c r="I115" i="63"/>
  <c r="J115" i="63"/>
  <c r="L115" i="63" s="1"/>
  <c r="H115" i="63"/>
  <c r="D115" i="63"/>
  <c r="C366" i="65" s="1"/>
  <c r="AG172" i="76" l="1"/>
  <c r="L172" i="76"/>
  <c r="AG177" i="76"/>
  <c r="L177" i="76"/>
  <c r="R177" i="76" s="1"/>
  <c r="S177" i="76" s="1"/>
  <c r="R374" i="76"/>
  <c r="S374" i="76" s="1"/>
  <c r="L179" i="76"/>
  <c r="AG179" i="76"/>
  <c r="AG375" i="76"/>
  <c r="L375" i="76"/>
  <c r="R375" i="76" s="1"/>
  <c r="S375" i="76" s="1"/>
  <c r="AG173" i="76"/>
  <c r="L173" i="76"/>
  <c r="R173" i="76" s="1"/>
  <c r="S173" i="76" s="1"/>
  <c r="AG376" i="76"/>
  <c r="L376" i="76"/>
  <c r="R376" i="76" s="1"/>
  <c r="S376" i="76" s="1"/>
  <c r="AG119" i="75"/>
  <c r="L119" i="75"/>
  <c r="AG125" i="75"/>
  <c r="L125" i="75"/>
  <c r="R118" i="75"/>
  <c r="S118" i="75" s="1"/>
  <c r="W118" i="75"/>
  <c r="R124" i="75"/>
  <c r="S124" i="75" s="1"/>
  <c r="W124" i="75"/>
  <c r="AG120" i="75"/>
  <c r="L120" i="75"/>
  <c r="AG123" i="75"/>
  <c r="L123" i="75"/>
  <c r="W123" i="75" s="1"/>
  <c r="R173" i="69"/>
  <c r="S173" i="69" s="1"/>
  <c r="P1279" i="72"/>
  <c r="AJ1279" i="72"/>
  <c r="P1217" i="72"/>
  <c r="AJ1217" i="72"/>
  <c r="AJ1227" i="72"/>
  <c r="P1227" i="72"/>
  <c r="P1259" i="72"/>
  <c r="AJ1259" i="72"/>
  <c r="AF177" i="71"/>
  <c r="L177" i="71"/>
  <c r="S177" i="71" s="1"/>
  <c r="AF179" i="71"/>
  <c r="L179" i="71"/>
  <c r="S179" i="71" s="1"/>
  <c r="AF172" i="71"/>
  <c r="L172" i="71"/>
  <c r="S172" i="71" s="1"/>
  <c r="AF173" i="71"/>
  <c r="L173" i="71"/>
  <c r="S173" i="71" s="1"/>
  <c r="L172" i="69"/>
  <c r="AG173" i="69"/>
  <c r="L179" i="69"/>
  <c r="AG179" i="69"/>
  <c r="L177" i="69"/>
  <c r="AG177" i="69"/>
  <c r="B53" i="59"/>
  <c r="R172" i="76" l="1"/>
  <c r="S172" i="76" s="1"/>
  <c r="R179" i="76"/>
  <c r="S179" i="76" s="1"/>
  <c r="A121" i="75"/>
  <c r="A116" i="75"/>
  <c r="R120" i="75"/>
  <c r="S120" i="75" s="1"/>
  <c r="W120" i="75"/>
  <c r="R123" i="75"/>
  <c r="S123" i="75" s="1"/>
  <c r="R119" i="75"/>
  <c r="S119" i="75" s="1"/>
  <c r="W119" i="75"/>
  <c r="R125" i="75"/>
  <c r="S125" i="75" s="1"/>
  <c r="W125" i="75"/>
  <c r="R179" i="69"/>
  <c r="S179" i="69" s="1"/>
  <c r="R177" i="69"/>
  <c r="S177" i="69" s="1"/>
  <c r="R172" i="69"/>
  <c r="S172" i="69" s="1"/>
  <c r="A1238" i="72"/>
  <c r="A1186" i="72"/>
  <c r="K53" i="59"/>
  <c r="A175" i="71"/>
  <c r="A169" i="71"/>
  <c r="J53" i="59"/>
  <c r="I53" i="59"/>
  <c r="G53" i="59"/>
  <c r="H53" i="59"/>
  <c r="A175" i="69"/>
  <c r="A169" i="69"/>
  <c r="A112" i="63"/>
  <c r="C53" i="59"/>
  <c r="F53" i="59"/>
  <c r="N169" i="76" l="1"/>
  <c r="N175" i="76"/>
  <c r="D377" i="76"/>
  <c r="D24" i="77" s="1"/>
  <c r="D169" i="76"/>
  <c r="D175" i="76"/>
  <c r="J377" i="76"/>
  <c r="J24" i="77" s="1"/>
  <c r="L24" i="77" s="1"/>
  <c r="J169" i="76"/>
  <c r="J175" i="76"/>
  <c r="P377" i="76"/>
  <c r="P169" i="76"/>
  <c r="P175" i="76"/>
  <c r="O377" i="76"/>
  <c r="Q377" i="76" s="1"/>
  <c r="O169" i="76"/>
  <c r="Q169" i="76" s="1"/>
  <c r="O175" i="76"/>
  <c r="Q175" i="76" s="1"/>
  <c r="I377" i="76"/>
  <c r="I24" i="77" s="1"/>
  <c r="I175" i="76"/>
  <c r="I169" i="76"/>
  <c r="H377" i="76"/>
  <c r="H24" i="77" s="1"/>
  <c r="H175" i="76"/>
  <c r="H169" i="76"/>
  <c r="D116" i="75"/>
  <c r="D121" i="75"/>
  <c r="J121" i="75"/>
  <c r="J116" i="75"/>
  <c r="N116" i="75"/>
  <c r="N121" i="75"/>
  <c r="P116" i="75"/>
  <c r="P121" i="75"/>
  <c r="I121" i="75"/>
  <c r="I116" i="75"/>
  <c r="O121" i="75"/>
  <c r="Q121" i="75" s="1"/>
  <c r="O116" i="75"/>
  <c r="Q116" i="75" s="1"/>
  <c r="H121" i="75"/>
  <c r="H116" i="75"/>
  <c r="P169" i="69"/>
  <c r="P175" i="69"/>
  <c r="P169" i="71"/>
  <c r="R169" i="71" s="1"/>
  <c r="M1186" i="72"/>
  <c r="M1238" i="72"/>
  <c r="R1238" i="72"/>
  <c r="R1186" i="72"/>
  <c r="H1238" i="72"/>
  <c r="H1186" i="72"/>
  <c r="N1238" i="72"/>
  <c r="N1186" i="72"/>
  <c r="P175" i="71"/>
  <c r="R175" i="71" s="1"/>
  <c r="D1238" i="72"/>
  <c r="D1186" i="72"/>
  <c r="Q1238" i="72"/>
  <c r="Q1186" i="72"/>
  <c r="S1238" i="72"/>
  <c r="T1238" i="72" s="1"/>
  <c r="S1186" i="72"/>
  <c r="T1186" i="72" s="1"/>
  <c r="N175" i="71"/>
  <c r="N169" i="71"/>
  <c r="I175" i="71"/>
  <c r="I169" i="71"/>
  <c r="O175" i="71"/>
  <c r="Q175" i="71" s="1"/>
  <c r="O169" i="71"/>
  <c r="Q169" i="71" s="1"/>
  <c r="H175" i="71"/>
  <c r="H169" i="71"/>
  <c r="D175" i="71"/>
  <c r="D169" i="71"/>
  <c r="J175" i="71"/>
  <c r="J169" i="71"/>
  <c r="O169" i="69"/>
  <c r="Q169" i="69" s="1"/>
  <c r="N169" i="69"/>
  <c r="O175" i="69"/>
  <c r="Q175" i="69" s="1"/>
  <c r="N175" i="69"/>
  <c r="D169" i="69"/>
  <c r="D175" i="69"/>
  <c r="H169" i="69"/>
  <c r="H175" i="69"/>
  <c r="J169" i="69"/>
  <c r="AG169" i="69" s="1"/>
  <c r="J175" i="69"/>
  <c r="I169" i="69"/>
  <c r="I175" i="69"/>
  <c r="A113" i="63"/>
  <c r="AG169" i="76" l="1"/>
  <c r="L169" i="76"/>
  <c r="L175" i="76"/>
  <c r="AG175" i="76"/>
  <c r="L377" i="76"/>
  <c r="R377" i="76" s="1"/>
  <c r="S377" i="76" s="1"/>
  <c r="AG377" i="76"/>
  <c r="L116" i="75"/>
  <c r="AG116" i="75"/>
  <c r="AG121" i="75"/>
  <c r="L121" i="75"/>
  <c r="R121" i="75" s="1"/>
  <c r="Q1290" i="72"/>
  <c r="T1290" i="72"/>
  <c r="P1186" i="72"/>
  <c r="AJ1186" i="72"/>
  <c r="AJ1238" i="72"/>
  <c r="P1238" i="72"/>
  <c r="AF169" i="71"/>
  <c r="L169" i="71"/>
  <c r="AF175" i="71"/>
  <c r="L175" i="71"/>
  <c r="S175" i="71" s="1"/>
  <c r="L169" i="69"/>
  <c r="L175" i="69"/>
  <c r="AG175" i="69"/>
  <c r="A155" i="63"/>
  <c r="A152" i="63"/>
  <c r="M180" i="76" l="1"/>
  <c r="U180" i="76" s="1"/>
  <c r="R169" i="76"/>
  <c r="R175" i="76"/>
  <c r="S175" i="76" s="1"/>
  <c r="W121" i="75"/>
  <c r="S121" i="75"/>
  <c r="R116" i="75"/>
  <c r="S116" i="75" s="1"/>
  <c r="W116" i="75"/>
  <c r="R169" i="69"/>
  <c r="R175" i="69"/>
  <c r="S175" i="69" s="1"/>
  <c r="M180" i="71"/>
  <c r="U180" i="71" s="1"/>
  <c r="S169" i="71"/>
  <c r="H152" i="63"/>
  <c r="D113" i="63"/>
  <c r="C362" i="65" s="1"/>
  <c r="I113" i="63"/>
  <c r="J113" i="63"/>
  <c r="L113" i="63" s="1"/>
  <c r="H113" i="63"/>
  <c r="J155" i="63"/>
  <c r="L155" i="63" s="1"/>
  <c r="D155" i="63"/>
  <c r="C470" i="65" s="1"/>
  <c r="I155" i="63"/>
  <c r="H155" i="63"/>
  <c r="D152" i="63"/>
  <c r="C465" i="65" s="1"/>
  <c r="J112" i="63"/>
  <c r="L112" i="63" s="1"/>
  <c r="H112" i="63"/>
  <c r="D112" i="63"/>
  <c r="C347" i="65" s="1"/>
  <c r="I112" i="63"/>
  <c r="I152" i="63"/>
  <c r="J152" i="63"/>
  <c r="L152" i="63" s="1"/>
  <c r="R180" i="76" l="1"/>
  <c r="N180" i="76" s="1"/>
  <c r="S169" i="76"/>
  <c r="S180" i="76" s="1"/>
  <c r="R180" i="69"/>
  <c r="L32" i="67" s="1"/>
  <c r="S169" i="69"/>
  <c r="S180" i="69" s="1"/>
  <c r="A153" i="63"/>
  <c r="H153" i="63" l="1"/>
  <c r="I153" i="63"/>
  <c r="J153" i="63"/>
  <c r="L153" i="63" s="1"/>
  <c r="D153" i="63"/>
  <c r="C468" i="65" s="1"/>
  <c r="A154" i="63"/>
  <c r="J154" i="63" l="1"/>
  <c r="L154" i="63" s="1"/>
  <c r="D154" i="63" l="1"/>
  <c r="C469" i="65" s="1"/>
  <c r="H154" i="63"/>
  <c r="I154" i="63"/>
  <c r="B54" i="59" l="1"/>
  <c r="A133" i="75" l="1"/>
  <c r="A138" i="75"/>
  <c r="A1341" i="72"/>
  <c r="A1400" i="72"/>
  <c r="K54" i="59"/>
  <c r="A200" i="71"/>
  <c r="A193" i="71"/>
  <c r="I54" i="59"/>
  <c r="J54" i="59"/>
  <c r="H54" i="59"/>
  <c r="G54" i="59"/>
  <c r="A135" i="63"/>
  <c r="A200" i="69"/>
  <c r="A193" i="69"/>
  <c r="C54" i="59"/>
  <c r="F54" i="59"/>
  <c r="B731" i="58"/>
  <c r="B753" i="58" s="1"/>
  <c r="B775" i="58" s="1"/>
  <c r="B797" i="58" s="1"/>
  <c r="B819" i="58" s="1"/>
  <c r="B841" i="58" s="1"/>
  <c r="B55" i="59"/>
  <c r="I378" i="76" l="1"/>
  <c r="I22" i="77" s="1"/>
  <c r="I200" i="76"/>
  <c r="I193" i="76"/>
  <c r="N200" i="76"/>
  <c r="N193" i="76"/>
  <c r="J378" i="76"/>
  <c r="J22" i="77" s="1"/>
  <c r="L22" i="77" s="1"/>
  <c r="J200" i="76"/>
  <c r="J193" i="76"/>
  <c r="H378" i="76"/>
  <c r="H22" i="77" s="1"/>
  <c r="H193" i="76"/>
  <c r="H200" i="76"/>
  <c r="D378" i="76"/>
  <c r="D22" i="77" s="1"/>
  <c r="D200" i="76"/>
  <c r="D193" i="76"/>
  <c r="O378" i="76"/>
  <c r="Q378" i="76" s="1"/>
  <c r="O193" i="76"/>
  <c r="Q193" i="76" s="1"/>
  <c r="O200" i="76"/>
  <c r="Q200" i="76" s="1"/>
  <c r="P378" i="76"/>
  <c r="P200" i="76"/>
  <c r="P193" i="76"/>
  <c r="A135" i="75"/>
  <c r="A140" i="75"/>
  <c r="D138" i="75"/>
  <c r="D133" i="75"/>
  <c r="H133" i="75"/>
  <c r="H138" i="75"/>
  <c r="O133" i="75"/>
  <c r="Q133" i="75" s="1"/>
  <c r="O138" i="75"/>
  <c r="Q138" i="75" s="1"/>
  <c r="P133" i="75"/>
  <c r="P138" i="75"/>
  <c r="I133" i="75"/>
  <c r="I138" i="75"/>
  <c r="N133" i="75"/>
  <c r="N138" i="75"/>
  <c r="J138" i="75"/>
  <c r="J133" i="75"/>
  <c r="A1365" i="72"/>
  <c r="A1424" i="72"/>
  <c r="P200" i="69"/>
  <c r="P193" i="69"/>
  <c r="P193" i="71"/>
  <c r="R193" i="71" s="1"/>
  <c r="D1341" i="72"/>
  <c r="D1400" i="72"/>
  <c r="M1341" i="72"/>
  <c r="M1400" i="72"/>
  <c r="Q1341" i="72"/>
  <c r="Q1400" i="72"/>
  <c r="N1341" i="72"/>
  <c r="N1400" i="72"/>
  <c r="H1341" i="72"/>
  <c r="H1400" i="72"/>
  <c r="P200" i="71"/>
  <c r="R200" i="71" s="1"/>
  <c r="R1341" i="72"/>
  <c r="R1400" i="72"/>
  <c r="S1341" i="72"/>
  <c r="T1341" i="72" s="1"/>
  <c r="S1400" i="72"/>
  <c r="T1400" i="72" s="1"/>
  <c r="K55" i="59"/>
  <c r="A202" i="71"/>
  <c r="A195" i="71"/>
  <c r="O200" i="71"/>
  <c r="Q200" i="71" s="1"/>
  <c r="O193" i="71"/>
  <c r="Q193" i="71" s="1"/>
  <c r="I193" i="71"/>
  <c r="I200" i="71"/>
  <c r="N200" i="71"/>
  <c r="N193" i="71"/>
  <c r="D200" i="71"/>
  <c r="D193" i="71"/>
  <c r="J200" i="71"/>
  <c r="J193" i="71"/>
  <c r="H193" i="71"/>
  <c r="H200" i="71"/>
  <c r="J55" i="59"/>
  <c r="I55" i="59"/>
  <c r="N193" i="69"/>
  <c r="O193" i="69"/>
  <c r="O200" i="69"/>
  <c r="N200" i="69"/>
  <c r="G55" i="59"/>
  <c r="H55" i="59"/>
  <c r="B861" i="58"/>
  <c r="B882" i="58" s="1"/>
  <c r="B903" i="58" s="1"/>
  <c r="A195" i="69"/>
  <c r="A202" i="69"/>
  <c r="I193" i="69"/>
  <c r="I200" i="69"/>
  <c r="J193" i="69"/>
  <c r="AG193" i="69" s="1"/>
  <c r="J200" i="69"/>
  <c r="H193" i="69"/>
  <c r="H200" i="69"/>
  <c r="D193" i="69"/>
  <c r="D200" i="69"/>
  <c r="J135" i="63"/>
  <c r="L135" i="63" s="1"/>
  <c r="D135" i="63"/>
  <c r="C406" i="65" s="1"/>
  <c r="H135" i="63"/>
  <c r="I135" i="63"/>
  <c r="B56" i="59"/>
  <c r="C55" i="59"/>
  <c r="F55" i="59"/>
  <c r="D379" i="76" l="1"/>
  <c r="D57" i="77" s="1"/>
  <c r="D202" i="76"/>
  <c r="D195" i="76"/>
  <c r="O379" i="76"/>
  <c r="Q379" i="76" s="1"/>
  <c r="O195" i="76"/>
  <c r="Q195" i="76" s="1"/>
  <c r="O202" i="76"/>
  <c r="Q202" i="76" s="1"/>
  <c r="AG193" i="76"/>
  <c r="L193" i="76"/>
  <c r="H202" i="76"/>
  <c r="H379" i="76"/>
  <c r="H57" i="77" s="1"/>
  <c r="H195" i="76"/>
  <c r="AG200" i="76"/>
  <c r="L200" i="76"/>
  <c r="R200" i="76" s="1"/>
  <c r="S200" i="76" s="1"/>
  <c r="J379" i="76"/>
  <c r="J57" i="77" s="1"/>
  <c r="L57" i="77" s="1"/>
  <c r="J202" i="76"/>
  <c r="J195" i="76"/>
  <c r="AG378" i="76"/>
  <c r="L378" i="76"/>
  <c r="I379" i="76"/>
  <c r="I57" i="77" s="1"/>
  <c r="I195" i="76"/>
  <c r="I202" i="76"/>
  <c r="N195" i="76"/>
  <c r="N202" i="76"/>
  <c r="P379" i="76"/>
  <c r="P202" i="76"/>
  <c r="P195" i="76"/>
  <c r="A134" i="75"/>
  <c r="A139" i="75"/>
  <c r="J140" i="75"/>
  <c r="J135" i="75"/>
  <c r="N135" i="75"/>
  <c r="N140" i="75"/>
  <c r="P140" i="75"/>
  <c r="P135" i="75"/>
  <c r="D135" i="75"/>
  <c r="D140" i="75"/>
  <c r="O135" i="75"/>
  <c r="Q135" i="75" s="1"/>
  <c r="O140" i="75"/>
  <c r="Q140" i="75" s="1"/>
  <c r="AG133" i="75"/>
  <c r="L133" i="75"/>
  <c r="W133" i="75" s="1"/>
  <c r="I135" i="75"/>
  <c r="I140" i="75"/>
  <c r="H135" i="75"/>
  <c r="H140" i="75"/>
  <c r="AG138" i="75"/>
  <c r="L138" i="75"/>
  <c r="A1411" i="72"/>
  <c r="A1352" i="72"/>
  <c r="D1365" i="72"/>
  <c r="D1424" i="72"/>
  <c r="P202" i="71"/>
  <c r="R202" i="71" s="1"/>
  <c r="S1365" i="72"/>
  <c r="T1365" i="72" s="1"/>
  <c r="S1424" i="72"/>
  <c r="T1424" i="72" s="1"/>
  <c r="P1400" i="72"/>
  <c r="AJ1400" i="72"/>
  <c r="H1424" i="72"/>
  <c r="H1365" i="72"/>
  <c r="AJ1341" i="72"/>
  <c r="P1341" i="72"/>
  <c r="R1365" i="72"/>
  <c r="R1424" i="72"/>
  <c r="P202" i="69"/>
  <c r="N1365" i="72"/>
  <c r="N1424" i="72"/>
  <c r="M1365" i="72"/>
  <c r="M1424" i="72"/>
  <c r="P195" i="69"/>
  <c r="Q1424" i="72"/>
  <c r="Q1365" i="72"/>
  <c r="P195" i="71"/>
  <c r="R195" i="71" s="1"/>
  <c r="K56" i="59"/>
  <c r="A194" i="71"/>
  <c r="A201" i="71"/>
  <c r="I202" i="71"/>
  <c r="I195" i="71"/>
  <c r="N195" i="71"/>
  <c r="N202" i="71"/>
  <c r="O202" i="71"/>
  <c r="Q202" i="71" s="1"/>
  <c r="O195" i="71"/>
  <c r="Q195" i="71" s="1"/>
  <c r="H195" i="71"/>
  <c r="H202" i="71"/>
  <c r="AF193" i="71"/>
  <c r="L193" i="71"/>
  <c r="D202" i="71"/>
  <c r="D195" i="71"/>
  <c r="J202" i="71"/>
  <c r="J195" i="71"/>
  <c r="AF200" i="71"/>
  <c r="L200" i="71"/>
  <c r="S200" i="71" s="1"/>
  <c r="I56" i="59"/>
  <c r="J56" i="59"/>
  <c r="N202" i="69"/>
  <c r="O202" i="69"/>
  <c r="O195" i="69"/>
  <c r="N195" i="69"/>
  <c r="H56" i="59"/>
  <c r="G56" i="59"/>
  <c r="B924" i="58"/>
  <c r="B945" i="58" s="1"/>
  <c r="A137" i="63"/>
  <c r="A201" i="69"/>
  <c r="A194" i="69"/>
  <c r="D195" i="69"/>
  <c r="D202" i="69"/>
  <c r="J195" i="69"/>
  <c r="AG195" i="69" s="1"/>
  <c r="J202" i="69"/>
  <c r="H195" i="69"/>
  <c r="H202" i="69"/>
  <c r="I195" i="69"/>
  <c r="I202" i="69"/>
  <c r="AG200" i="69"/>
  <c r="A138" i="63"/>
  <c r="B57" i="59"/>
  <c r="C56" i="59"/>
  <c r="F56" i="59"/>
  <c r="I380" i="76" l="1"/>
  <c r="I37" i="77" s="1"/>
  <c r="I201" i="76"/>
  <c r="I194" i="76"/>
  <c r="H380" i="76"/>
  <c r="H37" i="77" s="1"/>
  <c r="H201" i="76"/>
  <c r="H194" i="76"/>
  <c r="AG195" i="76"/>
  <c r="L195" i="76"/>
  <c r="R195" i="76" s="1"/>
  <c r="S195" i="76" s="1"/>
  <c r="R193" i="76"/>
  <c r="O380" i="76"/>
  <c r="Q380" i="76" s="1"/>
  <c r="O201" i="76"/>
  <c r="Q201" i="76" s="1"/>
  <c r="O194" i="76"/>
  <c r="Q194" i="76" s="1"/>
  <c r="AG202" i="76"/>
  <c r="L202" i="76"/>
  <c r="N201" i="76"/>
  <c r="N194" i="76"/>
  <c r="R378" i="76"/>
  <c r="S378" i="76" s="1"/>
  <c r="AG379" i="76"/>
  <c r="L379" i="76"/>
  <c r="R379" i="76" s="1"/>
  <c r="S379" i="76" s="1"/>
  <c r="P380" i="76"/>
  <c r="P194" i="76"/>
  <c r="P201" i="76"/>
  <c r="D380" i="76"/>
  <c r="D37" i="77" s="1"/>
  <c r="D201" i="76"/>
  <c r="D194" i="76"/>
  <c r="J380" i="76"/>
  <c r="J37" i="77" s="1"/>
  <c r="L37" i="77" s="1"/>
  <c r="J201" i="76"/>
  <c r="J194" i="76"/>
  <c r="A136" i="75"/>
  <c r="A141" i="75"/>
  <c r="O134" i="75"/>
  <c r="Q134" i="75" s="1"/>
  <c r="O139" i="75"/>
  <c r="Q139" i="75" s="1"/>
  <c r="P139" i="75"/>
  <c r="P134" i="75"/>
  <c r="N134" i="75"/>
  <c r="N139" i="75"/>
  <c r="R138" i="75"/>
  <c r="S138" i="75" s="1"/>
  <c r="W138" i="75"/>
  <c r="R133" i="75"/>
  <c r="S133" i="75" s="1"/>
  <c r="D134" i="75"/>
  <c r="D139" i="75"/>
  <c r="J139" i="75"/>
  <c r="J134" i="75"/>
  <c r="AG135" i="75"/>
  <c r="L135" i="75"/>
  <c r="W135" i="75" s="1"/>
  <c r="I134" i="75"/>
  <c r="I139" i="75"/>
  <c r="H139" i="75"/>
  <c r="H134" i="75"/>
  <c r="AG140" i="75"/>
  <c r="L140" i="75"/>
  <c r="W140" i="75" s="1"/>
  <c r="P194" i="71"/>
  <c r="R194" i="71" s="1"/>
  <c r="A1434" i="72"/>
  <c r="A1375" i="72"/>
  <c r="P201" i="69"/>
  <c r="P194" i="69"/>
  <c r="P201" i="71"/>
  <c r="R201" i="71" s="1"/>
  <c r="D1352" i="72"/>
  <c r="D1411" i="72"/>
  <c r="N1352" i="72"/>
  <c r="N1411" i="72"/>
  <c r="P1424" i="72"/>
  <c r="AJ1424" i="72"/>
  <c r="H1352" i="72"/>
  <c r="H1411" i="72"/>
  <c r="P1365" i="72"/>
  <c r="AJ1365" i="72"/>
  <c r="R1411" i="72"/>
  <c r="R1352" i="72"/>
  <c r="M1352" i="72"/>
  <c r="M1411" i="72"/>
  <c r="Q1352" i="72"/>
  <c r="Q1411" i="72"/>
  <c r="S1352" i="72"/>
  <c r="T1352" i="72" s="1"/>
  <c r="S1411" i="72"/>
  <c r="T1411" i="72" s="1"/>
  <c r="K57" i="59"/>
  <c r="A203" i="71"/>
  <c r="A196" i="71"/>
  <c r="I201" i="71"/>
  <c r="I194" i="71"/>
  <c r="O201" i="71"/>
  <c r="Q201" i="71" s="1"/>
  <c r="O194" i="71"/>
  <c r="Q194" i="71" s="1"/>
  <c r="AF195" i="71"/>
  <c r="L195" i="71"/>
  <c r="S195" i="71" s="1"/>
  <c r="S193" i="71"/>
  <c r="N201" i="71"/>
  <c r="N194" i="71"/>
  <c r="L202" i="71"/>
  <c r="S202" i="71" s="1"/>
  <c r="AF202" i="71"/>
  <c r="D201" i="71"/>
  <c r="D194" i="71"/>
  <c r="J201" i="71"/>
  <c r="J194" i="71"/>
  <c r="H201" i="71"/>
  <c r="H194" i="71"/>
  <c r="O194" i="69"/>
  <c r="N194" i="69"/>
  <c r="J57" i="59"/>
  <c r="I57" i="59"/>
  <c r="N201" i="69"/>
  <c r="O201" i="69"/>
  <c r="G57" i="59"/>
  <c r="H57" i="59"/>
  <c r="D201" i="69"/>
  <c r="H201" i="69"/>
  <c r="I201" i="69"/>
  <c r="J201" i="69"/>
  <c r="A203" i="69"/>
  <c r="A196" i="69"/>
  <c r="AG202" i="69"/>
  <c r="D137" i="63"/>
  <c r="C423" i="65" s="1"/>
  <c r="D194" i="69"/>
  <c r="J137" i="63"/>
  <c r="L137" i="63" s="1"/>
  <c r="J194" i="69"/>
  <c r="H137" i="63"/>
  <c r="H194" i="69"/>
  <c r="I137" i="63"/>
  <c r="I194" i="69"/>
  <c r="A139" i="63"/>
  <c r="C57" i="59"/>
  <c r="F57" i="59"/>
  <c r="A136" i="63"/>
  <c r="I381" i="76" l="1"/>
  <c r="I20" i="77" s="1"/>
  <c r="I196" i="76"/>
  <c r="I203" i="76"/>
  <c r="D381" i="76"/>
  <c r="D20" i="77" s="1"/>
  <c r="D196" i="76"/>
  <c r="D203" i="76"/>
  <c r="AG194" i="76"/>
  <c r="L194" i="76"/>
  <c r="R202" i="76"/>
  <c r="S202" i="76" s="1"/>
  <c r="H381" i="76"/>
  <c r="H20" i="77" s="1"/>
  <c r="H196" i="76"/>
  <c r="H203" i="76"/>
  <c r="N203" i="76"/>
  <c r="N196" i="76"/>
  <c r="AG201" i="76"/>
  <c r="L201" i="76"/>
  <c r="R201" i="76" s="1"/>
  <c r="S201" i="76" s="1"/>
  <c r="P381" i="76"/>
  <c r="P196" i="76"/>
  <c r="P203" i="76"/>
  <c r="J381" i="76"/>
  <c r="J20" i="77" s="1"/>
  <c r="L20" i="77" s="1"/>
  <c r="J196" i="76"/>
  <c r="J203" i="76"/>
  <c r="O381" i="76"/>
  <c r="Q381" i="76" s="1"/>
  <c r="O203" i="76"/>
  <c r="Q203" i="76" s="1"/>
  <c r="O196" i="76"/>
  <c r="Q196" i="76" s="1"/>
  <c r="L380" i="76"/>
  <c r="R380" i="76" s="1"/>
  <c r="S380" i="76" s="1"/>
  <c r="AG380" i="76"/>
  <c r="S193" i="76"/>
  <c r="D136" i="75"/>
  <c r="D141" i="75"/>
  <c r="P136" i="75"/>
  <c r="P141" i="75"/>
  <c r="H136" i="75"/>
  <c r="H141" i="75"/>
  <c r="N136" i="75"/>
  <c r="N141" i="75"/>
  <c r="AG134" i="75"/>
  <c r="L134" i="75"/>
  <c r="R135" i="75"/>
  <c r="S135" i="75" s="1"/>
  <c r="J141" i="75"/>
  <c r="J136" i="75"/>
  <c r="O136" i="75"/>
  <c r="Q136" i="75" s="1"/>
  <c r="O141" i="75"/>
  <c r="Q141" i="75" s="1"/>
  <c r="AG139" i="75"/>
  <c r="L139" i="75"/>
  <c r="W139" i="75" s="1"/>
  <c r="I136" i="75"/>
  <c r="I141" i="75"/>
  <c r="R140" i="75"/>
  <c r="S140" i="75" s="1"/>
  <c r="S1375" i="72"/>
  <c r="T1375" i="72" s="1"/>
  <c r="S1434" i="72"/>
  <c r="T1434" i="72" s="1"/>
  <c r="D1375" i="72"/>
  <c r="D1434" i="72"/>
  <c r="P203" i="69"/>
  <c r="P1411" i="72"/>
  <c r="AJ1411" i="72"/>
  <c r="H1375" i="72"/>
  <c r="H1434" i="72"/>
  <c r="N1375" i="72"/>
  <c r="N1434" i="72"/>
  <c r="R1375" i="72"/>
  <c r="R1434" i="72"/>
  <c r="Q1375" i="72"/>
  <c r="Q1434" i="72"/>
  <c r="P1352" i="72"/>
  <c r="AJ1352" i="72"/>
  <c r="M1375" i="72"/>
  <c r="M1434" i="72"/>
  <c r="P196" i="69"/>
  <c r="P203" i="71"/>
  <c r="R203" i="71" s="1"/>
  <c r="P196" i="71"/>
  <c r="R196" i="71" s="1"/>
  <c r="H196" i="71"/>
  <c r="H203" i="71"/>
  <c r="N196" i="71"/>
  <c r="N203" i="71"/>
  <c r="AF194" i="71"/>
  <c r="L194" i="71"/>
  <c r="J203" i="71"/>
  <c r="J196" i="71"/>
  <c r="O203" i="71"/>
  <c r="Q203" i="71" s="1"/>
  <c r="O196" i="71"/>
  <c r="Q196" i="71" s="1"/>
  <c r="AF201" i="71"/>
  <c r="L201" i="71"/>
  <c r="S201" i="71" s="1"/>
  <c r="I203" i="71"/>
  <c r="I196" i="71"/>
  <c r="D203" i="71"/>
  <c r="D196" i="71"/>
  <c r="O196" i="69"/>
  <c r="N196" i="69"/>
  <c r="O203" i="69"/>
  <c r="N203" i="69"/>
  <c r="H196" i="69"/>
  <c r="H203" i="69"/>
  <c r="D196" i="69"/>
  <c r="D203" i="69"/>
  <c r="I196" i="69"/>
  <c r="I203" i="69"/>
  <c r="J196" i="69"/>
  <c r="AG196" i="69" s="1"/>
  <c r="J203" i="69"/>
  <c r="AG194" i="69"/>
  <c r="I138" i="63"/>
  <c r="I139" i="63"/>
  <c r="J138" i="63"/>
  <c r="L138" i="63" s="1"/>
  <c r="J139" i="63"/>
  <c r="L139" i="63" s="1"/>
  <c r="H138" i="63"/>
  <c r="H139" i="63"/>
  <c r="D138" i="63"/>
  <c r="C427" i="65" s="1"/>
  <c r="D139" i="63"/>
  <c r="C430" i="65" s="1"/>
  <c r="I136" i="63"/>
  <c r="H136" i="63"/>
  <c r="AG203" i="76" l="1"/>
  <c r="L203" i="76"/>
  <c r="R203" i="76" s="1"/>
  <c r="S203" i="76" s="1"/>
  <c r="AG196" i="76"/>
  <c r="L196" i="76"/>
  <c r="R196" i="76" s="1"/>
  <c r="S196" i="76" s="1"/>
  <c r="L381" i="76"/>
  <c r="R381" i="76" s="1"/>
  <c r="S381" i="76" s="1"/>
  <c r="AG381" i="76"/>
  <c r="R194" i="76"/>
  <c r="S194" i="76" s="1"/>
  <c r="R139" i="75"/>
  <c r="S139" i="75" s="1"/>
  <c r="AG136" i="75"/>
  <c r="L136" i="75"/>
  <c r="R134" i="75"/>
  <c r="S134" i="75" s="1"/>
  <c r="W134" i="75"/>
  <c r="AG141" i="75"/>
  <c r="L141" i="75"/>
  <c r="W141" i="75" s="1"/>
  <c r="AJ1434" i="72"/>
  <c r="P1434" i="72"/>
  <c r="P1375" i="72"/>
  <c r="AJ1375" i="72"/>
  <c r="L196" i="71"/>
  <c r="S196" i="71" s="1"/>
  <c r="AF196" i="71"/>
  <c r="AF203" i="71"/>
  <c r="L203" i="71"/>
  <c r="S203" i="71" s="1"/>
  <c r="S194" i="71"/>
  <c r="AG203" i="69"/>
  <c r="AG201" i="69"/>
  <c r="J136" i="63"/>
  <c r="L136" i="63" s="1"/>
  <c r="D136" i="63"/>
  <c r="C419" i="65" s="1"/>
  <c r="R136" i="75" l="1"/>
  <c r="S136" i="75" s="1"/>
  <c r="W136" i="75"/>
  <c r="R141" i="75"/>
  <c r="S141" i="75" s="1"/>
  <c r="B58" i="59"/>
  <c r="A150" i="63"/>
  <c r="A93" i="75" l="1"/>
  <c r="A98" i="75"/>
  <c r="A982" i="72"/>
  <c r="A938" i="72"/>
  <c r="K58" i="59"/>
  <c r="A144" i="71"/>
  <c r="A137" i="71"/>
  <c r="I58" i="59"/>
  <c r="J58" i="59"/>
  <c r="G58" i="59"/>
  <c r="H58" i="59"/>
  <c r="A144" i="69"/>
  <c r="F58" i="59"/>
  <c r="C58" i="59"/>
  <c r="A137" i="69"/>
  <c r="D150" i="63"/>
  <c r="C460" i="65" s="1"/>
  <c r="J150" i="63"/>
  <c r="L150" i="63" s="1"/>
  <c r="H150" i="63"/>
  <c r="I150" i="63"/>
  <c r="I382" i="76" l="1"/>
  <c r="I31" i="77" s="1"/>
  <c r="I144" i="76"/>
  <c r="I137" i="76"/>
  <c r="N144" i="76"/>
  <c r="N137" i="76"/>
  <c r="H137" i="76"/>
  <c r="H382" i="76"/>
  <c r="H31" i="77" s="1"/>
  <c r="H144" i="76"/>
  <c r="D382" i="76"/>
  <c r="D31" i="77" s="1"/>
  <c r="D144" i="76"/>
  <c r="D137" i="76"/>
  <c r="J382" i="76"/>
  <c r="J31" i="77" s="1"/>
  <c r="L31" i="77" s="1"/>
  <c r="J137" i="76"/>
  <c r="J144" i="76"/>
  <c r="O382" i="76"/>
  <c r="Q382" i="76" s="1"/>
  <c r="O137" i="76"/>
  <c r="Q137" i="76" s="1"/>
  <c r="O144" i="76"/>
  <c r="Q144" i="76" s="1"/>
  <c r="P382" i="76"/>
  <c r="P144" i="76"/>
  <c r="P137" i="76"/>
  <c r="D93" i="75"/>
  <c r="D98" i="75"/>
  <c r="J93" i="75"/>
  <c r="J98" i="75"/>
  <c r="I98" i="75"/>
  <c r="I93" i="75"/>
  <c r="P144" i="71"/>
  <c r="R144" i="71" s="1"/>
  <c r="P93" i="75"/>
  <c r="P98" i="75"/>
  <c r="O98" i="75"/>
  <c r="Q98" i="75" s="1"/>
  <c r="O93" i="75"/>
  <c r="Q93" i="75" s="1"/>
  <c r="N93" i="75"/>
  <c r="N98" i="75"/>
  <c r="H98" i="75"/>
  <c r="H93" i="75"/>
  <c r="P137" i="69"/>
  <c r="P144" i="69"/>
  <c r="P137" i="71"/>
  <c r="R137" i="71" s="1"/>
  <c r="N982" i="72"/>
  <c r="N938" i="72"/>
  <c r="H938" i="72"/>
  <c r="H982" i="72"/>
  <c r="M938" i="72"/>
  <c r="M982" i="72"/>
  <c r="R938" i="72"/>
  <c r="R982" i="72"/>
  <c r="D938" i="72"/>
  <c r="D982" i="72"/>
  <c r="Q982" i="72"/>
  <c r="Q938" i="72"/>
  <c r="S938" i="72"/>
  <c r="T938" i="72" s="1"/>
  <c r="S982" i="72"/>
  <c r="T982" i="72" s="1"/>
  <c r="I137" i="71"/>
  <c r="I144" i="71"/>
  <c r="O137" i="71"/>
  <c r="Q137" i="71" s="1"/>
  <c r="O144" i="71"/>
  <c r="Q144" i="71" s="1"/>
  <c r="N137" i="71"/>
  <c r="N144" i="71"/>
  <c r="H144" i="71"/>
  <c r="H137" i="71"/>
  <c r="D144" i="71"/>
  <c r="D137" i="71"/>
  <c r="J144" i="71"/>
  <c r="J137" i="71"/>
  <c r="N137" i="69"/>
  <c r="O137" i="69"/>
  <c r="Q137" i="69" s="1"/>
  <c r="O144" i="69"/>
  <c r="Q144" i="69" s="1"/>
  <c r="N144" i="69"/>
  <c r="A183" i="63"/>
  <c r="D183" i="63" s="1"/>
  <c r="C542" i="65" s="1"/>
  <c r="AG382" i="76" l="1"/>
  <c r="L382" i="76"/>
  <c r="AG144" i="76"/>
  <c r="L144" i="76"/>
  <c r="R144" i="76" s="1"/>
  <c r="S144" i="76" s="1"/>
  <c r="AG137" i="76"/>
  <c r="L137" i="76"/>
  <c r="AG98" i="75"/>
  <c r="L98" i="75"/>
  <c r="AG93" i="75"/>
  <c r="L93" i="75"/>
  <c r="AJ938" i="72"/>
  <c r="P938" i="72"/>
  <c r="AJ982" i="72"/>
  <c r="P982" i="72"/>
  <c r="AF137" i="71"/>
  <c r="L137" i="71"/>
  <c r="AF144" i="71"/>
  <c r="L144" i="71"/>
  <c r="S144" i="71" s="1"/>
  <c r="H183" i="63"/>
  <c r="I183" i="63"/>
  <c r="J183" i="63"/>
  <c r="L183" i="63" s="1"/>
  <c r="R137" i="76" l="1"/>
  <c r="S137" i="76" s="1"/>
  <c r="S148" i="76" s="1"/>
  <c r="M148" i="76"/>
  <c r="R382" i="76"/>
  <c r="S382" i="76" s="1"/>
  <c r="R93" i="75"/>
  <c r="S93" i="75" s="1"/>
  <c r="W93" i="75"/>
  <c r="R98" i="75"/>
  <c r="S98" i="75" s="1"/>
  <c r="W98" i="75"/>
  <c r="S137" i="71"/>
  <c r="B59" i="59"/>
  <c r="R148" i="76" l="1"/>
  <c r="N148" i="76" s="1"/>
  <c r="U148" i="76"/>
  <c r="A115" i="75"/>
  <c r="A109" i="75"/>
  <c r="A1171" i="72"/>
  <c r="A1098" i="72"/>
  <c r="K59" i="59"/>
  <c r="A158" i="71"/>
  <c r="A165" i="71"/>
  <c r="J59" i="59"/>
  <c r="I59" i="59"/>
  <c r="G59" i="59"/>
  <c r="H59" i="59"/>
  <c r="A108" i="63"/>
  <c r="A165" i="69"/>
  <c r="A158" i="69"/>
  <c r="F59" i="59"/>
  <c r="C59" i="59"/>
  <c r="D383" i="76" l="1"/>
  <c r="D43" i="77" s="1"/>
  <c r="D158" i="76"/>
  <c r="D165" i="76"/>
  <c r="N165" i="76"/>
  <c r="N158" i="76"/>
  <c r="P383" i="76"/>
  <c r="P158" i="76"/>
  <c r="P165" i="76"/>
  <c r="O383" i="76"/>
  <c r="Q383" i="76" s="1"/>
  <c r="O158" i="76"/>
  <c r="Q158" i="76" s="1"/>
  <c r="O165" i="76"/>
  <c r="Q165" i="76" s="1"/>
  <c r="H383" i="76"/>
  <c r="H43" i="77" s="1"/>
  <c r="H158" i="76"/>
  <c r="H165" i="76"/>
  <c r="I383" i="76"/>
  <c r="I43" i="77" s="1"/>
  <c r="I158" i="76"/>
  <c r="I165" i="76"/>
  <c r="J383" i="76"/>
  <c r="J43" i="77" s="1"/>
  <c r="L43" i="77" s="1"/>
  <c r="J165" i="76"/>
  <c r="J158" i="76"/>
  <c r="I109" i="75"/>
  <c r="I115" i="75"/>
  <c r="J115" i="75"/>
  <c r="J109" i="75"/>
  <c r="N115" i="75"/>
  <c r="N109" i="75"/>
  <c r="P165" i="71"/>
  <c r="R165" i="71" s="1"/>
  <c r="P109" i="75"/>
  <c r="P115" i="75"/>
  <c r="O115" i="75"/>
  <c r="Q115" i="75" s="1"/>
  <c r="O109" i="75"/>
  <c r="Q109" i="75" s="1"/>
  <c r="D109" i="75"/>
  <c r="D115" i="75"/>
  <c r="H115" i="75"/>
  <c r="H109" i="75"/>
  <c r="P165" i="69"/>
  <c r="P158" i="69"/>
  <c r="P158" i="71"/>
  <c r="R158" i="71" s="1"/>
  <c r="Q1171" i="72"/>
  <c r="Q1098" i="72"/>
  <c r="M1098" i="72"/>
  <c r="M1171" i="72"/>
  <c r="N1171" i="72"/>
  <c r="N1098" i="72"/>
  <c r="D1171" i="72"/>
  <c r="D1098" i="72"/>
  <c r="R1098" i="72"/>
  <c r="R1171" i="72"/>
  <c r="H1171" i="72"/>
  <c r="H1098" i="72"/>
  <c r="S1171" i="72"/>
  <c r="T1171" i="72" s="1"/>
  <c r="S1098" i="72"/>
  <c r="T1098" i="72" s="1"/>
  <c r="H158" i="71"/>
  <c r="H165" i="71"/>
  <c r="I165" i="71"/>
  <c r="I158" i="71"/>
  <c r="J165" i="71"/>
  <c r="J158" i="71"/>
  <c r="N158" i="71"/>
  <c r="N165" i="71"/>
  <c r="D165" i="71"/>
  <c r="D158" i="71"/>
  <c r="O165" i="71"/>
  <c r="Q165" i="71" s="1"/>
  <c r="O158" i="71"/>
  <c r="Q158" i="71" s="1"/>
  <c r="O158" i="69"/>
  <c r="Q158" i="69" s="1"/>
  <c r="N158" i="69"/>
  <c r="N165" i="69"/>
  <c r="O165" i="69"/>
  <c r="Q165" i="69" s="1"/>
  <c r="D158" i="69"/>
  <c r="D165" i="69"/>
  <c r="J158" i="69"/>
  <c r="L158" i="69" s="1"/>
  <c r="J165" i="69"/>
  <c r="I158" i="69"/>
  <c r="I165" i="69"/>
  <c r="H158" i="69"/>
  <c r="H165" i="69"/>
  <c r="AG165" i="76" l="1"/>
  <c r="L165" i="76"/>
  <c r="AG158" i="76"/>
  <c r="L158" i="76"/>
  <c r="R158" i="76" s="1"/>
  <c r="S158" i="76" s="1"/>
  <c r="L383" i="76"/>
  <c r="R383" i="76" s="1"/>
  <c r="S383" i="76" s="1"/>
  <c r="AG383" i="76"/>
  <c r="AG109" i="75"/>
  <c r="L109" i="75"/>
  <c r="AG115" i="75"/>
  <c r="L115" i="75"/>
  <c r="W115" i="75" s="1"/>
  <c r="R158" i="69"/>
  <c r="S158" i="69" s="1"/>
  <c r="AJ1098" i="72"/>
  <c r="P1098" i="72"/>
  <c r="P1171" i="72"/>
  <c r="AJ1171" i="72"/>
  <c r="AF158" i="71"/>
  <c r="L158" i="71"/>
  <c r="S158" i="71" s="1"/>
  <c r="AF165" i="71"/>
  <c r="L165" i="71"/>
  <c r="S165" i="71" s="1"/>
  <c r="AG158" i="69"/>
  <c r="L165" i="69"/>
  <c r="AG165" i="69"/>
  <c r="R165" i="76" l="1"/>
  <c r="S165" i="76" s="1"/>
  <c r="R109" i="75"/>
  <c r="S109" i="75" s="1"/>
  <c r="W109" i="75"/>
  <c r="R115" i="75"/>
  <c r="S115" i="75" s="1"/>
  <c r="R165" i="69"/>
  <c r="S165" i="69" s="1"/>
  <c r="B60" i="59"/>
  <c r="A108" i="75" l="1"/>
  <c r="A114" i="75"/>
  <c r="A1159" i="72"/>
  <c r="A1086" i="72"/>
  <c r="K60" i="59"/>
  <c r="A164" i="71"/>
  <c r="A157" i="71"/>
  <c r="I60" i="59"/>
  <c r="J60" i="59"/>
  <c r="H60" i="59"/>
  <c r="G60" i="59"/>
  <c r="A164" i="69"/>
  <c r="A157" i="69"/>
  <c r="C60" i="59"/>
  <c r="F60" i="59"/>
  <c r="D384" i="76" l="1"/>
  <c r="D79" i="77" s="1"/>
  <c r="D157" i="76"/>
  <c r="D164" i="76"/>
  <c r="N157" i="76"/>
  <c r="N164" i="76"/>
  <c r="J384" i="76"/>
  <c r="J79" i="77" s="1"/>
  <c r="L79" i="77" s="1"/>
  <c r="J157" i="76"/>
  <c r="J164" i="76"/>
  <c r="H384" i="76"/>
  <c r="H79" i="77" s="1"/>
  <c r="H157" i="76"/>
  <c r="H164" i="76"/>
  <c r="I384" i="76"/>
  <c r="I79" i="77" s="1"/>
  <c r="I157" i="76"/>
  <c r="I164" i="76"/>
  <c r="O384" i="76"/>
  <c r="Q384" i="76" s="1"/>
  <c r="O157" i="76"/>
  <c r="Q157" i="76" s="1"/>
  <c r="O164" i="76"/>
  <c r="Q164" i="76" s="1"/>
  <c r="P384" i="76"/>
  <c r="P157" i="76"/>
  <c r="P164" i="76"/>
  <c r="D114" i="75"/>
  <c r="D108" i="75"/>
  <c r="H114" i="75"/>
  <c r="H108" i="75"/>
  <c r="P108" i="75"/>
  <c r="P114" i="75"/>
  <c r="O114" i="75"/>
  <c r="Q114" i="75" s="1"/>
  <c r="O108" i="75"/>
  <c r="Q108" i="75" s="1"/>
  <c r="N114" i="75"/>
  <c r="N108" i="75"/>
  <c r="I114" i="75"/>
  <c r="I108" i="75"/>
  <c r="J108" i="75"/>
  <c r="J114" i="75"/>
  <c r="P164" i="71"/>
  <c r="R164" i="71" s="1"/>
  <c r="P164" i="69"/>
  <c r="P157" i="71"/>
  <c r="R157" i="71" s="1"/>
  <c r="P157" i="69"/>
  <c r="D1159" i="72"/>
  <c r="D1086" i="72"/>
  <c r="H1086" i="72"/>
  <c r="H1159" i="72"/>
  <c r="R1086" i="72"/>
  <c r="R1159" i="72"/>
  <c r="Q1086" i="72"/>
  <c r="Q1159" i="72"/>
  <c r="M1159" i="72"/>
  <c r="M1086" i="72"/>
  <c r="N1159" i="72"/>
  <c r="N1086" i="72"/>
  <c r="S1159" i="72"/>
  <c r="T1159" i="72" s="1"/>
  <c r="S1086" i="72"/>
  <c r="T1086" i="72" s="1"/>
  <c r="O164" i="71"/>
  <c r="Q164" i="71" s="1"/>
  <c r="O157" i="71"/>
  <c r="Q157" i="71" s="1"/>
  <c r="N164" i="71"/>
  <c r="N157" i="71"/>
  <c r="I164" i="71"/>
  <c r="I157" i="71"/>
  <c r="J164" i="71"/>
  <c r="J157" i="71"/>
  <c r="D164" i="71"/>
  <c r="D157" i="71"/>
  <c r="H164" i="71"/>
  <c r="H157" i="71"/>
  <c r="N157" i="69"/>
  <c r="O157" i="69"/>
  <c r="Q157" i="69" s="1"/>
  <c r="N164" i="69"/>
  <c r="O164" i="69"/>
  <c r="Q164" i="69" s="1"/>
  <c r="D157" i="69"/>
  <c r="D164" i="69"/>
  <c r="I157" i="69"/>
  <c r="I164" i="69"/>
  <c r="H157" i="69"/>
  <c r="H164" i="69"/>
  <c r="J157" i="69"/>
  <c r="L157" i="69" s="1"/>
  <c r="J164" i="69"/>
  <c r="AG164" i="76" l="1"/>
  <c r="L164" i="76"/>
  <c r="R164" i="76" s="1"/>
  <c r="S164" i="76" s="1"/>
  <c r="AG157" i="76"/>
  <c r="L157" i="76"/>
  <c r="R157" i="76" s="1"/>
  <c r="S157" i="76" s="1"/>
  <c r="AG384" i="76"/>
  <c r="L384" i="76"/>
  <c r="R384" i="76" s="1"/>
  <c r="S384" i="76" s="1"/>
  <c r="AG114" i="75"/>
  <c r="L114" i="75"/>
  <c r="W114" i="75" s="1"/>
  <c r="AG108" i="75"/>
  <c r="L108" i="75"/>
  <c r="R157" i="69"/>
  <c r="S157" i="69" s="1"/>
  <c r="AJ1086" i="72"/>
  <c r="P1086" i="72"/>
  <c r="AJ1159" i="72"/>
  <c r="P1159" i="72"/>
  <c r="AF157" i="71"/>
  <c r="L157" i="71"/>
  <c r="S157" i="71" s="1"/>
  <c r="AF164" i="71"/>
  <c r="L164" i="71"/>
  <c r="S164" i="71" s="1"/>
  <c r="AG157" i="69"/>
  <c r="L164" i="69"/>
  <c r="AG164" i="69"/>
  <c r="A105" i="63"/>
  <c r="R108" i="75" l="1"/>
  <c r="S108" i="75" s="1"/>
  <c r="W108" i="75"/>
  <c r="R114" i="75"/>
  <c r="S114" i="75" s="1"/>
  <c r="R164" i="69"/>
  <c r="S164" i="69" s="1"/>
  <c r="J105" i="63"/>
  <c r="L105" i="63" s="1"/>
  <c r="D105" i="63"/>
  <c r="C307" i="65" s="1"/>
  <c r="I105" i="63"/>
  <c r="H105" i="63"/>
  <c r="A106" i="63" l="1"/>
  <c r="D106" i="63" l="1"/>
  <c r="C321" i="65" s="1"/>
  <c r="H106" i="63"/>
  <c r="J106" i="63"/>
  <c r="L106" i="63" s="1"/>
  <c r="I106" i="63"/>
  <c r="B61" i="59" l="1"/>
  <c r="A1065" i="72" l="1"/>
  <c r="A106" i="75"/>
  <c r="K61" i="59"/>
  <c r="A155" i="71"/>
  <c r="J61" i="59"/>
  <c r="I61" i="59"/>
  <c r="A155" i="69"/>
  <c r="G61" i="59"/>
  <c r="H61" i="59"/>
  <c r="F61" i="59"/>
  <c r="C61" i="59"/>
  <c r="I106" i="75" l="1"/>
  <c r="I385" i="76"/>
  <c r="I62" i="77" s="1"/>
  <c r="I155" i="76"/>
  <c r="J106" i="75"/>
  <c r="J385" i="76"/>
  <c r="J62" i="77" s="1"/>
  <c r="L62" i="77" s="1"/>
  <c r="J155" i="76"/>
  <c r="D106" i="75"/>
  <c r="D385" i="76"/>
  <c r="D62" i="77" s="1"/>
  <c r="D155" i="76"/>
  <c r="P106" i="75"/>
  <c r="P385" i="76"/>
  <c r="P155" i="76"/>
  <c r="N106" i="75"/>
  <c r="N155" i="76"/>
  <c r="H106" i="75"/>
  <c r="H385" i="76"/>
  <c r="H62" i="77" s="1"/>
  <c r="H155" i="76"/>
  <c r="O106" i="75"/>
  <c r="Q106" i="75" s="1"/>
  <c r="O385" i="76"/>
  <c r="Q385" i="76" s="1"/>
  <c r="O155" i="76"/>
  <c r="Q155" i="76" s="1"/>
  <c r="AG106" i="75"/>
  <c r="L106" i="75"/>
  <c r="W106" i="75" s="1"/>
  <c r="P155" i="69"/>
  <c r="H155" i="71"/>
  <c r="H1065" i="72"/>
  <c r="I155" i="71"/>
  <c r="M1065" i="72"/>
  <c r="N155" i="71"/>
  <c r="Q1065" i="72"/>
  <c r="O155" i="71"/>
  <c r="Q155" i="71" s="1"/>
  <c r="R1065" i="72"/>
  <c r="J155" i="71"/>
  <c r="L155" i="71" s="1"/>
  <c r="N1065" i="72"/>
  <c r="D155" i="71"/>
  <c r="D1065" i="72"/>
  <c r="P155" i="71"/>
  <c r="R155" i="71" s="1"/>
  <c r="S1065" i="72"/>
  <c r="T1065" i="72" s="1"/>
  <c r="N155" i="69"/>
  <c r="O155" i="69"/>
  <c r="Q155" i="69" s="1"/>
  <c r="D155" i="69"/>
  <c r="I155" i="69"/>
  <c r="H155" i="69"/>
  <c r="J155" i="69"/>
  <c r="L155" i="69" s="1"/>
  <c r="L155" i="76" l="1"/>
  <c r="AG155" i="76"/>
  <c r="AG385" i="76"/>
  <c r="L385" i="76"/>
  <c r="R385" i="76" s="1"/>
  <c r="S385" i="76" s="1"/>
  <c r="R106" i="75"/>
  <c r="S106" i="75" s="1"/>
  <c r="R155" i="69"/>
  <c r="S155" i="69" s="1"/>
  <c r="S155" i="71"/>
  <c r="AF155" i="71"/>
  <c r="AJ1065" i="72"/>
  <c r="P1065" i="72"/>
  <c r="AG155" i="69"/>
  <c r="B62" i="59"/>
  <c r="R155" i="76" l="1"/>
  <c r="S155" i="76" s="1"/>
  <c r="A112" i="75"/>
  <c r="A103" i="75"/>
  <c r="A1029" i="72"/>
  <c r="A1135" i="72"/>
  <c r="K62" i="59"/>
  <c r="A162" i="71"/>
  <c r="A152" i="71"/>
  <c r="I62" i="59"/>
  <c r="J62" i="59"/>
  <c r="G62" i="59"/>
  <c r="H62" i="59"/>
  <c r="A152" i="69"/>
  <c r="A162" i="69"/>
  <c r="A104" i="63"/>
  <c r="B63" i="59"/>
  <c r="F62" i="59"/>
  <c r="C62" i="59"/>
  <c r="D386" i="76" s="1"/>
  <c r="D16" i="77" s="1"/>
  <c r="I386" i="76" l="1"/>
  <c r="I16" i="77" s="1"/>
  <c r="I152" i="76"/>
  <c r="I162" i="76"/>
  <c r="N162" i="76"/>
  <c r="N152" i="76"/>
  <c r="H386" i="76"/>
  <c r="H16" i="77" s="1"/>
  <c r="H162" i="76"/>
  <c r="H152" i="76"/>
  <c r="J386" i="76"/>
  <c r="J16" i="77" s="1"/>
  <c r="L16" i="77" s="1"/>
  <c r="J162" i="76"/>
  <c r="J152" i="76"/>
  <c r="O386" i="76"/>
  <c r="Q386" i="76" s="1"/>
  <c r="O152" i="76"/>
  <c r="Q152" i="76" s="1"/>
  <c r="O162" i="76"/>
  <c r="Q162" i="76" s="1"/>
  <c r="P386" i="76"/>
  <c r="P162" i="76"/>
  <c r="P152" i="76"/>
  <c r="A1041" i="72"/>
  <c r="A104" i="75"/>
  <c r="J103" i="75"/>
  <c r="J112" i="75"/>
  <c r="O103" i="75"/>
  <c r="Q103" i="75" s="1"/>
  <c r="O112" i="75"/>
  <c r="Q112" i="75" s="1"/>
  <c r="P103" i="75"/>
  <c r="P112" i="75"/>
  <c r="N112" i="75"/>
  <c r="N103" i="75"/>
  <c r="I103" i="75"/>
  <c r="I112" i="75"/>
  <c r="H112" i="75"/>
  <c r="H103" i="75"/>
  <c r="P162" i="71"/>
  <c r="R162" i="71" s="1"/>
  <c r="P162" i="69"/>
  <c r="P152" i="69"/>
  <c r="H1029" i="72"/>
  <c r="H1135" i="72"/>
  <c r="N1029" i="72"/>
  <c r="N1135" i="72"/>
  <c r="R1135" i="72"/>
  <c r="R1029" i="72"/>
  <c r="M1135" i="72"/>
  <c r="M1029" i="72"/>
  <c r="Q1029" i="72"/>
  <c r="Q1135" i="72"/>
  <c r="P152" i="71"/>
  <c r="R152" i="71" s="1"/>
  <c r="S1135" i="72"/>
  <c r="T1135" i="72" s="1"/>
  <c r="S1029" i="72"/>
  <c r="T1029" i="72" s="1"/>
  <c r="K63" i="59"/>
  <c r="A153" i="71"/>
  <c r="O162" i="71"/>
  <c r="Q162" i="71" s="1"/>
  <c r="O152" i="71"/>
  <c r="Q152" i="71" s="1"/>
  <c r="I162" i="71"/>
  <c r="I152" i="71"/>
  <c r="N162" i="71"/>
  <c r="N152" i="71"/>
  <c r="H152" i="71"/>
  <c r="H162" i="71"/>
  <c r="J162" i="71"/>
  <c r="J152" i="71"/>
  <c r="N152" i="69"/>
  <c r="O152" i="69"/>
  <c r="Q152" i="69" s="1"/>
  <c r="J63" i="59"/>
  <c r="I63" i="59"/>
  <c r="N153" i="76" s="1"/>
  <c r="O162" i="69"/>
  <c r="Q162" i="69" s="1"/>
  <c r="N162" i="69"/>
  <c r="A153" i="69"/>
  <c r="G63" i="59"/>
  <c r="H63" i="59"/>
  <c r="J152" i="69"/>
  <c r="AG152" i="69" s="1"/>
  <c r="J162" i="69"/>
  <c r="I152" i="69"/>
  <c r="I162" i="69"/>
  <c r="H152" i="69"/>
  <c r="H162" i="69"/>
  <c r="F63" i="59"/>
  <c r="C63" i="59"/>
  <c r="D387" i="76" s="1"/>
  <c r="D56" i="77" s="1"/>
  <c r="B64" i="59"/>
  <c r="H387" i="76" l="1"/>
  <c r="H56" i="77" s="1"/>
  <c r="H153" i="76"/>
  <c r="P387" i="76"/>
  <c r="P153" i="76"/>
  <c r="J387" i="76"/>
  <c r="J56" i="77" s="1"/>
  <c r="L56" i="77" s="1"/>
  <c r="J153" i="76"/>
  <c r="AG152" i="76"/>
  <c r="L152" i="76"/>
  <c r="O387" i="76"/>
  <c r="Q387" i="76" s="1"/>
  <c r="O153" i="76"/>
  <c r="Q153" i="76" s="1"/>
  <c r="AG162" i="76"/>
  <c r="L162" i="76"/>
  <c r="R162" i="76" s="1"/>
  <c r="S162" i="76" s="1"/>
  <c r="I387" i="76"/>
  <c r="I56" i="77" s="1"/>
  <c r="I153" i="76"/>
  <c r="AG386" i="76"/>
  <c r="L386" i="76"/>
  <c r="R386" i="76" s="1"/>
  <c r="S386" i="76" s="1"/>
  <c r="A113" i="75"/>
  <c r="A105" i="75"/>
  <c r="Q1041" i="72"/>
  <c r="N104" i="75"/>
  <c r="M1041" i="72"/>
  <c r="I104" i="75"/>
  <c r="R1041" i="72"/>
  <c r="O104" i="75"/>
  <c r="Q104" i="75" s="1"/>
  <c r="N1041" i="72"/>
  <c r="AJ1041" i="72" s="1"/>
  <c r="J104" i="75"/>
  <c r="AG112" i="75"/>
  <c r="L112" i="75"/>
  <c r="W112" i="75" s="1"/>
  <c r="H1041" i="72"/>
  <c r="H104" i="75"/>
  <c r="S1041" i="72"/>
  <c r="T1041" i="72" s="1"/>
  <c r="P104" i="75"/>
  <c r="AG103" i="75"/>
  <c r="L103" i="75"/>
  <c r="A1147" i="72"/>
  <c r="A1053" i="72"/>
  <c r="P153" i="69"/>
  <c r="AJ1135" i="72"/>
  <c r="P1135" i="72"/>
  <c r="AJ1029" i="72"/>
  <c r="P1029" i="72"/>
  <c r="J153" i="71"/>
  <c r="AF153" i="71" s="1"/>
  <c r="N153" i="71"/>
  <c r="K64" i="59"/>
  <c r="A163" i="71"/>
  <c r="A154" i="71"/>
  <c r="I153" i="71"/>
  <c r="O153" i="71"/>
  <c r="Q153" i="71" s="1"/>
  <c r="H153" i="71"/>
  <c r="P153" i="71"/>
  <c r="R153" i="71" s="1"/>
  <c r="AF152" i="71"/>
  <c r="L152" i="71"/>
  <c r="AF162" i="71"/>
  <c r="L162" i="71"/>
  <c r="S162" i="71" s="1"/>
  <c r="O153" i="69"/>
  <c r="Q153" i="69" s="1"/>
  <c r="N153" i="69"/>
  <c r="I64" i="59"/>
  <c r="J64" i="59"/>
  <c r="I153" i="69"/>
  <c r="J153" i="69"/>
  <c r="AG153" i="69" s="1"/>
  <c r="H153" i="69"/>
  <c r="H64" i="59"/>
  <c r="G64" i="59"/>
  <c r="A163" i="69"/>
  <c r="A154" i="69"/>
  <c r="L152" i="69"/>
  <c r="L162" i="69"/>
  <c r="R162" i="69" s="1"/>
  <c r="AG162" i="69"/>
  <c r="F64" i="59"/>
  <c r="C64" i="59"/>
  <c r="D388" i="76" l="1"/>
  <c r="D49" i="77" s="1"/>
  <c r="D163" i="76"/>
  <c r="D154" i="76"/>
  <c r="H388" i="76"/>
  <c r="H49" i="77" s="1"/>
  <c r="H154" i="76"/>
  <c r="H163" i="76"/>
  <c r="O388" i="76"/>
  <c r="Q388" i="76" s="1"/>
  <c r="O154" i="76"/>
  <c r="Q154" i="76" s="1"/>
  <c r="O163" i="76"/>
  <c r="Q163" i="76" s="1"/>
  <c r="I388" i="76"/>
  <c r="I49" i="77" s="1"/>
  <c r="I154" i="76"/>
  <c r="I163" i="76"/>
  <c r="AG153" i="76"/>
  <c r="L153" i="76"/>
  <c r="P388" i="76"/>
  <c r="P163" i="76"/>
  <c r="P154" i="76"/>
  <c r="L387" i="76"/>
  <c r="R387" i="76" s="1"/>
  <c r="S387" i="76" s="1"/>
  <c r="AG387" i="76"/>
  <c r="N163" i="76"/>
  <c r="N154" i="76"/>
  <c r="J388" i="76"/>
  <c r="J49" i="77" s="1"/>
  <c r="L49" i="77" s="1"/>
  <c r="J163" i="76"/>
  <c r="J154" i="76"/>
  <c r="R152" i="76"/>
  <c r="H113" i="75"/>
  <c r="H105" i="75"/>
  <c r="O105" i="75"/>
  <c r="Q105" i="75" s="1"/>
  <c r="O113" i="75"/>
  <c r="Q113" i="75" s="1"/>
  <c r="R112" i="75"/>
  <c r="S112" i="75" s="1"/>
  <c r="I113" i="75"/>
  <c r="I105" i="75"/>
  <c r="N113" i="75"/>
  <c r="N105" i="75"/>
  <c r="P1041" i="72"/>
  <c r="J105" i="75"/>
  <c r="J113" i="75"/>
  <c r="D113" i="75"/>
  <c r="D105" i="75"/>
  <c r="P105" i="75"/>
  <c r="P113" i="75"/>
  <c r="R103" i="75"/>
  <c r="S103" i="75" s="1"/>
  <c r="W103" i="75"/>
  <c r="AG104" i="75"/>
  <c r="L104" i="75"/>
  <c r="W104" i="75" s="1"/>
  <c r="S162" i="69"/>
  <c r="R152" i="69"/>
  <c r="S152" i="69" s="1"/>
  <c r="Q1053" i="72"/>
  <c r="Q1147" i="72"/>
  <c r="P163" i="71"/>
  <c r="R163" i="71" s="1"/>
  <c r="S1147" i="72"/>
  <c r="T1147" i="72" s="1"/>
  <c r="S1053" i="72"/>
  <c r="T1053" i="72" s="1"/>
  <c r="M1147" i="72"/>
  <c r="M1053" i="72"/>
  <c r="N1147" i="72"/>
  <c r="N1053" i="72"/>
  <c r="D1053" i="72"/>
  <c r="D1147" i="72"/>
  <c r="H1053" i="72"/>
  <c r="H1147" i="72"/>
  <c r="R1147" i="72"/>
  <c r="R1053" i="72"/>
  <c r="L153" i="71"/>
  <c r="S153" i="71" s="1"/>
  <c r="P163" i="69"/>
  <c r="P154" i="71"/>
  <c r="R154" i="71" s="1"/>
  <c r="P154" i="69"/>
  <c r="H154" i="71"/>
  <c r="H163" i="71"/>
  <c r="O163" i="71"/>
  <c r="Q163" i="71" s="1"/>
  <c r="O154" i="71"/>
  <c r="Q154" i="71" s="1"/>
  <c r="D163" i="71"/>
  <c r="D154" i="71"/>
  <c r="N163" i="71"/>
  <c r="N154" i="71"/>
  <c r="I163" i="71"/>
  <c r="I154" i="71"/>
  <c r="S152" i="71"/>
  <c r="J163" i="71"/>
  <c r="J154" i="71"/>
  <c r="N154" i="69"/>
  <c r="O154" i="69"/>
  <c r="Q154" i="69" s="1"/>
  <c r="N163" i="69"/>
  <c r="O163" i="69"/>
  <c r="Q163" i="69" s="1"/>
  <c r="L153" i="69"/>
  <c r="R153" i="69" s="1"/>
  <c r="H154" i="69"/>
  <c r="H163" i="69"/>
  <c r="J154" i="69"/>
  <c r="AG154" i="69" s="1"/>
  <c r="J163" i="69"/>
  <c r="D154" i="69"/>
  <c r="D163" i="69"/>
  <c r="I154" i="69"/>
  <c r="I163" i="69"/>
  <c r="AG163" i="76" l="1"/>
  <c r="L163" i="76"/>
  <c r="AG154" i="76"/>
  <c r="L154" i="76"/>
  <c r="AG388" i="76"/>
  <c r="L388" i="76"/>
  <c r="R388" i="76" s="1"/>
  <c r="S388" i="76" s="1"/>
  <c r="R153" i="76"/>
  <c r="S153" i="76" s="1"/>
  <c r="S152" i="76"/>
  <c r="AG105" i="75"/>
  <c r="L105" i="75"/>
  <c r="W105" i="75" s="1"/>
  <c r="AG113" i="75"/>
  <c r="L113" i="75"/>
  <c r="W113" i="75" s="1"/>
  <c r="R104" i="75"/>
  <c r="S104" i="75" s="1"/>
  <c r="S153" i="69"/>
  <c r="AJ1147" i="72"/>
  <c r="P1147" i="72"/>
  <c r="AJ1053" i="72"/>
  <c r="P1053" i="72"/>
  <c r="AF154" i="71"/>
  <c r="L154" i="71"/>
  <c r="AF163" i="71"/>
  <c r="L163" i="71"/>
  <c r="S163" i="71" s="1"/>
  <c r="L154" i="69"/>
  <c r="L163" i="69"/>
  <c r="AG163" i="69"/>
  <c r="R154" i="76" l="1"/>
  <c r="R163" i="76"/>
  <c r="S163" i="76" s="1"/>
  <c r="R105" i="75"/>
  <c r="S105" i="75" s="1"/>
  <c r="R113" i="75"/>
  <c r="S113" i="75" s="1"/>
  <c r="R154" i="69"/>
  <c r="S154" i="69" s="1"/>
  <c r="R163" i="69"/>
  <c r="S163" i="69" s="1"/>
  <c r="S154" i="71"/>
  <c r="B65" i="59"/>
  <c r="S154" i="76" l="1"/>
  <c r="A1110" i="72"/>
  <c r="A110" i="75"/>
  <c r="K65" i="59"/>
  <c r="P389" i="76" s="1"/>
  <c r="A159" i="71"/>
  <c r="J65" i="59"/>
  <c r="O389" i="76" s="1"/>
  <c r="Q389" i="76" s="1"/>
  <c r="I65" i="59"/>
  <c r="A159" i="69"/>
  <c r="G65" i="59"/>
  <c r="J389" i="76" s="1"/>
  <c r="H65" i="59"/>
  <c r="H389" i="76" s="1"/>
  <c r="H67" i="77" s="1"/>
  <c r="A107" i="63"/>
  <c r="C65" i="59"/>
  <c r="D389" i="76" s="1"/>
  <c r="D67" i="77" s="1"/>
  <c r="F65" i="59"/>
  <c r="I389" i="76" s="1"/>
  <c r="I67" i="77" s="1"/>
  <c r="J67" i="77" l="1"/>
  <c r="L67" i="77" s="1"/>
  <c r="AG389" i="76"/>
  <c r="L389" i="76"/>
  <c r="R389" i="76" s="1"/>
  <c r="S389" i="76" s="1"/>
  <c r="H110" i="75"/>
  <c r="H159" i="76"/>
  <c r="I110" i="75"/>
  <c r="I159" i="76"/>
  <c r="N110" i="75"/>
  <c r="N159" i="76"/>
  <c r="O110" i="75"/>
  <c r="Q110" i="75" s="1"/>
  <c r="O159" i="76"/>
  <c r="Q159" i="76" s="1"/>
  <c r="J110" i="75"/>
  <c r="J159" i="76"/>
  <c r="P110" i="75"/>
  <c r="P159" i="76"/>
  <c r="AG110" i="75"/>
  <c r="L110" i="75"/>
  <c r="P159" i="69"/>
  <c r="N159" i="71"/>
  <c r="Q1110" i="72"/>
  <c r="H159" i="71"/>
  <c r="H1110" i="72"/>
  <c r="O159" i="71"/>
  <c r="Q159" i="71" s="1"/>
  <c r="R1110" i="72"/>
  <c r="I159" i="71"/>
  <c r="M1110" i="72"/>
  <c r="J159" i="71"/>
  <c r="AF159" i="71" s="1"/>
  <c r="N1110" i="72"/>
  <c r="P159" i="71"/>
  <c r="R159" i="71" s="1"/>
  <c r="S1110" i="72"/>
  <c r="T1110" i="72" s="1"/>
  <c r="O159" i="69"/>
  <c r="Q159" i="69" s="1"/>
  <c r="N159" i="69"/>
  <c r="I159" i="69"/>
  <c r="J159" i="69"/>
  <c r="AG159" i="69" s="1"/>
  <c r="H159" i="69"/>
  <c r="AG159" i="76" l="1"/>
  <c r="L159" i="76"/>
  <c r="R110" i="75"/>
  <c r="S110" i="75" s="1"/>
  <c r="W110" i="75"/>
  <c r="L159" i="71"/>
  <c r="S159" i="71" s="1"/>
  <c r="P1110" i="72"/>
  <c r="AJ1110" i="72"/>
  <c r="L159" i="69"/>
  <c r="I108" i="63"/>
  <c r="I107" i="63"/>
  <c r="H108" i="63"/>
  <c r="H107" i="63"/>
  <c r="J108" i="63"/>
  <c r="L108" i="63" s="1"/>
  <c r="J107" i="63"/>
  <c r="L107" i="63" s="1"/>
  <c r="D108" i="63"/>
  <c r="C338" i="65" s="1"/>
  <c r="D107" i="63"/>
  <c r="C334" i="65" s="1"/>
  <c r="R159" i="76" l="1"/>
  <c r="S159" i="76" s="1"/>
  <c r="R159" i="69"/>
  <c r="S159" i="69" s="1"/>
  <c r="B964" i="58"/>
  <c r="B983" i="58" s="1"/>
  <c r="B66" i="59"/>
  <c r="A1294" i="72" l="1"/>
  <c r="A127" i="75"/>
  <c r="K66" i="59"/>
  <c r="A183" i="71"/>
  <c r="I66" i="59"/>
  <c r="J66" i="59"/>
  <c r="H66" i="59"/>
  <c r="G66" i="59"/>
  <c r="A159" i="63"/>
  <c r="A183" i="69"/>
  <c r="F66" i="59"/>
  <c r="C66" i="59"/>
  <c r="B67" i="59"/>
  <c r="H127" i="75" l="1"/>
  <c r="H390" i="76"/>
  <c r="H30" i="77" s="1"/>
  <c r="H183" i="76"/>
  <c r="P127" i="75"/>
  <c r="P390" i="76"/>
  <c r="P183" i="76"/>
  <c r="I127" i="75"/>
  <c r="I390" i="76"/>
  <c r="I30" i="77" s="1"/>
  <c r="I183" i="76"/>
  <c r="O127" i="75"/>
  <c r="Q127" i="75" s="1"/>
  <c r="O390" i="76"/>
  <c r="Q390" i="76" s="1"/>
  <c r="O183" i="76"/>
  <c r="Q183" i="76" s="1"/>
  <c r="D127" i="75"/>
  <c r="D390" i="76"/>
  <c r="D30" i="77" s="1"/>
  <c r="D183" i="76"/>
  <c r="N127" i="75"/>
  <c r="N183" i="76"/>
  <c r="J127" i="75"/>
  <c r="Z127" i="75" s="1"/>
  <c r="J390" i="76"/>
  <c r="J30" i="77" s="1"/>
  <c r="L30" i="77" s="1"/>
  <c r="J183" i="76"/>
  <c r="A1304" i="72"/>
  <c r="A128" i="75"/>
  <c r="AG127" i="75"/>
  <c r="P183" i="69"/>
  <c r="O183" i="71"/>
  <c r="Q183" i="71" s="1"/>
  <c r="R1294" i="72"/>
  <c r="N183" i="71"/>
  <c r="Q1294" i="72"/>
  <c r="D183" i="71"/>
  <c r="D1294" i="72"/>
  <c r="J183" i="71"/>
  <c r="AF183" i="71" s="1"/>
  <c r="N1294" i="72"/>
  <c r="I183" i="71"/>
  <c r="M1294" i="72"/>
  <c r="H183" i="71"/>
  <c r="H1294" i="72"/>
  <c r="P183" i="71"/>
  <c r="R183" i="71" s="1"/>
  <c r="S1294" i="72"/>
  <c r="T1294" i="72" s="1"/>
  <c r="K67" i="59"/>
  <c r="A184" i="71"/>
  <c r="O183" i="69"/>
  <c r="Q183" i="69" s="1"/>
  <c r="J67" i="59"/>
  <c r="I67" i="59"/>
  <c r="N183" i="69"/>
  <c r="A184" i="69"/>
  <c r="G67" i="59"/>
  <c r="H67" i="59"/>
  <c r="D159" i="63"/>
  <c r="C478" i="65" s="1"/>
  <c r="D183" i="69"/>
  <c r="H159" i="63"/>
  <c r="H183" i="69"/>
  <c r="I159" i="63"/>
  <c r="I183" i="69"/>
  <c r="J159" i="63"/>
  <c r="L159" i="63" s="1"/>
  <c r="J183" i="69"/>
  <c r="C67" i="59"/>
  <c r="F67" i="59"/>
  <c r="J128" i="75" l="1"/>
  <c r="J391" i="76"/>
  <c r="J85" i="77" s="1"/>
  <c r="L85" i="77" s="1"/>
  <c r="J184" i="76"/>
  <c r="O128" i="75"/>
  <c r="Q128" i="75" s="1"/>
  <c r="O391" i="76"/>
  <c r="Q391" i="76" s="1"/>
  <c r="O184" i="76"/>
  <c r="Q184" i="76" s="1"/>
  <c r="L127" i="75"/>
  <c r="W127" i="75" s="1"/>
  <c r="AG183" i="76"/>
  <c r="Z183" i="76"/>
  <c r="L183" i="76"/>
  <c r="AG390" i="76"/>
  <c r="L390" i="76"/>
  <c r="R390" i="76" s="1"/>
  <c r="S390" i="76" s="1"/>
  <c r="D128" i="75"/>
  <c r="D391" i="76"/>
  <c r="D85" i="77" s="1"/>
  <c r="D184" i="76"/>
  <c r="I391" i="76"/>
  <c r="I85" i="77" s="1"/>
  <c r="I184" i="76"/>
  <c r="H128" i="75"/>
  <c r="H391" i="76"/>
  <c r="H85" i="77" s="1"/>
  <c r="H184" i="76"/>
  <c r="N128" i="75"/>
  <c r="N184" i="76"/>
  <c r="P128" i="75"/>
  <c r="P391" i="76"/>
  <c r="P184" i="76"/>
  <c r="AG128" i="75"/>
  <c r="L128" i="75"/>
  <c r="M1304" i="72"/>
  <c r="I128" i="75"/>
  <c r="L183" i="71"/>
  <c r="Y183" i="71"/>
  <c r="D184" i="71"/>
  <c r="D1304" i="72"/>
  <c r="P184" i="71"/>
  <c r="R184" i="71" s="1"/>
  <c r="S1304" i="72"/>
  <c r="T1304" i="72" s="1"/>
  <c r="H184" i="71"/>
  <c r="H1304" i="72"/>
  <c r="N184" i="71"/>
  <c r="Q1304" i="72"/>
  <c r="P1294" i="72"/>
  <c r="AJ1294" i="72"/>
  <c r="AC1294" i="72"/>
  <c r="J184" i="71"/>
  <c r="AF184" i="71" s="1"/>
  <c r="N1304" i="72"/>
  <c r="O184" i="71"/>
  <c r="Q184" i="71" s="1"/>
  <c r="R1304" i="72"/>
  <c r="P184" i="69"/>
  <c r="I184" i="69"/>
  <c r="I184" i="71"/>
  <c r="S183" i="71"/>
  <c r="N184" i="69"/>
  <c r="O184" i="69"/>
  <c r="Q184" i="69" s="1"/>
  <c r="H184" i="69"/>
  <c r="J184" i="69"/>
  <c r="L184" i="69" s="1"/>
  <c r="D184" i="69"/>
  <c r="L183" i="69"/>
  <c r="AG183" i="69"/>
  <c r="Z183" i="69"/>
  <c r="AG184" i="76" l="1"/>
  <c r="L184" i="76"/>
  <c r="R184" i="76" s="1"/>
  <c r="S184" i="76" s="1"/>
  <c r="R127" i="75"/>
  <c r="S127" i="75" s="1"/>
  <c r="R183" i="76"/>
  <c r="L391" i="76"/>
  <c r="R391" i="76" s="1"/>
  <c r="S391" i="76" s="1"/>
  <c r="AG391" i="76"/>
  <c r="R128" i="75"/>
  <c r="S128" i="75" s="1"/>
  <c r="W128" i="75"/>
  <c r="R184" i="69"/>
  <c r="S184" i="69" s="1"/>
  <c r="R183" i="69"/>
  <c r="S183" i="69" s="1"/>
  <c r="L184" i="71"/>
  <c r="S184" i="71" s="1"/>
  <c r="AJ1304" i="72"/>
  <c r="P1304" i="72"/>
  <c r="AG184" i="69"/>
  <c r="S183" i="76" l="1"/>
  <c r="B68" i="59"/>
  <c r="A1314" i="72" l="1"/>
  <c r="A129" i="75"/>
  <c r="K68" i="59"/>
  <c r="A185" i="71"/>
  <c r="I68" i="59"/>
  <c r="J68" i="59"/>
  <c r="G68" i="59"/>
  <c r="H68" i="59"/>
  <c r="A147" i="63"/>
  <c r="J147" i="63" s="1"/>
  <c r="L147" i="63" s="1"/>
  <c r="A146" i="63"/>
  <c r="A185" i="69"/>
  <c r="I147" i="63"/>
  <c r="B1021" i="58"/>
  <c r="B1041" i="58" s="1"/>
  <c r="B1063" i="58" s="1"/>
  <c r="B1081" i="58" s="1"/>
  <c r="F68" i="59"/>
  <c r="C68" i="59"/>
  <c r="H129" i="75" l="1"/>
  <c r="H392" i="76"/>
  <c r="H48" i="77" s="1"/>
  <c r="H185" i="76"/>
  <c r="J129" i="75"/>
  <c r="J392" i="76"/>
  <c r="J48" i="77" s="1"/>
  <c r="L48" i="77" s="1"/>
  <c r="J185" i="76"/>
  <c r="P129" i="75"/>
  <c r="P392" i="76"/>
  <c r="P185" i="76"/>
  <c r="I129" i="75"/>
  <c r="I392" i="76"/>
  <c r="I48" i="77" s="1"/>
  <c r="I185" i="76"/>
  <c r="O129" i="75"/>
  <c r="Q129" i="75" s="1"/>
  <c r="O392" i="76"/>
  <c r="Q392" i="76" s="1"/>
  <c r="O185" i="76"/>
  <c r="Q185" i="76" s="1"/>
  <c r="D129" i="75"/>
  <c r="D392" i="76"/>
  <c r="D48" i="77" s="1"/>
  <c r="D185" i="76"/>
  <c r="N129" i="75"/>
  <c r="N185" i="76"/>
  <c r="D147" i="63"/>
  <c r="C451" i="65" s="1"/>
  <c r="AG129" i="75"/>
  <c r="L129" i="75"/>
  <c r="H147" i="63"/>
  <c r="P185" i="69"/>
  <c r="N185" i="71"/>
  <c r="Q1314" i="72"/>
  <c r="H185" i="71"/>
  <c r="H1314" i="72"/>
  <c r="O185" i="71"/>
  <c r="Q185" i="71" s="1"/>
  <c r="R1314" i="72"/>
  <c r="I185" i="71"/>
  <c r="M1314" i="72"/>
  <c r="D185" i="71"/>
  <c r="D1314" i="72"/>
  <c r="J185" i="71"/>
  <c r="AF185" i="71" s="1"/>
  <c r="N1314" i="72"/>
  <c r="P185" i="71"/>
  <c r="R185" i="71" s="1"/>
  <c r="S1314" i="72"/>
  <c r="T1314" i="72" s="1"/>
  <c r="O185" i="69"/>
  <c r="Q185" i="69" s="1"/>
  <c r="N185" i="69"/>
  <c r="A148" i="63"/>
  <c r="H148" i="63"/>
  <c r="B69" i="59"/>
  <c r="H146" i="63"/>
  <c r="H185" i="69"/>
  <c r="J146" i="63"/>
  <c r="L146" i="63" s="1"/>
  <c r="J185" i="69"/>
  <c r="D146" i="63"/>
  <c r="C447" i="65" s="1"/>
  <c r="D185" i="69"/>
  <c r="I146" i="63"/>
  <c r="I185" i="69"/>
  <c r="I148" i="63"/>
  <c r="D148" i="63"/>
  <c r="C452" i="65" s="1"/>
  <c r="B70" i="59"/>
  <c r="K70" i="59" s="1"/>
  <c r="AG185" i="76" l="1"/>
  <c r="L185" i="76"/>
  <c r="M187" i="76" s="1"/>
  <c r="AG392" i="76"/>
  <c r="L392" i="76"/>
  <c r="R392" i="76" s="1"/>
  <c r="S392" i="76" s="1"/>
  <c r="A159" i="75"/>
  <c r="A175" i="75"/>
  <c r="R129" i="75"/>
  <c r="S129" i="75" s="1"/>
  <c r="W129" i="75"/>
  <c r="A1759" i="72"/>
  <c r="A1612" i="72"/>
  <c r="L185" i="71"/>
  <c r="S185" i="71" s="1"/>
  <c r="AJ1314" i="72"/>
  <c r="P1314" i="72"/>
  <c r="W1333" i="72" s="1"/>
  <c r="K69" i="59"/>
  <c r="A234" i="71"/>
  <c r="A259" i="71"/>
  <c r="J148" i="63"/>
  <c r="L148" i="63" s="1"/>
  <c r="I70" i="59"/>
  <c r="J70" i="59"/>
  <c r="J69" i="59"/>
  <c r="I69" i="59"/>
  <c r="A171" i="63"/>
  <c r="G69" i="59"/>
  <c r="H69" i="59"/>
  <c r="A172" i="63"/>
  <c r="G70" i="59"/>
  <c r="H70" i="59"/>
  <c r="C69" i="59"/>
  <c r="A259" i="69"/>
  <c r="F69" i="59"/>
  <c r="A234" i="69"/>
  <c r="L185" i="69"/>
  <c r="AG185" i="69"/>
  <c r="C70" i="59"/>
  <c r="F70" i="59"/>
  <c r="D393" i="76" l="1"/>
  <c r="D41" i="77" s="1"/>
  <c r="D259" i="76"/>
  <c r="D234" i="76"/>
  <c r="J393" i="76"/>
  <c r="J259" i="76"/>
  <c r="J234" i="76"/>
  <c r="H393" i="76"/>
  <c r="H41" i="77" s="1"/>
  <c r="H259" i="76"/>
  <c r="H234" i="76"/>
  <c r="P393" i="76"/>
  <c r="P259" i="76"/>
  <c r="P234" i="76"/>
  <c r="R185" i="76"/>
  <c r="R187" i="76" s="1"/>
  <c r="U187" i="76"/>
  <c r="O393" i="76"/>
  <c r="Q393" i="76" s="1"/>
  <c r="O234" i="76"/>
  <c r="Q234" i="76" s="1"/>
  <c r="O259" i="76"/>
  <c r="Q259" i="76" s="1"/>
  <c r="I393" i="76"/>
  <c r="I41" i="77" s="1"/>
  <c r="I234" i="76"/>
  <c r="I259" i="76"/>
  <c r="N259" i="76"/>
  <c r="N234" i="76"/>
  <c r="I159" i="75"/>
  <c r="I175" i="75"/>
  <c r="P159" i="75"/>
  <c r="P175" i="75"/>
  <c r="N175" i="75"/>
  <c r="N159" i="75"/>
  <c r="D175" i="75"/>
  <c r="D159" i="75"/>
  <c r="H175" i="75"/>
  <c r="H159" i="75"/>
  <c r="O159" i="75"/>
  <c r="Q159" i="75" s="1"/>
  <c r="O175" i="75"/>
  <c r="Q175" i="75" s="1"/>
  <c r="J159" i="75"/>
  <c r="J175" i="75"/>
  <c r="R185" i="69"/>
  <c r="S185" i="69" s="1"/>
  <c r="Q1612" i="72"/>
  <c r="Q1759" i="72"/>
  <c r="M1612" i="72"/>
  <c r="M1759" i="72"/>
  <c r="P234" i="71"/>
  <c r="R234" i="71" s="1"/>
  <c r="S1759" i="72"/>
  <c r="T1759" i="72" s="1"/>
  <c r="S1612" i="72"/>
  <c r="T1612" i="72" s="1"/>
  <c r="D1612" i="72"/>
  <c r="D1759" i="72"/>
  <c r="H1612" i="72"/>
  <c r="H1759" i="72"/>
  <c r="R1612" i="72"/>
  <c r="R1759" i="72"/>
  <c r="P259" i="69"/>
  <c r="P234" i="69"/>
  <c r="N1612" i="72"/>
  <c r="N1759" i="72"/>
  <c r="P259" i="71"/>
  <c r="R259" i="71" s="1"/>
  <c r="I259" i="71"/>
  <c r="I234" i="71"/>
  <c r="N259" i="71"/>
  <c r="N234" i="71"/>
  <c r="D259" i="71"/>
  <c r="D234" i="71"/>
  <c r="H234" i="71"/>
  <c r="H259" i="71"/>
  <c r="O234" i="71"/>
  <c r="Q234" i="71" s="1"/>
  <c r="O259" i="71"/>
  <c r="Q259" i="71" s="1"/>
  <c r="J259" i="71"/>
  <c r="J234" i="71"/>
  <c r="O259" i="69"/>
  <c r="Q259" i="69" s="1"/>
  <c r="N259" i="69"/>
  <c r="O234" i="69"/>
  <c r="Q234" i="69" s="1"/>
  <c r="N234" i="69"/>
  <c r="H234" i="69"/>
  <c r="H259" i="69"/>
  <c r="D234" i="69"/>
  <c r="D259" i="69"/>
  <c r="I259" i="69"/>
  <c r="J234" i="69"/>
  <c r="L234" i="69" s="1"/>
  <c r="I234" i="69"/>
  <c r="J259" i="69"/>
  <c r="L259" i="69" s="1"/>
  <c r="I171" i="63"/>
  <c r="I172" i="63"/>
  <c r="D171" i="63"/>
  <c r="C530" i="65" s="1"/>
  <c r="D172" i="63"/>
  <c r="C531" i="65" s="1"/>
  <c r="H171" i="63"/>
  <c r="H172" i="63"/>
  <c r="J171" i="63"/>
  <c r="L171" i="63" s="1"/>
  <c r="J172" i="63"/>
  <c r="L172" i="63" s="1"/>
  <c r="B71" i="59"/>
  <c r="L393" i="76" l="1"/>
  <c r="J41" i="77"/>
  <c r="L41" i="77" s="1"/>
  <c r="S185" i="76"/>
  <c r="S187" i="76" s="1"/>
  <c r="AG393" i="76"/>
  <c r="R393" i="76"/>
  <c r="S393" i="76" s="1"/>
  <c r="L234" i="76"/>
  <c r="AG234" i="76"/>
  <c r="N187" i="76"/>
  <c r="AG259" i="76"/>
  <c r="L259" i="76"/>
  <c r="A160" i="75"/>
  <c r="A176" i="75"/>
  <c r="AG175" i="75"/>
  <c r="L175" i="75"/>
  <c r="L159" i="75"/>
  <c r="AG159" i="75"/>
  <c r="R234" i="69"/>
  <c r="R259" i="69"/>
  <c r="S259" i="69" s="1"/>
  <c r="A1770" i="72"/>
  <c r="A1623" i="72"/>
  <c r="S234" i="69"/>
  <c r="AJ1612" i="72"/>
  <c r="P1612" i="72"/>
  <c r="AJ1759" i="72"/>
  <c r="P1759" i="72"/>
  <c r="K71" i="59"/>
  <c r="A260" i="71"/>
  <c r="A235" i="71"/>
  <c r="L234" i="71"/>
  <c r="S234" i="71" s="1"/>
  <c r="AF234" i="71"/>
  <c r="AF259" i="71"/>
  <c r="L259" i="71"/>
  <c r="S259" i="71" s="1"/>
  <c r="J71" i="59"/>
  <c r="I71" i="59"/>
  <c r="G71" i="59"/>
  <c r="H71" i="59"/>
  <c r="AG234" i="69"/>
  <c r="AG259" i="69"/>
  <c r="A260" i="69"/>
  <c r="A235" i="69"/>
  <c r="A173" i="63"/>
  <c r="F71" i="59"/>
  <c r="C71" i="59"/>
  <c r="I394" i="76" l="1"/>
  <c r="I68" i="77" s="1"/>
  <c r="I260" i="76"/>
  <c r="I235" i="76"/>
  <c r="N235" i="76"/>
  <c r="N260" i="76"/>
  <c r="P394" i="76"/>
  <c r="P260" i="76"/>
  <c r="P235" i="76"/>
  <c r="R259" i="76"/>
  <c r="S259" i="76" s="1"/>
  <c r="O394" i="76"/>
  <c r="Q394" i="76" s="1"/>
  <c r="O235" i="76"/>
  <c r="Q235" i="76" s="1"/>
  <c r="O260" i="76"/>
  <c r="Q260" i="76" s="1"/>
  <c r="H394" i="76"/>
  <c r="H68" i="77" s="1"/>
  <c r="H260" i="76"/>
  <c r="H235" i="76"/>
  <c r="D394" i="76"/>
  <c r="D68" i="77" s="1"/>
  <c r="D260" i="76"/>
  <c r="D235" i="76"/>
  <c r="J394" i="76"/>
  <c r="J68" i="77" s="1"/>
  <c r="L68" i="77" s="1"/>
  <c r="J235" i="76"/>
  <c r="J260" i="76"/>
  <c r="R234" i="76"/>
  <c r="S234" i="76" s="1"/>
  <c r="I160" i="75"/>
  <c r="I176" i="75"/>
  <c r="H176" i="75"/>
  <c r="H160" i="75"/>
  <c r="D160" i="75"/>
  <c r="D176" i="75"/>
  <c r="J160" i="75"/>
  <c r="J176" i="75"/>
  <c r="R159" i="75"/>
  <c r="S159" i="75" s="1"/>
  <c r="W159" i="75"/>
  <c r="N176" i="75"/>
  <c r="N160" i="75"/>
  <c r="P176" i="75"/>
  <c r="P160" i="75"/>
  <c r="R175" i="75"/>
  <c r="S175" i="75" s="1"/>
  <c r="W175" i="75"/>
  <c r="O176" i="75"/>
  <c r="Q176" i="75" s="1"/>
  <c r="O160" i="75"/>
  <c r="Q160" i="75" s="1"/>
  <c r="P260" i="69"/>
  <c r="P235" i="69"/>
  <c r="M1623" i="72"/>
  <c r="M1770" i="72"/>
  <c r="R1770" i="72"/>
  <c r="R1623" i="72"/>
  <c r="H1623" i="72"/>
  <c r="H1770" i="72"/>
  <c r="P235" i="71"/>
  <c r="R235" i="71" s="1"/>
  <c r="D1770" i="72"/>
  <c r="D1623" i="72"/>
  <c r="N1623" i="72"/>
  <c r="N1770" i="72"/>
  <c r="P260" i="71"/>
  <c r="R260" i="71" s="1"/>
  <c r="Q1623" i="72"/>
  <c r="Q1770" i="72"/>
  <c r="S1770" i="72"/>
  <c r="T1770" i="72" s="1"/>
  <c r="S1623" i="72"/>
  <c r="T1623" i="72" s="1"/>
  <c r="D235" i="71"/>
  <c r="D260" i="71"/>
  <c r="N235" i="71"/>
  <c r="N260" i="71"/>
  <c r="I235" i="71"/>
  <c r="I260" i="71"/>
  <c r="O235" i="71"/>
  <c r="Q235" i="71" s="1"/>
  <c r="O260" i="71"/>
  <c r="Q260" i="71" s="1"/>
  <c r="H235" i="71"/>
  <c r="H260" i="71"/>
  <c r="J235" i="71"/>
  <c r="J260" i="71"/>
  <c r="N260" i="69"/>
  <c r="O260" i="69"/>
  <c r="Q260" i="69" s="1"/>
  <c r="O235" i="69"/>
  <c r="Q235" i="69" s="1"/>
  <c r="N235" i="69"/>
  <c r="I235" i="69"/>
  <c r="J235" i="69"/>
  <c r="L235" i="69" s="1"/>
  <c r="D235" i="69"/>
  <c r="H235" i="69"/>
  <c r="I260" i="69"/>
  <c r="H260" i="69"/>
  <c r="D260" i="69"/>
  <c r="J260" i="69"/>
  <c r="L260" i="69" s="1"/>
  <c r="D173" i="63"/>
  <c r="C532" i="65" s="1"/>
  <c r="J173" i="63"/>
  <c r="L173" i="63" s="1"/>
  <c r="H173" i="63"/>
  <c r="I173" i="63"/>
  <c r="L235" i="76" l="1"/>
  <c r="R235" i="76" s="1"/>
  <c r="S235" i="76" s="1"/>
  <c r="AG235" i="76"/>
  <c r="L394" i="76"/>
  <c r="R394" i="76" s="1"/>
  <c r="S394" i="76" s="1"/>
  <c r="AG394" i="76"/>
  <c r="AG260" i="76"/>
  <c r="L260" i="76"/>
  <c r="R260" i="76" s="1"/>
  <c r="S260" i="76" s="1"/>
  <c r="AG176" i="75"/>
  <c r="L176" i="75"/>
  <c r="W176" i="75" s="1"/>
  <c r="AG160" i="75"/>
  <c r="L160" i="75"/>
  <c r="R260" i="69"/>
  <c r="S260" i="69" s="1"/>
  <c r="R235" i="69"/>
  <c r="S235" i="69" s="1"/>
  <c r="AJ1770" i="72"/>
  <c r="P1770" i="72"/>
  <c r="AJ1623" i="72"/>
  <c r="P1623" i="72"/>
  <c r="AF260" i="71"/>
  <c r="L260" i="71"/>
  <c r="S260" i="71" s="1"/>
  <c r="AF235" i="71"/>
  <c r="L235" i="71"/>
  <c r="S235" i="71" s="1"/>
  <c r="AG235" i="69"/>
  <c r="AG260" i="69"/>
  <c r="R160" i="75" l="1"/>
  <c r="S160" i="75" s="1"/>
  <c r="W160" i="75"/>
  <c r="R176" i="75"/>
  <c r="S176" i="75" s="1"/>
  <c r="B72" i="59"/>
  <c r="A161" i="75" l="1"/>
  <c r="A177" i="75"/>
  <c r="A180" i="75" s="1"/>
  <c r="A1783" i="72"/>
  <c r="A1804" i="72" s="1"/>
  <c r="A1636" i="72"/>
  <c r="K72" i="59"/>
  <c r="A261" i="71"/>
  <c r="A264" i="71" s="1"/>
  <c r="A236" i="71"/>
  <c r="I72" i="59"/>
  <c r="J72" i="59"/>
  <c r="H72" i="59"/>
  <c r="G72" i="59"/>
  <c r="A261" i="69"/>
  <c r="A236" i="69"/>
  <c r="A178" i="63"/>
  <c r="F72" i="59"/>
  <c r="C72" i="59"/>
  <c r="I395" i="76" l="1"/>
  <c r="I89" i="77" s="1"/>
  <c r="I261" i="76"/>
  <c r="I236" i="76"/>
  <c r="I264" i="76"/>
  <c r="J395" i="76"/>
  <c r="J89" i="77" s="1"/>
  <c r="L89" i="77" s="1"/>
  <c r="J236" i="76"/>
  <c r="J261" i="76"/>
  <c r="J264" i="76"/>
  <c r="N261" i="76"/>
  <c r="N236" i="76"/>
  <c r="N264" i="76"/>
  <c r="H395" i="76"/>
  <c r="H89" i="77" s="1"/>
  <c r="H261" i="76"/>
  <c r="H236" i="76"/>
  <c r="H264" i="76"/>
  <c r="D395" i="76"/>
  <c r="D89" i="77" s="1"/>
  <c r="D236" i="76"/>
  <c r="D261" i="76"/>
  <c r="O395" i="76"/>
  <c r="Q395" i="76" s="1"/>
  <c r="O236" i="76"/>
  <c r="Q236" i="76" s="1"/>
  <c r="O261" i="76"/>
  <c r="Q261" i="76" s="1"/>
  <c r="O264" i="76"/>
  <c r="Q264" i="76" s="1"/>
  <c r="P395" i="76"/>
  <c r="P261" i="76"/>
  <c r="P236" i="76"/>
  <c r="P264" i="76"/>
  <c r="I177" i="75"/>
  <c r="I161" i="75"/>
  <c r="I180" i="75"/>
  <c r="H177" i="75"/>
  <c r="H161" i="75"/>
  <c r="H180" i="75"/>
  <c r="O161" i="75"/>
  <c r="Q161" i="75" s="1"/>
  <c r="O177" i="75"/>
  <c r="Q177" i="75" s="1"/>
  <c r="O180" i="75"/>
  <c r="Q180" i="75" s="1"/>
  <c r="P161" i="75"/>
  <c r="P177" i="75"/>
  <c r="P180" i="75"/>
  <c r="D161" i="75"/>
  <c r="D177" i="75"/>
  <c r="N161" i="75"/>
  <c r="N177" i="75"/>
  <c r="N180" i="75"/>
  <c r="J161" i="75"/>
  <c r="J177" i="75"/>
  <c r="J180" i="75"/>
  <c r="P261" i="71"/>
  <c r="R261" i="71" s="1"/>
  <c r="P236" i="69"/>
  <c r="P261" i="69"/>
  <c r="P236" i="71"/>
  <c r="R236" i="71" s="1"/>
  <c r="D1783" i="72"/>
  <c r="D1636" i="72"/>
  <c r="M1636" i="72"/>
  <c r="M1783" i="72"/>
  <c r="M1804" i="72"/>
  <c r="N1783" i="72"/>
  <c r="N1636" i="72"/>
  <c r="N1804" i="72"/>
  <c r="H1783" i="72"/>
  <c r="H1636" i="72"/>
  <c r="H1804" i="72"/>
  <c r="R1636" i="72"/>
  <c r="R1783" i="72"/>
  <c r="R1804" i="72"/>
  <c r="Q1783" i="72"/>
  <c r="Q1636" i="72"/>
  <c r="Q1804" i="72"/>
  <c r="P264" i="71"/>
  <c r="R264" i="71" s="1"/>
  <c r="S1636" i="72"/>
  <c r="T1636" i="72" s="1"/>
  <c r="S1783" i="72"/>
  <c r="S1804" i="72"/>
  <c r="T1804" i="72" s="1"/>
  <c r="I236" i="71"/>
  <c r="I264" i="71"/>
  <c r="I261" i="71"/>
  <c r="J236" i="71"/>
  <c r="J264" i="71"/>
  <c r="J261" i="71"/>
  <c r="D236" i="71"/>
  <c r="D261" i="71"/>
  <c r="H264" i="71"/>
  <c r="H236" i="71"/>
  <c r="H261" i="71"/>
  <c r="N236" i="71"/>
  <c r="N264" i="71"/>
  <c r="N261" i="71"/>
  <c r="O236" i="71"/>
  <c r="Q236" i="71" s="1"/>
  <c r="O264" i="71"/>
  <c r="Q264" i="71" s="1"/>
  <c r="O261" i="71"/>
  <c r="Q261" i="71" s="1"/>
  <c r="O236" i="69"/>
  <c r="Q236" i="69" s="1"/>
  <c r="N236" i="69"/>
  <c r="N261" i="69"/>
  <c r="O261" i="69"/>
  <c r="Q261" i="69" s="1"/>
  <c r="I236" i="69"/>
  <c r="D236" i="69"/>
  <c r="J236" i="69"/>
  <c r="L236" i="69" s="1"/>
  <c r="H236" i="69"/>
  <c r="J261" i="69"/>
  <c r="L261" i="69" s="1"/>
  <c r="D261" i="69"/>
  <c r="I261" i="69"/>
  <c r="A264" i="69"/>
  <c r="P264" i="69" s="1"/>
  <c r="H261" i="69"/>
  <c r="I178" i="63"/>
  <c r="H178" i="63"/>
  <c r="J178" i="63"/>
  <c r="L178" i="63" s="1"/>
  <c r="D178" i="63"/>
  <c r="C537" i="65" s="1"/>
  <c r="AG261" i="76" l="1"/>
  <c r="L261" i="76"/>
  <c r="R261" i="76" s="1"/>
  <c r="S261" i="76" s="1"/>
  <c r="L236" i="76"/>
  <c r="AG236" i="76"/>
  <c r="L264" i="76"/>
  <c r="AG264" i="76"/>
  <c r="AG395" i="76"/>
  <c r="L395" i="76"/>
  <c r="AG180" i="75"/>
  <c r="L180" i="75"/>
  <c r="W180" i="75" s="1"/>
  <c r="AG177" i="75"/>
  <c r="L177" i="75"/>
  <c r="AG161" i="75"/>
  <c r="L161" i="75"/>
  <c r="R261" i="69"/>
  <c r="S261" i="69" s="1"/>
  <c r="R236" i="69"/>
  <c r="S236" i="69" s="1"/>
  <c r="T1783" i="72"/>
  <c r="AJ1804" i="72"/>
  <c r="P1804" i="72"/>
  <c r="AJ1636" i="72"/>
  <c r="P1636" i="72"/>
  <c r="AJ1783" i="72"/>
  <c r="P1783" i="72"/>
  <c r="AF236" i="71"/>
  <c r="L236" i="71"/>
  <c r="S236" i="71" s="1"/>
  <c r="AF261" i="71"/>
  <c r="L261" i="71"/>
  <c r="S261" i="71" s="1"/>
  <c r="AF264" i="71"/>
  <c r="L264" i="71"/>
  <c r="S264" i="71" s="1"/>
  <c r="N264" i="69"/>
  <c r="O264" i="69"/>
  <c r="Q264" i="69" s="1"/>
  <c r="AG236" i="69"/>
  <c r="H264" i="69"/>
  <c r="J264" i="69"/>
  <c r="I264" i="69"/>
  <c r="AG261" i="69"/>
  <c r="R395" i="76" l="1"/>
  <c r="S395" i="76" s="1"/>
  <c r="R236" i="76"/>
  <c r="S236" i="76" s="1"/>
  <c r="R264" i="76"/>
  <c r="S264" i="76" s="1"/>
  <c r="R177" i="75"/>
  <c r="S177" i="75" s="1"/>
  <c r="W177" i="75"/>
  <c r="R180" i="75"/>
  <c r="S180" i="75" s="1"/>
  <c r="R161" i="75"/>
  <c r="S161" i="75" s="1"/>
  <c r="W161" i="75"/>
  <c r="L264" i="69"/>
  <c r="R264" i="69" s="1"/>
  <c r="AG264" i="69"/>
  <c r="S264" i="69" l="1"/>
  <c r="B1100" i="58"/>
  <c r="B73" i="59"/>
  <c r="A151" i="75" l="1"/>
  <c r="A166" i="75"/>
  <c r="A1673" i="72"/>
  <c r="A1537" i="72"/>
  <c r="K73" i="59"/>
  <c r="P396" i="76" s="1"/>
  <c r="A246" i="71"/>
  <c r="A223" i="71"/>
  <c r="J73" i="59"/>
  <c r="O396" i="76" s="1"/>
  <c r="Q396" i="76" s="1"/>
  <c r="I73" i="59"/>
  <c r="G73" i="59"/>
  <c r="J396" i="76" s="1"/>
  <c r="H73" i="59"/>
  <c r="H396" i="76" s="1"/>
  <c r="H104" i="77" s="1"/>
  <c r="A223" i="69"/>
  <c r="A246" i="69"/>
  <c r="A174" i="63"/>
  <c r="C73" i="59"/>
  <c r="D396" i="76" s="1"/>
  <c r="D104" i="77" s="1"/>
  <c r="F73" i="59"/>
  <c r="I396" i="76" s="1"/>
  <c r="I104" i="77" s="1"/>
  <c r="B1120" i="58"/>
  <c r="B74" i="59"/>
  <c r="AG396" i="76" l="1"/>
  <c r="J104" i="77"/>
  <c r="L104" i="77" s="1"/>
  <c r="L396" i="76"/>
  <c r="I246" i="76"/>
  <c r="I223" i="76"/>
  <c r="O223" i="76"/>
  <c r="Q223" i="76" s="1"/>
  <c r="O246" i="76"/>
  <c r="Q246" i="76" s="1"/>
  <c r="H246" i="76"/>
  <c r="H223" i="76"/>
  <c r="D223" i="76"/>
  <c r="D246" i="76"/>
  <c r="J246" i="76"/>
  <c r="J223" i="76"/>
  <c r="N223" i="76"/>
  <c r="N246" i="76"/>
  <c r="P223" i="76"/>
  <c r="P246" i="76"/>
  <c r="A167" i="75"/>
  <c r="A152" i="75"/>
  <c r="D166" i="75"/>
  <c r="D151" i="75"/>
  <c r="J166" i="75"/>
  <c r="J151" i="75"/>
  <c r="N151" i="75"/>
  <c r="N166" i="75"/>
  <c r="P246" i="71"/>
  <c r="R246" i="71" s="1"/>
  <c r="P166" i="75"/>
  <c r="P151" i="75"/>
  <c r="I166" i="75"/>
  <c r="I151" i="75"/>
  <c r="O166" i="75"/>
  <c r="Q166" i="75" s="1"/>
  <c r="O151" i="75"/>
  <c r="Q151" i="75" s="1"/>
  <c r="H166" i="75"/>
  <c r="H151" i="75"/>
  <c r="A1683" i="72"/>
  <c r="A1547" i="72"/>
  <c r="P246" i="69"/>
  <c r="P223" i="69"/>
  <c r="P223" i="71"/>
  <c r="R223" i="71" s="1"/>
  <c r="M1673" i="72"/>
  <c r="M1537" i="72"/>
  <c r="D1537" i="72"/>
  <c r="D1673" i="72"/>
  <c r="H1537" i="72"/>
  <c r="H1673" i="72"/>
  <c r="N1537" i="72"/>
  <c r="N1673" i="72"/>
  <c r="Q1673" i="72"/>
  <c r="Q1537" i="72"/>
  <c r="R1537" i="72"/>
  <c r="R1673" i="72"/>
  <c r="S1537" i="72"/>
  <c r="T1537" i="72" s="1"/>
  <c r="S1673" i="72"/>
  <c r="T1673" i="72" s="1"/>
  <c r="K74" i="59"/>
  <c r="P397" i="76" s="1"/>
  <c r="A224" i="71"/>
  <c r="A247" i="71"/>
  <c r="N223" i="71"/>
  <c r="N246" i="71"/>
  <c r="I223" i="71"/>
  <c r="I246" i="71"/>
  <c r="O246" i="71"/>
  <c r="Q246" i="71" s="1"/>
  <c r="O223" i="71"/>
  <c r="Q223" i="71" s="1"/>
  <c r="D223" i="71"/>
  <c r="D246" i="71"/>
  <c r="H223" i="71"/>
  <c r="H246" i="71"/>
  <c r="J223" i="71"/>
  <c r="J246" i="71"/>
  <c r="I74" i="59"/>
  <c r="J74" i="59"/>
  <c r="O397" i="76" s="1"/>
  <c r="Q397" i="76" s="1"/>
  <c r="O246" i="69"/>
  <c r="Q246" i="69" s="1"/>
  <c r="N246" i="69"/>
  <c r="O223" i="69"/>
  <c r="Q223" i="69" s="1"/>
  <c r="N223" i="69"/>
  <c r="G74" i="59"/>
  <c r="J397" i="76" s="1"/>
  <c r="H74" i="59"/>
  <c r="H397" i="76" s="1"/>
  <c r="H101" i="77" s="1"/>
  <c r="H223" i="69"/>
  <c r="J223" i="69"/>
  <c r="L223" i="69" s="1"/>
  <c r="D223" i="69"/>
  <c r="I223" i="69"/>
  <c r="A224" i="69"/>
  <c r="A247" i="69"/>
  <c r="J246" i="69"/>
  <c r="L246" i="69" s="1"/>
  <c r="H246" i="69"/>
  <c r="I246" i="69"/>
  <c r="D246" i="69"/>
  <c r="I174" i="63"/>
  <c r="J174" i="63"/>
  <c r="L174" i="63" s="1"/>
  <c r="H174" i="63"/>
  <c r="D174" i="63"/>
  <c r="C533" i="65" s="1"/>
  <c r="B1140" i="58"/>
  <c r="B75" i="59"/>
  <c r="C74" i="59"/>
  <c r="D397" i="76" s="1"/>
  <c r="D101" i="77" s="1"/>
  <c r="F74" i="59"/>
  <c r="I397" i="76" s="1"/>
  <c r="I101" i="77" s="1"/>
  <c r="R396" i="76" l="1"/>
  <c r="S396" i="76" s="1"/>
  <c r="J101" i="77"/>
  <c r="L101" i="77" s="1"/>
  <c r="L397" i="76"/>
  <c r="R397" i="76" s="1"/>
  <c r="S397" i="76" s="1"/>
  <c r="AG397" i="76"/>
  <c r="I224" i="76"/>
  <c r="I247" i="76"/>
  <c r="P224" i="76"/>
  <c r="P247" i="76"/>
  <c r="J247" i="76"/>
  <c r="J224" i="76"/>
  <c r="D224" i="76"/>
  <c r="D247" i="76"/>
  <c r="N247" i="76"/>
  <c r="N224" i="76"/>
  <c r="AG223" i="76"/>
  <c r="L223" i="76"/>
  <c r="O224" i="76"/>
  <c r="Q224" i="76" s="1"/>
  <c r="O247" i="76"/>
  <c r="Q247" i="76" s="1"/>
  <c r="H247" i="76"/>
  <c r="H224" i="76"/>
  <c r="AG246" i="76"/>
  <c r="L246" i="76"/>
  <c r="R246" i="76" s="1"/>
  <c r="S246" i="76" s="1"/>
  <c r="A170" i="75"/>
  <c r="A168" i="75"/>
  <c r="A155" i="75"/>
  <c r="A153" i="75"/>
  <c r="J152" i="75"/>
  <c r="J167" i="75"/>
  <c r="AG151" i="75"/>
  <c r="L151" i="75"/>
  <c r="O167" i="75"/>
  <c r="Q167" i="75" s="1"/>
  <c r="O152" i="75"/>
  <c r="Q152" i="75" s="1"/>
  <c r="P224" i="71"/>
  <c r="R224" i="71" s="1"/>
  <c r="P167" i="75"/>
  <c r="P152" i="75"/>
  <c r="AG166" i="75"/>
  <c r="L166" i="75"/>
  <c r="W166" i="75" s="1"/>
  <c r="D167" i="75"/>
  <c r="D152" i="75"/>
  <c r="N167" i="75"/>
  <c r="N152" i="75"/>
  <c r="I167" i="75"/>
  <c r="I152" i="75"/>
  <c r="H152" i="75"/>
  <c r="H167" i="75"/>
  <c r="R151" i="75"/>
  <c r="R223" i="69"/>
  <c r="S223" i="69" s="1"/>
  <c r="R246" i="69"/>
  <c r="S246" i="69" s="1"/>
  <c r="A1693" i="72"/>
  <c r="A1557" i="72"/>
  <c r="A1706" i="72"/>
  <c r="A1570" i="72"/>
  <c r="P224" i="69"/>
  <c r="M1547" i="72"/>
  <c r="M1683" i="72"/>
  <c r="P247" i="69"/>
  <c r="R1547" i="72"/>
  <c r="R1683" i="72"/>
  <c r="P1673" i="72"/>
  <c r="AJ1673" i="72"/>
  <c r="S1547" i="72"/>
  <c r="T1547" i="72" s="1"/>
  <c r="S1683" i="72"/>
  <c r="T1683" i="72" s="1"/>
  <c r="H1683" i="72"/>
  <c r="H1547" i="72"/>
  <c r="D1547" i="72"/>
  <c r="D1683" i="72"/>
  <c r="Q1547" i="72"/>
  <c r="Q1683" i="72"/>
  <c r="P1537" i="72"/>
  <c r="AJ1537" i="72"/>
  <c r="N1547" i="72"/>
  <c r="N1683" i="72"/>
  <c r="P247" i="71"/>
  <c r="R247" i="71" s="1"/>
  <c r="K75" i="59"/>
  <c r="P398" i="76" s="1"/>
  <c r="A251" i="71"/>
  <c r="A248" i="71"/>
  <c r="A225" i="71"/>
  <c r="A228" i="71"/>
  <c r="I224" i="71"/>
  <c r="I247" i="71"/>
  <c r="O247" i="71"/>
  <c r="Q247" i="71" s="1"/>
  <c r="O224" i="71"/>
  <c r="Q224" i="71" s="1"/>
  <c r="N224" i="71"/>
  <c r="N247" i="71"/>
  <c r="H224" i="71"/>
  <c r="H247" i="71"/>
  <c r="AF246" i="71"/>
  <c r="L246" i="71"/>
  <c r="S246" i="71" s="1"/>
  <c r="D247" i="71"/>
  <c r="D224" i="71"/>
  <c r="J247" i="71"/>
  <c r="J224" i="71"/>
  <c r="L223" i="71"/>
  <c r="AF223" i="71"/>
  <c r="J75" i="59"/>
  <c r="O398" i="76" s="1"/>
  <c r="Q398" i="76" s="1"/>
  <c r="I75" i="59"/>
  <c r="N247" i="69"/>
  <c r="O247" i="69"/>
  <c r="Q247" i="69" s="1"/>
  <c r="N224" i="69"/>
  <c r="O224" i="69"/>
  <c r="Q224" i="69" s="1"/>
  <c r="J224" i="69"/>
  <c r="L224" i="69" s="1"/>
  <c r="H75" i="59"/>
  <c r="H398" i="76" s="1"/>
  <c r="H80" i="77" s="1"/>
  <c r="G75" i="59"/>
  <c r="J398" i="76" s="1"/>
  <c r="H224" i="69"/>
  <c r="I224" i="69"/>
  <c r="D224" i="69"/>
  <c r="AG223" i="69"/>
  <c r="A225" i="69"/>
  <c r="A248" i="69"/>
  <c r="A251" i="69"/>
  <c r="A228" i="69"/>
  <c r="H247" i="69"/>
  <c r="I247" i="69"/>
  <c r="D247" i="69"/>
  <c r="J247" i="69"/>
  <c r="L247" i="69" s="1"/>
  <c r="AG246" i="69"/>
  <c r="C75" i="59"/>
  <c r="D398" i="76" s="1"/>
  <c r="D80" i="77" s="1"/>
  <c r="F75" i="59"/>
  <c r="I398" i="76" s="1"/>
  <c r="I80" i="77" s="1"/>
  <c r="B1159" i="58"/>
  <c r="B76" i="59"/>
  <c r="J80" i="77" l="1"/>
  <c r="L80" i="77" s="1"/>
  <c r="L398" i="76"/>
  <c r="AG398" i="76"/>
  <c r="J228" i="76"/>
  <c r="J225" i="76"/>
  <c r="J251" i="76"/>
  <c r="J248" i="76"/>
  <c r="O251" i="76"/>
  <c r="Q251" i="76" s="1"/>
  <c r="O225" i="76"/>
  <c r="Q225" i="76" s="1"/>
  <c r="O248" i="76"/>
  <c r="Q248" i="76" s="1"/>
  <c r="O228" i="76"/>
  <c r="Q228" i="76" s="1"/>
  <c r="R223" i="76"/>
  <c r="H225" i="76"/>
  <c r="H251" i="76"/>
  <c r="H228" i="76"/>
  <c r="H248" i="76"/>
  <c r="P228" i="76"/>
  <c r="P225" i="76"/>
  <c r="P251" i="76"/>
  <c r="P248" i="76"/>
  <c r="AG224" i="76"/>
  <c r="L224" i="76"/>
  <c r="N228" i="76"/>
  <c r="N225" i="76"/>
  <c r="N248" i="76"/>
  <c r="N251" i="76"/>
  <c r="I251" i="76"/>
  <c r="I225" i="76"/>
  <c r="I248" i="76"/>
  <c r="I228" i="76"/>
  <c r="D228" i="76"/>
  <c r="D225" i="76"/>
  <c r="D248" i="76"/>
  <c r="D251" i="76"/>
  <c r="AG247" i="76"/>
  <c r="L247" i="76"/>
  <c r="R247" i="76" s="1"/>
  <c r="S247" i="76" s="1"/>
  <c r="A171" i="75"/>
  <c r="A156" i="75"/>
  <c r="H155" i="75"/>
  <c r="H168" i="75"/>
  <c r="H170" i="75"/>
  <c r="H153" i="75"/>
  <c r="D168" i="75"/>
  <c r="D153" i="75"/>
  <c r="D155" i="75"/>
  <c r="D170" i="75"/>
  <c r="R166" i="75"/>
  <c r="S166" i="75" s="1"/>
  <c r="W151" i="75"/>
  <c r="S151" i="75"/>
  <c r="I155" i="75"/>
  <c r="I153" i="75"/>
  <c r="I170" i="75"/>
  <c r="I168" i="75"/>
  <c r="N168" i="75"/>
  <c r="N153" i="75"/>
  <c r="N170" i="75"/>
  <c r="N155" i="75"/>
  <c r="J168" i="75"/>
  <c r="J153" i="75"/>
  <c r="J155" i="75"/>
  <c r="J170" i="75"/>
  <c r="O155" i="75"/>
  <c r="Q155" i="75" s="1"/>
  <c r="O168" i="75"/>
  <c r="Q168" i="75" s="1"/>
  <c r="O153" i="75"/>
  <c r="Q153" i="75" s="1"/>
  <c r="O170" i="75"/>
  <c r="Q170" i="75" s="1"/>
  <c r="AG167" i="75"/>
  <c r="L167" i="75"/>
  <c r="P153" i="75"/>
  <c r="P170" i="75"/>
  <c r="P168" i="75"/>
  <c r="P155" i="75"/>
  <c r="AG152" i="75"/>
  <c r="L152" i="75"/>
  <c r="W152" i="75" s="1"/>
  <c r="R224" i="69"/>
  <c r="S224" i="69" s="1"/>
  <c r="R247" i="69"/>
  <c r="S247" i="69" s="1"/>
  <c r="A1716" i="72"/>
  <c r="A1580" i="72"/>
  <c r="Q1557" i="72"/>
  <c r="Q1706" i="72"/>
  <c r="Q1570" i="72"/>
  <c r="Q1693" i="72"/>
  <c r="P228" i="71"/>
  <c r="R228" i="71" s="1"/>
  <c r="AJ1547" i="72"/>
  <c r="P1547" i="72"/>
  <c r="P228" i="69"/>
  <c r="P251" i="69"/>
  <c r="D1706" i="72"/>
  <c r="D1557" i="72"/>
  <c r="D1570" i="72"/>
  <c r="D1693" i="72"/>
  <c r="AJ1683" i="72"/>
  <c r="P1683" i="72"/>
  <c r="S1706" i="72"/>
  <c r="T1706" i="72" s="1"/>
  <c r="S1557" i="72"/>
  <c r="T1557" i="72" s="1"/>
  <c r="S1693" i="72"/>
  <c r="T1693" i="72" s="1"/>
  <c r="S1570" i="72"/>
  <c r="T1570" i="72" s="1"/>
  <c r="N1570" i="72"/>
  <c r="N1706" i="72"/>
  <c r="N1557" i="72"/>
  <c r="N1693" i="72"/>
  <c r="R1557" i="72"/>
  <c r="R1706" i="72"/>
  <c r="R1570" i="72"/>
  <c r="R1693" i="72"/>
  <c r="P225" i="71"/>
  <c r="R225" i="71" s="1"/>
  <c r="P225" i="69"/>
  <c r="P251" i="71"/>
  <c r="R251" i="71" s="1"/>
  <c r="M1557" i="72"/>
  <c r="M1570" i="72"/>
  <c r="M1693" i="72"/>
  <c r="M1706" i="72"/>
  <c r="H1706" i="72"/>
  <c r="H1570" i="72"/>
  <c r="H1557" i="72"/>
  <c r="H1693" i="72"/>
  <c r="P248" i="71"/>
  <c r="R248" i="71" s="1"/>
  <c r="P248" i="69"/>
  <c r="K76" i="59"/>
  <c r="P399" i="76" s="1"/>
  <c r="A229" i="71"/>
  <c r="A252" i="71"/>
  <c r="I225" i="71"/>
  <c r="I248" i="71"/>
  <c r="I251" i="71"/>
  <c r="I228" i="71"/>
  <c r="H228" i="71"/>
  <c r="H248" i="71"/>
  <c r="H225" i="71"/>
  <c r="H251" i="71"/>
  <c r="D248" i="71"/>
  <c r="D225" i="71"/>
  <c r="D228" i="71"/>
  <c r="D251" i="71"/>
  <c r="S223" i="71"/>
  <c r="N225" i="71"/>
  <c r="N248" i="71"/>
  <c r="N228" i="71"/>
  <c r="N251" i="71"/>
  <c r="AF224" i="71"/>
  <c r="L224" i="71"/>
  <c r="S224" i="71" s="1"/>
  <c r="J248" i="71"/>
  <c r="J225" i="71"/>
  <c r="J228" i="71"/>
  <c r="J251" i="71"/>
  <c r="O248" i="71"/>
  <c r="Q248" i="71" s="1"/>
  <c r="O225" i="71"/>
  <c r="Q225" i="71" s="1"/>
  <c r="O228" i="71"/>
  <c r="Q228" i="71" s="1"/>
  <c r="O251" i="71"/>
  <c r="Q251" i="71" s="1"/>
  <c r="AF247" i="71"/>
  <c r="L247" i="71"/>
  <c r="S247" i="71" s="1"/>
  <c r="N251" i="69"/>
  <c r="O251" i="69"/>
  <c r="Q251" i="69" s="1"/>
  <c r="O248" i="69"/>
  <c r="Q248" i="69" s="1"/>
  <c r="N248" i="69"/>
  <c r="I76" i="59"/>
  <c r="J76" i="59"/>
  <c r="O399" i="76" s="1"/>
  <c r="Q399" i="76" s="1"/>
  <c r="O225" i="69"/>
  <c r="Q225" i="69" s="1"/>
  <c r="N225" i="69"/>
  <c r="N228" i="69"/>
  <c r="O228" i="69"/>
  <c r="Q228" i="69" s="1"/>
  <c r="AG224" i="69"/>
  <c r="G76" i="59"/>
  <c r="J399" i="76" s="1"/>
  <c r="H76" i="59"/>
  <c r="H399" i="76" s="1"/>
  <c r="H99" i="77" s="1"/>
  <c r="A252" i="69"/>
  <c r="A229" i="69"/>
  <c r="H251" i="69"/>
  <c r="I251" i="69"/>
  <c r="D251" i="69"/>
  <c r="J251" i="69"/>
  <c r="L251" i="69" s="1"/>
  <c r="I248" i="69"/>
  <c r="J248" i="69"/>
  <c r="L248" i="69" s="1"/>
  <c r="D248" i="69"/>
  <c r="H248" i="69"/>
  <c r="D225" i="69"/>
  <c r="D228" i="69"/>
  <c r="H225" i="69"/>
  <c r="H228" i="69"/>
  <c r="J225" i="69"/>
  <c r="L225" i="69" s="1"/>
  <c r="J228" i="69"/>
  <c r="I225" i="69"/>
  <c r="I228" i="69"/>
  <c r="AG247" i="69"/>
  <c r="B1178" i="58"/>
  <c r="B77" i="59"/>
  <c r="K77" i="59" s="1"/>
  <c r="C76" i="59"/>
  <c r="D399" i="76" s="1"/>
  <c r="D99" i="77" s="1"/>
  <c r="F76" i="59"/>
  <c r="I399" i="76" s="1"/>
  <c r="I99" i="77" s="1"/>
  <c r="R398" i="76" l="1"/>
  <c r="S398" i="76" s="1"/>
  <c r="J99" i="77"/>
  <c r="L99" i="77" s="1"/>
  <c r="AG399" i="76"/>
  <c r="L399" i="76"/>
  <c r="R399" i="76" s="1"/>
  <c r="S399" i="76" s="1"/>
  <c r="J252" i="76"/>
  <c r="J229" i="76"/>
  <c r="AG248" i="76"/>
  <c r="L248" i="76"/>
  <c r="R248" i="76" s="1"/>
  <c r="S248" i="76" s="1"/>
  <c r="D229" i="76"/>
  <c r="D252" i="76"/>
  <c r="R224" i="76"/>
  <c r="S224" i="76" s="1"/>
  <c r="AG251" i="76"/>
  <c r="L251" i="76"/>
  <c r="R251" i="76" s="1"/>
  <c r="S251" i="76" s="1"/>
  <c r="O229" i="76"/>
  <c r="Q229" i="76" s="1"/>
  <c r="O252" i="76"/>
  <c r="Q252" i="76" s="1"/>
  <c r="AG225" i="76"/>
  <c r="L225" i="76"/>
  <c r="I252" i="76"/>
  <c r="I229" i="76"/>
  <c r="H229" i="76"/>
  <c r="H252" i="76"/>
  <c r="N252" i="76"/>
  <c r="N229" i="76"/>
  <c r="P252" i="76"/>
  <c r="P229" i="76"/>
  <c r="S223" i="76"/>
  <c r="AG228" i="76"/>
  <c r="L228" i="76"/>
  <c r="R228" i="76" s="1"/>
  <c r="S228" i="76" s="1"/>
  <c r="I171" i="75"/>
  <c r="I156" i="75"/>
  <c r="J156" i="75"/>
  <c r="J171" i="75"/>
  <c r="AG170" i="75"/>
  <c r="L170" i="75"/>
  <c r="R152" i="75"/>
  <c r="S152" i="75" s="1"/>
  <c r="H171" i="75"/>
  <c r="H156" i="75"/>
  <c r="D171" i="75"/>
  <c r="D156" i="75"/>
  <c r="L155" i="75"/>
  <c r="AG155" i="75"/>
  <c r="O156" i="75"/>
  <c r="Q156" i="75" s="1"/>
  <c r="O171" i="75"/>
  <c r="Q171" i="75" s="1"/>
  <c r="R167" i="75"/>
  <c r="S167" i="75" s="1"/>
  <c r="W167" i="75"/>
  <c r="AG153" i="75"/>
  <c r="L153" i="75"/>
  <c r="W153" i="75" s="1"/>
  <c r="N171" i="75"/>
  <c r="N156" i="75"/>
  <c r="P252" i="71"/>
  <c r="R252" i="71" s="1"/>
  <c r="P171" i="75"/>
  <c r="P156" i="75"/>
  <c r="AG168" i="75"/>
  <c r="L168" i="75"/>
  <c r="R153" i="75"/>
  <c r="S153" i="75" s="1"/>
  <c r="R251" i="69"/>
  <c r="R225" i="69"/>
  <c r="S225" i="69" s="1"/>
  <c r="R248" i="69"/>
  <c r="S248" i="69" s="1"/>
  <c r="P252" i="69"/>
  <c r="S251" i="69"/>
  <c r="P229" i="71"/>
  <c r="R229" i="71" s="1"/>
  <c r="P229" i="69"/>
  <c r="Q1716" i="72"/>
  <c r="Q1580" i="72"/>
  <c r="N1580" i="72"/>
  <c r="N1716" i="72"/>
  <c r="S1580" i="72"/>
  <c r="T1580" i="72" s="1"/>
  <c r="S1716" i="72"/>
  <c r="T1716" i="72" s="1"/>
  <c r="AJ1706" i="72"/>
  <c r="P1706" i="72"/>
  <c r="M1580" i="72"/>
  <c r="M1716" i="72"/>
  <c r="D1580" i="72"/>
  <c r="D1716" i="72"/>
  <c r="AJ1570" i="72"/>
  <c r="P1570" i="72"/>
  <c r="H1580" i="72"/>
  <c r="H1716" i="72"/>
  <c r="AJ1557" i="72"/>
  <c r="P1557" i="72"/>
  <c r="R1716" i="72"/>
  <c r="R1580" i="72"/>
  <c r="P1693" i="72"/>
  <c r="AJ1693" i="72"/>
  <c r="I229" i="71"/>
  <c r="I252" i="71"/>
  <c r="J229" i="71"/>
  <c r="J252" i="71"/>
  <c r="L225" i="71"/>
  <c r="S225" i="71" s="1"/>
  <c r="AF225" i="71"/>
  <c r="D229" i="71"/>
  <c r="D252" i="71"/>
  <c r="AF248" i="71"/>
  <c r="L248" i="71"/>
  <c r="S248" i="71" s="1"/>
  <c r="O252" i="71"/>
  <c r="Q252" i="71" s="1"/>
  <c r="O229" i="71"/>
  <c r="Q229" i="71" s="1"/>
  <c r="AF251" i="71"/>
  <c r="L251" i="71"/>
  <c r="S251" i="71" s="1"/>
  <c r="H252" i="71"/>
  <c r="H229" i="71"/>
  <c r="N229" i="71"/>
  <c r="N252" i="71"/>
  <c r="AF228" i="71"/>
  <c r="L228" i="71"/>
  <c r="S228" i="71" s="1"/>
  <c r="O229" i="69"/>
  <c r="Q229" i="69" s="1"/>
  <c r="N229" i="69"/>
  <c r="J77" i="59"/>
  <c r="I77" i="59"/>
  <c r="O252" i="69"/>
  <c r="Q252" i="69" s="1"/>
  <c r="N252" i="69"/>
  <c r="J229" i="69"/>
  <c r="L229" i="69" s="1"/>
  <c r="H77" i="59"/>
  <c r="G77" i="59"/>
  <c r="D229" i="69"/>
  <c r="I229" i="69"/>
  <c r="H229" i="69"/>
  <c r="J252" i="69"/>
  <c r="L252" i="69" s="1"/>
  <c r="I252" i="69"/>
  <c r="H252" i="69"/>
  <c r="D252" i="69"/>
  <c r="AG225" i="69"/>
  <c r="L228" i="69"/>
  <c r="AG228" i="69"/>
  <c r="AG248" i="69"/>
  <c r="C77" i="59"/>
  <c r="F77" i="59"/>
  <c r="B1197" i="58"/>
  <c r="B1216" i="58" s="1"/>
  <c r="B1235" i="58" s="1"/>
  <c r="B1254" i="58" s="1"/>
  <c r="B1273" i="58" s="1"/>
  <c r="B1292" i="58" s="1"/>
  <c r="B78" i="59"/>
  <c r="AG229" i="76" l="1"/>
  <c r="L229" i="76"/>
  <c r="R229" i="76" s="1"/>
  <c r="S229" i="76" s="1"/>
  <c r="AG252" i="76"/>
  <c r="L252" i="76"/>
  <c r="R252" i="76" s="1"/>
  <c r="S252" i="76" s="1"/>
  <c r="R225" i="76"/>
  <c r="A172" i="75"/>
  <c r="A157" i="75"/>
  <c r="R155" i="75"/>
  <c r="S155" i="75" s="1"/>
  <c r="W155" i="75"/>
  <c r="AG171" i="75"/>
  <c r="L171" i="75"/>
  <c r="W171" i="75" s="1"/>
  <c r="R168" i="75"/>
  <c r="S168" i="75" s="1"/>
  <c r="W168" i="75"/>
  <c r="AG156" i="75"/>
  <c r="L156" i="75"/>
  <c r="R170" i="75"/>
  <c r="S170" i="75" s="1"/>
  <c r="W170" i="75"/>
  <c r="R252" i="69"/>
  <c r="S252" i="69" s="1"/>
  <c r="R229" i="69"/>
  <c r="S229" i="69" s="1"/>
  <c r="R228" i="69"/>
  <c r="S228" i="69" s="1"/>
  <c r="A1726" i="72"/>
  <c r="A1590" i="72"/>
  <c r="AJ1580" i="72"/>
  <c r="P1580" i="72"/>
  <c r="AJ1716" i="72"/>
  <c r="P1716" i="72"/>
  <c r="K78" i="59"/>
  <c r="P400" i="76" s="1"/>
  <c r="A230" i="71"/>
  <c r="A253" i="71"/>
  <c r="AF252" i="71"/>
  <c r="L252" i="71"/>
  <c r="S252" i="71" s="1"/>
  <c r="AF229" i="71"/>
  <c r="L229" i="71"/>
  <c r="S229" i="71" s="1"/>
  <c r="I78" i="59"/>
  <c r="J78" i="59"/>
  <c r="O400" i="76" s="1"/>
  <c r="Q400" i="76" s="1"/>
  <c r="AG229" i="69"/>
  <c r="G78" i="59"/>
  <c r="J400" i="76" s="1"/>
  <c r="H78" i="59"/>
  <c r="H400" i="76" s="1"/>
  <c r="H88" i="77" s="1"/>
  <c r="A175" i="63"/>
  <c r="A253" i="69"/>
  <c r="A230" i="69"/>
  <c r="AG252" i="69"/>
  <c r="AG251" i="69"/>
  <c r="B80" i="59"/>
  <c r="K80" i="59" s="1"/>
  <c r="B79" i="59"/>
  <c r="C78" i="59"/>
  <c r="D400" i="76" s="1"/>
  <c r="D88" i="77" s="1"/>
  <c r="F78" i="59"/>
  <c r="I400" i="76" s="1"/>
  <c r="I88" i="77" s="1"/>
  <c r="AG400" i="76" l="1"/>
  <c r="L400" i="76"/>
  <c r="J88" i="77"/>
  <c r="L88" i="77" s="1"/>
  <c r="J253" i="76"/>
  <c r="J230" i="76"/>
  <c r="S225" i="76"/>
  <c r="I253" i="76"/>
  <c r="I230" i="76"/>
  <c r="O230" i="76"/>
  <c r="Q230" i="76" s="1"/>
  <c r="O253" i="76"/>
  <c r="Q253" i="76" s="1"/>
  <c r="P253" i="76"/>
  <c r="P230" i="76"/>
  <c r="D230" i="76"/>
  <c r="D253" i="76"/>
  <c r="H230" i="76"/>
  <c r="H253" i="76"/>
  <c r="N230" i="76"/>
  <c r="N253" i="76"/>
  <c r="A158" i="75"/>
  <c r="A174" i="75"/>
  <c r="A173" i="75"/>
  <c r="R171" i="75"/>
  <c r="S171" i="75" s="1"/>
  <c r="D172" i="75"/>
  <c r="D157" i="75"/>
  <c r="I172" i="75"/>
  <c r="I157" i="75"/>
  <c r="P172" i="75"/>
  <c r="P157" i="75"/>
  <c r="H172" i="75"/>
  <c r="H157" i="75"/>
  <c r="N172" i="75"/>
  <c r="N157" i="75"/>
  <c r="O157" i="75"/>
  <c r="Q157" i="75" s="1"/>
  <c r="O172" i="75"/>
  <c r="Q172" i="75" s="1"/>
  <c r="J157" i="75"/>
  <c r="J172" i="75"/>
  <c r="R156" i="75"/>
  <c r="S156" i="75" s="1"/>
  <c r="W156" i="75"/>
  <c r="P253" i="71"/>
  <c r="R253" i="71" s="1"/>
  <c r="A1748" i="72"/>
  <c r="A1737" i="72"/>
  <c r="A1601" i="72"/>
  <c r="P230" i="69"/>
  <c r="H1590" i="72"/>
  <c r="H1726" i="72"/>
  <c r="N1590" i="72"/>
  <c r="N1726" i="72"/>
  <c r="M1590" i="72"/>
  <c r="M1726" i="72"/>
  <c r="R1726" i="72"/>
  <c r="R1590" i="72"/>
  <c r="P230" i="71"/>
  <c r="R230" i="71" s="1"/>
  <c r="D1590" i="72"/>
  <c r="D1726" i="72"/>
  <c r="Q1590" i="72"/>
  <c r="Q1726" i="72"/>
  <c r="S1590" i="72"/>
  <c r="T1590" i="72" s="1"/>
  <c r="S1726" i="72"/>
  <c r="T1726" i="72" s="1"/>
  <c r="K79" i="59"/>
  <c r="P401" i="76" s="1"/>
  <c r="A232" i="71"/>
  <c r="A257" i="71"/>
  <c r="A255" i="71"/>
  <c r="P253" i="69"/>
  <c r="H253" i="71"/>
  <c r="H230" i="71"/>
  <c r="N230" i="71"/>
  <c r="N253" i="71"/>
  <c r="J230" i="71"/>
  <c r="J253" i="71"/>
  <c r="D230" i="71"/>
  <c r="D253" i="71"/>
  <c r="I230" i="71"/>
  <c r="I253" i="71"/>
  <c r="O253" i="71"/>
  <c r="Q253" i="71" s="1"/>
  <c r="O230" i="71"/>
  <c r="Q230" i="71" s="1"/>
  <c r="J79" i="59"/>
  <c r="O401" i="76" s="1"/>
  <c r="Q401" i="76" s="1"/>
  <c r="I79" i="59"/>
  <c r="N230" i="69"/>
  <c r="O230" i="69"/>
  <c r="Q230" i="69" s="1"/>
  <c r="I80" i="59"/>
  <c r="J80" i="59"/>
  <c r="N253" i="69"/>
  <c r="O253" i="69"/>
  <c r="Q253" i="69" s="1"/>
  <c r="G80" i="59"/>
  <c r="H80" i="59"/>
  <c r="H79" i="59"/>
  <c r="H401" i="76" s="1"/>
  <c r="H54" i="77" s="1"/>
  <c r="G79" i="59"/>
  <c r="J401" i="76" s="1"/>
  <c r="A177" i="63"/>
  <c r="A232" i="69"/>
  <c r="A257" i="69"/>
  <c r="A255" i="69"/>
  <c r="H253" i="69"/>
  <c r="I253" i="69"/>
  <c r="D253" i="69"/>
  <c r="J253" i="69"/>
  <c r="L253" i="69" s="1"/>
  <c r="I175" i="63"/>
  <c r="I230" i="69"/>
  <c r="D175" i="63"/>
  <c r="C534" i="65" s="1"/>
  <c r="D230" i="69"/>
  <c r="H175" i="63"/>
  <c r="H230" i="69"/>
  <c r="J175" i="63"/>
  <c r="L175" i="63" s="1"/>
  <c r="J230" i="69"/>
  <c r="A176" i="63"/>
  <c r="C80" i="59"/>
  <c r="F80" i="59"/>
  <c r="C79" i="59"/>
  <c r="D401" i="76" s="1"/>
  <c r="D54" i="77" s="1"/>
  <c r="F79" i="59"/>
  <c r="I401" i="76" s="1"/>
  <c r="I54" i="77" s="1"/>
  <c r="B81" i="59"/>
  <c r="R400" i="76" l="1"/>
  <c r="S400" i="76" s="1"/>
  <c r="J54" i="77"/>
  <c r="L54" i="77" s="1"/>
  <c r="L401" i="76"/>
  <c r="R401" i="76" s="1"/>
  <c r="S401" i="76" s="1"/>
  <c r="AG401" i="76"/>
  <c r="H255" i="76"/>
  <c r="H232" i="76"/>
  <c r="H257" i="76"/>
  <c r="N255" i="76"/>
  <c r="N257" i="76"/>
  <c r="N232" i="76"/>
  <c r="I257" i="76"/>
  <c r="I232" i="76"/>
  <c r="I255" i="76"/>
  <c r="O232" i="76"/>
  <c r="Q232" i="76" s="1"/>
  <c r="O255" i="76"/>
  <c r="Q255" i="76" s="1"/>
  <c r="O257" i="76"/>
  <c r="Q257" i="76" s="1"/>
  <c r="L230" i="76"/>
  <c r="R230" i="76" s="1"/>
  <c r="AG230" i="76"/>
  <c r="D232" i="76"/>
  <c r="D255" i="76"/>
  <c r="D257" i="76"/>
  <c r="J232" i="76"/>
  <c r="J255" i="76"/>
  <c r="J257" i="76"/>
  <c r="P232" i="76"/>
  <c r="P257" i="76"/>
  <c r="P255" i="76"/>
  <c r="AG253" i="76"/>
  <c r="L253" i="76"/>
  <c r="R253" i="76" s="1"/>
  <c r="S253" i="76" s="1"/>
  <c r="A1645" i="72"/>
  <c r="A162" i="75"/>
  <c r="N173" i="75"/>
  <c r="N158" i="75"/>
  <c r="N174" i="75"/>
  <c r="O174" i="75"/>
  <c r="Q174" i="75" s="1"/>
  <c r="O158" i="75"/>
  <c r="Q158" i="75" s="1"/>
  <c r="O173" i="75"/>
  <c r="Q173" i="75" s="1"/>
  <c r="D174" i="75"/>
  <c r="D173" i="75"/>
  <c r="D158" i="75"/>
  <c r="J173" i="75"/>
  <c r="J158" i="75"/>
  <c r="J174" i="75"/>
  <c r="P174" i="75"/>
  <c r="P158" i="75"/>
  <c r="P173" i="75"/>
  <c r="AG172" i="75"/>
  <c r="L172" i="75"/>
  <c r="W172" i="75" s="1"/>
  <c r="I174" i="75"/>
  <c r="I158" i="75"/>
  <c r="I173" i="75"/>
  <c r="H158" i="75"/>
  <c r="H173" i="75"/>
  <c r="H174" i="75"/>
  <c r="L157" i="75"/>
  <c r="W157" i="75" s="1"/>
  <c r="AG157" i="75"/>
  <c r="P255" i="69"/>
  <c r="P232" i="69"/>
  <c r="R253" i="69"/>
  <c r="S253" i="69" s="1"/>
  <c r="P257" i="69"/>
  <c r="D1737" i="72"/>
  <c r="D1748" i="72"/>
  <c r="D1601" i="72"/>
  <c r="N1737" i="72"/>
  <c r="N1601" i="72"/>
  <c r="N1748" i="72"/>
  <c r="P255" i="71"/>
  <c r="R255" i="71" s="1"/>
  <c r="S1748" i="72"/>
  <c r="T1748" i="72" s="1"/>
  <c r="S1601" i="72"/>
  <c r="T1601" i="72" s="1"/>
  <c r="S1737" i="72"/>
  <c r="T1737" i="72" s="1"/>
  <c r="AJ1726" i="72"/>
  <c r="P1726" i="72"/>
  <c r="H1737" i="72"/>
  <c r="H1748" i="72"/>
  <c r="H1601" i="72"/>
  <c r="AJ1590" i="72"/>
  <c r="P1590" i="72"/>
  <c r="Q1737" i="72"/>
  <c r="Q1748" i="72"/>
  <c r="Q1601" i="72"/>
  <c r="M1601" i="72"/>
  <c r="M1748" i="72"/>
  <c r="M1737" i="72"/>
  <c r="R1737" i="72"/>
  <c r="R1748" i="72"/>
  <c r="R1601" i="72"/>
  <c r="P232" i="71"/>
  <c r="R232" i="71" s="1"/>
  <c r="P257" i="71"/>
  <c r="R257" i="71" s="1"/>
  <c r="K81" i="59"/>
  <c r="P402" i="76" s="1"/>
  <c r="A237" i="71"/>
  <c r="O255" i="71"/>
  <c r="Q255" i="71" s="1"/>
  <c r="O232" i="71"/>
  <c r="Q232" i="71" s="1"/>
  <c r="O257" i="71"/>
  <c r="Q257" i="71" s="1"/>
  <c r="AF230" i="71"/>
  <c r="L230" i="71"/>
  <c r="D255" i="71"/>
  <c r="D257" i="71"/>
  <c r="D232" i="71"/>
  <c r="J255" i="71"/>
  <c r="J257" i="71"/>
  <c r="J232" i="71"/>
  <c r="I257" i="71"/>
  <c r="I232" i="71"/>
  <c r="I255" i="71"/>
  <c r="H255" i="71"/>
  <c r="H232" i="71"/>
  <c r="H257" i="71"/>
  <c r="N255" i="71"/>
  <c r="N232" i="71"/>
  <c r="N257" i="71"/>
  <c r="AF253" i="71"/>
  <c r="L253" i="71"/>
  <c r="S253" i="71" s="1"/>
  <c r="O232" i="69"/>
  <c r="Q232" i="69" s="1"/>
  <c r="N232" i="69"/>
  <c r="D232" i="69"/>
  <c r="O255" i="69"/>
  <c r="Q255" i="69" s="1"/>
  <c r="N255" i="69"/>
  <c r="N257" i="69"/>
  <c r="O257" i="69"/>
  <c r="Q257" i="69" s="1"/>
  <c r="J81" i="59"/>
  <c r="O402" i="76" s="1"/>
  <c r="Q402" i="76" s="1"/>
  <c r="I81" i="59"/>
  <c r="A237" i="69"/>
  <c r="G81" i="59"/>
  <c r="J402" i="76" s="1"/>
  <c r="H81" i="59"/>
  <c r="H402" i="76" s="1"/>
  <c r="H105" i="77" s="1"/>
  <c r="H255" i="69"/>
  <c r="D255" i="69"/>
  <c r="J255" i="69"/>
  <c r="L255" i="69" s="1"/>
  <c r="I255" i="69"/>
  <c r="I257" i="69"/>
  <c r="H257" i="69"/>
  <c r="D257" i="69"/>
  <c r="J257" i="69"/>
  <c r="L257" i="69" s="1"/>
  <c r="H177" i="63"/>
  <c r="H232" i="69"/>
  <c r="J177" i="63"/>
  <c r="L177" i="63" s="1"/>
  <c r="J232" i="69"/>
  <c r="I177" i="63"/>
  <c r="I232" i="69"/>
  <c r="L230" i="69"/>
  <c r="AG230" i="69"/>
  <c r="H176" i="63"/>
  <c r="I176" i="63"/>
  <c r="D176" i="63"/>
  <c r="C535" i="65" s="1"/>
  <c r="J176" i="63"/>
  <c r="L176" i="63" s="1"/>
  <c r="D177" i="63"/>
  <c r="C536" i="65" s="1"/>
  <c r="B82" i="59"/>
  <c r="F81" i="59"/>
  <c r="C81" i="59"/>
  <c r="I237" i="76" l="1"/>
  <c r="I402" i="76"/>
  <c r="I105" i="77" s="1"/>
  <c r="D237" i="76"/>
  <c r="D402" i="76"/>
  <c r="D105" i="77" s="1"/>
  <c r="J105" i="77"/>
  <c r="L105" i="77" s="1"/>
  <c r="AG402" i="76"/>
  <c r="L402" i="76"/>
  <c r="R402" i="76" s="1"/>
  <c r="S402" i="76" s="1"/>
  <c r="S230" i="76"/>
  <c r="P162" i="75"/>
  <c r="P237" i="76"/>
  <c r="H162" i="75"/>
  <c r="H237" i="76"/>
  <c r="O162" i="75"/>
  <c r="Q162" i="75" s="1"/>
  <c r="O237" i="76"/>
  <c r="Q237" i="76" s="1"/>
  <c r="AG257" i="76"/>
  <c r="L257" i="76"/>
  <c r="R257" i="76" s="1"/>
  <c r="S257" i="76" s="1"/>
  <c r="J162" i="75"/>
  <c r="AG162" i="75" s="1"/>
  <c r="J237" i="76"/>
  <c r="AG255" i="76"/>
  <c r="L255" i="76"/>
  <c r="R255" i="76" s="1"/>
  <c r="S255" i="76" s="1"/>
  <c r="N162" i="75"/>
  <c r="N237" i="76"/>
  <c r="AG232" i="76"/>
  <c r="L232" i="76"/>
  <c r="R232" i="76" s="1"/>
  <c r="S232" i="76" s="1"/>
  <c r="A178" i="75"/>
  <c r="A163" i="75"/>
  <c r="R172" i="75"/>
  <c r="S172" i="75" s="1"/>
  <c r="AG174" i="75"/>
  <c r="L174" i="75"/>
  <c r="AG158" i="75"/>
  <c r="L158" i="75"/>
  <c r="W158" i="75" s="1"/>
  <c r="D1645" i="72"/>
  <c r="D162" i="75"/>
  <c r="R157" i="75"/>
  <c r="S157" i="75" s="1"/>
  <c r="AG173" i="75"/>
  <c r="L173" i="75"/>
  <c r="W173" i="75" s="1"/>
  <c r="R158" i="75"/>
  <c r="S158" i="75" s="1"/>
  <c r="M1645" i="72"/>
  <c r="I162" i="75"/>
  <c r="R173" i="75"/>
  <c r="S173" i="75" s="1"/>
  <c r="R255" i="69"/>
  <c r="S255" i="69" s="1"/>
  <c r="R230" i="69"/>
  <c r="S230" i="69" s="1"/>
  <c r="R257" i="69"/>
  <c r="S257" i="69" s="1"/>
  <c r="A1792" i="72"/>
  <c r="A1655" i="72"/>
  <c r="J237" i="71"/>
  <c r="AF237" i="71" s="1"/>
  <c r="N1645" i="72"/>
  <c r="AJ1737" i="72"/>
  <c r="P1737" i="72"/>
  <c r="N237" i="71"/>
  <c r="Q1645" i="72"/>
  <c r="P237" i="71"/>
  <c r="R237" i="71" s="1"/>
  <c r="S1645" i="72"/>
  <c r="T1645" i="72" s="1"/>
  <c r="AJ1748" i="72"/>
  <c r="P1748" i="72"/>
  <c r="H237" i="71"/>
  <c r="H1645" i="72"/>
  <c r="O237" i="71"/>
  <c r="Q237" i="71" s="1"/>
  <c r="R1645" i="72"/>
  <c r="AJ1601" i="72"/>
  <c r="P1601" i="72"/>
  <c r="K82" i="59"/>
  <c r="P403" i="76" s="1"/>
  <c r="A262" i="71"/>
  <c r="A238" i="71"/>
  <c r="P237" i="69"/>
  <c r="D237" i="69"/>
  <c r="D237" i="71"/>
  <c r="L232" i="71"/>
  <c r="S232" i="71" s="1"/>
  <c r="AF232" i="71"/>
  <c r="AF257" i="71"/>
  <c r="L257" i="71"/>
  <c r="S257" i="71" s="1"/>
  <c r="I237" i="69"/>
  <c r="I237" i="71"/>
  <c r="L237" i="71"/>
  <c r="L255" i="71"/>
  <c r="S255" i="71" s="1"/>
  <c r="AF255" i="71"/>
  <c r="S230" i="71"/>
  <c r="O237" i="69"/>
  <c r="Q237" i="69" s="1"/>
  <c r="N237" i="69"/>
  <c r="I82" i="59"/>
  <c r="J82" i="59"/>
  <c r="O403" i="76" s="1"/>
  <c r="Q403" i="76" s="1"/>
  <c r="H237" i="69"/>
  <c r="J237" i="69"/>
  <c r="AG237" i="69" s="1"/>
  <c r="G82" i="59"/>
  <c r="J403" i="76" s="1"/>
  <c r="H82" i="59"/>
  <c r="H403" i="76" s="1"/>
  <c r="H98" i="77" s="1"/>
  <c r="A179" i="63"/>
  <c r="A238" i="69"/>
  <c r="A262" i="69"/>
  <c r="L232" i="69"/>
  <c r="AG232" i="69"/>
  <c r="AG253" i="69"/>
  <c r="C82" i="59"/>
  <c r="D403" i="76" s="1"/>
  <c r="D98" i="77" s="1"/>
  <c r="F82" i="59"/>
  <c r="I403" i="76" s="1"/>
  <c r="I98" i="77" s="1"/>
  <c r="J98" i="77" l="1"/>
  <c r="L98" i="77" s="1"/>
  <c r="L403" i="76"/>
  <c r="R403" i="76" s="1"/>
  <c r="S403" i="76" s="1"/>
  <c r="AG403" i="76"/>
  <c r="P262" i="76"/>
  <c r="P238" i="76"/>
  <c r="H262" i="76"/>
  <c r="H238" i="76"/>
  <c r="O238" i="76"/>
  <c r="Q238" i="76" s="1"/>
  <c r="O262" i="76"/>
  <c r="Q262" i="76" s="1"/>
  <c r="L162" i="75"/>
  <c r="W162" i="75" s="1"/>
  <c r="D238" i="76"/>
  <c r="D262" i="76"/>
  <c r="N262" i="76"/>
  <c r="N238" i="76"/>
  <c r="I262" i="76"/>
  <c r="I238" i="76"/>
  <c r="J238" i="76"/>
  <c r="J262" i="76"/>
  <c r="L237" i="76"/>
  <c r="AG237" i="76"/>
  <c r="H163" i="75"/>
  <c r="H178" i="75"/>
  <c r="O178" i="75"/>
  <c r="Q178" i="75" s="1"/>
  <c r="O163" i="75"/>
  <c r="Q163" i="75" s="1"/>
  <c r="D178" i="75"/>
  <c r="D163" i="75"/>
  <c r="N163" i="75"/>
  <c r="N178" i="75"/>
  <c r="J178" i="75"/>
  <c r="J163" i="75"/>
  <c r="R174" i="75"/>
  <c r="S174" i="75" s="1"/>
  <c r="W174" i="75"/>
  <c r="I178" i="75"/>
  <c r="I163" i="75"/>
  <c r="P178" i="75"/>
  <c r="P163" i="75"/>
  <c r="R232" i="69"/>
  <c r="S232" i="69" s="1"/>
  <c r="P262" i="69"/>
  <c r="P238" i="69"/>
  <c r="S237" i="71"/>
  <c r="H1792" i="72"/>
  <c r="H1655" i="72"/>
  <c r="N1792" i="72"/>
  <c r="N1655" i="72"/>
  <c r="Q1655" i="72"/>
  <c r="Q1792" i="72"/>
  <c r="D1792" i="72"/>
  <c r="D1655" i="72"/>
  <c r="P1645" i="72"/>
  <c r="AJ1645" i="72"/>
  <c r="M1792" i="72"/>
  <c r="M1655" i="72"/>
  <c r="R1655" i="72"/>
  <c r="R1792" i="72"/>
  <c r="P238" i="71"/>
  <c r="R238" i="71" s="1"/>
  <c r="S1655" i="72"/>
  <c r="T1655" i="72" s="1"/>
  <c r="S1792" i="72"/>
  <c r="T1792" i="72" s="1"/>
  <c r="P262" i="71"/>
  <c r="R262" i="71" s="1"/>
  <c r="H262" i="71"/>
  <c r="H238" i="71"/>
  <c r="O238" i="71"/>
  <c r="Q238" i="71" s="1"/>
  <c r="O262" i="71"/>
  <c r="Q262" i="71" s="1"/>
  <c r="N262" i="71"/>
  <c r="N238" i="71"/>
  <c r="I238" i="71"/>
  <c r="I262" i="71"/>
  <c r="J238" i="71"/>
  <c r="J262" i="71"/>
  <c r="D262" i="71"/>
  <c r="D238" i="71"/>
  <c r="O238" i="69"/>
  <c r="Q238" i="69" s="1"/>
  <c r="N238" i="69"/>
  <c r="N262" i="69"/>
  <c r="O262" i="69"/>
  <c r="Q262" i="69" s="1"/>
  <c r="L237" i="69"/>
  <c r="R237" i="69" s="1"/>
  <c r="D238" i="69"/>
  <c r="J238" i="69"/>
  <c r="I238" i="69"/>
  <c r="H238" i="69"/>
  <c r="J262" i="69"/>
  <c r="I262" i="69"/>
  <c r="H262" i="69"/>
  <c r="D262" i="69"/>
  <c r="AG255" i="69"/>
  <c r="J179" i="63"/>
  <c r="L179" i="63" s="1"/>
  <c r="L181" i="63" s="1"/>
  <c r="H179" i="63"/>
  <c r="I179" i="63"/>
  <c r="D179" i="63"/>
  <c r="C538" i="65" s="1"/>
  <c r="R162" i="75" l="1"/>
  <c r="S162" i="75" s="1"/>
  <c r="AG262" i="76"/>
  <c r="L262" i="76"/>
  <c r="L238" i="76"/>
  <c r="AG238" i="76"/>
  <c r="R237" i="76"/>
  <c r="S237" i="76" s="1"/>
  <c r="AG163" i="75"/>
  <c r="L163" i="75"/>
  <c r="AG178" i="75"/>
  <c r="L178" i="75"/>
  <c r="W178" i="75" s="1"/>
  <c r="S237" i="69"/>
  <c r="AJ1655" i="72"/>
  <c r="P1655" i="72"/>
  <c r="AJ1792" i="72"/>
  <c r="P1792" i="72"/>
  <c r="AF262" i="71"/>
  <c r="L262" i="71"/>
  <c r="L238" i="71"/>
  <c r="S238" i="71" s="1"/>
  <c r="AF238" i="71"/>
  <c r="L238" i="69"/>
  <c r="AG238" i="69"/>
  <c r="L262" i="69"/>
  <c r="R262" i="69" s="1"/>
  <c r="AG262" i="69"/>
  <c r="AG257" i="69"/>
  <c r="M265" i="76" l="1"/>
  <c r="U265" i="76" s="1"/>
  <c r="R262" i="76"/>
  <c r="S262" i="76" s="1"/>
  <c r="R238" i="76"/>
  <c r="S238" i="76" s="1"/>
  <c r="R178" i="75"/>
  <c r="S178" i="75" s="1"/>
  <c r="R163" i="75"/>
  <c r="S163" i="75" s="1"/>
  <c r="W163" i="75"/>
  <c r="S262" i="69"/>
  <c r="R238" i="69"/>
  <c r="S238" i="69" s="1"/>
  <c r="S262" i="71"/>
  <c r="B83" i="59"/>
  <c r="R265" i="76" l="1"/>
  <c r="N265" i="76" s="1"/>
  <c r="S265" i="76"/>
  <c r="A137" i="75"/>
  <c r="A142" i="75"/>
  <c r="A1388" i="72"/>
  <c r="A1447" i="72"/>
  <c r="K83" i="59"/>
  <c r="P404" i="76" s="1"/>
  <c r="A204" i="71"/>
  <c r="A197" i="71"/>
  <c r="J83" i="59"/>
  <c r="O404" i="76" s="1"/>
  <c r="Q404" i="76" s="1"/>
  <c r="I83" i="59"/>
  <c r="H83" i="59"/>
  <c r="H404" i="76" s="1"/>
  <c r="H76" i="77" s="1"/>
  <c r="G83" i="59"/>
  <c r="J404" i="76" s="1"/>
  <c r="A204" i="69"/>
  <c r="A197" i="69"/>
  <c r="F83" i="59"/>
  <c r="I404" i="76" s="1"/>
  <c r="I76" i="77" s="1"/>
  <c r="C83" i="59"/>
  <c r="D404" i="76" s="1"/>
  <c r="D76" i="77" s="1"/>
  <c r="A140" i="63"/>
  <c r="AG404" i="76" l="1"/>
  <c r="L404" i="76"/>
  <c r="R404" i="76" s="1"/>
  <c r="S404" i="76" s="1"/>
  <c r="J76" i="77"/>
  <c r="L76" i="77" s="1"/>
  <c r="N204" i="76"/>
  <c r="N197" i="76"/>
  <c r="I197" i="76"/>
  <c r="I204" i="76"/>
  <c r="H204" i="76"/>
  <c r="H197" i="76"/>
  <c r="P204" i="76"/>
  <c r="P197" i="76"/>
  <c r="O197" i="76"/>
  <c r="Q197" i="76" s="1"/>
  <c r="O204" i="76"/>
  <c r="Q204" i="76" s="1"/>
  <c r="D197" i="76"/>
  <c r="D204" i="76"/>
  <c r="J204" i="76"/>
  <c r="J197" i="76"/>
  <c r="I137" i="75"/>
  <c r="I142" i="75"/>
  <c r="H137" i="75"/>
  <c r="H142" i="75"/>
  <c r="P142" i="75"/>
  <c r="P137" i="75"/>
  <c r="N137" i="75"/>
  <c r="N142" i="75"/>
  <c r="O137" i="75"/>
  <c r="Q137" i="75" s="1"/>
  <c r="O142" i="75"/>
  <c r="Q142" i="75" s="1"/>
  <c r="D137" i="75"/>
  <c r="D142" i="75"/>
  <c r="J142" i="75"/>
  <c r="J137" i="75"/>
  <c r="N1388" i="72"/>
  <c r="N1447" i="72"/>
  <c r="R1388" i="72"/>
  <c r="R1447" i="72"/>
  <c r="M1388" i="72"/>
  <c r="M1447" i="72"/>
  <c r="H1388" i="72"/>
  <c r="H1447" i="72"/>
  <c r="P204" i="71"/>
  <c r="R204" i="71" s="1"/>
  <c r="D1388" i="72"/>
  <c r="D1447" i="72"/>
  <c r="Q1388" i="72"/>
  <c r="Q1447" i="72"/>
  <c r="P197" i="71"/>
  <c r="R197" i="71" s="1"/>
  <c r="S1388" i="72"/>
  <c r="T1388" i="72" s="1"/>
  <c r="S1447" i="72"/>
  <c r="T1447" i="72" s="1"/>
  <c r="P197" i="69"/>
  <c r="P204" i="69"/>
  <c r="N197" i="71"/>
  <c r="N204" i="71"/>
  <c r="O204" i="71"/>
  <c r="Q204" i="71" s="1"/>
  <c r="O197" i="71"/>
  <c r="Q197" i="71" s="1"/>
  <c r="D204" i="71"/>
  <c r="D197" i="71"/>
  <c r="J197" i="71"/>
  <c r="J204" i="71"/>
  <c r="I204" i="71"/>
  <c r="I197" i="71"/>
  <c r="H197" i="71"/>
  <c r="H204" i="71"/>
  <c r="N197" i="69"/>
  <c r="O197" i="69"/>
  <c r="O204" i="69"/>
  <c r="N204" i="69"/>
  <c r="H197" i="69"/>
  <c r="H204" i="69"/>
  <c r="D197" i="69"/>
  <c r="D204" i="69"/>
  <c r="J197" i="69"/>
  <c r="AG197" i="69" s="1"/>
  <c r="J204" i="69"/>
  <c r="I197" i="69"/>
  <c r="I204" i="69"/>
  <c r="H140" i="63"/>
  <c r="J140" i="63"/>
  <c r="L140" i="63" s="1"/>
  <c r="L142" i="63" s="1"/>
  <c r="I140" i="63"/>
  <c r="AG197" i="76" l="1"/>
  <c r="L197" i="76"/>
  <c r="AG204" i="76"/>
  <c r="L204" i="76"/>
  <c r="AG137" i="75"/>
  <c r="L137" i="75"/>
  <c r="AG142" i="75"/>
  <c r="L142" i="75"/>
  <c r="W142" i="75" s="1"/>
  <c r="P1447" i="72"/>
  <c r="AJ1447" i="72"/>
  <c r="AJ1388" i="72"/>
  <c r="P1388" i="72"/>
  <c r="AF204" i="71"/>
  <c r="L204" i="71"/>
  <c r="S204" i="71" s="1"/>
  <c r="AF197" i="71"/>
  <c r="L197" i="71"/>
  <c r="AG204" i="69"/>
  <c r="D140" i="63"/>
  <c r="C438" i="65" s="1"/>
  <c r="J104" i="63"/>
  <c r="L104" i="63" s="1"/>
  <c r="L110" i="63" s="1"/>
  <c r="D104" i="63"/>
  <c r="C294" i="65" s="1"/>
  <c r="H104" i="63"/>
  <c r="I104" i="63"/>
  <c r="R204" i="76" l="1"/>
  <c r="S204" i="76" s="1"/>
  <c r="M205" i="76"/>
  <c r="U205" i="76" s="1"/>
  <c r="R197" i="76"/>
  <c r="R137" i="75"/>
  <c r="S137" i="75" s="1"/>
  <c r="W137" i="75"/>
  <c r="R142" i="75"/>
  <c r="S142" i="75" s="1"/>
  <c r="S197" i="71"/>
  <c r="A165" i="63"/>
  <c r="S197" i="76" l="1"/>
  <c r="S205" i="76" s="1"/>
  <c r="R205" i="76"/>
  <c r="N205" i="76" s="1"/>
  <c r="J165" i="63"/>
  <c r="L165" i="63" s="1"/>
  <c r="H165" i="63"/>
  <c r="D165" i="63"/>
  <c r="C498" i="65" s="1"/>
  <c r="I165" i="63"/>
  <c r="B1312" i="58" l="1"/>
  <c r="B1332" i="58" s="1"/>
  <c r="B84" i="59"/>
  <c r="A146" i="75" l="1"/>
  <c r="A145" i="75"/>
  <c r="A148" i="75"/>
  <c r="A143" i="75"/>
  <c r="A1494" i="72"/>
  <c r="A1482" i="72"/>
  <c r="A1460" i="72"/>
  <c r="A1516" i="72"/>
  <c r="K84" i="59"/>
  <c r="P405" i="76" s="1"/>
  <c r="A212" i="71"/>
  <c r="A210" i="71"/>
  <c r="A208" i="71"/>
  <c r="A214" i="71"/>
  <c r="I84" i="59"/>
  <c r="J84" i="59"/>
  <c r="O405" i="76" s="1"/>
  <c r="Q405" i="76" s="1"/>
  <c r="G84" i="59"/>
  <c r="J405" i="76" s="1"/>
  <c r="H84" i="59"/>
  <c r="H405" i="76" s="1"/>
  <c r="H34" i="77" s="1"/>
  <c r="A212" i="69"/>
  <c r="A210" i="69"/>
  <c r="A214" i="69"/>
  <c r="A208" i="69"/>
  <c r="P208" i="69" s="1"/>
  <c r="A163" i="63"/>
  <c r="F84" i="59"/>
  <c r="I405" i="76" s="1"/>
  <c r="I34" i="77" s="1"/>
  <c r="C84" i="59"/>
  <c r="D405" i="76" s="1"/>
  <c r="D34" i="77" s="1"/>
  <c r="B85" i="59"/>
  <c r="J34" i="77" l="1"/>
  <c r="L34" i="77" s="1"/>
  <c r="AG405" i="76"/>
  <c r="L405" i="76"/>
  <c r="R405" i="76" s="1"/>
  <c r="S405" i="76" s="1"/>
  <c r="D212" i="76"/>
  <c r="D208" i="76"/>
  <c r="I210" i="76"/>
  <c r="I214" i="76"/>
  <c r="I208" i="76"/>
  <c r="I212" i="76"/>
  <c r="O208" i="76"/>
  <c r="Q208" i="76" s="1"/>
  <c r="O212" i="76"/>
  <c r="Q212" i="76" s="1"/>
  <c r="O210" i="76"/>
  <c r="Q210" i="76" s="1"/>
  <c r="O214" i="76"/>
  <c r="Q214" i="76" s="1"/>
  <c r="J208" i="76"/>
  <c r="J212" i="76"/>
  <c r="J214" i="76"/>
  <c r="J210" i="76"/>
  <c r="N212" i="76"/>
  <c r="N210" i="76"/>
  <c r="N214" i="76"/>
  <c r="N208" i="76"/>
  <c r="H210" i="76"/>
  <c r="H208" i="76"/>
  <c r="H214" i="76"/>
  <c r="H212" i="76"/>
  <c r="P208" i="76"/>
  <c r="P212" i="76"/>
  <c r="P210" i="76"/>
  <c r="P214" i="76"/>
  <c r="A144" i="75"/>
  <c r="A147" i="75"/>
  <c r="D143" i="75"/>
  <c r="D146" i="75"/>
  <c r="J145" i="75"/>
  <c r="J143" i="75"/>
  <c r="J148" i="75"/>
  <c r="J146" i="75"/>
  <c r="I145" i="75"/>
  <c r="I143" i="75"/>
  <c r="I148" i="75"/>
  <c r="I146" i="75"/>
  <c r="O143" i="75"/>
  <c r="Q143" i="75" s="1"/>
  <c r="O145" i="75"/>
  <c r="Q145" i="75" s="1"/>
  <c r="O148" i="75"/>
  <c r="Q148" i="75" s="1"/>
  <c r="O146" i="75"/>
  <c r="Q146" i="75" s="1"/>
  <c r="N148" i="75"/>
  <c r="N143" i="75"/>
  <c r="N146" i="75"/>
  <c r="N145" i="75"/>
  <c r="H146" i="75"/>
  <c r="H148" i="75"/>
  <c r="H143" i="75"/>
  <c r="H145" i="75"/>
  <c r="P148" i="75"/>
  <c r="P143" i="75"/>
  <c r="P146" i="75"/>
  <c r="P145" i="75"/>
  <c r="P214" i="71"/>
  <c r="R214" i="71" s="1"/>
  <c r="P212" i="71"/>
  <c r="R212" i="71" s="1"/>
  <c r="A1505" i="72"/>
  <c r="A1471" i="72"/>
  <c r="P210" i="71"/>
  <c r="R210" i="71" s="1"/>
  <c r="M1460" i="72"/>
  <c r="M1494" i="72"/>
  <c r="M1516" i="72"/>
  <c r="M1482" i="72"/>
  <c r="R1482" i="72"/>
  <c r="R1516" i="72"/>
  <c r="R1460" i="72"/>
  <c r="R1494" i="72"/>
  <c r="Q1516" i="72"/>
  <c r="Q1482" i="72"/>
  <c r="Q1494" i="72"/>
  <c r="Q1460" i="72"/>
  <c r="H1516" i="72"/>
  <c r="H1482" i="72"/>
  <c r="H1460" i="72"/>
  <c r="H1494" i="72"/>
  <c r="D1460" i="72"/>
  <c r="D1494" i="72"/>
  <c r="N1482" i="72"/>
  <c r="N1516" i="72"/>
  <c r="N1494" i="72"/>
  <c r="N1460" i="72"/>
  <c r="P208" i="71"/>
  <c r="R208" i="71" s="1"/>
  <c r="S1460" i="72"/>
  <c r="T1460" i="72" s="1"/>
  <c r="S1482" i="72"/>
  <c r="T1482" i="72" s="1"/>
  <c r="S1516" i="72"/>
  <c r="T1516" i="72" s="1"/>
  <c r="S1494" i="72"/>
  <c r="T1494" i="72" s="1"/>
  <c r="P214" i="69"/>
  <c r="P210" i="69"/>
  <c r="P212" i="69"/>
  <c r="K85" i="59"/>
  <c r="P406" i="76" s="1"/>
  <c r="A213" i="71"/>
  <c r="A209" i="71"/>
  <c r="H210" i="71"/>
  <c r="H214" i="71"/>
  <c r="H212" i="71"/>
  <c r="H208" i="71"/>
  <c r="D208" i="71"/>
  <c r="D212" i="71"/>
  <c r="J214" i="71"/>
  <c r="J210" i="71"/>
  <c r="J212" i="71"/>
  <c r="J208" i="71"/>
  <c r="O212" i="71"/>
  <c r="Q212" i="71" s="1"/>
  <c r="O214" i="71"/>
  <c r="Q214" i="71" s="1"/>
  <c r="O210" i="71"/>
  <c r="Q210" i="71" s="1"/>
  <c r="O208" i="71"/>
  <c r="Q208" i="71" s="1"/>
  <c r="I208" i="71"/>
  <c r="I212" i="71"/>
  <c r="I210" i="71"/>
  <c r="I214" i="71"/>
  <c r="N214" i="71"/>
  <c r="N210" i="71"/>
  <c r="N212" i="71"/>
  <c r="N208" i="71"/>
  <c r="N214" i="69"/>
  <c r="O214" i="69"/>
  <c r="Q214" i="69" s="1"/>
  <c r="N212" i="69"/>
  <c r="O212" i="69"/>
  <c r="Q212" i="69" s="1"/>
  <c r="J85" i="59"/>
  <c r="O406" i="76" s="1"/>
  <c r="Q406" i="76" s="1"/>
  <c r="I85" i="59"/>
  <c r="O208" i="69"/>
  <c r="Q208" i="69" s="1"/>
  <c r="N208" i="69"/>
  <c r="N210" i="69"/>
  <c r="O210" i="69"/>
  <c r="Q210" i="69" s="1"/>
  <c r="D208" i="69"/>
  <c r="G85" i="59"/>
  <c r="J406" i="76" s="1"/>
  <c r="H85" i="59"/>
  <c r="H406" i="76" s="1"/>
  <c r="H39" i="77" s="1"/>
  <c r="J214" i="69"/>
  <c r="I214" i="69"/>
  <c r="H214" i="69"/>
  <c r="A213" i="69"/>
  <c r="A209" i="69"/>
  <c r="H212" i="69"/>
  <c r="J212" i="69"/>
  <c r="D212" i="69"/>
  <c r="I212" i="69"/>
  <c r="I210" i="69"/>
  <c r="I208" i="69"/>
  <c r="J210" i="69"/>
  <c r="J208" i="69"/>
  <c r="H208" i="69"/>
  <c r="H210" i="69"/>
  <c r="A164" i="63"/>
  <c r="D163" i="63"/>
  <c r="C482" i="65" s="1"/>
  <c r="J163" i="63"/>
  <c r="L163" i="63" s="1"/>
  <c r="I163" i="63"/>
  <c r="H163" i="63"/>
  <c r="C85" i="59"/>
  <c r="D406" i="76" s="1"/>
  <c r="D39" i="77" s="1"/>
  <c r="F85" i="59"/>
  <c r="I406" i="76" s="1"/>
  <c r="I39" i="77" s="1"/>
  <c r="A166" i="63"/>
  <c r="J39" i="77" l="1"/>
  <c r="L39" i="77" s="1"/>
  <c r="L406" i="76"/>
  <c r="R406" i="76" s="1"/>
  <c r="S406" i="76" s="1"/>
  <c r="AG406" i="76"/>
  <c r="O213" i="76"/>
  <c r="Q213" i="76" s="1"/>
  <c r="O209" i="76"/>
  <c r="Q209" i="76" s="1"/>
  <c r="D213" i="76"/>
  <c r="D209" i="76"/>
  <c r="N209" i="76"/>
  <c r="N213" i="76"/>
  <c r="AG212" i="76"/>
  <c r="L212" i="76"/>
  <c r="R212" i="76" s="1"/>
  <c r="S212" i="76" s="1"/>
  <c r="H209" i="76"/>
  <c r="H213" i="76"/>
  <c r="AG208" i="76"/>
  <c r="L208" i="76"/>
  <c r="J209" i="76"/>
  <c r="J213" i="76"/>
  <c r="P209" i="76"/>
  <c r="P213" i="76"/>
  <c r="AG210" i="76"/>
  <c r="L210" i="76"/>
  <c r="R210" i="76" s="1"/>
  <c r="S210" i="76" s="1"/>
  <c r="I209" i="76"/>
  <c r="I213" i="76"/>
  <c r="AG214" i="76"/>
  <c r="L214" i="76"/>
  <c r="R214" i="76" s="1"/>
  <c r="S214" i="76" s="1"/>
  <c r="D147" i="75"/>
  <c r="D144" i="75"/>
  <c r="N144" i="75"/>
  <c r="N147" i="75"/>
  <c r="AG143" i="75"/>
  <c r="L143" i="75"/>
  <c r="W143" i="75" s="1"/>
  <c r="H144" i="75"/>
  <c r="H147" i="75"/>
  <c r="O147" i="75"/>
  <c r="Q147" i="75" s="1"/>
  <c r="O144" i="75"/>
  <c r="Q144" i="75" s="1"/>
  <c r="AG145" i="75"/>
  <c r="L145" i="75"/>
  <c r="J144" i="75"/>
  <c r="J147" i="75"/>
  <c r="P147" i="75"/>
  <c r="P144" i="75"/>
  <c r="AG146" i="75"/>
  <c r="L146" i="75"/>
  <c r="W146" i="75" s="1"/>
  <c r="I147" i="75"/>
  <c r="I144" i="75"/>
  <c r="AG148" i="75"/>
  <c r="L148" i="75"/>
  <c r="W148" i="75" s="1"/>
  <c r="P213" i="71"/>
  <c r="R213" i="71" s="1"/>
  <c r="AJ1482" i="72"/>
  <c r="P1482" i="72"/>
  <c r="P213" i="69"/>
  <c r="N1505" i="72"/>
  <c r="N1471" i="72"/>
  <c r="AJ1516" i="72"/>
  <c r="P1516" i="72"/>
  <c r="D1505" i="72"/>
  <c r="D1471" i="72"/>
  <c r="P209" i="69"/>
  <c r="Q1505" i="72"/>
  <c r="Q1471" i="72"/>
  <c r="P1460" i="72"/>
  <c r="AJ1460" i="72"/>
  <c r="M1471" i="72"/>
  <c r="M1505" i="72"/>
  <c r="P209" i="71"/>
  <c r="R209" i="71" s="1"/>
  <c r="S1471" i="72"/>
  <c r="T1471" i="72" s="1"/>
  <c r="S1505" i="72"/>
  <c r="T1505" i="72" s="1"/>
  <c r="H1505" i="72"/>
  <c r="H1471" i="72"/>
  <c r="R1505" i="72"/>
  <c r="R1471" i="72"/>
  <c r="AJ1494" i="72"/>
  <c r="P1494" i="72"/>
  <c r="J213" i="71"/>
  <c r="J209" i="71"/>
  <c r="AF208" i="71"/>
  <c r="L208" i="71"/>
  <c r="I213" i="71"/>
  <c r="I209" i="71"/>
  <c r="AF212" i="71"/>
  <c r="L212" i="71"/>
  <c r="S212" i="71" s="1"/>
  <c r="D209" i="69"/>
  <c r="D213" i="71"/>
  <c r="D209" i="71"/>
  <c r="N213" i="71"/>
  <c r="N209" i="71"/>
  <c r="AF210" i="71"/>
  <c r="L210" i="71"/>
  <c r="S210" i="71" s="1"/>
  <c r="H209" i="71"/>
  <c r="H213" i="71"/>
  <c r="O213" i="71"/>
  <c r="Q213" i="71" s="1"/>
  <c r="O209" i="71"/>
  <c r="Q209" i="71" s="1"/>
  <c r="AF214" i="71"/>
  <c r="L214" i="71"/>
  <c r="S214" i="71" s="1"/>
  <c r="N213" i="69"/>
  <c r="O213" i="69"/>
  <c r="Q213" i="69" s="1"/>
  <c r="O209" i="69"/>
  <c r="Q209" i="69" s="1"/>
  <c r="N209" i="69"/>
  <c r="J209" i="69"/>
  <c r="L209" i="69" s="1"/>
  <c r="H209" i="69"/>
  <c r="I209" i="69"/>
  <c r="B1352" i="58"/>
  <c r="B86" i="59"/>
  <c r="I213" i="69"/>
  <c r="H213" i="69"/>
  <c r="D213" i="69"/>
  <c r="J213" i="69"/>
  <c r="L213" i="69" s="1"/>
  <c r="L212" i="69"/>
  <c r="AG212" i="69"/>
  <c r="L214" i="69"/>
  <c r="AG214" i="69"/>
  <c r="L208" i="69"/>
  <c r="AG208" i="69"/>
  <c r="L210" i="69"/>
  <c r="AG210" i="69"/>
  <c r="A167" i="63"/>
  <c r="J164" i="63"/>
  <c r="L164" i="63" s="1"/>
  <c r="D164" i="63"/>
  <c r="C485" i="65" s="1"/>
  <c r="I164" i="63"/>
  <c r="H164" i="63"/>
  <c r="D166" i="63"/>
  <c r="C499" i="65" s="1"/>
  <c r="H166" i="63"/>
  <c r="J166" i="63"/>
  <c r="L166" i="63" s="1"/>
  <c r="I166" i="63"/>
  <c r="AG213" i="76" l="1"/>
  <c r="L213" i="76"/>
  <c r="R213" i="76" s="1"/>
  <c r="S213" i="76" s="1"/>
  <c r="AG209" i="76"/>
  <c r="L209" i="76"/>
  <c r="R209" i="76" s="1"/>
  <c r="S209" i="76" s="1"/>
  <c r="R208" i="76"/>
  <c r="S208" i="76" s="1"/>
  <c r="A202" i="75"/>
  <c r="A183" i="75"/>
  <c r="R146" i="75"/>
  <c r="S146" i="75" s="1"/>
  <c r="AG147" i="75"/>
  <c r="L147" i="75"/>
  <c r="R148" i="75"/>
  <c r="S148" i="75" s="1"/>
  <c r="AG144" i="75"/>
  <c r="L144" i="75"/>
  <c r="W144" i="75" s="1"/>
  <c r="R145" i="75"/>
  <c r="S145" i="75" s="1"/>
  <c r="W145" i="75"/>
  <c r="R143" i="75"/>
  <c r="S143" i="75" s="1"/>
  <c r="R212" i="69"/>
  <c r="S212" i="69" s="1"/>
  <c r="R213" i="69"/>
  <c r="S213" i="69" s="1"/>
  <c r="R208" i="69"/>
  <c r="S208" i="69" s="1"/>
  <c r="R209" i="69"/>
  <c r="S209" i="69" s="1"/>
  <c r="R214" i="69"/>
  <c r="S214" i="69" s="1"/>
  <c r="R210" i="69"/>
  <c r="S210" i="69" s="1"/>
  <c r="A1991" i="72"/>
  <c r="A1831" i="72"/>
  <c r="AJ1505" i="72"/>
  <c r="P1505" i="72"/>
  <c r="AJ1471" i="72"/>
  <c r="P1471" i="72"/>
  <c r="K86" i="59"/>
  <c r="P407" i="76" s="1"/>
  <c r="A295" i="71"/>
  <c r="A274" i="71"/>
  <c r="S208" i="71"/>
  <c r="AF209" i="71"/>
  <c r="L209" i="71"/>
  <c r="S209" i="71" s="1"/>
  <c r="AF213" i="71"/>
  <c r="L213" i="71"/>
  <c r="S213" i="71" s="1"/>
  <c r="I86" i="59"/>
  <c r="J86" i="59"/>
  <c r="O407" i="76" s="1"/>
  <c r="Q407" i="76" s="1"/>
  <c r="A295" i="69"/>
  <c r="G86" i="59"/>
  <c r="J407" i="76" s="1"/>
  <c r="H86" i="59"/>
  <c r="H407" i="76" s="1"/>
  <c r="H83" i="77" s="1"/>
  <c r="AG209" i="69"/>
  <c r="J167" i="63"/>
  <c r="L167" i="63" s="1"/>
  <c r="D167" i="63"/>
  <c r="C514" i="65" s="1"/>
  <c r="H167" i="63"/>
  <c r="C86" i="59"/>
  <c r="D407" i="76" s="1"/>
  <c r="D83" i="77" s="1"/>
  <c r="F86" i="59"/>
  <c r="I407" i="76" s="1"/>
  <c r="I83" i="77" s="1"/>
  <c r="A274" i="69"/>
  <c r="B1372" i="58"/>
  <c r="B1393" i="58" s="1"/>
  <c r="B87" i="59"/>
  <c r="L169" i="63"/>
  <c r="J83" i="77" l="1"/>
  <c r="L83" i="77" s="1"/>
  <c r="L407" i="76"/>
  <c r="R407" i="76" s="1"/>
  <c r="S407" i="76" s="1"/>
  <c r="AG407" i="76"/>
  <c r="M216" i="76"/>
  <c r="U216" i="76" s="1"/>
  <c r="S216" i="76"/>
  <c r="J295" i="76"/>
  <c r="J274" i="76"/>
  <c r="I274" i="76"/>
  <c r="I295" i="76"/>
  <c r="O274" i="76"/>
  <c r="Q274" i="76" s="1"/>
  <c r="O295" i="76"/>
  <c r="Q295" i="76" s="1"/>
  <c r="R216" i="76"/>
  <c r="N216" i="76" s="1"/>
  <c r="H274" i="76"/>
  <c r="H295" i="76"/>
  <c r="N295" i="76"/>
  <c r="N274" i="76"/>
  <c r="P295" i="76"/>
  <c r="P274" i="76"/>
  <c r="A1822" i="72"/>
  <c r="A182" i="75"/>
  <c r="H183" i="75"/>
  <c r="H202" i="75"/>
  <c r="I202" i="75"/>
  <c r="I183" i="75"/>
  <c r="O183" i="75"/>
  <c r="Q183" i="75" s="1"/>
  <c r="O202" i="75"/>
  <c r="Q202" i="75" s="1"/>
  <c r="N183" i="75"/>
  <c r="N202" i="75"/>
  <c r="P274" i="71"/>
  <c r="R274" i="71" s="1"/>
  <c r="P202" i="75"/>
  <c r="P183" i="75"/>
  <c r="R144" i="75"/>
  <c r="S144" i="75" s="1"/>
  <c r="R147" i="75"/>
  <c r="S147" i="75" s="1"/>
  <c r="W147" i="75"/>
  <c r="J183" i="75"/>
  <c r="J202" i="75"/>
  <c r="P274" i="69"/>
  <c r="H1991" i="72"/>
  <c r="H1831" i="72"/>
  <c r="R1991" i="72"/>
  <c r="R1831" i="72"/>
  <c r="N1991" i="72"/>
  <c r="N1831" i="72"/>
  <c r="P295" i="71"/>
  <c r="R295" i="71" s="1"/>
  <c r="S1831" i="72"/>
  <c r="T1831" i="72" s="1"/>
  <c r="S1991" i="72"/>
  <c r="T1991" i="72" s="1"/>
  <c r="Q1831" i="72"/>
  <c r="Q1991" i="72"/>
  <c r="M1831" i="72"/>
  <c r="M1991" i="72"/>
  <c r="P295" i="69"/>
  <c r="K87" i="59"/>
  <c r="P408" i="76" s="1"/>
  <c r="A273" i="71"/>
  <c r="H274" i="71"/>
  <c r="H295" i="71"/>
  <c r="J274" i="71"/>
  <c r="J295" i="71"/>
  <c r="I295" i="69"/>
  <c r="I295" i="71"/>
  <c r="I274" i="71"/>
  <c r="O295" i="71"/>
  <c r="Q295" i="71" s="1"/>
  <c r="O274" i="71"/>
  <c r="Q274" i="71" s="1"/>
  <c r="N295" i="71"/>
  <c r="N274" i="71"/>
  <c r="H295" i="69"/>
  <c r="N274" i="69"/>
  <c r="O274" i="69"/>
  <c r="Q274" i="69" s="1"/>
  <c r="N295" i="69"/>
  <c r="O295" i="69"/>
  <c r="Q295" i="69" s="1"/>
  <c r="J87" i="59"/>
  <c r="O408" i="76" s="1"/>
  <c r="Q408" i="76" s="1"/>
  <c r="I87" i="59"/>
  <c r="J295" i="69"/>
  <c r="AG295" i="69" s="1"/>
  <c r="H87" i="59"/>
  <c r="H408" i="76" s="1"/>
  <c r="H40" i="77" s="1"/>
  <c r="G87" i="59"/>
  <c r="J408" i="76" s="1"/>
  <c r="B88" i="59"/>
  <c r="K88" i="59" s="1"/>
  <c r="A273" i="69"/>
  <c r="C87" i="59"/>
  <c r="D408" i="76" s="1"/>
  <c r="D40" i="77" s="1"/>
  <c r="F87" i="59"/>
  <c r="I408" i="76" s="1"/>
  <c r="I40" i="77" s="1"/>
  <c r="B1413" i="58"/>
  <c r="B1433" i="58" s="1"/>
  <c r="B1453" i="58" s="1"/>
  <c r="B89" i="59"/>
  <c r="AG408" i="76" l="1"/>
  <c r="J40" i="77"/>
  <c r="L40" i="77" s="1"/>
  <c r="L408" i="76"/>
  <c r="R408" i="76" s="1"/>
  <c r="S408" i="76" s="1"/>
  <c r="N182" i="75"/>
  <c r="N273" i="76"/>
  <c r="AG274" i="76"/>
  <c r="L274" i="76"/>
  <c r="R274" i="76" s="1"/>
  <c r="S274" i="76" s="1"/>
  <c r="P182" i="75"/>
  <c r="P273" i="76"/>
  <c r="J182" i="75"/>
  <c r="J273" i="76"/>
  <c r="O182" i="75"/>
  <c r="Q182" i="75" s="1"/>
  <c r="O273" i="76"/>
  <c r="Q273" i="76" s="1"/>
  <c r="AG295" i="76"/>
  <c r="L295" i="76"/>
  <c r="R295" i="76" s="1"/>
  <c r="S295" i="76" s="1"/>
  <c r="I182" i="75"/>
  <c r="I273" i="76"/>
  <c r="H182" i="75"/>
  <c r="H273" i="76"/>
  <c r="A184" i="75"/>
  <c r="A203" i="75"/>
  <c r="AG183" i="75"/>
  <c r="L183" i="75"/>
  <c r="AG182" i="75"/>
  <c r="L182" i="75"/>
  <c r="R182" i="75" s="1"/>
  <c r="S182" i="75" s="1"/>
  <c r="L202" i="75"/>
  <c r="W202" i="75" s="1"/>
  <c r="AG202" i="75"/>
  <c r="A2000" i="72"/>
  <c r="A1840" i="72"/>
  <c r="H273" i="71"/>
  <c r="H1822" i="72"/>
  <c r="P273" i="71"/>
  <c r="R273" i="71" s="1"/>
  <c r="S1822" i="72"/>
  <c r="T1822" i="72" s="1"/>
  <c r="N273" i="71"/>
  <c r="Q1822" i="72"/>
  <c r="P1831" i="72"/>
  <c r="AJ1831" i="72"/>
  <c r="I273" i="71"/>
  <c r="M1822" i="72"/>
  <c r="J273" i="71"/>
  <c r="AF273" i="71" s="1"/>
  <c r="N1822" i="72"/>
  <c r="O273" i="71"/>
  <c r="Q273" i="71" s="1"/>
  <c r="R1822" i="72"/>
  <c r="AJ1991" i="72"/>
  <c r="P1991" i="72"/>
  <c r="K89" i="59"/>
  <c r="P409" i="76" s="1"/>
  <c r="A296" i="71"/>
  <c r="A275" i="71"/>
  <c r="P273" i="69"/>
  <c r="AF295" i="71"/>
  <c r="L295" i="71"/>
  <c r="S295" i="71" s="1"/>
  <c r="AF274" i="71"/>
  <c r="L274" i="71"/>
  <c r="S274" i="71" s="1"/>
  <c r="O273" i="69"/>
  <c r="Q273" i="69" s="1"/>
  <c r="N273" i="69"/>
  <c r="I88" i="59"/>
  <c r="J88" i="59"/>
  <c r="J89" i="59"/>
  <c r="O409" i="76" s="1"/>
  <c r="Q409" i="76" s="1"/>
  <c r="I89" i="59"/>
  <c r="L295" i="69"/>
  <c r="C88" i="59"/>
  <c r="G88" i="59"/>
  <c r="H88" i="59"/>
  <c r="A296" i="69"/>
  <c r="G89" i="59"/>
  <c r="J409" i="76" s="1"/>
  <c r="H89" i="59"/>
  <c r="H409" i="76" s="1"/>
  <c r="H59" i="77" s="1"/>
  <c r="F88" i="59"/>
  <c r="B1473" i="58"/>
  <c r="B1493" i="58" s="1"/>
  <c r="B92" i="59"/>
  <c r="A120" i="63"/>
  <c r="A275" i="69"/>
  <c r="B90" i="59"/>
  <c r="K90" i="59" s="1"/>
  <c r="F89" i="59"/>
  <c r="I409" i="76" s="1"/>
  <c r="I59" i="77" s="1"/>
  <c r="C89" i="59"/>
  <c r="D409" i="76" s="1"/>
  <c r="D59" i="77" s="1"/>
  <c r="B91" i="59"/>
  <c r="AG409" i="76" l="1"/>
  <c r="J59" i="77"/>
  <c r="L59" i="77" s="1"/>
  <c r="L409" i="76"/>
  <c r="R409" i="76" s="1"/>
  <c r="S409" i="76" s="1"/>
  <c r="I296" i="76"/>
  <c r="I275" i="76"/>
  <c r="J296" i="76"/>
  <c r="J275" i="76"/>
  <c r="N296" i="76"/>
  <c r="N275" i="76"/>
  <c r="AG273" i="76"/>
  <c r="L273" i="76"/>
  <c r="D296" i="76"/>
  <c r="D275" i="76"/>
  <c r="H275" i="76"/>
  <c r="H296" i="76"/>
  <c r="O296" i="76"/>
  <c r="Q296" i="76" s="1"/>
  <c r="O275" i="76"/>
  <c r="Q275" i="76" s="1"/>
  <c r="P296" i="76"/>
  <c r="P275" i="76"/>
  <c r="A204" i="75"/>
  <c r="A205" i="75" s="1"/>
  <c r="A185" i="75"/>
  <c r="A186" i="75" s="1"/>
  <c r="A206" i="75"/>
  <c r="A187" i="75"/>
  <c r="D203" i="75"/>
  <c r="D184" i="75"/>
  <c r="N184" i="75"/>
  <c r="N203" i="75"/>
  <c r="R202" i="75"/>
  <c r="S202" i="75" s="1"/>
  <c r="O203" i="75"/>
  <c r="Q203" i="75" s="1"/>
  <c r="O184" i="75"/>
  <c r="Q184" i="75" s="1"/>
  <c r="P275" i="71"/>
  <c r="R275" i="71" s="1"/>
  <c r="P203" i="75"/>
  <c r="P184" i="75"/>
  <c r="R183" i="75"/>
  <c r="S183" i="75" s="1"/>
  <c r="W183" i="75"/>
  <c r="H184" i="75"/>
  <c r="H203" i="75"/>
  <c r="J184" i="75"/>
  <c r="J203" i="75"/>
  <c r="W182" i="75"/>
  <c r="I203" i="75"/>
  <c r="I184" i="75"/>
  <c r="R295" i="69"/>
  <c r="S295" i="69" s="1"/>
  <c r="A2011" i="72"/>
  <c r="A2022" i="72" s="1"/>
  <c r="A1851" i="72"/>
  <c r="A1862" i="72" s="1"/>
  <c r="A1873" i="72"/>
  <c r="A2033" i="72"/>
  <c r="P275" i="69"/>
  <c r="P296" i="69"/>
  <c r="L273" i="71"/>
  <c r="S273" i="71" s="1"/>
  <c r="H2000" i="72"/>
  <c r="H1840" i="72"/>
  <c r="R1840" i="72"/>
  <c r="R2000" i="72"/>
  <c r="AJ1822" i="72"/>
  <c r="P1822" i="72"/>
  <c r="D2000" i="72"/>
  <c r="D1840" i="72"/>
  <c r="N2000" i="72"/>
  <c r="N1840" i="72"/>
  <c r="M1840" i="72"/>
  <c r="M2000" i="72"/>
  <c r="Q1840" i="72"/>
  <c r="Q2000" i="72"/>
  <c r="P296" i="71"/>
  <c r="R296" i="71" s="1"/>
  <c r="S1840" i="72"/>
  <c r="T1840" i="72" s="1"/>
  <c r="S2000" i="72"/>
  <c r="T2000" i="72" s="1"/>
  <c r="K91" i="59"/>
  <c r="P410" i="76" s="1"/>
  <c r="A276" i="71"/>
  <c r="A277" i="71" s="1"/>
  <c r="A297" i="71"/>
  <c r="A298" i="71" s="1"/>
  <c r="K92" i="59"/>
  <c r="P411" i="76" s="1"/>
  <c r="A278" i="71"/>
  <c r="A299" i="71"/>
  <c r="D275" i="71"/>
  <c r="D296" i="71"/>
  <c r="I296" i="71"/>
  <c r="I275" i="71"/>
  <c r="J296" i="71"/>
  <c r="J275" i="71"/>
  <c r="N275" i="71"/>
  <c r="N296" i="71"/>
  <c r="H275" i="71"/>
  <c r="H296" i="71"/>
  <c r="O275" i="71"/>
  <c r="Q275" i="71" s="1"/>
  <c r="O296" i="71"/>
  <c r="Q296" i="71" s="1"/>
  <c r="J91" i="59"/>
  <c r="O410" i="76" s="1"/>
  <c r="Q410" i="76" s="1"/>
  <c r="I91" i="59"/>
  <c r="N275" i="69"/>
  <c r="O275" i="69"/>
  <c r="Q275" i="69" s="1"/>
  <c r="I92" i="59"/>
  <c r="J92" i="59"/>
  <c r="O411" i="76" s="1"/>
  <c r="Q411" i="76" s="1"/>
  <c r="I90" i="59"/>
  <c r="J90" i="59"/>
  <c r="O296" i="69"/>
  <c r="Q296" i="69" s="1"/>
  <c r="N296" i="69"/>
  <c r="D296" i="69"/>
  <c r="H296" i="69"/>
  <c r="A299" i="69"/>
  <c r="G92" i="59"/>
  <c r="J411" i="76" s="1"/>
  <c r="H92" i="59"/>
  <c r="H411" i="76" s="1"/>
  <c r="H91" i="77" s="1"/>
  <c r="H91" i="59"/>
  <c r="H410" i="76" s="1"/>
  <c r="H64" i="77" s="1"/>
  <c r="G91" i="59"/>
  <c r="J410" i="76" s="1"/>
  <c r="G90" i="59"/>
  <c r="H90" i="59"/>
  <c r="A276" i="69"/>
  <c r="A297" i="69"/>
  <c r="I120" i="63"/>
  <c r="I296" i="69"/>
  <c r="J275" i="69"/>
  <c r="AG275" i="69" s="1"/>
  <c r="J296" i="69"/>
  <c r="B93" i="59"/>
  <c r="H120" i="63"/>
  <c r="A278" i="69"/>
  <c r="C92" i="59"/>
  <c r="D411" i="76" s="1"/>
  <c r="D91" i="77" s="1"/>
  <c r="F92" i="59"/>
  <c r="I411" i="76" s="1"/>
  <c r="I91" i="77" s="1"/>
  <c r="D120" i="63"/>
  <c r="C385" i="65" s="1"/>
  <c r="I275" i="69"/>
  <c r="H275" i="69"/>
  <c r="D275" i="69"/>
  <c r="C90" i="59"/>
  <c r="F90" i="59"/>
  <c r="A122" i="63"/>
  <c r="A121" i="63"/>
  <c r="J120" i="63"/>
  <c r="L120" i="63" s="1"/>
  <c r="C91" i="59"/>
  <c r="D64" i="77" s="1"/>
  <c r="F91" i="59"/>
  <c r="I410" i="76" s="1"/>
  <c r="I64" i="77" s="1"/>
  <c r="J91" i="77" l="1"/>
  <c r="L91" i="77" s="1"/>
  <c r="AG411" i="76"/>
  <c r="L411" i="76"/>
  <c r="R411" i="76" s="1"/>
  <c r="S411" i="76" s="1"/>
  <c r="AG410" i="76"/>
  <c r="L410" i="76"/>
  <c r="R410" i="76" s="1"/>
  <c r="S410" i="76" s="1"/>
  <c r="J64" i="77"/>
  <c r="L64" i="77" s="1"/>
  <c r="R273" i="76"/>
  <c r="S273" i="76" s="1"/>
  <c r="I278" i="76"/>
  <c r="I299" i="76"/>
  <c r="D299" i="76"/>
  <c r="D278" i="76"/>
  <c r="J297" i="76"/>
  <c r="J277" i="76"/>
  <c r="J276" i="76"/>
  <c r="J298" i="76"/>
  <c r="N278" i="76"/>
  <c r="N299" i="76"/>
  <c r="O297" i="76"/>
  <c r="Q297" i="76" s="1"/>
  <c r="O276" i="76"/>
  <c r="Q276" i="76" s="1"/>
  <c r="O277" i="76"/>
  <c r="Q277" i="76" s="1"/>
  <c r="O298" i="76"/>
  <c r="Q298" i="76" s="1"/>
  <c r="AG275" i="76"/>
  <c r="L275" i="76"/>
  <c r="R275" i="76" s="1"/>
  <c r="S275" i="76" s="1"/>
  <c r="I297" i="76"/>
  <c r="I277" i="76"/>
  <c r="I298" i="76"/>
  <c r="I276" i="76"/>
  <c r="D297" i="76"/>
  <c r="D276" i="76"/>
  <c r="H276" i="76"/>
  <c r="H277" i="76"/>
  <c r="H298" i="76"/>
  <c r="H297" i="76"/>
  <c r="AG296" i="76"/>
  <c r="L296" i="76"/>
  <c r="H299" i="76"/>
  <c r="H278" i="76"/>
  <c r="P297" i="76"/>
  <c r="P298" i="76"/>
  <c r="P276" i="76"/>
  <c r="P277" i="76"/>
  <c r="J299" i="76"/>
  <c r="J278" i="76"/>
  <c r="O278" i="76"/>
  <c r="Q278" i="76" s="1"/>
  <c r="O299" i="76"/>
  <c r="Q299" i="76" s="1"/>
  <c r="N276" i="76"/>
  <c r="N298" i="76"/>
  <c r="N277" i="76"/>
  <c r="N297" i="76"/>
  <c r="P278" i="76"/>
  <c r="P299" i="76"/>
  <c r="A1882" i="72"/>
  <c r="A2042" i="72" s="1"/>
  <c r="A188" i="75"/>
  <c r="A207" i="75" s="1"/>
  <c r="P299" i="69"/>
  <c r="I187" i="75"/>
  <c r="I206" i="75"/>
  <c r="D206" i="75"/>
  <c r="D187" i="75"/>
  <c r="J185" i="75"/>
  <c r="J205" i="75"/>
  <c r="J204" i="75"/>
  <c r="J186" i="75"/>
  <c r="N206" i="75"/>
  <c r="N187" i="75"/>
  <c r="O204" i="75"/>
  <c r="Q204" i="75" s="1"/>
  <c r="O205" i="75"/>
  <c r="Q205" i="75" s="1"/>
  <c r="O186" i="75"/>
  <c r="Q186" i="75" s="1"/>
  <c r="O185" i="75"/>
  <c r="Q185" i="75" s="1"/>
  <c r="AG203" i="75"/>
  <c r="L203" i="75"/>
  <c r="I204" i="75"/>
  <c r="I186" i="75"/>
  <c r="I205" i="75"/>
  <c r="I185" i="75"/>
  <c r="D185" i="75"/>
  <c r="D204" i="75"/>
  <c r="H185" i="75"/>
  <c r="H186" i="75"/>
  <c r="H205" i="75"/>
  <c r="H204" i="75"/>
  <c r="AG184" i="75"/>
  <c r="L184" i="75"/>
  <c r="R184" i="75" s="1"/>
  <c r="H206" i="75"/>
  <c r="H187" i="75"/>
  <c r="P205" i="75"/>
  <c r="P186" i="75"/>
  <c r="P185" i="75"/>
  <c r="P204" i="75"/>
  <c r="J187" i="75"/>
  <c r="J206" i="75"/>
  <c r="O187" i="75"/>
  <c r="Q187" i="75" s="1"/>
  <c r="O206" i="75"/>
  <c r="Q206" i="75" s="1"/>
  <c r="N185" i="75"/>
  <c r="N204" i="75"/>
  <c r="N205" i="75"/>
  <c r="N186" i="75"/>
  <c r="P206" i="75"/>
  <c r="P187" i="75"/>
  <c r="P278" i="69"/>
  <c r="P278" i="71"/>
  <c r="R278" i="71" s="1"/>
  <c r="P297" i="69"/>
  <c r="P276" i="69"/>
  <c r="M1851" i="72"/>
  <c r="M2011" i="72"/>
  <c r="M1862" i="72"/>
  <c r="M2022" i="72"/>
  <c r="D1873" i="72"/>
  <c r="D2033" i="72"/>
  <c r="N1862" i="72"/>
  <c r="N2011" i="72"/>
  <c r="N1851" i="72"/>
  <c r="N2022" i="72"/>
  <c r="Q2033" i="72"/>
  <c r="Q1873" i="72"/>
  <c r="R1851" i="72"/>
  <c r="R2011" i="72"/>
  <c r="R1862" i="72"/>
  <c r="R2022" i="72"/>
  <c r="D2011" i="72"/>
  <c r="D1851" i="72"/>
  <c r="H2022" i="72"/>
  <c r="H1862" i="72"/>
  <c r="H1851" i="72"/>
  <c r="H2011" i="72"/>
  <c r="P277" i="71"/>
  <c r="R277" i="71" s="1"/>
  <c r="S1851" i="72"/>
  <c r="T1851" i="72" s="1"/>
  <c r="S2011" i="72"/>
  <c r="T2011" i="72" s="1"/>
  <c r="S2022" i="72"/>
  <c r="T2022" i="72" s="1"/>
  <c r="S1862" i="72"/>
  <c r="T1862" i="72" s="1"/>
  <c r="AJ1840" i="72"/>
  <c r="P1840" i="72"/>
  <c r="H1873" i="72"/>
  <c r="H2033" i="72"/>
  <c r="S2033" i="72"/>
  <c r="T2033" i="72" s="1"/>
  <c r="S1873" i="72"/>
  <c r="T1873" i="72" s="1"/>
  <c r="AJ2000" i="72"/>
  <c r="P2000" i="72"/>
  <c r="M2033" i="72"/>
  <c r="M1873" i="72"/>
  <c r="N1873" i="72"/>
  <c r="N2033" i="72"/>
  <c r="R1873" i="72"/>
  <c r="R2033" i="72"/>
  <c r="Q1862" i="72"/>
  <c r="Q2022" i="72"/>
  <c r="Q1851" i="72"/>
  <c r="Q2011" i="72"/>
  <c r="P276" i="71"/>
  <c r="R276" i="71" s="1"/>
  <c r="P299" i="71"/>
  <c r="R299" i="71" s="1"/>
  <c r="P298" i="71"/>
  <c r="R298" i="71" s="1"/>
  <c r="P297" i="71"/>
  <c r="R297" i="71" s="1"/>
  <c r="K93" i="59"/>
  <c r="P412" i="76" s="1"/>
  <c r="A279" i="71"/>
  <c r="A300" i="71" s="1"/>
  <c r="J278" i="71"/>
  <c r="J299" i="71"/>
  <c r="O299" i="71"/>
  <c r="Q299" i="71" s="1"/>
  <c r="O278" i="71"/>
  <c r="Q278" i="71" s="1"/>
  <c r="N276" i="71"/>
  <c r="N297" i="71"/>
  <c r="N277" i="71"/>
  <c r="N298" i="71"/>
  <c r="AF275" i="71"/>
  <c r="L275" i="71"/>
  <c r="I299" i="71"/>
  <c r="I278" i="71"/>
  <c r="I297" i="71"/>
  <c r="I276" i="71"/>
  <c r="I277" i="71"/>
  <c r="I298" i="71"/>
  <c r="D299" i="69"/>
  <c r="D299" i="71"/>
  <c r="D278" i="71"/>
  <c r="J297" i="71"/>
  <c r="J276" i="71"/>
  <c r="J298" i="71"/>
  <c r="J277" i="71"/>
  <c r="N278" i="71"/>
  <c r="N299" i="71"/>
  <c r="O276" i="71"/>
  <c r="Q276" i="71" s="1"/>
  <c r="O297" i="71"/>
  <c r="Q297" i="71" s="1"/>
  <c r="O298" i="71"/>
  <c r="Q298" i="71" s="1"/>
  <c r="O277" i="71"/>
  <c r="Q277" i="71" s="1"/>
  <c r="AF296" i="71"/>
  <c r="L296" i="71"/>
  <c r="S296" i="71" s="1"/>
  <c r="D276" i="71"/>
  <c r="D297" i="71"/>
  <c r="H276" i="71"/>
  <c r="H297" i="71"/>
  <c r="H277" i="71"/>
  <c r="H298" i="71"/>
  <c r="H278" i="71"/>
  <c r="H299" i="71"/>
  <c r="O278" i="69"/>
  <c r="Q278" i="69" s="1"/>
  <c r="N278" i="69"/>
  <c r="A277" i="69"/>
  <c r="P277" i="69" s="1"/>
  <c r="O276" i="69"/>
  <c r="Q276" i="69" s="1"/>
  <c r="N276" i="69"/>
  <c r="J93" i="59"/>
  <c r="O412" i="76" s="1"/>
  <c r="Q412" i="76" s="1"/>
  <c r="I93" i="59"/>
  <c r="A298" i="69"/>
  <c r="P298" i="69" s="1"/>
  <c r="O297" i="69"/>
  <c r="Q297" i="69" s="1"/>
  <c r="N297" i="69"/>
  <c r="N299" i="69"/>
  <c r="O299" i="69"/>
  <c r="Q299" i="69" s="1"/>
  <c r="H299" i="69"/>
  <c r="I299" i="69"/>
  <c r="J299" i="69"/>
  <c r="L299" i="69" s="1"/>
  <c r="H93" i="59"/>
  <c r="H412" i="76" s="1"/>
  <c r="H90" i="77" s="1"/>
  <c r="G93" i="59"/>
  <c r="J412" i="76" s="1"/>
  <c r="A123" i="63"/>
  <c r="L275" i="69"/>
  <c r="H276" i="69"/>
  <c r="H297" i="69"/>
  <c r="L296" i="69"/>
  <c r="AG296" i="69"/>
  <c r="J276" i="69"/>
  <c r="L276" i="69" s="1"/>
  <c r="J297" i="69"/>
  <c r="I276" i="69"/>
  <c r="I297" i="69"/>
  <c r="D276" i="69"/>
  <c r="D297" i="69"/>
  <c r="A279" i="69"/>
  <c r="C93" i="59"/>
  <c r="D412" i="76" s="1"/>
  <c r="D90" i="77" s="1"/>
  <c r="F93" i="59"/>
  <c r="I412" i="76" s="1"/>
  <c r="I90" i="77" s="1"/>
  <c r="H277" i="69"/>
  <c r="J277" i="69"/>
  <c r="I277" i="69"/>
  <c r="H121" i="63"/>
  <c r="J121" i="63"/>
  <c r="L121" i="63" s="1"/>
  <c r="D121" i="63"/>
  <c r="C388" i="65" s="1"/>
  <c r="I121" i="63"/>
  <c r="I122" i="63"/>
  <c r="D122" i="63"/>
  <c r="C391" i="65" s="1"/>
  <c r="H122" i="63"/>
  <c r="J122" i="63"/>
  <c r="L122" i="63" s="1"/>
  <c r="L412" i="76" l="1"/>
  <c r="R412" i="76" s="1"/>
  <c r="S412" i="76" s="1"/>
  <c r="AG412" i="76"/>
  <c r="J90" i="77"/>
  <c r="L90" i="77" s="1"/>
  <c r="AG276" i="76"/>
  <c r="L276" i="76"/>
  <c r="J279" i="76"/>
  <c r="J300" i="76"/>
  <c r="AG298" i="76"/>
  <c r="L298" i="76"/>
  <c r="R298" i="76" s="1"/>
  <c r="S298" i="76" s="1"/>
  <c r="H279" i="76"/>
  <c r="H300" i="76"/>
  <c r="D279" i="76"/>
  <c r="D300" i="76"/>
  <c r="N279" i="76"/>
  <c r="N300" i="76"/>
  <c r="AG278" i="76"/>
  <c r="L278" i="76"/>
  <c r="R278" i="76" s="1"/>
  <c r="S278" i="76" s="1"/>
  <c r="R296" i="76"/>
  <c r="S296" i="76" s="1"/>
  <c r="AG277" i="76"/>
  <c r="L277" i="76"/>
  <c r="R277" i="76" s="1"/>
  <c r="S277" i="76" s="1"/>
  <c r="I279" i="76"/>
  <c r="I300" i="76"/>
  <c r="P279" i="76"/>
  <c r="P300" i="76"/>
  <c r="O279" i="76"/>
  <c r="Q279" i="76" s="1"/>
  <c r="O300" i="76"/>
  <c r="Q300" i="76" s="1"/>
  <c r="AG299" i="76"/>
  <c r="L299" i="76"/>
  <c r="R299" i="76" s="1"/>
  <c r="S299" i="76" s="1"/>
  <c r="AG297" i="76"/>
  <c r="L297" i="76"/>
  <c r="R297" i="76" s="1"/>
  <c r="S297" i="76" s="1"/>
  <c r="I188" i="75"/>
  <c r="I207" i="75"/>
  <c r="J188" i="75"/>
  <c r="J207" i="75"/>
  <c r="AG187" i="75"/>
  <c r="L187" i="75"/>
  <c r="W184" i="75"/>
  <c r="S184" i="75"/>
  <c r="R203" i="75"/>
  <c r="S203" i="75" s="1"/>
  <c r="W203" i="75"/>
  <c r="AG186" i="75"/>
  <c r="L186" i="75"/>
  <c r="W186" i="75" s="1"/>
  <c r="H188" i="75"/>
  <c r="H207" i="75"/>
  <c r="P188" i="75"/>
  <c r="P207" i="75"/>
  <c r="AG204" i="75"/>
  <c r="L204" i="75"/>
  <c r="D188" i="75"/>
  <c r="D207" i="75"/>
  <c r="N188" i="75"/>
  <c r="N207" i="75"/>
  <c r="AG205" i="75"/>
  <c r="L205" i="75"/>
  <c r="O188" i="75"/>
  <c r="Q188" i="75" s="1"/>
  <c r="O207" i="75"/>
  <c r="Q207" i="75" s="1"/>
  <c r="AG206" i="75"/>
  <c r="L206" i="75"/>
  <c r="W206" i="75" s="1"/>
  <c r="AG185" i="75"/>
  <c r="L185" i="75"/>
  <c r="R299" i="69"/>
  <c r="S299" i="69" s="1"/>
  <c r="R275" i="69"/>
  <c r="S275" i="69" s="1"/>
  <c r="R276" i="69"/>
  <c r="S276" i="69" s="1"/>
  <c r="R296" i="69"/>
  <c r="S296" i="69" s="1"/>
  <c r="P279" i="69"/>
  <c r="D1882" i="72"/>
  <c r="D2042" i="72"/>
  <c r="Q1882" i="72"/>
  <c r="Q2042" i="72"/>
  <c r="AJ1862" i="72"/>
  <c r="P1862" i="72"/>
  <c r="R1882" i="72"/>
  <c r="R2042" i="72"/>
  <c r="AJ2022" i="72"/>
  <c r="P2022" i="72"/>
  <c r="N1882" i="72"/>
  <c r="N2042" i="72"/>
  <c r="AJ2033" i="72"/>
  <c r="P2033" i="72"/>
  <c r="AJ1851" i="72"/>
  <c r="P1851" i="72"/>
  <c r="M1882" i="72"/>
  <c r="M2042" i="72"/>
  <c r="H1882" i="72"/>
  <c r="H2042" i="72"/>
  <c r="P279" i="71"/>
  <c r="R279" i="71" s="1"/>
  <c r="S1882" i="72"/>
  <c r="T1882" i="72" s="1"/>
  <c r="S2042" i="72"/>
  <c r="T2042" i="72" s="1"/>
  <c r="AJ1873" i="72"/>
  <c r="P1873" i="72"/>
  <c r="AJ2011" i="72"/>
  <c r="P2011" i="72"/>
  <c r="P300" i="71"/>
  <c r="R300" i="71" s="1"/>
  <c r="O279" i="71"/>
  <c r="Q279" i="71" s="1"/>
  <c r="O300" i="71"/>
  <c r="Q300" i="71" s="1"/>
  <c r="AF277" i="71"/>
  <c r="L277" i="71"/>
  <c r="S277" i="71" s="1"/>
  <c r="J279" i="71"/>
  <c r="J300" i="71"/>
  <c r="L298" i="71"/>
  <c r="S298" i="71" s="1"/>
  <c r="AF298" i="71"/>
  <c r="S275" i="71"/>
  <c r="I279" i="71"/>
  <c r="I300" i="71"/>
  <c r="H279" i="71"/>
  <c r="H300" i="71"/>
  <c r="AF276" i="71"/>
  <c r="L276" i="71"/>
  <c r="S276" i="71" s="1"/>
  <c r="AF299" i="71"/>
  <c r="L299" i="71"/>
  <c r="S299" i="71" s="1"/>
  <c r="D279" i="71"/>
  <c r="D300" i="71"/>
  <c r="N279" i="71"/>
  <c r="N300" i="71"/>
  <c r="AF297" i="71"/>
  <c r="L297" i="71"/>
  <c r="S297" i="71" s="1"/>
  <c r="AF278" i="71"/>
  <c r="L278" i="71"/>
  <c r="S278" i="71" s="1"/>
  <c r="O298" i="69"/>
  <c r="Q298" i="69" s="1"/>
  <c r="N298" i="69"/>
  <c r="N277" i="69"/>
  <c r="O277" i="69"/>
  <c r="Q277" i="69" s="1"/>
  <c r="A300" i="69"/>
  <c r="O279" i="69"/>
  <c r="Q279" i="69" s="1"/>
  <c r="N279" i="69"/>
  <c r="AG276" i="69"/>
  <c r="L297" i="69"/>
  <c r="AG297" i="69"/>
  <c r="L277" i="69"/>
  <c r="AG277" i="69"/>
  <c r="H123" i="63"/>
  <c r="D123" i="63"/>
  <c r="C394" i="65" s="1"/>
  <c r="I123" i="63"/>
  <c r="J123" i="63"/>
  <c r="L123" i="63" s="1"/>
  <c r="AG279" i="76" l="1"/>
  <c r="L279" i="76"/>
  <c r="R279" i="76" s="1"/>
  <c r="S279" i="76" s="1"/>
  <c r="R276" i="76"/>
  <c r="S276" i="76" s="1"/>
  <c r="AG300" i="76"/>
  <c r="L300" i="76"/>
  <c r="R300" i="76" s="1"/>
  <c r="R206" i="75"/>
  <c r="S206" i="75" s="1"/>
  <c r="AG207" i="75"/>
  <c r="L207" i="75"/>
  <c r="R205" i="75"/>
  <c r="S205" i="75" s="1"/>
  <c r="W205" i="75"/>
  <c r="R186" i="75"/>
  <c r="S186" i="75" s="1"/>
  <c r="AG188" i="75"/>
  <c r="L188" i="75"/>
  <c r="W188" i="75" s="1"/>
  <c r="R185" i="75"/>
  <c r="S185" i="75" s="1"/>
  <c r="W185" i="75"/>
  <c r="R187" i="75"/>
  <c r="S187" i="75" s="1"/>
  <c r="W187" i="75"/>
  <c r="R204" i="75"/>
  <c r="S204" i="75" s="1"/>
  <c r="W204" i="75"/>
  <c r="R277" i="69"/>
  <c r="S277" i="69" s="1"/>
  <c r="R297" i="69"/>
  <c r="S297" i="69" s="1"/>
  <c r="AJ2042" i="72"/>
  <c r="P2042" i="72"/>
  <c r="AJ1882" i="72"/>
  <c r="P1882" i="72"/>
  <c r="AF300" i="71"/>
  <c r="L300" i="71"/>
  <c r="S300" i="71" s="1"/>
  <c r="AF279" i="71"/>
  <c r="L279" i="71"/>
  <c r="S279" i="71" s="1"/>
  <c r="J300" i="69"/>
  <c r="L300" i="69" s="1"/>
  <c r="P300" i="69"/>
  <c r="H300" i="69"/>
  <c r="I300" i="69"/>
  <c r="D300" i="69"/>
  <c r="O300" i="69"/>
  <c r="Q300" i="69" s="1"/>
  <c r="N300" i="69"/>
  <c r="A124" i="63"/>
  <c r="B94" i="59"/>
  <c r="B1510" i="58"/>
  <c r="S300" i="76" l="1"/>
  <c r="A208" i="75"/>
  <c r="A189" i="75"/>
  <c r="R207" i="75"/>
  <c r="S207" i="75" s="1"/>
  <c r="W207" i="75"/>
  <c r="R188" i="75"/>
  <c r="S188" i="75" s="1"/>
  <c r="R300" i="69"/>
  <c r="S300" i="69" s="1"/>
  <c r="A1891" i="72"/>
  <c r="A2051" i="72"/>
  <c r="K94" i="59"/>
  <c r="P413" i="76" s="1"/>
  <c r="A301" i="71"/>
  <c r="A280" i="71"/>
  <c r="I94" i="59"/>
  <c r="J94" i="59"/>
  <c r="O413" i="76" s="1"/>
  <c r="Q413" i="76" s="1"/>
  <c r="A301" i="69"/>
  <c r="G94" i="59"/>
  <c r="J413" i="76" s="1"/>
  <c r="H94" i="59"/>
  <c r="H413" i="76" s="1"/>
  <c r="H96" i="77" s="1"/>
  <c r="A125" i="63"/>
  <c r="A280" i="69"/>
  <c r="B95" i="59"/>
  <c r="B1527" i="58"/>
  <c r="B1544" i="58" s="1"/>
  <c r="C94" i="59"/>
  <c r="D413" i="76" s="1"/>
  <c r="D96" i="77" s="1"/>
  <c r="F94" i="59"/>
  <c r="I413" i="76" s="1"/>
  <c r="I96" i="77" s="1"/>
  <c r="AG413" i="76" l="1"/>
  <c r="L413" i="76"/>
  <c r="R413" i="76" s="1"/>
  <c r="S413" i="76" s="1"/>
  <c r="J96" i="77"/>
  <c r="L96" i="77" s="1"/>
  <c r="N280" i="76"/>
  <c r="N301" i="76"/>
  <c r="J301" i="76"/>
  <c r="J280" i="76"/>
  <c r="H301" i="76"/>
  <c r="H280" i="76"/>
  <c r="I280" i="76"/>
  <c r="I301" i="76"/>
  <c r="D280" i="76"/>
  <c r="D301" i="76"/>
  <c r="O280" i="76"/>
  <c r="Q280" i="76" s="1"/>
  <c r="O301" i="76"/>
  <c r="Q301" i="76" s="1"/>
  <c r="P280" i="76"/>
  <c r="P301" i="76"/>
  <c r="A209" i="75"/>
  <c r="A190" i="75"/>
  <c r="O189" i="75"/>
  <c r="Q189" i="75" s="1"/>
  <c r="O208" i="75"/>
  <c r="Q208" i="75" s="1"/>
  <c r="P189" i="75"/>
  <c r="P208" i="75"/>
  <c r="D208" i="75"/>
  <c r="D189" i="75"/>
  <c r="N208" i="75"/>
  <c r="N189" i="75"/>
  <c r="H208" i="75"/>
  <c r="H189" i="75"/>
  <c r="J208" i="75"/>
  <c r="J189" i="75"/>
  <c r="I189" i="75"/>
  <c r="I208" i="75"/>
  <c r="A1899" i="72"/>
  <c r="A2059" i="72"/>
  <c r="H2051" i="72"/>
  <c r="H1891" i="72"/>
  <c r="N1891" i="72"/>
  <c r="N2051" i="72"/>
  <c r="S2051" i="72"/>
  <c r="T2051" i="72" s="1"/>
  <c r="S1891" i="72"/>
  <c r="T1891" i="72" s="1"/>
  <c r="Q2051" i="72"/>
  <c r="Q1891" i="72"/>
  <c r="M1891" i="72"/>
  <c r="M2051" i="72"/>
  <c r="P280" i="69"/>
  <c r="P301" i="69"/>
  <c r="P301" i="71"/>
  <c r="R301" i="71" s="1"/>
  <c r="D1891" i="72"/>
  <c r="D2051" i="72"/>
  <c r="R1891" i="72"/>
  <c r="R2051" i="72"/>
  <c r="P280" i="71"/>
  <c r="R280" i="71" s="1"/>
  <c r="K95" i="59"/>
  <c r="P414" i="76" s="1"/>
  <c r="A302" i="71"/>
  <c r="A281" i="71"/>
  <c r="D280" i="71"/>
  <c r="D301" i="71"/>
  <c r="O301" i="71"/>
  <c r="Q301" i="71" s="1"/>
  <c r="O280" i="71"/>
  <c r="Q280" i="71" s="1"/>
  <c r="H280" i="71"/>
  <c r="H301" i="71"/>
  <c r="N280" i="71"/>
  <c r="N301" i="71"/>
  <c r="J301" i="71"/>
  <c r="J280" i="71"/>
  <c r="I301" i="71"/>
  <c r="I280" i="71"/>
  <c r="J95" i="59"/>
  <c r="O414" i="76" s="1"/>
  <c r="Q414" i="76" s="1"/>
  <c r="I95" i="59"/>
  <c r="N280" i="69"/>
  <c r="O280" i="69"/>
  <c r="Q280" i="69" s="1"/>
  <c r="N301" i="69"/>
  <c r="O301" i="69"/>
  <c r="Q301" i="69" s="1"/>
  <c r="A302" i="69"/>
  <c r="G95" i="59"/>
  <c r="J414" i="76" s="1"/>
  <c r="H95" i="59"/>
  <c r="H414" i="76" s="1"/>
  <c r="H106" i="77" s="1"/>
  <c r="J280" i="69"/>
  <c r="AG280" i="69" s="1"/>
  <c r="J301" i="69"/>
  <c r="H280" i="69"/>
  <c r="H301" i="69"/>
  <c r="I280" i="69"/>
  <c r="I301" i="69"/>
  <c r="D280" i="69"/>
  <c r="D301" i="69"/>
  <c r="B1561" i="58"/>
  <c r="B97" i="59"/>
  <c r="A126" i="63"/>
  <c r="A281" i="69"/>
  <c r="B96" i="59"/>
  <c r="C95" i="59"/>
  <c r="D414" i="76" s="1"/>
  <c r="D106" i="77" s="1"/>
  <c r="F95" i="59"/>
  <c r="I414" i="76" s="1"/>
  <c r="I106" i="77" s="1"/>
  <c r="L414" i="76" l="1"/>
  <c r="R414" i="76" s="1"/>
  <c r="S414" i="76" s="1"/>
  <c r="AG414" i="76"/>
  <c r="J106" i="77"/>
  <c r="L106" i="77" s="1"/>
  <c r="P302" i="76"/>
  <c r="P281" i="76"/>
  <c r="H302" i="76"/>
  <c r="H281" i="76"/>
  <c r="O281" i="76"/>
  <c r="Q281" i="76" s="1"/>
  <c r="O302" i="76"/>
  <c r="Q302" i="76" s="1"/>
  <c r="N302" i="76"/>
  <c r="N281" i="76"/>
  <c r="AG301" i="76"/>
  <c r="L301" i="76"/>
  <c r="R301" i="76" s="1"/>
  <c r="S301" i="76" s="1"/>
  <c r="J281" i="76"/>
  <c r="J302" i="76"/>
  <c r="I281" i="76"/>
  <c r="I302" i="76"/>
  <c r="D302" i="76"/>
  <c r="D281" i="76"/>
  <c r="AG280" i="76"/>
  <c r="L280" i="76"/>
  <c r="A210" i="75"/>
  <c r="A191" i="75"/>
  <c r="A211" i="75"/>
  <c r="A192" i="75"/>
  <c r="I190" i="75"/>
  <c r="I209" i="75"/>
  <c r="D190" i="75"/>
  <c r="D209" i="75"/>
  <c r="AG189" i="75"/>
  <c r="L189" i="75"/>
  <c r="N190" i="75"/>
  <c r="N209" i="75"/>
  <c r="P190" i="75"/>
  <c r="P209" i="75"/>
  <c r="AG208" i="75"/>
  <c r="L208" i="75"/>
  <c r="H209" i="75"/>
  <c r="H190" i="75"/>
  <c r="O190" i="75"/>
  <c r="Q190" i="75" s="1"/>
  <c r="O209" i="75"/>
  <c r="Q209" i="75" s="1"/>
  <c r="J209" i="75"/>
  <c r="J190" i="75"/>
  <c r="A1907" i="72"/>
  <c r="A2067" i="72"/>
  <c r="A1915" i="72"/>
  <c r="A2075" i="72"/>
  <c r="P281" i="69"/>
  <c r="M1899" i="72"/>
  <c r="M2059" i="72"/>
  <c r="D1899" i="72"/>
  <c r="D2059" i="72"/>
  <c r="AJ2051" i="72"/>
  <c r="P2051" i="72"/>
  <c r="Q2059" i="72"/>
  <c r="Q1899" i="72"/>
  <c r="P302" i="71"/>
  <c r="R302" i="71" s="1"/>
  <c r="S2059" i="72"/>
  <c r="T2059" i="72" s="1"/>
  <c r="S1899" i="72"/>
  <c r="T1899" i="72" s="1"/>
  <c r="AJ1891" i="72"/>
  <c r="P1891" i="72"/>
  <c r="H2059" i="72"/>
  <c r="H1899" i="72"/>
  <c r="R1899" i="72"/>
  <c r="R2059" i="72"/>
  <c r="N1899" i="72"/>
  <c r="N2059" i="72"/>
  <c r="K97" i="59"/>
  <c r="P416" i="76" s="1"/>
  <c r="A304" i="71"/>
  <c r="A283" i="71"/>
  <c r="P302" i="69"/>
  <c r="K96" i="59"/>
  <c r="P415" i="76" s="1"/>
  <c r="A303" i="71"/>
  <c r="A282" i="71"/>
  <c r="P281" i="71"/>
  <c r="R281" i="71" s="1"/>
  <c r="I281" i="71"/>
  <c r="I302" i="71"/>
  <c r="N281" i="71"/>
  <c r="N302" i="71"/>
  <c r="H281" i="71"/>
  <c r="H302" i="71"/>
  <c r="O302" i="71"/>
  <c r="Q302" i="71" s="1"/>
  <c r="O281" i="71"/>
  <c r="Q281" i="71" s="1"/>
  <c r="J281" i="71"/>
  <c r="J302" i="71"/>
  <c r="AF280" i="71"/>
  <c r="L280" i="71"/>
  <c r="D302" i="69"/>
  <c r="D281" i="71"/>
  <c r="D302" i="71"/>
  <c r="AF301" i="71"/>
  <c r="L301" i="71"/>
  <c r="S301" i="71" s="1"/>
  <c r="N281" i="69"/>
  <c r="O281" i="69"/>
  <c r="Q281" i="69" s="1"/>
  <c r="J97" i="59"/>
  <c r="O416" i="76" s="1"/>
  <c r="Q416" i="76" s="1"/>
  <c r="I97" i="59"/>
  <c r="O302" i="69"/>
  <c r="Q302" i="69" s="1"/>
  <c r="N302" i="69"/>
  <c r="I96" i="59"/>
  <c r="J96" i="59"/>
  <c r="O415" i="76" s="1"/>
  <c r="Q415" i="76" s="1"/>
  <c r="H302" i="69"/>
  <c r="J302" i="69"/>
  <c r="L302" i="69" s="1"/>
  <c r="A303" i="69"/>
  <c r="G96" i="59"/>
  <c r="J415" i="76" s="1"/>
  <c r="H96" i="59"/>
  <c r="H415" i="76" s="1"/>
  <c r="H92" i="77" s="1"/>
  <c r="A304" i="69"/>
  <c r="G97" i="59"/>
  <c r="J416" i="76" s="1"/>
  <c r="H97" i="59"/>
  <c r="H416" i="76" s="1"/>
  <c r="H95" i="77" s="1"/>
  <c r="L280" i="69"/>
  <c r="I281" i="69"/>
  <c r="I302" i="69"/>
  <c r="L301" i="69"/>
  <c r="AG301" i="69"/>
  <c r="H281" i="69"/>
  <c r="J281" i="69"/>
  <c r="L281" i="69" s="1"/>
  <c r="D281" i="69"/>
  <c r="A283" i="69"/>
  <c r="C97" i="59"/>
  <c r="D416" i="76" s="1"/>
  <c r="D95" i="77" s="1"/>
  <c r="F97" i="59"/>
  <c r="I416" i="76" s="1"/>
  <c r="I95" i="77" s="1"/>
  <c r="B1581" i="58"/>
  <c r="B1601" i="58" s="1"/>
  <c r="B98" i="59"/>
  <c r="A127" i="63"/>
  <c r="A282" i="69"/>
  <c r="H124" i="63"/>
  <c r="D124" i="63"/>
  <c r="C395" i="65" s="1"/>
  <c r="J124" i="63"/>
  <c r="L124" i="63" s="1"/>
  <c r="I124" i="63"/>
  <c r="C96" i="59"/>
  <c r="D415" i="76" s="1"/>
  <c r="D92" i="77" s="1"/>
  <c r="F96" i="59"/>
  <c r="I415" i="76" s="1"/>
  <c r="I92" i="77" s="1"/>
  <c r="J92" i="77" l="1"/>
  <c r="L92" i="77" s="1"/>
  <c r="L415" i="76"/>
  <c r="R415" i="76" s="1"/>
  <c r="S415" i="76" s="1"/>
  <c r="AG415" i="76"/>
  <c r="AG416" i="76"/>
  <c r="L416" i="76"/>
  <c r="R416" i="76" s="1"/>
  <c r="S416" i="76" s="1"/>
  <c r="J95" i="77"/>
  <c r="L95" i="77" s="1"/>
  <c r="D304" i="76"/>
  <c r="D283" i="76"/>
  <c r="AG302" i="76"/>
  <c r="L302" i="76"/>
  <c r="I282" i="76"/>
  <c r="I303" i="76"/>
  <c r="H303" i="76"/>
  <c r="H282" i="76"/>
  <c r="R280" i="76"/>
  <c r="S280" i="76" s="1"/>
  <c r="AG281" i="76"/>
  <c r="L281" i="76"/>
  <c r="R281" i="76" s="1"/>
  <c r="S281" i="76" s="1"/>
  <c r="R302" i="76"/>
  <c r="S302" i="76" s="1"/>
  <c r="D303" i="76"/>
  <c r="D282" i="76"/>
  <c r="J282" i="76"/>
  <c r="J303" i="76"/>
  <c r="O282" i="76"/>
  <c r="Q282" i="76" s="1"/>
  <c r="O303" i="76"/>
  <c r="Q303" i="76" s="1"/>
  <c r="N283" i="76"/>
  <c r="N304" i="76"/>
  <c r="P303" i="76"/>
  <c r="P282" i="76"/>
  <c r="P283" i="76"/>
  <c r="P304" i="76"/>
  <c r="H283" i="76"/>
  <c r="H304" i="76"/>
  <c r="I283" i="76"/>
  <c r="I304" i="76"/>
  <c r="J304" i="76"/>
  <c r="J283" i="76"/>
  <c r="N303" i="76"/>
  <c r="N282" i="76"/>
  <c r="O283" i="76"/>
  <c r="Q283" i="76" s="1"/>
  <c r="O304" i="76"/>
  <c r="Q304" i="76" s="1"/>
  <c r="A212" i="75"/>
  <c r="A193" i="75"/>
  <c r="D210" i="75"/>
  <c r="D191" i="75"/>
  <c r="O191" i="75"/>
  <c r="Q191" i="75" s="1"/>
  <c r="O210" i="75"/>
  <c r="Q210" i="75" s="1"/>
  <c r="I191" i="75"/>
  <c r="I210" i="75"/>
  <c r="H210" i="75"/>
  <c r="H191" i="75"/>
  <c r="R208" i="75"/>
  <c r="S208" i="75" s="1"/>
  <c r="W208" i="75"/>
  <c r="H211" i="75"/>
  <c r="H192" i="75"/>
  <c r="N211" i="75"/>
  <c r="N192" i="75"/>
  <c r="P210" i="75"/>
  <c r="P191" i="75"/>
  <c r="P192" i="75"/>
  <c r="P211" i="75"/>
  <c r="I192" i="75"/>
  <c r="I211" i="75"/>
  <c r="N210" i="75"/>
  <c r="N191" i="75"/>
  <c r="O192" i="75"/>
  <c r="Q192" i="75" s="1"/>
  <c r="O211" i="75"/>
  <c r="Q211" i="75" s="1"/>
  <c r="AG190" i="75"/>
  <c r="L190" i="75"/>
  <c r="R189" i="75"/>
  <c r="S189" i="75" s="1"/>
  <c r="W189" i="75"/>
  <c r="J210" i="75"/>
  <c r="J191" i="75"/>
  <c r="J211" i="75"/>
  <c r="J192" i="75"/>
  <c r="D211" i="75"/>
  <c r="D192" i="75"/>
  <c r="AG209" i="75"/>
  <c r="L209" i="75"/>
  <c r="W209" i="75" s="1"/>
  <c r="R281" i="69"/>
  <c r="S281" i="69" s="1"/>
  <c r="R280" i="69"/>
  <c r="S280" i="69" s="1"/>
  <c r="R302" i="69"/>
  <c r="S302" i="69" s="1"/>
  <c r="R301" i="69"/>
  <c r="S301" i="69" s="1"/>
  <c r="A1923" i="72"/>
  <c r="A2083" i="72"/>
  <c r="P282" i="69"/>
  <c r="P303" i="69"/>
  <c r="P283" i="69"/>
  <c r="D1907" i="72"/>
  <c r="D2067" i="72"/>
  <c r="R1907" i="72"/>
  <c r="R2067" i="72"/>
  <c r="Q1907" i="72"/>
  <c r="Q2067" i="72"/>
  <c r="R1915" i="72"/>
  <c r="R2075" i="72"/>
  <c r="AJ2059" i="72"/>
  <c r="P2059" i="72"/>
  <c r="N2067" i="72"/>
  <c r="N1907" i="72"/>
  <c r="N1915" i="72"/>
  <c r="N2075" i="72"/>
  <c r="D1915" i="72"/>
  <c r="D2075" i="72"/>
  <c r="P304" i="69"/>
  <c r="AJ1899" i="72"/>
  <c r="P1899" i="72"/>
  <c r="M1915" i="72"/>
  <c r="M2075" i="72"/>
  <c r="M1907" i="72"/>
  <c r="M2067" i="72"/>
  <c r="H1907" i="72"/>
  <c r="H2067" i="72"/>
  <c r="H2075" i="72"/>
  <c r="H1915" i="72"/>
  <c r="Q2075" i="72"/>
  <c r="Q1915" i="72"/>
  <c r="P282" i="71"/>
  <c r="R282" i="71" s="1"/>
  <c r="S2067" i="72"/>
  <c r="T2067" i="72" s="1"/>
  <c r="S1907" i="72"/>
  <c r="T1907" i="72" s="1"/>
  <c r="P283" i="71"/>
  <c r="R283" i="71" s="1"/>
  <c r="S2075" i="72"/>
  <c r="T2075" i="72" s="1"/>
  <c r="S1915" i="72"/>
  <c r="T1915" i="72" s="1"/>
  <c r="P303" i="71"/>
  <c r="R303" i="71" s="1"/>
  <c r="P304" i="71"/>
  <c r="R304" i="71" s="1"/>
  <c r="K98" i="59"/>
  <c r="P417" i="76" s="1"/>
  <c r="A305" i="71"/>
  <c r="A284" i="71"/>
  <c r="I283" i="71"/>
  <c r="I304" i="71"/>
  <c r="D304" i="71"/>
  <c r="D283" i="71"/>
  <c r="O304" i="71"/>
  <c r="Q304" i="71" s="1"/>
  <c r="O283" i="71"/>
  <c r="Q283" i="71" s="1"/>
  <c r="AF281" i="71"/>
  <c r="L281" i="71"/>
  <c r="S281" i="71" s="1"/>
  <c r="I303" i="71"/>
  <c r="I282" i="71"/>
  <c r="H282" i="71"/>
  <c r="H303" i="71"/>
  <c r="S280" i="71"/>
  <c r="J283" i="71"/>
  <c r="J304" i="71"/>
  <c r="N282" i="71"/>
  <c r="N303" i="71"/>
  <c r="AF302" i="71"/>
  <c r="L302" i="71"/>
  <c r="S302" i="71" s="1"/>
  <c r="D282" i="71"/>
  <c r="D303" i="71"/>
  <c r="H283" i="71"/>
  <c r="H304" i="71"/>
  <c r="J303" i="71"/>
  <c r="J282" i="71"/>
  <c r="O303" i="71"/>
  <c r="Q303" i="71" s="1"/>
  <c r="O282" i="71"/>
  <c r="Q282" i="71" s="1"/>
  <c r="N304" i="71"/>
  <c r="N283" i="71"/>
  <c r="H303" i="69"/>
  <c r="D304" i="69"/>
  <c r="I303" i="69"/>
  <c r="AG302" i="69"/>
  <c r="I98" i="59"/>
  <c r="J98" i="59"/>
  <c r="O417" i="76" s="1"/>
  <c r="Q417" i="76" s="1"/>
  <c r="O283" i="69"/>
  <c r="Q283" i="69" s="1"/>
  <c r="N283" i="69"/>
  <c r="O303" i="69"/>
  <c r="Q303" i="69" s="1"/>
  <c r="N303" i="69"/>
  <c r="N304" i="69"/>
  <c r="O304" i="69"/>
  <c r="Q304" i="69" s="1"/>
  <c r="O282" i="69"/>
  <c r="Q282" i="69" s="1"/>
  <c r="N282" i="69"/>
  <c r="J303" i="69"/>
  <c r="AG303" i="69" s="1"/>
  <c r="D303" i="69"/>
  <c r="G98" i="59"/>
  <c r="J417" i="76" s="1"/>
  <c r="H98" i="59"/>
  <c r="H417" i="76" s="1"/>
  <c r="H108" i="77" s="1"/>
  <c r="A305" i="69"/>
  <c r="A284" i="69"/>
  <c r="H298" i="69"/>
  <c r="H304" i="69"/>
  <c r="J298" i="69"/>
  <c r="L298" i="69" s="1"/>
  <c r="J304" i="69"/>
  <c r="I298" i="69"/>
  <c r="I304" i="69"/>
  <c r="B99" i="59"/>
  <c r="AG281" i="69"/>
  <c r="C98" i="59"/>
  <c r="D417" i="76" s="1"/>
  <c r="D108" i="77" s="1"/>
  <c r="F98" i="59"/>
  <c r="I417" i="76" s="1"/>
  <c r="I108" i="77" s="1"/>
  <c r="H283" i="69"/>
  <c r="J283" i="69"/>
  <c r="I283" i="69"/>
  <c r="J127" i="63"/>
  <c r="L127" i="63" s="1"/>
  <c r="J282" i="69"/>
  <c r="H127" i="63"/>
  <c r="H282" i="69"/>
  <c r="I127" i="63"/>
  <c r="I282" i="69"/>
  <c r="D127" i="63"/>
  <c r="C398" i="65" s="1"/>
  <c r="D282" i="69"/>
  <c r="AG417" i="76" l="1"/>
  <c r="J108" i="77"/>
  <c r="L108" i="77" s="1"/>
  <c r="L417" i="76"/>
  <c r="R417" i="76" s="1"/>
  <c r="S417" i="76" s="1"/>
  <c r="D305" i="76"/>
  <c r="D284" i="76"/>
  <c r="I284" i="76"/>
  <c r="I305" i="76"/>
  <c r="H305" i="76"/>
  <c r="H284" i="76"/>
  <c r="O305" i="76"/>
  <c r="Q305" i="76" s="1"/>
  <c r="O284" i="76"/>
  <c r="Q284" i="76" s="1"/>
  <c r="AG303" i="76"/>
  <c r="L303" i="76"/>
  <c r="R303" i="76" s="1"/>
  <c r="S303" i="76" s="1"/>
  <c r="N284" i="76"/>
  <c r="N305" i="76"/>
  <c r="P284" i="76"/>
  <c r="P305" i="76"/>
  <c r="AG282" i="76"/>
  <c r="L282" i="76"/>
  <c r="AG283" i="76"/>
  <c r="L283" i="76"/>
  <c r="R283" i="76" s="1"/>
  <c r="S283" i="76" s="1"/>
  <c r="J305" i="76"/>
  <c r="J284" i="76"/>
  <c r="AG304" i="76"/>
  <c r="L304" i="76"/>
  <c r="R304" i="76" s="1"/>
  <c r="S304" i="76" s="1"/>
  <c r="A213" i="75"/>
  <c r="A194" i="75"/>
  <c r="D212" i="75"/>
  <c r="D193" i="75"/>
  <c r="AG210" i="75"/>
  <c r="L210" i="75"/>
  <c r="W210" i="75" s="1"/>
  <c r="H212" i="75"/>
  <c r="H193" i="75"/>
  <c r="O193" i="75"/>
  <c r="Q193" i="75" s="1"/>
  <c r="O212" i="75"/>
  <c r="Q212" i="75" s="1"/>
  <c r="AG192" i="75"/>
  <c r="L192" i="75"/>
  <c r="W192" i="75" s="1"/>
  <c r="R190" i="75"/>
  <c r="S190" i="75" s="1"/>
  <c r="W190" i="75"/>
  <c r="R209" i="75"/>
  <c r="S209" i="75" s="1"/>
  <c r="J212" i="75"/>
  <c r="J193" i="75"/>
  <c r="P193" i="75"/>
  <c r="P212" i="75"/>
  <c r="AG211" i="75"/>
  <c r="L211" i="75"/>
  <c r="W211" i="75" s="1"/>
  <c r="I193" i="75"/>
  <c r="I212" i="75"/>
  <c r="N212" i="75"/>
  <c r="N193" i="75"/>
  <c r="AG191" i="75"/>
  <c r="L191" i="75"/>
  <c r="R298" i="69"/>
  <c r="S298" i="69" s="1"/>
  <c r="A1931" i="72"/>
  <c r="A2091" i="72"/>
  <c r="H2083" i="72"/>
  <c r="H1923" i="72"/>
  <c r="R1923" i="72"/>
  <c r="R2083" i="72"/>
  <c r="AJ2067" i="72"/>
  <c r="P2067" i="72"/>
  <c r="D1923" i="72"/>
  <c r="D2083" i="72"/>
  <c r="P284" i="71"/>
  <c r="R284" i="71" s="1"/>
  <c r="S1923" i="72"/>
  <c r="T1923" i="72" s="1"/>
  <c r="S2083" i="72"/>
  <c r="T2083" i="72" s="1"/>
  <c r="AJ2075" i="72"/>
  <c r="P2075" i="72"/>
  <c r="N1923" i="72"/>
  <c r="N2083" i="72"/>
  <c r="AJ1915" i="72"/>
  <c r="P1915" i="72"/>
  <c r="M1923" i="72"/>
  <c r="M2083" i="72"/>
  <c r="Q1923" i="72"/>
  <c r="Q2083" i="72"/>
  <c r="P305" i="69"/>
  <c r="AJ1907" i="72"/>
  <c r="P1907" i="72"/>
  <c r="P284" i="69"/>
  <c r="P305" i="71"/>
  <c r="R305" i="71" s="1"/>
  <c r="K99" i="59"/>
  <c r="P418" i="76" s="1"/>
  <c r="A306" i="71"/>
  <c r="A285" i="71"/>
  <c r="H305" i="71"/>
  <c r="H284" i="71"/>
  <c r="O305" i="71"/>
  <c r="Q305" i="71" s="1"/>
  <c r="O284" i="71"/>
  <c r="Q284" i="71" s="1"/>
  <c r="AF304" i="71"/>
  <c r="L304" i="71"/>
  <c r="S304" i="71" s="1"/>
  <c r="I284" i="71"/>
  <c r="I305" i="71"/>
  <c r="N305" i="71"/>
  <c r="N284" i="71"/>
  <c r="AF283" i="71"/>
  <c r="L283" i="71"/>
  <c r="S283" i="71" s="1"/>
  <c r="D284" i="71"/>
  <c r="D305" i="71"/>
  <c r="J305" i="71"/>
  <c r="J284" i="71"/>
  <c r="AF282" i="71"/>
  <c r="L282" i="71"/>
  <c r="S282" i="71" s="1"/>
  <c r="AF303" i="71"/>
  <c r="L303" i="71"/>
  <c r="S303" i="71" s="1"/>
  <c r="L303" i="69"/>
  <c r="N284" i="69"/>
  <c r="O284" i="69"/>
  <c r="Q284" i="69" s="1"/>
  <c r="N305" i="69"/>
  <c r="O305" i="69"/>
  <c r="Q305" i="69" s="1"/>
  <c r="J99" i="59"/>
  <c r="O418" i="76" s="1"/>
  <c r="Q418" i="76" s="1"/>
  <c r="I99" i="59"/>
  <c r="D305" i="69"/>
  <c r="G99" i="59"/>
  <c r="J418" i="76" s="1"/>
  <c r="H99" i="59"/>
  <c r="H418" i="76" s="1"/>
  <c r="H97" i="77" s="1"/>
  <c r="I305" i="69"/>
  <c r="H305" i="69"/>
  <c r="J305" i="69"/>
  <c r="L305" i="69" s="1"/>
  <c r="A306" i="69"/>
  <c r="A285" i="69"/>
  <c r="AG298" i="69"/>
  <c r="L304" i="69"/>
  <c r="AG304" i="69"/>
  <c r="F99" i="59"/>
  <c r="I418" i="76" s="1"/>
  <c r="I97" i="77" s="1"/>
  <c r="C99" i="59"/>
  <c r="D418" i="76" s="1"/>
  <c r="D97" i="77" s="1"/>
  <c r="L283" i="69"/>
  <c r="R283" i="69" s="1"/>
  <c r="AG283" i="69"/>
  <c r="L282" i="69"/>
  <c r="AG282" i="69"/>
  <c r="J125" i="63"/>
  <c r="L125" i="63" s="1"/>
  <c r="D125" i="63"/>
  <c r="C396" i="65" s="1"/>
  <c r="H125" i="63"/>
  <c r="I125" i="63"/>
  <c r="AG418" i="76" l="1"/>
  <c r="J97" i="77"/>
  <c r="L97" i="77" s="1"/>
  <c r="L418" i="76"/>
  <c r="R418" i="76" s="1"/>
  <c r="S418" i="76" s="1"/>
  <c r="D213" i="75"/>
  <c r="D306" i="76"/>
  <c r="I285" i="76"/>
  <c r="I306" i="76"/>
  <c r="N306" i="76"/>
  <c r="N285" i="76"/>
  <c r="AG305" i="76"/>
  <c r="L305" i="76"/>
  <c r="R282" i="76"/>
  <c r="S282" i="76" s="1"/>
  <c r="O285" i="76"/>
  <c r="Q285" i="76" s="1"/>
  <c r="O306" i="76"/>
  <c r="Q306" i="76" s="1"/>
  <c r="P306" i="76"/>
  <c r="P285" i="76"/>
  <c r="AG284" i="76"/>
  <c r="L284" i="76"/>
  <c r="H306" i="76"/>
  <c r="H285" i="76"/>
  <c r="J285" i="76"/>
  <c r="J306" i="76"/>
  <c r="R192" i="75"/>
  <c r="S192" i="75" s="1"/>
  <c r="R210" i="75"/>
  <c r="S210" i="75" s="1"/>
  <c r="I213" i="75"/>
  <c r="I194" i="75"/>
  <c r="N194" i="75"/>
  <c r="N213" i="75"/>
  <c r="AG212" i="75"/>
  <c r="L212" i="75"/>
  <c r="O194" i="75"/>
  <c r="Q194" i="75" s="1"/>
  <c r="O213" i="75"/>
  <c r="Q213" i="75" s="1"/>
  <c r="P194" i="75"/>
  <c r="P213" i="75"/>
  <c r="R211" i="75"/>
  <c r="S211" i="75" s="1"/>
  <c r="H213" i="75"/>
  <c r="H194" i="75"/>
  <c r="J194" i="75"/>
  <c r="J213" i="75"/>
  <c r="R191" i="75"/>
  <c r="S191" i="75" s="1"/>
  <c r="W191" i="75"/>
  <c r="AG193" i="75"/>
  <c r="L193" i="75"/>
  <c r="S283" i="69"/>
  <c r="R304" i="69"/>
  <c r="S304" i="69" s="1"/>
  <c r="R303" i="69"/>
  <c r="S303" i="69" s="1"/>
  <c r="R305" i="69"/>
  <c r="S305" i="69" s="1"/>
  <c r="R282" i="69"/>
  <c r="S282" i="69" s="1"/>
  <c r="P306" i="69"/>
  <c r="P285" i="69"/>
  <c r="M1931" i="72"/>
  <c r="M2091" i="72"/>
  <c r="Q2091" i="72"/>
  <c r="Q1931" i="72"/>
  <c r="R1931" i="72"/>
  <c r="R2091" i="72"/>
  <c r="P306" i="71"/>
  <c r="R306" i="71" s="1"/>
  <c r="S2091" i="72"/>
  <c r="T2091" i="72" s="1"/>
  <c r="S1931" i="72"/>
  <c r="T1931" i="72" s="1"/>
  <c r="AJ2083" i="72"/>
  <c r="P2083" i="72"/>
  <c r="H2091" i="72"/>
  <c r="H1931" i="72"/>
  <c r="N1931" i="72"/>
  <c r="N2091" i="72"/>
  <c r="AJ1923" i="72"/>
  <c r="P1923" i="72"/>
  <c r="D306" i="71"/>
  <c r="D2091" i="72"/>
  <c r="P285" i="71"/>
  <c r="R285" i="71" s="1"/>
  <c r="J285" i="71"/>
  <c r="J306" i="71"/>
  <c r="H285" i="71"/>
  <c r="H306" i="71"/>
  <c r="O306" i="71"/>
  <c r="Q306" i="71" s="1"/>
  <c r="O285" i="71"/>
  <c r="Q285" i="71" s="1"/>
  <c r="AF284" i="71"/>
  <c r="L284" i="71"/>
  <c r="S284" i="71" s="1"/>
  <c r="AF305" i="71"/>
  <c r="L305" i="71"/>
  <c r="S305" i="71" s="1"/>
  <c r="I306" i="71"/>
  <c r="I285" i="71"/>
  <c r="N306" i="71"/>
  <c r="N285" i="71"/>
  <c r="N285" i="69"/>
  <c r="O285" i="69"/>
  <c r="Q285" i="69" s="1"/>
  <c r="O306" i="69"/>
  <c r="Q306" i="69" s="1"/>
  <c r="N306" i="69"/>
  <c r="D306" i="69"/>
  <c r="H306" i="69"/>
  <c r="I306" i="69"/>
  <c r="J306" i="69"/>
  <c r="L306" i="69" s="1"/>
  <c r="A128" i="63"/>
  <c r="I128" i="63" s="1"/>
  <c r="AG306" i="76" l="1"/>
  <c r="L306" i="76"/>
  <c r="R306" i="76" s="1"/>
  <c r="S306" i="76" s="1"/>
  <c r="R284" i="76"/>
  <c r="S284" i="76" s="1"/>
  <c r="R305" i="76"/>
  <c r="S305" i="76" s="1"/>
  <c r="L285" i="76"/>
  <c r="R285" i="76" s="1"/>
  <c r="S285" i="76" s="1"/>
  <c r="AG285" i="76"/>
  <c r="R193" i="75"/>
  <c r="S193" i="75" s="1"/>
  <c r="W193" i="75"/>
  <c r="AG213" i="75"/>
  <c r="L213" i="75"/>
  <c r="AG194" i="75"/>
  <c r="L194" i="75"/>
  <c r="W194" i="75" s="1"/>
  <c r="R212" i="75"/>
  <c r="S212" i="75" s="1"/>
  <c r="W212" i="75"/>
  <c r="R306" i="69"/>
  <c r="S306" i="69" s="1"/>
  <c r="AJ2091" i="72"/>
  <c r="P2091" i="72"/>
  <c r="AJ1931" i="72"/>
  <c r="P1931" i="72"/>
  <c r="L306" i="71"/>
  <c r="S306" i="71" s="1"/>
  <c r="AF306" i="71"/>
  <c r="AF285" i="71"/>
  <c r="L285" i="71"/>
  <c r="S285" i="71" s="1"/>
  <c r="H128" i="63"/>
  <c r="J128" i="63"/>
  <c r="L128" i="63" s="1"/>
  <c r="D128" i="63"/>
  <c r="C399" i="65" s="1"/>
  <c r="A129" i="63"/>
  <c r="J129" i="63" s="1"/>
  <c r="L129" i="63" s="1"/>
  <c r="R194" i="75" l="1"/>
  <c r="S194" i="75" s="1"/>
  <c r="R213" i="75"/>
  <c r="S213" i="75" s="1"/>
  <c r="W213" i="75"/>
  <c r="D129" i="63"/>
  <c r="C400" i="65" s="1"/>
  <c r="I129" i="63"/>
  <c r="H129" i="63"/>
  <c r="B1621" i="58"/>
  <c r="B100" i="59"/>
  <c r="A130" i="63"/>
  <c r="H130" i="63" s="1"/>
  <c r="A214" i="75" l="1"/>
  <c r="A195" i="75"/>
  <c r="A1939" i="72"/>
  <c r="A2099" i="72"/>
  <c r="K100" i="59"/>
  <c r="P419" i="76" s="1"/>
  <c r="A307" i="71"/>
  <c r="A286" i="71"/>
  <c r="I100" i="59"/>
  <c r="J100" i="59"/>
  <c r="O419" i="76" s="1"/>
  <c r="Q419" i="76" s="1"/>
  <c r="A307" i="69"/>
  <c r="G100" i="59"/>
  <c r="J419" i="76" s="1"/>
  <c r="H100" i="59"/>
  <c r="H419" i="76" s="1"/>
  <c r="H94" i="77" s="1"/>
  <c r="I130" i="63"/>
  <c r="J130" i="63"/>
  <c r="L130" i="63" s="1"/>
  <c r="D130" i="63"/>
  <c r="C401" i="65" s="1"/>
  <c r="C100" i="59"/>
  <c r="D419" i="76" s="1"/>
  <c r="D94" i="77" s="1"/>
  <c r="F100" i="59"/>
  <c r="I419" i="76" s="1"/>
  <c r="I94" i="77" s="1"/>
  <c r="A286" i="69"/>
  <c r="B1641" i="58"/>
  <c r="B101" i="59"/>
  <c r="J94" i="77" l="1"/>
  <c r="L94" i="77" s="1"/>
  <c r="AG419" i="76"/>
  <c r="L419" i="76"/>
  <c r="R419" i="76" s="1"/>
  <c r="S419" i="76" s="1"/>
  <c r="H307" i="76"/>
  <c r="H286" i="76"/>
  <c r="N307" i="76"/>
  <c r="N286" i="76"/>
  <c r="D307" i="76"/>
  <c r="D286" i="76"/>
  <c r="J286" i="76"/>
  <c r="J307" i="76"/>
  <c r="I286" i="76"/>
  <c r="I307" i="76"/>
  <c r="O286" i="76"/>
  <c r="Q286" i="76" s="1"/>
  <c r="O307" i="76"/>
  <c r="Q307" i="76" s="1"/>
  <c r="P307" i="76"/>
  <c r="P286" i="76"/>
  <c r="A215" i="75"/>
  <c r="A196" i="75"/>
  <c r="I195" i="75"/>
  <c r="I214" i="75"/>
  <c r="H214" i="75"/>
  <c r="H195" i="75"/>
  <c r="O195" i="75"/>
  <c r="Q195" i="75" s="1"/>
  <c r="O214" i="75"/>
  <c r="Q214" i="75" s="1"/>
  <c r="P214" i="75"/>
  <c r="P195" i="75"/>
  <c r="D195" i="75"/>
  <c r="D214" i="75"/>
  <c r="N195" i="75"/>
  <c r="N214" i="75"/>
  <c r="J195" i="75"/>
  <c r="J214" i="75"/>
  <c r="A1948" i="72"/>
  <c r="A2108" i="72"/>
  <c r="D1939" i="72"/>
  <c r="D2099" i="72"/>
  <c r="Q1939" i="72"/>
  <c r="Q2099" i="72"/>
  <c r="H2099" i="72"/>
  <c r="H1939" i="72"/>
  <c r="R1939" i="72"/>
  <c r="R2099" i="72"/>
  <c r="N2099" i="72"/>
  <c r="N1939" i="72"/>
  <c r="P286" i="71"/>
  <c r="R286" i="71" s="1"/>
  <c r="M1939" i="72"/>
  <c r="M2099" i="72"/>
  <c r="P307" i="71"/>
  <c r="R307" i="71" s="1"/>
  <c r="S2099" i="72"/>
  <c r="T2099" i="72" s="1"/>
  <c r="S1939" i="72"/>
  <c r="T1939" i="72" s="1"/>
  <c r="P286" i="69"/>
  <c r="P307" i="69"/>
  <c r="K101" i="59"/>
  <c r="P420" i="76" s="1"/>
  <c r="A287" i="71"/>
  <c r="A308" i="71"/>
  <c r="I307" i="71"/>
  <c r="I286" i="71"/>
  <c r="O307" i="71"/>
  <c r="Q307" i="71" s="1"/>
  <c r="O286" i="71"/>
  <c r="Q286" i="71" s="1"/>
  <c r="N307" i="71"/>
  <c r="N286" i="71"/>
  <c r="D307" i="71"/>
  <c r="D286" i="71"/>
  <c r="J286" i="71"/>
  <c r="J307" i="71"/>
  <c r="H286" i="71"/>
  <c r="H307" i="71"/>
  <c r="O286" i="69"/>
  <c r="Q286" i="69" s="1"/>
  <c r="N286" i="69"/>
  <c r="N307" i="69"/>
  <c r="O307" i="69"/>
  <c r="Q307" i="69" s="1"/>
  <c r="J101" i="59"/>
  <c r="O420" i="76" s="1"/>
  <c r="Q420" i="76" s="1"/>
  <c r="I101" i="59"/>
  <c r="D307" i="69"/>
  <c r="I307" i="69"/>
  <c r="H307" i="69"/>
  <c r="J307" i="69"/>
  <c r="AG307" i="69" s="1"/>
  <c r="A308" i="69"/>
  <c r="G101" i="59"/>
  <c r="J420" i="76" s="1"/>
  <c r="H101" i="59"/>
  <c r="H420" i="76" s="1"/>
  <c r="H44" i="77" s="1"/>
  <c r="D286" i="69"/>
  <c r="C101" i="59"/>
  <c r="D420" i="76" s="1"/>
  <c r="D44" i="77" s="1"/>
  <c r="A287" i="69"/>
  <c r="F101" i="59"/>
  <c r="I420" i="76" s="1"/>
  <c r="I44" i="77" s="1"/>
  <c r="B1662" i="58"/>
  <c r="B1684" i="58" s="1"/>
  <c r="B1701" i="58" s="1"/>
  <c r="B102" i="59"/>
  <c r="AG420" i="76" l="1"/>
  <c r="J44" i="77"/>
  <c r="L44" i="77" s="1"/>
  <c r="L420" i="76"/>
  <c r="R420" i="76" s="1"/>
  <c r="S420" i="76" s="1"/>
  <c r="H308" i="76"/>
  <c r="H287" i="76"/>
  <c r="D287" i="76"/>
  <c r="D308" i="76"/>
  <c r="AG307" i="76"/>
  <c r="L307" i="76"/>
  <c r="R307" i="76" s="1"/>
  <c r="S307" i="76" s="1"/>
  <c r="P287" i="76"/>
  <c r="P308" i="76"/>
  <c r="I287" i="76"/>
  <c r="I308" i="76"/>
  <c r="O287" i="76"/>
  <c r="Q287" i="76" s="1"/>
  <c r="O308" i="76"/>
  <c r="Q308" i="76" s="1"/>
  <c r="N287" i="76"/>
  <c r="N308" i="76"/>
  <c r="AG286" i="76"/>
  <c r="L286" i="76"/>
  <c r="J287" i="76"/>
  <c r="J308" i="76"/>
  <c r="A1957" i="72"/>
  <c r="A197" i="75"/>
  <c r="H196" i="75"/>
  <c r="H215" i="75"/>
  <c r="D215" i="75"/>
  <c r="D196" i="75"/>
  <c r="N196" i="75"/>
  <c r="N215" i="75"/>
  <c r="P196" i="75"/>
  <c r="P215" i="75"/>
  <c r="I215" i="75"/>
  <c r="I196" i="75"/>
  <c r="O215" i="75"/>
  <c r="Q215" i="75" s="1"/>
  <c r="O196" i="75"/>
  <c r="Q196" i="75" s="1"/>
  <c r="AG214" i="75"/>
  <c r="L214" i="75"/>
  <c r="W214" i="75" s="1"/>
  <c r="J196" i="75"/>
  <c r="J215" i="75"/>
  <c r="AG195" i="75"/>
  <c r="L195" i="75"/>
  <c r="W195" i="75" s="1"/>
  <c r="P287" i="69"/>
  <c r="R1948" i="72"/>
  <c r="R2108" i="72"/>
  <c r="Q1948" i="72"/>
  <c r="Q2108" i="72"/>
  <c r="H2108" i="72"/>
  <c r="H1948" i="72"/>
  <c r="P287" i="71"/>
  <c r="R287" i="71" s="1"/>
  <c r="S2108" i="72"/>
  <c r="T2108" i="72" s="1"/>
  <c r="S1948" i="72"/>
  <c r="T1948" i="72" s="1"/>
  <c r="M1948" i="72"/>
  <c r="M2108" i="72"/>
  <c r="N1948" i="72"/>
  <c r="N2108" i="72"/>
  <c r="P308" i="71"/>
  <c r="R308" i="71" s="1"/>
  <c r="AJ1939" i="72"/>
  <c r="P1939" i="72"/>
  <c r="D2108" i="72"/>
  <c r="D1948" i="72"/>
  <c r="AJ2099" i="72"/>
  <c r="P2099" i="72"/>
  <c r="K102" i="59"/>
  <c r="P421" i="76" s="1"/>
  <c r="A288" i="71"/>
  <c r="P308" i="69"/>
  <c r="N287" i="71"/>
  <c r="N308" i="71"/>
  <c r="AF307" i="71"/>
  <c r="L307" i="71"/>
  <c r="S307" i="71" s="1"/>
  <c r="H308" i="71"/>
  <c r="H287" i="71"/>
  <c r="O308" i="71"/>
  <c r="Q308" i="71" s="1"/>
  <c r="O287" i="71"/>
  <c r="Q287" i="71" s="1"/>
  <c r="AF286" i="71"/>
  <c r="L286" i="71"/>
  <c r="S286" i="71" s="1"/>
  <c r="I287" i="71"/>
  <c r="I308" i="71"/>
  <c r="J287" i="71"/>
  <c r="J308" i="71"/>
  <c r="D308" i="69"/>
  <c r="D287" i="71"/>
  <c r="D308" i="71"/>
  <c r="I102" i="59"/>
  <c r="J102" i="59"/>
  <c r="O421" i="76" s="1"/>
  <c r="Q421" i="76" s="1"/>
  <c r="O308" i="69"/>
  <c r="Q308" i="69" s="1"/>
  <c r="N308" i="69"/>
  <c r="O287" i="69"/>
  <c r="Q287" i="69" s="1"/>
  <c r="N287" i="69"/>
  <c r="I308" i="69"/>
  <c r="H308" i="69"/>
  <c r="J308" i="69"/>
  <c r="L308" i="69" s="1"/>
  <c r="L307" i="69"/>
  <c r="G102" i="59"/>
  <c r="J421" i="76" s="1"/>
  <c r="H102" i="59"/>
  <c r="H421" i="76" s="1"/>
  <c r="H107" i="77" s="1"/>
  <c r="B104" i="59"/>
  <c r="B103" i="59"/>
  <c r="D287" i="69"/>
  <c r="C102" i="59"/>
  <c r="D421" i="76" s="1"/>
  <c r="D107" i="77" s="1"/>
  <c r="A288" i="69"/>
  <c r="F102" i="59"/>
  <c r="I421" i="76" s="1"/>
  <c r="I107" i="77" s="1"/>
  <c r="AG421" i="76" l="1"/>
  <c r="J107" i="77"/>
  <c r="L107" i="77" s="1"/>
  <c r="L421" i="76"/>
  <c r="R421" i="76" s="1"/>
  <c r="S421" i="76" s="1"/>
  <c r="AG308" i="76"/>
  <c r="L308" i="76"/>
  <c r="D197" i="75"/>
  <c r="D288" i="76"/>
  <c r="H197" i="75"/>
  <c r="H288" i="76"/>
  <c r="R286" i="76"/>
  <c r="S286" i="76" s="1"/>
  <c r="I197" i="75"/>
  <c r="I288" i="76"/>
  <c r="O197" i="75"/>
  <c r="Q197" i="75" s="1"/>
  <c r="O288" i="76"/>
  <c r="Q288" i="76" s="1"/>
  <c r="AG287" i="76"/>
  <c r="L287" i="76"/>
  <c r="R287" i="76" s="1"/>
  <c r="S287" i="76" s="1"/>
  <c r="J197" i="75"/>
  <c r="AG197" i="75" s="1"/>
  <c r="J288" i="76"/>
  <c r="N197" i="75"/>
  <c r="N288" i="76"/>
  <c r="P197" i="75"/>
  <c r="P288" i="76"/>
  <c r="A198" i="75"/>
  <c r="A216" i="75"/>
  <c r="A217" i="75"/>
  <c r="A201" i="75"/>
  <c r="AG215" i="75"/>
  <c r="L215" i="75"/>
  <c r="R195" i="75"/>
  <c r="S195" i="75" s="1"/>
  <c r="AG196" i="75"/>
  <c r="L196" i="75"/>
  <c r="R214" i="75"/>
  <c r="S214" i="75" s="1"/>
  <c r="R308" i="69"/>
  <c r="S308" i="69" s="1"/>
  <c r="R307" i="69"/>
  <c r="S307" i="69" s="1"/>
  <c r="A1967" i="72"/>
  <c r="A2117" i="72"/>
  <c r="A2128" i="72"/>
  <c r="A1982" i="72"/>
  <c r="P288" i="69"/>
  <c r="D288" i="71"/>
  <c r="D1957" i="72"/>
  <c r="H288" i="71"/>
  <c r="H1957" i="72"/>
  <c r="AJ1948" i="72"/>
  <c r="P1948" i="72"/>
  <c r="J288" i="71"/>
  <c r="AF288" i="71" s="1"/>
  <c r="N1957" i="72"/>
  <c r="I288" i="71"/>
  <c r="M1957" i="72"/>
  <c r="O288" i="71"/>
  <c r="Q288" i="71" s="1"/>
  <c r="R1957" i="72"/>
  <c r="N288" i="71"/>
  <c r="Q1957" i="72"/>
  <c r="P288" i="71"/>
  <c r="R288" i="71" s="1"/>
  <c r="S1957" i="72"/>
  <c r="T1957" i="72" s="1"/>
  <c r="AJ2108" i="72"/>
  <c r="P2108" i="72"/>
  <c r="K104" i="59"/>
  <c r="P423" i="76" s="1"/>
  <c r="A310" i="71"/>
  <c r="A292" i="71"/>
  <c r="K103" i="59"/>
  <c r="P422" i="76" s="1"/>
  <c r="A309" i="71"/>
  <c r="A289" i="71"/>
  <c r="AF308" i="71"/>
  <c r="L308" i="71"/>
  <c r="S308" i="71" s="1"/>
  <c r="AF287" i="71"/>
  <c r="L287" i="71"/>
  <c r="S287" i="71" s="1"/>
  <c r="O288" i="69"/>
  <c r="Q288" i="69" s="1"/>
  <c r="J103" i="59"/>
  <c r="O422" i="76" s="1"/>
  <c r="Q422" i="76" s="1"/>
  <c r="I103" i="59"/>
  <c r="I104" i="59"/>
  <c r="J104" i="59"/>
  <c r="O423" i="76" s="1"/>
  <c r="Q423" i="76" s="1"/>
  <c r="N288" i="69"/>
  <c r="AG308" i="69"/>
  <c r="A309" i="69"/>
  <c r="G103" i="59"/>
  <c r="J422" i="76" s="1"/>
  <c r="H103" i="59"/>
  <c r="H422" i="76" s="1"/>
  <c r="H51" i="77" s="1"/>
  <c r="G104" i="59"/>
  <c r="J423" i="76" s="1"/>
  <c r="H104" i="59"/>
  <c r="H423" i="76" s="1"/>
  <c r="H70" i="77" s="1"/>
  <c r="A292" i="69"/>
  <c r="F104" i="59"/>
  <c r="I423" i="76" s="1"/>
  <c r="I70" i="77" s="1"/>
  <c r="A310" i="69"/>
  <c r="C104" i="59"/>
  <c r="D423" i="76" s="1"/>
  <c r="D70" i="77" s="1"/>
  <c r="C103" i="59"/>
  <c r="D422" i="76" s="1"/>
  <c r="D51" i="77" s="1"/>
  <c r="A289" i="69"/>
  <c r="F103" i="59"/>
  <c r="I422" i="76" s="1"/>
  <c r="I51" i="77" s="1"/>
  <c r="D288" i="69"/>
  <c r="J70" i="77" l="1"/>
  <c r="L70" i="77" s="1"/>
  <c r="L423" i="76"/>
  <c r="R423" i="76" s="1"/>
  <c r="S423" i="76" s="1"/>
  <c r="AG423" i="76"/>
  <c r="L422" i="76"/>
  <c r="R422" i="76" s="1"/>
  <c r="S422" i="76" s="1"/>
  <c r="AG422" i="76"/>
  <c r="J51" i="77"/>
  <c r="L51" i="77" s="1"/>
  <c r="D310" i="76"/>
  <c r="D292" i="76"/>
  <c r="I309" i="76"/>
  <c r="I289" i="76"/>
  <c r="D216" i="75"/>
  <c r="D309" i="76"/>
  <c r="J289" i="76"/>
  <c r="J309" i="76"/>
  <c r="O310" i="76"/>
  <c r="Q310" i="76" s="1"/>
  <c r="O292" i="76"/>
  <c r="Q292" i="76" s="1"/>
  <c r="AG288" i="76"/>
  <c r="L288" i="76"/>
  <c r="R288" i="76" s="1"/>
  <c r="S288" i="76" s="1"/>
  <c r="N310" i="76"/>
  <c r="N292" i="76"/>
  <c r="H310" i="76"/>
  <c r="H292" i="76"/>
  <c r="J292" i="76"/>
  <c r="J310" i="76"/>
  <c r="N289" i="76"/>
  <c r="N309" i="76"/>
  <c r="P310" i="76"/>
  <c r="P292" i="76"/>
  <c r="L197" i="75"/>
  <c r="W197" i="75" s="1"/>
  <c r="R308" i="76"/>
  <c r="S308" i="76" s="1"/>
  <c r="I292" i="76"/>
  <c r="I310" i="76"/>
  <c r="H289" i="76"/>
  <c r="H309" i="76"/>
  <c r="O289" i="76"/>
  <c r="Q289" i="76" s="1"/>
  <c r="O309" i="76"/>
  <c r="Q309" i="76" s="1"/>
  <c r="P289" i="76"/>
  <c r="P309" i="76"/>
  <c r="D201" i="75"/>
  <c r="D217" i="75"/>
  <c r="J201" i="75"/>
  <c r="J217" i="75"/>
  <c r="N216" i="75"/>
  <c r="N198" i="75"/>
  <c r="P217" i="75"/>
  <c r="P201" i="75"/>
  <c r="H217" i="75"/>
  <c r="H201" i="75"/>
  <c r="R196" i="75"/>
  <c r="S196" i="75" s="1"/>
  <c r="W196" i="75"/>
  <c r="I201" i="75"/>
  <c r="I217" i="75"/>
  <c r="H216" i="75"/>
  <c r="H198" i="75"/>
  <c r="O198" i="75"/>
  <c r="Q198" i="75" s="1"/>
  <c r="O216" i="75"/>
  <c r="Q216" i="75" s="1"/>
  <c r="P216" i="75"/>
  <c r="P198" i="75"/>
  <c r="N201" i="75"/>
  <c r="N217" i="75"/>
  <c r="I198" i="75"/>
  <c r="I216" i="75"/>
  <c r="J198" i="75"/>
  <c r="J216" i="75"/>
  <c r="O201" i="75"/>
  <c r="Q201" i="75" s="1"/>
  <c r="O217" i="75"/>
  <c r="Q217" i="75" s="1"/>
  <c r="R215" i="75"/>
  <c r="S215" i="75" s="1"/>
  <c r="W215" i="75"/>
  <c r="P310" i="69"/>
  <c r="P289" i="69"/>
  <c r="P309" i="69"/>
  <c r="P292" i="69"/>
  <c r="L288" i="71"/>
  <c r="S288" i="71" s="1"/>
  <c r="D309" i="71"/>
  <c r="D2117" i="72"/>
  <c r="N1967" i="72"/>
  <c r="N2117" i="72"/>
  <c r="R1982" i="72"/>
  <c r="R2128" i="72"/>
  <c r="P309" i="71"/>
  <c r="R309" i="71" s="1"/>
  <c r="P292" i="71"/>
  <c r="R292" i="71" s="1"/>
  <c r="S2128" i="72"/>
  <c r="T2128" i="72" s="1"/>
  <c r="S1982" i="72"/>
  <c r="T1982" i="72" s="1"/>
  <c r="AJ1957" i="72"/>
  <c r="P1957" i="72"/>
  <c r="H1982" i="72"/>
  <c r="H2128" i="72"/>
  <c r="Q2128" i="72"/>
  <c r="Q1982" i="72"/>
  <c r="P289" i="71"/>
  <c r="R289" i="71" s="1"/>
  <c r="S1967" i="72"/>
  <c r="T1967" i="72" s="1"/>
  <c r="S2117" i="72"/>
  <c r="T2117" i="72" s="1"/>
  <c r="D2128" i="72"/>
  <c r="D1982" i="72"/>
  <c r="M1967" i="72"/>
  <c r="M2117" i="72"/>
  <c r="N1982" i="72"/>
  <c r="N2128" i="72"/>
  <c r="Q1967" i="72"/>
  <c r="Q2117" i="72"/>
  <c r="M1982" i="72"/>
  <c r="M2128" i="72"/>
  <c r="H1967" i="72"/>
  <c r="H2117" i="72"/>
  <c r="R1967" i="72"/>
  <c r="R2117" i="72"/>
  <c r="P310" i="71"/>
  <c r="R310" i="71" s="1"/>
  <c r="I310" i="71"/>
  <c r="I292" i="71"/>
  <c r="H309" i="71"/>
  <c r="H289" i="71"/>
  <c r="O309" i="71"/>
  <c r="Q309" i="71" s="1"/>
  <c r="O289" i="71"/>
  <c r="Q289" i="71" s="1"/>
  <c r="J309" i="71"/>
  <c r="J289" i="71"/>
  <c r="O292" i="71"/>
  <c r="Q292" i="71" s="1"/>
  <c r="O310" i="71"/>
  <c r="Q310" i="71" s="1"/>
  <c r="D292" i="71"/>
  <c r="D310" i="71"/>
  <c r="H292" i="71"/>
  <c r="H310" i="71"/>
  <c r="N292" i="71"/>
  <c r="N310" i="71"/>
  <c r="I289" i="71"/>
  <c r="I309" i="71"/>
  <c r="J292" i="71"/>
  <c r="J310" i="71"/>
  <c r="N309" i="71"/>
  <c r="N289" i="71"/>
  <c r="N310" i="69"/>
  <c r="O310" i="69"/>
  <c r="Q310" i="69" s="1"/>
  <c r="O309" i="69"/>
  <c r="Q309" i="69" s="1"/>
  <c r="N309" i="69"/>
  <c r="N289" i="69"/>
  <c r="O289" i="69"/>
  <c r="Q289" i="69" s="1"/>
  <c r="N292" i="69"/>
  <c r="O292" i="69"/>
  <c r="Q292" i="69" s="1"/>
  <c r="I309" i="69"/>
  <c r="H309" i="69"/>
  <c r="D309" i="69"/>
  <c r="J309" i="69"/>
  <c r="L309" i="69" s="1"/>
  <c r="B105" i="59"/>
  <c r="R197" i="75" l="1"/>
  <c r="S197" i="75" s="1"/>
  <c r="AG310" i="76"/>
  <c r="L310" i="76"/>
  <c r="AG289" i="76"/>
  <c r="L289" i="76"/>
  <c r="AG309" i="76"/>
  <c r="L309" i="76"/>
  <c r="R309" i="76" s="1"/>
  <c r="S309" i="76" s="1"/>
  <c r="AG292" i="76"/>
  <c r="L292" i="76"/>
  <c r="A222" i="75"/>
  <c r="A107" i="75"/>
  <c r="AG217" i="75"/>
  <c r="L217" i="75"/>
  <c r="AG216" i="75"/>
  <c r="L216" i="75"/>
  <c r="W216" i="75" s="1"/>
  <c r="AG201" i="75"/>
  <c r="L201" i="75"/>
  <c r="AG198" i="75"/>
  <c r="L198" i="75"/>
  <c r="W198" i="75" s="1"/>
  <c r="R309" i="69"/>
  <c r="S309" i="69" s="1"/>
  <c r="A1076" i="72"/>
  <c r="A2148" i="72"/>
  <c r="AJ1982" i="72"/>
  <c r="P1982" i="72"/>
  <c r="AJ2117" i="72"/>
  <c r="P2117" i="72"/>
  <c r="AJ1967" i="72"/>
  <c r="P1967" i="72"/>
  <c r="AJ2128" i="72"/>
  <c r="P2128" i="72"/>
  <c r="K105" i="59"/>
  <c r="P424" i="76" s="1"/>
  <c r="A156" i="71"/>
  <c r="A319" i="71"/>
  <c r="AF310" i="71"/>
  <c r="L310" i="71"/>
  <c r="L289" i="71"/>
  <c r="S289" i="71" s="1"/>
  <c r="AF289" i="71"/>
  <c r="AF292" i="71"/>
  <c r="L292" i="71"/>
  <c r="S292" i="71" s="1"/>
  <c r="AF309" i="71"/>
  <c r="L309" i="71"/>
  <c r="S309" i="71" s="1"/>
  <c r="J105" i="59"/>
  <c r="O424" i="76" s="1"/>
  <c r="Q424" i="76" s="1"/>
  <c r="I105" i="59"/>
  <c r="B106" i="59"/>
  <c r="G105" i="59"/>
  <c r="J424" i="76" s="1"/>
  <c r="H105" i="59"/>
  <c r="H424" i="76" s="1"/>
  <c r="H23" i="77" s="1"/>
  <c r="A319" i="69"/>
  <c r="A156" i="69"/>
  <c r="F105" i="59"/>
  <c r="I424" i="76" s="1"/>
  <c r="I23" i="77" s="1"/>
  <c r="C105" i="59"/>
  <c r="D424" i="76" s="1"/>
  <c r="D23" i="77" s="1"/>
  <c r="AG424" i="76" l="1"/>
  <c r="L424" i="76"/>
  <c r="J23" i="77"/>
  <c r="L23" i="77" s="1"/>
  <c r="R310" i="76"/>
  <c r="S310" i="76" s="1"/>
  <c r="M315" i="76"/>
  <c r="D156" i="76"/>
  <c r="D319" i="76"/>
  <c r="O319" i="76"/>
  <c r="Q319" i="76" s="1"/>
  <c r="O156" i="76"/>
  <c r="Q156" i="76" s="1"/>
  <c r="J156" i="76"/>
  <c r="J319" i="76"/>
  <c r="AB314" i="76"/>
  <c r="AC314" i="76" s="1"/>
  <c r="Y315" i="76"/>
  <c r="AF316" i="76" s="1"/>
  <c r="H156" i="76"/>
  <c r="H319" i="76"/>
  <c r="I319" i="76"/>
  <c r="I156" i="76"/>
  <c r="N319" i="76"/>
  <c r="N156" i="76"/>
  <c r="P156" i="76"/>
  <c r="P319" i="76"/>
  <c r="R292" i="76"/>
  <c r="S292" i="76" s="1"/>
  <c r="R289" i="76"/>
  <c r="S289" i="76" s="1"/>
  <c r="R216" i="75"/>
  <c r="S216" i="75" s="1"/>
  <c r="D222" i="75"/>
  <c r="D107" i="75"/>
  <c r="J222" i="75"/>
  <c r="J107" i="75"/>
  <c r="I222" i="75"/>
  <c r="I107" i="75"/>
  <c r="N222" i="75"/>
  <c r="N107" i="75"/>
  <c r="P107" i="75"/>
  <c r="P222" i="75"/>
  <c r="R201" i="75"/>
  <c r="S201" i="75" s="1"/>
  <c r="W201" i="75"/>
  <c r="R217" i="75"/>
  <c r="S217" i="75" s="1"/>
  <c r="W217" i="75"/>
  <c r="H222" i="75"/>
  <c r="H107" i="75"/>
  <c r="O222" i="75"/>
  <c r="Q222" i="75" s="1"/>
  <c r="O107" i="75"/>
  <c r="Q107" i="75" s="1"/>
  <c r="R198" i="75"/>
  <c r="S198" i="75" s="1"/>
  <c r="P319" i="69"/>
  <c r="D1076" i="72"/>
  <c r="D2148" i="72"/>
  <c r="M1076" i="72"/>
  <c r="M2148" i="72"/>
  <c r="Q1076" i="72"/>
  <c r="Q1183" i="72" s="1"/>
  <c r="Q2148" i="72"/>
  <c r="Q2165" i="72" s="1"/>
  <c r="P319" i="71"/>
  <c r="R319" i="71" s="1"/>
  <c r="S1076" i="72"/>
  <c r="T1076" i="72" s="1"/>
  <c r="T1183" i="72" s="1"/>
  <c r="S2148" i="72"/>
  <c r="T2148" i="72" s="1"/>
  <c r="T2165" i="72" s="1"/>
  <c r="H2148" i="72"/>
  <c r="H1076" i="72"/>
  <c r="R1076" i="72"/>
  <c r="R2148" i="72"/>
  <c r="N1076" i="72"/>
  <c r="N2148" i="72"/>
  <c r="P156" i="69"/>
  <c r="P156" i="71"/>
  <c r="R156" i="71" s="1"/>
  <c r="D319" i="71"/>
  <c r="D156" i="71"/>
  <c r="N319" i="71"/>
  <c r="N156" i="71"/>
  <c r="O319" i="71"/>
  <c r="Q319" i="71" s="1"/>
  <c r="O156" i="71"/>
  <c r="Q156" i="71" s="1"/>
  <c r="I319" i="71"/>
  <c r="I156" i="71"/>
  <c r="J156" i="71"/>
  <c r="J319" i="71"/>
  <c r="S310" i="71"/>
  <c r="H156" i="71"/>
  <c r="H319" i="71"/>
  <c r="O156" i="69"/>
  <c r="Q156" i="69" s="1"/>
  <c r="N156" i="69"/>
  <c r="O319" i="69"/>
  <c r="Q319" i="69" s="1"/>
  <c r="N319" i="69"/>
  <c r="H319" i="69"/>
  <c r="I319" i="69"/>
  <c r="J319" i="69"/>
  <c r="L319" i="69" s="1"/>
  <c r="D319" i="69"/>
  <c r="M89" i="77" l="1"/>
  <c r="M73" i="77"/>
  <c r="M63" i="77"/>
  <c r="M50" i="77"/>
  <c r="M78" i="77"/>
  <c r="M87" i="77"/>
  <c r="M36" i="77"/>
  <c r="M102" i="77"/>
  <c r="M82" i="77"/>
  <c r="M75" i="77"/>
  <c r="M81" i="77"/>
  <c r="M31" i="77"/>
  <c r="M33" i="77"/>
  <c r="M111" i="77"/>
  <c r="M37" i="77"/>
  <c r="M15" i="77"/>
  <c r="M56" i="77"/>
  <c r="M85" i="77"/>
  <c r="M93" i="77"/>
  <c r="M58" i="77"/>
  <c r="M57" i="77"/>
  <c r="M77" i="77"/>
  <c r="M18" i="77"/>
  <c r="M32" i="77"/>
  <c r="M100" i="77"/>
  <c r="M74" i="77"/>
  <c r="M55" i="77"/>
  <c r="M66" i="77"/>
  <c r="M103" i="77"/>
  <c r="M109" i="77"/>
  <c r="M35" i="77"/>
  <c r="M22" i="77"/>
  <c r="M62" i="77"/>
  <c r="M20" i="77"/>
  <c r="M43" i="77"/>
  <c r="M79" i="77"/>
  <c r="M67" i="77"/>
  <c r="L113" i="77"/>
  <c r="M41" i="77"/>
  <c r="M30" i="77"/>
  <c r="M46" i="77"/>
  <c r="M17" i="77"/>
  <c r="M29" i="77"/>
  <c r="M28" i="77"/>
  <c r="M38" i="77"/>
  <c r="M24" i="77"/>
  <c r="M48" i="77"/>
  <c r="M26" i="77"/>
  <c r="M47" i="77"/>
  <c r="M60" i="77"/>
  <c r="M69" i="77"/>
  <c r="M71" i="77"/>
  <c r="M86" i="77"/>
  <c r="M84" i="77"/>
  <c r="M25" i="77"/>
  <c r="M42" i="77"/>
  <c r="M52" i="77"/>
  <c r="M21" i="77"/>
  <c r="M110" i="77"/>
  <c r="M53" i="77"/>
  <c r="M19" i="77"/>
  <c r="M49" i="77"/>
  <c r="M68" i="77"/>
  <c r="M65" i="77"/>
  <c r="M72" i="77"/>
  <c r="M23" i="77"/>
  <c r="M27" i="77"/>
  <c r="M61" i="77"/>
  <c r="M45" i="77"/>
  <c r="M16" i="77"/>
  <c r="M104" i="77"/>
  <c r="M101" i="77"/>
  <c r="M80" i="77"/>
  <c r="M99" i="77"/>
  <c r="M88" i="77"/>
  <c r="M54" i="77"/>
  <c r="M105" i="77"/>
  <c r="M98" i="77"/>
  <c r="M76" i="77"/>
  <c r="M34" i="77"/>
  <c r="M39" i="77"/>
  <c r="M83" i="77"/>
  <c r="M40" i="77"/>
  <c r="M59" i="77"/>
  <c r="M91" i="77"/>
  <c r="M64" i="77"/>
  <c r="M90" i="77"/>
  <c r="M96" i="77"/>
  <c r="M106" i="77"/>
  <c r="M92" i="77"/>
  <c r="M95" i="77"/>
  <c r="M108" i="77"/>
  <c r="M97" i="77"/>
  <c r="M94" i="77"/>
  <c r="M44" i="77"/>
  <c r="M107" i="77"/>
  <c r="M51" i="77"/>
  <c r="M70" i="77"/>
  <c r="R424" i="76"/>
  <c r="S424" i="76" s="1"/>
  <c r="L444" i="76"/>
  <c r="R315" i="76"/>
  <c r="N315" i="76" s="1"/>
  <c r="Q321" i="76"/>
  <c r="S315" i="76"/>
  <c r="L319" i="76"/>
  <c r="AG319" i="76"/>
  <c r="U315" i="76"/>
  <c r="AG156" i="76"/>
  <c r="L156" i="76"/>
  <c r="M166" i="76" s="1"/>
  <c r="AG107" i="75"/>
  <c r="L107" i="75"/>
  <c r="L222" i="75"/>
  <c r="R222" i="75" s="1"/>
  <c r="R224" i="75" s="1"/>
  <c r="AG222" i="75"/>
  <c r="R319" i="69"/>
  <c r="R321" i="69" s="1"/>
  <c r="AJ1076" i="72"/>
  <c r="P1076" i="72"/>
  <c r="P2148" i="72"/>
  <c r="AJ2148" i="72"/>
  <c r="L319" i="71"/>
  <c r="AF319" i="71"/>
  <c r="AF156" i="71"/>
  <c r="L156" i="71"/>
  <c r="M321" i="69"/>
  <c r="AG319" i="69"/>
  <c r="D156" i="69"/>
  <c r="H156" i="69"/>
  <c r="I156" i="69"/>
  <c r="J156" i="69"/>
  <c r="AG156" i="69" s="1"/>
  <c r="R156" i="76" l="1"/>
  <c r="M321" i="76"/>
  <c r="R319" i="76"/>
  <c r="R321" i="76" s="1"/>
  <c r="W222" i="75"/>
  <c r="S222" i="75"/>
  <c r="S224" i="75" s="1"/>
  <c r="R107" i="75"/>
  <c r="W107" i="75"/>
  <c r="S319" i="69"/>
  <c r="S321" i="69" s="1"/>
  <c r="L42" i="67"/>
  <c r="N321" i="69"/>
  <c r="K42" i="67" s="1"/>
  <c r="M322" i="71"/>
  <c r="S319" i="71"/>
  <c r="S156" i="71"/>
  <c r="M166" i="71"/>
  <c r="J42" i="67"/>
  <c r="J43" i="67" s="1"/>
  <c r="L156" i="69"/>
  <c r="S319" i="76" l="1"/>
  <c r="S321" i="76" s="1"/>
  <c r="U321" i="76"/>
  <c r="U166" i="76"/>
  <c r="M316" i="76"/>
  <c r="U316" i="76" s="1"/>
  <c r="N321" i="76"/>
  <c r="S156" i="76"/>
  <c r="S166" i="76" s="1"/>
  <c r="R166" i="76"/>
  <c r="N166" i="76" s="1"/>
  <c r="S107" i="75"/>
  <c r="R156" i="69"/>
  <c r="R166" i="69" s="1"/>
  <c r="L31" i="67" s="1"/>
  <c r="U322" i="71"/>
  <c r="U166" i="71"/>
  <c r="M166" i="69"/>
  <c r="R322" i="76" l="1"/>
  <c r="M322" i="76"/>
  <c r="S322" i="76"/>
  <c r="S156" i="69"/>
  <c r="S166" i="69" s="1"/>
  <c r="J31" i="67"/>
  <c r="N166" i="69"/>
  <c r="K31" i="67" s="1"/>
  <c r="L28" i="63"/>
  <c r="L26" i="63"/>
  <c r="M323" i="76" l="1"/>
  <c r="M324" i="76" s="1"/>
  <c r="M325" i="76" s="1"/>
  <c r="L446" i="76"/>
  <c r="L447" i="76" s="1"/>
  <c r="N322" i="76"/>
  <c r="H126" i="63"/>
  <c r="J126" i="63"/>
  <c r="L126" i="63" s="1"/>
  <c r="L132" i="63" s="1"/>
  <c r="I126" i="63"/>
  <c r="D76" i="63" l="1"/>
  <c r="C215" i="65" s="1"/>
  <c r="D126" i="63"/>
  <c r="C397" i="65" s="1"/>
  <c r="A184" i="63" l="1"/>
  <c r="D184" i="63" s="1"/>
  <c r="C549" i="65" s="1"/>
  <c r="B107" i="59"/>
  <c r="A20" i="75" s="1"/>
  <c r="N20" i="75" l="1"/>
  <c r="P20" i="75"/>
  <c r="O20" i="75"/>
  <c r="Q20" i="75" s="1"/>
  <c r="J20" i="75"/>
  <c r="H20" i="75"/>
  <c r="D20" i="75"/>
  <c r="I20" i="75"/>
  <c r="A21" i="71"/>
  <c r="O21" i="71" s="1"/>
  <c r="Q21" i="71" s="1"/>
  <c r="A49" i="72"/>
  <c r="D21" i="71"/>
  <c r="H21" i="71"/>
  <c r="I21" i="71"/>
  <c r="N21" i="71"/>
  <c r="A21" i="69"/>
  <c r="B108" i="59"/>
  <c r="A21" i="75" s="1"/>
  <c r="AG20" i="75" l="1"/>
  <c r="L20" i="75"/>
  <c r="N21" i="75"/>
  <c r="I21" i="75"/>
  <c r="P21" i="75"/>
  <c r="D21" i="75"/>
  <c r="J21" i="75"/>
  <c r="O21" i="75"/>
  <c r="Q21" i="75" s="1"/>
  <c r="H21" i="75"/>
  <c r="R20" i="75"/>
  <c r="J21" i="71"/>
  <c r="L21" i="71" s="1"/>
  <c r="P21" i="71"/>
  <c r="R21" i="71" s="1"/>
  <c r="O21" i="69"/>
  <c r="Q21" i="69" s="1"/>
  <c r="P21" i="69"/>
  <c r="A22" i="71"/>
  <c r="I22" i="71" s="1"/>
  <c r="A68" i="72"/>
  <c r="H49" i="72"/>
  <c r="R49" i="72"/>
  <c r="Q49" i="72"/>
  <c r="D49" i="72"/>
  <c r="M49" i="72"/>
  <c r="N49" i="72"/>
  <c r="N22" i="71"/>
  <c r="N21" i="69"/>
  <c r="B109" i="59"/>
  <c r="H21" i="69"/>
  <c r="I21" i="69"/>
  <c r="D21" i="69"/>
  <c r="J21" i="69"/>
  <c r="A22" i="69"/>
  <c r="D22" i="71" l="1"/>
  <c r="P22" i="71"/>
  <c r="R22" i="71" s="1"/>
  <c r="J22" i="71"/>
  <c r="AF22" i="71" s="1"/>
  <c r="O22" i="71"/>
  <c r="Q22" i="71" s="1"/>
  <c r="H22" i="71"/>
  <c r="A95" i="75"/>
  <c r="A100" i="75"/>
  <c r="B110" i="59"/>
  <c r="A150" i="75" s="1"/>
  <c r="AG21" i="75"/>
  <c r="L21" i="75"/>
  <c r="W21" i="75" s="1"/>
  <c r="S20" i="75"/>
  <c r="W20" i="75"/>
  <c r="AF21" i="71"/>
  <c r="D22" i="69"/>
  <c r="O22" i="69"/>
  <c r="Q22" i="69" s="1"/>
  <c r="P22" i="69"/>
  <c r="D68" i="72"/>
  <c r="N68" i="72"/>
  <c r="M68" i="72"/>
  <c r="H68" i="72"/>
  <c r="R68" i="72"/>
  <c r="Q68" i="72"/>
  <c r="Q69" i="72" s="1"/>
  <c r="A1003" i="72"/>
  <c r="A959" i="72"/>
  <c r="P49" i="72"/>
  <c r="AJ49" i="72"/>
  <c r="N22" i="69"/>
  <c r="A139" i="71"/>
  <c r="A146" i="71"/>
  <c r="L22" i="71"/>
  <c r="S22" i="71" s="1"/>
  <c r="S21" i="71"/>
  <c r="I22" i="69"/>
  <c r="J22" i="69"/>
  <c r="H22" i="69"/>
  <c r="L21" i="69"/>
  <c r="R21" i="69" s="1"/>
  <c r="AG21" i="69"/>
  <c r="R21" i="75" l="1"/>
  <c r="S21" i="75" s="1"/>
  <c r="N150" i="75"/>
  <c r="O150" i="75"/>
  <c r="Q150" i="75" s="1"/>
  <c r="P150" i="75"/>
  <c r="D150" i="75"/>
  <c r="J150" i="75"/>
  <c r="H150" i="75"/>
  <c r="I150" i="75"/>
  <c r="O100" i="75"/>
  <c r="Q100" i="75" s="1"/>
  <c r="H100" i="75"/>
  <c r="N100" i="75"/>
  <c r="D100" i="75"/>
  <c r="J100" i="75"/>
  <c r="I100" i="75"/>
  <c r="P100" i="75"/>
  <c r="N95" i="75"/>
  <c r="I95" i="75"/>
  <c r="O95" i="75"/>
  <c r="Q95" i="75" s="1"/>
  <c r="J95" i="75"/>
  <c r="D95" i="75"/>
  <c r="H95" i="75"/>
  <c r="P95" i="75"/>
  <c r="R959" i="72"/>
  <c r="M959" i="72"/>
  <c r="N959" i="72"/>
  <c r="H959" i="72"/>
  <c r="S959" i="72"/>
  <c r="T959" i="72" s="1"/>
  <c r="D959" i="72"/>
  <c r="Q959" i="72"/>
  <c r="AJ68" i="72"/>
  <c r="S68" i="72"/>
  <c r="S69" i="72" s="1"/>
  <c r="Y68" i="72" s="1"/>
  <c r="P68" i="72"/>
  <c r="P69" i="72" s="1"/>
  <c r="X68" i="72" s="1"/>
  <c r="S1003" i="72"/>
  <c r="T1003" i="72" s="1"/>
  <c r="D1003" i="72"/>
  <c r="H1003" i="72"/>
  <c r="N1003" i="72"/>
  <c r="Q1003" i="72"/>
  <c r="R1003" i="72"/>
  <c r="M1003" i="72"/>
  <c r="M23" i="71"/>
  <c r="N146" i="71"/>
  <c r="H146" i="71"/>
  <c r="J146" i="71"/>
  <c r="D146" i="71"/>
  <c r="I146" i="71"/>
  <c r="O146" i="71"/>
  <c r="Q146" i="71" s="1"/>
  <c r="P146" i="71"/>
  <c r="R146" i="71" s="1"/>
  <c r="O139" i="71"/>
  <c r="Q139" i="71" s="1"/>
  <c r="H139" i="71"/>
  <c r="P139" i="71"/>
  <c r="R139" i="71" s="1"/>
  <c r="I139" i="71"/>
  <c r="J139" i="71"/>
  <c r="N139" i="71"/>
  <c r="D139" i="71"/>
  <c r="S21" i="69"/>
  <c r="AG22" i="69"/>
  <c r="L22" i="69"/>
  <c r="AG95" i="75" l="1"/>
  <c r="L95" i="75"/>
  <c r="R95" i="75" s="1"/>
  <c r="AG150" i="75"/>
  <c r="L150" i="75"/>
  <c r="W150" i="75" s="1"/>
  <c r="AG100" i="75"/>
  <c r="L100" i="75"/>
  <c r="W100" i="75" s="1"/>
  <c r="R22" i="69"/>
  <c r="R23" i="69" s="1"/>
  <c r="L26" i="67" s="1"/>
  <c r="Q1014" i="72"/>
  <c r="N960" i="72"/>
  <c r="P959" i="72"/>
  <c r="AJ959" i="72"/>
  <c r="N1004" i="72"/>
  <c r="P1003" i="72"/>
  <c r="AJ1003" i="72"/>
  <c r="T68" i="72"/>
  <c r="AF146" i="71"/>
  <c r="L146" i="71"/>
  <c r="S146" i="71" s="1"/>
  <c r="AF139" i="71"/>
  <c r="L139" i="71"/>
  <c r="U23" i="71"/>
  <c r="M23" i="69"/>
  <c r="J26" i="67" s="1"/>
  <c r="A146" i="69"/>
  <c r="P146" i="69" s="1"/>
  <c r="A139" i="69"/>
  <c r="P139" i="69" s="1"/>
  <c r="A52" i="63"/>
  <c r="S95" i="75" l="1"/>
  <c r="R150" i="75"/>
  <c r="S150" i="75" s="1"/>
  <c r="R100" i="75"/>
  <c r="S100" i="75" s="1"/>
  <c r="W95" i="75"/>
  <c r="S22" i="69"/>
  <c r="S23" i="69" s="1"/>
  <c r="P960" i="72"/>
  <c r="X959" i="72" s="1"/>
  <c r="S960" i="72"/>
  <c r="P1004" i="72"/>
  <c r="X1003" i="72" s="1"/>
  <c r="S1004" i="72"/>
  <c r="T69" i="72"/>
  <c r="N23" i="69"/>
  <c r="K26" i="67" s="1"/>
  <c r="W23" i="69"/>
  <c r="S139" i="71"/>
  <c r="M148" i="71"/>
  <c r="D139" i="69"/>
  <c r="N139" i="69"/>
  <c r="O139" i="69"/>
  <c r="O146" i="69"/>
  <c r="Q146" i="69" s="1"/>
  <c r="N146" i="69"/>
  <c r="J146" i="69"/>
  <c r="L146" i="69" s="1"/>
  <c r="I146" i="69"/>
  <c r="D146" i="69"/>
  <c r="H146" i="69"/>
  <c r="A116" i="63"/>
  <c r="H116" i="63" s="1"/>
  <c r="J139" i="69"/>
  <c r="I139" i="69"/>
  <c r="H139" i="69"/>
  <c r="J52" i="63"/>
  <c r="L52" i="63" s="1"/>
  <c r="L55" i="63" s="1"/>
  <c r="D52" i="63"/>
  <c r="C105" i="65" s="1"/>
  <c r="H52" i="63"/>
  <c r="I52" i="63"/>
  <c r="R146" i="69" l="1"/>
  <c r="S146" i="69" s="1"/>
  <c r="T960" i="72"/>
  <c r="Y959" i="72"/>
  <c r="T1004" i="72"/>
  <c r="Y1003" i="72"/>
  <c r="A218" i="71"/>
  <c r="P218" i="71" s="1"/>
  <c r="R218" i="71" s="1"/>
  <c r="A1531" i="72"/>
  <c r="U148" i="71"/>
  <c r="B111" i="59"/>
  <c r="I116" i="63"/>
  <c r="J116" i="63"/>
  <c r="L116" i="63" s="1"/>
  <c r="L118" i="63" s="1"/>
  <c r="D116" i="63"/>
  <c r="C381" i="65" s="1"/>
  <c r="B112" i="59"/>
  <c r="A149" i="75" s="1"/>
  <c r="A218" i="69"/>
  <c r="P218" i="69" s="1"/>
  <c r="AG139" i="69"/>
  <c r="N149" i="75" l="1"/>
  <c r="I149" i="75"/>
  <c r="J149" i="75"/>
  <c r="O149" i="75"/>
  <c r="Q149" i="75" s="1"/>
  <c r="P149" i="75"/>
  <c r="H149" i="75"/>
  <c r="H218" i="71"/>
  <c r="N218" i="71"/>
  <c r="T1014" i="72"/>
  <c r="D218" i="71"/>
  <c r="O218" i="71"/>
  <c r="Q218" i="71" s="1"/>
  <c r="A215" i="71"/>
  <c r="N215" i="71" s="1"/>
  <c r="A1527" i="72"/>
  <c r="J218" i="71"/>
  <c r="AF218" i="71" s="1"/>
  <c r="I218" i="71"/>
  <c r="R1531" i="72"/>
  <c r="M1531" i="72"/>
  <c r="H1531" i="72"/>
  <c r="H1532" i="72" s="1"/>
  <c r="Q1531" i="72"/>
  <c r="Q1533" i="72" s="1"/>
  <c r="D1531" i="72"/>
  <c r="D1532" i="72" s="1"/>
  <c r="N1531" i="72"/>
  <c r="S1531" i="72"/>
  <c r="T1531" i="72" s="1"/>
  <c r="T1533" i="72" s="1"/>
  <c r="O215" i="71"/>
  <c r="Q215" i="71" s="1"/>
  <c r="I215" i="71"/>
  <c r="H215" i="71"/>
  <c r="P215" i="71"/>
  <c r="R215" i="71" s="1"/>
  <c r="O218" i="69"/>
  <c r="Q218" i="69" s="1"/>
  <c r="N218" i="69"/>
  <c r="B113" i="59"/>
  <c r="A215" i="69"/>
  <c r="P215" i="69" s="1"/>
  <c r="J218" i="69"/>
  <c r="D218" i="69"/>
  <c r="I218" i="69"/>
  <c r="H218" i="69"/>
  <c r="AG146" i="69"/>
  <c r="AG149" i="75" l="1"/>
  <c r="L149" i="75"/>
  <c r="W149" i="75" s="1"/>
  <c r="A1292" i="72"/>
  <c r="N1292" i="72" s="1"/>
  <c r="A126" i="75"/>
  <c r="L218" i="71"/>
  <c r="M219" i="71" s="1"/>
  <c r="U219" i="71" s="1"/>
  <c r="J215" i="71"/>
  <c r="L215" i="71" s="1"/>
  <c r="N1532" i="72"/>
  <c r="AJ1531" i="72"/>
  <c r="P1531" i="72"/>
  <c r="Q1527" i="72"/>
  <c r="Q1529" i="72" s="1"/>
  <c r="H1527" i="72"/>
  <c r="H1528" i="72" s="1"/>
  <c r="R1527" i="72"/>
  <c r="M1527" i="72"/>
  <c r="N1527" i="72"/>
  <c r="S1527" i="72"/>
  <c r="T1527" i="72" s="1"/>
  <c r="T1529" i="72" s="1"/>
  <c r="M1292" i="72"/>
  <c r="S218" i="71"/>
  <c r="A182" i="69"/>
  <c r="P182" i="69" s="1"/>
  <c r="A182" i="71"/>
  <c r="N215" i="69"/>
  <c r="O215" i="69"/>
  <c r="Q215" i="69" s="1"/>
  <c r="B114" i="59"/>
  <c r="A131" i="75" s="1"/>
  <c r="A145" i="63"/>
  <c r="I145" i="63" s="1"/>
  <c r="A144" i="63"/>
  <c r="I144" i="63" s="1"/>
  <c r="L218" i="69"/>
  <c r="AG218" i="69"/>
  <c r="I215" i="69"/>
  <c r="H215" i="69"/>
  <c r="J215" i="69"/>
  <c r="S1292" i="72" l="1"/>
  <c r="T1292" i="72" s="1"/>
  <c r="D1292" i="72"/>
  <c r="H1292" i="72"/>
  <c r="Q1292" i="72"/>
  <c r="Q1333" i="72" s="1"/>
  <c r="R1292" i="72"/>
  <c r="I126" i="75"/>
  <c r="J126" i="75"/>
  <c r="D126" i="75"/>
  <c r="O126" i="75"/>
  <c r="Q126" i="75" s="1"/>
  <c r="H126" i="75"/>
  <c r="N126" i="75"/>
  <c r="P126" i="75"/>
  <c r="O131" i="75"/>
  <c r="Q131" i="75" s="1"/>
  <c r="D131" i="75"/>
  <c r="P131" i="75"/>
  <c r="N131" i="75"/>
  <c r="H131" i="75"/>
  <c r="I131" i="75"/>
  <c r="J131" i="75"/>
  <c r="R149" i="75"/>
  <c r="S149" i="75" s="1"/>
  <c r="AF215" i="71"/>
  <c r="R218" i="69"/>
  <c r="R219" i="69" s="1"/>
  <c r="L36" i="67" s="1"/>
  <c r="A191" i="71"/>
  <c r="H191" i="71" s="1"/>
  <c r="A1337" i="72"/>
  <c r="AJ1292" i="72"/>
  <c r="P1292" i="72"/>
  <c r="N1293" i="72"/>
  <c r="P1532" i="72"/>
  <c r="X1531" i="72" s="1"/>
  <c r="S1532" i="72"/>
  <c r="AJ1527" i="72"/>
  <c r="N1528" i="72"/>
  <c r="P1527" i="72"/>
  <c r="D182" i="69"/>
  <c r="J182" i="69"/>
  <c r="L182" i="69" s="1"/>
  <c r="H182" i="69"/>
  <c r="O182" i="69"/>
  <c r="Q182" i="69" s="1"/>
  <c r="N182" i="71"/>
  <c r="J182" i="71"/>
  <c r="I182" i="71"/>
  <c r="P182" i="71"/>
  <c r="R182" i="71" s="1"/>
  <c r="H182" i="71"/>
  <c r="O182" i="71"/>
  <c r="Q182" i="71" s="1"/>
  <c r="D182" i="71"/>
  <c r="I182" i="69"/>
  <c r="N182" i="69"/>
  <c r="S215" i="71"/>
  <c r="M216" i="71"/>
  <c r="U216" i="71" s="1"/>
  <c r="A191" i="69"/>
  <c r="P191" i="69" s="1"/>
  <c r="B115" i="59"/>
  <c r="M219" i="69"/>
  <c r="A185" i="63"/>
  <c r="J144" i="63"/>
  <c r="L144" i="63" s="1"/>
  <c r="D144" i="63"/>
  <c r="C443" i="65" s="1"/>
  <c r="J145" i="63"/>
  <c r="L145" i="63" s="1"/>
  <c r="H144" i="63"/>
  <c r="H145" i="63"/>
  <c r="D145" i="63"/>
  <c r="C444" i="65" s="1"/>
  <c r="L215" i="69"/>
  <c r="AG215" i="69"/>
  <c r="J191" i="71" l="1"/>
  <c r="L191" i="71" s="1"/>
  <c r="N191" i="71"/>
  <c r="O191" i="71"/>
  <c r="Q191" i="71" s="1"/>
  <c r="A169" i="75"/>
  <c r="A154" i="75"/>
  <c r="AG131" i="75"/>
  <c r="L131" i="75"/>
  <c r="AG126" i="75"/>
  <c r="L126" i="75"/>
  <c r="P191" i="71"/>
  <c r="R191" i="71" s="1"/>
  <c r="D191" i="71"/>
  <c r="I191" i="71"/>
  <c r="R182" i="69"/>
  <c r="R187" i="69" s="1"/>
  <c r="L33" i="67" s="1"/>
  <c r="R215" i="69"/>
  <c r="R216" i="69" s="1"/>
  <c r="L35" i="67" s="1"/>
  <c r="T1532" i="72"/>
  <c r="Y1531" i="72"/>
  <c r="S218" i="69"/>
  <c r="S219" i="69" s="1"/>
  <c r="A1567" i="72"/>
  <c r="A1703" i="72"/>
  <c r="P1528" i="72"/>
  <c r="X1527" i="72" s="1"/>
  <c r="S1528" i="72"/>
  <c r="Q1337" i="72"/>
  <c r="N1337" i="72"/>
  <c r="D1337" i="72"/>
  <c r="D1338" i="72" s="1"/>
  <c r="M1337" i="72"/>
  <c r="H1337" i="72"/>
  <c r="H1338" i="72" s="1"/>
  <c r="R1337" i="72"/>
  <c r="S1337" i="72"/>
  <c r="T1337" i="72" s="1"/>
  <c r="S1293" i="72"/>
  <c r="P1293" i="72"/>
  <c r="X1292" i="72" s="1"/>
  <c r="J36" i="67"/>
  <c r="N219" i="69"/>
  <c r="K36" i="67" s="1"/>
  <c r="AG182" i="69"/>
  <c r="A226" i="71"/>
  <c r="A249" i="71"/>
  <c r="AF182" i="71"/>
  <c r="L182" i="71"/>
  <c r="O191" i="69"/>
  <c r="Q191" i="69" s="1"/>
  <c r="N191" i="69"/>
  <c r="B116" i="59"/>
  <c r="A219" i="75" s="1"/>
  <c r="I191" i="69"/>
  <c r="H191" i="69"/>
  <c r="J191" i="69"/>
  <c r="D191" i="69"/>
  <c r="M187" i="69"/>
  <c r="H185" i="63"/>
  <c r="I185" i="63"/>
  <c r="A186" i="63"/>
  <c r="J185" i="63"/>
  <c r="L185" i="63" s="1"/>
  <c r="A158" i="63"/>
  <c r="A134" i="63"/>
  <c r="H184" i="63"/>
  <c r="J184" i="63"/>
  <c r="L184" i="63" s="1"/>
  <c r="I184" i="63"/>
  <c r="AF191" i="71" l="1"/>
  <c r="W126" i="75"/>
  <c r="P154" i="75"/>
  <c r="N154" i="75"/>
  <c r="D154" i="75"/>
  <c r="J154" i="75"/>
  <c r="O154" i="75"/>
  <c r="Q154" i="75" s="1"/>
  <c r="I154" i="75"/>
  <c r="H154" i="75"/>
  <c r="R126" i="75"/>
  <c r="P169" i="75"/>
  <c r="H169" i="75"/>
  <c r="J169" i="75"/>
  <c r="D169" i="75"/>
  <c r="I169" i="75"/>
  <c r="N169" i="75"/>
  <c r="O169" i="75"/>
  <c r="Q169" i="75" s="1"/>
  <c r="H219" i="75"/>
  <c r="D219" i="75"/>
  <c r="N219" i="75"/>
  <c r="P219" i="75"/>
  <c r="O219" i="75"/>
  <c r="Q219" i="75" s="1"/>
  <c r="I219" i="75"/>
  <c r="J219" i="75"/>
  <c r="W131" i="75"/>
  <c r="R131" i="75"/>
  <c r="S131" i="75" s="1"/>
  <c r="S182" i="69"/>
  <c r="S187" i="69" s="1"/>
  <c r="T1293" i="72"/>
  <c r="T1333" i="72" s="1"/>
  <c r="Y1292" i="72"/>
  <c r="T1528" i="72"/>
  <c r="Y1527" i="72"/>
  <c r="S215" i="69"/>
  <c r="S216" i="69" s="1"/>
  <c r="P1337" i="72"/>
  <c r="AJ1337" i="72"/>
  <c r="N1338" i="72"/>
  <c r="R1703" i="72"/>
  <c r="N1703" i="72"/>
  <c r="M1703" i="72"/>
  <c r="H1703" i="72"/>
  <c r="H1704" i="72" s="1"/>
  <c r="Q1703" i="72"/>
  <c r="D1703" i="72"/>
  <c r="D1704" i="72" s="1"/>
  <c r="S1703" i="72"/>
  <c r="T1703" i="72" s="1"/>
  <c r="A312" i="71"/>
  <c r="O312" i="71" s="1"/>
  <c r="Q312" i="71" s="1"/>
  <c r="A2138" i="72"/>
  <c r="Q1567" i="72"/>
  <c r="M1567" i="72"/>
  <c r="D1567" i="72"/>
  <c r="D1568" i="72" s="1"/>
  <c r="R1567" i="72"/>
  <c r="N1567" i="72"/>
  <c r="H1567" i="72"/>
  <c r="H1568" i="72" s="1"/>
  <c r="S1567" i="72"/>
  <c r="T1567" i="72" s="1"/>
  <c r="J33" i="67"/>
  <c r="N187" i="69"/>
  <c r="K33" i="67" s="1"/>
  <c r="S182" i="71"/>
  <c r="M187" i="71"/>
  <c r="O249" i="71"/>
  <c r="Q249" i="71" s="1"/>
  <c r="P249" i="71"/>
  <c r="R249" i="71" s="1"/>
  <c r="N249" i="71"/>
  <c r="D249" i="71"/>
  <c r="J249" i="71"/>
  <c r="I249" i="71"/>
  <c r="H249" i="71"/>
  <c r="N312" i="71"/>
  <c r="D312" i="71"/>
  <c r="S191" i="71"/>
  <c r="N226" i="71"/>
  <c r="J226" i="71"/>
  <c r="I226" i="71"/>
  <c r="P226" i="71"/>
  <c r="R226" i="71" s="1"/>
  <c r="O226" i="71"/>
  <c r="Q226" i="71" s="1"/>
  <c r="D226" i="71"/>
  <c r="H226" i="71"/>
  <c r="L191" i="69"/>
  <c r="AG191" i="69"/>
  <c r="B117" i="59"/>
  <c r="A200" i="75" s="1"/>
  <c r="A312" i="69"/>
  <c r="P312" i="69" s="1"/>
  <c r="A187" i="63"/>
  <c r="I186" i="63"/>
  <c r="H186" i="63"/>
  <c r="J186" i="63"/>
  <c r="L186" i="63" s="1"/>
  <c r="J158" i="63"/>
  <c r="L158" i="63" s="1"/>
  <c r="I158" i="63"/>
  <c r="H158" i="63"/>
  <c r="D158" i="63"/>
  <c r="C477" i="65" s="1"/>
  <c r="A156" i="63"/>
  <c r="D134" i="63"/>
  <c r="C405" i="65" s="1"/>
  <c r="H134" i="63"/>
  <c r="I134" i="63"/>
  <c r="J134" i="63"/>
  <c r="L134" i="63" s="1"/>
  <c r="N200" i="75" l="1"/>
  <c r="I200" i="75"/>
  <c r="P200" i="75"/>
  <c r="O200" i="75"/>
  <c r="Q200" i="75" s="1"/>
  <c r="H200" i="75"/>
  <c r="D200" i="75"/>
  <c r="J200" i="75"/>
  <c r="AG154" i="75"/>
  <c r="L154" i="75"/>
  <c r="W154" i="75" s="1"/>
  <c r="AG169" i="75"/>
  <c r="L169" i="75"/>
  <c r="W169" i="75" s="1"/>
  <c r="S126" i="75"/>
  <c r="AG219" i="75"/>
  <c r="L219" i="75"/>
  <c r="R219" i="75" s="1"/>
  <c r="R169" i="75"/>
  <c r="S169" i="75" s="1"/>
  <c r="P312" i="71"/>
  <c r="R312" i="71" s="1"/>
  <c r="J312" i="71"/>
  <c r="L312" i="71" s="1"/>
  <c r="I312" i="71"/>
  <c r="H312" i="71"/>
  <c r="R191" i="69"/>
  <c r="S191" i="69" s="1"/>
  <c r="N1568" i="72"/>
  <c r="AJ1567" i="72"/>
  <c r="P1567" i="72"/>
  <c r="A291" i="71"/>
  <c r="O291" i="71" s="1"/>
  <c r="Q291" i="71" s="1"/>
  <c r="A1980" i="72"/>
  <c r="AJ1703" i="72"/>
  <c r="N1704" i="72"/>
  <c r="P1703" i="72"/>
  <c r="Q2138" i="72"/>
  <c r="N2138" i="72"/>
  <c r="H2138" i="72"/>
  <c r="H2139" i="72" s="1"/>
  <c r="R2138" i="72"/>
  <c r="M2138" i="72"/>
  <c r="D2138" i="72"/>
  <c r="D2139" i="72" s="1"/>
  <c r="S2138" i="72"/>
  <c r="T2138" i="72" s="1"/>
  <c r="P1338" i="72"/>
  <c r="X1337" i="72" s="1"/>
  <c r="S1338" i="72"/>
  <c r="N291" i="71"/>
  <c r="D291" i="71"/>
  <c r="I291" i="71"/>
  <c r="H291" i="71"/>
  <c r="AF226" i="71"/>
  <c r="L226" i="71"/>
  <c r="AF249" i="71"/>
  <c r="L249" i="71"/>
  <c r="S249" i="71" s="1"/>
  <c r="U187" i="71"/>
  <c r="N312" i="69"/>
  <c r="O312" i="69"/>
  <c r="Q312" i="69" s="1"/>
  <c r="I312" i="69"/>
  <c r="H312" i="69"/>
  <c r="D312" i="69"/>
  <c r="J312" i="69"/>
  <c r="A291" i="69"/>
  <c r="P291" i="69" s="1"/>
  <c r="J289" i="69"/>
  <c r="L289" i="69" s="1"/>
  <c r="I289" i="69"/>
  <c r="H289" i="69"/>
  <c r="J288" i="69"/>
  <c r="H286" i="69"/>
  <c r="J286" i="69"/>
  <c r="I286" i="69"/>
  <c r="J287" i="69"/>
  <c r="I288" i="69"/>
  <c r="I287" i="69"/>
  <c r="H288" i="69"/>
  <c r="H287" i="69"/>
  <c r="J285" i="69"/>
  <c r="H285" i="69"/>
  <c r="I285" i="69"/>
  <c r="D284" i="69"/>
  <c r="H284" i="69"/>
  <c r="D283" i="69"/>
  <c r="J284" i="69"/>
  <c r="I284" i="69"/>
  <c r="D279" i="69"/>
  <c r="H279" i="69"/>
  <c r="I279" i="69"/>
  <c r="J279" i="69"/>
  <c r="J278" i="69"/>
  <c r="H278" i="69"/>
  <c r="I278" i="69"/>
  <c r="D278" i="69"/>
  <c r="J273" i="69"/>
  <c r="I274" i="69"/>
  <c r="I273" i="69"/>
  <c r="H274" i="69"/>
  <c r="J274" i="69"/>
  <c r="H273" i="69"/>
  <c r="H144" i="69"/>
  <c r="I137" i="69"/>
  <c r="D137" i="69"/>
  <c r="D144" i="69"/>
  <c r="I144" i="69"/>
  <c r="H137" i="69"/>
  <c r="J137" i="69"/>
  <c r="J144" i="69"/>
  <c r="I167" i="63"/>
  <c r="D26" i="63"/>
  <c r="C13" i="65" s="1"/>
  <c r="A188" i="63"/>
  <c r="J187" i="63"/>
  <c r="L187" i="63" s="1"/>
  <c r="I187" i="63"/>
  <c r="H187" i="63"/>
  <c r="J156" i="63"/>
  <c r="L156" i="63" s="1"/>
  <c r="I156" i="63"/>
  <c r="H156" i="63"/>
  <c r="D156" i="63"/>
  <c r="C475" i="65" s="1"/>
  <c r="L70" i="63"/>
  <c r="L72" i="63"/>
  <c r="R154" i="75" l="1"/>
  <c r="S154" i="75" s="1"/>
  <c r="J291" i="71"/>
  <c r="L291" i="71" s="1"/>
  <c r="S219" i="75"/>
  <c r="W219" i="75"/>
  <c r="AG200" i="75"/>
  <c r="L200" i="75"/>
  <c r="W200" i="75" s="1"/>
  <c r="P291" i="71"/>
  <c r="R291" i="71" s="1"/>
  <c r="S312" i="71"/>
  <c r="AF312" i="71"/>
  <c r="T1338" i="72"/>
  <c r="Y1337" i="72"/>
  <c r="R289" i="69"/>
  <c r="S289" i="69" s="1"/>
  <c r="AJ2138" i="72"/>
  <c r="N2139" i="72"/>
  <c r="P2138" i="72"/>
  <c r="S1704" i="72"/>
  <c r="P1704" i="72"/>
  <c r="X1703" i="72" s="1"/>
  <c r="D1980" i="72"/>
  <c r="D1981" i="72" s="1"/>
  <c r="Q1980" i="72"/>
  <c r="H1980" i="72"/>
  <c r="H1981" i="72" s="1"/>
  <c r="N1980" i="72"/>
  <c r="R1980" i="72"/>
  <c r="M1980" i="72"/>
  <c r="S1980" i="72"/>
  <c r="T1980" i="72" s="1"/>
  <c r="P1568" i="72"/>
  <c r="X1567" i="72" s="1"/>
  <c r="S1568" i="72"/>
  <c r="O291" i="69"/>
  <c r="Q291" i="69" s="1"/>
  <c r="AF291" i="71"/>
  <c r="S226" i="71"/>
  <c r="N291" i="69"/>
  <c r="L312" i="69"/>
  <c r="R312" i="69" s="1"/>
  <c r="AG312" i="69"/>
  <c r="A226" i="69"/>
  <c r="P226" i="69" s="1"/>
  <c r="A157" i="63"/>
  <c r="D157" i="63" s="1"/>
  <c r="C476" i="65" s="1"/>
  <c r="B118" i="59"/>
  <c r="A132" i="75" s="1"/>
  <c r="A249" i="69"/>
  <c r="P249" i="69" s="1"/>
  <c r="H292" i="69"/>
  <c r="I292" i="69"/>
  <c r="D292" i="69"/>
  <c r="J292" i="69"/>
  <c r="I310" i="69"/>
  <c r="D310" i="69"/>
  <c r="H310" i="69"/>
  <c r="J310" i="69"/>
  <c r="D291" i="69"/>
  <c r="I291" i="69"/>
  <c r="J291" i="69"/>
  <c r="H291" i="69"/>
  <c r="L286" i="69"/>
  <c r="AG286" i="69"/>
  <c r="L287" i="69"/>
  <c r="AG287" i="69"/>
  <c r="L288" i="69"/>
  <c r="AG288" i="69"/>
  <c r="L285" i="69"/>
  <c r="AG285" i="69"/>
  <c r="L284" i="69"/>
  <c r="AG284" i="69"/>
  <c r="L279" i="69"/>
  <c r="AG279" i="69"/>
  <c r="L278" i="69"/>
  <c r="AG278" i="69"/>
  <c r="L274" i="69"/>
  <c r="AG274" i="69"/>
  <c r="L273" i="69"/>
  <c r="AG273" i="69"/>
  <c r="L144" i="69"/>
  <c r="AG144" i="69"/>
  <c r="L137" i="69"/>
  <c r="AG137" i="69"/>
  <c r="J188" i="63"/>
  <c r="L188" i="63" s="1"/>
  <c r="L190" i="63" s="1"/>
  <c r="I188" i="63"/>
  <c r="H188" i="63"/>
  <c r="S291" i="71" l="1"/>
  <c r="P132" i="75"/>
  <c r="N132" i="75"/>
  <c r="J132" i="75"/>
  <c r="H132" i="75"/>
  <c r="I132" i="75"/>
  <c r="D132" i="75"/>
  <c r="O132" i="75"/>
  <c r="Q132" i="75" s="1"/>
  <c r="R200" i="75"/>
  <c r="S200" i="75" s="1"/>
  <c r="R137" i="69"/>
  <c r="S137" i="69" s="1"/>
  <c r="R278" i="69"/>
  <c r="S278" i="69" s="1"/>
  <c r="R288" i="69"/>
  <c r="S288" i="69" s="1"/>
  <c r="T1568" i="72"/>
  <c r="Y1567" i="72"/>
  <c r="R273" i="69"/>
  <c r="S273" i="69" s="1"/>
  <c r="R284" i="69"/>
  <c r="S284" i="69" s="1"/>
  <c r="R286" i="69"/>
  <c r="S286" i="69" s="1"/>
  <c r="R144" i="69"/>
  <c r="S144" i="69" s="1"/>
  <c r="R274" i="69"/>
  <c r="S274" i="69" s="1"/>
  <c r="R279" i="69"/>
  <c r="S279" i="69" s="1"/>
  <c r="R285" i="69"/>
  <c r="S285" i="69" s="1"/>
  <c r="R287" i="69"/>
  <c r="S287" i="69" s="1"/>
  <c r="S312" i="69"/>
  <c r="T1704" i="72"/>
  <c r="Y1703" i="72"/>
  <c r="N1981" i="72"/>
  <c r="AJ1980" i="72"/>
  <c r="P1980" i="72"/>
  <c r="P2139" i="72"/>
  <c r="X2138" i="72" s="1"/>
  <c r="S2139" i="72"/>
  <c r="A192" i="71"/>
  <c r="D192" i="71" s="1"/>
  <c r="A1339" i="72"/>
  <c r="J249" i="69"/>
  <c r="L249" i="69" s="1"/>
  <c r="H226" i="69"/>
  <c r="N226" i="69"/>
  <c r="O226" i="69"/>
  <c r="Q226" i="69" s="1"/>
  <c r="D249" i="69"/>
  <c r="O249" i="69"/>
  <c r="Q249" i="69" s="1"/>
  <c r="N249" i="69"/>
  <c r="B119" i="59"/>
  <c r="A164" i="75" s="1"/>
  <c r="A192" i="69"/>
  <c r="P192" i="69" s="1"/>
  <c r="I226" i="69"/>
  <c r="H249" i="69"/>
  <c r="D226" i="69"/>
  <c r="J226" i="69"/>
  <c r="AG226" i="69" s="1"/>
  <c r="I157" i="63"/>
  <c r="J157" i="63"/>
  <c r="L157" i="63" s="1"/>
  <c r="L161" i="63" s="1"/>
  <c r="I249" i="69"/>
  <c r="H157" i="63"/>
  <c r="AG310" i="69"/>
  <c r="L310" i="69"/>
  <c r="AG292" i="69"/>
  <c r="L292" i="69"/>
  <c r="AG291" i="69"/>
  <c r="L291" i="69"/>
  <c r="AG306" i="69"/>
  <c r="AG305" i="69"/>
  <c r="AG300" i="69"/>
  <c r="AG299" i="69"/>
  <c r="H192" i="71" l="1"/>
  <c r="O164" i="75"/>
  <c r="Q164" i="75" s="1"/>
  <c r="D164" i="75"/>
  <c r="H164" i="75"/>
  <c r="N164" i="75"/>
  <c r="P164" i="75"/>
  <c r="I164" i="75"/>
  <c r="J164" i="75"/>
  <c r="AG132" i="75"/>
  <c r="L132" i="75"/>
  <c r="R132" i="75" s="1"/>
  <c r="S132" i="75" s="1"/>
  <c r="O192" i="71"/>
  <c r="Q192" i="71" s="1"/>
  <c r="AG249" i="69"/>
  <c r="R249" i="69"/>
  <c r="S249" i="69" s="1"/>
  <c r="R292" i="69"/>
  <c r="S292" i="69" s="1"/>
  <c r="R310" i="69"/>
  <c r="S310" i="69" s="1"/>
  <c r="T2139" i="72"/>
  <c r="Y2138" i="72"/>
  <c r="R291" i="69"/>
  <c r="S291" i="69" s="1"/>
  <c r="J192" i="71"/>
  <c r="AF192" i="71" s="1"/>
  <c r="I192" i="71"/>
  <c r="M1339" i="72"/>
  <c r="S1339" i="72"/>
  <c r="T1339" i="72" s="1"/>
  <c r="Q1339" i="72"/>
  <c r="Q1457" i="72" s="1"/>
  <c r="N1339" i="72"/>
  <c r="R1339" i="72"/>
  <c r="D1339" i="72"/>
  <c r="D1340" i="72" s="1"/>
  <c r="H1339" i="72"/>
  <c r="H1340" i="72" s="1"/>
  <c r="A239" i="71"/>
  <c r="J239" i="71" s="1"/>
  <c r="A1665" i="72"/>
  <c r="N192" i="71"/>
  <c r="P192" i="71"/>
  <c r="R192" i="71" s="1"/>
  <c r="P1981" i="72"/>
  <c r="X1980" i="72" s="1"/>
  <c r="S1981" i="72"/>
  <c r="N239" i="71"/>
  <c r="D239" i="71"/>
  <c r="I239" i="71"/>
  <c r="H239" i="71"/>
  <c r="N192" i="69"/>
  <c r="O192" i="69"/>
  <c r="Q192" i="69" s="1"/>
  <c r="L226" i="69"/>
  <c r="R226" i="69" s="1"/>
  <c r="J192" i="69"/>
  <c r="D192" i="69"/>
  <c r="H192" i="69"/>
  <c r="I192" i="69"/>
  <c r="B120" i="59"/>
  <c r="A165" i="75" s="1"/>
  <c r="A239" i="69"/>
  <c r="P239" i="69" s="1"/>
  <c r="P239" i="71" l="1"/>
  <c r="R239" i="71" s="1"/>
  <c r="O239" i="71"/>
  <c r="Q239" i="71" s="1"/>
  <c r="AG164" i="75"/>
  <c r="L164" i="75"/>
  <c r="W164" i="75" s="1"/>
  <c r="H165" i="75"/>
  <c r="P165" i="75"/>
  <c r="J165" i="75"/>
  <c r="O165" i="75"/>
  <c r="Q165" i="75" s="1"/>
  <c r="D165" i="75"/>
  <c r="N165" i="75"/>
  <c r="I165" i="75"/>
  <c r="R164" i="75"/>
  <c r="S164" i="75" s="1"/>
  <c r="W132" i="75"/>
  <c r="L192" i="71"/>
  <c r="M205" i="71" s="1"/>
  <c r="S226" i="69"/>
  <c r="T1981" i="72"/>
  <c r="Y1980" i="72"/>
  <c r="A240" i="71"/>
  <c r="P240" i="71" s="1"/>
  <c r="R240" i="71" s="1"/>
  <c r="A1667" i="72"/>
  <c r="D1665" i="72"/>
  <c r="D1666" i="72" s="1"/>
  <c r="M1665" i="72"/>
  <c r="R1665" i="72"/>
  <c r="H1665" i="72"/>
  <c r="H1666" i="72" s="1"/>
  <c r="N1665" i="72"/>
  <c r="Q1665" i="72"/>
  <c r="S1665" i="72"/>
  <c r="T1665" i="72" s="1"/>
  <c r="N1340" i="72"/>
  <c r="P1339" i="72"/>
  <c r="AJ1339" i="72"/>
  <c r="AF239" i="71"/>
  <c r="L239" i="71"/>
  <c r="O239" i="69"/>
  <c r="Q239" i="69" s="1"/>
  <c r="N239" i="69"/>
  <c r="A240" i="69"/>
  <c r="P240" i="69" s="1"/>
  <c r="L192" i="69"/>
  <c r="AG192" i="69"/>
  <c r="J239" i="69"/>
  <c r="D239" i="69"/>
  <c r="H239" i="69"/>
  <c r="I239" i="69"/>
  <c r="B123" i="59"/>
  <c r="A179" i="75" s="1"/>
  <c r="S193" i="65"/>
  <c r="S199" i="65"/>
  <c r="G71" i="63" s="1"/>
  <c r="L71" i="63" s="1"/>
  <c r="L102" i="63" s="1"/>
  <c r="S203" i="65"/>
  <c r="D240" i="71" l="1"/>
  <c r="N179" i="75"/>
  <c r="H179" i="75"/>
  <c r="I179" i="75"/>
  <c r="J179" i="75"/>
  <c r="P179" i="75"/>
  <c r="D179" i="75"/>
  <c r="O179" i="75"/>
  <c r="Q179" i="75" s="1"/>
  <c r="L165" i="75"/>
  <c r="AG165" i="75"/>
  <c r="S192" i="71"/>
  <c r="H240" i="71"/>
  <c r="J240" i="71"/>
  <c r="AF240" i="71" s="1"/>
  <c r="N240" i="71"/>
  <c r="O240" i="71"/>
  <c r="Q240" i="71" s="1"/>
  <c r="I240" i="71"/>
  <c r="R192" i="69"/>
  <c r="S192" i="69" s="1"/>
  <c r="A263" i="71"/>
  <c r="D263" i="71" s="1"/>
  <c r="A1802" i="72"/>
  <c r="P1340" i="72"/>
  <c r="X1339" i="72" s="1"/>
  <c r="S1340" i="72"/>
  <c r="D1667" i="72"/>
  <c r="D1670" i="72" s="1"/>
  <c r="H1667" i="72"/>
  <c r="H1670" i="72" s="1"/>
  <c r="N1667" i="72"/>
  <c r="Q1667" i="72"/>
  <c r="R1667" i="72"/>
  <c r="M1667" i="72"/>
  <c r="S1667" i="72"/>
  <c r="T1667" i="72" s="1"/>
  <c r="AJ1665" i="72"/>
  <c r="N1666" i="72"/>
  <c r="P1665" i="72"/>
  <c r="H263" i="71"/>
  <c r="P263" i="71"/>
  <c r="R263" i="71" s="1"/>
  <c r="U205" i="71"/>
  <c r="S239" i="71"/>
  <c r="I240" i="69"/>
  <c r="D240" i="69"/>
  <c r="J240" i="69"/>
  <c r="L240" i="69" s="1"/>
  <c r="H240" i="69"/>
  <c r="N240" i="69"/>
  <c r="O240" i="69"/>
  <c r="Q240" i="69" s="1"/>
  <c r="A263" i="69"/>
  <c r="B124" i="59"/>
  <c r="A181" i="75" s="1"/>
  <c r="L239" i="69"/>
  <c r="AG239" i="69"/>
  <c r="V193" i="65"/>
  <c r="J263" i="71" l="1"/>
  <c r="L263" i="71" s="1"/>
  <c r="H181" i="75"/>
  <c r="I181" i="75"/>
  <c r="P181" i="75"/>
  <c r="N181" i="75"/>
  <c r="J181" i="75"/>
  <c r="O181" i="75"/>
  <c r="Q181" i="75" s="1"/>
  <c r="D181" i="75"/>
  <c r="W165" i="75"/>
  <c r="AG179" i="75"/>
  <c r="L179" i="75"/>
  <c r="W179" i="75" s="1"/>
  <c r="R165" i="75"/>
  <c r="S165" i="75" s="1"/>
  <c r="L240" i="71"/>
  <c r="S240" i="71" s="1"/>
  <c r="I263" i="71"/>
  <c r="N263" i="71"/>
  <c r="O263" i="71"/>
  <c r="Q263" i="71" s="1"/>
  <c r="R240" i="69"/>
  <c r="S240" i="69" s="1"/>
  <c r="T1340" i="72"/>
  <c r="T1457" i="72" s="1"/>
  <c r="Y1339" i="72"/>
  <c r="R239" i="69"/>
  <c r="S239" i="69" s="1"/>
  <c r="A268" i="71"/>
  <c r="O268" i="71" s="1"/>
  <c r="Q268" i="71" s="1"/>
  <c r="A1816" i="72"/>
  <c r="S1666" i="72"/>
  <c r="P1666" i="72"/>
  <c r="X1665" i="72" s="1"/>
  <c r="R1802" i="72"/>
  <c r="N1802" i="72"/>
  <c r="Q1802" i="72"/>
  <c r="Q1813" i="72" s="1"/>
  <c r="M1802" i="72"/>
  <c r="H1802" i="72"/>
  <c r="H1803" i="72" s="1"/>
  <c r="D1802" i="72"/>
  <c r="D1803" i="72" s="1"/>
  <c r="S1802" i="72"/>
  <c r="T1802" i="72" s="1"/>
  <c r="P1667" i="72"/>
  <c r="N1670" i="72"/>
  <c r="AJ1667" i="72"/>
  <c r="J268" i="71"/>
  <c r="N268" i="71"/>
  <c r="AF263" i="71"/>
  <c r="AG240" i="69"/>
  <c r="I263" i="69"/>
  <c r="P263" i="69"/>
  <c r="O263" i="69"/>
  <c r="Q263" i="69" s="1"/>
  <c r="N263" i="69"/>
  <c r="H263" i="69"/>
  <c r="J263" i="69"/>
  <c r="L263" i="69" s="1"/>
  <c r="D263" i="69"/>
  <c r="B129" i="59"/>
  <c r="A268" i="69"/>
  <c r="P268" i="69" s="1"/>
  <c r="I268" i="71" l="1"/>
  <c r="H268" i="71"/>
  <c r="R179" i="75"/>
  <c r="S179" i="75" s="1"/>
  <c r="A218" i="75"/>
  <c r="A199" i="75"/>
  <c r="L181" i="75"/>
  <c r="W181" i="75" s="1"/>
  <c r="AG181" i="75"/>
  <c r="D268" i="71"/>
  <c r="P268" i="71"/>
  <c r="R268" i="71" s="1"/>
  <c r="R263" i="69"/>
  <c r="R265" i="69" s="1"/>
  <c r="L37" i="67" s="1"/>
  <c r="T1666" i="72"/>
  <c r="Y1665" i="72"/>
  <c r="N1803" i="72"/>
  <c r="AJ1802" i="72"/>
  <c r="P1802" i="72"/>
  <c r="R1816" i="72"/>
  <c r="H1816" i="72"/>
  <c r="H1821" i="72" s="1"/>
  <c r="M1816" i="72"/>
  <c r="D1816" i="72"/>
  <c r="D1821" i="72" s="1"/>
  <c r="N1816" i="72"/>
  <c r="Q1816" i="72"/>
  <c r="S1816" i="72"/>
  <c r="T1816" i="72" s="1"/>
  <c r="S1670" i="72"/>
  <c r="P1670" i="72"/>
  <c r="X1667" i="72" s="1"/>
  <c r="A1978" i="72"/>
  <c r="A2136" i="72"/>
  <c r="A311" i="71"/>
  <c r="A290" i="71"/>
  <c r="S263" i="71"/>
  <c r="M265" i="71"/>
  <c r="AF268" i="71"/>
  <c r="L268" i="71"/>
  <c r="N268" i="69"/>
  <c r="O268" i="69"/>
  <c r="Q268" i="69" s="1"/>
  <c r="M265" i="69"/>
  <c r="J37" i="67" s="1"/>
  <c r="B130" i="59"/>
  <c r="AG263" i="69"/>
  <c r="J268" i="69"/>
  <c r="D268" i="69"/>
  <c r="H268" i="69"/>
  <c r="I268" i="69"/>
  <c r="A311" i="69"/>
  <c r="P311" i="69" s="1"/>
  <c r="A290" i="69"/>
  <c r="P290" i="69" s="1"/>
  <c r="N199" i="75" l="1"/>
  <c r="I199" i="75"/>
  <c r="J199" i="75"/>
  <c r="O199" i="75"/>
  <c r="Q199" i="75" s="1"/>
  <c r="P199" i="75"/>
  <c r="H199" i="75"/>
  <c r="D199" i="75"/>
  <c r="P218" i="75"/>
  <c r="H218" i="75"/>
  <c r="I218" i="75"/>
  <c r="J218" i="75"/>
  <c r="N218" i="75"/>
  <c r="D218" i="75"/>
  <c r="O218" i="75"/>
  <c r="Q218" i="75" s="1"/>
  <c r="A2140" i="72"/>
  <c r="D2140" i="72" s="1"/>
  <c r="D2141" i="72" s="1"/>
  <c r="A220" i="75"/>
  <c r="R181" i="75"/>
  <c r="S181" i="75" s="1"/>
  <c r="S263" i="69"/>
  <c r="S265" i="69" s="1"/>
  <c r="T1670" i="72"/>
  <c r="Y1667" i="72"/>
  <c r="S1978" i="72"/>
  <c r="T1978" i="72" s="1"/>
  <c r="D1978" i="72"/>
  <c r="D1979" i="72" s="1"/>
  <c r="N1978" i="72"/>
  <c r="R1978" i="72"/>
  <c r="Q1978" i="72"/>
  <c r="H1978" i="72"/>
  <c r="H1979" i="72" s="1"/>
  <c r="M1978" i="72"/>
  <c r="N265" i="69"/>
  <c r="K37" i="67" s="1"/>
  <c r="P1816" i="72"/>
  <c r="AJ1816" i="72"/>
  <c r="N1821" i="72"/>
  <c r="H2136" i="72"/>
  <c r="H2137" i="72" s="1"/>
  <c r="D2136" i="72"/>
  <c r="D2137" i="72" s="1"/>
  <c r="Q2136" i="72"/>
  <c r="S2136" i="72"/>
  <c r="T2136" i="72" s="1"/>
  <c r="N2136" i="72"/>
  <c r="R2136" i="72"/>
  <c r="M2136" i="72"/>
  <c r="S1803" i="72"/>
  <c r="P1803" i="72"/>
  <c r="X1802" i="72" s="1"/>
  <c r="U265" i="71"/>
  <c r="A313" i="71"/>
  <c r="B131" i="59"/>
  <c r="D27" i="63" s="1"/>
  <c r="C14" i="65" s="1"/>
  <c r="S268" i="71"/>
  <c r="N290" i="71"/>
  <c r="J290" i="71"/>
  <c r="I290" i="71"/>
  <c r="P290" i="71"/>
  <c r="R290" i="71" s="1"/>
  <c r="O290" i="71"/>
  <c r="Q290" i="71" s="1"/>
  <c r="D290" i="71"/>
  <c r="H290" i="71"/>
  <c r="N311" i="71"/>
  <c r="O311" i="71"/>
  <c r="Q311" i="71" s="1"/>
  <c r="I311" i="71"/>
  <c r="J311" i="71"/>
  <c r="P311" i="71"/>
  <c r="R311" i="71" s="1"/>
  <c r="H311" i="71"/>
  <c r="D311" i="71"/>
  <c r="D28" i="63"/>
  <c r="C15" i="65" s="1"/>
  <c r="D29" i="63"/>
  <c r="C16" i="65" s="1"/>
  <c r="N290" i="69"/>
  <c r="O290" i="69"/>
  <c r="Q290" i="69" s="1"/>
  <c r="N311" i="69"/>
  <c r="O311" i="69"/>
  <c r="Q311" i="69" s="1"/>
  <c r="A313" i="69"/>
  <c r="P313" i="69" s="1"/>
  <c r="H27" i="63"/>
  <c r="D290" i="69"/>
  <c r="H290" i="69"/>
  <c r="I290" i="69"/>
  <c r="J290" i="69"/>
  <c r="J311" i="69"/>
  <c r="I311" i="69"/>
  <c r="H311" i="69"/>
  <c r="D311" i="69"/>
  <c r="L268" i="69"/>
  <c r="AG268" i="69"/>
  <c r="U219" i="69"/>
  <c r="Q2140" i="72" l="1"/>
  <c r="I27" i="63"/>
  <c r="J27" i="63"/>
  <c r="L27" i="63" s="1"/>
  <c r="L35" i="63" s="1"/>
  <c r="L191" i="63" s="1"/>
  <c r="L192" i="63" s="1"/>
  <c r="L193" i="63" s="1"/>
  <c r="L194" i="63" s="1"/>
  <c r="M194" i="63" s="1"/>
  <c r="M2140" i="72"/>
  <c r="H2140" i="72"/>
  <c r="H2141" i="72" s="1"/>
  <c r="S2140" i="72"/>
  <c r="T2140" i="72" s="1"/>
  <c r="R2140" i="72"/>
  <c r="J29" i="63"/>
  <c r="L29" i="63" s="1"/>
  <c r="H29" i="63"/>
  <c r="N2140" i="72"/>
  <c r="N220" i="75"/>
  <c r="J220" i="75"/>
  <c r="D220" i="75"/>
  <c r="H220" i="75"/>
  <c r="O220" i="75"/>
  <c r="Q220" i="75" s="1"/>
  <c r="P220" i="75"/>
  <c r="I220" i="75"/>
  <c r="AG218" i="75"/>
  <c r="L218" i="75"/>
  <c r="W218" i="75" s="1"/>
  <c r="AG199" i="75"/>
  <c r="L199" i="75"/>
  <c r="R199" i="75" s="1"/>
  <c r="S199" i="75" s="1"/>
  <c r="A2142" i="72"/>
  <c r="A221" i="75"/>
  <c r="T1803" i="72"/>
  <c r="T1813" i="72" s="1"/>
  <c r="Y1802" i="72"/>
  <c r="R268" i="69"/>
  <c r="S268" i="69" s="1"/>
  <c r="H2142" i="72"/>
  <c r="H2143" i="72" s="1"/>
  <c r="R2142" i="72"/>
  <c r="M2142" i="72"/>
  <c r="Q2142" i="72"/>
  <c r="Q2144" i="72" s="1"/>
  <c r="Q2166" i="72" s="1"/>
  <c r="D2142" i="72"/>
  <c r="D2143" i="72" s="1"/>
  <c r="N2142" i="72"/>
  <c r="S2142" i="72"/>
  <c r="T2142" i="72" s="1"/>
  <c r="N2137" i="72"/>
  <c r="P2136" i="72"/>
  <c r="AJ2136" i="72"/>
  <c r="S1821" i="72"/>
  <c r="P1821" i="72"/>
  <c r="X1816" i="72" s="1"/>
  <c r="AJ1978" i="72"/>
  <c r="P1978" i="72"/>
  <c r="N1979" i="72"/>
  <c r="N2141" i="72"/>
  <c r="AJ2140" i="72"/>
  <c r="P2140" i="72"/>
  <c r="AF290" i="71"/>
  <c r="L290" i="71"/>
  <c r="A314" i="71"/>
  <c r="A314" i="69"/>
  <c r="N314" i="69" s="1"/>
  <c r="I29" i="63"/>
  <c r="N313" i="71"/>
  <c r="O313" i="71"/>
  <c r="Q313" i="71" s="1"/>
  <c r="I313" i="71"/>
  <c r="D313" i="71"/>
  <c r="J313" i="71"/>
  <c r="P313" i="71"/>
  <c r="R313" i="71" s="1"/>
  <c r="H313" i="71"/>
  <c r="AF311" i="71"/>
  <c r="L311" i="71"/>
  <c r="S311" i="71" s="1"/>
  <c r="Q195" i="63"/>
  <c r="Q26" i="63" s="1"/>
  <c r="N313" i="69"/>
  <c r="O313" i="69"/>
  <c r="Q313" i="69" s="1"/>
  <c r="I313" i="69"/>
  <c r="H313" i="69"/>
  <c r="D313" i="69"/>
  <c r="J313" i="69"/>
  <c r="L311" i="69"/>
  <c r="AG311" i="69"/>
  <c r="L290" i="69"/>
  <c r="R290" i="69" s="1"/>
  <c r="AG290" i="69"/>
  <c r="G197" i="69"/>
  <c r="W199" i="75" l="1"/>
  <c r="AB221" i="75"/>
  <c r="AC221" i="75" s="1"/>
  <c r="R218" i="75"/>
  <c r="S218" i="75" s="1"/>
  <c r="H221" i="75"/>
  <c r="P221" i="75"/>
  <c r="J221" i="75"/>
  <c r="N221" i="75"/>
  <c r="O221" i="75"/>
  <c r="Q221" i="75" s="1"/>
  <c r="Q224" i="75" s="1"/>
  <c r="I221" i="75"/>
  <c r="D221" i="75"/>
  <c r="AG220" i="75"/>
  <c r="L220" i="75"/>
  <c r="W220" i="75" s="1"/>
  <c r="R311" i="69"/>
  <c r="S311" i="69" s="1"/>
  <c r="S290" i="69"/>
  <c r="T1821" i="72"/>
  <c r="Y1816" i="72"/>
  <c r="S2141" i="72"/>
  <c r="P2141" i="72"/>
  <c r="X2140" i="72" s="1"/>
  <c r="P2137" i="72"/>
  <c r="S2137" i="72"/>
  <c r="P1979" i="72"/>
  <c r="X1978" i="72" s="1"/>
  <c r="S1979" i="72"/>
  <c r="AJ2142" i="72"/>
  <c r="P2142" i="72"/>
  <c r="N2143" i="72"/>
  <c r="O314" i="69"/>
  <c r="Q314" i="69" s="1"/>
  <c r="D314" i="69"/>
  <c r="H314" i="69"/>
  <c r="J314" i="69"/>
  <c r="L314" i="69" s="1"/>
  <c r="R314" i="69" s="1"/>
  <c r="I314" i="69"/>
  <c r="P314" i="69"/>
  <c r="N314" i="71"/>
  <c r="N322" i="71" s="1"/>
  <c r="O314" i="71"/>
  <c r="Q314" i="71" s="1"/>
  <c r="Q322" i="71" s="1"/>
  <c r="I314" i="71"/>
  <c r="D314" i="71"/>
  <c r="H314" i="71"/>
  <c r="J314" i="71"/>
  <c r="P314" i="71"/>
  <c r="R314" i="71" s="1"/>
  <c r="R322" i="71" s="1"/>
  <c r="L313" i="71"/>
  <c r="S313" i="71" s="1"/>
  <c r="AF313" i="71"/>
  <c r="S290" i="71"/>
  <c r="X315" i="71"/>
  <c r="AE316" i="71" s="1"/>
  <c r="AA314" i="71"/>
  <c r="AB314" i="71" s="1"/>
  <c r="Q197" i="69"/>
  <c r="Y315" i="69"/>
  <c r="AF316" i="69" s="1"/>
  <c r="AG313" i="69"/>
  <c r="L313" i="69"/>
  <c r="L197" i="69"/>
  <c r="X197" i="69"/>
  <c r="G101" i="69"/>
  <c r="R220" i="75" l="1"/>
  <c r="S220" i="75" s="1"/>
  <c r="AG221" i="75"/>
  <c r="L221" i="75"/>
  <c r="AE2142" i="72"/>
  <c r="AF2142" i="72" s="1"/>
  <c r="R197" i="69"/>
  <c r="S197" i="69" s="1"/>
  <c r="T2141" i="72"/>
  <c r="Y2140" i="72"/>
  <c r="T2137" i="72"/>
  <c r="Y2136" i="72"/>
  <c r="AB2144" i="72"/>
  <c r="AI2145" i="72" s="1"/>
  <c r="X2136" i="72"/>
  <c r="T1979" i="72"/>
  <c r="Y1978" i="72"/>
  <c r="R313" i="69"/>
  <c r="S313" i="69" s="1"/>
  <c r="S2143" i="72"/>
  <c r="P2143" i="72"/>
  <c r="X2142" i="72" s="1"/>
  <c r="S314" i="69"/>
  <c r="AF314" i="71"/>
  <c r="L314" i="71"/>
  <c r="Q101" i="69"/>
  <c r="L101" i="69"/>
  <c r="R101" i="69" s="1"/>
  <c r="X101" i="69"/>
  <c r="G102" i="69"/>
  <c r="G78" i="69"/>
  <c r="G80" i="69"/>
  <c r="G103" i="69"/>
  <c r="W221" i="75" l="1"/>
  <c r="M224" i="75"/>
  <c r="R221" i="75"/>
  <c r="T2144" i="72"/>
  <c r="T2143" i="72"/>
  <c r="Y2142" i="72"/>
  <c r="S315" i="69"/>
  <c r="R315" i="69"/>
  <c r="L38" i="67" s="1"/>
  <c r="S314" i="71"/>
  <c r="S322" i="71" s="1"/>
  <c r="M315" i="71"/>
  <c r="S101" i="69"/>
  <c r="Q78" i="69"/>
  <c r="Q103" i="69"/>
  <c r="Q102" i="69"/>
  <c r="Q80" i="69"/>
  <c r="L80" i="69"/>
  <c r="R80" i="69" s="1"/>
  <c r="X80" i="69"/>
  <c r="L78" i="69"/>
  <c r="R78" i="69" s="1"/>
  <c r="X78" i="69"/>
  <c r="L103" i="69"/>
  <c r="R103" i="69" s="1"/>
  <c r="X103" i="69"/>
  <c r="L102" i="69"/>
  <c r="R102" i="69" s="1"/>
  <c r="X102" i="69"/>
  <c r="G107" i="69"/>
  <c r="G45" i="69"/>
  <c r="G121" i="69"/>
  <c r="G79" i="69"/>
  <c r="G120" i="69"/>
  <c r="G47" i="69"/>
  <c r="G52" i="69"/>
  <c r="G117" i="69"/>
  <c r="G113" i="69"/>
  <c r="G194" i="69"/>
  <c r="G195" i="69"/>
  <c r="G54" i="69"/>
  <c r="G109" i="69"/>
  <c r="G115" i="69"/>
  <c r="G50" i="69"/>
  <c r="G56" i="69"/>
  <c r="G119" i="69"/>
  <c r="S221" i="75" l="1"/>
  <c r="S225" i="75" s="1"/>
  <c r="R225" i="75"/>
  <c r="U224" i="75"/>
  <c r="N224" i="75"/>
  <c r="T2166" i="72"/>
  <c r="U315" i="71"/>
  <c r="M316" i="71"/>
  <c r="S102" i="69"/>
  <c r="S78" i="69"/>
  <c r="S103" i="69"/>
  <c r="S80" i="69"/>
  <c r="Q119" i="69"/>
  <c r="Q115" i="69"/>
  <c r="Q52" i="69"/>
  <c r="Q109" i="69"/>
  <c r="Q120" i="69"/>
  <c r="Q107" i="69"/>
  <c r="Q50" i="69"/>
  <c r="Q54" i="69"/>
  <c r="Q117" i="69"/>
  <c r="Q79" i="69"/>
  <c r="Q194" i="69"/>
  <c r="Q47" i="69"/>
  <c r="Q45" i="69"/>
  <c r="Q195" i="69"/>
  <c r="Q121" i="69"/>
  <c r="Q56" i="69"/>
  <c r="Q113" i="69"/>
  <c r="L115" i="69"/>
  <c r="R115" i="69" s="1"/>
  <c r="X115" i="69"/>
  <c r="L52" i="69"/>
  <c r="R52" i="69" s="1"/>
  <c r="X52" i="69"/>
  <c r="L109" i="69"/>
  <c r="R109" i="69" s="1"/>
  <c r="X109" i="69"/>
  <c r="L194" i="69"/>
  <c r="R194" i="69" s="1"/>
  <c r="X194" i="69"/>
  <c r="L47" i="69"/>
  <c r="R47" i="69" s="1"/>
  <c r="X47" i="69"/>
  <c r="L45" i="69"/>
  <c r="R45" i="69" s="1"/>
  <c r="X45" i="69"/>
  <c r="L56" i="69"/>
  <c r="R56" i="69" s="1"/>
  <c r="X56" i="69"/>
  <c r="L113" i="69"/>
  <c r="R113" i="69" s="1"/>
  <c r="X113" i="69"/>
  <c r="L107" i="69"/>
  <c r="R107" i="69" s="1"/>
  <c r="X107" i="69"/>
  <c r="L119" i="69"/>
  <c r="R119" i="69" s="1"/>
  <c r="X119" i="69"/>
  <c r="L120" i="69"/>
  <c r="R120" i="69" s="1"/>
  <c r="X120" i="69"/>
  <c r="L50" i="69"/>
  <c r="R50" i="69" s="1"/>
  <c r="X50" i="69"/>
  <c r="L54" i="69"/>
  <c r="R54" i="69" s="1"/>
  <c r="X54" i="69"/>
  <c r="L117" i="69"/>
  <c r="R117" i="69" s="1"/>
  <c r="X117" i="69"/>
  <c r="L79" i="69"/>
  <c r="R79" i="69" s="1"/>
  <c r="X79" i="69"/>
  <c r="L195" i="69"/>
  <c r="R195" i="69" s="1"/>
  <c r="X195" i="69"/>
  <c r="L121" i="69"/>
  <c r="R121" i="69" s="1"/>
  <c r="X121" i="69"/>
  <c r="G34" i="69"/>
  <c r="G41" i="69"/>
  <c r="G91" i="69"/>
  <c r="G196" i="69"/>
  <c r="G89" i="69"/>
  <c r="G111" i="69"/>
  <c r="G116" i="69"/>
  <c r="G193" i="69"/>
  <c r="G201" i="69"/>
  <c r="G85" i="69"/>
  <c r="G202" i="69"/>
  <c r="G42" i="69"/>
  <c r="G43" i="69"/>
  <c r="G55" i="69"/>
  <c r="G108" i="69"/>
  <c r="G112" i="69"/>
  <c r="G58" i="69"/>
  <c r="G204" i="69"/>
  <c r="G60" i="69"/>
  <c r="G46" i="69"/>
  <c r="G51" i="69"/>
  <c r="U316" i="71" l="1"/>
  <c r="M323" i="71"/>
  <c r="M324" i="71" s="1"/>
  <c r="M325" i="71" s="1"/>
  <c r="M326" i="71" s="1"/>
  <c r="S121" i="69"/>
  <c r="S54" i="69"/>
  <c r="S120" i="69"/>
  <c r="S107" i="69"/>
  <c r="S56" i="69"/>
  <c r="S47" i="69"/>
  <c r="S109" i="69"/>
  <c r="S115" i="69"/>
  <c r="S195" i="69"/>
  <c r="S117" i="69"/>
  <c r="S50" i="69"/>
  <c r="S119" i="69"/>
  <c r="S52" i="69"/>
  <c r="Q51" i="69"/>
  <c r="Q43" i="69"/>
  <c r="Q46" i="69"/>
  <c r="Q112" i="69"/>
  <c r="Q201" i="69"/>
  <c r="Q89" i="69"/>
  <c r="Q204" i="69"/>
  <c r="Q55" i="69"/>
  <c r="Q202" i="69"/>
  <c r="Q116" i="69"/>
  <c r="Q91" i="69"/>
  <c r="S79" i="69"/>
  <c r="S113" i="69"/>
  <c r="S45" i="69"/>
  <c r="S194" i="69"/>
  <c r="Q41" i="69"/>
  <c r="Q58" i="69"/>
  <c r="Q111" i="69"/>
  <c r="Q85" i="69"/>
  <c r="Q34" i="69"/>
  <c r="Q60" i="69"/>
  <c r="Q108" i="69"/>
  <c r="Q42" i="69"/>
  <c r="Q193" i="69"/>
  <c r="Q196" i="69"/>
  <c r="L204" i="69"/>
  <c r="R204" i="69" s="1"/>
  <c r="X204" i="69"/>
  <c r="L55" i="69"/>
  <c r="R55" i="69" s="1"/>
  <c r="X55" i="69"/>
  <c r="L116" i="69"/>
  <c r="R116" i="69" s="1"/>
  <c r="X116" i="69"/>
  <c r="L91" i="69"/>
  <c r="R91" i="69" s="1"/>
  <c r="X91" i="69"/>
  <c r="L51" i="69"/>
  <c r="R51" i="69" s="1"/>
  <c r="X51" i="69"/>
  <c r="L58" i="69"/>
  <c r="R58" i="69" s="1"/>
  <c r="X58" i="69"/>
  <c r="L43" i="69"/>
  <c r="R43" i="69" s="1"/>
  <c r="X43" i="69"/>
  <c r="L85" i="69"/>
  <c r="R85" i="69" s="1"/>
  <c r="X85" i="69"/>
  <c r="L111" i="69"/>
  <c r="R111" i="69" s="1"/>
  <c r="X111" i="69"/>
  <c r="L41" i="69"/>
  <c r="R41" i="69" s="1"/>
  <c r="X41" i="69"/>
  <c r="L112" i="69"/>
  <c r="R112" i="69" s="1"/>
  <c r="X112" i="69"/>
  <c r="L89" i="69"/>
  <c r="R89" i="69" s="1"/>
  <c r="X89" i="69"/>
  <c r="L46" i="69"/>
  <c r="R46" i="69" s="1"/>
  <c r="X46" i="69"/>
  <c r="L201" i="69"/>
  <c r="R201" i="69" s="1"/>
  <c r="X201" i="69"/>
  <c r="L34" i="69"/>
  <c r="R34" i="69" s="1"/>
  <c r="R35" i="69" s="1"/>
  <c r="X34" i="69"/>
  <c r="L60" i="69"/>
  <c r="R60" i="69" s="1"/>
  <c r="X60" i="69"/>
  <c r="L108" i="69"/>
  <c r="R108" i="69" s="1"/>
  <c r="X108" i="69"/>
  <c r="L42" i="69"/>
  <c r="R42" i="69" s="1"/>
  <c r="X42" i="69"/>
  <c r="L193" i="69"/>
  <c r="R193" i="69" s="1"/>
  <c r="X193" i="69"/>
  <c r="L196" i="69"/>
  <c r="R196" i="69" s="1"/>
  <c r="X196" i="69"/>
  <c r="L202" i="69"/>
  <c r="R202" i="69" s="1"/>
  <c r="X202" i="69"/>
  <c r="G139" i="69"/>
  <c r="G87" i="69"/>
  <c r="G59" i="69"/>
  <c r="G200" i="69"/>
  <c r="G203" i="69"/>
  <c r="L28" i="67" l="1"/>
  <c r="S193" i="69"/>
  <c r="S108" i="69"/>
  <c r="S34" i="69"/>
  <c r="S35" i="69" s="1"/>
  <c r="S112" i="69"/>
  <c r="S111" i="69"/>
  <c r="S43" i="69"/>
  <c r="S116" i="69"/>
  <c r="S89" i="69"/>
  <c r="S41" i="69"/>
  <c r="S55" i="69"/>
  <c r="S196" i="69"/>
  <c r="S42" i="69"/>
  <c r="S201" i="69"/>
  <c r="S202" i="69"/>
  <c r="S46" i="69"/>
  <c r="S51" i="69"/>
  <c r="S204" i="69"/>
  <c r="S60" i="69"/>
  <c r="S85" i="69"/>
  <c r="S58" i="69"/>
  <c r="S91" i="69"/>
  <c r="Q203" i="69"/>
  <c r="Q200" i="69"/>
  <c r="Q87" i="69"/>
  <c r="Q59" i="69"/>
  <c r="Q139" i="69"/>
  <c r="M35" i="69"/>
  <c r="J28" i="67" s="1"/>
  <c r="L203" i="69"/>
  <c r="R203" i="69" s="1"/>
  <c r="X203" i="69"/>
  <c r="L200" i="69"/>
  <c r="R200" i="69" s="1"/>
  <c r="X200" i="69"/>
  <c r="L87" i="69"/>
  <c r="R87" i="69" s="1"/>
  <c r="X87" i="69"/>
  <c r="L59" i="69"/>
  <c r="R59" i="69" s="1"/>
  <c r="X59" i="69"/>
  <c r="L139" i="69"/>
  <c r="R139" i="69" s="1"/>
  <c r="X139" i="69"/>
  <c r="G138" i="69"/>
  <c r="G140" i="69"/>
  <c r="N35" i="69" l="1"/>
  <c r="K28" i="67" s="1"/>
  <c r="R205" i="69"/>
  <c r="S87" i="69"/>
  <c r="S139" i="69"/>
  <c r="S200" i="69"/>
  <c r="S203" i="69"/>
  <c r="Q138" i="69"/>
  <c r="S59" i="69"/>
  <c r="Q140" i="69"/>
  <c r="U35" i="69"/>
  <c r="M205" i="69"/>
  <c r="J34" i="67" s="1"/>
  <c r="L138" i="69"/>
  <c r="R138" i="69" s="1"/>
  <c r="X138" i="69"/>
  <c r="L140" i="69"/>
  <c r="R140" i="69" s="1"/>
  <c r="X140" i="69"/>
  <c r="L34" i="67" l="1"/>
  <c r="N205" i="69"/>
  <c r="K34" i="67" s="1"/>
  <c r="S205" i="69"/>
  <c r="R148" i="69"/>
  <c r="S138" i="69"/>
  <c r="S140" i="69"/>
  <c r="M148" i="69"/>
  <c r="J30" i="67" s="1"/>
  <c r="U23" i="69"/>
  <c r="U205" i="69"/>
  <c r="L30" i="67" l="1"/>
  <c r="N148" i="69"/>
  <c r="K30" i="67" s="1"/>
  <c r="S148" i="69"/>
  <c r="AG171" i="69"/>
  <c r="AG69" i="69"/>
  <c r="U148" i="69" l="1"/>
  <c r="AG178" i="69"/>
  <c r="M180" i="69"/>
  <c r="N180" i="69" s="1"/>
  <c r="K32" i="67" s="1"/>
  <c r="AG87" i="69"/>
  <c r="AG109" i="69"/>
  <c r="AG73" i="69"/>
  <c r="J32" i="67" l="1"/>
  <c r="AG117" i="69"/>
  <c r="AG91" i="69"/>
  <c r="AG121" i="69"/>
  <c r="AG113" i="69"/>
  <c r="AG95" i="69"/>
  <c r="AG127" i="69"/>
  <c r="AG99" i="69" l="1"/>
  <c r="AG103" i="69"/>
  <c r="U180" i="69" l="1"/>
  <c r="AG213" i="69"/>
  <c r="M216" i="69"/>
  <c r="N216" i="69" s="1"/>
  <c r="K35" i="67" s="1"/>
  <c r="U187" i="69"/>
  <c r="J35" i="67" l="1"/>
  <c r="U216" i="69" l="1"/>
  <c r="U166" i="69" l="1"/>
  <c r="U265" i="69" l="1"/>
  <c r="AG289" i="69" l="1"/>
  <c r="AB314" i="69" l="1"/>
  <c r="AC314" i="69" s="1"/>
  <c r="AG309" i="69"/>
  <c r="M315" i="69" l="1"/>
  <c r="N315" i="69" s="1"/>
  <c r="K38" i="67" s="1"/>
  <c r="AG314" i="69"/>
  <c r="U315" i="69" l="1"/>
  <c r="J38" i="67"/>
  <c r="G97" i="69" l="1"/>
  <c r="Q97" i="69" l="1"/>
  <c r="L97" i="69"/>
  <c r="R97" i="69" s="1"/>
  <c r="X97" i="69"/>
  <c r="G99" i="69"/>
  <c r="S97" i="69" l="1"/>
  <c r="Q99" i="69"/>
  <c r="L99" i="69"/>
  <c r="R99" i="69" s="1"/>
  <c r="X99" i="69"/>
  <c r="S99" i="69" l="1"/>
  <c r="U321" i="69"/>
  <c r="G127" i="69" l="1"/>
  <c r="X127" i="69" l="1"/>
  <c r="Q127" i="69"/>
  <c r="L127" i="69"/>
  <c r="R127" i="69" s="1"/>
  <c r="S127" i="69" l="1"/>
  <c r="G125" i="69"/>
  <c r="G126" i="69"/>
  <c r="G72" i="69"/>
  <c r="G71" i="69"/>
  <c r="G73" i="69"/>
  <c r="G65" i="69"/>
  <c r="X72" i="69" l="1"/>
  <c r="Q72" i="69"/>
  <c r="L72" i="69"/>
  <c r="R72" i="69" s="1"/>
  <c r="Q73" i="69"/>
  <c r="L73" i="69"/>
  <c r="R73" i="69" s="1"/>
  <c r="X73" i="69"/>
  <c r="X71" i="69"/>
  <c r="Q71" i="69"/>
  <c r="L71" i="69"/>
  <c r="R71" i="69" s="1"/>
  <c r="L125" i="69"/>
  <c r="X125" i="69"/>
  <c r="Q125" i="69"/>
  <c r="X126" i="69"/>
  <c r="Q126" i="69"/>
  <c r="L126" i="69"/>
  <c r="Q65" i="69"/>
  <c r="X65" i="69"/>
  <c r="L65" i="69"/>
  <c r="R65" i="69" s="1"/>
  <c r="G28" i="69"/>
  <c r="G64" i="69"/>
  <c r="G63" i="69"/>
  <c r="R126" i="69" l="1"/>
  <c r="S126" i="69" s="1"/>
  <c r="R125" i="69"/>
  <c r="Q28" i="69"/>
  <c r="L28" i="69"/>
  <c r="R28" i="69" s="1"/>
  <c r="X28" i="69"/>
  <c r="S71" i="69"/>
  <c r="S72" i="69"/>
  <c r="S125" i="69"/>
  <c r="S73" i="69"/>
  <c r="S65" i="69"/>
  <c r="L63" i="69"/>
  <c r="R63" i="69" s="1"/>
  <c r="X63" i="69"/>
  <c r="Q63" i="69"/>
  <c r="Q64" i="69"/>
  <c r="X64" i="69"/>
  <c r="L64" i="69"/>
  <c r="R64" i="69" s="1"/>
  <c r="G93" i="69"/>
  <c r="G95" i="69"/>
  <c r="G90" i="69"/>
  <c r="G98" i="69"/>
  <c r="R30" i="69" l="1"/>
  <c r="S28" i="69"/>
  <c r="M30" i="69"/>
  <c r="J27" i="67" s="1"/>
  <c r="X93" i="69"/>
  <c r="Q93" i="69"/>
  <c r="L93" i="69"/>
  <c r="Q95" i="69"/>
  <c r="L95" i="69"/>
  <c r="R95" i="69" s="1"/>
  <c r="X95" i="69"/>
  <c r="L98" i="69"/>
  <c r="Q98" i="69"/>
  <c r="X98" i="69"/>
  <c r="L90" i="69"/>
  <c r="R90" i="69" s="1"/>
  <c r="X90" i="69"/>
  <c r="Q90" i="69"/>
  <c r="S63" i="69"/>
  <c r="S64" i="69"/>
  <c r="G94" i="69"/>
  <c r="G86" i="69"/>
  <c r="G68" i="69"/>
  <c r="G67" i="69"/>
  <c r="G69" i="69"/>
  <c r="R98" i="69" l="1"/>
  <c r="S98" i="69" s="1"/>
  <c r="R93" i="69"/>
  <c r="S93" i="69" s="1"/>
  <c r="L27" i="67"/>
  <c r="N30" i="69"/>
  <c r="S30" i="69"/>
  <c r="S95" i="69"/>
  <c r="S90" i="69"/>
  <c r="Q94" i="69"/>
  <c r="L94" i="69"/>
  <c r="R94" i="69" s="1"/>
  <c r="X94" i="69"/>
  <c r="L67" i="69"/>
  <c r="R67" i="69" s="1"/>
  <c r="Q67" i="69"/>
  <c r="X67" i="69"/>
  <c r="L69" i="69"/>
  <c r="R69" i="69" s="1"/>
  <c r="Q69" i="69"/>
  <c r="X69" i="69"/>
  <c r="Q68" i="69"/>
  <c r="L68" i="69"/>
  <c r="R68" i="69" s="1"/>
  <c r="X68" i="69"/>
  <c r="L86" i="69"/>
  <c r="R86" i="69" s="1"/>
  <c r="Q86" i="69"/>
  <c r="X86" i="69"/>
  <c r="T125" i="69" l="1"/>
  <c r="T126" i="69"/>
  <c r="K27" i="67"/>
  <c r="R132" i="69"/>
  <c r="S68" i="69"/>
  <c r="S94" i="69"/>
  <c r="S69" i="69"/>
  <c r="S67" i="69"/>
  <c r="Q321" i="69"/>
  <c r="S86" i="69"/>
  <c r="M132" i="69"/>
  <c r="L29" i="67" l="1"/>
  <c r="L44" i="67" s="1"/>
  <c r="N132" i="69"/>
  <c r="K29" i="67" s="1"/>
  <c r="R322" i="69"/>
  <c r="S132" i="69"/>
  <c r="S322" i="69" s="1"/>
  <c r="J29" i="67"/>
  <c r="J40" i="67" s="1"/>
  <c r="J44" i="67" s="1"/>
  <c r="J45" i="67" s="1"/>
  <c r="J46" i="67" s="1"/>
  <c r="J47" i="67" s="1"/>
  <c r="K44" i="67" l="1"/>
  <c r="Q48" i="67"/>
  <c r="C2" i="64"/>
  <c r="U30" i="69"/>
  <c r="Y321" i="76" l="1"/>
  <c r="V149" i="76"/>
  <c r="X149" i="76" s="1"/>
  <c r="L20" i="11"/>
  <c r="S232" i="75"/>
  <c r="Y224" i="75"/>
  <c r="V1076" i="72"/>
  <c r="Z1015" i="72"/>
  <c r="AA1015" i="72" s="1"/>
  <c r="AB2166" i="72"/>
  <c r="X322" i="71"/>
  <c r="T156" i="71"/>
  <c r="V149" i="71"/>
  <c r="W149" i="71" s="1"/>
  <c r="Y321" i="69"/>
  <c r="V149" i="69"/>
  <c r="X149" i="69" s="1"/>
  <c r="P29" i="70"/>
  <c r="P10" i="70" s="1"/>
  <c r="D13" i="64"/>
  <c r="C9" i="64"/>
  <c r="D11" i="64"/>
  <c r="D12" i="64"/>
  <c r="L155" i="11" l="1"/>
  <c r="L74" i="11"/>
  <c r="L34" i="11"/>
  <c r="L139" i="11"/>
  <c r="L89" i="11"/>
  <c r="L49" i="11"/>
  <c r="L65" i="11"/>
  <c r="L98" i="11"/>
  <c r="L142" i="11"/>
  <c r="L50" i="11"/>
  <c r="L157" i="11"/>
  <c r="L43" i="11"/>
  <c r="L58" i="11"/>
  <c r="L26" i="11"/>
  <c r="L62" i="11"/>
  <c r="L87" i="11"/>
  <c r="L86" i="11"/>
  <c r="L116" i="11"/>
  <c r="L24" i="11"/>
  <c r="L84" i="11"/>
  <c r="L48" i="11"/>
  <c r="L124" i="11"/>
  <c r="L73" i="11"/>
  <c r="L158" i="11"/>
  <c r="L144" i="11"/>
  <c r="L63" i="11"/>
  <c r="L35" i="11"/>
  <c r="L36" i="11"/>
  <c r="L122" i="11"/>
  <c r="L105" i="11"/>
  <c r="L54" i="11"/>
  <c r="L104" i="11"/>
  <c r="L152" i="11"/>
  <c r="L103" i="11"/>
  <c r="L59" i="11"/>
  <c r="L113" i="11"/>
  <c r="L156" i="11"/>
  <c r="L46" i="11"/>
  <c r="L134" i="11"/>
  <c r="L121" i="11"/>
  <c r="L67" i="11"/>
  <c r="L45" i="11"/>
  <c r="L40" i="11"/>
  <c r="L79" i="11"/>
  <c r="L102" i="11"/>
  <c r="L60" i="11"/>
  <c r="L125" i="11"/>
  <c r="L80" i="11"/>
  <c r="L133" i="11"/>
  <c r="L23" i="11"/>
  <c r="L29" i="11"/>
  <c r="L143" i="11"/>
  <c r="L41" i="11"/>
  <c r="L25" i="11"/>
  <c r="L42" i="11"/>
  <c r="L72" i="11"/>
  <c r="L128" i="11"/>
  <c r="L55" i="11"/>
  <c r="L27" i="11"/>
  <c r="L44" i="11"/>
  <c r="L61" i="11"/>
  <c r="L83" i="11"/>
  <c r="L120" i="11"/>
  <c r="L109" i="11"/>
  <c r="L37" i="11"/>
  <c r="L77" i="11"/>
  <c r="L126" i="11"/>
  <c r="L137" i="11"/>
  <c r="L70" i="11"/>
  <c r="L96" i="11"/>
  <c r="L115" i="11"/>
  <c r="L146" i="11"/>
  <c r="L154" i="11"/>
  <c r="L32" i="11"/>
  <c r="L111" i="11"/>
  <c r="L30" i="11"/>
  <c r="L66" i="11"/>
  <c r="L31" i="11"/>
  <c r="L57" i="11"/>
  <c r="L108" i="11"/>
  <c r="L28" i="11"/>
  <c r="L88" i="11"/>
  <c r="L38" i="11"/>
  <c r="L52" i="11"/>
  <c r="L68" i="11"/>
  <c r="L92" i="11"/>
  <c r="L85" i="11"/>
  <c r="L135" i="11"/>
  <c r="L51" i="11"/>
  <c r="L93" i="11"/>
  <c r="L141" i="11"/>
  <c r="L160" i="11"/>
  <c r="L76" i="11"/>
  <c r="L110" i="11"/>
  <c r="L117" i="11"/>
  <c r="L148" i="11"/>
  <c r="L100" i="11"/>
  <c r="L127" i="11"/>
  <c r="L99" i="11"/>
  <c r="L119" i="11"/>
  <c r="L149" i="11"/>
  <c r="L39" i="11"/>
  <c r="L56" i="11"/>
  <c r="L82" i="11"/>
  <c r="L94" i="11"/>
  <c r="L131" i="11"/>
  <c r="L153" i="11"/>
  <c r="L140" i="11"/>
  <c r="L161" i="11"/>
  <c r="L69" i="11"/>
  <c r="L75" i="11"/>
  <c r="L95" i="11"/>
  <c r="L101" i="11"/>
  <c r="L114" i="11"/>
  <c r="L132" i="11"/>
  <c r="L147" i="11"/>
  <c r="L150" i="11"/>
  <c r="L151" i="11"/>
  <c r="L90" i="11"/>
  <c r="L107" i="11"/>
  <c r="L81" i="11"/>
  <c r="L106" i="11"/>
  <c r="L130" i="11"/>
  <c r="L33" i="11"/>
  <c r="L47" i="11"/>
  <c r="L64" i="11"/>
  <c r="L91" i="11"/>
  <c r="L118" i="11"/>
  <c r="L138" i="11"/>
  <c r="L129" i="11"/>
  <c r="L159" i="11"/>
  <c r="L53" i="11"/>
  <c r="L71" i="11"/>
  <c r="L78" i="11"/>
  <c r="L97" i="11"/>
  <c r="L112" i="11"/>
  <c r="L123" i="11"/>
  <c r="L136" i="11"/>
  <c r="L145" i="11"/>
  <c r="C7" i="64"/>
  <c r="D7" i="64" s="1"/>
  <c r="E9" i="64"/>
  <c r="I18" i="64"/>
  <c r="C14" i="64"/>
  <c r="C15" i="64" l="1"/>
  <c r="E14" i="64"/>
  <c r="E18" i="64" s="1"/>
  <c r="E22" i="64" s="1"/>
  <c r="C26" i="64" s="1"/>
  <c r="C18" i="64"/>
  <c r="C13" i="64"/>
  <c r="C10" i="64"/>
  <c r="C12" i="64" s="1"/>
  <c r="C22" i="64" l="1"/>
  <c r="C16" i="64"/>
  <c r="I16" i="64"/>
  <c r="C19" i="64"/>
  <c r="E15" i="64"/>
  <c r="E19" i="64" s="1"/>
  <c r="E23" i="64" s="1"/>
  <c r="C23" i="64" s="1"/>
  <c r="C27" i="64" s="1"/>
  <c r="C20" i="64" l="1"/>
  <c r="E16" i="64"/>
  <c r="E20" i="64" s="1"/>
  <c r="E24" i="64" s="1"/>
  <c r="C17" i="64"/>
  <c r="U132" i="69"/>
  <c r="C21" i="64" l="1"/>
  <c r="D27" i="64"/>
  <c r="E17" i="64"/>
  <c r="E21" i="64" s="1"/>
  <c r="E25" i="64" s="1"/>
  <c r="C25" i="64" s="1"/>
  <c r="C24" i="64"/>
  <c r="D26" i="64" s="1"/>
  <c r="C5" i="64" l="1"/>
  <c r="F10" i="64" s="1"/>
  <c r="C6" i="64" l="1"/>
  <c r="C8" i="64" s="1"/>
  <c r="D48" i="67"/>
  <c r="D195" i="63"/>
  <c r="Q1" i="70" l="1"/>
  <c r="M316" i="69"/>
  <c r="M322" i="69" s="1"/>
  <c r="N322" i="69" l="1"/>
  <c r="M323" i="69"/>
  <c r="M324" i="69" s="1"/>
  <c r="M325" i="69" s="1"/>
  <c r="U316" i="69"/>
  <c r="B15" i="77"/>
  <c r="B16" i="77"/>
  <c r="B17" i="77"/>
  <c r="B18" i="77"/>
  <c r="B19" i="77"/>
  <c r="B20" i="77"/>
  <c r="B21" i="77"/>
  <c r="B22" i="77"/>
  <c r="B23" i="77"/>
  <c r="B24" i="77"/>
  <c r="B25" i="77"/>
  <c r="B26" i="77"/>
  <c r="B27" i="77"/>
  <c r="B28" i="77"/>
  <c r="B29" i="77"/>
  <c r="B30" i="77"/>
  <c r="B31" i="77"/>
  <c r="B32" i="77"/>
  <c r="B33" i="77"/>
  <c r="B34" i="77"/>
  <c r="B35" i="77"/>
  <c r="B36" i="77"/>
  <c r="B37" i="77"/>
  <c r="B38" i="77"/>
  <c r="B39" i="77"/>
  <c r="B40" i="77"/>
  <c r="B41" i="77"/>
  <c r="B42" i="77"/>
  <c r="B43" i="77"/>
  <c r="B44" i="77"/>
  <c r="B45" i="77"/>
  <c r="B46" i="77"/>
  <c r="B47" i="77"/>
  <c r="B48" i="77"/>
  <c r="B49" i="77"/>
  <c r="B50" i="77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64" i="77"/>
  <c r="B65" i="77"/>
  <c r="B66" i="77"/>
  <c r="B67" i="77"/>
  <c r="B68" i="77"/>
  <c r="B69" i="77"/>
  <c r="B70" i="77"/>
  <c r="B71" i="77"/>
  <c r="B72" i="77"/>
  <c r="B73" i="77"/>
  <c r="B74" i="77"/>
  <c r="B75" i="77"/>
  <c r="B76" i="77"/>
  <c r="B77" i="77"/>
  <c r="B78" i="77"/>
  <c r="B79" i="77"/>
  <c r="B80" i="77"/>
  <c r="B81" i="77"/>
  <c r="B82" i="77"/>
  <c r="B83" i="77"/>
  <c r="B84" i="77"/>
  <c r="B85" i="77"/>
  <c r="B86" i="77"/>
  <c r="B87" i="77"/>
  <c r="B88" i="77"/>
  <c r="B89" i="77"/>
  <c r="B90" i="77"/>
  <c r="B91" i="77"/>
  <c r="B92" i="77"/>
  <c r="B93" i="77"/>
  <c r="B94" i="77"/>
  <c r="B95" i="77"/>
  <c r="B96" i="77"/>
  <c r="B97" i="77"/>
  <c r="B98" i="77"/>
  <c r="B99" i="77"/>
  <c r="B100" i="77"/>
  <c r="B101" i="77"/>
  <c r="B102" i="77"/>
  <c r="B103" i="77"/>
  <c r="B104" i="77"/>
  <c r="B105" i="77"/>
  <c r="B106" i="77"/>
  <c r="B107" i="77"/>
  <c r="B108" i="77"/>
  <c r="B109" i="77"/>
</calcChain>
</file>

<file path=xl/comments1.xml><?xml version="1.0" encoding="utf-8"?>
<comments xmlns="http://schemas.openxmlformats.org/spreadsheetml/2006/main">
  <authors>
    <author>user</author>
  </authors>
  <commentList>
    <comment ref="H1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Karanganyar
Tasikmadu
Jaten
Kebakkramat
Colomadu
Gondangrejo</t>
        </r>
      </text>
    </comment>
    <comment ref="I1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Jumapolo
Jumantono
Jatipuro
Matesih
Karangpandan
Mojogedang
Kerjo
Ngargoyoso</t>
        </r>
      </text>
    </comment>
    <comment ref="J13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Jenawi
Jatioso
tawangmangu</t>
        </r>
      </text>
    </comment>
    <comment ref="H5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Karanganyar
Tasikmadu
Jaten
Kebakkramat
Colomadu
Gondangrejo</t>
        </r>
      </text>
    </comment>
    <comment ref="I5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Jumapolo
Jumantono
Jatipuro
Matesih
Karangpandan
Mojogedang
Kerjo
Ngargoyoso</t>
        </r>
      </text>
    </comment>
    <comment ref="J57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Jenawi
Jatioso
tawangmangu</t>
        </r>
      </text>
    </comment>
  </commentList>
</comments>
</file>

<file path=xl/sharedStrings.xml><?xml version="1.0" encoding="utf-8"?>
<sst xmlns="http://schemas.openxmlformats.org/spreadsheetml/2006/main" count="15330" uniqueCount="2243">
  <si>
    <t>III</t>
  </si>
  <si>
    <t>3</t>
  </si>
  <si>
    <t>Pembuatan groundtank ( 2 m x 2 m x 3 m )</t>
  </si>
  <si>
    <t>Pasang intalasi penangkal petir 2 split lengkap</t>
  </si>
  <si>
    <t>URAIAN TENAGA</t>
  </si>
  <si>
    <t>Buruh semi terlatih</t>
  </si>
  <si>
    <t>Buruh terlatih</t>
  </si>
  <si>
    <t>Kepala tukang batu</t>
  </si>
  <si>
    <t>Kepala tukang besi</t>
  </si>
  <si>
    <t>Kepala tukang cat</t>
  </si>
  <si>
    <t>Kepala tukang gali</t>
  </si>
  <si>
    <t>Kepala tukang kayu</t>
  </si>
  <si>
    <t>Mekanik terlatih</t>
  </si>
  <si>
    <t>Mekanik Welder</t>
  </si>
  <si>
    <t>Operator semi terlatih / stoker</t>
  </si>
  <si>
    <t>Operator terlatih</t>
  </si>
  <si>
    <t>Pembantu Mekanik</t>
  </si>
  <si>
    <t>S o p i r</t>
  </si>
  <si>
    <t>Penjaga Malam</t>
  </si>
  <si>
    <t>Tukang gali</t>
  </si>
  <si>
    <t>Tukang listrik</t>
  </si>
  <si>
    <t xml:space="preserve">II.  HARGA BAHAN </t>
  </si>
  <si>
    <t>Asbes gelombang besar ( 100 x 200 )</t>
  </si>
  <si>
    <t>Asbes gelombang kecil ( 100 x 120 )</t>
  </si>
  <si>
    <t>Atap galvalum tebal 0,3</t>
  </si>
  <si>
    <t>Atap polycarbonat rangka besi tempa</t>
  </si>
  <si>
    <t>Bambu apus 4 m'</t>
  </si>
  <si>
    <t>Bambu ori 4 m'</t>
  </si>
  <si>
    <t>Batu blondos</t>
  </si>
  <si>
    <t>Batu kali</t>
  </si>
  <si>
    <t>Batu bata merah</t>
  </si>
  <si>
    <t>Batu palimanan</t>
  </si>
  <si>
    <t>Batu paras</t>
  </si>
  <si>
    <t>Batu lempeng</t>
  </si>
  <si>
    <t>Batu pecah ½/1 cm / Mesin</t>
  </si>
  <si>
    <t>Batu pecah 1/2 cm / Mesin</t>
  </si>
  <si>
    <t>Batu pecah 2/3 cm (split) / Mesin</t>
  </si>
  <si>
    <t>Batu pecah 3/5 cm / Mesin</t>
  </si>
  <si>
    <t xml:space="preserve">Batu pecah 2/3 cm </t>
  </si>
  <si>
    <t>Batu pecah 3/5 cm</t>
  </si>
  <si>
    <t>Batu pecah 5/7 cm</t>
  </si>
  <si>
    <t>Batu pecah 10/15 cm</t>
  </si>
  <si>
    <t>Batu pecah 15/20 cm</t>
  </si>
  <si>
    <t>Buis beton Ø 80 cm ½ m´</t>
  </si>
  <si>
    <t>Buis beton Ø 100 cm ½ m´</t>
  </si>
  <si>
    <t xml:space="preserve">Eternit asbes ( 1,00 x 1,00 ) 3 mm </t>
  </si>
  <si>
    <t>Folding Gate tebal 1,20 mm</t>
  </si>
  <si>
    <t>Folding Gate tebal 0,08 mm</t>
  </si>
  <si>
    <t>Folding Gate tebal 0,06 mm</t>
  </si>
  <si>
    <t>Folding Gate tebal 0,04 mm</t>
  </si>
  <si>
    <t>Genteng magas Kebumen</t>
  </si>
  <si>
    <t xml:space="preserve">Genteng morando Jatiwangi </t>
  </si>
  <si>
    <t>Genteng morando Kebumen</t>
  </si>
  <si>
    <t>Genteng kerpus Kebumen</t>
  </si>
  <si>
    <t>Genteng kerpus Jatiwangi</t>
  </si>
  <si>
    <t>Genteng glasur Jatiwangi</t>
  </si>
  <si>
    <t>Genteng kerpus glasur Jatiwangi</t>
  </si>
  <si>
    <t>Genteng glasur Kebumen</t>
  </si>
  <si>
    <t>Genteng kerpus glasur Kebumen</t>
  </si>
  <si>
    <t>Grosok jagung</t>
  </si>
  <si>
    <t>Grease ( paselin )</t>
  </si>
  <si>
    <t>Gravel Pack Ø 0,5 - 1,5 cm</t>
  </si>
  <si>
    <t>Kabel listrik 1.50 mm</t>
  </si>
  <si>
    <t>Kabel listrik 2.50 mm</t>
  </si>
  <si>
    <t>Kayu bakar</t>
  </si>
  <si>
    <t>Kayu begesting</t>
  </si>
  <si>
    <t>Kayu dudukan fitting</t>
  </si>
  <si>
    <t>Kayu bangkiray Balok</t>
  </si>
  <si>
    <t>Kayu bangkiray Papan</t>
  </si>
  <si>
    <t>Kayu jati untuk Konstrusi Jembatan</t>
  </si>
  <si>
    <t>Kayu jati untuk perquet</t>
  </si>
  <si>
    <t>Kayu jati hutan untuk Kusen</t>
  </si>
  <si>
    <t>Kayu jati lokal untuk Kusen</t>
  </si>
  <si>
    <t>Kayu jati lokal untuk Rangka Atap</t>
  </si>
  <si>
    <t>Kayu kamper Balok</t>
  </si>
  <si>
    <t>Kayu kamper Papan</t>
  </si>
  <si>
    <t>Kayu kruing Balok</t>
  </si>
  <si>
    <t>Kayu kruing Papan</t>
  </si>
  <si>
    <t xml:space="preserve">Kayu meranti papan 30 cm </t>
  </si>
  <si>
    <t>Kayu sengon papan</t>
  </si>
  <si>
    <t>Karpet biasa</t>
  </si>
  <si>
    <t>Karpet tebal</t>
  </si>
  <si>
    <t xml:space="preserve">Keramik 20 x 20 </t>
  </si>
  <si>
    <t xml:space="preserve">Kuwas </t>
  </si>
  <si>
    <t>Lampu  TL 20 watt komplit</t>
  </si>
  <si>
    <t>Marmer Tulung Agung 80 x 80 cm</t>
  </si>
  <si>
    <t>Meni kayu</t>
  </si>
  <si>
    <t>PC putih (40 Kg)</t>
  </si>
  <si>
    <t>PC warna (40 Kg)</t>
  </si>
  <si>
    <t>Paku eternit</t>
  </si>
  <si>
    <t>Paku pacing</t>
  </si>
  <si>
    <t>Paku reng</t>
  </si>
  <si>
    <t>Paku triplek 2 cm</t>
  </si>
  <si>
    <t>Paku usuk</t>
  </si>
  <si>
    <t>Pipa galvanis Ø 1,5" / 6 m. t= 2,5 mm</t>
  </si>
  <si>
    <t>Pipa PVC Ø 1/2" / 4 m AW</t>
  </si>
  <si>
    <t>Pipa PVC Ø 3/4" / 4 m AW</t>
  </si>
  <si>
    <t>Pipa PVC S. 12.50 Ø 1 1/2" - 6 m</t>
  </si>
  <si>
    <t>Pipa PVC S. 12.50 Ø 2" - 6 m</t>
  </si>
  <si>
    <t>Plint teraso</t>
  </si>
  <si>
    <t>Plint ubin PC warna 15 x 20 cm</t>
  </si>
  <si>
    <t>Pompa Air (listrik)  450 watt ex. Dab</t>
  </si>
  <si>
    <t>m´</t>
  </si>
  <si>
    <t>Slot kunci pipih biasa</t>
  </si>
  <si>
    <t>Tanah bentonit</t>
  </si>
  <si>
    <t>Tanah cadas</t>
  </si>
  <si>
    <t>Tanah liat</t>
  </si>
  <si>
    <t>Tegel abu-abu 20 x 20 cm</t>
  </si>
  <si>
    <t>Tegel abu-abu 30 x 30 cm</t>
  </si>
  <si>
    <t>Tegel wafel warna</t>
  </si>
  <si>
    <t>Tegel wafel abu-abu</t>
  </si>
  <si>
    <t>WILAYAH 1</t>
  </si>
  <si>
    <t>WILAYAH 2</t>
  </si>
  <si>
    <t>WILAYAH 3</t>
  </si>
  <si>
    <t>Minyak solar non subsidi</t>
  </si>
  <si>
    <t>Pembantu Geologis</t>
  </si>
  <si>
    <t>Tukang masak aspal</t>
  </si>
  <si>
    <t>A.  BAHAN BANGUNAN</t>
  </si>
  <si>
    <t>Atap onduline</t>
  </si>
  <si>
    <t>Atap polycarbonat rangka stainleess</t>
  </si>
  <si>
    <t>Kaca naco/daun bening</t>
  </si>
  <si>
    <t>Kayu sengon kaso 5/7</t>
  </si>
  <si>
    <t>Keramik 30 x 60 dinding</t>
  </si>
  <si>
    <t>Keramik 40 x 40 polos</t>
  </si>
  <si>
    <t>Keramik 40 x 40 warna motif</t>
  </si>
  <si>
    <t>Kerikil sungai di Quary</t>
  </si>
  <si>
    <t>Lem kuning (ex. Aica Aibon)</t>
  </si>
  <si>
    <t xml:space="preserve">Meni besi </t>
  </si>
  <si>
    <t>Paving 8 cm K.250 (warna)</t>
  </si>
  <si>
    <t>Paving 8 cm K.175 (warna)</t>
  </si>
  <si>
    <t xml:space="preserve">Plint granit 10 x 20 cm </t>
  </si>
  <si>
    <t>Plint granit 10 x 60 cm</t>
  </si>
  <si>
    <t>Plint keramik 8 x 20 cm</t>
  </si>
  <si>
    <t>Plint keramik 10 x 20 cm</t>
  </si>
  <si>
    <t>Pompa Submersible 3 pk, Q = 2 lt, H = 70 m</t>
  </si>
  <si>
    <t>Tiang listrik beton C11.350 daN E</t>
  </si>
  <si>
    <t xml:space="preserve">Tiang listrik beton C11.350 daN E BC </t>
  </si>
  <si>
    <t>Tiang listrik beton C11.200 daN E</t>
  </si>
  <si>
    <t>Tiang listrik beton C9.200 daN E</t>
  </si>
  <si>
    <t>Travo 50 KVA</t>
  </si>
  <si>
    <t>B.  BAHAN BOX CULVERT TYPE BINA MARGA</t>
  </si>
  <si>
    <t>BEBAN Gandar 21 Ton</t>
  </si>
  <si>
    <t>BC 400x400x1000</t>
  </si>
  <si>
    <t>BC 500x500x1000</t>
  </si>
  <si>
    <t>BC 600x600x1000</t>
  </si>
  <si>
    <t>BC 800x800x1000</t>
  </si>
  <si>
    <t>BC 1000x1000x1000</t>
  </si>
  <si>
    <t>BC 1200x1200x1000</t>
  </si>
  <si>
    <t>BC 1400x1400x1000</t>
  </si>
  <si>
    <t>BC 1500x1500x1000</t>
  </si>
  <si>
    <t>BC 1600x1600x1000</t>
  </si>
  <si>
    <t>BC 1800x1800x1000</t>
  </si>
  <si>
    <t>BC 2000x2000x1000</t>
  </si>
  <si>
    <t>Pintu aluminium ram</t>
  </si>
  <si>
    <t>Plint keramik 10 x 40 cm</t>
  </si>
  <si>
    <t>Plint keramik 10 x 60 cm</t>
  </si>
  <si>
    <t>Dempul Jadi/wood filler/plamur</t>
  </si>
  <si>
    <t>Aluminium foil</t>
  </si>
  <si>
    <t>Slot biasa ( kuda terbang )</t>
  </si>
  <si>
    <t>Kayu meranti 5/7</t>
  </si>
  <si>
    <t>Kayu meranti reng 2/3</t>
  </si>
  <si>
    <t>Avour stainless</t>
  </si>
  <si>
    <t>Kerikil sungai di quary</t>
  </si>
  <si>
    <t>Abu batu</t>
  </si>
  <si>
    <t>Kawur/kapur pasang</t>
  </si>
  <si>
    <t>Kayu jati hutan untuk perquet</t>
  </si>
  <si>
    <t>Kayu jati lokal untuk kusen</t>
  </si>
  <si>
    <t>Kayu jati hutan untuk kusen</t>
  </si>
  <si>
    <t>Kayu jati hutan untuk rangka atap</t>
  </si>
  <si>
    <t>Kayu jati hutan untuk konstrusi jembatan</t>
  </si>
  <si>
    <t>Paving 6 cm K.225</t>
  </si>
  <si>
    <t>Paving 8 cm</t>
  </si>
  <si>
    <t>Genteng kerpus jatiwangi</t>
  </si>
  <si>
    <t>Genteng kerpus glasur jatiwangi</t>
  </si>
  <si>
    <t>Genteng kerpus glasur kebumen</t>
  </si>
  <si>
    <t>Genteng magas kebumen</t>
  </si>
  <si>
    <t>Wastafel komplit</t>
  </si>
  <si>
    <t xml:space="preserve">Multiplek 4 mm </t>
  </si>
  <si>
    <t xml:space="preserve">Multiplek 6 mm </t>
  </si>
  <si>
    <t xml:space="preserve">Multiplek 9 mm </t>
  </si>
  <si>
    <t>Roster batu alam</t>
  </si>
  <si>
    <t>Slot kunci pipih sedang</t>
  </si>
  <si>
    <t>Slot kunci pipih super</t>
  </si>
  <si>
    <t>Genteng keramik setara M-Class</t>
  </si>
  <si>
    <t xml:space="preserve">Marmer tulung agung 30 x 30 cm </t>
  </si>
  <si>
    <t>Marmer tulung agung 40 x 40 cm</t>
  </si>
  <si>
    <t>Marmer tulung agung 60 x 60 cm</t>
  </si>
  <si>
    <t>Buruh tak terlatih/Pekerja</t>
  </si>
  <si>
    <t>Atap Polycarbonat rangka stainleess</t>
  </si>
  <si>
    <t>Atap galvalum rangka hollow</t>
  </si>
  <si>
    <t>Atap polycarbonat rangka hollow</t>
  </si>
  <si>
    <t>Atap Polycarbonat rangka hollow</t>
  </si>
  <si>
    <t>Batu pecah 3/5 cm, cruser</t>
  </si>
  <si>
    <t>Batu pecah 2/3 cm (split), manual</t>
  </si>
  <si>
    <t>Tanah bentonite</t>
  </si>
  <si>
    <t>Fiberglass (Bak Air) 1 m3</t>
  </si>
  <si>
    <t>Folding Gate tebal 1.20 mm</t>
  </si>
  <si>
    <t>Folding Gate tebal 0.80 mm</t>
  </si>
  <si>
    <t>Folding Gate tebal 0.60 mm</t>
  </si>
  <si>
    <t>Folding Gate tebal 0.40 mm</t>
  </si>
  <si>
    <t>Genteng morando kebumen</t>
  </si>
  <si>
    <t xml:space="preserve">Genteng morando jatiwangi </t>
  </si>
  <si>
    <t>Genteng kerpus kebumen</t>
  </si>
  <si>
    <t xml:space="preserve">Lem kayu </t>
  </si>
  <si>
    <t>Plint Keramik 10 x 20 cm</t>
  </si>
  <si>
    <t>Plint Keramik 8 x 20 cm</t>
  </si>
  <si>
    <t>Cuci cetak</t>
  </si>
  <si>
    <t>Plint ubin abu-2 15/20</t>
  </si>
  <si>
    <t>Plint Ubin abu-2 10/40</t>
  </si>
  <si>
    <t>Plint ubin teralux kr 10/40</t>
  </si>
  <si>
    <t>Plint ubin teralux kr 10/30</t>
  </si>
  <si>
    <t>Plint ubin trlx marmer 10/60</t>
  </si>
  <si>
    <t>Plint ubin trlx marmer 10/40</t>
  </si>
  <si>
    <t>Plint ubin trlx marmer 10/30</t>
  </si>
  <si>
    <t>Ubin keramik arts 10/20</t>
  </si>
  <si>
    <t>Ubin keramik arts 10/10</t>
  </si>
  <si>
    <t>Ubin Keramik 10/30</t>
  </si>
  <si>
    <t>Lantai mosaik 30/30</t>
  </si>
  <si>
    <t>Plint keramik art 10/10</t>
  </si>
  <si>
    <t>Plint keramik art 5/20</t>
  </si>
  <si>
    <t>Internal cove 5/5/20</t>
  </si>
  <si>
    <t>Keramik dind. Artistik 10/20</t>
  </si>
  <si>
    <t>Keramik dind. Artistik 5/20</t>
  </si>
  <si>
    <t>Keramik 10/20</t>
  </si>
  <si>
    <t>Bata pelapis dinding 3/7/24</t>
  </si>
  <si>
    <t>Papan kayu kl II 2/10 cm</t>
  </si>
  <si>
    <t>Cat penutup 2x</t>
  </si>
  <si>
    <t>SATUAN HARGA BAHAN DAN ALAT PEKERJAAN SUMUR DALAM' 2013</t>
  </si>
  <si>
    <t>2</t>
  </si>
  <si>
    <t>Membuat kolom praktis beton bertulang 11/11 cm</t>
  </si>
  <si>
    <t>Kawat duri (30 m')</t>
  </si>
  <si>
    <t>Washbak (bak cuci) steinless</t>
  </si>
  <si>
    <t>Kaca es 5 mm</t>
  </si>
  <si>
    <t>Fiberglass (Bak Air) 0,50 m3</t>
  </si>
  <si>
    <t>Memasang paving tb. 8 cm, K.250, polos</t>
  </si>
  <si>
    <t>Strorox-100</t>
  </si>
  <si>
    <t>HB.20</t>
  </si>
  <si>
    <t>Uderlayer</t>
  </si>
  <si>
    <t>Gymfloor</t>
  </si>
  <si>
    <t xml:space="preserve">Pasir Pasang </t>
  </si>
  <si>
    <t>buah</t>
  </si>
  <si>
    <t>Vinyl</t>
  </si>
  <si>
    <t>Floor hardener</t>
  </si>
  <si>
    <t>Vinyl karet</t>
  </si>
  <si>
    <t>Profil allumi T</t>
  </si>
  <si>
    <t>Kawat D 4 mm</t>
  </si>
  <si>
    <t>Ramset</t>
  </si>
  <si>
    <t>m'</t>
  </si>
  <si>
    <t>Tukang las</t>
  </si>
  <si>
    <t>Tukang besi</t>
  </si>
  <si>
    <t>Minyak pelumas</t>
  </si>
  <si>
    <t>Besi scuare tube</t>
  </si>
  <si>
    <t>Besi lis kaca 1x1 cm</t>
  </si>
  <si>
    <t>cm</t>
  </si>
  <si>
    <t>Sunscreen alluminium</t>
  </si>
  <si>
    <t>Sealent</t>
  </si>
  <si>
    <t>tube</t>
  </si>
  <si>
    <t>Alluminium strip</t>
  </si>
  <si>
    <t>Tube</t>
  </si>
  <si>
    <t>PEKERJAAN PONDASI</t>
  </si>
  <si>
    <t>Pasir Urug</t>
  </si>
  <si>
    <t>NO</t>
  </si>
  <si>
    <t>SATUAN</t>
  </si>
  <si>
    <t>HARGA</t>
  </si>
  <si>
    <t>m³</t>
  </si>
  <si>
    <t>bj</t>
  </si>
  <si>
    <t>m²</t>
  </si>
  <si>
    <t>Sekrup</t>
  </si>
  <si>
    <t>bh</t>
  </si>
  <si>
    <t>PEKERJAAN BETON</t>
  </si>
  <si>
    <t>Lb</t>
  </si>
  <si>
    <t>Gypsum Board</t>
  </si>
  <si>
    <t>Paku skrup</t>
  </si>
  <si>
    <t>ls</t>
  </si>
  <si>
    <t>btg</t>
  </si>
  <si>
    <t>unit</t>
  </si>
  <si>
    <t>ljr</t>
  </si>
  <si>
    <t>lbr</t>
  </si>
  <si>
    <t xml:space="preserve"> </t>
  </si>
  <si>
    <t xml:space="preserve">   </t>
  </si>
  <si>
    <t>Kebutuhan</t>
  </si>
  <si>
    <t xml:space="preserve">Satuan </t>
  </si>
  <si>
    <t>Indeks</t>
  </si>
  <si>
    <t>Harga Satuan</t>
  </si>
  <si>
    <t>Jumlah</t>
  </si>
  <si>
    <t>Bahan / Upah</t>
  </si>
  <si>
    <t>( Rp. )</t>
  </si>
  <si>
    <t>Bahan</t>
  </si>
  <si>
    <t>Tenaga Kerja</t>
  </si>
  <si>
    <t>Pekerja</t>
  </si>
  <si>
    <t>Mandor</t>
  </si>
  <si>
    <t>OH</t>
  </si>
  <si>
    <t>Jumlah harga per-satuan pekerjaan</t>
  </si>
  <si>
    <t>m3</t>
  </si>
  <si>
    <t xml:space="preserve">Pekerja </t>
  </si>
  <si>
    <t>Tukang Batu</t>
  </si>
  <si>
    <t>Kepala Tukang</t>
  </si>
  <si>
    <t>Ijuk</t>
  </si>
  <si>
    <t>kg</t>
  </si>
  <si>
    <t>Batu Belah 15/20 cm</t>
  </si>
  <si>
    <t>PC</t>
  </si>
  <si>
    <t>Jumlah harga per satuan pekerjaan</t>
  </si>
  <si>
    <t>Pasir urug</t>
  </si>
  <si>
    <t>Pasir Beton</t>
  </si>
  <si>
    <t>Kawat Beton</t>
  </si>
  <si>
    <t>Air</t>
  </si>
  <si>
    <t>Kerikil ( maks 30 mm )</t>
  </si>
  <si>
    <t>Sealant</t>
  </si>
  <si>
    <t>Waterstop lebar 200 mm</t>
  </si>
  <si>
    <t>m</t>
  </si>
  <si>
    <t>Waterstop lebar 150 mm</t>
  </si>
  <si>
    <t>W.Stop lbr 230 - 320 mm</t>
  </si>
  <si>
    <t>Besi Beton ( polos/ulir )</t>
  </si>
  <si>
    <t xml:space="preserve">Tukang Batu </t>
  </si>
  <si>
    <t>Kayu kelas III</t>
  </si>
  <si>
    <t>Paku 5 cm - 10 cm</t>
  </si>
  <si>
    <t>Minyak Bekisting</t>
  </si>
  <si>
    <t>Balok kayu kelas II</t>
  </si>
  <si>
    <t>Plywood tebal 9 mm</t>
  </si>
  <si>
    <t>Dolken kayu galam,</t>
  </si>
  <si>
    <t>Lbr</t>
  </si>
  <si>
    <t>Buah</t>
  </si>
  <si>
    <t>Paku 5 cm - 12 cm</t>
  </si>
  <si>
    <t>Besi beton polos</t>
  </si>
  <si>
    <t>Pasir beton</t>
  </si>
  <si>
    <t>Kawat beton</t>
  </si>
  <si>
    <t>Kerikil</t>
  </si>
  <si>
    <t>Tukang Kayu</t>
  </si>
  <si>
    <t>Tukang Besi</t>
  </si>
  <si>
    <t>Lembar</t>
  </si>
  <si>
    <t>Batu Merah</t>
  </si>
  <si>
    <t>Pasir Pasang</t>
  </si>
  <si>
    <t>Kapur Pasang</t>
  </si>
  <si>
    <t>Lem kayu</t>
  </si>
  <si>
    <t>Tukang kayu</t>
  </si>
  <si>
    <t>Formika</t>
  </si>
  <si>
    <t>Paku 5 dan 7 cm</t>
  </si>
  <si>
    <t>lembar</t>
  </si>
  <si>
    <t>m2</t>
  </si>
  <si>
    <t>Semen Warna</t>
  </si>
  <si>
    <t>Total Harga</t>
  </si>
  <si>
    <t>:</t>
  </si>
  <si>
    <t>KEGIATAN</t>
  </si>
  <si>
    <t>L O K A S I</t>
  </si>
  <si>
    <t>KABUPATEN</t>
  </si>
  <si>
    <t>KARANGANYAR</t>
  </si>
  <si>
    <t>TAHUN ANGGARAN</t>
  </si>
  <si>
    <t>Harga</t>
  </si>
  <si>
    <t>Rp.</t>
  </si>
  <si>
    <t>1</t>
  </si>
  <si>
    <t xml:space="preserve"> 3</t>
  </si>
  <si>
    <t>4</t>
  </si>
  <si>
    <t>5</t>
  </si>
  <si>
    <t xml:space="preserve"> 6</t>
  </si>
  <si>
    <t xml:space="preserve"> 7</t>
  </si>
  <si>
    <t>PEKERJAAN PERSIAPAN</t>
  </si>
  <si>
    <t>PEKERJAAN TANAH</t>
  </si>
  <si>
    <t>PEKERJAAN PASANGAN</t>
  </si>
  <si>
    <t/>
  </si>
  <si>
    <t>DIBULATKAN</t>
  </si>
  <si>
    <t>JUMLAH TOTAL</t>
  </si>
  <si>
    <t>KABUPATEN KARANGANYAR</t>
  </si>
  <si>
    <t>NO.</t>
  </si>
  <si>
    <t>URAIAN</t>
  </si>
  <si>
    <t>ANALYSA</t>
  </si>
  <si>
    <t>Dihitung</t>
  </si>
  <si>
    <t>Administrasi dan dokumentasi</t>
  </si>
  <si>
    <t>Administratur</t>
  </si>
  <si>
    <t>Kertas folio 70 gr</t>
  </si>
  <si>
    <t>Kep.Tukang</t>
  </si>
  <si>
    <t>Tukang batu</t>
  </si>
  <si>
    <t>Tukang cat</t>
  </si>
  <si>
    <t>Memasang saklar ganda</t>
  </si>
  <si>
    <t>Memasang saklar tunggal</t>
  </si>
  <si>
    <t>Memasang stop kontak</t>
  </si>
  <si>
    <t>Perlengkapan</t>
  </si>
  <si>
    <t>Pembersihan lapangan</t>
  </si>
  <si>
    <t>Slot Kunci Pipih sedang</t>
  </si>
  <si>
    <t>Slot Kunci Pipih super</t>
  </si>
  <si>
    <t>Pasir pasang</t>
  </si>
  <si>
    <t>Plamir</t>
  </si>
  <si>
    <t>Cat dasar</t>
  </si>
  <si>
    <t>Cat penutup 2 X</t>
  </si>
  <si>
    <t>rim</t>
  </si>
  <si>
    <t>lb</t>
  </si>
  <si>
    <t>Pipa PVC</t>
  </si>
  <si>
    <t>Seal tape</t>
  </si>
  <si>
    <t>Stabilizer 5000 Watt</t>
  </si>
  <si>
    <t>Stop kontak</t>
  </si>
  <si>
    <t>Handle Jendela</t>
  </si>
  <si>
    <t>ttk</t>
  </si>
  <si>
    <t>Rolling door alumunium</t>
  </si>
  <si>
    <t>ltr</t>
  </si>
  <si>
    <t>Ball point</t>
  </si>
  <si>
    <t>Kertas sampul</t>
  </si>
  <si>
    <t>Tinta print refill</t>
  </si>
  <si>
    <t>KET.</t>
  </si>
  <si>
    <t>List gypsum profil</t>
  </si>
  <si>
    <t>Tepung gypsum</t>
  </si>
  <si>
    <t>Tukang khusus allumunium</t>
  </si>
  <si>
    <t>Tukang allumunium/kaca</t>
  </si>
  <si>
    <t>Paku biasa 2" - 5 "</t>
  </si>
  <si>
    <t>Pipa PVC 3/4"</t>
  </si>
  <si>
    <t>Pipa PVC 1"</t>
  </si>
  <si>
    <t>Pipa PVC 1 1/2"</t>
  </si>
  <si>
    <t>Pipa PVC 2"</t>
  </si>
  <si>
    <t>Pipa PVC 3"</t>
  </si>
  <si>
    <t>( 35% harga pipa PVC )</t>
  </si>
  <si>
    <t>Wastafel</t>
  </si>
  <si>
    <t>( 12% harga wastafel )</t>
  </si>
  <si>
    <t>Kaca 5 mm</t>
  </si>
  <si>
    <t>Paving tebal 8 cm</t>
  </si>
  <si>
    <t>Pintu PVC</t>
  </si>
  <si>
    <t>Saklar tunggal</t>
  </si>
  <si>
    <t>Saklar ganda</t>
  </si>
  <si>
    <t>Lampu SL 18 watt</t>
  </si>
  <si>
    <t>Lampu SL 20 watt</t>
  </si>
  <si>
    <t>Kloset duduk/monoblok</t>
  </si>
  <si>
    <t>( 6% harga kloset )</t>
  </si>
  <si>
    <t>Ø (8 - 10) cm, panj 4 m</t>
  </si>
  <si>
    <t>Pembesian 1 kg dengan besi polos atau besi ulir</t>
  </si>
  <si>
    <t>Paku sekrup</t>
  </si>
  <si>
    <t>VOLUME</t>
  </si>
  <si>
    <t>No.</t>
  </si>
  <si>
    <t>x</t>
  </si>
  <si>
    <t>+</t>
  </si>
  <si>
    <t>PEKERJAAN LAIN-LAIN</t>
  </si>
  <si>
    <t>Papan Nama Proyek</t>
  </si>
  <si>
    <t>Marmer Prasasti</t>
  </si>
  <si>
    <t>PROGRAM</t>
  </si>
  <si>
    <t>jam</t>
  </si>
  <si>
    <t>Kaca bening 5 mm</t>
  </si>
  <si>
    <t>Hak angin biasa</t>
  </si>
  <si>
    <t>Grendel sedang</t>
  </si>
  <si>
    <t>Buis beton Ø 20 cm</t>
  </si>
  <si>
    <t>Buis beton ½  Ø 20 cm</t>
  </si>
  <si>
    <t>Cat kayu (dalam)</t>
  </si>
  <si>
    <t>Cat tembok ( dalam )</t>
  </si>
  <si>
    <t>Fitting porselin</t>
  </si>
  <si>
    <t>Woodplank ( 4 M )</t>
  </si>
  <si>
    <t>Woodplank</t>
  </si>
  <si>
    <t>Keramik 20 x 25 dinding</t>
  </si>
  <si>
    <t>Minyak begesting</t>
  </si>
  <si>
    <t>Pipa PVC Ø 4" / 4 m AW</t>
  </si>
  <si>
    <t>Seng talang Bjls 30 lebar 0,90</t>
  </si>
  <si>
    <t>Kayu lis profil</t>
  </si>
  <si>
    <t>Eternit ( 1,00 x 1,00 ) 3 mm</t>
  </si>
  <si>
    <t>Cetak Foto</t>
  </si>
  <si>
    <t>Semua</t>
  </si>
  <si>
    <t>NAMA UPAH</t>
  </si>
  <si>
    <t>Aluminium foil/sisalation</t>
  </si>
  <si>
    <t>PEKERJAAN SANITASI</t>
  </si>
  <si>
    <t xml:space="preserve">Memasang kloset jongklok porselin </t>
  </si>
  <si>
    <t>Urinoir</t>
  </si>
  <si>
    <t>Besi beton</t>
  </si>
  <si>
    <t>Memasang pipa PVC tipe AW diameter 3/4"</t>
  </si>
  <si>
    <t>Memasang pipa PVC tipe AW diameter 1"</t>
  </si>
  <si>
    <t>Memasang pipa PVC tipe AW diameter 1 1/2"</t>
  </si>
  <si>
    <t>Memasang pipa PVC tipe AW diameter 2"</t>
  </si>
  <si>
    <t>Memasang pipa PVC tipe AW diameter 3"</t>
  </si>
  <si>
    <t>Memasang pipa PVC tipe AW diameter 4"</t>
  </si>
  <si>
    <t>Bak cuci stainles steel</t>
  </si>
  <si>
    <t>Water drain + asesories</t>
  </si>
  <si>
    <t>set</t>
  </si>
  <si>
    <t>Pegangan pintu/door holder</t>
  </si>
  <si>
    <t>Politur</t>
  </si>
  <si>
    <t>Politur jadi</t>
  </si>
  <si>
    <t>Mengurug pasir urug</t>
  </si>
  <si>
    <t>Memasang plesteran 1 PC : 5 PP, tebal 15 mm</t>
  </si>
  <si>
    <t>Memasang plesteran 1 PC : 6 PP, tebal 15 mm</t>
  </si>
  <si>
    <t>Memasang acian</t>
  </si>
  <si>
    <t>Membuat ring balok beton bertulang ( 10 x 15 ) cm</t>
  </si>
  <si>
    <t>Memasang lisplank woodplank</t>
  </si>
  <si>
    <t>titik</t>
  </si>
  <si>
    <t>REKAPITULASI HARGA SATUAN PEKERJAAN</t>
  </si>
  <si>
    <t>Pasir tras</t>
  </si>
  <si>
    <t>Amplas besi/kayu</t>
  </si>
  <si>
    <t>Bataco</t>
  </si>
  <si>
    <t>Buis beton Ø 30 cm</t>
  </si>
  <si>
    <t>Buis beton Ø 40 cm</t>
  </si>
  <si>
    <t>Buis beton Ø 50 cm</t>
  </si>
  <si>
    <t>Buis beton Ø 60 cm</t>
  </si>
  <si>
    <t>Buis beton ½  Ø 30 cm</t>
  </si>
  <si>
    <t>Cat kayu (luar)</t>
  </si>
  <si>
    <t>Cat tembok ( luar )</t>
  </si>
  <si>
    <t>Grendel biasa</t>
  </si>
  <si>
    <t>Grendel super</t>
  </si>
  <si>
    <t>Hak angin sedang</t>
  </si>
  <si>
    <t>Hak angin super</t>
  </si>
  <si>
    <t>Kaca bening 3 mm</t>
  </si>
  <si>
    <t>Kaca bening 8 mm</t>
  </si>
  <si>
    <t>Kaca rayband 5 mm</t>
  </si>
  <si>
    <t>Keramik 40 x 40 (Platinum)</t>
  </si>
  <si>
    <t>Kran air d 1" super</t>
  </si>
  <si>
    <t>Kran air d 1" biasa</t>
  </si>
  <si>
    <t>Kran air d 1" sedang</t>
  </si>
  <si>
    <t>Kran air d 1/2" super</t>
  </si>
  <si>
    <t>Kran air d 1/2" biasa</t>
  </si>
  <si>
    <t>Kran air d 1/2" sedang</t>
  </si>
  <si>
    <t>Kran air d 3/4" super</t>
  </si>
  <si>
    <t>Kran air d 3/4" sedang</t>
  </si>
  <si>
    <t>Kran air d 3/4" biasa</t>
  </si>
  <si>
    <t xml:space="preserve">Multiplex 4 mm </t>
  </si>
  <si>
    <t xml:space="preserve">Multiplex 6 mm </t>
  </si>
  <si>
    <t xml:space="preserve">Multiplex 9 mm </t>
  </si>
  <si>
    <t>Multiplek 12 mm</t>
  </si>
  <si>
    <t>Pipa Air Besi Ø 1/2 " / 6 m</t>
  </si>
  <si>
    <t>Pipa Air Besi Ø 3/4 " / 6 m</t>
  </si>
  <si>
    <t>Pipa Air Besi Ø 1 " / 6 m</t>
  </si>
  <si>
    <t>Pipa Air Besi Ø 1,25 " / 6 m</t>
  </si>
  <si>
    <t>Pipa Air Besi Ø 1,5 " / 6 m</t>
  </si>
  <si>
    <t>Pipa Air Besi Ø 2 " / 6 m</t>
  </si>
  <si>
    <t>Pipa Air Besi Ø 2,5 " / 6 m</t>
  </si>
  <si>
    <t>Pipa Air GI Med. A Ø 1/2 " / 6 m</t>
  </si>
  <si>
    <t>Pipa Air GI Med. A Ø 3/4 " / 6 m</t>
  </si>
  <si>
    <t>Pipa Air GI Med. A Ø 1 " / 6 m</t>
  </si>
  <si>
    <t>Pipa Air GI Med. A Ø 1,25 " / 6 m</t>
  </si>
  <si>
    <t>Pipa Air GI Med. A Ø 1,5 " / 6 m</t>
  </si>
  <si>
    <t>Pipa Air GI Med. A Ø 2 " / 6 m</t>
  </si>
  <si>
    <t>Pipa Air GI Med. A Ø 2,5 " / 6 m</t>
  </si>
  <si>
    <t>Pipa galvanis Ø 2 " / 6 m. t= 2,5 mm</t>
  </si>
  <si>
    <t>Pipa galvanis Ø 3 " / 6 m. t= 2,5 mm</t>
  </si>
  <si>
    <t>Pipa PVC Ø 1" / 4 m AW</t>
  </si>
  <si>
    <t>Pipa PVC Ø 1,5" / 4 m AW</t>
  </si>
  <si>
    <t>Pipa PVC Ø 2" / 4 m AW</t>
  </si>
  <si>
    <t>Pipa PVC Ø 3" / 4 m AW</t>
  </si>
  <si>
    <t>Pipa PVC Ø 6" / 4 m AW</t>
  </si>
  <si>
    <t>Pipa PVC Ø 8" / 4 m AW</t>
  </si>
  <si>
    <t xml:space="preserve">Plint Granit 10 x 30 cm </t>
  </si>
  <si>
    <t>Plint Granit 10 x 40 cm</t>
  </si>
  <si>
    <t>Plint Teraso</t>
  </si>
  <si>
    <t>Plint Ubin PC Warna 15 x 20 cm</t>
  </si>
  <si>
    <t>Seng gelombang  (90 x 210 ) tbl. 0,3</t>
  </si>
  <si>
    <t>Seng plat Bjls 30 Lebar 90 x 180</t>
  </si>
  <si>
    <t>Seng talang Bjls 30 lebar 0,60</t>
  </si>
  <si>
    <t>Teakwood 4 mm ( 1,20 x 240 )</t>
  </si>
  <si>
    <t>Teakwood 3 mm ( 1,20 x 2,40 )</t>
  </si>
  <si>
    <t>Triplex 2.7 mm (1.2 x 2.4 ) Kruing</t>
  </si>
  <si>
    <t>Triplex 2.7 mm (1.2 x 2.4 ) Sengon</t>
  </si>
  <si>
    <t>Triplex 4 mm (1.2 x 2.4 ) Kruing</t>
  </si>
  <si>
    <t>Triplex 4 mm (1.2 x 2.4 ) Sengon</t>
  </si>
  <si>
    <t>Wallpaper lebar 50 cm</t>
  </si>
  <si>
    <t>I</t>
  </si>
  <si>
    <t>Ass. Driller</t>
  </si>
  <si>
    <t>Crew Drilling</t>
  </si>
  <si>
    <t>Driller</t>
  </si>
  <si>
    <t>Pembantu Sopir</t>
  </si>
  <si>
    <t>II</t>
  </si>
  <si>
    <t>Aspal Curah</t>
  </si>
  <si>
    <t>Aspal Pen. 60/70 (kemasan drum)</t>
  </si>
  <si>
    <t>Automatic Water Level</t>
  </si>
  <si>
    <t>Seng Glmbg.BJLS-0,3 ( 0,9 m x 1,8 m)</t>
  </si>
  <si>
    <t>Seng Glmbg.BJLS-0,3 ( 0,9 m x 2,1 m )</t>
  </si>
  <si>
    <t>Seng Plat BJLS-0,3 ( 0.9 m x 1,8 m )</t>
  </si>
  <si>
    <t>pak</t>
  </si>
  <si>
    <t>Panel control lengkap</t>
  </si>
  <si>
    <t>JUMLAH</t>
  </si>
  <si>
    <t>Masinis/Operator</t>
  </si>
  <si>
    <t>Pembantu Masinis/Operator</t>
  </si>
  <si>
    <t>Mekanik Terlatih</t>
  </si>
  <si>
    <t xml:space="preserve">Batu candi </t>
  </si>
  <si>
    <t>Kawat bronjong</t>
  </si>
  <si>
    <t>Genteng glasur jatiwangi</t>
  </si>
  <si>
    <t>Genteng glasur kebumen</t>
  </si>
  <si>
    <t>Genteng keramik</t>
  </si>
  <si>
    <t>Genteng kerpus keramik</t>
  </si>
  <si>
    <t>Asbes bubungan gelombang</t>
  </si>
  <si>
    <t>Atap galvalum rangka baja ringan</t>
  </si>
  <si>
    <t xml:space="preserve">Porselin 11 x 11 </t>
  </si>
  <si>
    <t>Lampu TL 20 watt komplit</t>
  </si>
  <si>
    <t>Pipa galvanis Ø 1,5 " / 6 m. t= 2,5 mm</t>
  </si>
  <si>
    <t>Nomen Klatur</t>
  </si>
  <si>
    <t xml:space="preserve">Kayu begesting 5/7 </t>
  </si>
  <si>
    <t>Kayu papan sengon 3/20</t>
  </si>
  <si>
    <t>Ram pintu 5 x 2,5 cm</t>
  </si>
  <si>
    <t>Kaca es tebal 5 mm</t>
  </si>
  <si>
    <t>Profil allumunium</t>
  </si>
  <si>
    <t>Aksesoris 10% bahan</t>
  </si>
  <si>
    <t>Kaca bening tebal 5 mm</t>
  </si>
  <si>
    <t>Engsel pintu biasa</t>
  </si>
  <si>
    <t>Engsel pintu sedang</t>
  </si>
  <si>
    <t>Engsel pintu super</t>
  </si>
  <si>
    <t>Engsel jendela biasa</t>
  </si>
  <si>
    <t>Engsel jendela sedang</t>
  </si>
  <si>
    <t>Engsel jendela super</t>
  </si>
  <si>
    <t>Sponengan</t>
  </si>
  <si>
    <t>Granit warna muda</t>
  </si>
  <si>
    <t>Keramik dind. 30/60</t>
  </si>
  <si>
    <t>Sewa brak direksi keet</t>
  </si>
  <si>
    <t>Reyling tangga "stainlees" tinggi 1 m'</t>
  </si>
  <si>
    <t>Ubin Keramik dof</t>
  </si>
  <si>
    <t xml:space="preserve">Grill besi beton </t>
  </si>
  <si>
    <t>Coating batu alam</t>
  </si>
  <si>
    <t>Memasang lampu downlight SL 18 Watt</t>
  </si>
  <si>
    <t xml:space="preserve">Waterproofing atap dak </t>
  </si>
  <si>
    <t>Pasang atap Multiroof( 0.3mm)</t>
  </si>
  <si>
    <t>Sparingan Instalasi Listrik (Pipa 5/8", kabel NYM 2x2,5, T dus, Over Dus, dll</t>
  </si>
  <si>
    <t>Instalasi jaringan AC</t>
  </si>
  <si>
    <t>Kaca framelist 8 mm</t>
  </si>
  <si>
    <t>Genteng kerpus keramik setara M-Class</t>
  </si>
  <si>
    <t>Keramik stepnose 10x60</t>
  </si>
  <si>
    <t xml:space="preserve">DAFTAR HARGA SATUAN UPAH TENAGA DAN BAHAN BANGUNAN </t>
  </si>
  <si>
    <t>Pasang listrik baru 22000 watt</t>
  </si>
  <si>
    <t>Stamper</t>
  </si>
  <si>
    <t>Daftar harga</t>
  </si>
  <si>
    <t>Pasang rangka atap baja ringan</t>
  </si>
  <si>
    <t>Peralatan</t>
  </si>
  <si>
    <t>A</t>
  </si>
  <si>
    <t>B</t>
  </si>
  <si>
    <t>C</t>
  </si>
  <si>
    <t>D</t>
  </si>
  <si>
    <t>E</t>
  </si>
  <si>
    <t>Tanah urug pilihan</t>
  </si>
  <si>
    <t>Urug tanah padat</t>
  </si>
  <si>
    <t>Geologis</t>
  </si>
  <si>
    <t>Olie mesin</t>
  </si>
  <si>
    <t>Depresiasi mesin / rig</t>
  </si>
  <si>
    <t>hr</t>
  </si>
  <si>
    <t>Sewa + transportasi alat Resistivity meter / loger</t>
  </si>
  <si>
    <t>Operator pompa</t>
  </si>
  <si>
    <t>Alat tulis</t>
  </si>
  <si>
    <t>Depresiasi mesin kompresor</t>
  </si>
  <si>
    <t>Shield tape / packing</t>
  </si>
  <si>
    <t>Pemasangan / Pengelasan</t>
  </si>
  <si>
    <t>Cat besi</t>
  </si>
  <si>
    <t>Check Valve Ø 1.5"</t>
  </si>
  <si>
    <t>Biaya Penyambungan ( BP )</t>
  </si>
  <si>
    <t>Materai</t>
  </si>
  <si>
    <t>Paket AKLI</t>
  </si>
  <si>
    <t>Material SR</t>
  </si>
  <si>
    <t>Material pelengkap</t>
  </si>
  <si>
    <t>Jasa BTL / Administrasi</t>
  </si>
  <si>
    <t>Assisten Driller</t>
  </si>
  <si>
    <t>Koordinator logging</t>
  </si>
  <si>
    <t>Olie hydroulik</t>
  </si>
  <si>
    <t>Pipa PVC S. 12.50 Ø 1 1/2"</t>
  </si>
  <si>
    <t>Gravel pack Ø 0,5 - 1,5 cm</t>
  </si>
  <si>
    <t>Pengadaan kertas, pena dan tinta logging</t>
  </si>
  <si>
    <t>Pompa submersible Q 2 lt/dt H = 70 m</t>
  </si>
  <si>
    <t>Flang steel Ø 2"</t>
  </si>
  <si>
    <t>Kabel power</t>
  </si>
  <si>
    <t>Seling pengaman</t>
  </si>
  <si>
    <t>Pipa PVC  S. 16 Ø 2" - 6 m</t>
  </si>
  <si>
    <t>Pipa PVC S. 16 Ø 4" - 6 m</t>
  </si>
  <si>
    <t>Kran tipe handle Ø 3/4"</t>
  </si>
  <si>
    <t>Knie galvanis Ø 2" - 90º dan 45º</t>
  </si>
  <si>
    <t>Pemasangan tiang listrik komplit</t>
  </si>
  <si>
    <t>Besi profil siku</t>
  </si>
  <si>
    <t>Baut baja</t>
  </si>
  <si>
    <t>Biaya Uang Jaminan Langganan (UJL)</t>
  </si>
  <si>
    <t>unit/hari</t>
  </si>
  <si>
    <t xml:space="preserve">Jumlah harga tenaga, bahan dan peralatan </t>
  </si>
  <si>
    <t>( A + B + C )</t>
  </si>
  <si>
    <t>Overhead &amp; profit</t>
  </si>
  <si>
    <t>F</t>
  </si>
  <si>
    <t>Alat-alat kerja</t>
  </si>
  <si>
    <t>Alat bantu</t>
  </si>
  <si>
    <t>Chainsaw</t>
  </si>
  <si>
    <t>Jack hammer</t>
  </si>
  <si>
    <t>Mesin las listrik 250 A diesel</t>
  </si>
  <si>
    <t>Mesin potong besi</t>
  </si>
  <si>
    <t>Molen 0,35 m3</t>
  </si>
  <si>
    <t xml:space="preserve">sewa/hari </t>
  </si>
  <si>
    <t>Memasang pondasi batu belah, campuran 1 PC : 6 PP</t>
  </si>
  <si>
    <t>Memasang pondasi batu belah, campuran 1 PC : 8 PP</t>
  </si>
  <si>
    <t>Membuat dinding bata merah tebal 1 bata , camp 1 PC : 5 PP</t>
  </si>
  <si>
    <t>Membuat dinding bata merah tebal 1/2 bata , camp 1 PC : 6 PP</t>
  </si>
  <si>
    <t>Memasang list plafond gypsum profil</t>
  </si>
  <si>
    <t xml:space="preserve">( D + E )  </t>
  </si>
  <si>
    <t>No</t>
  </si>
  <si>
    <t>Batu pecah 2/3 cm (split), cruser</t>
  </si>
  <si>
    <t>Batu pecah 3/5 cm, manual</t>
  </si>
  <si>
    <t>Batu pecah 5/7 cm, manual</t>
  </si>
  <si>
    <t>Batu pecah 10/15 cm, manual</t>
  </si>
  <si>
    <t>Batu pecah 15/20 cm, manual</t>
  </si>
  <si>
    <t>Batu pecah ½/1 cm, cruser</t>
  </si>
  <si>
    <t>Batu pecah 1/2 cm, cruser</t>
  </si>
  <si>
    <t>Aluminium strip</t>
  </si>
  <si>
    <t>Baja konstruksi</t>
  </si>
  <si>
    <t>roll</t>
  </si>
  <si>
    <t>Keramik 30 x 30 polos</t>
  </si>
  <si>
    <t>Lem wallpaper</t>
  </si>
  <si>
    <t xml:space="preserve">Multiplex 8 mm </t>
  </si>
  <si>
    <t>Pagar BRC ( ting. 0,9 m x pj. 2,4 m x d. 6 mm )</t>
  </si>
  <si>
    <t xml:space="preserve">Plint granit 10 x 30 cm </t>
  </si>
  <si>
    <t>Plint granit 10 x 40 cm</t>
  </si>
  <si>
    <t>Pompa Submersible 2 pk, Q = 2 lt, H = 70 m</t>
  </si>
  <si>
    <t>Roaster beton</t>
  </si>
  <si>
    <t>Kawat bendrat</t>
  </si>
  <si>
    <t>Pipa PVC Ø ½" / 4 m AW</t>
  </si>
  <si>
    <t>Pipa PVC Ø ¾" / 4 m  AW</t>
  </si>
  <si>
    <t>Buis beton Ø 80 cm, pj. 50 cm</t>
  </si>
  <si>
    <t>Buis beton Ø 100 cm, pj. 50 cm</t>
  </si>
  <si>
    <t>( A + B )</t>
  </si>
  <si>
    <t xml:space="preserve">( C + D )  </t>
  </si>
  <si>
    <t>Skrup fisher</t>
  </si>
  <si>
    <t>=</t>
  </si>
  <si>
    <t>/</t>
  </si>
  <si>
    <t>G</t>
  </si>
  <si>
    <t>H</t>
  </si>
  <si>
    <t>Depresiasi mesin</t>
  </si>
  <si>
    <t xml:space="preserve">Menggali tanah biasa sedalam 1 m' </t>
  </si>
  <si>
    <t>Seng gelombang ( 90 x 180 ) tbl. 0,3</t>
  </si>
  <si>
    <t>Marmer Tulung Agung 40 x 40 cm</t>
  </si>
  <si>
    <t>Marmer Tulung Agung 60 x 60 cm</t>
  </si>
  <si>
    <t>Plint Granit 10 x 20 cm</t>
  </si>
  <si>
    <t>Stop kontak digital</t>
  </si>
  <si>
    <t>Stop kontak analog</t>
  </si>
  <si>
    <t>Data Gambar Teknik</t>
  </si>
  <si>
    <t>Panel control pompa 1 phase</t>
  </si>
  <si>
    <t>Batu andesit</t>
  </si>
  <si>
    <t>Paku pancing</t>
  </si>
  <si>
    <t>Bubungan Galvalum</t>
  </si>
  <si>
    <t>MCB</t>
  </si>
  <si>
    <t>Down light 4"</t>
  </si>
  <si>
    <t>MCB 32 Amper</t>
  </si>
  <si>
    <t>Kepala tukang</t>
  </si>
  <si>
    <t>Jet sower</t>
  </si>
  <si>
    <t>Shower</t>
  </si>
  <si>
    <t>Stop kran kuningan 3/4"</t>
  </si>
  <si>
    <t>An. Dihitung</t>
  </si>
  <si>
    <t>Langit-2 akustik 30/30</t>
  </si>
  <si>
    <t>Langit-2 akustik 30/60</t>
  </si>
  <si>
    <t>Langit-2 akustik 60/120</t>
  </si>
  <si>
    <t>Seng Plat, lb. 45 cm</t>
  </si>
  <si>
    <t>Ubin abu-abu 40/40</t>
  </si>
  <si>
    <t>Ubin abu-abu 30/30</t>
  </si>
  <si>
    <t>Ubin abu-abu 20/20</t>
  </si>
  <si>
    <t>Ubin Granit 30/30</t>
  </si>
  <si>
    <t>Ubin Teralux kerang 40/40</t>
  </si>
  <si>
    <t>Ubin Teralux kerang 30/30</t>
  </si>
  <si>
    <t xml:space="preserve">Marmer Tulung Agung 30 x 30 cm </t>
  </si>
  <si>
    <t>Marmer Tulung Agung 100 x 100 cm</t>
  </si>
  <si>
    <t>Kayu sirap jati hutan</t>
  </si>
  <si>
    <t>Roaster kayu jati</t>
  </si>
  <si>
    <t>Minyak premium</t>
  </si>
  <si>
    <t>Minyak pertamax</t>
  </si>
  <si>
    <t>Minyak bensin non subsidi</t>
  </si>
  <si>
    <t>Check valve Ø 1.5"</t>
  </si>
  <si>
    <t xml:space="preserve">Kayu list profil </t>
  </si>
  <si>
    <t>Pipa PVC S. 12.50 Ø 2"</t>
  </si>
  <si>
    <t>Lem kuning putih (ex. Fox)</t>
  </si>
  <si>
    <t>Pembersihan lapangan dan perataan</t>
  </si>
  <si>
    <t>A.2.2.1.9.</t>
  </si>
  <si>
    <t>A.2.2.1.4.</t>
  </si>
  <si>
    <t>Menggali tanah biasa sedalam 2 m'</t>
  </si>
  <si>
    <t>A.2.3.1.9.</t>
  </si>
  <si>
    <t>A.2.3.1.10.</t>
  </si>
  <si>
    <t>A.3.2.1.4.</t>
  </si>
  <si>
    <t>A.3.2.1.5.</t>
  </si>
  <si>
    <t>A.4.1.1.1.</t>
  </si>
  <si>
    <t>A.4.1.1.8.</t>
  </si>
  <si>
    <t>A.4.1.1.17.</t>
  </si>
  <si>
    <t>A.4.2.1.11.</t>
  </si>
  <si>
    <t>A.4.4.1.12.</t>
  </si>
  <si>
    <t>A.4.4.2.5.</t>
  </si>
  <si>
    <t>A.4.4.2.27.</t>
  </si>
  <si>
    <t>A.4.4.3.35.</t>
  </si>
  <si>
    <t>A.4.4.3.58b.</t>
  </si>
  <si>
    <t>Assesoris</t>
  </si>
  <si>
    <t>(perkuatan, las, dll)</t>
  </si>
  <si>
    <t>A.4.5.2.39a.</t>
  </si>
  <si>
    <t>A.4.6.2.17.</t>
  </si>
  <si>
    <t>PEKERJAAN PENGECATAN</t>
  </si>
  <si>
    <t>Vernis</t>
  </si>
  <si>
    <t>A.4.7.1.10.</t>
  </si>
  <si>
    <t>A.4.7.1.10a.</t>
  </si>
  <si>
    <t>A.4.2.1.20.</t>
  </si>
  <si>
    <t>A.5.1.1.1.</t>
  </si>
  <si>
    <t>A.5.1.1.26.</t>
  </si>
  <si>
    <t>A.5.1.1.31.</t>
  </si>
  <si>
    <t>A.5.1.1.32.</t>
  </si>
  <si>
    <t>A.5.1.1.19.</t>
  </si>
  <si>
    <t>A.5.1.1.12.</t>
  </si>
  <si>
    <t>A.4.1.1.20.</t>
  </si>
  <si>
    <t>A.5.1.1.2.</t>
  </si>
  <si>
    <t>A.5.1.1.5.</t>
  </si>
  <si>
    <t>Kloset jongkok</t>
  </si>
  <si>
    <t>A.5.1.1.14.</t>
  </si>
  <si>
    <t>Floor drain</t>
  </si>
  <si>
    <t>Wasbak (bak cuci) stainless</t>
  </si>
  <si>
    <t>Residu / ter</t>
  </si>
  <si>
    <t>Fitting</t>
  </si>
  <si>
    <t>Memasang rk. plafond besi hollow uk. (60x80) cm</t>
  </si>
  <si>
    <t>URAIAN PEKERJAAN</t>
  </si>
  <si>
    <t>Pasang bubungan Multiroof</t>
  </si>
  <si>
    <t>Memasang langit-langit gypsum board uk. (120x240), tb. 9 mm.</t>
  </si>
  <si>
    <t>A.4.5.1.7.</t>
  </si>
  <si>
    <t>Atap kerpus onduline</t>
  </si>
  <si>
    <t>Paku sekrup onduline</t>
  </si>
  <si>
    <t>Tandon air stainless 1 m3</t>
  </si>
  <si>
    <t>http://tanggobangunan.blogspot.com/2010/01/daftar-harga-terbaru-material-tanggo.html</t>
  </si>
  <si>
    <t>Profil aluminium</t>
  </si>
  <si>
    <t>http://hargabahanbangunan.net/harga-kusen-aluminium-terbaru/</t>
  </si>
  <si>
    <t>Keramik 30 x 30 eksterior texture</t>
  </si>
  <si>
    <t>Keramik 40 x 40 eksterior texture</t>
  </si>
  <si>
    <t>Pemasangan pagar besi hollow</t>
  </si>
  <si>
    <t>Pemasangan pintu pagar besi stainless</t>
  </si>
  <si>
    <t>Pemasangan pagar besi stainless bulat</t>
  </si>
  <si>
    <t>Pemasangan pagar besi stainless kotak</t>
  </si>
  <si>
    <t>Pemasangan pagar besi stainless &amp; plat</t>
  </si>
  <si>
    <t>Pemasangan pagar besi dan cat</t>
  </si>
  <si>
    <t>Pemasangan pintu besi dan cat</t>
  </si>
  <si>
    <t>Penebangan pohon</t>
  </si>
  <si>
    <t>Pemasangan pintu pagar besi hollow</t>
  </si>
  <si>
    <t>-</t>
  </si>
  <si>
    <t>Keramik exterioir texture</t>
  </si>
  <si>
    <t>X</t>
  </si>
  <si>
    <t>A.4.4.3.28.a.</t>
  </si>
  <si>
    <t>Profil alumunium</t>
  </si>
  <si>
    <t>Plint keramik 10 x 30 cm</t>
  </si>
  <si>
    <t>Membuat dinding bt. merah t: 1/2bata, camp 1PC:8PP</t>
  </si>
  <si>
    <t>Roaster keramik uk. 30x30</t>
  </si>
  <si>
    <t>Roster tanah/genting</t>
  </si>
  <si>
    <t>Memasang 1 m' "step nose" uk. (10x40) cm</t>
  </si>
  <si>
    <t xml:space="preserve">Keramik 10 x 40 cm stepnose </t>
  </si>
  <si>
    <t>Portland Cement (PC)  40 Kg</t>
  </si>
  <si>
    <t>Pasang listrik baru 2200 watt</t>
  </si>
  <si>
    <t>Pintu KM/WC PVC</t>
  </si>
  <si>
    <t>NAMA BAHAN</t>
  </si>
  <si>
    <t>Keramik 20x25 (dinding)</t>
  </si>
  <si>
    <t>Keramik 40x40 (Platinum)</t>
  </si>
  <si>
    <t xml:space="preserve">Keramik 20x20 </t>
  </si>
  <si>
    <t>Pasang tempat sabun tanam keramik</t>
  </si>
  <si>
    <t>Atap galvalum t:0,3</t>
  </si>
  <si>
    <t>Tukang pipa/pompa</t>
  </si>
  <si>
    <t>Pasang glass block</t>
  </si>
  <si>
    <t>A.4.1.1.24</t>
  </si>
  <si>
    <t>http://www.rumahmaterial.com/2015/09/analisa-harga-paving-block-kansteen.html</t>
  </si>
  <si>
    <t>biasa</t>
  </si>
  <si>
    <t>sedang</t>
  </si>
  <si>
    <t>Pasang talang U PVC</t>
  </si>
  <si>
    <t>Pasir sirtu lokal</t>
  </si>
  <si>
    <t>A.5.1.1.29.</t>
  </si>
  <si>
    <t>A.5.1.1.30.</t>
  </si>
  <si>
    <t>Memasang pipa PVC tipe AW diameter 2,5"</t>
  </si>
  <si>
    <t>Pipa PVC 2,5"</t>
  </si>
  <si>
    <t>Pipa PVC Ø 2,5" / 4 m AW</t>
  </si>
  <si>
    <t xml:space="preserve">Hollow 3,8/3,8 </t>
  </si>
  <si>
    <t xml:space="preserve">MCB Box </t>
  </si>
  <si>
    <t>Multiplek 8 mm</t>
  </si>
  <si>
    <t>Atap galvalum dan laminasi</t>
  </si>
  <si>
    <t>Atap onduline (2x0,95)</t>
  </si>
  <si>
    <t>Atap multiroof pasir</t>
  </si>
  <si>
    <t>Atap multiroof bubungan</t>
  </si>
  <si>
    <t>Atap polycarbonat</t>
  </si>
  <si>
    <t>Atap Polycarbonat rangka besi tempa</t>
  </si>
  <si>
    <t>Batu apung/kambang</t>
  </si>
  <si>
    <t>Besi Hollow 1,8/3,8 cm t:0,3</t>
  </si>
  <si>
    <t>Besi Hollow 3,8/3,8 cm t:0,3</t>
  </si>
  <si>
    <t>Besi Hollow galvanis 1,8/3,8 cm t:0,3</t>
  </si>
  <si>
    <t>Besi Hollow galvanis 3,8/3,8 cm t:0,3</t>
  </si>
  <si>
    <t xml:space="preserve">Besi teralis strip plat </t>
  </si>
  <si>
    <t>Besi Wire Mesh M 5 (4,5 mm) uk. 2,1 x 5,4</t>
  </si>
  <si>
    <t>Besi Wire Mesh M 6 (5,2 mm) uk. 2,1 x 5,4</t>
  </si>
  <si>
    <t>Besi Wire Mesh M 6 (5,5 mm) uk. 2,1 x 5,4</t>
  </si>
  <si>
    <t>Besi Wire Mesh M 6 (5,6 mm) uk. 2,1 x 5,4</t>
  </si>
  <si>
    <t>Besi Wire Mesh M 7 (6,5 mm) uk. 2,1 x 5,4</t>
  </si>
  <si>
    <t>Besi Wire Mesh M 8 (7,2 mm) uk. 2,1 x 5,4</t>
  </si>
  <si>
    <t>Besi Wire Mesh M 8 (7,5 mm) uk. 2,1 x 5,4</t>
  </si>
  <si>
    <t>Besi Wire Mesh M 8 (7,6 mm) uk. 2,1 x 5,4</t>
  </si>
  <si>
    <t>Besi Wire Mesh M 10 (9,5 mm) uk. 2,1 x 5,4</t>
  </si>
  <si>
    <t>Besi Wire Mesh M 12 (11,5 mm) uk. 2,1 x 5,4</t>
  </si>
  <si>
    <t>Closet duduk ex. INA/American Standard</t>
  </si>
  <si>
    <t>Closet duduk ex. Toto</t>
  </si>
  <si>
    <t>Closet duduk monoblock</t>
  </si>
  <si>
    <t>Closet jongkok keramik</t>
  </si>
  <si>
    <t>Closet jongkok ex. INA/American Standard</t>
  </si>
  <si>
    <t>Genting beton standard</t>
  </si>
  <si>
    <t>Genting kerpus beton</t>
  </si>
  <si>
    <t>Glass Block 20x20</t>
  </si>
  <si>
    <t>Glass Block 30x30</t>
  </si>
  <si>
    <t>Granit tile 40 x 40 cm Warna tua</t>
  </si>
  <si>
    <t>Granit tile 40 x 40 cm Warna muda</t>
  </si>
  <si>
    <t>Granit tile 60 x 60 cm Warna tua</t>
  </si>
  <si>
    <t>Granit tile 60 x 60 cm Warna muda</t>
  </si>
  <si>
    <t>Granit tile 80 x 80 cm Warna tua</t>
  </si>
  <si>
    <t>Granit tile 80 x 80 cm Warna muda</t>
  </si>
  <si>
    <t>Granit tile 100 x 100 cm Warna tua</t>
  </si>
  <si>
    <t>Granit tile 100 x 100 cm Warna muda</t>
  </si>
  <si>
    <t>Granit/ubin 100 x 100 (batu granit)</t>
  </si>
  <si>
    <t>Grosok 2/3</t>
  </si>
  <si>
    <t>Gypsum board (120 x 240 cm) t: 6.5 mm</t>
  </si>
  <si>
    <t>Gypsum board (120 x 240 cm) t: 9 mm</t>
  </si>
  <si>
    <t>GRC (120 x 240 cm) t: 5 mm</t>
  </si>
  <si>
    <t>Harplex 3 mm (1,00 x 1,00)</t>
  </si>
  <si>
    <t>Hospital plint fiber</t>
  </si>
  <si>
    <t>Hospital plint keramik</t>
  </si>
  <si>
    <t>Kaca aluminium profil</t>
  </si>
  <si>
    <t>Kaca aluminium patri</t>
  </si>
  <si>
    <t>Kaca bening 6 cm</t>
  </si>
  <si>
    <t>Kaca tempered 12 mm + komplit</t>
  </si>
  <si>
    <t>Kanstein beton (0,15x0,4x0,6)</t>
  </si>
  <si>
    <t>Batu berongga ekspos</t>
  </si>
  <si>
    <t>Kayu begesteng steiger/dolken 4 M'</t>
  </si>
  <si>
    <t>Kayu jati lokal untuk rangka atap</t>
  </si>
  <si>
    <t>Kayu perancah/sengon</t>
  </si>
  <si>
    <t>Keramik 30 x 60 cm dinding</t>
  </si>
  <si>
    <t xml:space="preserve">Keramik 30 x 30 warna motif </t>
  </si>
  <si>
    <t>Keramik kayu</t>
  </si>
  <si>
    <t>Kusen aluminium coklat 4"</t>
  </si>
  <si>
    <t>Kusen aluminium coklat 3"</t>
  </si>
  <si>
    <t>Kusen aluminium motif kayu 4"</t>
  </si>
  <si>
    <t>Kusen aluminium putih 4"</t>
  </si>
  <si>
    <t>Kusen aluminium silver 4"</t>
  </si>
  <si>
    <t>Kusen aluminium silver 3"</t>
  </si>
  <si>
    <t xml:space="preserve">Marmer ex. import </t>
  </si>
  <si>
    <t xml:space="preserve">Marmer ex. import Italy </t>
  </si>
  <si>
    <t>Paku sekrup fisher/dynebolt/ramset</t>
  </si>
  <si>
    <t>Pasir sirtu woro</t>
  </si>
  <si>
    <t>Paving 6 cm (kotak)</t>
  </si>
  <si>
    <t>Paving 6 cm (segi enam)</t>
  </si>
  <si>
    <t>Paving 6 cm K.175 (abu-abu)</t>
  </si>
  <si>
    <t>Paving 6 cm K.175 (warna)</t>
  </si>
  <si>
    <t>Paving 8 cm K.225</t>
  </si>
  <si>
    <t>Paving 8 cm K.175 (abu-abu)</t>
  </si>
  <si>
    <t>Paving 8 cm K.250 (abu-abu)</t>
  </si>
  <si>
    <t>Paving 8 cm K.300 (abu-abu)</t>
  </si>
  <si>
    <t>Paving 8 cm K.300 (warna)</t>
  </si>
  <si>
    <t>Paving 6 cm K. 225</t>
  </si>
  <si>
    <t>Paving 8 cm K. 225</t>
  </si>
  <si>
    <t>Paving 6 cm K.250 (abu-abu)</t>
  </si>
  <si>
    <t xml:space="preserve">Paving 6 cm K.250 (warna) </t>
  </si>
  <si>
    <t xml:space="preserve">Paving 8 cm K.250 (warna) </t>
  </si>
  <si>
    <t>Paving 6 cm K.250 (warna)</t>
  </si>
  <si>
    <t>Plint Granit 10 x 60 cm</t>
  </si>
  <si>
    <t>Tandon air 1000 lt (fiber)</t>
  </si>
  <si>
    <t>Tandon air 1000 lt (stainless)</t>
  </si>
  <si>
    <t>Paving Difabel</t>
  </si>
  <si>
    <t>Paving Grass Block</t>
  </si>
  <si>
    <t>NIP. 19600323 198703 1 007</t>
  </si>
  <si>
    <t>Masinis/operator</t>
  </si>
  <si>
    <t>Mekanik welder</t>
  </si>
  <si>
    <t>Operator semi terlatih/stoker</t>
  </si>
  <si>
    <t>Pembantu geologis</t>
  </si>
  <si>
    <t>Pembantu masinis/operator</t>
  </si>
  <si>
    <t>Pembantu mekanik</t>
  </si>
  <si>
    <t>Pembantu sopir</t>
  </si>
  <si>
    <t>Penjaga malam</t>
  </si>
  <si>
    <t>Aspal curah</t>
  </si>
  <si>
    <t>Aspal pen. 60/70 (kemasan drum)</t>
  </si>
  <si>
    <t>Atap galvalum &amp; laminasi</t>
  </si>
  <si>
    <t>Dempul jadi/Wood Filler</t>
  </si>
  <si>
    <t>Fiberglass (bak air) 0,50 m3</t>
  </si>
  <si>
    <t>Fiberglass (bak air) 1,00 m3</t>
  </si>
  <si>
    <t>Genteng ex. Mojolaban/Mantili</t>
  </si>
  <si>
    <t>Genteng kerpus ex. Mojolaban</t>
  </si>
  <si>
    <t>Grease (paselin)</t>
  </si>
  <si>
    <t>HB. 20</t>
  </si>
  <si>
    <t>Kawat las listrik (lastok)</t>
  </si>
  <si>
    <t>Kawur/kapur Pasang</t>
  </si>
  <si>
    <t xml:space="preserve">Kayu jati hutan untuk Rangka Atap </t>
  </si>
  <si>
    <t>MCB 32 amper</t>
  </si>
  <si>
    <t>MCB Box</t>
  </si>
  <si>
    <t>Pagar BRC (ting. 0,9 m x pj. 2,4 m x d. 6 mm )</t>
  </si>
  <si>
    <t>Pasir beton woro</t>
  </si>
  <si>
    <t xml:space="preserve">Ram </t>
  </si>
  <si>
    <t>Residu/ter</t>
  </si>
  <si>
    <t>Rolling door aluminium</t>
  </si>
  <si>
    <t>Roster beton</t>
  </si>
  <si>
    <t>Roster kayu jati</t>
  </si>
  <si>
    <t>Roster keramik uk. 30x30</t>
  </si>
  <si>
    <t>Seng Talang Bjls 0.3 lebar 0,60</t>
  </si>
  <si>
    <t>Seng Talang Bjls 0.3 lebar 0,90</t>
  </si>
  <si>
    <t>C.  BAHAN PINTU PENGAIRAN</t>
  </si>
  <si>
    <t>Plat daun pintu t: 8 mm</t>
  </si>
  <si>
    <t>Drat ulir  Ø 1 ½"</t>
  </si>
  <si>
    <t>Drat ulir Ø 2"</t>
  </si>
  <si>
    <t>Siku L 70.70.3</t>
  </si>
  <si>
    <t>Anting baja</t>
  </si>
  <si>
    <t>Stang pintu</t>
  </si>
  <si>
    <t>Stang pemutar</t>
  </si>
  <si>
    <t>Baut anting</t>
  </si>
  <si>
    <t>Baut anting Ø ¾"</t>
  </si>
  <si>
    <t>Baut penguat anting</t>
  </si>
  <si>
    <t>Peluncur stanlis (2,20 x 0,04 x 5 mm )</t>
  </si>
  <si>
    <t>Siku L ( 9 x 9 x 7 mm )</t>
  </si>
  <si>
    <t>Baja kerangka pintu ( 12 x 5 x 6 mm)</t>
  </si>
  <si>
    <t>Baja C 12 ( 12,8 , 5,2 , 5 mm)</t>
  </si>
  <si>
    <t>Plat block frame 120 x 240</t>
  </si>
  <si>
    <t>Siku pengait landasan ( 70 x 70 x 6 mm)</t>
  </si>
  <si>
    <t>Besi angkur Ø12</t>
  </si>
  <si>
    <t>Baut bingkai Ø12</t>
  </si>
  <si>
    <t>Mur baut Ø 12</t>
  </si>
  <si>
    <t>Mur kuningan Ø 3 "</t>
  </si>
  <si>
    <t>Mur kuningan Ø 2"</t>
  </si>
  <si>
    <t>Baut pengait landasan Ø 16</t>
  </si>
  <si>
    <t>Pengait box</t>
  </si>
  <si>
    <t>Baja Cu ( 70 x 200 x 70 )</t>
  </si>
  <si>
    <t>Plat blok 120 x 240</t>
  </si>
  <si>
    <t>Baut pesagen</t>
  </si>
  <si>
    <t>Dudukan kuningan</t>
  </si>
  <si>
    <t>Gigi kuningan</t>
  </si>
  <si>
    <t>Gigi stang</t>
  </si>
  <si>
    <t>Dudukan stang pemutar</t>
  </si>
  <si>
    <t>As pemutar</t>
  </si>
  <si>
    <t>Blok penyangga as</t>
  </si>
  <si>
    <t>Gigi nanas</t>
  </si>
  <si>
    <t>Tutup pengaman gigi</t>
  </si>
  <si>
    <t>Druk laker</t>
  </si>
  <si>
    <t>Plat box 15 x 20 cm</t>
  </si>
  <si>
    <t>Greese pelumas</t>
  </si>
  <si>
    <t>Gembok kunci pengaman</t>
  </si>
  <si>
    <t>Plat daun pintu t: 10 mm</t>
  </si>
  <si>
    <t>Stang pintu engkel</t>
  </si>
  <si>
    <t>Stang pintu doubel</t>
  </si>
  <si>
    <t>Gir piringan ø 40</t>
  </si>
  <si>
    <t>Gir piringan ø 50</t>
  </si>
  <si>
    <t>Drat ulir 1 1/2"</t>
  </si>
  <si>
    <t xml:space="preserve">Drat ulir 2" </t>
  </si>
  <si>
    <t>Drat ulir 3"</t>
  </si>
  <si>
    <t>Wortel mur ø 1 1/2"</t>
  </si>
  <si>
    <t>Wortel mur ø 2"</t>
  </si>
  <si>
    <t>Wortel mur ø 3"</t>
  </si>
  <si>
    <t>Wortel mur ø 4"</t>
  </si>
  <si>
    <t>Gigi nanas kecil</t>
  </si>
  <si>
    <t>Gigi nanas besar</t>
  </si>
  <si>
    <t>Drat ulir ø 4"</t>
  </si>
  <si>
    <t>Plat penutup gir</t>
  </si>
  <si>
    <t>Dudukan as pemutar gigi</t>
  </si>
  <si>
    <t>Kerangka pintu siku 60 x 60 x 6</t>
  </si>
  <si>
    <t>Kerangka pintu siku 80 x 80 x 8</t>
  </si>
  <si>
    <t>Kerangka pintu siku 90 x 90 x 9</t>
  </si>
  <si>
    <t>Kerangka pintu siku 70 x 70 x 10</t>
  </si>
  <si>
    <t>Kerangka atas canal U 10 x 10</t>
  </si>
  <si>
    <t>Kerangka bawah duobel siku</t>
  </si>
  <si>
    <t>Daftar Harga Pintu Sorong Baja</t>
  </si>
  <si>
    <t>B = 0,50 ; H1 = 0,50 ; H2 = 3,00</t>
  </si>
  <si>
    <t>B = 0,60 ; H1 = 0,60 ; H2 = 3,50</t>
  </si>
  <si>
    <t>B = 0,70 ; H1 = 0,70 ; H2 = 4,00</t>
  </si>
  <si>
    <t>B = 0,80 ; H1 = 0,80 ; H2 = 4,50</t>
  </si>
  <si>
    <t>B = 0,90 ; H1 = 0,90 ; H2 = 5,00</t>
  </si>
  <si>
    <t>Daftar Haraga Pintu Tarik</t>
  </si>
  <si>
    <t>B = 0,30 ; H1 = 0,30 ; H2 = 1,25</t>
  </si>
  <si>
    <t>B = 0,35 ; H1 = 0,35 ; H2 = 1,30</t>
  </si>
  <si>
    <t>B = 0,40 ; H1 = 0,40 ; H2 = 1,35</t>
  </si>
  <si>
    <t>Daftar Harga Pintu Drat Dobel Daun Besi</t>
  </si>
  <si>
    <t>B = 1,50 ; H1 = 1,50 ; H2 = 3,50</t>
  </si>
  <si>
    <t>B = 1,75 ; H1 = 1,50 ; H2 = 4,00</t>
  </si>
  <si>
    <t>B = 2,00 ; H1 = 2,00 ; H2 = 5,00</t>
  </si>
  <si>
    <t>B = 2,00 ; H1 = 1,50 ; H2 = 6,00</t>
  </si>
  <si>
    <t>Daftar Harga Pintu Daun Kayu Drat Dobel</t>
  </si>
  <si>
    <t>B = 1,00 ; H1 = 1,00 ; H2 = 3,00</t>
  </si>
  <si>
    <t>B = 2,00 ; H1 = 1,50 ; H2 = 4,00</t>
  </si>
  <si>
    <t>1.  .................................................</t>
  </si>
  <si>
    <t>ASIHNO PURWADI, ST.</t>
  </si>
  <si>
    <t>2.  .................................................</t>
  </si>
  <si>
    <t>NIP. 19720828 199803 1 016</t>
  </si>
  <si>
    <t>Kepala Bidang Cipta Karya</t>
  </si>
  <si>
    <t>3.  .................................................</t>
  </si>
  <si>
    <t>Kepala Bidang Bina Marga</t>
  </si>
  <si>
    <t>DARMANTO, ST., MM.</t>
  </si>
  <si>
    <t>4.  .................................................</t>
  </si>
  <si>
    <t>NIP. 19631108 198909 1 001</t>
  </si>
  <si>
    <t>Bidang Pengairan dan ESDM</t>
  </si>
  <si>
    <t>5.  .................................................</t>
  </si>
  <si>
    <t>NIP. 19630113 198808 1 001</t>
  </si>
  <si>
    <t>NIP. 19660923 198607 2 001</t>
  </si>
  <si>
    <t>DINAS PEKERJAAN UMUM DAN PENATAAN RUANG</t>
  </si>
  <si>
    <t>Grosok 2/3 cm</t>
  </si>
  <si>
    <t>Kapasitas Alat</t>
  </si>
  <si>
    <t>T/Jam</t>
  </si>
  <si>
    <t xml:space="preserve">-  </t>
  </si>
  <si>
    <t>Chain Saw</t>
  </si>
  <si>
    <t>Sekretaris DPUPR Kab. Karanganyar</t>
  </si>
  <si>
    <t>Kepala Bidang Tata Ruang dan Bina Konstruksi</t>
  </si>
  <si>
    <t>NIP. 19680626 199703 2 008</t>
  </si>
  <si>
    <t>Pengurugan kembali galian tanah</t>
  </si>
  <si>
    <t>A.3.2.1.9.</t>
  </si>
  <si>
    <t>A.4.1.1.22.</t>
  </si>
  <si>
    <t>A.4.1.1.23.</t>
  </si>
  <si>
    <t>A.4.1.1.35.</t>
  </si>
  <si>
    <t>A.4.1.1.36.</t>
  </si>
  <si>
    <t>doos</t>
  </si>
  <si>
    <t>Pipa listrik 5/8"</t>
  </si>
  <si>
    <t>T Dus</t>
  </si>
  <si>
    <t>L Bow</t>
  </si>
  <si>
    <t>Las Dop</t>
  </si>
  <si>
    <t>Klem</t>
  </si>
  <si>
    <t>Mongkok</t>
  </si>
  <si>
    <t xml:space="preserve">Memasang kusen pintu/jendela alluminium </t>
  </si>
  <si>
    <t>A.4.2.1.12.</t>
  </si>
  <si>
    <t>A.4.4.1.4.</t>
  </si>
  <si>
    <t>A.4.4.2.6.</t>
  </si>
  <si>
    <t>A.4.5.2.43.</t>
  </si>
  <si>
    <t>Bathcuip</t>
  </si>
  <si>
    <t>A.5.1.1.27.</t>
  </si>
  <si>
    <t>A.5.1.1.28.</t>
  </si>
  <si>
    <t>HB.10</t>
  </si>
  <si>
    <t>Batu teraso</t>
  </si>
  <si>
    <t>Venetions blinds dan vertical blinds (tirai)</t>
  </si>
  <si>
    <t>Kawat nyamuk</t>
  </si>
  <si>
    <t>Ubin warna 30/30</t>
  </si>
  <si>
    <t>Ubin warna 40/40</t>
  </si>
  <si>
    <t>Ubin warna 20/20</t>
  </si>
  <si>
    <t>Ubin teraso 40/40</t>
  </si>
  <si>
    <t>Ubin teraso 30/30</t>
  </si>
  <si>
    <t>Plint ubin abu-2 10/30</t>
  </si>
  <si>
    <t>Asbes gelombang (3 m x 1,08 m) x 6mm</t>
  </si>
  <si>
    <t>Bubung gelombang 1,08 m</t>
  </si>
  <si>
    <t>Pipa beton d. 15-20 cm</t>
  </si>
  <si>
    <t>PERHITUNGAN BESI</t>
  </si>
  <si>
    <t>Foot plat sap bawah tul tarik</t>
  </si>
  <si>
    <t>Tulangan geser/kuda"</t>
  </si>
  <si>
    <t>Foot plat sap atas/tul tekan</t>
  </si>
  <si>
    <t>Tul. utama Kolom</t>
  </si>
  <si>
    <t>Begel Kolom</t>
  </si>
  <si>
    <t>Tul. Sloof (balok D)</t>
  </si>
  <si>
    <t>Begel sloof</t>
  </si>
  <si>
    <t>Ring (balok C)</t>
  </si>
  <si>
    <t>Begel balok C</t>
  </si>
  <si>
    <t>Balok dak (balok B)</t>
  </si>
  <si>
    <t>Begel balok B</t>
  </si>
  <si>
    <t>Ring (balok A)</t>
  </si>
  <si>
    <t>Begel balok A</t>
  </si>
  <si>
    <t>Plat tutup sumur x</t>
  </si>
  <si>
    <t>y</t>
  </si>
  <si>
    <t>Plat dudukan stavol x</t>
  </si>
  <si>
    <t>Plat lt bak x</t>
  </si>
  <si>
    <t>tul tekan x</t>
  </si>
  <si>
    <t>tul tekan y</t>
  </si>
  <si>
    <t>Plat dinding bak tegak</t>
  </si>
  <si>
    <t>datar</t>
  </si>
  <si>
    <t>Plat penutup bak x</t>
  </si>
  <si>
    <t>Plat kantilever x</t>
  </si>
  <si>
    <t>Beton pondasi foot plat k225</t>
  </si>
  <si>
    <t>Kolom k 225</t>
  </si>
  <si>
    <t>Beton sloof k225</t>
  </si>
  <si>
    <t>Beton balok dan ring balk</t>
  </si>
  <si>
    <t>Plat dudukan stavol dan tutup sumur k225</t>
  </si>
  <si>
    <t>Plat tower k225</t>
  </si>
  <si>
    <t>PEKERJAAN</t>
  </si>
  <si>
    <t>J</t>
  </si>
  <si>
    <t>L</t>
  </si>
  <si>
    <t>P</t>
  </si>
  <si>
    <t>Y</t>
  </si>
  <si>
    <t>Z</t>
  </si>
  <si>
    <t>Unit</t>
  </si>
  <si>
    <t>IV</t>
  </si>
  <si>
    <t>V</t>
  </si>
  <si>
    <t>VI</t>
  </si>
  <si>
    <t>VII</t>
  </si>
  <si>
    <t>VIII</t>
  </si>
  <si>
    <t>XI</t>
  </si>
  <si>
    <t>Pekerjaan persiapan dan mobilisasi</t>
  </si>
  <si>
    <t>A.2.3.1.2.</t>
  </si>
  <si>
    <t>A.2.3.1.1.</t>
  </si>
  <si>
    <t>A.2.3.1.11.</t>
  </si>
  <si>
    <t>DAFTAR ANALISIS HARGA SATUAN PEKERJAAN</t>
  </si>
  <si>
    <t>PEDOMAN ANALISIS HARGA SATUAN PEKERJAAN BIDANG PEKERJAAN UMUM</t>
  </si>
  <si>
    <t>Klem sedel</t>
  </si>
  <si>
    <t>Meter air SR</t>
  </si>
  <si>
    <t>hari</t>
  </si>
  <si>
    <t>SUMBER DANA</t>
  </si>
  <si>
    <t>Sewa alat pemasangan pompa</t>
  </si>
  <si>
    <t>Pengait box / spacer begisting</t>
  </si>
  <si>
    <t>I.  HARGA UPAH</t>
  </si>
  <si>
    <t>0,5 m</t>
  </si>
  <si>
    <t>Batu andesit (20x20)</t>
  </si>
  <si>
    <t>BATA RINGAN</t>
  </si>
  <si>
    <t>Floor drain STAINLESS</t>
  </si>
  <si>
    <t>Stop kran KUNINGAN tipe handle Ø  1.5"</t>
  </si>
  <si>
    <t>Stop kran KUNINGAN tipe handle Ø 2"</t>
  </si>
  <si>
    <t>LBR</t>
  </si>
  <si>
    <t>Gir piringan ø 35</t>
  </si>
  <si>
    <t>As pemutar gigi ø 2"</t>
  </si>
  <si>
    <t>D.  HARGA SEWA ALAT BERAT BINA MARGA</t>
  </si>
  <si>
    <t>ASPHALT MIXING PLANT</t>
  </si>
  <si>
    <t>60 T/Jam</t>
  </si>
  <si>
    <t>ASPHALT FINISHER</t>
  </si>
  <si>
    <t>10 Ton</t>
  </si>
  <si>
    <t>ASPHALT SPRAYER</t>
  </si>
  <si>
    <t>850 Liter</t>
  </si>
  <si>
    <t>BULLDOZER 100-150 HP</t>
  </si>
  <si>
    <t>COMPRESSOR 4000-6500 L\M</t>
  </si>
  <si>
    <t>5000 CPM/(L/m)</t>
  </si>
  <si>
    <t>CONCRETE MIXER 0.3-0.6 M3</t>
  </si>
  <si>
    <t>500 Liter</t>
  </si>
  <si>
    <t>CRANE 10-15 TON</t>
  </si>
  <si>
    <t>15 Ton</t>
  </si>
  <si>
    <t>DUMP TRUCK 3.5 TON</t>
  </si>
  <si>
    <t>3,5 Ton</t>
  </si>
  <si>
    <t>DUMP TRUCK 10 TON</t>
  </si>
  <si>
    <t>EXCAVATOR 80-140 HP</t>
  </si>
  <si>
    <t>0,9 M3</t>
  </si>
  <si>
    <t>FLAT BED TRUCK 3-4 M3</t>
  </si>
  <si>
    <t>10 ton</t>
  </si>
  <si>
    <t>GENERATOR SET</t>
  </si>
  <si>
    <t>135 KVA</t>
  </si>
  <si>
    <t>MOTOR GRADER &gt;100 HP</t>
  </si>
  <si>
    <t>TRACK LOADER 75-100 HP</t>
  </si>
  <si>
    <t>0,8 M3</t>
  </si>
  <si>
    <t>WHEEL LOADER 1.0-1.6 M3</t>
  </si>
  <si>
    <t>1,5 M3</t>
  </si>
  <si>
    <t>THREE WHEEL ROLLER 6-8 T</t>
  </si>
  <si>
    <t>8,0 Ton</t>
  </si>
  <si>
    <t>TANDEM ROLLER 6-8 T.</t>
  </si>
  <si>
    <t>8,1 Ton</t>
  </si>
  <si>
    <t>TIRE ROLLER 8-10 T.</t>
  </si>
  <si>
    <t>9 Ton</t>
  </si>
  <si>
    <t>VIBRATORY ROLLER 5-8 T.</t>
  </si>
  <si>
    <t>7,1 Ton</t>
  </si>
  <si>
    <t>CONCRETE VIBRATOR</t>
  </si>
  <si>
    <t>25-</t>
  </si>
  <si>
    <t>STONE CRUSHER</t>
  </si>
  <si>
    <t>WATER PUMP 70-100 mm</t>
  </si>
  <si>
    <t>WATER TANKER 3000-4500 L.</t>
  </si>
  <si>
    <t>4000 Liter</t>
  </si>
  <si>
    <t>PEDESTRIAN ROLLER</t>
  </si>
  <si>
    <t>835 Ton</t>
  </si>
  <si>
    <t>TAMPER</t>
  </si>
  <si>
    <t>121 Ton</t>
  </si>
  <si>
    <t>JACK HAMMER</t>
  </si>
  <si>
    <t>FULVI MIXER</t>
  </si>
  <si>
    <t>CONCRETE PUMP</t>
  </si>
  <si>
    <t>8 M3</t>
  </si>
  <si>
    <t>TRAILER 20 TON</t>
  </si>
  <si>
    <t>20 Ton</t>
  </si>
  <si>
    <t>PILE DRIVER + HAMMER</t>
  </si>
  <si>
    <t>2,5 Ton</t>
  </si>
  <si>
    <t>CRANE ON TRACK 35 TON</t>
  </si>
  <si>
    <t>35 Ton</t>
  </si>
  <si>
    <t>WELDING SET</t>
  </si>
  <si>
    <t>250 Amp</t>
  </si>
  <si>
    <t>BORE PILE MACHINE</t>
  </si>
  <si>
    <t>2000 Meter</t>
  </si>
  <si>
    <t>ASPHALT LIQUID MIXER</t>
  </si>
  <si>
    <t>1000 Liter</t>
  </si>
  <si>
    <t>TRONTON</t>
  </si>
  <si>
    <t>ROCK DRILL BREAKER</t>
  </si>
  <si>
    <t>COLD MILLING</t>
  </si>
  <si>
    <t>1000 m</t>
  </si>
  <si>
    <t>COLD RECYCLER</t>
  </si>
  <si>
    <t>2,2 M</t>
  </si>
  <si>
    <t>HOT RECYCLER</t>
  </si>
  <si>
    <t>3 M</t>
  </si>
  <si>
    <t>AGGREGAT (CHIP) SPREADER</t>
  </si>
  <si>
    <t>3,5M</t>
  </si>
  <si>
    <t>ASPHALT DISTRIBUTOR</t>
  </si>
  <si>
    <t>SLIP FORM PAVER</t>
  </si>
  <si>
    <t>2,5 M</t>
  </si>
  <si>
    <t>CONCRETE PAN MIXER</t>
  </si>
  <si>
    <t>600 Liter</t>
  </si>
  <si>
    <t>CONCRETE BREAKER</t>
  </si>
  <si>
    <t>20 m3/jam</t>
  </si>
  <si>
    <t>ASPHALT TANKER</t>
  </si>
  <si>
    <t>4000 liter</t>
  </si>
  <si>
    <t>CEMENT TANKER</t>
  </si>
  <si>
    <t>CONCRETE MIXER (350)</t>
  </si>
  <si>
    <t>350 liter</t>
  </si>
  <si>
    <t>VIBRATING RAMMER</t>
  </si>
  <si>
    <t>80 KG</t>
  </si>
  <si>
    <t>TRUK MIXER (AGITATOR)</t>
  </si>
  <si>
    <t>5 M3</t>
  </si>
  <si>
    <t>60 CM</t>
  </si>
  <si>
    <t>CRANE ON TRACK 75-100 TON</t>
  </si>
  <si>
    <t>75 Ton</t>
  </si>
  <si>
    <t>BLENDING EQUIPMENT</t>
  </si>
  <si>
    <t>30 Ton</t>
  </si>
  <si>
    <t>20000 Liter</t>
  </si>
  <si>
    <t>Dongkrak</t>
  </si>
  <si>
    <t>Water Tanker Kap 15000-18000</t>
  </si>
  <si>
    <t>Vibrator Compactor</t>
  </si>
  <si>
    <t>Cement Spreader Truck</t>
  </si>
  <si>
    <t>Smooth Drum Vibratory Roller</t>
  </si>
  <si>
    <t>Padfoot Roller</t>
  </si>
  <si>
    <t>Kepala Dinas Pekerjaan Umum</t>
  </si>
  <si>
    <t>dan Penataan Ruang</t>
  </si>
  <si>
    <t>Kabupaten Karanganyar</t>
  </si>
  <si>
    <t>EDHY SRIYATNO, S.T.,M.T.</t>
  </si>
  <si>
    <t>Bata ringan</t>
  </si>
  <si>
    <t>An.Dihitung</t>
  </si>
  <si>
    <t>Double nepel</t>
  </si>
  <si>
    <t>Knee Ø 1.5"</t>
  </si>
  <si>
    <t>Flang steel Ø 1.5"</t>
  </si>
  <si>
    <t>V sock Ø 2" x Ø 1.5"</t>
  </si>
  <si>
    <t>Water mur Ø 1.5"</t>
  </si>
  <si>
    <t>USULAN HARGA SATUAN UPAH DAN BAHAN TAHUN 2019</t>
  </si>
  <si>
    <t>Wilayah 1 : Kecamatan Karanganyar, Tasikmadu, Jaten, Colomadu, Kebakkramat, Gondangrejo</t>
  </si>
  <si>
    <t>Wilayah 2 : Kecamatan Jumapolo, Jumantono, Jatipuro, Matesih, Karangpandan, Mojogendang, Kerjo, Ngargoyoso</t>
  </si>
  <si>
    <t>Wilayah 3 : Kecamatan Jenawi, Jatioso, Tawangmangu</t>
  </si>
  <si>
    <t>HARGA BUPATI 2019</t>
  </si>
  <si>
    <t>Rasionalisasi</t>
  </si>
  <si>
    <t>DPUPR</t>
  </si>
  <si>
    <t>Wilayah 1</t>
  </si>
  <si>
    <t>Wilayah 2</t>
  </si>
  <si>
    <t>Wilayah 3</t>
  </si>
  <si>
    <t>Minyak cat / Tinner B</t>
  </si>
  <si>
    <t>Drat ulir  Ø 1 ¾"</t>
  </si>
  <si>
    <t>Siku 0,80 SNI</t>
  </si>
  <si>
    <t>Balok kayu kati 10/20 x 120</t>
  </si>
  <si>
    <t>Balok kayu kati 10/20 x 170</t>
  </si>
  <si>
    <t>Usuk kayu jati 4/6 x 200</t>
  </si>
  <si>
    <t>Besi UNP 100.50</t>
  </si>
  <si>
    <t>Besi strip plat 80 x 8</t>
  </si>
  <si>
    <t>Baut baja ø 1/2" x 5" NC</t>
  </si>
  <si>
    <t>Baut baja As Draft ø 1" x 6" NC</t>
  </si>
  <si>
    <t>nt</t>
  </si>
  <si>
    <t>Kuningan Peluncur</t>
  </si>
  <si>
    <t>Cat meni dan Fliinkoot</t>
  </si>
  <si>
    <t>Metal Mur</t>
  </si>
  <si>
    <t>Mur Kuningan ø 1 3/4"</t>
  </si>
  <si>
    <t>Drug laker 51111</t>
  </si>
  <si>
    <t>As Drajat  ø 1 3/4"</t>
  </si>
  <si>
    <t>Balok pemikul UNP 100</t>
  </si>
  <si>
    <t>Stang pemutar / Kunci</t>
  </si>
  <si>
    <t>Baut baja as drajat 3/4 x 5"</t>
  </si>
  <si>
    <t>Baut baja blok mur 5/8 x 3"</t>
  </si>
  <si>
    <t>Baut baja frame 5/8 x 3"</t>
  </si>
  <si>
    <t>B = 0,50 ; H1 = 1,00 ; H2 = 3,00</t>
  </si>
  <si>
    <t>B = 0,60 ; H1 = 0,60 ; H2 = 2,50</t>
  </si>
  <si>
    <t>B = 0,60 ; H1 = 0,80 ; H2 = 1,90</t>
  </si>
  <si>
    <t>B = 0,60 ; H1 = 0,70 ; H2 = 2,20</t>
  </si>
  <si>
    <t>B = 0,80 ; H1 = 0,70 ; H2 = 2,00</t>
  </si>
  <si>
    <t>B = 0,80 ; H1 = 0,80 ; H2 = 4,15</t>
  </si>
  <si>
    <t>B = 0,90 ; H1 = 0,70 ; H2 = 3,00</t>
  </si>
  <si>
    <t>B = 0,90 ; H1 = 0,90 ; H2 = 4,90</t>
  </si>
  <si>
    <t>B = 1,00 ; H1 = 0,60 ; H2 = 2,30</t>
  </si>
  <si>
    <t>B = 1,00 ; H1 = 0,60 ; H2 = 2,40</t>
  </si>
  <si>
    <t>B = 1,00 ; H1 = 1,00 ; H2 = 3,70</t>
  </si>
  <si>
    <t>Daftar Harga Pintu Ronsel Ganda</t>
  </si>
  <si>
    <t>B = 1,70 ; H1 = 1,50 ; H2 = 6'20</t>
  </si>
  <si>
    <t>E. PERALATAN KERJA</t>
  </si>
  <si>
    <t>Kuas 4"</t>
  </si>
  <si>
    <t>Kuas 3"</t>
  </si>
  <si>
    <t>Doran</t>
  </si>
  <si>
    <t>Garuk/Garpu</t>
  </si>
  <si>
    <t>Pacul Pendek</t>
  </si>
  <si>
    <t>Sabit Kecil</t>
  </si>
  <si>
    <t>Topi Lapangan</t>
  </si>
  <si>
    <t>Sikat Kawat</t>
  </si>
  <si>
    <t>Roll Meter 5 M'</t>
  </si>
  <si>
    <t>Roll Meter 20 M'</t>
  </si>
  <si>
    <t>Roll Meter 30 M'</t>
  </si>
  <si>
    <t>Roll Meter 50 M'</t>
  </si>
  <si>
    <t>F. BAHAN / PERALATAN AIR MINUM</t>
  </si>
  <si>
    <t>Meter air sumur</t>
  </si>
  <si>
    <t>Plug Kran</t>
  </si>
  <si>
    <t>Stop kran kuningan 1/2"</t>
  </si>
  <si>
    <t>Catatan : Harga Rasionalisasi DPUPR tersebut tidak termasuk PPN, Overhead dan Profit, dan Kenaikan Harga.</t>
  </si>
  <si>
    <t>TITIK UMARNI, SH., MM.</t>
  </si>
  <si>
    <t>SUPANI, ST., MSI</t>
  </si>
  <si>
    <t>WIDODO, ST. M.Eng.</t>
  </si>
  <si>
    <t>Mengetahui /Menyetujui</t>
  </si>
  <si>
    <t>Floor drain stainless</t>
  </si>
  <si>
    <t>Minyak cat/Tinner B</t>
  </si>
  <si>
    <t>Uji laboratorium kualitas air</t>
  </si>
  <si>
    <t>BIDANG CIPTA KARYA TAHUN 2022</t>
  </si>
  <si>
    <t>KODE</t>
  </si>
  <si>
    <t>HARGA SATUAN</t>
  </si>
  <si>
    <t>SAT.</t>
  </si>
  <si>
    <t>SATUAN HARGA UPAH TENAGA 2022</t>
  </si>
  <si>
    <t>SATUAN HARGA BAHAN BANGUNAN 2022</t>
  </si>
  <si>
    <t>TEMPAT, TANGGAL</t>
  </si>
  <si>
    <t>JABATAN</t>
  </si>
  <si>
    <t>NAMA DIREKTUR</t>
  </si>
  <si>
    <t>KONSULTAN</t>
  </si>
  <si>
    <t>DISIAPKAN</t>
  </si>
  <si>
    <t>Tukang elektro</t>
  </si>
  <si>
    <t>Calseboard 1 x 1 meter persegi tebal 3 mm</t>
  </si>
  <si>
    <t>Cangkul</t>
  </si>
  <si>
    <t xml:space="preserve">Cat meni besi </t>
  </si>
  <si>
    <t>Cat meni kayu</t>
  </si>
  <si>
    <t>Daun pintu alminium coklat</t>
  </si>
  <si>
    <t>Daun pintu alminium putih</t>
  </si>
  <si>
    <t>Dunak bambu</t>
  </si>
  <si>
    <t>Emergency light</t>
  </si>
  <si>
    <t>Gergaji</t>
  </si>
  <si>
    <t>Gerobak</t>
  </si>
  <si>
    <t>GRC (120 x 240 cm) t: 4 mm</t>
  </si>
  <si>
    <t>Gunting pangkas</t>
  </si>
  <si>
    <t>Ignitor SN 58 150 watt</t>
  </si>
  <si>
    <t>Jas hujan</t>
  </si>
  <si>
    <t>Kabel listrik 2x1.50 mm</t>
  </si>
  <si>
    <t>Kabel listrik 3x2.50 mm</t>
  </si>
  <si>
    <t>Kaca tempered 8 mm</t>
  </si>
  <si>
    <t>Kaca naco / daun bening</t>
  </si>
  <si>
    <t>Kaca cermin 5 mm</t>
  </si>
  <si>
    <t>Lampu Emergency</t>
  </si>
  <si>
    <t>Paku Pacing/skrup asbes/baut trip</t>
  </si>
  <si>
    <t>Parang</t>
  </si>
  <si>
    <t>Sekop Tangkai Kayu</t>
  </si>
  <si>
    <t>Sekop Tangkai Besi</t>
  </si>
  <si>
    <t>Selang Air 2"</t>
  </si>
  <si>
    <t>Selang Air 3"</t>
  </si>
  <si>
    <t>Slot Biasa ( kuda terbang )</t>
  </si>
  <si>
    <t>Steinless Steel</t>
  </si>
  <si>
    <t>Topi Kerja</t>
  </si>
  <si>
    <t>Pipa listrik  PVC 5/8"</t>
  </si>
  <si>
    <t>bt</t>
  </si>
  <si>
    <t>Pasang jet pam</t>
  </si>
  <si>
    <t>Pemasangan jaringan PDAM baru</t>
  </si>
  <si>
    <t>Pasang instalasi penangkal petir 1 split lengkap</t>
  </si>
  <si>
    <t>Pasang Drop ceilling plafond</t>
  </si>
  <si>
    <t>Perbaikan ornamen atap</t>
  </si>
  <si>
    <t>Penyelenggaraan K3</t>
  </si>
  <si>
    <t>Bataco lebar 15 cm</t>
  </si>
  <si>
    <t>internet</t>
  </si>
  <si>
    <t>Bilik bambu / gedek 2x3 m2</t>
  </si>
  <si>
    <t>Kayu papan jati lokal, tb. 9 mm</t>
  </si>
  <si>
    <t>internet 22000</t>
  </si>
  <si>
    <t>Kunci tanam stainlis</t>
  </si>
  <si>
    <t>keramik 33 x 33 cm</t>
  </si>
  <si>
    <t xml:space="preserve">Besi Wire Mesh </t>
  </si>
  <si>
    <t>Bubung galvalum</t>
  </si>
  <si>
    <t>thn lalu</t>
  </si>
  <si>
    <t xml:space="preserve">Sewa scafolding </t>
  </si>
  <si>
    <t>Pasang kabel pembagi kabel 3x2,5 mm</t>
  </si>
  <si>
    <t>Atap sirap kayu</t>
  </si>
  <si>
    <t>Kunci Gembok</t>
  </si>
  <si>
    <t>Tali Pengaman</t>
  </si>
  <si>
    <t>Atap metalroof nonpasir</t>
  </si>
  <si>
    <t>Atap metalroof pasir</t>
  </si>
  <si>
    <t>Begel Tarikan</t>
  </si>
  <si>
    <t>Banlet/Alqua</t>
  </si>
  <si>
    <t>Benang kenur</t>
  </si>
  <si>
    <t>Pas. rangka atap baja ringan  (bentang kurang  8 m limasan)</t>
  </si>
  <si>
    <t>Pas. rangka atap baja ringan (bentang  kurang 8 m pelana)</t>
  </si>
  <si>
    <t>Pas. rangka atap baja ringan, (9 - 11 m limasan)</t>
  </si>
  <si>
    <t>Pas. rangka atap baja ringan, (9 - 11 m pelana)</t>
  </si>
  <si>
    <t>Pas. rangka atap baja ringan pelapis anti karat 270 (12-14 m limasan)</t>
  </si>
  <si>
    <t>Pas. rangka atap baja ringan pelapis anti karat 270 ( 12-14 m pelana)</t>
  </si>
  <si>
    <t>Pas. rangka atap baja ringan pelapis anti karat 270 ( 15-18 m limasan)</t>
  </si>
  <si>
    <t>Pas. rangka atap baja ringan pelapis anti karat 270 (15-18 m pelana)</t>
  </si>
  <si>
    <t>Genteng  mojolaban/mantili</t>
  </si>
  <si>
    <t>Genteng  Mojolaban/Mantili</t>
  </si>
  <si>
    <t>Genteng kerpus  mojolaban</t>
  </si>
  <si>
    <t>harga tdk masuk</t>
  </si>
  <si>
    <t>Genting Kerpus Polintong</t>
  </si>
  <si>
    <t>Genting Polintong Lokal</t>
  </si>
  <si>
    <t>Kayu begesting/sengon</t>
  </si>
  <si>
    <t>Kayu kelas sengon 4/6</t>
  </si>
  <si>
    <t>Kayu sengon papan begesting 2/20</t>
  </si>
  <si>
    <t xml:space="preserve">Keramik Granit tile 10 x 60 cm stepnose </t>
  </si>
  <si>
    <t>Keramik Interlok</t>
  </si>
  <si>
    <t>Masker pekerja konstruksi</t>
  </si>
  <si>
    <t>Mesin Potong Rumput Dorong</t>
  </si>
  <si>
    <t>Mesin Potong Rumput Gendong</t>
  </si>
  <si>
    <t>Selang Spiral 3"</t>
  </si>
  <si>
    <t>Selang Timbang</t>
  </si>
  <si>
    <t>Slek Grip</t>
  </si>
  <si>
    <t>Plint keramik 7 x 20 cm</t>
  </si>
  <si>
    <t>Tandon air 250 liter</t>
  </si>
  <si>
    <t>Tang Klem Segel</t>
  </si>
  <si>
    <t>Tang Penjepit</t>
  </si>
  <si>
    <t>Tang Potong</t>
  </si>
  <si>
    <t>Tangki Semprot 14 Liter</t>
  </si>
  <si>
    <t>Check valve kuningan 1/2"</t>
  </si>
  <si>
    <t>Knee GI 1/2"</t>
  </si>
  <si>
    <t>Tee GI 1/2"</t>
  </si>
  <si>
    <t>Double niple GI 1/2"</t>
  </si>
  <si>
    <t>Sock GI 1/2"</t>
  </si>
  <si>
    <t>Dop GI 1/2"</t>
  </si>
  <si>
    <t>Box meter</t>
  </si>
  <si>
    <t>Sney Pipa GI</t>
  </si>
  <si>
    <t>Bata ringan 20x60 tebal 10 cm</t>
  </si>
  <si>
    <t>Mortar siap pakai ( MU 380)</t>
  </si>
  <si>
    <t>Mortar unt acian bata ringan (MU 200)</t>
  </si>
  <si>
    <t>Mortar unt plester bata ringan (MU 100)</t>
  </si>
  <si>
    <t>Pipa PVC D4" / 4m AW</t>
  </si>
  <si>
    <t xml:space="preserve">Pasang usuk  reng  baja ringan jarak mak gording 1,5 m </t>
  </si>
  <si>
    <t>Keramik interlik 30/60</t>
  </si>
  <si>
    <t>Pembuatan tulisan timbul</t>
  </si>
  <si>
    <t>Keramik lantai 60/60</t>
  </si>
  <si>
    <t>Keramik lantai 60/60, exterior tekstur</t>
  </si>
  <si>
    <t xml:space="preserve">Genteng kodok </t>
  </si>
  <si>
    <t>Genteng metal (Multiroof 2x5 genteng t 0,3 mm ukuran 77x80 cm)</t>
  </si>
  <si>
    <t>Pasang bubungan Multiroof (pj 80 cm)</t>
  </si>
  <si>
    <t>Travo 150 watt</t>
  </si>
  <si>
    <t xml:space="preserve">Porselin 10 x 10 </t>
  </si>
  <si>
    <t>dus</t>
  </si>
  <si>
    <t>Bambu Tiang umbul-umbul</t>
  </si>
  <si>
    <t>Batu muka</t>
  </si>
  <si>
    <t>Closet duduk  INA/American Standard</t>
  </si>
  <si>
    <t>Closet duduk  Toto</t>
  </si>
  <si>
    <t>Closet jongkok  INA/American Standard</t>
  </si>
  <si>
    <t>Peilschall t : 0,5 m (aluminium)</t>
  </si>
  <si>
    <t>Pintu PVC biasa</t>
  </si>
  <si>
    <t>Pintu KM/WC PVC sedang</t>
  </si>
  <si>
    <t>Kuku macan 2,5 x 10 motif</t>
  </si>
  <si>
    <t>Minyak solar (subsidi)</t>
  </si>
  <si>
    <t>Minyak Tanah</t>
  </si>
  <si>
    <t>Tangga besi (tangga monyet)</t>
  </si>
  <si>
    <t>Marmer Nomen Klatur</t>
  </si>
  <si>
    <t>Granit 100 x 100 (batu granit)</t>
  </si>
  <si>
    <t>Stop Kran tipe handle Ø  1,5"</t>
  </si>
  <si>
    <t>Stop Kran tipe handle Ø 2"</t>
  </si>
  <si>
    <t>Karpet kualitas sedang</t>
  </si>
  <si>
    <t>Karpet kualitas bagus</t>
  </si>
  <si>
    <t>Kawat harmonika</t>
  </si>
  <si>
    <t>Kawat saringan pasir</t>
  </si>
  <si>
    <t>Timer</t>
  </si>
  <si>
    <t>SATUAN HARGA UPAH TENAGA 2020</t>
  </si>
  <si>
    <t>SATUAN HARGA BAHAN BANGUNAN 2020</t>
  </si>
  <si>
    <r>
      <t>m</t>
    </r>
    <r>
      <rPr>
        <vertAlign val="superscript"/>
        <sz val="11"/>
        <rFont val="Cambria"/>
        <family val="1"/>
      </rPr>
      <t>2</t>
    </r>
  </si>
  <si>
    <r>
      <t>m</t>
    </r>
    <r>
      <rPr>
        <vertAlign val="superscript"/>
        <sz val="11"/>
        <rFont val="Cambria"/>
        <family val="1"/>
      </rPr>
      <t>3</t>
    </r>
    <r>
      <rPr>
        <sz val="11"/>
        <color indexed="8"/>
        <rFont val="Calibri"/>
        <family val="2"/>
      </rPr>
      <t/>
    </r>
  </si>
  <si>
    <t>Karanganyar, ........................................ 2020</t>
  </si>
  <si>
    <t>Sat</t>
  </si>
  <si>
    <t>Memasang lantai granit tile ( 60 x 60 ) cm, exterior texture</t>
  </si>
  <si>
    <t>Memadatkan tanah ( per 20 cm )</t>
  </si>
  <si>
    <t>Memasang batu kosong ( anstamping )</t>
  </si>
  <si>
    <t>PROFIT</t>
  </si>
  <si>
    <t>OVERHEAD</t>
  </si>
  <si>
    <t>RENCANA ANGGARAN BIAYA (RAB)</t>
  </si>
  <si>
    <t>JUMAH</t>
  </si>
  <si>
    <t>DPA</t>
  </si>
  <si>
    <t>Terbilang :</t>
  </si>
  <si>
    <t>SISA</t>
  </si>
  <si>
    <t>RAB TOTAL</t>
  </si>
  <si>
    <t>&lt;= angka</t>
  </si>
  <si>
    <t>&lt;= jumlah desimal</t>
  </si>
  <si>
    <t>&lt;="b" atau "saja"</t>
  </si>
  <si>
    <t>Nama Range yang ada  :</t>
  </si>
  <si>
    <t>NUMBER</t>
  </si>
  <si>
    <t>A1</t>
  </si>
  <si>
    <t>NUMTEXT</t>
  </si>
  <si>
    <t>A1..A5</t>
  </si>
  <si>
    <t>TEXT</t>
  </si>
  <si>
    <t>A5</t>
  </si>
  <si>
    <t>\T</t>
  </si>
  <si>
    <t>B9</t>
  </si>
  <si>
    <t>satu</t>
  </si>
  <si>
    <t>dua</t>
  </si>
  <si>
    <t>tiga</t>
  </si>
  <si>
    <t>empat</t>
  </si>
  <si>
    <t>lima</t>
  </si>
  <si>
    <t>enam</t>
  </si>
  <si>
    <t>tujuh</t>
  </si>
  <si>
    <t>delapan</t>
  </si>
  <si>
    <t>sembilan</t>
  </si>
  <si>
    <t>sepuluh</t>
  </si>
  <si>
    <t>sebelas</t>
  </si>
  <si>
    <t xml:space="preserve">dua belas </t>
  </si>
  <si>
    <t>tiga belas</t>
  </si>
  <si>
    <t>empat belas</t>
  </si>
  <si>
    <t>lima belas</t>
  </si>
  <si>
    <t>enam belas</t>
  </si>
  <si>
    <t>tujuh belas</t>
  </si>
  <si>
    <t>delapan belas</t>
  </si>
  <si>
    <t>sembilan belas</t>
  </si>
  <si>
    <t>dua puluh</t>
  </si>
  <si>
    <t>tiga puluh</t>
  </si>
  <si>
    <t>empat puluh</t>
  </si>
  <si>
    <t>lima puluh</t>
  </si>
  <si>
    <t>enam puluh</t>
  </si>
  <si>
    <t>tujuh puluh</t>
  </si>
  <si>
    <t>delapan puluh</t>
  </si>
  <si>
    <t>sembilan puluh</t>
  </si>
  <si>
    <t>Perhatian : Masukkan angka di sel A1</t>
  </si>
  <si>
    <t>Baca terbilangnya di sel A4 atau A5 atau A7 atau D10</t>
  </si>
  <si>
    <t>DAFTAR KUANTITAS PEKERJAAN/PERHITUNGAN VOLUME</t>
  </si>
  <si>
    <t>PERHITUNGAN</t>
  </si>
  <si>
    <t>JUMLAH VOL</t>
  </si>
  <si>
    <t>Dia 12 mm</t>
  </si>
  <si>
    <t>kg/btg</t>
  </si>
  <si>
    <t>Dia 8 mm</t>
  </si>
  <si>
    <t>Dia 10 mm</t>
  </si>
  <si>
    <t>Membuat beton mutu f'c = 7,4 Mpa - K 100</t>
  </si>
  <si>
    <t>Membuat beton mutu f'c = 21,7 Mpa - K 250</t>
  </si>
  <si>
    <t xml:space="preserve">ANALISA PERHITUNGAN PENYELENGGARAAN K3 DAN PENCEGAHAN COVID - 19 </t>
  </si>
  <si>
    <t>URAUAN</t>
  </si>
  <si>
    <t>SATUAN UKURAN</t>
  </si>
  <si>
    <t>KUANTITAS</t>
  </si>
  <si>
    <t>TOTAL HARGA</t>
  </si>
  <si>
    <t>(Rp.)</t>
  </si>
  <si>
    <t>Penyiapan RKK</t>
  </si>
  <si>
    <t>a</t>
  </si>
  <si>
    <t>Pembuatan Dokumen RKK</t>
  </si>
  <si>
    <t>Set.</t>
  </si>
  <si>
    <t>b</t>
  </si>
  <si>
    <t>Pembuatan prosedur dan instruksi kerja</t>
  </si>
  <si>
    <t>c</t>
  </si>
  <si>
    <t>Penyiapan formulir</t>
  </si>
  <si>
    <t>Sub total penyiapan RKK</t>
  </si>
  <si>
    <t>Sosialisasi, promosi dan pelatihan</t>
  </si>
  <si>
    <t>Spanduk (banner)</t>
  </si>
  <si>
    <t>Papan informasi K3</t>
  </si>
  <si>
    <t>Sub total Sosialisasi, promosi dan pelatihan</t>
  </si>
  <si>
    <t>Alat Pelindung Diri (APD)</t>
  </si>
  <si>
    <t>Topi pelindung (Safety Helmet)</t>
  </si>
  <si>
    <t>Pelindung pernapasan dan mulut (Masker)</t>
  </si>
  <si>
    <t>Sarung tangan (Safety Gloves)</t>
  </si>
  <si>
    <t>d</t>
  </si>
  <si>
    <t>Sepatu keselamatan (Safety Shoes)</t>
  </si>
  <si>
    <t>e</t>
  </si>
  <si>
    <t>Rompi keselamatan (Safety Vest)</t>
  </si>
  <si>
    <t>Sub total Alat Pelindung Diri (APD)</t>
  </si>
  <si>
    <t>Asuransi</t>
  </si>
  <si>
    <t>Sub total Asuransi</t>
  </si>
  <si>
    <t>Personel K3 Konstruksi</t>
  </si>
  <si>
    <t>Petugas K3 Konstruksi</t>
  </si>
  <si>
    <t>Sub total Personel K3 Konstruksi</t>
  </si>
  <si>
    <t>Fasilitas, Sarana dan Prasarana Kesehatan</t>
  </si>
  <si>
    <t>Peralatan P3K (Kotak P3K, Tandu, Obat luka, Perban dll)</t>
  </si>
  <si>
    <t>Tempat cuci tangan (Sabu + Washbak + Instalasi)</t>
  </si>
  <si>
    <t>Thermometer</t>
  </si>
  <si>
    <t>Handsanitizer</t>
  </si>
  <si>
    <t>Ltr</t>
  </si>
  <si>
    <t>Desinfektan peralatan kerja</t>
  </si>
  <si>
    <t xml:space="preserve">F  </t>
  </si>
  <si>
    <t>Sub total Fasilitas, Sarana dan Prasarana Kesehatan</t>
  </si>
  <si>
    <t>Rambu-rambu yang diperlukan</t>
  </si>
  <si>
    <t>Rambu petunjuk</t>
  </si>
  <si>
    <t>Rambu larangan</t>
  </si>
  <si>
    <t>Rambu peringatan</t>
  </si>
  <si>
    <t>Rambu informasi</t>
  </si>
  <si>
    <t>Sub total Rambu-rambu yang diperlukan</t>
  </si>
  <si>
    <t>Konsultasi dengan ahli terkait keselamatan konstruksi</t>
  </si>
  <si>
    <t>Ahli K3</t>
  </si>
  <si>
    <t>oj</t>
  </si>
  <si>
    <t>Sub total Konsultasi dengan ahli terkait keselamatan konstruksi</t>
  </si>
  <si>
    <t>Lain-lain terkait pengendalian resiko keselamatan konstruksi</t>
  </si>
  <si>
    <t>Bendera K3</t>
  </si>
  <si>
    <t>Sub total Lain-lain terkait pengendalian resiko keselamatan konstruksi</t>
  </si>
  <si>
    <t>A.4.1.1.21.</t>
  </si>
  <si>
    <t>PEKERJAAN ATAP</t>
  </si>
  <si>
    <t>PEKERJAAN KERAMIK LANTAI DAN DINDING</t>
  </si>
  <si>
    <t>PEKERJAAN PLAFON</t>
  </si>
  <si>
    <t>PEKERJAAN LISTRIK</t>
  </si>
  <si>
    <t>IX</t>
  </si>
  <si>
    <t>PEKERJAAN PINTU DAN JENDELA</t>
  </si>
  <si>
    <t>PEKERJAAN CAT</t>
  </si>
  <si>
    <t>Footplat</t>
  </si>
  <si>
    <t>Beton lantai kerja footplat</t>
  </si>
  <si>
    <t>Paku sekrup biji</t>
  </si>
  <si>
    <t>Kabel 3x2,5</t>
  </si>
  <si>
    <t>Kabel 2x1,5</t>
  </si>
  <si>
    <t>Memasang Instalasi titik saklar (kabel 2x1,5 mm)</t>
  </si>
  <si>
    <t>Memasang Instalasi titik stop kontak (kabel 3x2,5 mm)</t>
  </si>
  <si>
    <t>Paku Pacing/skrup asbes/baut trip (bijian)</t>
  </si>
  <si>
    <t>Memasang instalasi titik lampu (kabel 2x1,5 mm) tanpa fitting</t>
  </si>
  <si>
    <t>Memasang instalasi titik lampu (kabel 2x1,5 mm) + fitting</t>
  </si>
  <si>
    <t>List PVC profil</t>
  </si>
  <si>
    <t>Memasang jendela &amp; boven kaca rangka aluminium</t>
  </si>
  <si>
    <t>KETERANGAN</t>
  </si>
  <si>
    <t>(KM/WC)</t>
  </si>
  <si>
    <t>Memasang kran diameter 1/2", onda stainless</t>
  </si>
  <si>
    <t>Kran air 1/2" stainless</t>
  </si>
  <si>
    <t>Kran air d 1/2" onda stainless</t>
  </si>
  <si>
    <t>Memasang pipa PVC tipe D diameter 3"</t>
  </si>
  <si>
    <t>An. Dihit</t>
  </si>
  <si>
    <t>Pipa PVC Tipe D 3"</t>
  </si>
  <si>
    <t>Pipa PVC Ø 3" / 4 m Tipe D</t>
  </si>
  <si>
    <t>Granit tile 60 x 60 cm Anti selip</t>
  </si>
  <si>
    <t>Plint granit tile 10/60</t>
  </si>
  <si>
    <t>Memasang wastafel lengkap sifon stainless</t>
  </si>
  <si>
    <t>PPN 11%</t>
  </si>
  <si>
    <t>Dikurangi</t>
  </si>
  <si>
    <t>FP1</t>
  </si>
  <si>
    <t>FP2</t>
  </si>
  <si>
    <t>FP3</t>
  </si>
  <si>
    <t>Tapak</t>
  </si>
  <si>
    <t>Pedestal</t>
  </si>
  <si>
    <t>kg/m'</t>
  </si>
  <si>
    <t>Begel</t>
  </si>
  <si>
    <t>t</t>
  </si>
  <si>
    <t>jmlh</t>
  </si>
  <si>
    <t>Tul. Pokok</t>
  </si>
  <si>
    <t>P1</t>
  </si>
  <si>
    <t>P2</t>
  </si>
  <si>
    <t>J1</t>
  </si>
  <si>
    <t>J2</t>
  </si>
  <si>
    <t>J3</t>
  </si>
  <si>
    <t>Tul.pokok</t>
  </si>
  <si>
    <t>Lisplank</t>
  </si>
  <si>
    <t>Talang</t>
  </si>
  <si>
    <t>(Buangan air hujan)</t>
  </si>
  <si>
    <t>Memasang bekisting untuk kolom (2 kali pakai)</t>
  </si>
  <si>
    <t>Memasang bekisting untuk sloof (2 kali pakai)</t>
  </si>
  <si>
    <t>Sloof 15X20</t>
  </si>
  <si>
    <t>JUMLAH (A+B+C+D)</t>
  </si>
  <si>
    <t>Semen/Portland Cement (PC)  40 Kg</t>
  </si>
  <si>
    <t>Semen/PC putih (40 Kg)</t>
  </si>
  <si>
    <t>Semen/PC warna (40 Kg)</t>
  </si>
  <si>
    <t>Steinless Steel roll</t>
  </si>
  <si>
    <t>Biaya Geolistrik</t>
  </si>
  <si>
    <t>(Galian tanah pondasi)</t>
  </si>
  <si>
    <t>Kolom 20X20</t>
  </si>
  <si>
    <t>Kolom 12X25</t>
  </si>
  <si>
    <t>Kolom Praktis 12X12</t>
  </si>
  <si>
    <t>Ringbalk 15/20</t>
  </si>
  <si>
    <t>Balok Latai 12x12</t>
  </si>
  <si>
    <t>Plat Talang dan lisplank</t>
  </si>
  <si>
    <t>Beton lantai kerja</t>
  </si>
  <si>
    <t>Plat beton atap KM</t>
  </si>
  <si>
    <t>Atap drop off</t>
  </si>
  <si>
    <t>(Gording Hollow 40x60x2)</t>
  </si>
  <si>
    <t>XII</t>
  </si>
  <si>
    <t>Pas. rangka atap baja ringan</t>
  </si>
  <si>
    <t>Galian pondasi</t>
  </si>
  <si>
    <t>Galian footplat</t>
  </si>
  <si>
    <t>Pondasi 1</t>
  </si>
  <si>
    <t>Pondasi 2</t>
  </si>
  <si>
    <t>Pondasi 3</t>
  </si>
  <si>
    <t>Pondasi 4</t>
  </si>
  <si>
    <t>Pondasi batu</t>
  </si>
  <si>
    <t>Bawah lantai</t>
  </si>
  <si>
    <t>depan</t>
  </si>
  <si>
    <t>belakang</t>
  </si>
  <si>
    <t>PT</t>
  </si>
  <si>
    <t>P3</t>
  </si>
  <si>
    <t>Gedung lama</t>
  </si>
  <si>
    <t>BV 1</t>
  </si>
  <si>
    <t>BV 2</t>
  </si>
  <si>
    <t>Keramik dinding KM Rawat inap</t>
  </si>
  <si>
    <t>Keramik dinding KM umum</t>
  </si>
  <si>
    <t>sisi</t>
  </si>
  <si>
    <t>silang</t>
  </si>
  <si>
    <t>Begel pedestal</t>
  </si>
  <si>
    <t>Sloof gantung</t>
  </si>
  <si>
    <t>K1. 20x20</t>
  </si>
  <si>
    <t>K2. 12x25</t>
  </si>
  <si>
    <t>jmlh.btg</t>
  </si>
  <si>
    <t>Diatas pas. Bata</t>
  </si>
  <si>
    <t>bangunan lama depan</t>
  </si>
  <si>
    <t>Konsol talang beton</t>
  </si>
  <si>
    <t>Tul pokok</t>
  </si>
  <si>
    <t>Bangunan baru</t>
  </si>
  <si>
    <t>R. pendaftaran dan tunggu</t>
  </si>
  <si>
    <t>R.tindakan</t>
  </si>
  <si>
    <t>R.alat,sterilisasi,spoelhoek</t>
  </si>
  <si>
    <t>R.inap VIP</t>
  </si>
  <si>
    <t>R.inap umum</t>
  </si>
  <si>
    <t>Selasar R.Inap</t>
  </si>
  <si>
    <t>KM R.Inap umum</t>
  </si>
  <si>
    <t>KM R.Inap VIP</t>
  </si>
  <si>
    <t>KM.umum</t>
  </si>
  <si>
    <t>KM.Pasca Persalinan</t>
  </si>
  <si>
    <t>KM.R.Jaga bidan</t>
  </si>
  <si>
    <t>KM,Spoelhoek,R.alat.R.Admnistrasi</t>
  </si>
  <si>
    <t>KM,Spoelhoek,R.alat.R.Bersalin</t>
  </si>
  <si>
    <t>R.Tindakan UGD</t>
  </si>
  <si>
    <t>Tritisan</t>
  </si>
  <si>
    <t>Bang. Baru</t>
  </si>
  <si>
    <t>Bang lama</t>
  </si>
  <si>
    <t>Teras</t>
  </si>
  <si>
    <t>P4</t>
  </si>
  <si>
    <t>Area Autocad</t>
  </si>
  <si>
    <r>
      <t>25</t>
    </r>
    <r>
      <rPr>
        <sz val="10"/>
        <rFont val="Calibri"/>
        <family val="2"/>
      </rPr>
      <t>°</t>
    </r>
  </si>
  <si>
    <t>Jurai luar</t>
  </si>
  <si>
    <t>Jurai dalam</t>
  </si>
  <si>
    <t>Talang di kanopi</t>
  </si>
  <si>
    <t>IWF 150x75x5x7mm</t>
  </si>
  <si>
    <t>Hollow 40x60x2</t>
  </si>
  <si>
    <t>Luas bangunan baru</t>
  </si>
  <si>
    <t>penggantung</t>
  </si>
  <si>
    <t>depan memnjang</t>
  </si>
  <si>
    <t>Drop off</t>
  </si>
  <si>
    <t>Pemasangan Logo Puskesmas bahan acrilik+lampu tinggi 60cm</t>
  </si>
  <si>
    <t>Pemasangan Huruf acrilik+lampu "UGD UNIT GAWAT DARURAT"t:30cm</t>
  </si>
  <si>
    <t xml:space="preserve">Pemasangan Huruf acrilik+lampu "PUSKESMAS KERJO"t:30cm </t>
  </si>
  <si>
    <t>Pemasangan Huruf acrilik+lampu "UNIT PERSALINAN"t:30cm</t>
  </si>
  <si>
    <t>RENCANA ANGGARAN BIAYA ( RAB )</t>
  </si>
  <si>
    <t>2023</t>
  </si>
  <si>
    <t>Uraian Pekerjaan</t>
  </si>
  <si>
    <t>Volume</t>
  </si>
  <si>
    <t>Sat.</t>
  </si>
  <si>
    <t>Analysa</t>
  </si>
  <si>
    <t>Satuan</t>
  </si>
  <si>
    <t>GEDUNG KANTOR</t>
  </si>
  <si>
    <t>A.</t>
  </si>
  <si>
    <t>JUMLAH A.</t>
  </si>
  <si>
    <t>B.</t>
  </si>
  <si>
    <t>Urug tanah dan dipadatkan</t>
  </si>
  <si>
    <t>JUMLAH B.</t>
  </si>
  <si>
    <t>C.</t>
  </si>
  <si>
    <t>Memasang rollag batu bata ,1 PC : 5 PP</t>
  </si>
  <si>
    <t>JUMLAH C.</t>
  </si>
  <si>
    <t>D.</t>
  </si>
  <si>
    <t>LANTAI 1</t>
  </si>
  <si>
    <t>A. BETON FOOTPLAT</t>
  </si>
  <si>
    <t>Membuat lantai kerja beton mutu f'c = 7,4 Mpa, T : 5 cm</t>
  </si>
  <si>
    <t>FOOTPLAT TIPE FP1 (120 X 120 )</t>
  </si>
  <si>
    <t>FOOTPLAT TIPE FP2 (80 X 80 )</t>
  </si>
  <si>
    <t>B. BETON SLOOF</t>
  </si>
  <si>
    <t>PEKERJAAN SLOOF S1 (20 X 40)</t>
  </si>
  <si>
    <t>PEKERJAAN SLOOF S2 (20 X 30)</t>
  </si>
  <si>
    <t>PEKERJAAN SLOOF S3 (15 X 20)</t>
  </si>
  <si>
    <t>C. BETON KOLOM</t>
  </si>
  <si>
    <t>PEKERJAAN KOLOM PEDESTAL (30 X 50)</t>
  </si>
  <si>
    <t>PEKERJAAN KOLOM K1 (30 X 50)</t>
  </si>
  <si>
    <t>PEKERJAAN KOLOM K3 (30 X 30)</t>
  </si>
  <si>
    <t>D. BETON PRAKTIS</t>
  </si>
  <si>
    <t>Membuat balok latei ( 10 x 15 ) cm</t>
  </si>
  <si>
    <t>E. BETON PLAT MEJA</t>
  </si>
  <si>
    <t xml:space="preserve">Memasang bekisting </t>
  </si>
  <si>
    <t>LANTAI 2</t>
  </si>
  <si>
    <t>A. BETON BALOK</t>
  </si>
  <si>
    <t>Balok B1 (15 X 30) Elv. + 4.00</t>
  </si>
  <si>
    <t>Balok B2 (15 X 25) Elv. + 4.00</t>
  </si>
  <si>
    <t>Balok B1 (15 X 30) Elv. + 8.00</t>
  </si>
  <si>
    <t>Balok BK (15 X 30-20) Elv. + 8.00</t>
  </si>
  <si>
    <t>Balok RB (15 X 35) Elv. + 8.00</t>
  </si>
  <si>
    <t>B. BETON PLAT</t>
  </si>
  <si>
    <t>Plat Lantai t;12 cm</t>
  </si>
  <si>
    <t>Beton plat tangga</t>
  </si>
  <si>
    <t>Plat Talang beton</t>
  </si>
  <si>
    <t>Plat Lisplang beton</t>
  </si>
  <si>
    <t>PEKERJAAN KOLOM K2 (30 X 40)  Elv. + 4.00</t>
  </si>
  <si>
    <t>JUMLAH D.</t>
  </si>
  <si>
    <t>E.</t>
  </si>
  <si>
    <t>PEKERJAAN PASANGAN DINDING DAN PLASTERAN</t>
  </si>
  <si>
    <t>JUMLAH E.</t>
  </si>
  <si>
    <t>F.</t>
  </si>
  <si>
    <t>PEKERJAAN PENUTUP LANTAI DAN DINDING</t>
  </si>
  <si>
    <t>Membuat lantai kerja beton mutu f'c = 7,4 Mpa, T : 8 cm</t>
  </si>
  <si>
    <t>Memasang lantai homogenius tile polished ( 60 x 60 ) cm</t>
  </si>
  <si>
    <t>Memasang lantai homogenius tile unpolished ( 60 x 60 ) cm</t>
  </si>
  <si>
    <t>Memasang dinding Homogenius tile  uk. (30x60) cm</t>
  </si>
  <si>
    <t xml:space="preserve">Memasang lantai keramik unpolish ukuran 30/30 cm </t>
  </si>
  <si>
    <t>Memasang plint lantai Homogenius tile uk. (10 x 60) cm</t>
  </si>
  <si>
    <t>Memasang step nosing</t>
  </si>
  <si>
    <t>JUMLAH F.</t>
  </si>
  <si>
    <t>G.</t>
  </si>
  <si>
    <t>PEKERJAAN  LANGIT-LANGIT</t>
  </si>
  <si>
    <t>Memasang plafond PVC</t>
  </si>
  <si>
    <t>Memasang list plafond PVC</t>
  </si>
  <si>
    <t>JUMLAH G.</t>
  </si>
  <si>
    <t>H.</t>
  </si>
  <si>
    <t>PEKERJAAN RANGKA DAN PENUTUP ATAP</t>
  </si>
  <si>
    <t xml:space="preserve">Pas. rangka atap baja ringan </t>
  </si>
  <si>
    <t>Pasang penutup atap galvalum pasir</t>
  </si>
  <si>
    <t>Pasang bubungan galvalum pasir</t>
  </si>
  <si>
    <t>JUMLAH H.</t>
  </si>
  <si>
    <t>I.</t>
  </si>
  <si>
    <t>Pekerjaan Pintu &amp; Jendela alumunium lengkap accessories</t>
  </si>
  <si>
    <t>Pintu utama kaca tempered 12 mm</t>
  </si>
  <si>
    <t>doorcloser tanam</t>
  </si>
  <si>
    <t>Memasang pintu kaca rangka alluminium</t>
  </si>
  <si>
    <t>Memasang pintu alluminium strip</t>
  </si>
  <si>
    <t>Pasang kaca mati tebal 5 mm</t>
  </si>
  <si>
    <t>JUMLAH I.</t>
  </si>
  <si>
    <t>J.</t>
  </si>
  <si>
    <t>Pengecatan dinding dalam (cat interior)</t>
  </si>
  <si>
    <t>Pengecatan dinding luar (cat exterior)</t>
  </si>
  <si>
    <t>Pengecatan plafond</t>
  </si>
  <si>
    <t>Waterproofing area toilet dan atap dak beton</t>
  </si>
  <si>
    <t>JUMLAH J.</t>
  </si>
  <si>
    <t>K.</t>
  </si>
  <si>
    <t>PEKERJAAN ORNAMEN FASADE</t>
  </si>
  <si>
    <t>JUMLAH K.</t>
  </si>
  <si>
    <t>L.</t>
  </si>
  <si>
    <t>PEKERJAAN PLUMBING</t>
  </si>
  <si>
    <t>AIR BERSIH LT.1</t>
  </si>
  <si>
    <t>Stop kran PVC 1 1/2"</t>
  </si>
  <si>
    <t>AIR BEKAS LT. 1</t>
  </si>
  <si>
    <t>AIR KOTOR LT. 1</t>
  </si>
  <si>
    <t>SANITAIR LT. 1</t>
  </si>
  <si>
    <t>Memasang kloset duduk/monoblok dan aksesoris</t>
  </si>
  <si>
    <t>Memasang wastafel  &amp; aksesoris</t>
  </si>
  <si>
    <t>Memasang bak cuci piring stainlessteel dan aksesoris</t>
  </si>
  <si>
    <t>Membuat sumur bor lengkap pompa dan aksesories</t>
  </si>
  <si>
    <t>Pengadaan dan pemasangan septic tank komunal kap 2000 ltr</t>
  </si>
  <si>
    <t xml:space="preserve"> - galian dan pengurukan kembali</t>
  </si>
  <si>
    <t>include</t>
  </si>
  <si>
    <t xml:space="preserve"> - lantai kerja, tali / seling pengikat</t>
  </si>
  <si>
    <t>AIR BERSIH LT.2</t>
  </si>
  <si>
    <t>Stop kran PCV 1 1/2"</t>
  </si>
  <si>
    <t>AIR BEKAS LT. 2</t>
  </si>
  <si>
    <t>AIR KOTOR LT. 2</t>
  </si>
  <si>
    <t>AIR HUJAN</t>
  </si>
  <si>
    <t>SANITAIR LT. 2</t>
  </si>
  <si>
    <t>Torn kapasitas 1000ltr+radar otomatis</t>
  </si>
  <si>
    <t xml:space="preserve">Roofdrain PVC </t>
  </si>
  <si>
    <t>M.</t>
  </si>
  <si>
    <t>PEKERJAAN ELEKTRIKAL</t>
  </si>
  <si>
    <t>Penyambungan Daya PLN Tegangan Rendah (TR) 3 phase 44 KVA</t>
  </si>
  <si>
    <t>va</t>
  </si>
  <si>
    <t>Biaya penyambungan</t>
  </si>
  <si>
    <t xml:space="preserve">Uang jaminan langganan </t>
  </si>
  <si>
    <t>Biaya administrasi Trafo, SLO</t>
  </si>
  <si>
    <t>Permohonan perluasan jaringan 3 Phase</t>
  </si>
  <si>
    <t>Kabel power NYY 4 x 70 mm2 (KWH PLN-Panel)</t>
  </si>
  <si>
    <t>Kabel power NYY 4 x 16 mm2 (Panel - P.LT 1)</t>
  </si>
  <si>
    <t>Instalasi titik stop kontak AC (kabel 3x2,5 mm)</t>
  </si>
  <si>
    <t>Instalasi titik Telephone 2 pair</t>
  </si>
  <si>
    <t>Instalasi titik Data CAT6</t>
  </si>
  <si>
    <t>Memasang stop kontak AC</t>
  </si>
  <si>
    <t>Memasang stop kontak outlet Telephone</t>
  </si>
  <si>
    <t>Memasang stop kontak outlet Data</t>
  </si>
  <si>
    <t>Memasang downlight LED 10 watt tipe inbow</t>
  </si>
  <si>
    <t>Memasang downlight LED 17 watt tipe inbow</t>
  </si>
  <si>
    <t>Memasang downlight LED 17 watt tipe outbow</t>
  </si>
  <si>
    <t>Memasang kabel tray galvanis</t>
  </si>
  <si>
    <t>Memasang Unit AC 1 PK</t>
  </si>
  <si>
    <t>Panel uk 50x70x25 lengkap dengan asesoris 3 phase</t>
  </si>
  <si>
    <t xml:space="preserve">Exhaust fan </t>
  </si>
  <si>
    <t>Kabel power NYY 4 x 16 mm2 (P.LT 1 - P.LT 2)</t>
  </si>
  <si>
    <t>Panel uk 40x60x25 lengkap dengan asesoris 3 phase</t>
  </si>
  <si>
    <t>Testing &amp; Comissioning Instalasi Litrik</t>
  </si>
  <si>
    <t>lot</t>
  </si>
  <si>
    <t>JUMLAH L.</t>
  </si>
  <si>
    <t>JUMLAH TOTAL I. GEDUNG KANTOR</t>
  </si>
  <si>
    <t>PAVING</t>
  </si>
  <si>
    <t>JUMLAH TOTAL II. PAVING</t>
  </si>
  <si>
    <t>PEMBANGUNAN GEDUNG KANTOR DINAS PERTANIAN, PANGAN DAN PERIKANAN KARANGANYAR</t>
  </si>
  <si>
    <t>APBD</t>
  </si>
  <si>
    <t>Air dan listrik kerja</t>
  </si>
  <si>
    <t>l</t>
  </si>
  <si>
    <t>Listrik</t>
  </si>
  <si>
    <t>kwh</t>
  </si>
  <si>
    <t>Jumlah harga 180 har</t>
  </si>
  <si>
    <t xml:space="preserve">( 180 hari )  </t>
  </si>
  <si>
    <t xml:space="preserve">Pengukuran dan pemasangan bouwplank  </t>
  </si>
  <si>
    <t>(K3) Memasang batu kosong ( anstamping )</t>
  </si>
  <si>
    <t xml:space="preserve">Membuat beton mutu f'c = 21,7 Mpa </t>
  </si>
  <si>
    <t>(K3) Memasang bekisting untuk pondasi ( 2x pakai )</t>
  </si>
  <si>
    <t>(K3) Memasang bekisting untuk sloof ( 2x pakai )</t>
  </si>
  <si>
    <t>(K3) Memasang bekisting untuk kolom ( 2x pakai )</t>
  </si>
  <si>
    <t>(K3) Memasang bekisting untuk balok ( 2x Pakai )</t>
  </si>
  <si>
    <t>(K3) Memasang bekisting untuk lantai ( 2x pakai )</t>
  </si>
  <si>
    <t>Pek. Dinding Partisi Gypsum 9 mm Double</t>
  </si>
  <si>
    <t xml:space="preserve">Pasang batu andesit </t>
  </si>
  <si>
    <t>Pasang aluminium foil/sisalation</t>
  </si>
  <si>
    <t xml:space="preserve">Pek. GRC Lisplang </t>
  </si>
  <si>
    <t>Memasang floor drain</t>
  </si>
  <si>
    <t>Memasang kran diameter 1/2" atau 3/4"</t>
  </si>
  <si>
    <t>Instalasi titik lampu (kabel 2x1,5 mm)</t>
  </si>
  <si>
    <t>Instalasi titik stop kontak (kabel 3x2,5 mm)</t>
  </si>
  <si>
    <t>ANALISA PERHITUNGAN BIAYA K3</t>
  </si>
  <si>
    <t>HARGA BAHAN/UPAH</t>
  </si>
  <si>
    <t xml:space="preserve">JUMLAH </t>
  </si>
  <si>
    <t>SNI</t>
  </si>
  <si>
    <t>KOEF</t>
  </si>
  <si>
    <t>Rp</t>
  </si>
  <si>
    <t>HARGA  SATUAN BIAYA K3</t>
  </si>
  <si>
    <t>HITUNG K3</t>
  </si>
  <si>
    <t>BIAYA K3</t>
  </si>
  <si>
    <t>TENAGA</t>
  </si>
  <si>
    <t>Ls</t>
  </si>
  <si>
    <t>Petugas K3</t>
  </si>
  <si>
    <t>BAHAN</t>
  </si>
  <si>
    <t>Topi Pelindung (Safety Helmet)</t>
  </si>
  <si>
    <t>Pelindung mata (Kacamata)</t>
  </si>
  <si>
    <t>Box</t>
  </si>
  <si>
    <t>Pelindung Pernafasan dan mulut (masker)</t>
  </si>
  <si>
    <t>Psg</t>
  </si>
  <si>
    <t>Sarung Tangan (Safety Gloves)</t>
  </si>
  <si>
    <t>Sepatu Keselamatan (Safety Shoes)</t>
  </si>
  <si>
    <t>Rompi keselamatan Safety Vest)</t>
  </si>
  <si>
    <t>Pelindung Jatuh (Body Harness)</t>
  </si>
  <si>
    <t>apar</t>
  </si>
  <si>
    <t xml:space="preserve">Spanduk (banner) </t>
  </si>
  <si>
    <t>Peralatan P3K</t>
  </si>
  <si>
    <t>Tempat cuci tangan (kran air + instalasi)</t>
  </si>
  <si>
    <t>Hand sanitizer (botol)</t>
  </si>
  <si>
    <t>Alat penyemprot desinfektan peralatan kerja</t>
  </si>
  <si>
    <t>Desinfektan peralatan Kerja</t>
  </si>
  <si>
    <t>PERALATAN</t>
  </si>
  <si>
    <t>Jumlah A + B + C</t>
  </si>
  <si>
    <t>Overhead &amp; Profit</t>
  </si>
  <si>
    <t>Harga Satuan Pekerjaan (D+E)</t>
  </si>
  <si>
    <t>Memasang bekisting untuk pondasi ( 2x pakai )</t>
  </si>
  <si>
    <t>Memasang bekisting untuk balok (2x pakai)</t>
  </si>
  <si>
    <t>Memasang bekisting untuk lantai (2x pakai)</t>
  </si>
  <si>
    <t>Membuat dinding partisi gypsum 9mm double</t>
  </si>
  <si>
    <t>Gypsum</t>
  </si>
  <si>
    <t>Baja ringan C75</t>
  </si>
  <si>
    <t>Baja ringan C-75</t>
  </si>
  <si>
    <t>Plint Granit 10 x 40 cm step nose</t>
  </si>
  <si>
    <t>Plafond PVC 6mm x 20 cm</t>
  </si>
  <si>
    <t>Plafon PVC 600x20</t>
  </si>
  <si>
    <t>Atap spandek pasir</t>
  </si>
  <si>
    <t>Memasang penutup atap galvalum pasir</t>
  </si>
  <si>
    <t>Atap bubungan galvalum</t>
  </si>
  <si>
    <t>Memasang pintu kaca es rangka alluminium</t>
  </si>
  <si>
    <t>Pemasangan GRC Listplank</t>
  </si>
  <si>
    <t>Pemasangan stop kran PVC 1 1/2"</t>
  </si>
  <si>
    <t>Memasang roof drain stainless</t>
  </si>
  <si>
    <t>Instalasi kabel power (4x70mm)</t>
  </si>
  <si>
    <t>Kabel 4x70 mm</t>
  </si>
  <si>
    <t>aksesoris 15%</t>
  </si>
  <si>
    <t>Instalasi kabel power (4x16mm)</t>
  </si>
  <si>
    <t>Kabel 4x16 mm</t>
  </si>
  <si>
    <t>Kabel Telephone</t>
  </si>
  <si>
    <t>aksesoris 35%</t>
  </si>
  <si>
    <t xml:space="preserve">ls </t>
  </si>
  <si>
    <t>Kabel telephon</t>
  </si>
  <si>
    <t>Kabel Data CAT 6</t>
  </si>
  <si>
    <t>Instalasi titik Data CAT 6</t>
  </si>
  <si>
    <t>aksesoris 45%</t>
  </si>
  <si>
    <t>Stop kontak AC</t>
  </si>
  <si>
    <t>Stop kontak Telephone</t>
  </si>
  <si>
    <t>Stop kontak Data</t>
  </si>
  <si>
    <t>Lampu LED 10 watt</t>
  </si>
  <si>
    <t>Lampu LED 17 watt</t>
  </si>
  <si>
    <t>LED 17 watt tipe outbow</t>
  </si>
  <si>
    <t>Lampu downlight LED slim 17 watt outbow</t>
  </si>
  <si>
    <t>Lampu downlight LED slim 17 watt inbow</t>
  </si>
  <si>
    <t>Lampu downlight LED slim 10 watt inbow</t>
  </si>
  <si>
    <t>Lampu downlight LED slim 9 watt inbow</t>
  </si>
  <si>
    <t>longdrat m10</t>
  </si>
  <si>
    <t>dynabolt</t>
  </si>
  <si>
    <t>kabel tray</t>
  </si>
  <si>
    <t>Kabel Tray Tipe C 150x100</t>
  </si>
  <si>
    <t>Memasang Exhaust fan</t>
  </si>
  <si>
    <t>Exhaustfan</t>
  </si>
  <si>
    <t xml:space="preserve">Memasang stop kontak AC </t>
  </si>
  <si>
    <t>PEKERJAAN HALAMAN</t>
  </si>
  <si>
    <t>Urug tanah padat dan dipadatkan</t>
  </si>
  <si>
    <t>Pasang batu andesit</t>
  </si>
  <si>
    <t>Balok B1 (25 X 50) Elv. + 4.00</t>
  </si>
  <si>
    <t>Balok B2 (15 X 30) Elv. + 4.00</t>
  </si>
  <si>
    <t>Pemasangan Reyling tangga "stainlees"</t>
  </si>
  <si>
    <t>PEJABAT PENANDATANGAN KONTRAK</t>
  </si>
  <si>
    <t>FERIANA DWI KURNIAWATI, SP, M.Si</t>
  </si>
  <si>
    <t>NIP. 19810226 200501 2 015</t>
  </si>
  <si>
    <t>Karanganyar,                               2022</t>
  </si>
  <si>
    <t>Nilai TKDN</t>
  </si>
  <si>
    <t>Keterangan</t>
  </si>
  <si>
    <t>TKDN</t>
  </si>
  <si>
    <t>( % )</t>
  </si>
  <si>
    <t>WNI</t>
  </si>
  <si>
    <t xml:space="preserve"> Biaya KDN</t>
  </si>
  <si>
    <t>JUMLAH BIAYA KDN</t>
  </si>
  <si>
    <t>Jumlah Biaya</t>
  </si>
  <si>
    <t>KDN</t>
  </si>
  <si>
    <t>KLN</t>
  </si>
  <si>
    <t>profit+overhead</t>
  </si>
  <si>
    <t>Harga Sat.</t>
  </si>
  <si>
    <t>+ Profid</t>
  </si>
  <si>
    <t>JUMLAH (I+II)</t>
  </si>
  <si>
    <t>JUMLAH BIAYA</t>
  </si>
  <si>
    <t>Spesifikasi</t>
  </si>
  <si>
    <t>Brand/Merk</t>
  </si>
  <si>
    <t>(%)</t>
  </si>
  <si>
    <t>No. Sertifikat</t>
  </si>
  <si>
    <t>Material</t>
  </si>
  <si>
    <t>Biaya (Rp.)</t>
  </si>
  <si>
    <t>TKDN Kemenperin</t>
  </si>
  <si>
    <t>Alat Kerja</t>
  </si>
  <si>
    <t>R E K A P I T U L A S I</t>
  </si>
  <si>
    <r>
      <t xml:space="preserve">Pengukuran dan pemasangan </t>
    </r>
    <r>
      <rPr>
        <i/>
        <sz val="11"/>
        <rFont val="Times New Roman"/>
        <family val="1"/>
      </rPr>
      <t xml:space="preserve">bouwplank  </t>
    </r>
  </si>
  <si>
    <r>
      <t>Pasang aluminium foil/</t>
    </r>
    <r>
      <rPr>
        <i/>
        <sz val="10"/>
        <rFont val="Times New Roman"/>
        <family val="1"/>
      </rPr>
      <t>sisalation</t>
    </r>
  </si>
  <si>
    <r>
      <t xml:space="preserve">Memasang </t>
    </r>
    <r>
      <rPr>
        <i/>
        <sz val="10"/>
        <rFont val="Times New Roman"/>
        <family val="1"/>
      </rPr>
      <t>floor drain stainless</t>
    </r>
  </si>
  <si>
    <r>
      <t>m</t>
    </r>
    <r>
      <rPr>
        <vertAlign val="superscript"/>
        <sz val="11"/>
        <rFont val="Times New Roman"/>
        <family val="1"/>
      </rPr>
      <t>2</t>
    </r>
  </si>
  <si>
    <t>HARGA PERKIRAAN SENDIRI ( HPS )</t>
  </si>
  <si>
    <t>TEMPELET</t>
  </si>
  <si>
    <t>Closet jongkok</t>
  </si>
  <si>
    <t>RANK</t>
  </si>
  <si>
    <t>REKAP PERHITUNGAN MPU</t>
  </si>
  <si>
    <t xml:space="preserve">PERHITUNGAN  VOLUME </t>
  </si>
  <si>
    <t>PANJANG</t>
  </si>
  <si>
    <t>LEBAR</t>
  </si>
  <si>
    <t>TINGGI</t>
  </si>
  <si>
    <t>JUMLAH VOLUME</t>
  </si>
  <si>
    <t>panjang</t>
  </si>
  <si>
    <t>lebar</t>
  </si>
  <si>
    <t>tinggi</t>
  </si>
  <si>
    <t>type BK1</t>
  </si>
  <si>
    <t>type BK3</t>
  </si>
  <si>
    <t>pondasi footplate FP1</t>
  </si>
  <si>
    <t>pondasi footplate FP2</t>
  </si>
  <si>
    <t>area 1</t>
  </si>
  <si>
    <t>bawah pondasi BK1</t>
  </si>
  <si>
    <t>bawah pondasi BK3</t>
  </si>
  <si>
    <t>bawah pondasi footplate FP1</t>
  </si>
  <si>
    <t>bawah pondasi footplate FP2</t>
  </si>
  <si>
    <t>lb b</t>
  </si>
  <si>
    <t>lb a</t>
  </si>
  <si>
    <t>BK1</t>
  </si>
  <si>
    <t>BK3</t>
  </si>
  <si>
    <t>Bawah footplate FP1</t>
  </si>
  <si>
    <t>Bawah footplate FP2</t>
  </si>
  <si>
    <t>TABEL HITUNG BESI 1</t>
  </si>
  <si>
    <t>TABEL HITUNG BESI 2</t>
  </si>
  <si>
    <t>as C</t>
  </si>
  <si>
    <t>as C'</t>
  </si>
  <si>
    <t>as D</t>
  </si>
  <si>
    <t>as G</t>
  </si>
  <si>
    <t>as G'</t>
  </si>
  <si>
    <t>as G"</t>
  </si>
  <si>
    <t>as H</t>
  </si>
  <si>
    <t>as 1</t>
  </si>
  <si>
    <t>as 4</t>
  </si>
  <si>
    <t>as 4'</t>
  </si>
  <si>
    <t>as 5</t>
  </si>
  <si>
    <t>as 5'</t>
  </si>
  <si>
    <t>as 6</t>
  </si>
  <si>
    <t>as 8</t>
  </si>
  <si>
    <t>as 9</t>
  </si>
  <si>
    <t>as 10</t>
  </si>
  <si>
    <t>as 10'</t>
  </si>
  <si>
    <t>as 12</t>
  </si>
  <si>
    <t>dikurangi openingan</t>
  </si>
  <si>
    <t>P11</t>
  </si>
  <si>
    <t>P1A</t>
  </si>
  <si>
    <t>P1B</t>
  </si>
  <si>
    <t>BV</t>
  </si>
  <si>
    <t>as D'</t>
  </si>
  <si>
    <t>as E</t>
  </si>
  <si>
    <t>as F</t>
  </si>
  <si>
    <t>as 3</t>
  </si>
  <si>
    <t>as 7</t>
  </si>
  <si>
    <t>L1</t>
  </si>
  <si>
    <t>volume plasteran</t>
  </si>
  <si>
    <t>`</t>
  </si>
  <si>
    <t>as F,</t>
  </si>
  <si>
    <t>as 11</t>
  </si>
  <si>
    <t>dikurangi</t>
  </si>
  <si>
    <t>keramik dinding</t>
  </si>
  <si>
    <t>bangunan utama</t>
  </si>
  <si>
    <t>meja</t>
  </si>
  <si>
    <t>M1</t>
  </si>
  <si>
    <t>Teras Dpn</t>
  </si>
  <si>
    <t>Tangga dpn</t>
  </si>
  <si>
    <t>Samping 2x</t>
  </si>
  <si>
    <t>Tangga smpg 2x</t>
  </si>
  <si>
    <t>toilet typ 1</t>
  </si>
  <si>
    <t>toilet typ 2</t>
  </si>
  <si>
    <t>Tangga depan</t>
  </si>
  <si>
    <t>Tangga spg x2</t>
  </si>
  <si>
    <t>Tangga lt 2</t>
  </si>
  <si>
    <t>UTAMA</t>
  </si>
  <si>
    <t>LOBBY</t>
  </si>
  <si>
    <t>DIKURANGI</t>
  </si>
  <si>
    <t>DALAM</t>
  </si>
  <si>
    <t>LUAR</t>
  </si>
  <si>
    <t>L2</t>
  </si>
  <si>
    <t>Pek. kusen dan pintu alumunium type</t>
  </si>
  <si>
    <t>P1C</t>
  </si>
  <si>
    <t>P1F</t>
  </si>
  <si>
    <t>P1G</t>
  </si>
  <si>
    <t>P1H</t>
  </si>
  <si>
    <t>Pek. Pintu Sandwich Panel Standard BSL 2 type</t>
  </si>
  <si>
    <t>P2F</t>
  </si>
  <si>
    <t>P1I</t>
  </si>
  <si>
    <t>P2A</t>
  </si>
  <si>
    <t>P2B</t>
  </si>
  <si>
    <t>P2C</t>
  </si>
  <si>
    <t>P2D</t>
  </si>
  <si>
    <t>P2E</t>
  </si>
  <si>
    <t>Pek. kusen dan jendela alumunium type</t>
  </si>
  <si>
    <t>JL1</t>
  </si>
  <si>
    <t>JB1</t>
  </si>
  <si>
    <t>JB2</t>
  </si>
  <si>
    <t>JB3</t>
  </si>
  <si>
    <t>JB4</t>
  </si>
  <si>
    <t>JB1B</t>
  </si>
  <si>
    <t>JB2A</t>
  </si>
  <si>
    <t>JB3A</t>
  </si>
  <si>
    <t>JB4A</t>
  </si>
  <si>
    <t>Pek. kusen dan boven alumunium type</t>
  </si>
  <si>
    <t>BV1</t>
  </si>
  <si>
    <t>BV2</t>
  </si>
  <si>
    <t>BV3</t>
  </si>
  <si>
    <t>BV2A</t>
  </si>
  <si>
    <t>BV3A</t>
  </si>
  <si>
    <t>P1D</t>
  </si>
  <si>
    <t>P1E</t>
  </si>
  <si>
    <t>J4</t>
  </si>
  <si>
    <t>JB1A</t>
  </si>
  <si>
    <t>toilet</t>
  </si>
  <si>
    <t>dak beton</t>
  </si>
  <si>
    <t>downlight led 24</t>
  </si>
  <si>
    <t>downlight led 18</t>
  </si>
  <si>
    <t>led bulb 19</t>
  </si>
  <si>
    <t>lampu hias dinding</t>
  </si>
  <si>
    <t>lampu hias gantung</t>
  </si>
  <si>
    <t>BACK UP DATA BETON BERTULANG (PONDASI)</t>
  </si>
  <si>
    <t>Pondasi Footplate (FP-1)</t>
  </si>
  <si>
    <t>TIPE</t>
  </si>
  <si>
    <t>Dimensi Pile Cap</t>
  </si>
  <si>
    <t>Beton</t>
  </si>
  <si>
    <t>Bekisting</t>
  </si>
  <si>
    <t>Tulangan</t>
  </si>
  <si>
    <t>Luas</t>
  </si>
  <si>
    <t>Σ - X</t>
  </si>
  <si>
    <t>Vx</t>
  </si>
  <si>
    <t>Σ - Y</t>
  </si>
  <si>
    <t>Vy</t>
  </si>
  <si>
    <t>FP 1</t>
  </si>
  <si>
    <t>Pondasi Footplate (FP-2)</t>
  </si>
  <si>
    <t>FP 2</t>
  </si>
  <si>
    <t>BACK UP DATA BETON BERTULANG (PLAT LANTAI)</t>
  </si>
  <si>
    <t>Plat lantai 2</t>
  </si>
  <si>
    <t>Dimensi</t>
  </si>
  <si>
    <t>PL3</t>
  </si>
  <si>
    <t>Plat Meja Beton L.1</t>
  </si>
  <si>
    <t>Plat Meja Beton L.2</t>
  </si>
  <si>
    <t>M5</t>
  </si>
  <si>
    <t>M6</t>
  </si>
  <si>
    <t>M7</t>
  </si>
  <si>
    <t>M8</t>
  </si>
  <si>
    <t>M9</t>
  </si>
  <si>
    <t>M10</t>
  </si>
  <si>
    <t>M11</t>
  </si>
  <si>
    <t>M12</t>
  </si>
  <si>
    <t>MA6</t>
  </si>
  <si>
    <t>MA7</t>
  </si>
  <si>
    <t>MA8</t>
  </si>
  <si>
    <t>plat tangga</t>
  </si>
  <si>
    <t>T1</t>
  </si>
  <si>
    <t>T2</t>
  </si>
  <si>
    <t>Lisplang Beton</t>
  </si>
  <si>
    <t>LISPLANK</t>
  </si>
  <si>
    <t>Plat atap / talang beton</t>
  </si>
  <si>
    <t>BACK UP DATA BETON BERTULANG (SLOOF)</t>
  </si>
  <si>
    <t>Sloof, 20 x 40 cm (S1)</t>
  </si>
  <si>
    <t>Tulangan Ulir</t>
  </si>
  <si>
    <t>Tulangan Polos</t>
  </si>
  <si>
    <t>Panjang</t>
  </si>
  <si>
    <t>Ø tul utama</t>
  </si>
  <si>
    <r>
      <rPr>
        <b/>
        <sz val="11"/>
        <rFont val="Calibri"/>
        <family val="2"/>
      </rPr>
      <t xml:space="preserve">Σ </t>
    </r>
    <r>
      <rPr>
        <b/>
        <sz val="11"/>
        <rFont val="Calibri"/>
        <family val="2"/>
        <scheme val="minor"/>
      </rPr>
      <t>tul utama</t>
    </r>
  </si>
  <si>
    <t>V tul. Utama</t>
  </si>
  <si>
    <t>Ø tul geser</t>
  </si>
  <si>
    <r>
      <rPr>
        <b/>
        <sz val="11"/>
        <rFont val="Calibri"/>
        <family val="2"/>
      </rPr>
      <t xml:space="preserve">Σ </t>
    </r>
    <r>
      <rPr>
        <b/>
        <sz val="11"/>
        <rFont val="Calibri"/>
        <family val="2"/>
        <scheme val="minor"/>
      </rPr>
      <t>tul geser</t>
    </r>
  </si>
  <si>
    <t>V tul geser</t>
  </si>
  <si>
    <t>S1</t>
  </si>
  <si>
    <t>as 2</t>
  </si>
  <si>
    <t>as 13</t>
  </si>
  <si>
    <t>as 14</t>
  </si>
  <si>
    <t>Sloof, 20 x 30 cm (S2)</t>
  </si>
  <si>
    <t>S2</t>
  </si>
  <si>
    <t>as A</t>
  </si>
  <si>
    <t>as B</t>
  </si>
  <si>
    <t>Sloof, 15 x 20 cm (S3)</t>
  </si>
  <si>
    <t>as 7'</t>
  </si>
  <si>
    <t>as 9'</t>
  </si>
  <si>
    <t>as F'</t>
  </si>
  <si>
    <t>BACK UP DATA BETON BERTULANG (KOLOM)</t>
  </si>
  <si>
    <t>KOLOM PEDESTAL 30X50</t>
  </si>
  <si>
    <t>Tipe</t>
  </si>
  <si>
    <t>Tinggi</t>
  </si>
  <si>
    <t>K-PEDESTAL</t>
  </si>
  <si>
    <t>KOLOM K1 30X50 Lt.1</t>
  </si>
  <si>
    <t>K-1</t>
  </si>
  <si>
    <t>BACK UP DATA BETON BERTULANG (BALOK)</t>
  </si>
  <si>
    <t>B1</t>
  </si>
  <si>
    <t xml:space="preserve">dikurangi tebal plat </t>
  </si>
  <si>
    <t>Balok B2 ( 20x30 )</t>
  </si>
  <si>
    <t>B2</t>
  </si>
  <si>
    <t>as G''</t>
  </si>
  <si>
    <t>as 6'</t>
  </si>
  <si>
    <t>as 8'</t>
  </si>
  <si>
    <t>B3</t>
  </si>
  <si>
    <t>as 1'</t>
  </si>
  <si>
    <t>as B'</t>
  </si>
  <si>
    <t>as I'</t>
  </si>
  <si>
    <t>as '1</t>
  </si>
  <si>
    <t>as 14'</t>
  </si>
  <si>
    <t>BACK UP DATA BETON POS JAGA</t>
  </si>
  <si>
    <t>K4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</si>
</sst>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.00_-;\-* #,##0.00_-;_-* &quot;-&quot;??_-;_-@_-"/>
    <numFmt numFmtId="166" formatCode="0.000"/>
    <numFmt numFmtId="167" formatCode="0.0000"/>
    <numFmt numFmtId="168" formatCode="_(* #,##0.00_);_(* \(#,##0.00\);_(* &quot;-&quot;_);_(@_)"/>
    <numFmt numFmtId="169" formatCode="_(* #,##0.00_);_(* \(#,##0.00\);_(* &quot;-&quot;???_);_(@_)"/>
    <numFmt numFmtId="170" formatCode="#,##0.000_);\(#,##0.000\)"/>
    <numFmt numFmtId="171" formatCode=";;;"/>
    <numFmt numFmtId="172" formatCode="#,##0.0000_);\(#,##0.0000\)"/>
    <numFmt numFmtId="173" formatCode="#,##0.00000_);\(#,##0.00000\)"/>
    <numFmt numFmtId="174" formatCode="0.0"/>
    <numFmt numFmtId="175" formatCode="_(* #,##0.0000_);_(* \(#,##0.0000\);_(* &quot;-&quot;_);_(@_)"/>
    <numFmt numFmtId="176" formatCode="_(* #,##0_);_(* \(#,##0\);_(* &quot;-&quot;??_);_(@_)"/>
    <numFmt numFmtId="177" formatCode="_(* #,##0.000_);_(* \(#,##0.000\);_(* &quot;-&quot;??_);_(@_)"/>
    <numFmt numFmtId="178" formatCode="_(* #,##0.000000_);_(* \(#,##0.000000\);_(* &quot;-&quot;??_);_(@_)"/>
    <numFmt numFmtId="179" formatCode="#,##0.0_);\(#,##0.0\)"/>
    <numFmt numFmtId="180" formatCode="_(* #,##0.000_);_(* \(#,##0.000\);_(* &quot;-&quot;_);_(@_)"/>
    <numFmt numFmtId="182" formatCode="_(* #,##0.0_);_(* \(#,##0.0\);_(* &quot;-&quot;_);_(@_)"/>
  </numFmts>
  <fonts count="138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name val="Cambria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Arial"/>
      <family val="2"/>
    </font>
    <font>
      <sz val="11"/>
      <name val="Cambria"/>
      <family val="1"/>
    </font>
    <font>
      <b/>
      <sz val="11"/>
      <name val="Cambria"/>
      <family val="1"/>
    </font>
    <font>
      <b/>
      <sz val="12"/>
      <name val="Cambria"/>
      <family val="1"/>
    </font>
    <font>
      <b/>
      <sz val="11"/>
      <color indexed="10"/>
      <name val="Cambria"/>
      <family val="1"/>
    </font>
    <font>
      <b/>
      <u/>
      <sz val="11"/>
      <name val="Cambria"/>
      <family val="1"/>
    </font>
    <font>
      <sz val="12"/>
      <name val="Cambria"/>
      <family val="1"/>
    </font>
    <font>
      <sz val="11"/>
      <color indexed="10"/>
      <name val="Cambria"/>
      <family val="1"/>
    </font>
    <font>
      <b/>
      <u/>
      <sz val="16"/>
      <name val="Cambria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rgb="FFFF0000"/>
      <name val="Cambria"/>
      <family val="1"/>
    </font>
    <font>
      <sz val="10"/>
      <color rgb="FFFF0000"/>
      <name val="Cambria"/>
      <family val="1"/>
    </font>
    <font>
      <sz val="11"/>
      <name val="Cambria"/>
      <family val="1"/>
      <scheme val="major"/>
    </font>
    <font>
      <sz val="12"/>
      <name val="Cambria"/>
      <family val="1"/>
      <scheme val="maj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Swis721 Cn BT"/>
      <family val="2"/>
    </font>
    <font>
      <b/>
      <sz val="11"/>
      <name val="Swis721 Cn BT"/>
      <family val="2"/>
    </font>
    <font>
      <sz val="10"/>
      <color rgb="FFFF0000"/>
      <name val="Cambria"/>
      <family val="1"/>
      <scheme val="major"/>
    </font>
    <font>
      <sz val="10"/>
      <name val="Swis721 Cn BT"/>
      <family val="2"/>
    </font>
    <font>
      <b/>
      <sz val="10"/>
      <name val="Swis721 Cn BT"/>
      <family val="2"/>
    </font>
    <font>
      <sz val="10"/>
      <color rgb="FFFF0000"/>
      <name val="Swis721 Cn BT"/>
      <family val="2"/>
    </font>
    <font>
      <sz val="11"/>
      <color rgb="FFFF0000"/>
      <name val="Swis721 Cn BT"/>
      <family val="2"/>
    </font>
    <font>
      <sz val="11"/>
      <color theme="4"/>
      <name val="Cambria"/>
      <family val="1"/>
    </font>
    <font>
      <sz val="11"/>
      <color rgb="FF0070C0"/>
      <name val="Cambria"/>
      <family val="1"/>
    </font>
    <font>
      <vertAlign val="superscript"/>
      <sz val="11"/>
      <name val="Cambria"/>
      <family val="1"/>
    </font>
    <font>
      <sz val="11"/>
      <color theme="1"/>
      <name val="Cambria"/>
      <family val="1"/>
    </font>
    <font>
      <sz val="11"/>
      <color rgb="FF0070C0"/>
      <name val="Cambria"/>
      <family val="1"/>
      <scheme val="major"/>
    </font>
    <font>
      <sz val="10"/>
      <color rgb="FF0070C0"/>
      <name val="Cambria"/>
      <family val="1"/>
    </font>
    <font>
      <sz val="12"/>
      <color theme="1"/>
      <name val="Cambria"/>
      <family val="1"/>
      <scheme val="major"/>
    </font>
    <font>
      <sz val="11"/>
      <color theme="9"/>
      <name val="Cambria"/>
      <family val="1"/>
      <scheme val="major"/>
    </font>
    <font>
      <sz val="11"/>
      <color theme="9"/>
      <name val="Cambria"/>
      <family val="1"/>
    </font>
    <font>
      <sz val="11"/>
      <color rgb="FF00B0F0"/>
      <name val="Cambria"/>
      <family val="1"/>
    </font>
    <font>
      <sz val="11"/>
      <color rgb="FFFF0000"/>
      <name val="Cambria"/>
      <family val="1"/>
      <scheme val="major"/>
    </font>
    <font>
      <sz val="10"/>
      <color rgb="FF00B0F0"/>
      <name val="Cambria"/>
      <family val="1"/>
    </font>
    <font>
      <sz val="10"/>
      <color rgb="FF00B0F0"/>
      <name val="Cambria"/>
      <family val="1"/>
      <scheme val="major"/>
    </font>
    <font>
      <b/>
      <sz val="10"/>
      <color indexed="10"/>
      <name val="Arial"/>
      <family val="2"/>
    </font>
    <font>
      <b/>
      <u/>
      <sz val="16"/>
      <name val="Swis721 Cn BT"/>
      <family val="2"/>
    </font>
    <font>
      <b/>
      <sz val="10"/>
      <color rgb="FFFF0000"/>
      <name val="Swis721 Cn BT"/>
      <family val="2"/>
    </font>
    <font>
      <sz val="9"/>
      <color indexed="8"/>
      <name val="Swis721 Cn BT"/>
      <family val="2"/>
    </font>
    <font>
      <b/>
      <sz val="9"/>
      <color indexed="8"/>
      <name val="Swis721 Cn BT"/>
      <family val="2"/>
    </font>
    <font>
      <sz val="14"/>
      <name val="Swis721 Cn BT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Calibri"/>
      <family val="2"/>
    </font>
    <font>
      <b/>
      <u/>
      <sz val="16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FF0000"/>
      <name val="Times New Roman"/>
      <family val="1"/>
    </font>
    <font>
      <b/>
      <u/>
      <sz val="20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b/>
      <u/>
      <sz val="16"/>
      <name val="Times New Roman"/>
      <family val="1"/>
    </font>
    <font>
      <u/>
      <sz val="11"/>
      <color rgb="FFFF0000"/>
      <name val="Times New Roman"/>
      <family val="1"/>
    </font>
    <font>
      <u/>
      <sz val="11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sz val="16"/>
      <color rgb="FFFF0000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2"/>
      <color rgb="FFFF0000"/>
      <name val="Times New Roman"/>
      <family val="1"/>
    </font>
    <font>
      <b/>
      <sz val="11"/>
      <color indexed="10"/>
      <name val="Times New Roman"/>
      <family val="1"/>
    </font>
    <font>
      <b/>
      <sz val="11"/>
      <name val="Times New Roman"/>
      <family val="1"/>
    </font>
    <font>
      <b/>
      <sz val="14"/>
      <color rgb="FFFF0000"/>
      <name val="Times New Roman"/>
      <family val="1"/>
    </font>
    <font>
      <b/>
      <u/>
      <sz val="12"/>
      <name val="Times New Roman"/>
      <family val="1"/>
    </font>
    <font>
      <b/>
      <sz val="11"/>
      <color rgb="FFFF0000"/>
      <name val="Times New Roman"/>
      <family val="1"/>
    </font>
    <font>
      <b/>
      <sz val="12"/>
      <color rgb="FFFF0000"/>
      <name val="Times New Roman"/>
      <family val="1"/>
    </font>
    <font>
      <u/>
      <sz val="12"/>
      <name val="Times New Roman"/>
      <family val="1"/>
    </font>
    <font>
      <sz val="11"/>
      <color theme="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name val="Times New Roman"/>
      <family val="1"/>
    </font>
    <font>
      <b/>
      <u/>
      <sz val="11"/>
      <name val="Times New Roman"/>
      <family val="1"/>
    </font>
    <font>
      <i/>
      <sz val="11"/>
      <name val="Times New Roman"/>
      <family val="1"/>
    </font>
    <font>
      <i/>
      <sz val="10"/>
      <name val="Times New Roman"/>
      <family val="1"/>
    </font>
    <font>
      <sz val="11"/>
      <color indexed="10"/>
      <name val="Times New Roman"/>
      <family val="1"/>
    </font>
    <font>
      <sz val="11"/>
      <color rgb="FF0070C0"/>
      <name val="Times New Roman"/>
      <family val="1"/>
    </font>
    <font>
      <b/>
      <sz val="11"/>
      <color rgb="FF0070C0"/>
      <name val="Times New Roman"/>
      <family val="1"/>
    </font>
    <font>
      <vertAlign val="superscript"/>
      <sz val="11"/>
      <name val="Times New Roman"/>
      <family val="1"/>
    </font>
    <font>
      <u/>
      <sz val="11"/>
      <color theme="0"/>
      <name val="Times New Roman"/>
      <family val="1"/>
    </font>
    <font>
      <b/>
      <sz val="11"/>
      <color theme="0"/>
      <name val="Times New Roman"/>
      <family val="1"/>
    </font>
    <font>
      <sz val="11"/>
      <name val="Calibri"/>
      <family val="2"/>
    </font>
    <font>
      <b/>
      <u/>
      <sz val="12"/>
      <name val="Calibri"/>
      <family val="2"/>
    </font>
    <font>
      <u/>
      <sz val="11"/>
      <name val="Calibri"/>
      <family val="2"/>
    </font>
    <font>
      <b/>
      <sz val="11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sz val="10"/>
      <color rgb="FFFF0000"/>
      <name val="Calibri"/>
      <family val="2"/>
    </font>
    <font>
      <sz val="10"/>
      <color indexed="30"/>
      <name val="Calibri"/>
      <family val="2"/>
    </font>
    <font>
      <b/>
      <sz val="10"/>
      <color indexed="30"/>
      <name val="Calibri"/>
      <family val="2"/>
    </font>
    <font>
      <b/>
      <sz val="10"/>
      <color indexed="10"/>
      <name val="Calibri"/>
      <family val="2"/>
    </font>
    <font>
      <b/>
      <sz val="10"/>
      <color rgb="FFFF0000"/>
      <name val="Calibri"/>
      <family val="2"/>
    </font>
    <font>
      <b/>
      <sz val="12"/>
      <name val="Calibri"/>
      <family val="2"/>
    </font>
    <font>
      <b/>
      <sz val="12"/>
      <color rgb="FFFF0000"/>
      <name val="Calibri"/>
      <family val="2"/>
    </font>
    <font>
      <b/>
      <sz val="11"/>
      <color rgb="FFFF0000"/>
      <name val="Calibri"/>
      <family val="2"/>
    </font>
    <font>
      <b/>
      <sz val="14"/>
      <name val="Arial"/>
      <family val="2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5117038483843"/>
        <bgColor indexed="64"/>
      </patternFill>
    </fill>
  </fills>
  <borders count="6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8"/>
      </left>
      <right style="thin">
        <color indexed="8"/>
      </right>
      <top/>
      <bottom style="double">
        <color indexed="64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double">
        <color indexed="8"/>
      </top>
      <bottom style="hair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double">
        <color auto="1"/>
      </top>
      <bottom style="thin">
        <color auto="1"/>
      </bottom>
      <diagonal/>
    </border>
    <border>
      <left style="double">
        <color indexed="64"/>
      </left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/>
      <right/>
      <top/>
      <bottom style="hair">
        <color indexed="8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double">
        <color indexed="8"/>
      </right>
      <top style="hair">
        <color indexed="8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indexed="64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  <border>
      <left/>
      <right style="double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 style="hair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double">
        <color indexed="8"/>
      </right>
      <top style="hair">
        <color indexed="8"/>
      </top>
      <bottom/>
      <diagonal/>
    </border>
    <border>
      <left style="double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8"/>
      </bottom>
      <diagonal/>
    </border>
    <border>
      <left/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8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/>
      <top style="hair">
        <color indexed="64"/>
      </top>
      <bottom style="hair">
        <color indexed="8"/>
      </bottom>
      <diagonal/>
    </border>
    <border>
      <left style="thin">
        <color indexed="64"/>
      </left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/>
      <diagonal/>
    </border>
    <border>
      <left style="double">
        <color indexed="8"/>
      </left>
      <right/>
      <top style="hair">
        <color indexed="8"/>
      </top>
      <bottom/>
      <diagonal/>
    </border>
    <border>
      <left style="double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/>
      <top style="hair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 style="double">
        <color indexed="8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theme="1"/>
      </bottom>
      <diagonal/>
    </border>
    <border>
      <left style="thin">
        <color indexed="8"/>
      </left>
      <right/>
      <top style="double">
        <color indexed="8"/>
      </top>
      <bottom style="hair">
        <color theme="1"/>
      </bottom>
      <diagonal/>
    </border>
    <border>
      <left/>
      <right/>
      <top style="double">
        <color indexed="8"/>
      </top>
      <bottom style="hair">
        <color theme="1"/>
      </bottom>
      <diagonal/>
    </border>
    <border>
      <left/>
      <right style="thin">
        <color indexed="8"/>
      </right>
      <top style="double">
        <color indexed="8"/>
      </top>
      <bottom style="hair">
        <color theme="1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theme="1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/>
      <right style="double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 style="double">
        <color indexed="8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indexed="8"/>
      </right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/>
      <top style="thin">
        <color theme="1"/>
      </top>
      <bottom style="hair">
        <color theme="1"/>
      </bottom>
      <diagonal/>
    </border>
    <border>
      <left/>
      <right/>
      <top style="thin">
        <color theme="1"/>
      </top>
      <bottom style="hair">
        <color theme="1"/>
      </bottom>
      <diagonal/>
    </border>
    <border>
      <left/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double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 style="double">
        <color theme="1"/>
      </left>
      <right style="thin">
        <color theme="1"/>
      </right>
      <top style="hair">
        <color theme="1"/>
      </top>
      <bottom/>
      <diagonal/>
    </border>
    <border>
      <left style="thin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thin">
        <color theme="1"/>
      </right>
      <top style="hair">
        <color theme="1"/>
      </top>
      <bottom/>
      <diagonal/>
    </border>
    <border>
      <left style="thin">
        <color theme="1"/>
      </left>
      <right style="thin">
        <color theme="1"/>
      </right>
      <top style="hair">
        <color indexed="8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/>
      <right/>
      <top style="medium">
        <color indexed="8"/>
      </top>
      <bottom style="hair">
        <color indexed="8"/>
      </bottom>
      <diagonal/>
    </border>
    <border>
      <left/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hair">
        <color indexed="8"/>
      </bottom>
      <diagonal/>
    </border>
    <border>
      <left style="thin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medium">
        <color indexed="8"/>
      </right>
      <top style="hair">
        <color indexed="8"/>
      </top>
      <bottom style="hair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double">
        <color indexed="8"/>
      </bottom>
      <diagonal/>
    </border>
    <border>
      <left style="medium">
        <color indexed="8"/>
      </left>
      <right style="thin">
        <color indexed="8"/>
      </right>
      <top style="double">
        <color indexed="8"/>
      </top>
      <bottom style="hair">
        <color theme="1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theme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double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 style="thin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double">
        <color indexed="8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medium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double">
        <color indexed="8"/>
      </right>
      <top style="hair">
        <color indexed="8"/>
      </top>
      <bottom/>
      <diagonal/>
    </border>
    <border>
      <left style="double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/>
      <diagonal/>
    </border>
    <border>
      <left style="thin">
        <color indexed="8"/>
      </left>
      <right/>
      <top style="thin">
        <color theme="1"/>
      </top>
      <bottom/>
      <diagonal/>
    </border>
    <border>
      <left style="thin">
        <color indexed="8"/>
      </left>
      <right style="double">
        <color indexed="8"/>
      </right>
      <top style="thin">
        <color theme="1"/>
      </top>
      <bottom/>
      <diagonal/>
    </border>
    <border>
      <left style="thin">
        <color indexed="8"/>
      </left>
      <right style="thin">
        <color indexed="8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hair">
        <color theme="1"/>
      </bottom>
      <diagonal/>
    </border>
    <border>
      <left style="thin">
        <color indexed="8"/>
      </left>
      <right style="thin">
        <color indexed="8"/>
      </right>
      <top style="thin">
        <color theme="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/>
      <diagonal/>
    </border>
    <border>
      <left style="double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 style="thin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double">
        <color indexed="8"/>
      </right>
      <top style="hair">
        <color indexed="8"/>
      </top>
      <bottom/>
      <diagonal/>
    </border>
    <border>
      <left/>
      <right style="double">
        <color indexed="8"/>
      </right>
      <top style="thin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hair">
        <color theme="1"/>
      </bottom>
      <diagonal/>
    </border>
    <border>
      <left/>
      <right style="double">
        <color indexed="8"/>
      </right>
      <top style="hair">
        <color indexed="8"/>
      </top>
      <bottom/>
      <diagonal/>
    </border>
    <border>
      <left style="double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/>
      <top style="medium">
        <color indexed="8"/>
      </top>
      <bottom style="double">
        <color indexed="8"/>
      </bottom>
      <diagonal/>
    </border>
    <border>
      <left/>
      <right style="double">
        <color indexed="8"/>
      </right>
      <top style="medium">
        <color indexed="8"/>
      </top>
      <bottom style="double">
        <color indexed="8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/>
      <top/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/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 style="double">
        <color auto="1"/>
      </bottom>
      <diagonal/>
    </border>
  </borders>
  <cellStyleXfs count="38">
    <xf numFmtId="0" fontId="0" fillId="0" borderId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10" fillId="0" borderId="0"/>
    <xf numFmtId="0" fontId="2" fillId="0" borderId="0"/>
    <xf numFmtId="0" fontId="11" fillId="0" borderId="0"/>
    <xf numFmtId="0" fontId="22" fillId="0" borderId="0"/>
    <xf numFmtId="0" fontId="7" fillId="0" borderId="0"/>
    <xf numFmtId="0" fontId="6" fillId="0" borderId="0"/>
    <xf numFmtId="9" fontId="8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6" fillId="0" borderId="0"/>
    <xf numFmtId="9" fontId="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</cellStyleXfs>
  <cellXfs count="3820">
    <xf numFmtId="0" fontId="0" fillId="0" borderId="0" xfId="0"/>
    <xf numFmtId="0" fontId="0" fillId="0" borderId="2" xfId="0" applyBorder="1"/>
    <xf numFmtId="0" fontId="4" fillId="0" borderId="2" xfId="0" applyFont="1" applyBorder="1" applyAlignment="1">
      <alignment horizontal="center"/>
    </xf>
    <xf numFmtId="0" fontId="0" fillId="0" borderId="0" xfId="0" applyFill="1"/>
    <xf numFmtId="0" fontId="2" fillId="0" borderId="0" xfId="0" applyFont="1" applyFill="1"/>
    <xf numFmtId="0" fontId="2" fillId="0" borderId="0" xfId="12" applyFont="1" applyFill="1"/>
    <xf numFmtId="168" fontId="2" fillId="0" borderId="0" xfId="2" applyNumberFormat="1" applyFont="1" applyFill="1"/>
    <xf numFmtId="0" fontId="0" fillId="0" borderId="0" xfId="0" applyAlignment="1">
      <alignment horizontal="center"/>
    </xf>
    <xf numFmtId="168" fontId="13" fillId="0" borderId="0" xfId="2" applyNumberFormat="1" applyFont="1" applyFill="1" applyAlignment="1">
      <alignment vertical="center"/>
    </xf>
    <xf numFmtId="0" fontId="18" fillId="0" borderId="0" xfId="12" applyFont="1" applyFill="1"/>
    <xf numFmtId="0" fontId="13" fillId="0" borderId="0" xfId="12" applyFont="1" applyFill="1" applyAlignment="1">
      <alignment vertical="center"/>
    </xf>
    <xf numFmtId="0" fontId="13" fillId="0" borderId="0" xfId="12" applyFont="1" applyFill="1" applyBorder="1" applyAlignment="1">
      <alignment vertical="center"/>
    </xf>
    <xf numFmtId="0" fontId="18" fillId="0" borderId="45" xfId="20" applyFont="1" applyFill="1" applyBorder="1" applyProtection="1"/>
    <xf numFmtId="0" fontId="18" fillId="0" borderId="44" xfId="20" applyFont="1" applyFill="1" applyBorder="1" applyProtection="1"/>
    <xf numFmtId="0" fontId="13" fillId="0" borderId="0" xfId="20" applyFont="1" applyFill="1" applyBorder="1" applyAlignment="1" applyProtection="1">
      <alignment horizontal="center" vertical="center"/>
    </xf>
    <xf numFmtId="0" fontId="13" fillId="0" borderId="0" xfId="20" applyFont="1" applyFill="1" applyBorder="1" applyAlignment="1">
      <alignment vertical="center"/>
    </xf>
    <xf numFmtId="0" fontId="13" fillId="0" borderId="0" xfId="20" applyFont="1" applyFill="1" applyBorder="1" applyAlignment="1" applyProtection="1">
      <alignment horizontal="left" vertical="center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center"/>
    </xf>
    <xf numFmtId="0" fontId="30" fillId="0" borderId="0" xfId="0" applyFont="1"/>
    <xf numFmtId="2" fontId="30" fillId="0" borderId="0" xfId="0" applyNumberFormat="1" applyFont="1" applyAlignment="1">
      <alignment horizontal="center"/>
    </xf>
    <xf numFmtId="0" fontId="29" fillId="0" borderId="0" xfId="0" applyFont="1" applyBorder="1"/>
    <xf numFmtId="0" fontId="30" fillId="0" borderId="0" xfId="0" applyFont="1" applyBorder="1" applyAlignment="1">
      <alignment horizontal="center"/>
    </xf>
    <xf numFmtId="2" fontId="30" fillId="0" borderId="0" xfId="0" applyNumberFormat="1" applyFont="1" applyBorder="1" applyAlignment="1">
      <alignment horizontal="center"/>
    </xf>
    <xf numFmtId="0" fontId="29" fillId="0" borderId="66" xfId="0" applyFont="1" applyBorder="1" applyAlignment="1">
      <alignment horizontal="right"/>
    </xf>
    <xf numFmtId="0" fontId="29" fillId="0" borderId="67" xfId="0" applyFont="1" applyBorder="1"/>
    <xf numFmtId="0" fontId="31" fillId="0" borderId="67" xfId="0" applyFont="1" applyBorder="1" applyAlignment="1">
      <alignment horizontal="center"/>
    </xf>
    <xf numFmtId="0" fontId="30" fillId="0" borderId="67" xfId="0" applyFont="1" applyBorder="1" applyAlignment="1">
      <alignment horizontal="center"/>
    </xf>
    <xf numFmtId="0" fontId="29" fillId="0" borderId="72" xfId="0" applyFont="1" applyBorder="1"/>
    <xf numFmtId="0" fontId="29" fillId="0" borderId="73" xfId="0" applyFont="1" applyBorder="1" applyAlignment="1">
      <alignment horizontal="left"/>
    </xf>
    <xf numFmtId="166" fontId="30" fillId="0" borderId="0" xfId="0" applyNumberFormat="1" applyFont="1" applyBorder="1" applyAlignment="1">
      <alignment horizontal="center"/>
    </xf>
    <xf numFmtId="2" fontId="2" fillId="0" borderId="0" xfId="0" applyNumberFormat="1" applyFont="1" applyBorder="1" applyAlignment="1">
      <alignment horizontal="center"/>
    </xf>
    <xf numFmtId="0" fontId="29" fillId="0" borderId="74" xfId="0" applyFont="1" applyBorder="1"/>
    <xf numFmtId="0" fontId="29" fillId="0" borderId="73" xfId="0" applyFont="1" applyBorder="1" applyAlignment="1">
      <alignment horizontal="right"/>
    </xf>
    <xf numFmtId="0" fontId="29" fillId="0" borderId="75" xfId="0" applyFont="1" applyBorder="1" applyAlignment="1">
      <alignment horizontal="right"/>
    </xf>
    <xf numFmtId="0" fontId="29" fillId="0" borderId="76" xfId="0" applyFont="1" applyBorder="1"/>
    <xf numFmtId="0" fontId="30" fillId="0" borderId="76" xfId="0" applyFont="1" applyBorder="1" applyAlignment="1">
      <alignment horizontal="center"/>
    </xf>
    <xf numFmtId="2" fontId="30" fillId="0" borderId="76" xfId="0" applyNumberFormat="1" applyFont="1" applyBorder="1" applyAlignment="1">
      <alignment horizontal="center"/>
    </xf>
    <xf numFmtId="0" fontId="29" fillId="0" borderId="77" xfId="0" applyFont="1" applyBorder="1"/>
    <xf numFmtId="43" fontId="30" fillId="0" borderId="0" xfId="0" applyNumberFormat="1" applyFont="1" applyAlignment="1">
      <alignment horizontal="center"/>
    </xf>
    <xf numFmtId="2" fontId="29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right"/>
    </xf>
    <xf numFmtId="2" fontId="2" fillId="0" borderId="0" xfId="0" applyNumberFormat="1" applyFont="1" applyFill="1" applyAlignment="1">
      <alignment horizontal="center"/>
    </xf>
    <xf numFmtId="0" fontId="2" fillId="0" borderId="35" xfId="0" applyFont="1" applyFill="1" applyBorder="1"/>
    <xf numFmtId="0" fontId="2" fillId="0" borderId="35" xfId="0" applyFont="1" applyFill="1" applyBorder="1" applyAlignment="1">
      <alignment horizontal="center"/>
    </xf>
    <xf numFmtId="2" fontId="2" fillId="0" borderId="35" xfId="0" applyNumberFormat="1" applyFont="1" applyFill="1" applyBorder="1" applyAlignment="1">
      <alignment horizontal="center"/>
    </xf>
    <xf numFmtId="2" fontId="4" fillId="0" borderId="0" xfId="0" applyNumberFormat="1" applyFont="1" applyFill="1" applyAlignment="1">
      <alignment horizontal="center"/>
    </xf>
    <xf numFmtId="174" fontId="2" fillId="0" borderId="35" xfId="0" applyNumberFormat="1" applyFont="1" applyFill="1" applyBorder="1" applyAlignment="1">
      <alignment horizontal="center"/>
    </xf>
    <xf numFmtId="174" fontId="2" fillId="0" borderId="0" xfId="0" applyNumberFormat="1" applyFont="1" applyFill="1" applyAlignment="1">
      <alignment horizont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/>
    <xf numFmtId="0" fontId="2" fillId="0" borderId="0" xfId="0" applyFont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2" fontId="2" fillId="0" borderId="35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/>
    <xf numFmtId="0" fontId="2" fillId="0" borderId="93" xfId="0" applyFont="1" applyBorder="1"/>
    <xf numFmtId="0" fontId="2" fillId="0" borderId="94" xfId="0" applyFont="1" applyBorder="1"/>
    <xf numFmtId="0" fontId="2" fillId="0" borderId="95" xfId="0" applyFont="1" applyBorder="1"/>
    <xf numFmtId="0" fontId="2" fillId="0" borderId="92" xfId="0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168" fontId="2" fillId="0" borderId="96" xfId="0" applyNumberFormat="1" applyFont="1" applyBorder="1"/>
    <xf numFmtId="0" fontId="2" fillId="0" borderId="98" xfId="0" applyFont="1" applyBorder="1" applyAlignment="1">
      <alignment horizontal="center" vertical="center"/>
    </xf>
    <xf numFmtId="0" fontId="2" fillId="0" borderId="99" xfId="0" applyFont="1" applyBorder="1" applyAlignment="1">
      <alignment horizontal="center" vertical="center"/>
    </xf>
    <xf numFmtId="168" fontId="2" fillId="0" borderId="99" xfId="0" applyNumberFormat="1" applyFont="1" applyBorder="1"/>
    <xf numFmtId="0" fontId="2" fillId="0" borderId="101" xfId="0" applyFont="1" applyBorder="1"/>
    <xf numFmtId="0" fontId="2" fillId="0" borderId="102" xfId="0" applyFont="1" applyBorder="1"/>
    <xf numFmtId="0" fontId="2" fillId="0" borderId="104" xfId="0" applyFont="1" applyBorder="1"/>
    <xf numFmtId="0" fontId="2" fillId="0" borderId="0" xfId="0" applyFont="1" applyBorder="1"/>
    <xf numFmtId="0" fontId="2" fillId="0" borderId="105" xfId="0" applyFont="1" applyBorder="1" applyAlignment="1">
      <alignment horizontal="center"/>
    </xf>
    <xf numFmtId="0" fontId="2" fillId="0" borderId="106" xfId="0" applyFont="1" applyBorder="1"/>
    <xf numFmtId="0" fontId="2" fillId="0" borderId="78" xfId="0" applyFont="1" applyBorder="1"/>
    <xf numFmtId="0" fontId="2" fillId="0" borderId="107" xfId="0" applyFont="1" applyBorder="1"/>
    <xf numFmtId="0" fontId="2" fillId="0" borderId="84" xfId="0" applyFont="1" applyBorder="1"/>
    <xf numFmtId="0" fontId="2" fillId="0" borderId="70" xfId="0" applyFont="1" applyBorder="1" applyAlignment="1">
      <alignment horizontal="center"/>
    </xf>
    <xf numFmtId="0" fontId="2" fillId="0" borderId="8" xfId="0" applyFont="1" applyBorder="1"/>
    <xf numFmtId="0" fontId="2" fillId="0" borderId="25" xfId="0" applyFont="1" applyBorder="1"/>
    <xf numFmtId="0" fontId="2" fillId="0" borderId="2" xfId="0" applyFont="1" applyBorder="1"/>
    <xf numFmtId="0" fontId="2" fillId="0" borderId="96" xfId="0" applyFont="1" applyBorder="1" applyAlignment="1">
      <alignment horizontal="center"/>
    </xf>
    <xf numFmtId="0" fontId="2" fillId="0" borderId="99" xfId="0" applyFont="1" applyBorder="1" applyAlignment="1">
      <alignment horizontal="center"/>
    </xf>
    <xf numFmtId="0" fontId="2" fillId="0" borderId="98" xfId="0" applyFont="1" applyBorder="1" applyAlignment="1">
      <alignment horizontal="center"/>
    </xf>
    <xf numFmtId="41" fontId="2" fillId="0" borderId="99" xfId="0" applyNumberFormat="1" applyFont="1" applyBorder="1" applyAlignment="1">
      <alignment horizontal="center" vertical="center"/>
    </xf>
    <xf numFmtId="41" fontId="2" fillId="0" borderId="99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86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0" fillId="0" borderId="111" xfId="0" applyBorder="1"/>
    <xf numFmtId="0" fontId="4" fillId="0" borderId="112" xfId="0" applyFont="1" applyBorder="1" applyAlignment="1">
      <alignment horizontal="center" vertical="center" wrapText="1"/>
    </xf>
    <xf numFmtId="0" fontId="4" fillId="0" borderId="113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4" fillId="0" borderId="87" xfId="0" applyFont="1" applyBorder="1" applyAlignment="1">
      <alignment horizontal="center" vertical="center" wrapText="1"/>
    </xf>
    <xf numFmtId="0" fontId="4" fillId="0" borderId="88" xfId="0" quotePrefix="1" applyFont="1" applyBorder="1" applyAlignment="1">
      <alignment horizontal="center"/>
    </xf>
    <xf numFmtId="0" fontId="4" fillId="0" borderId="90" xfId="0" quotePrefix="1" applyFont="1" applyBorder="1" applyAlignment="1">
      <alignment horizontal="center"/>
    </xf>
    <xf numFmtId="0" fontId="4" fillId="0" borderId="82" xfId="0" quotePrefix="1" applyFont="1" applyBorder="1" applyAlignment="1">
      <alignment horizontal="center"/>
    </xf>
    <xf numFmtId="0" fontId="4" fillId="0" borderId="91" xfId="0" quotePrefix="1" applyFont="1" applyBorder="1" applyAlignment="1">
      <alignment horizontal="center"/>
    </xf>
    <xf numFmtId="0" fontId="2" fillId="0" borderId="105" xfId="0" applyFont="1" applyBorder="1"/>
    <xf numFmtId="0" fontId="0" fillId="0" borderId="84" xfId="0" applyBorder="1"/>
    <xf numFmtId="0" fontId="0" fillId="0" borderId="85" xfId="0" applyBorder="1"/>
    <xf numFmtId="168" fontId="2" fillId="4" borderId="93" xfId="0" applyNumberFormat="1" applyFont="1" applyFill="1" applyBorder="1" applyAlignment="1">
      <alignment vertical="center"/>
    </xf>
    <xf numFmtId="43" fontId="0" fillId="0" borderId="96" xfId="0" applyNumberFormat="1" applyBorder="1"/>
    <xf numFmtId="43" fontId="0" fillId="0" borderId="97" xfId="0" applyNumberFormat="1" applyBorder="1"/>
    <xf numFmtId="0" fontId="2" fillId="0" borderId="108" xfId="0" applyFont="1" applyBorder="1"/>
    <xf numFmtId="0" fontId="2" fillId="0" borderId="109" xfId="0" applyFont="1" applyBorder="1"/>
    <xf numFmtId="0" fontId="2" fillId="0" borderId="110" xfId="0" applyFont="1" applyBorder="1"/>
    <xf numFmtId="168" fontId="2" fillId="0" borderId="108" xfId="0" applyNumberFormat="1" applyFont="1" applyBorder="1"/>
    <xf numFmtId="43" fontId="0" fillId="0" borderId="99" xfId="0" applyNumberFormat="1" applyBorder="1"/>
    <xf numFmtId="43" fontId="0" fillId="0" borderId="100" xfId="0" applyNumberFormat="1" applyBorder="1"/>
    <xf numFmtId="0" fontId="2" fillId="0" borderId="115" xfId="0" applyFont="1" applyBorder="1"/>
    <xf numFmtId="0" fontId="2" fillId="0" borderId="116" xfId="0" applyFont="1" applyBorder="1"/>
    <xf numFmtId="0" fontId="0" fillId="0" borderId="86" xfId="0" applyBorder="1"/>
    <xf numFmtId="0" fontId="0" fillId="0" borderId="87" xfId="0" applyBorder="1"/>
    <xf numFmtId="0" fontId="4" fillId="0" borderId="0" xfId="0" applyFont="1" applyBorder="1"/>
    <xf numFmtId="0" fontId="0" fillId="0" borderId="69" xfId="0" applyBorder="1"/>
    <xf numFmtId="0" fontId="2" fillId="0" borderId="92" xfId="0" applyFont="1" applyBorder="1" applyAlignment="1">
      <alignment horizontal="center"/>
    </xf>
    <xf numFmtId="168" fontId="2" fillId="0" borderId="93" xfId="0" applyNumberFormat="1" applyFont="1" applyBorder="1"/>
    <xf numFmtId="43" fontId="0" fillId="0" borderId="2" xfId="0" applyNumberFormat="1" applyBorder="1"/>
    <xf numFmtId="43" fontId="30" fillId="0" borderId="99" xfId="0" applyNumberFormat="1" applyFont="1" applyBorder="1"/>
    <xf numFmtId="43" fontId="30" fillId="0" borderId="100" xfId="0" applyNumberFormat="1" applyFont="1" applyBorder="1"/>
    <xf numFmtId="0" fontId="2" fillId="0" borderId="98" xfId="0" applyFont="1" applyFill="1" applyBorder="1" applyAlignment="1">
      <alignment horizontal="center" vertical="center"/>
    </xf>
    <xf numFmtId="0" fontId="2" fillId="0" borderId="108" xfId="0" applyFont="1" applyFill="1" applyBorder="1"/>
    <xf numFmtId="0" fontId="2" fillId="0" borderId="109" xfId="0" applyFont="1" applyFill="1" applyBorder="1"/>
    <xf numFmtId="0" fontId="2" fillId="0" borderId="110" xfId="0" applyFont="1" applyFill="1" applyBorder="1"/>
    <xf numFmtId="0" fontId="2" fillId="0" borderId="99" xfId="0" applyFont="1" applyFill="1" applyBorder="1" applyAlignment="1">
      <alignment horizontal="center"/>
    </xf>
    <xf numFmtId="168" fontId="2" fillId="0" borderId="108" xfId="0" applyNumberFormat="1" applyFont="1" applyFill="1" applyBorder="1"/>
    <xf numFmtId="43" fontId="0" fillId="0" borderId="99" xfId="0" applyNumberFormat="1" applyFill="1" applyBorder="1"/>
    <xf numFmtId="43" fontId="30" fillId="0" borderId="99" xfId="0" applyNumberFormat="1" applyFont="1" applyFill="1" applyBorder="1"/>
    <xf numFmtId="43" fontId="30" fillId="0" borderId="100" xfId="0" applyNumberFormat="1" applyFont="1" applyFill="1" applyBorder="1"/>
    <xf numFmtId="43" fontId="0" fillId="0" borderId="100" xfId="0" applyNumberFormat="1" applyFill="1" applyBorder="1"/>
    <xf numFmtId="0" fontId="2" fillId="0" borderId="99" xfId="0" applyFont="1" applyBorder="1"/>
    <xf numFmtId="0" fontId="2" fillId="4" borderId="108" xfId="0" applyFont="1" applyFill="1" applyBorder="1"/>
    <xf numFmtId="0" fontId="2" fillId="4" borderId="109" xfId="0" applyFont="1" applyFill="1" applyBorder="1"/>
    <xf numFmtId="0" fontId="2" fillId="4" borderId="110" xfId="0" applyFont="1" applyFill="1" applyBorder="1"/>
    <xf numFmtId="0" fontId="2" fillId="4" borderId="99" xfId="0" applyFont="1" applyFill="1" applyBorder="1" applyAlignment="1">
      <alignment horizontal="center"/>
    </xf>
    <xf numFmtId="168" fontId="2" fillId="4" borderId="108" xfId="0" applyNumberFormat="1" applyFont="1" applyFill="1" applyBorder="1"/>
    <xf numFmtId="0" fontId="0" fillId="4" borderId="0" xfId="0" applyFill="1"/>
    <xf numFmtId="0" fontId="2" fillId="0" borderId="117" xfId="0" applyFont="1" applyBorder="1" applyAlignment="1">
      <alignment horizontal="center"/>
    </xf>
    <xf numFmtId="0" fontId="2" fillId="0" borderId="118" xfId="0" applyFont="1" applyBorder="1" applyAlignment="1">
      <alignment horizontal="center"/>
    </xf>
    <xf numFmtId="0" fontId="2" fillId="0" borderId="119" xfId="0" applyFont="1" applyBorder="1"/>
    <xf numFmtId="0" fontId="2" fillId="0" borderId="120" xfId="0" applyFont="1" applyBorder="1"/>
    <xf numFmtId="0" fontId="2" fillId="0" borderId="121" xfId="0" applyFont="1" applyBorder="1"/>
    <xf numFmtId="0" fontId="2" fillId="0" borderId="122" xfId="0" applyFont="1" applyBorder="1" applyAlignment="1">
      <alignment horizontal="center"/>
    </xf>
    <xf numFmtId="168" fontId="2" fillId="0" borderId="119" xfId="0" applyNumberFormat="1" applyFont="1" applyBorder="1"/>
    <xf numFmtId="43" fontId="0" fillId="0" borderId="122" xfId="0" applyNumberFormat="1" applyBorder="1"/>
    <xf numFmtId="43" fontId="0" fillId="0" borderId="123" xfId="0" applyNumberFormat="1" applyBorder="1"/>
    <xf numFmtId="0" fontId="4" fillId="0" borderId="25" xfId="0" applyFont="1" applyBorder="1"/>
    <xf numFmtId="0" fontId="2" fillId="0" borderId="2" xfId="0" applyFont="1" applyBorder="1" applyAlignment="1">
      <alignment horizontal="center"/>
    </xf>
    <xf numFmtId="168" fontId="2" fillId="0" borderId="8" xfId="0" applyNumberFormat="1" applyFont="1" applyBorder="1"/>
    <xf numFmtId="43" fontId="0" fillId="0" borderId="69" xfId="0" applyNumberFormat="1" applyBorder="1"/>
    <xf numFmtId="0" fontId="0" fillId="0" borderId="122" xfId="0" applyBorder="1"/>
    <xf numFmtId="0" fontId="0" fillId="0" borderId="123" xfId="0" applyBorder="1"/>
    <xf numFmtId="0" fontId="4" fillId="0" borderId="108" xfId="0" applyFont="1" applyBorder="1" applyAlignment="1">
      <alignment horizontal="center"/>
    </xf>
    <xf numFmtId="0" fontId="4" fillId="0" borderId="109" xfId="0" applyFont="1" applyBorder="1" applyAlignment="1">
      <alignment horizontal="center"/>
    </xf>
    <xf numFmtId="0" fontId="4" fillId="0" borderId="110" xfId="0" applyFont="1" applyBorder="1" applyAlignment="1">
      <alignment horizontal="center"/>
    </xf>
    <xf numFmtId="168" fontId="0" fillId="0" borderId="108" xfId="2" applyNumberFormat="1" applyFont="1" applyBorder="1"/>
    <xf numFmtId="0" fontId="2" fillId="0" borderId="118" xfId="0" applyFont="1" applyBorder="1" applyAlignment="1">
      <alignment horizontal="center" vertical="center"/>
    </xf>
    <xf numFmtId="0" fontId="4" fillId="0" borderId="94" xfId="0" applyFont="1" applyBorder="1"/>
    <xf numFmtId="0" fontId="2" fillId="0" borderId="70" xfId="0" applyFont="1" applyBorder="1" applyAlignment="1">
      <alignment horizontal="center" vertical="center"/>
    </xf>
    <xf numFmtId="168" fontId="0" fillId="0" borderId="8" xfId="2" applyNumberFormat="1" applyFont="1" applyBorder="1"/>
    <xf numFmtId="0" fontId="4" fillId="0" borderId="96" xfId="0" applyFont="1" applyBorder="1" applyAlignment="1">
      <alignment horizontal="center"/>
    </xf>
    <xf numFmtId="0" fontId="0" fillId="0" borderId="96" xfId="0" applyBorder="1"/>
    <xf numFmtId="0" fontId="0" fillId="0" borderId="97" xfId="0" applyBorder="1"/>
    <xf numFmtId="0" fontId="4" fillId="0" borderId="94" xfId="0" applyFont="1" applyFill="1" applyBorder="1"/>
    <xf numFmtId="0" fontId="2" fillId="0" borderId="109" xfId="1" applyNumberFormat="1" applyFont="1" applyFill="1" applyBorder="1" applyAlignment="1">
      <alignment vertical="center"/>
    </xf>
    <xf numFmtId="0" fontId="2" fillId="0" borderId="99" xfId="20" applyFont="1" applyFill="1" applyBorder="1" applyAlignment="1" applyProtection="1">
      <alignment horizontal="center" vertical="center"/>
    </xf>
    <xf numFmtId="43" fontId="29" fillId="0" borderId="99" xfId="0" applyNumberFormat="1" applyFont="1" applyBorder="1" applyAlignment="1">
      <alignment vertical="center"/>
    </xf>
    <xf numFmtId="49" fontId="2" fillId="0" borderId="109" xfId="1" applyNumberFormat="1" applyFont="1" applyFill="1" applyBorder="1" applyAlignment="1">
      <alignment vertical="center"/>
    </xf>
    <xf numFmtId="39" fontId="2" fillId="0" borderId="109" xfId="11" applyNumberFormat="1" applyFont="1" applyFill="1" applyBorder="1" applyAlignment="1" applyProtection="1">
      <alignment vertical="center"/>
    </xf>
    <xf numFmtId="0" fontId="2" fillId="0" borderId="109" xfId="1" applyNumberFormat="1" applyFont="1" applyFill="1" applyBorder="1" applyAlignment="1" applyProtection="1">
      <alignment vertical="center"/>
    </xf>
    <xf numFmtId="0" fontId="2" fillId="0" borderId="109" xfId="0" applyFont="1" applyFill="1" applyBorder="1" applyAlignment="1" applyProtection="1">
      <alignment vertical="center"/>
    </xf>
    <xf numFmtId="0" fontId="2" fillId="0" borderId="114" xfId="0" applyFont="1" applyBorder="1" applyAlignment="1">
      <alignment horizontal="center" vertical="center"/>
    </xf>
    <xf numFmtId="0" fontId="2" fillId="0" borderId="111" xfId="0" applyFont="1" applyBorder="1"/>
    <xf numFmtId="0" fontId="2" fillId="0" borderId="86" xfId="0" applyFont="1" applyBorder="1" applyAlignment="1">
      <alignment horizontal="center"/>
    </xf>
    <xf numFmtId="168" fontId="2" fillId="0" borderId="86" xfId="0" applyNumberFormat="1" applyFont="1" applyBorder="1"/>
    <xf numFmtId="0" fontId="13" fillId="0" borderId="0" xfId="20" applyFont="1" applyFill="1" applyBorder="1" applyAlignment="1">
      <alignment vertical="top"/>
    </xf>
    <xf numFmtId="0" fontId="29" fillId="0" borderId="0" xfId="0" applyFont="1" applyAlignment="1">
      <alignment horizontal="center" vertical="center"/>
    </xf>
    <xf numFmtId="43" fontId="13" fillId="0" borderId="0" xfId="27" applyFont="1" applyFill="1" applyBorder="1" applyAlignment="1">
      <alignment vertical="center"/>
    </xf>
    <xf numFmtId="43" fontId="14" fillId="0" borderId="0" xfId="27" applyFont="1" applyFill="1" applyBorder="1" applyAlignment="1">
      <alignment vertical="center"/>
    </xf>
    <xf numFmtId="168" fontId="18" fillId="0" borderId="0" xfId="12" applyNumberFormat="1" applyFont="1" applyFill="1"/>
    <xf numFmtId="0" fontId="2" fillId="0" borderId="0" xfId="20" applyFont="1" applyFill="1" applyBorder="1" applyAlignment="1" applyProtection="1">
      <alignment horizontal="left" vertical="center"/>
    </xf>
    <xf numFmtId="168" fontId="13" fillId="0" borderId="0" xfId="12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8" fillId="0" borderId="0" xfId="0" applyFont="1" applyFill="1" applyAlignment="1">
      <alignment vertical="center"/>
    </xf>
    <xf numFmtId="171" fontId="38" fillId="0" borderId="0" xfId="11" applyNumberFormat="1" applyFont="1" applyFill="1" applyAlignment="1" applyProtection="1">
      <alignment vertical="center"/>
    </xf>
    <xf numFmtId="0" fontId="38" fillId="0" borderId="0" xfId="11" applyFont="1" applyFill="1" applyAlignment="1">
      <alignment vertical="center"/>
    </xf>
    <xf numFmtId="0" fontId="38" fillId="0" borderId="0" xfId="11" applyFont="1" applyFill="1" applyAlignment="1" applyProtection="1">
      <alignment horizontal="left" vertical="center"/>
    </xf>
    <xf numFmtId="0" fontId="15" fillId="0" borderId="0" xfId="20" applyFont="1" applyFill="1" applyBorder="1" applyAlignment="1" applyProtection="1">
      <alignment horizontal="center" vertical="center"/>
    </xf>
    <xf numFmtId="0" fontId="14" fillId="0" borderId="15" xfId="20" applyFont="1" applyFill="1" applyBorder="1" applyAlignment="1" applyProtection="1">
      <alignment horizontal="center" vertical="center"/>
    </xf>
    <xf numFmtId="0" fontId="14" fillId="0" borderId="12" xfId="20" applyFont="1" applyFill="1" applyBorder="1" applyAlignment="1" applyProtection="1">
      <alignment horizontal="center" vertical="center"/>
    </xf>
    <xf numFmtId="0" fontId="41" fillId="0" borderId="0" xfId="0" applyFont="1" applyFill="1" applyAlignment="1">
      <alignment vertical="center"/>
    </xf>
    <xf numFmtId="43" fontId="41" fillId="0" borderId="0" xfId="1" applyFont="1" applyFill="1" applyBorder="1" applyAlignment="1">
      <alignment horizontal="center" vertical="center"/>
    </xf>
    <xf numFmtId="0" fontId="41" fillId="0" borderId="0" xfId="0" applyFont="1" applyFill="1"/>
    <xf numFmtId="0" fontId="13" fillId="0" borderId="0" xfId="0" applyFont="1" applyFill="1" applyAlignment="1">
      <alignment horizontal="center" vertical="center"/>
    </xf>
    <xf numFmtId="0" fontId="14" fillId="0" borderId="0" xfId="20" applyFont="1" applyFill="1" applyAlignment="1" applyProtection="1">
      <alignment vertical="center"/>
    </xf>
    <xf numFmtId="0" fontId="14" fillId="0" borderId="0" xfId="20" applyNumberFormat="1" applyFont="1" applyFill="1" applyAlignment="1" applyProtection="1">
      <alignment vertical="center"/>
    </xf>
    <xf numFmtId="0" fontId="14" fillId="0" borderId="0" xfId="20" applyFont="1" applyFill="1" applyBorder="1" applyAlignment="1" applyProtection="1">
      <alignment vertical="center"/>
    </xf>
    <xf numFmtId="0" fontId="13" fillId="0" borderId="0" xfId="0" applyFont="1" applyFill="1" applyAlignment="1">
      <alignment vertical="center"/>
    </xf>
    <xf numFmtId="0" fontId="15" fillId="0" borderId="0" xfId="20" applyNumberFormat="1" applyFont="1" applyFill="1" applyAlignment="1" applyProtection="1">
      <alignment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NumberFormat="1" applyFont="1" applyFill="1" applyAlignment="1">
      <alignment vertical="center"/>
    </xf>
    <xf numFmtId="0" fontId="15" fillId="0" borderId="0" xfId="20" applyFont="1" applyFill="1" applyAlignment="1" applyProtection="1">
      <alignment horizontal="left" vertical="center"/>
    </xf>
    <xf numFmtId="0" fontId="13" fillId="0" borderId="0" xfId="20" applyFont="1" applyFill="1" applyAlignment="1" applyProtection="1">
      <alignment vertical="center"/>
    </xf>
    <xf numFmtId="0" fontId="13" fillId="0" borderId="0" xfId="20" applyNumberFormat="1" applyFont="1" applyFill="1" applyAlignment="1" applyProtection="1">
      <alignment vertical="center"/>
    </xf>
    <xf numFmtId="0" fontId="13" fillId="0" borderId="0" xfId="20" applyFont="1" applyFill="1" applyBorder="1" applyAlignment="1" applyProtection="1">
      <alignment vertical="center"/>
    </xf>
    <xf numFmtId="0" fontId="13" fillId="0" borderId="0" xfId="20" applyFont="1" applyFill="1" applyBorder="1" applyAlignment="1" applyProtection="1">
      <alignment horizontal="centerContinuous" vertical="center"/>
    </xf>
    <xf numFmtId="0" fontId="13" fillId="0" borderId="0" xfId="20" applyNumberFormat="1" applyFont="1" applyFill="1" applyBorder="1" applyAlignment="1" applyProtection="1">
      <alignment vertical="center"/>
    </xf>
    <xf numFmtId="0" fontId="13" fillId="0" borderId="0" xfId="0" applyFont="1" applyFill="1" applyBorder="1" applyAlignment="1">
      <alignment vertical="center"/>
    </xf>
    <xf numFmtId="39" fontId="13" fillId="0" borderId="0" xfId="20" applyNumberFormat="1" applyFont="1" applyFill="1" applyBorder="1" applyAlignment="1" applyProtection="1">
      <alignment vertical="center"/>
    </xf>
    <xf numFmtId="0" fontId="13" fillId="0" borderId="0" xfId="1" applyNumberFormat="1" applyFont="1" applyFill="1" applyBorder="1" applyAlignment="1" applyProtection="1">
      <alignment vertical="center"/>
    </xf>
    <xf numFmtId="0" fontId="13" fillId="0" borderId="0" xfId="11" applyFont="1" applyFill="1" applyBorder="1" applyAlignment="1" applyProtection="1">
      <alignment vertical="center"/>
    </xf>
    <xf numFmtId="168" fontId="14" fillId="0" borderId="0" xfId="2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20" applyNumberFormat="1" applyFont="1" applyFill="1" applyAlignment="1">
      <alignment horizontal="center" vertical="center"/>
    </xf>
    <xf numFmtId="0" fontId="14" fillId="0" borderId="0" xfId="20" applyFont="1" applyFill="1" applyAlignment="1">
      <alignment horizontal="center" vertical="center"/>
    </xf>
    <xf numFmtId="0" fontId="14" fillId="0" borderId="0" xfId="2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21" xfId="20" applyFont="1" applyFill="1" applyBorder="1" applyAlignment="1" applyProtection="1">
      <alignment vertical="center"/>
    </xf>
    <xf numFmtId="0" fontId="14" fillId="0" borderId="37" xfId="20" applyFont="1" applyFill="1" applyBorder="1" applyAlignment="1" applyProtection="1">
      <alignment vertical="center"/>
    </xf>
    <xf numFmtId="0" fontId="14" fillId="0" borderId="22" xfId="20" applyNumberFormat="1" applyFont="1" applyFill="1" applyBorder="1" applyAlignment="1" applyProtection="1">
      <alignment vertical="center"/>
    </xf>
    <xf numFmtId="0" fontId="14" fillId="0" borderId="22" xfId="20" applyFont="1" applyFill="1" applyBorder="1" applyAlignment="1" applyProtection="1">
      <alignment vertical="center"/>
    </xf>
    <xf numFmtId="0" fontId="14" fillId="0" borderId="23" xfId="20" applyFont="1" applyFill="1" applyBorder="1" applyAlignment="1" applyProtection="1">
      <alignment vertical="center"/>
    </xf>
    <xf numFmtId="0" fontId="14" fillId="0" borderId="38" xfId="20" applyFont="1" applyFill="1" applyBorder="1" applyAlignment="1" applyProtection="1">
      <alignment vertical="center"/>
    </xf>
    <xf numFmtId="0" fontId="14" fillId="0" borderId="33" xfId="20" applyFont="1" applyFill="1" applyBorder="1" applyAlignment="1" applyProtection="1">
      <alignment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34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vertical="center"/>
    </xf>
    <xf numFmtId="0" fontId="14" fillId="0" borderId="201" xfId="20" applyFont="1" applyFill="1" applyBorder="1" applyAlignment="1" applyProtection="1">
      <alignment vertical="center"/>
    </xf>
    <xf numFmtId="0" fontId="14" fillId="0" borderId="202" xfId="20" applyNumberFormat="1" applyFont="1" applyFill="1" applyBorder="1" applyAlignment="1" applyProtection="1">
      <alignment vertical="center"/>
    </xf>
    <xf numFmtId="0" fontId="14" fillId="0" borderId="202" xfId="20" applyFont="1" applyFill="1" applyBorder="1" applyAlignment="1" applyProtection="1">
      <alignment vertical="center"/>
    </xf>
    <xf numFmtId="0" fontId="14" fillId="0" borderId="203" xfId="20" applyFont="1" applyFill="1" applyBorder="1" applyAlignment="1" applyProtection="1">
      <alignment vertical="center"/>
    </xf>
    <xf numFmtId="0" fontId="14" fillId="0" borderId="204" xfId="0" applyFont="1" applyFill="1" applyBorder="1" applyAlignment="1">
      <alignment vertical="center"/>
    </xf>
    <xf numFmtId="0" fontId="14" fillId="0" borderId="205" xfId="0" applyFont="1" applyFill="1" applyBorder="1" applyAlignment="1">
      <alignment vertical="center"/>
    </xf>
    <xf numFmtId="168" fontId="14" fillId="0" borderId="0" xfId="2" applyNumberFormat="1" applyFont="1" applyFill="1" applyAlignment="1">
      <alignment horizontal="right" vertical="center"/>
    </xf>
    <xf numFmtId="0" fontId="13" fillId="0" borderId="42" xfId="20" applyFont="1" applyFill="1" applyBorder="1" applyAlignment="1" applyProtection="1">
      <alignment horizontal="center" vertical="center"/>
    </xf>
    <xf numFmtId="0" fontId="13" fillId="0" borderId="37" xfId="20" applyFont="1" applyFill="1" applyBorder="1" applyAlignment="1" applyProtection="1">
      <alignment vertical="center"/>
    </xf>
    <xf numFmtId="0" fontId="13" fillId="0" borderId="12" xfId="20" applyFont="1" applyFill="1" applyBorder="1" applyAlignment="1" applyProtection="1">
      <alignment vertical="center"/>
    </xf>
    <xf numFmtId="0" fontId="13" fillId="0" borderId="15" xfId="20" applyFont="1" applyFill="1" applyBorder="1" applyAlignment="1" applyProtection="1">
      <alignment vertical="center"/>
    </xf>
    <xf numFmtId="0" fontId="13" fillId="0" borderId="37" xfId="0" applyFont="1" applyFill="1" applyBorder="1" applyAlignment="1">
      <alignment vertical="center"/>
    </xf>
    <xf numFmtId="0" fontId="13" fillId="0" borderId="22" xfId="20" applyFont="1" applyFill="1" applyBorder="1" applyAlignment="1" applyProtection="1">
      <alignment vertical="center"/>
    </xf>
    <xf numFmtId="0" fontId="13" fillId="0" borderId="34" xfId="0" applyFont="1" applyFill="1" applyBorder="1" applyAlignment="1">
      <alignment vertical="center"/>
    </xf>
    <xf numFmtId="41" fontId="13" fillId="0" borderId="0" xfId="2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3" fillId="0" borderId="185" xfId="20" applyFont="1" applyFill="1" applyBorder="1" applyAlignment="1" applyProtection="1">
      <alignment horizontal="center" vertical="center"/>
    </xf>
    <xf numFmtId="0" fontId="13" fillId="0" borderId="164" xfId="20" applyFont="1" applyFill="1" applyBorder="1" applyAlignment="1" applyProtection="1">
      <alignment horizontal="centerContinuous" vertical="center"/>
    </xf>
    <xf numFmtId="41" fontId="13" fillId="0" borderId="166" xfId="2" applyFont="1" applyFill="1" applyBorder="1" applyAlignment="1">
      <alignment vertical="center"/>
    </xf>
    <xf numFmtId="0" fontId="13" fillId="0" borderId="166" xfId="20" applyFont="1" applyFill="1" applyBorder="1" applyAlignment="1">
      <alignment vertical="center"/>
    </xf>
    <xf numFmtId="0" fontId="13" fillId="0" borderId="175" xfId="20" applyFont="1" applyFill="1" applyBorder="1" applyAlignment="1">
      <alignment vertical="center"/>
    </xf>
    <xf numFmtId="0" fontId="13" fillId="0" borderId="161" xfId="20" applyFont="1" applyFill="1" applyBorder="1" applyAlignment="1" applyProtection="1">
      <alignment horizontal="center" vertical="center"/>
    </xf>
    <xf numFmtId="39" fontId="13" fillId="0" borderId="164" xfId="20" applyNumberFormat="1" applyFont="1" applyFill="1" applyBorder="1" applyAlignment="1" applyProtection="1">
      <alignment horizontal="center" vertical="center"/>
    </xf>
    <xf numFmtId="168" fontId="45" fillId="0" borderId="162" xfId="2" applyNumberFormat="1" applyFont="1" applyFill="1" applyBorder="1" applyAlignment="1">
      <alignment vertical="center"/>
    </xf>
    <xf numFmtId="0" fontId="13" fillId="0" borderId="174" xfId="0" applyFont="1" applyFill="1" applyBorder="1" applyAlignment="1">
      <alignment vertical="center"/>
    </xf>
    <xf numFmtId="168" fontId="46" fillId="0" borderId="0" xfId="2" applyNumberFormat="1" applyFont="1" applyFill="1" applyAlignment="1">
      <alignment vertical="center"/>
    </xf>
    <xf numFmtId="0" fontId="13" fillId="0" borderId="161" xfId="20" applyFont="1" applyFill="1" applyBorder="1" applyAlignment="1" applyProtection="1">
      <alignment horizontal="centerContinuous" vertical="center"/>
    </xf>
    <xf numFmtId="41" fontId="13" fillId="0" borderId="162" xfId="2" applyFont="1" applyFill="1" applyBorder="1" applyAlignment="1" applyProtection="1">
      <alignment vertical="center"/>
    </xf>
    <xf numFmtId="0" fontId="13" fillId="0" borderId="162" xfId="20" applyFont="1" applyFill="1" applyBorder="1" applyAlignment="1" applyProtection="1">
      <alignment vertical="center"/>
    </xf>
    <xf numFmtId="0" fontId="13" fillId="0" borderId="165" xfId="20" applyFont="1" applyFill="1" applyBorder="1" applyAlignment="1" applyProtection="1">
      <alignment vertical="center"/>
    </xf>
    <xf numFmtId="0" fontId="13" fillId="0" borderId="161" xfId="0" applyFont="1" applyFill="1" applyBorder="1" applyAlignment="1">
      <alignment vertical="center"/>
    </xf>
    <xf numFmtId="0" fontId="13" fillId="0" borderId="186" xfId="0" applyFont="1" applyFill="1" applyBorder="1" applyAlignment="1">
      <alignment vertical="center"/>
    </xf>
    <xf numFmtId="41" fontId="13" fillId="0" borderId="53" xfId="2" applyFont="1" applyFill="1" applyBorder="1" applyAlignment="1">
      <alignment vertical="center"/>
    </xf>
    <xf numFmtId="0" fontId="13" fillId="0" borderId="53" xfId="20" applyFont="1" applyFill="1" applyBorder="1" applyAlignment="1">
      <alignment vertical="center"/>
    </xf>
    <xf numFmtId="0" fontId="13" fillId="0" borderId="54" xfId="20" applyFont="1" applyFill="1" applyBorder="1" applyAlignment="1">
      <alignment vertical="center"/>
    </xf>
    <xf numFmtId="39" fontId="13" fillId="0" borderId="55" xfId="20" applyNumberFormat="1" applyFont="1" applyFill="1" applyBorder="1" applyAlignment="1" applyProtection="1">
      <alignment horizontal="center" vertical="center"/>
    </xf>
    <xf numFmtId="0" fontId="13" fillId="0" borderId="56" xfId="0" applyFont="1" applyFill="1" applyBorder="1" applyAlignment="1">
      <alignment vertical="center"/>
    </xf>
    <xf numFmtId="43" fontId="13" fillId="0" borderId="162" xfId="1" applyFont="1" applyFill="1" applyBorder="1" applyProtection="1"/>
    <xf numFmtId="41" fontId="46" fillId="0" borderId="162" xfId="2" applyFont="1" applyFill="1" applyBorder="1" applyAlignment="1" applyProtection="1">
      <alignment vertical="center"/>
    </xf>
    <xf numFmtId="168" fontId="46" fillId="0" borderId="162" xfId="2" applyNumberFormat="1" applyFont="1" applyFill="1" applyBorder="1" applyAlignment="1">
      <alignment vertical="center"/>
    </xf>
    <xf numFmtId="41" fontId="13" fillId="0" borderId="171" xfId="2" applyFont="1" applyFill="1" applyBorder="1" applyAlignment="1" applyProtection="1">
      <alignment vertical="center"/>
    </xf>
    <xf numFmtId="0" fontId="13" fillId="0" borderId="171" xfId="20" applyFont="1" applyFill="1" applyBorder="1" applyAlignment="1" applyProtection="1">
      <alignment vertical="center"/>
    </xf>
    <xf numFmtId="0" fontId="13" fillId="0" borderId="180" xfId="20" applyFont="1" applyFill="1" applyBorder="1" applyAlignment="1" applyProtection="1">
      <alignment vertical="center"/>
    </xf>
    <xf numFmtId="0" fontId="13" fillId="0" borderId="170" xfId="0" applyFont="1" applyFill="1" applyBorder="1" applyAlignment="1">
      <alignment vertical="center"/>
    </xf>
    <xf numFmtId="0" fontId="13" fillId="0" borderId="172" xfId="0" applyFont="1" applyFill="1" applyBorder="1" applyAlignment="1">
      <alignment vertical="center"/>
    </xf>
    <xf numFmtId="0" fontId="13" fillId="0" borderId="176" xfId="20" applyFont="1" applyFill="1" applyBorder="1" applyAlignment="1" applyProtection="1">
      <alignment horizontal="center" vertical="center"/>
    </xf>
    <xf numFmtId="0" fontId="13" fillId="0" borderId="177" xfId="20" applyFont="1" applyFill="1" applyBorder="1" applyAlignment="1" applyProtection="1">
      <alignment horizontal="centerContinuous" vertical="center"/>
    </xf>
    <xf numFmtId="0" fontId="13" fillId="0" borderId="178" xfId="20" applyNumberFormat="1" applyFont="1" applyFill="1" applyBorder="1" applyAlignment="1" applyProtection="1">
      <alignment vertical="center"/>
    </xf>
    <xf numFmtId="0" fontId="13" fillId="0" borderId="178" xfId="20" applyFont="1" applyFill="1" applyBorder="1" applyAlignment="1" applyProtection="1">
      <alignment vertical="center"/>
    </xf>
    <xf numFmtId="0" fontId="13" fillId="0" borderId="181" xfId="20" applyFont="1" applyFill="1" applyBorder="1" applyAlignment="1" applyProtection="1">
      <alignment vertical="center"/>
    </xf>
    <xf numFmtId="0" fontId="13" fillId="0" borderId="177" xfId="20" applyFont="1" applyFill="1" applyBorder="1" applyAlignment="1" applyProtection="1">
      <alignment horizontal="center" vertical="center"/>
    </xf>
    <xf numFmtId="0" fontId="13" fillId="0" borderId="177" xfId="0" applyFont="1" applyFill="1" applyBorder="1" applyAlignment="1">
      <alignment vertical="center"/>
    </xf>
    <xf numFmtId="39" fontId="13" fillId="0" borderId="178" xfId="20" applyNumberFormat="1" applyFont="1" applyFill="1" applyBorder="1" applyAlignment="1" applyProtection="1">
      <alignment vertical="center"/>
    </xf>
    <xf numFmtId="0" fontId="13" fillId="0" borderId="179" xfId="0" applyFont="1" applyFill="1" applyBorder="1" applyAlignment="1">
      <alignment vertical="center"/>
    </xf>
    <xf numFmtId="168" fontId="13" fillId="0" borderId="0" xfId="2" applyNumberFormat="1" applyFont="1" applyFill="1" applyBorder="1" applyAlignment="1">
      <alignment horizontal="center" vertical="center"/>
    </xf>
    <xf numFmtId="0" fontId="16" fillId="0" borderId="0" xfId="20" applyFont="1" applyFill="1" applyBorder="1" applyAlignment="1" applyProtection="1">
      <alignment horizontal="center" vertical="center"/>
    </xf>
    <xf numFmtId="0" fontId="13" fillId="0" borderId="0" xfId="0" applyNumberFormat="1" applyFont="1" applyFill="1" applyAlignment="1">
      <alignment vertical="center"/>
    </xf>
    <xf numFmtId="0" fontId="14" fillId="0" borderId="23" xfId="0" applyFont="1" applyFill="1" applyBorder="1" applyAlignment="1">
      <alignment vertical="center"/>
    </xf>
    <xf numFmtId="0" fontId="14" fillId="0" borderId="206" xfId="0" applyFont="1" applyFill="1" applyBorder="1" applyAlignment="1">
      <alignment vertical="center"/>
    </xf>
    <xf numFmtId="0" fontId="14" fillId="0" borderId="201" xfId="0" applyFont="1" applyFill="1" applyBorder="1" applyAlignment="1">
      <alignment vertical="center"/>
    </xf>
    <xf numFmtId="0" fontId="14" fillId="0" borderId="203" xfId="0" applyFont="1" applyFill="1" applyBorder="1" applyAlignment="1">
      <alignment vertical="center"/>
    </xf>
    <xf numFmtId="0" fontId="13" fillId="0" borderId="59" xfId="20" applyFont="1" applyFill="1" applyBorder="1" applyAlignment="1" applyProtection="1">
      <alignment horizontal="center" vertical="center"/>
    </xf>
    <xf numFmtId="0" fontId="13" fillId="0" borderId="60" xfId="20" applyFont="1" applyFill="1" applyBorder="1" applyAlignment="1" applyProtection="1">
      <alignment vertical="center"/>
    </xf>
    <xf numFmtId="0" fontId="13" fillId="0" borderId="61" xfId="20" applyNumberFormat="1" applyFont="1" applyFill="1" applyBorder="1" applyAlignment="1" applyProtection="1">
      <alignment vertical="center"/>
    </xf>
    <xf numFmtId="0" fontId="13" fillId="0" borderId="61" xfId="20" applyFont="1" applyFill="1" applyBorder="1" applyAlignment="1" applyProtection="1">
      <alignment vertical="center"/>
    </xf>
    <xf numFmtId="0" fontId="13" fillId="0" borderId="62" xfId="0" applyFont="1" applyFill="1" applyBorder="1" applyAlignment="1">
      <alignment vertical="center"/>
    </xf>
    <xf numFmtId="17" fontId="14" fillId="0" borderId="0" xfId="0" applyNumberFormat="1" applyFont="1" applyFill="1" applyAlignment="1">
      <alignment horizontal="center" vertical="center"/>
    </xf>
    <xf numFmtId="0" fontId="45" fillId="0" borderId="162" xfId="1" applyNumberFormat="1" applyFont="1" applyFill="1" applyBorder="1" applyAlignment="1" applyProtection="1">
      <alignment vertical="center"/>
    </xf>
    <xf numFmtId="0" fontId="13" fillId="0" borderId="163" xfId="20" applyFont="1" applyFill="1" applyBorder="1" applyAlignment="1" applyProtection="1">
      <alignment horizontal="center" vertical="center"/>
    </xf>
    <xf numFmtId="39" fontId="13" fillId="0" borderId="161" xfId="20" applyNumberFormat="1" applyFont="1" applyFill="1" applyBorder="1" applyAlignment="1" applyProtection="1">
      <alignment vertical="center"/>
    </xf>
    <xf numFmtId="168" fontId="13" fillId="0" borderId="162" xfId="2" applyNumberFormat="1" applyFont="1" applyFill="1" applyBorder="1" applyAlignment="1">
      <alignment vertical="center"/>
    </xf>
    <xf numFmtId="0" fontId="13" fillId="0" borderId="195" xfId="20" applyFont="1" applyFill="1" applyBorder="1" applyAlignment="1" applyProtection="1">
      <alignment horizontal="centerContinuous" vertical="center"/>
    </xf>
    <xf numFmtId="0" fontId="45" fillId="0" borderId="162" xfId="1" applyNumberFormat="1" applyFont="1" applyFill="1" applyBorder="1" applyAlignment="1">
      <alignment vertical="center"/>
    </xf>
    <xf numFmtId="0" fontId="13" fillId="0" borderId="162" xfId="20" applyFont="1" applyFill="1" applyBorder="1" applyAlignment="1">
      <alignment vertical="center"/>
    </xf>
    <xf numFmtId="43" fontId="13" fillId="0" borderId="162" xfId="1" applyFont="1" applyFill="1" applyBorder="1"/>
    <xf numFmtId="39" fontId="13" fillId="0" borderId="195" xfId="20" applyNumberFormat="1" applyFont="1" applyFill="1" applyBorder="1" applyAlignment="1" applyProtection="1">
      <alignment horizontal="center" vertical="center"/>
    </xf>
    <xf numFmtId="0" fontId="46" fillId="0" borderId="162" xfId="1" applyNumberFormat="1" applyFont="1" applyFill="1" applyBorder="1" applyAlignment="1" applyProtection="1">
      <alignment vertical="center"/>
    </xf>
    <xf numFmtId="0" fontId="46" fillId="0" borderId="162" xfId="1" applyNumberFormat="1" applyFont="1" applyFill="1" applyBorder="1" applyAlignment="1">
      <alignment vertical="center"/>
    </xf>
    <xf numFmtId="0" fontId="13" fillId="0" borderId="163" xfId="0" applyFont="1" applyFill="1" applyBorder="1" applyAlignment="1">
      <alignment vertical="center"/>
    </xf>
    <xf numFmtId="0" fontId="13" fillId="0" borderId="165" xfId="0" applyFont="1" applyFill="1" applyBorder="1" applyAlignment="1">
      <alignment vertical="center"/>
    </xf>
    <xf numFmtId="43" fontId="13" fillId="0" borderId="186" xfId="0" applyNumberFormat="1" applyFont="1" applyFill="1" applyBorder="1" applyAlignment="1">
      <alignment vertical="center"/>
    </xf>
    <xf numFmtId="0" fontId="25" fillId="0" borderId="161" xfId="20" applyFont="1" applyFill="1" applyBorder="1" applyAlignment="1" applyProtection="1">
      <alignment horizontal="centerContinuous" vertical="center"/>
    </xf>
    <xf numFmtId="39" fontId="25" fillId="0" borderId="161" xfId="20" applyNumberFormat="1" applyFont="1" applyFill="1" applyBorder="1" applyAlignment="1" applyProtection="1">
      <alignment vertical="center"/>
    </xf>
    <xf numFmtId="0" fontId="25" fillId="0" borderId="186" xfId="0" applyFont="1" applyFill="1" applyBorder="1" applyAlignment="1">
      <alignment vertical="center"/>
    </xf>
    <xf numFmtId="0" fontId="25" fillId="0" borderId="0" xfId="0" applyFont="1" applyFill="1" applyAlignment="1">
      <alignment vertical="center"/>
    </xf>
    <xf numFmtId="168" fontId="25" fillId="0" borderId="0" xfId="2" applyNumberFormat="1" applyFont="1" applyFill="1" applyAlignment="1">
      <alignment vertical="center"/>
    </xf>
    <xf numFmtId="39" fontId="13" fillId="0" borderId="162" xfId="20" applyNumberFormat="1" applyFont="1" applyFill="1" applyBorder="1" applyAlignment="1" applyProtection="1">
      <alignment vertical="center"/>
    </xf>
    <xf numFmtId="0" fontId="13" fillId="0" borderId="55" xfId="20" applyFont="1" applyFill="1" applyBorder="1" applyAlignment="1" applyProtection="1">
      <alignment horizontal="centerContinuous" vertical="center"/>
    </xf>
    <xf numFmtId="49" fontId="46" fillId="0" borderId="53" xfId="1" applyNumberFormat="1" applyFont="1" applyFill="1" applyBorder="1" applyAlignment="1">
      <alignment vertical="center"/>
    </xf>
    <xf numFmtId="43" fontId="13" fillId="0" borderId="45" xfId="1" applyFont="1" applyFill="1" applyBorder="1" applyProtection="1"/>
    <xf numFmtId="0" fontId="13" fillId="0" borderId="80" xfId="20" applyFont="1" applyFill="1" applyBorder="1" applyAlignment="1" applyProtection="1">
      <alignment horizontal="center" vertical="center"/>
    </xf>
    <xf numFmtId="0" fontId="13" fillId="0" borderId="46" xfId="0" applyFont="1" applyFill="1" applyBorder="1" applyAlignment="1">
      <alignment vertical="center"/>
    </xf>
    <xf numFmtId="49" fontId="46" fillId="0" borderId="166" xfId="1" applyNumberFormat="1" applyFont="1" applyFill="1" applyBorder="1" applyAlignment="1">
      <alignment vertical="center"/>
    </xf>
    <xf numFmtId="0" fontId="13" fillId="0" borderId="167" xfId="20" applyFont="1" applyFill="1" applyBorder="1" applyAlignment="1" applyProtection="1">
      <alignment horizontal="center" vertical="center"/>
    </xf>
    <xf numFmtId="39" fontId="13" fillId="0" borderId="166" xfId="20" applyNumberFormat="1" applyFont="1" applyFill="1" applyBorder="1" applyAlignment="1" applyProtection="1">
      <alignment horizontal="center" vertical="center"/>
    </xf>
    <xf numFmtId="0" fontId="13" fillId="0" borderId="173" xfId="20" applyFont="1" applyFill="1" applyBorder="1" applyAlignment="1" applyProtection="1">
      <alignment horizontal="centerContinuous" vertical="center"/>
    </xf>
    <xf numFmtId="49" fontId="46" fillId="0" borderId="187" xfId="1" applyNumberFormat="1" applyFont="1" applyFill="1" applyBorder="1" applyAlignment="1">
      <alignment vertical="center"/>
    </xf>
    <xf numFmtId="0" fontId="13" fillId="0" borderId="187" xfId="20" applyFont="1" applyFill="1" applyBorder="1" applyAlignment="1">
      <alignment vertical="center"/>
    </xf>
    <xf numFmtId="0" fontId="13" fillId="0" borderId="188" xfId="20" applyFont="1" applyFill="1" applyBorder="1" applyAlignment="1" applyProtection="1">
      <alignment horizontal="center" vertical="center"/>
    </xf>
    <xf numFmtId="39" fontId="13" fillId="0" borderId="187" xfId="20" applyNumberFormat="1" applyFont="1" applyFill="1" applyBorder="1" applyAlignment="1" applyProtection="1">
      <alignment horizontal="center" vertical="center"/>
    </xf>
    <xf numFmtId="168" fontId="13" fillId="2" borderId="0" xfId="2" applyNumberFormat="1" applyFont="1" applyFill="1" applyAlignment="1">
      <alignment vertical="center"/>
    </xf>
    <xf numFmtId="0" fontId="13" fillId="0" borderId="44" xfId="20" applyFont="1" applyFill="1" applyBorder="1" applyAlignment="1" applyProtection="1">
      <alignment horizontal="centerContinuous" vertical="center"/>
    </xf>
    <xf numFmtId="49" fontId="46" fillId="0" borderId="45" xfId="1" applyNumberFormat="1" applyFont="1" applyFill="1" applyBorder="1" applyAlignment="1">
      <alignment vertical="center"/>
    </xf>
    <xf numFmtId="0" fontId="13" fillId="0" borderId="45" xfId="20" applyFont="1" applyFill="1" applyBorder="1" applyAlignment="1">
      <alignment vertical="center"/>
    </xf>
    <xf numFmtId="0" fontId="13" fillId="0" borderId="44" xfId="20" applyFont="1" applyFill="1" applyBorder="1" applyAlignment="1" applyProtection="1">
      <alignment horizontal="center" vertical="center"/>
    </xf>
    <xf numFmtId="39" fontId="13" fillId="0" borderId="44" xfId="20" applyNumberFormat="1" applyFont="1" applyFill="1" applyBorder="1" applyAlignment="1" applyProtection="1">
      <alignment horizontal="center" vertical="center"/>
    </xf>
    <xf numFmtId="0" fontId="19" fillId="0" borderId="186" xfId="0" applyFont="1" applyFill="1" applyBorder="1" applyAlignment="1">
      <alignment vertical="center"/>
    </xf>
    <xf numFmtId="0" fontId="46" fillId="0" borderId="45" xfId="1" applyNumberFormat="1" applyFont="1" applyFill="1" applyBorder="1" applyAlignment="1">
      <alignment vertical="center"/>
    </xf>
    <xf numFmtId="0" fontId="13" fillId="0" borderId="65" xfId="20" applyFont="1" applyFill="1" applyBorder="1" applyAlignment="1" applyProtection="1">
      <alignment horizontal="center" vertical="center"/>
    </xf>
    <xf numFmtId="39" fontId="13" fillId="0" borderId="44" xfId="20" applyNumberFormat="1" applyFont="1" applyFill="1" applyBorder="1" applyAlignment="1" applyProtection="1">
      <alignment vertical="center"/>
    </xf>
    <xf numFmtId="165" fontId="13" fillId="0" borderId="0" xfId="0" applyNumberFormat="1" applyFont="1" applyFill="1" applyAlignment="1">
      <alignment vertical="center"/>
    </xf>
    <xf numFmtId="43" fontId="13" fillId="0" borderId="45" xfId="1" applyFont="1" applyFill="1" applyBorder="1"/>
    <xf numFmtId="0" fontId="46" fillId="0" borderId="166" xfId="1" applyNumberFormat="1" applyFont="1" applyFill="1" applyBorder="1" applyAlignment="1">
      <alignment vertical="center"/>
    </xf>
    <xf numFmtId="39" fontId="13" fillId="0" borderId="0" xfId="20" applyNumberFormat="1" applyFont="1" applyFill="1" applyBorder="1" applyAlignment="1" applyProtection="1">
      <alignment horizontal="center" vertical="center"/>
    </xf>
    <xf numFmtId="0" fontId="13" fillId="0" borderId="207" xfId="20" applyFont="1" applyFill="1" applyBorder="1" applyAlignment="1" applyProtection="1">
      <alignment horizontal="center" vertical="center"/>
    </xf>
    <xf numFmtId="0" fontId="31" fillId="0" borderId="155" xfId="0" applyFont="1" applyBorder="1"/>
    <xf numFmtId="49" fontId="46" fillId="0" borderId="162" xfId="1" applyNumberFormat="1" applyFont="1" applyFill="1" applyBorder="1" applyAlignment="1" applyProtection="1">
      <alignment vertical="center"/>
    </xf>
    <xf numFmtId="0" fontId="46" fillId="0" borderId="0" xfId="1" applyNumberFormat="1" applyFont="1" applyFill="1" applyBorder="1" applyAlignment="1">
      <alignment vertical="center"/>
    </xf>
    <xf numFmtId="0" fontId="46" fillId="0" borderId="162" xfId="0" applyNumberFormat="1" applyFont="1" applyFill="1" applyBorder="1" applyAlignment="1">
      <alignment vertical="center"/>
    </xf>
    <xf numFmtId="0" fontId="13" fillId="0" borderId="162" xfId="0" applyFont="1" applyFill="1" applyBorder="1" applyAlignment="1">
      <alignment vertical="center"/>
    </xf>
    <xf numFmtId="0" fontId="46" fillId="0" borderId="45" xfId="20" applyNumberFormat="1" applyFont="1" applyFill="1" applyBorder="1" applyAlignment="1" applyProtection="1">
      <alignment vertical="center"/>
    </xf>
    <xf numFmtId="0" fontId="13" fillId="0" borderId="45" xfId="20" applyFont="1" applyFill="1" applyBorder="1" applyAlignment="1" applyProtection="1">
      <alignment vertical="center"/>
    </xf>
    <xf numFmtId="0" fontId="13" fillId="0" borderId="44" xfId="20" applyFont="1" applyFill="1" applyBorder="1" applyAlignment="1" applyProtection="1">
      <alignment vertical="center"/>
    </xf>
    <xf numFmtId="0" fontId="46" fillId="0" borderId="162" xfId="0" applyFont="1" applyFill="1" applyBorder="1"/>
    <xf numFmtId="41" fontId="13" fillId="0" borderId="162" xfId="2" applyFont="1" applyFill="1" applyBorder="1"/>
    <xf numFmtId="0" fontId="46" fillId="0" borderId="0" xfId="1" applyNumberFormat="1" applyFont="1" applyFill="1" applyBorder="1" applyAlignment="1" applyProtection="1">
      <alignment vertical="center"/>
    </xf>
    <xf numFmtId="0" fontId="13" fillId="0" borderId="199" xfId="20" applyFont="1" applyFill="1" applyBorder="1" applyAlignment="1" applyProtection="1">
      <alignment horizontal="center" vertical="center"/>
    </xf>
    <xf numFmtId="0" fontId="46" fillId="0" borderId="0" xfId="0" applyNumberFormat="1" applyFont="1" applyFill="1" applyAlignment="1">
      <alignment vertical="center"/>
    </xf>
    <xf numFmtId="0" fontId="19" fillId="0" borderId="0" xfId="0" applyFont="1" applyFill="1" applyAlignment="1">
      <alignment vertical="center"/>
    </xf>
    <xf numFmtId="49" fontId="46" fillId="0" borderId="162" xfId="1" applyNumberFormat="1" applyFont="1" applyFill="1" applyBorder="1" applyAlignment="1">
      <alignment vertical="center"/>
    </xf>
    <xf numFmtId="168" fontId="25" fillId="0" borderId="162" xfId="2" applyNumberFormat="1" applyFont="1" applyFill="1" applyBorder="1" applyAlignment="1">
      <alignment vertical="center"/>
    </xf>
    <xf numFmtId="0" fontId="13" fillId="0" borderId="161" xfId="20" applyFont="1" applyFill="1" applyBorder="1" applyAlignment="1">
      <alignment vertical="center"/>
    </xf>
    <xf numFmtId="0" fontId="31" fillId="0" borderId="166" xfId="0" applyFont="1" applyBorder="1"/>
    <xf numFmtId="168" fontId="48" fillId="0" borderId="162" xfId="2" applyNumberFormat="1" applyFont="1" applyFill="1" applyBorder="1" applyAlignment="1">
      <alignment vertical="center"/>
    </xf>
    <xf numFmtId="0" fontId="13" fillId="0" borderId="165" xfId="20" applyFont="1" applyFill="1" applyBorder="1" applyAlignment="1">
      <alignment vertical="center"/>
    </xf>
    <xf numFmtId="41" fontId="13" fillId="0" borderId="162" xfId="2" applyFont="1" applyFill="1" applyBorder="1" applyAlignment="1">
      <alignment horizontal="left"/>
    </xf>
    <xf numFmtId="0" fontId="13" fillId="0" borderId="189" xfId="20" applyFont="1" applyFill="1" applyBorder="1" applyAlignment="1" applyProtection="1">
      <alignment horizontal="centerContinuous" vertical="center"/>
    </xf>
    <xf numFmtId="0" fontId="13" fillId="0" borderId="190" xfId="20" applyFont="1" applyFill="1" applyBorder="1" applyAlignment="1">
      <alignment vertical="center"/>
    </xf>
    <xf numFmtId="0" fontId="13" fillId="0" borderId="191" xfId="20" applyFont="1" applyFill="1" applyBorder="1" applyAlignment="1">
      <alignment vertical="center"/>
    </xf>
    <xf numFmtId="39" fontId="13" fillId="0" borderId="189" xfId="20" applyNumberFormat="1" applyFont="1" applyFill="1" applyBorder="1" applyAlignment="1" applyProtection="1">
      <alignment horizontal="center" vertical="center"/>
    </xf>
    <xf numFmtId="41" fontId="13" fillId="0" borderId="162" xfId="2" applyFont="1" applyFill="1" applyBorder="1" applyProtection="1"/>
    <xf numFmtId="0" fontId="25" fillId="0" borderId="162" xfId="20" applyFont="1" applyFill="1" applyBorder="1" applyAlignment="1" applyProtection="1">
      <alignment vertical="center"/>
    </xf>
    <xf numFmtId="43" fontId="25" fillId="0" borderId="162" xfId="1" applyFont="1" applyFill="1" applyBorder="1" applyProtection="1"/>
    <xf numFmtId="0" fontId="25" fillId="0" borderId="161" xfId="20" applyFont="1" applyFill="1" applyBorder="1" applyAlignment="1" applyProtection="1">
      <alignment horizontal="center" vertical="center"/>
    </xf>
    <xf numFmtId="0" fontId="13" fillId="0" borderId="162" xfId="20" applyFont="1" applyFill="1" applyBorder="1" applyAlignment="1" applyProtection="1">
      <alignment horizontal="center" vertical="center"/>
    </xf>
    <xf numFmtId="0" fontId="13" fillId="0" borderId="163" xfId="0" applyFont="1" applyFill="1" applyBorder="1" applyAlignment="1">
      <alignment horizontal="center" vertical="center"/>
    </xf>
    <xf numFmtId="0" fontId="46" fillId="0" borderId="162" xfId="20" applyFont="1" applyFill="1" applyBorder="1" applyAlignment="1" applyProtection="1">
      <alignment vertical="center"/>
    </xf>
    <xf numFmtId="0" fontId="46" fillId="0" borderId="165" xfId="20" applyFont="1" applyFill="1" applyBorder="1" applyAlignment="1">
      <alignment vertical="center"/>
    </xf>
    <xf numFmtId="0" fontId="46" fillId="0" borderId="162" xfId="20" applyFont="1" applyFill="1" applyBorder="1" applyAlignment="1">
      <alignment vertical="center"/>
    </xf>
    <xf numFmtId="0" fontId="13" fillId="0" borderId="198" xfId="20" applyFont="1" applyFill="1" applyBorder="1" applyAlignment="1">
      <alignment vertical="center"/>
    </xf>
    <xf numFmtId="0" fontId="13" fillId="0" borderId="162" xfId="20" applyNumberFormat="1" applyFont="1" applyFill="1" applyBorder="1" applyAlignment="1" applyProtection="1">
      <alignment vertical="center"/>
    </xf>
    <xf numFmtId="0" fontId="13" fillId="0" borderId="161" xfId="20" applyFont="1" applyFill="1" applyBorder="1" applyAlignment="1" applyProtection="1">
      <alignment vertical="center"/>
    </xf>
    <xf numFmtId="49" fontId="46" fillId="0" borderId="162" xfId="1" applyNumberFormat="1" applyFont="1" applyFill="1" applyBorder="1" applyAlignment="1" applyProtection="1">
      <alignment horizontal="left" vertical="center"/>
    </xf>
    <xf numFmtId="0" fontId="46" fillId="0" borderId="161" xfId="20" applyFont="1" applyFill="1" applyBorder="1" applyAlignment="1" applyProtection="1">
      <alignment horizontal="centerContinuous" vertical="center"/>
    </xf>
    <xf numFmtId="0" fontId="46" fillId="0" borderId="161" xfId="20" applyFont="1" applyFill="1" applyBorder="1" applyAlignment="1" applyProtection="1">
      <alignment horizontal="center" vertical="center"/>
    </xf>
    <xf numFmtId="39" fontId="46" fillId="0" borderId="161" xfId="20" applyNumberFormat="1" applyFont="1" applyFill="1" applyBorder="1" applyAlignment="1" applyProtection="1">
      <alignment vertical="center"/>
    </xf>
    <xf numFmtId="0" fontId="46" fillId="0" borderId="186" xfId="0" applyFont="1" applyFill="1" applyBorder="1" applyAlignment="1">
      <alignment vertical="center"/>
    </xf>
    <xf numFmtId="0" fontId="46" fillId="0" borderId="0" xfId="0" applyFont="1" applyFill="1" applyAlignment="1">
      <alignment vertical="center"/>
    </xf>
    <xf numFmtId="0" fontId="25" fillId="0" borderId="162" xfId="1" applyNumberFormat="1" applyFont="1" applyFill="1" applyBorder="1" applyAlignment="1" applyProtection="1">
      <alignment vertical="center"/>
    </xf>
    <xf numFmtId="0" fontId="25" fillId="0" borderId="163" xfId="20" applyFont="1" applyFill="1" applyBorder="1" applyAlignment="1" applyProtection="1">
      <alignment horizontal="center" vertical="center"/>
    </xf>
    <xf numFmtId="0" fontId="48" fillId="0" borderId="162" xfId="20" applyFont="1" applyFill="1" applyBorder="1" applyAlignment="1" applyProtection="1">
      <alignment vertical="center"/>
    </xf>
    <xf numFmtId="43" fontId="48" fillId="0" borderId="162" xfId="1" applyFont="1" applyFill="1" applyBorder="1" applyProtection="1"/>
    <xf numFmtId="0" fontId="48" fillId="0" borderId="163" xfId="20" applyFont="1" applyFill="1" applyBorder="1" applyAlignment="1" applyProtection="1">
      <alignment horizontal="center" vertical="center"/>
    </xf>
    <xf numFmtId="39" fontId="19" fillId="0" borderId="161" xfId="20" applyNumberFormat="1" applyFont="1" applyFill="1" applyBorder="1" applyAlignment="1" applyProtection="1">
      <alignment vertical="center"/>
    </xf>
    <xf numFmtId="0" fontId="48" fillId="0" borderId="162" xfId="20" applyFont="1" applyFill="1" applyBorder="1" applyAlignment="1">
      <alignment vertical="center"/>
    </xf>
    <xf numFmtId="0" fontId="13" fillId="0" borderId="165" xfId="20" applyFont="1" applyFill="1" applyBorder="1" applyAlignment="1">
      <alignment horizontal="center" vertical="center"/>
    </xf>
    <xf numFmtId="0" fontId="13" fillId="0" borderId="163" xfId="20" applyFont="1" applyFill="1" applyBorder="1" applyAlignment="1">
      <alignment horizontal="center" vertical="center"/>
    </xf>
    <xf numFmtId="0" fontId="13" fillId="0" borderId="192" xfId="20" applyFont="1" applyFill="1" applyBorder="1" applyAlignment="1">
      <alignment horizontal="center" vertical="center"/>
    </xf>
    <xf numFmtId="0" fontId="13" fillId="0" borderId="170" xfId="20" applyFont="1" applyFill="1" applyBorder="1" applyAlignment="1" applyProtection="1">
      <alignment horizontal="centerContinuous" vertical="center"/>
    </xf>
    <xf numFmtId="0" fontId="46" fillId="0" borderId="171" xfId="1" applyNumberFormat="1" applyFont="1" applyFill="1" applyBorder="1" applyAlignment="1" applyProtection="1">
      <alignment vertical="center"/>
    </xf>
    <xf numFmtId="0" fontId="13" fillId="0" borderId="193" xfId="20" applyFont="1" applyFill="1" applyBorder="1" applyAlignment="1" applyProtection="1">
      <alignment horizontal="center" vertical="center"/>
    </xf>
    <xf numFmtId="39" fontId="13" fillId="0" borderId="170" xfId="20" applyNumberFormat="1" applyFont="1" applyFill="1" applyBorder="1" applyAlignment="1" applyProtection="1">
      <alignment vertical="center"/>
    </xf>
    <xf numFmtId="0" fontId="49" fillId="0" borderId="155" xfId="0" applyFont="1" applyBorder="1"/>
    <xf numFmtId="0" fontId="2" fillId="0" borderId="135" xfId="0" applyFont="1" applyBorder="1" applyAlignment="1">
      <alignment horizontal="center"/>
    </xf>
    <xf numFmtId="43" fontId="13" fillId="0" borderId="162" xfId="1" applyFont="1" applyFill="1" applyBorder="1" applyAlignment="1" applyProtection="1"/>
    <xf numFmtId="0" fontId="31" fillId="0" borderId="162" xfId="0" applyFont="1" applyBorder="1"/>
    <xf numFmtId="0" fontId="31" fillId="0" borderId="200" xfId="0" applyFont="1" applyBorder="1"/>
    <xf numFmtId="0" fontId="13" fillId="0" borderId="166" xfId="1" applyNumberFormat="1" applyFont="1" applyFill="1" applyBorder="1" applyAlignment="1">
      <alignment vertical="center"/>
    </xf>
    <xf numFmtId="43" fontId="13" fillId="0" borderId="162" xfId="1" applyFont="1" applyFill="1" applyBorder="1" applyAlignment="1" applyProtection="1">
      <alignment horizontal="left"/>
    </xf>
    <xf numFmtId="0" fontId="13" fillId="0" borderId="168" xfId="20" applyFont="1" applyFill="1" applyBorder="1" applyAlignment="1" applyProtection="1">
      <alignment horizontal="center" vertical="center"/>
    </xf>
    <xf numFmtId="39" fontId="13" fillId="0" borderId="169" xfId="20" applyNumberFormat="1" applyFont="1" applyFill="1" applyBorder="1" applyAlignment="1" applyProtection="1">
      <alignment vertical="center"/>
    </xf>
    <xf numFmtId="0" fontId="13" fillId="0" borderId="165" xfId="20" applyFont="1" applyFill="1" applyBorder="1" applyAlignment="1" applyProtection="1">
      <alignment horizontal="center" vertical="center"/>
    </xf>
    <xf numFmtId="43" fontId="13" fillId="0" borderId="165" xfId="1" applyFont="1" applyFill="1" applyBorder="1"/>
    <xf numFmtId="0" fontId="13" fillId="0" borderId="162" xfId="1" applyNumberFormat="1" applyFont="1" applyFill="1" applyBorder="1" applyAlignment="1">
      <alignment vertical="center"/>
    </xf>
    <xf numFmtId="0" fontId="13" fillId="0" borderId="196" xfId="20" applyFont="1" applyFill="1" applyBorder="1" applyAlignment="1">
      <alignment vertical="center"/>
    </xf>
    <xf numFmtId="0" fontId="13" fillId="0" borderId="195" xfId="20" applyFont="1" applyFill="1" applyBorder="1" applyAlignment="1" applyProtection="1">
      <alignment horizontal="center" vertical="center"/>
    </xf>
    <xf numFmtId="39" fontId="13" fillId="0" borderId="161" xfId="20" applyNumberFormat="1" applyFont="1" applyFill="1" applyBorder="1" applyAlignment="1" applyProtection="1">
      <alignment horizontal="center" vertical="center"/>
    </xf>
    <xf numFmtId="0" fontId="13" fillId="0" borderId="197" xfId="20" applyFont="1" applyFill="1" applyBorder="1" applyAlignment="1" applyProtection="1">
      <alignment horizontal="center" vertical="center"/>
    </xf>
    <xf numFmtId="0" fontId="13" fillId="0" borderId="162" xfId="1" applyNumberFormat="1" applyFont="1" applyFill="1" applyBorder="1" applyAlignment="1" applyProtection="1">
      <alignment vertical="center"/>
    </xf>
    <xf numFmtId="0" fontId="46" fillId="0" borderId="45" xfId="1" applyNumberFormat="1" applyFont="1" applyFill="1" applyBorder="1" applyAlignment="1" applyProtection="1">
      <alignment vertical="center"/>
    </xf>
    <xf numFmtId="0" fontId="50" fillId="0" borderId="162" xfId="0" applyFont="1" applyFill="1" applyBorder="1" applyAlignment="1" applyProtection="1">
      <alignment vertical="center"/>
    </xf>
    <xf numFmtId="0" fontId="25" fillId="2" borderId="45" xfId="1" applyNumberFormat="1" applyFont="1" applyFill="1" applyBorder="1" applyAlignment="1" applyProtection="1">
      <alignment vertical="center"/>
    </xf>
    <xf numFmtId="168" fontId="13" fillId="0" borderId="0" xfId="2" applyNumberFormat="1" applyFont="1" applyFill="1" applyBorder="1" applyAlignment="1">
      <alignment vertical="center"/>
    </xf>
    <xf numFmtId="0" fontId="25" fillId="0" borderId="45" xfId="20" applyFont="1" applyFill="1" applyBorder="1" applyProtection="1"/>
    <xf numFmtId="0" fontId="25" fillId="0" borderId="162" xfId="1" applyNumberFormat="1" applyFont="1" applyFill="1" applyBorder="1" applyAlignment="1">
      <alignment vertical="center"/>
    </xf>
    <xf numFmtId="0" fontId="13" fillId="0" borderId="162" xfId="11" applyFont="1" applyFill="1" applyBorder="1" applyAlignment="1" applyProtection="1">
      <alignment vertical="center"/>
    </xf>
    <xf numFmtId="49" fontId="25" fillId="0" borderId="166" xfId="1" applyNumberFormat="1" applyFont="1" applyFill="1" applyBorder="1" applyAlignment="1">
      <alignment vertical="center"/>
    </xf>
    <xf numFmtId="0" fontId="25" fillId="0" borderId="166" xfId="1" applyNumberFormat="1" applyFont="1" applyFill="1" applyBorder="1" applyAlignment="1">
      <alignment vertical="center"/>
    </xf>
    <xf numFmtId="168" fontId="48" fillId="0" borderId="0" xfId="2" applyNumberFormat="1" applyFont="1" applyFill="1" applyAlignment="1">
      <alignment vertical="center"/>
    </xf>
    <xf numFmtId="49" fontId="13" fillId="0" borderId="166" xfId="1" applyNumberFormat="1" applyFont="1" applyFill="1" applyBorder="1" applyAlignment="1">
      <alignment vertical="center"/>
    </xf>
    <xf numFmtId="0" fontId="13" fillId="0" borderId="194" xfId="0" applyFont="1" applyFill="1" applyBorder="1" applyAlignment="1">
      <alignment vertical="center"/>
    </xf>
    <xf numFmtId="0" fontId="27" fillId="0" borderId="161" xfId="20" applyFont="1" applyFill="1" applyBorder="1" applyAlignment="1" applyProtection="1">
      <alignment horizontal="centerContinuous" vertical="center"/>
    </xf>
    <xf numFmtId="39" fontId="27" fillId="0" borderId="171" xfId="11" applyNumberFormat="1" applyFont="1" applyFill="1" applyBorder="1" applyAlignment="1" applyProtection="1">
      <alignment vertical="center"/>
    </xf>
    <xf numFmtId="0" fontId="27" fillId="0" borderId="162" xfId="20" applyFont="1" applyFill="1" applyBorder="1" applyAlignment="1">
      <alignment vertical="center"/>
    </xf>
    <xf numFmtId="0" fontId="27" fillId="0" borderId="161" xfId="20" applyFont="1" applyFill="1" applyBorder="1" applyAlignment="1" applyProtection="1">
      <alignment horizontal="center" vertical="center"/>
    </xf>
    <xf numFmtId="39" fontId="27" fillId="0" borderId="161" xfId="20" applyNumberFormat="1" applyFont="1" applyFill="1" applyBorder="1" applyAlignment="1" applyProtection="1">
      <alignment vertical="center"/>
    </xf>
    <xf numFmtId="0" fontId="27" fillId="0" borderId="186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168" fontId="51" fillId="0" borderId="0" xfId="2" applyNumberFormat="1" applyFont="1" applyFill="1" applyAlignment="1">
      <alignment vertical="center"/>
    </xf>
    <xf numFmtId="164" fontId="28" fillId="0" borderId="0" xfId="0" applyNumberFormat="1" applyFont="1" applyFill="1" applyAlignment="1">
      <alignment vertical="center"/>
    </xf>
    <xf numFmtId="0" fontId="13" fillId="0" borderId="166" xfId="0" applyFont="1" applyFill="1" applyBorder="1" applyAlignment="1" applyProtection="1">
      <alignment vertical="center"/>
    </xf>
    <xf numFmtId="0" fontId="52" fillId="0" borderId="161" xfId="20" applyFont="1" applyFill="1" applyBorder="1" applyAlignment="1" applyProtection="1">
      <alignment horizontal="centerContinuous" vertical="center"/>
    </xf>
    <xf numFmtId="0" fontId="53" fillId="0" borderId="166" xfId="0" applyFont="1" applyFill="1" applyBorder="1" applyAlignment="1" applyProtection="1">
      <alignment vertical="center"/>
    </xf>
    <xf numFmtId="0" fontId="52" fillId="0" borderId="162" xfId="20" applyFont="1" applyFill="1" applyBorder="1" applyAlignment="1">
      <alignment vertical="center"/>
    </xf>
    <xf numFmtId="0" fontId="52" fillId="0" borderId="161" xfId="20" applyFont="1" applyFill="1" applyBorder="1" applyAlignment="1" applyProtection="1">
      <alignment horizontal="center" vertical="center"/>
    </xf>
    <xf numFmtId="39" fontId="52" fillId="0" borderId="161" xfId="20" applyNumberFormat="1" applyFont="1" applyFill="1" applyBorder="1" applyAlignment="1" applyProtection="1">
      <alignment vertical="center"/>
    </xf>
    <xf numFmtId="168" fontId="53" fillId="0" borderId="162" xfId="2" applyNumberFormat="1" applyFont="1" applyFill="1" applyBorder="1" applyAlignment="1">
      <alignment vertical="center"/>
    </xf>
    <xf numFmtId="0" fontId="13" fillId="0" borderId="190" xfId="0" applyFont="1" applyFill="1" applyBorder="1" applyAlignment="1" applyProtection="1">
      <alignment vertical="center"/>
    </xf>
    <xf numFmtId="0" fontId="48" fillId="0" borderId="175" xfId="0" applyFont="1" applyFill="1" applyBorder="1" applyAlignment="1">
      <alignment vertical="center"/>
    </xf>
    <xf numFmtId="43" fontId="25" fillId="0" borderId="162" xfId="1" applyFont="1" applyFill="1" applyBorder="1"/>
    <xf numFmtId="0" fontId="48" fillId="0" borderId="161" xfId="20" applyFont="1" applyFill="1" applyBorder="1" applyAlignment="1" applyProtection="1">
      <alignment horizontal="center" vertical="center"/>
    </xf>
    <xf numFmtId="0" fontId="25" fillId="0" borderId="170" xfId="20" applyFont="1" applyFill="1" applyBorder="1" applyAlignment="1" applyProtection="1">
      <alignment horizontal="centerContinuous" vertical="center"/>
    </xf>
    <xf numFmtId="0" fontId="48" fillId="0" borderId="166" xfId="0" applyFont="1" applyFill="1" applyBorder="1" applyAlignment="1">
      <alignment vertical="center"/>
    </xf>
    <xf numFmtId="0" fontId="25" fillId="0" borderId="171" xfId="20" applyFont="1" applyFill="1" applyBorder="1" applyAlignment="1" applyProtection="1">
      <alignment vertical="center"/>
    </xf>
    <xf numFmtId="43" fontId="25" fillId="0" borderId="171" xfId="1" applyFont="1" applyFill="1" applyBorder="1"/>
    <xf numFmtId="0" fontId="48" fillId="0" borderId="170" xfId="20" applyFont="1" applyFill="1" applyBorder="1" applyAlignment="1" applyProtection="1">
      <alignment horizontal="center" vertical="center"/>
    </xf>
    <xf numFmtId="39" fontId="25" fillId="0" borderId="170" xfId="20" applyNumberFormat="1" applyFont="1" applyFill="1" applyBorder="1" applyAlignment="1" applyProtection="1">
      <alignment vertical="center"/>
    </xf>
    <xf numFmtId="0" fontId="25" fillId="0" borderId="172" xfId="0" applyFont="1" applyFill="1" applyBorder="1" applyAlignment="1">
      <alignment vertical="center"/>
    </xf>
    <xf numFmtId="0" fontId="54" fillId="0" borderId="170" xfId="20" applyFont="1" applyFill="1" applyBorder="1" applyAlignment="1" applyProtection="1">
      <alignment horizontal="centerContinuous" vertical="center"/>
    </xf>
    <xf numFmtId="0" fontId="48" fillId="0" borderId="0" xfId="0" applyFont="1" applyFill="1" applyBorder="1" applyAlignment="1">
      <alignment vertical="center"/>
    </xf>
    <xf numFmtId="0" fontId="54" fillId="0" borderId="171" xfId="20" applyFont="1" applyFill="1" applyBorder="1" applyAlignment="1" applyProtection="1">
      <alignment vertical="center"/>
    </xf>
    <xf numFmtId="43" fontId="54" fillId="0" borderId="171" xfId="1" applyFont="1" applyFill="1" applyBorder="1"/>
    <xf numFmtId="0" fontId="13" fillId="0" borderId="170" xfId="20" applyFont="1" applyFill="1" applyBorder="1" applyAlignment="1" applyProtection="1">
      <alignment horizontal="center" vertical="center"/>
    </xf>
    <xf numFmtId="39" fontId="54" fillId="0" borderId="161" xfId="20" applyNumberFormat="1" applyFont="1" applyFill="1" applyBorder="1" applyAlignment="1" applyProtection="1">
      <alignment vertical="center"/>
    </xf>
    <xf numFmtId="0" fontId="48" fillId="0" borderId="155" xfId="0" applyFont="1" applyFill="1" applyBorder="1" applyAlignment="1" applyProtection="1">
      <alignment vertical="center"/>
    </xf>
    <xf numFmtId="39" fontId="54" fillId="0" borderId="170" xfId="20" applyNumberFormat="1" applyFont="1" applyFill="1" applyBorder="1" applyAlignment="1" applyProtection="1">
      <alignment vertical="center"/>
    </xf>
    <xf numFmtId="168" fontId="13" fillId="0" borderId="171" xfId="2" applyNumberFormat="1" applyFont="1" applyFill="1" applyBorder="1" applyAlignment="1">
      <alignment vertical="center"/>
    </xf>
    <xf numFmtId="0" fontId="25" fillId="0" borderId="155" xfId="0" applyFont="1" applyFill="1" applyBorder="1" applyAlignment="1">
      <alignment vertical="center"/>
    </xf>
    <xf numFmtId="0" fontId="13" fillId="0" borderId="155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53" fillId="0" borderId="170" xfId="20" applyFont="1" applyFill="1" applyBorder="1" applyAlignment="1" applyProtection="1">
      <alignment horizontal="centerContinuous" vertical="center"/>
    </xf>
    <xf numFmtId="0" fontId="53" fillId="0" borderId="171" xfId="20" applyFont="1" applyFill="1" applyBorder="1" applyAlignment="1" applyProtection="1">
      <alignment vertical="center"/>
    </xf>
    <xf numFmtId="43" fontId="53" fillId="0" borderId="171" xfId="1" applyFont="1" applyFill="1" applyBorder="1"/>
    <xf numFmtId="0" fontId="53" fillId="0" borderId="170" xfId="20" applyFont="1" applyFill="1" applyBorder="1" applyAlignment="1" applyProtection="1">
      <alignment horizontal="center" vertical="center"/>
    </xf>
    <xf numFmtId="39" fontId="53" fillId="0" borderId="170" xfId="20" applyNumberFormat="1" applyFont="1" applyFill="1" applyBorder="1" applyAlignment="1" applyProtection="1">
      <alignment vertical="center"/>
    </xf>
    <xf numFmtId="168" fontId="53" fillId="0" borderId="171" xfId="2" applyNumberFormat="1" applyFont="1" applyFill="1" applyBorder="1" applyAlignment="1">
      <alignment vertical="center"/>
    </xf>
    <xf numFmtId="0" fontId="13" fillId="0" borderId="208" xfId="20" applyFont="1" applyFill="1" applyBorder="1" applyAlignment="1" applyProtection="1">
      <alignment horizontal="center" vertical="center"/>
    </xf>
    <xf numFmtId="0" fontId="55" fillId="0" borderId="177" xfId="20" applyFont="1" applyFill="1" applyBorder="1" applyAlignment="1" applyProtection="1">
      <alignment horizontal="centerContinuous" vertical="center"/>
    </xf>
    <xf numFmtId="39" fontId="55" fillId="0" borderId="178" xfId="11" applyNumberFormat="1" applyFont="1" applyFill="1" applyBorder="1" applyAlignment="1" applyProtection="1">
      <alignment vertical="center"/>
    </xf>
    <xf numFmtId="0" fontId="55" fillId="0" borderId="178" xfId="20" applyFont="1" applyFill="1" applyBorder="1" applyAlignment="1">
      <alignment vertical="center"/>
    </xf>
    <xf numFmtId="0" fontId="55" fillId="0" borderId="177" xfId="20" applyFont="1" applyFill="1" applyBorder="1" applyAlignment="1" applyProtection="1">
      <alignment horizontal="center" vertical="center"/>
    </xf>
    <xf numFmtId="39" fontId="55" fillId="0" borderId="177" xfId="20" applyNumberFormat="1" applyFont="1" applyFill="1" applyBorder="1" applyAlignment="1" applyProtection="1">
      <alignment vertical="center"/>
    </xf>
    <xf numFmtId="43" fontId="55" fillId="0" borderId="178" xfId="1" applyFont="1" applyFill="1" applyBorder="1" applyAlignment="1">
      <alignment vertical="center"/>
    </xf>
    <xf numFmtId="0" fontId="27" fillId="0" borderId="179" xfId="0" applyFont="1" applyFill="1" applyBorder="1" applyAlignment="1">
      <alignment vertical="center"/>
    </xf>
    <xf numFmtId="43" fontId="51" fillId="0" borderId="162" xfId="1" applyFont="1" applyFill="1" applyBorder="1" applyAlignment="1">
      <alignment vertical="center"/>
    </xf>
    <xf numFmtId="0" fontId="55" fillId="0" borderId="0" xfId="20" applyFont="1" applyFill="1" applyBorder="1" applyAlignment="1" applyProtection="1">
      <alignment horizontal="centerContinuous" vertical="center"/>
    </xf>
    <xf numFmtId="39" fontId="55" fillId="0" borderId="0" xfId="11" applyNumberFormat="1" applyFont="1" applyFill="1" applyBorder="1" applyAlignment="1" applyProtection="1">
      <alignment vertical="center"/>
    </xf>
    <xf numFmtId="0" fontId="55" fillId="0" borderId="0" xfId="20" applyFont="1" applyFill="1" applyBorder="1" applyAlignment="1">
      <alignment vertical="center"/>
    </xf>
    <xf numFmtId="0" fontId="55" fillId="0" borderId="0" xfId="20" applyFont="1" applyFill="1" applyBorder="1" applyAlignment="1" applyProtection="1">
      <alignment horizontal="center" vertical="center"/>
    </xf>
    <xf numFmtId="39" fontId="55" fillId="0" borderId="0" xfId="20" applyNumberFormat="1" applyFont="1" applyFill="1" applyBorder="1" applyAlignment="1" applyProtection="1">
      <alignment vertical="center"/>
    </xf>
    <xf numFmtId="43" fontId="55" fillId="0" borderId="0" xfId="1" applyFont="1" applyFill="1" applyBorder="1" applyAlignment="1">
      <alignment vertical="center"/>
    </xf>
    <xf numFmtId="0" fontId="27" fillId="0" borderId="0" xfId="0" applyFont="1" applyFill="1" applyBorder="1" applyAlignment="1">
      <alignment vertical="center"/>
    </xf>
    <xf numFmtId="43" fontId="51" fillId="0" borderId="0" xfId="1" applyFont="1" applyFill="1" applyBorder="1" applyAlignment="1">
      <alignment vertical="center"/>
    </xf>
    <xf numFmtId="0" fontId="13" fillId="0" borderId="60" xfId="20" applyFont="1" applyFill="1" applyBorder="1" applyAlignment="1" applyProtection="1">
      <alignment horizontal="centerContinuous" vertical="center"/>
    </xf>
    <xf numFmtId="0" fontId="13" fillId="0" borderId="61" xfId="1" applyNumberFormat="1" applyFont="1" applyFill="1" applyBorder="1" applyAlignment="1" applyProtection="1">
      <alignment vertical="center"/>
    </xf>
    <xf numFmtId="43" fontId="13" fillId="0" borderId="71" xfId="1" applyFont="1" applyFill="1" applyBorder="1"/>
    <xf numFmtId="0" fontId="13" fillId="0" borderId="68" xfId="20" applyFont="1" applyFill="1" applyBorder="1" applyAlignment="1" applyProtection="1">
      <alignment horizontal="center" vertical="center"/>
    </xf>
    <xf numFmtId="39" fontId="13" fillId="0" borderId="60" xfId="20" applyNumberFormat="1" applyFont="1" applyFill="1" applyBorder="1" applyAlignment="1" applyProtection="1">
      <alignment vertical="center"/>
    </xf>
    <xf numFmtId="168" fontId="13" fillId="0" borderId="61" xfId="2" applyNumberFormat="1" applyFont="1" applyFill="1" applyBorder="1" applyAlignment="1">
      <alignment vertical="center"/>
    </xf>
    <xf numFmtId="0" fontId="54" fillId="0" borderId="185" xfId="20" applyFont="1" applyFill="1" applyBorder="1" applyAlignment="1" applyProtection="1">
      <alignment horizontal="center" vertical="center"/>
    </xf>
    <xf numFmtId="0" fontId="54" fillId="0" borderId="161" xfId="20" applyFont="1" applyFill="1" applyBorder="1" applyAlignment="1" applyProtection="1">
      <alignment horizontal="centerContinuous" vertical="center"/>
    </xf>
    <xf numFmtId="0" fontId="54" fillId="0" borderId="162" xfId="1" applyNumberFormat="1" applyFont="1" applyFill="1" applyBorder="1" applyAlignment="1" applyProtection="1">
      <alignment vertical="center"/>
    </xf>
    <xf numFmtId="0" fontId="54" fillId="0" borderId="162" xfId="20" applyFont="1" applyFill="1" applyBorder="1" applyAlignment="1" applyProtection="1">
      <alignment vertical="center"/>
    </xf>
    <xf numFmtId="43" fontId="54" fillId="0" borderId="162" xfId="1" applyFont="1" applyFill="1" applyBorder="1"/>
    <xf numFmtId="0" fontId="54" fillId="0" borderId="161" xfId="20" applyFont="1" applyFill="1" applyBorder="1" applyAlignment="1" applyProtection="1">
      <alignment horizontal="center" vertical="center"/>
    </xf>
    <xf numFmtId="168" fontId="54" fillId="0" borderId="162" xfId="2" applyNumberFormat="1" applyFont="1" applyFill="1" applyBorder="1" applyAlignment="1">
      <alignment vertical="center"/>
    </xf>
    <xf numFmtId="0" fontId="48" fillId="0" borderId="185" xfId="20" applyFont="1" applyFill="1" applyBorder="1" applyAlignment="1" applyProtection="1">
      <alignment horizontal="center" vertical="center"/>
    </xf>
    <xf numFmtId="0" fontId="54" fillId="0" borderId="186" xfId="0" applyFont="1" applyFill="1" applyBorder="1" applyAlignment="1">
      <alignment vertical="center"/>
    </xf>
    <xf numFmtId="0" fontId="25" fillId="0" borderId="171" xfId="1" applyNumberFormat="1" applyFont="1" applyFill="1" applyBorder="1" applyAlignment="1" applyProtection="1">
      <alignment vertical="center"/>
    </xf>
    <xf numFmtId="0" fontId="26" fillId="0" borderId="175" xfId="0" applyFont="1" applyFill="1" applyBorder="1" applyAlignment="1">
      <alignment vertical="center"/>
    </xf>
    <xf numFmtId="0" fontId="56" fillId="0" borderId="175" xfId="0" applyFont="1" applyFill="1" applyBorder="1" applyAlignment="1">
      <alignment vertical="center"/>
    </xf>
    <xf numFmtId="0" fontId="56" fillId="0" borderId="166" xfId="0" applyFont="1" applyFill="1" applyBorder="1" applyAlignment="1">
      <alignment vertical="center"/>
    </xf>
    <xf numFmtId="0" fontId="56" fillId="0" borderId="166" xfId="0" applyFont="1" applyFill="1" applyBorder="1" applyAlignment="1">
      <alignment horizontal="left" vertical="center"/>
    </xf>
    <xf numFmtId="0" fontId="56" fillId="0" borderId="175" xfId="0" applyFont="1" applyFill="1" applyBorder="1" applyAlignment="1">
      <alignment horizontal="left" vertical="center"/>
    </xf>
    <xf numFmtId="0" fontId="26" fillId="0" borderId="175" xfId="0" applyFont="1" applyFill="1" applyBorder="1" applyAlignment="1">
      <alignment horizontal="left" vertical="center"/>
    </xf>
    <xf numFmtId="0" fontId="26" fillId="0" borderId="166" xfId="0" applyFont="1" applyFill="1" applyBorder="1" applyAlignment="1">
      <alignment horizontal="left" vertical="center"/>
    </xf>
    <xf numFmtId="0" fontId="26" fillId="0" borderId="166" xfId="0" applyFont="1" applyFill="1" applyBorder="1" applyAlignment="1">
      <alignment vertical="center"/>
    </xf>
    <xf numFmtId="0" fontId="57" fillId="0" borderId="166" xfId="11" applyFont="1" applyFill="1" applyBorder="1" applyAlignment="1" applyProtection="1">
      <alignment vertical="center"/>
    </xf>
    <xf numFmtId="0" fontId="40" fillId="0" borderId="166" xfId="11" applyFont="1" applyFill="1" applyBorder="1" applyAlignment="1" applyProtection="1">
      <alignment vertical="center"/>
    </xf>
    <xf numFmtId="0" fontId="57" fillId="0" borderId="157" xfId="11" applyFont="1" applyFill="1" applyBorder="1" applyAlignment="1" applyProtection="1">
      <alignment vertical="center"/>
    </xf>
    <xf numFmtId="0" fontId="9" fillId="0" borderId="175" xfId="0" applyFont="1" applyFill="1" applyBorder="1" applyAlignment="1">
      <alignment vertical="center"/>
    </xf>
    <xf numFmtId="49" fontId="13" fillId="0" borderId="162" xfId="2" applyNumberFormat="1" applyFont="1" applyFill="1" applyBorder="1" applyAlignment="1">
      <alignment vertical="center"/>
    </xf>
    <xf numFmtId="43" fontId="13" fillId="0" borderId="165" xfId="1" applyFont="1" applyFill="1" applyBorder="1" applyProtection="1"/>
    <xf numFmtId="168" fontId="13" fillId="0" borderId="0" xfId="2" applyNumberFormat="1" applyFont="1" applyFill="1" applyAlignment="1">
      <alignment horizontal="center" vertical="center"/>
    </xf>
    <xf numFmtId="0" fontId="13" fillId="0" borderId="15" xfId="20" applyFont="1" applyFill="1" applyBorder="1" applyAlignment="1" applyProtection="1">
      <alignment horizontal="centerContinuous" vertical="center"/>
    </xf>
    <xf numFmtId="168" fontId="46" fillId="0" borderId="45" xfId="2" applyNumberFormat="1" applyFont="1" applyFill="1" applyBorder="1" applyAlignment="1">
      <alignment vertical="center"/>
    </xf>
    <xf numFmtId="165" fontId="2" fillId="0" borderId="0" xfId="0" applyNumberFormat="1" applyFont="1" applyBorder="1"/>
    <xf numFmtId="0" fontId="13" fillId="0" borderId="171" xfId="1" applyNumberFormat="1" applyFont="1" applyFill="1" applyBorder="1" applyAlignment="1" applyProtection="1">
      <alignment vertical="center"/>
    </xf>
    <xf numFmtId="0" fontId="13" fillId="0" borderId="171" xfId="11" applyFont="1" applyFill="1" applyBorder="1" applyAlignment="1" applyProtection="1">
      <alignment vertical="center"/>
    </xf>
    <xf numFmtId="0" fontId="13" fillId="0" borderId="171" xfId="0" applyFont="1" applyFill="1" applyBorder="1" applyAlignment="1">
      <alignment vertical="center"/>
    </xf>
    <xf numFmtId="39" fontId="9" fillId="0" borderId="0" xfId="0" applyNumberFormat="1" applyFont="1" applyFill="1" applyBorder="1" applyAlignment="1" applyProtection="1">
      <alignment vertical="center"/>
    </xf>
    <xf numFmtId="41" fontId="13" fillId="0" borderId="186" xfId="2" applyFont="1" applyFill="1" applyBorder="1" applyAlignment="1">
      <alignment vertical="center"/>
    </xf>
    <xf numFmtId="0" fontId="13" fillId="0" borderId="180" xfId="20" applyFont="1" applyFill="1" applyBorder="1" applyAlignment="1" applyProtection="1">
      <alignment horizontal="center" vertical="center"/>
    </xf>
    <xf numFmtId="0" fontId="25" fillId="0" borderId="162" xfId="11" applyFont="1" applyFill="1" applyBorder="1" applyAlignment="1" applyProtection="1">
      <alignment vertical="center"/>
    </xf>
    <xf numFmtId="0" fontId="25" fillId="0" borderId="165" xfId="20" applyFont="1" applyFill="1" applyBorder="1" applyAlignment="1" applyProtection="1">
      <alignment vertical="center"/>
    </xf>
    <xf numFmtId="0" fontId="25" fillId="0" borderId="165" xfId="20" applyFont="1" applyFill="1" applyBorder="1" applyAlignment="1" applyProtection="1">
      <alignment horizontal="center" vertical="center"/>
    </xf>
    <xf numFmtId="0" fontId="25" fillId="0" borderId="162" xfId="0" applyFont="1" applyFill="1" applyBorder="1" applyAlignment="1">
      <alignment vertical="center"/>
    </xf>
    <xf numFmtId="0" fontId="9" fillId="0" borderId="166" xfId="0" applyFont="1" applyFill="1" applyBorder="1" applyAlignment="1">
      <alignment vertical="center"/>
    </xf>
    <xf numFmtId="43" fontId="13" fillId="0" borderId="171" xfId="1" applyFont="1" applyFill="1" applyBorder="1" applyProtection="1"/>
    <xf numFmtId="39" fontId="13" fillId="0" borderId="171" xfId="20" applyNumberFormat="1" applyFont="1" applyFill="1" applyBorder="1" applyAlignment="1" applyProtection="1">
      <alignment vertical="center"/>
    </xf>
    <xf numFmtId="0" fontId="13" fillId="0" borderId="202" xfId="1" applyNumberFormat="1" applyFont="1" applyFill="1" applyBorder="1" applyAlignment="1" applyProtection="1">
      <alignment vertical="center"/>
    </xf>
    <xf numFmtId="0" fontId="13" fillId="0" borderId="178" xfId="11" applyFont="1" applyFill="1" applyBorder="1" applyAlignment="1" applyProtection="1">
      <alignment vertical="center"/>
    </xf>
    <xf numFmtId="0" fontId="13" fillId="0" borderId="181" xfId="20" applyFont="1" applyFill="1" applyBorder="1" applyAlignment="1" applyProtection="1">
      <alignment horizontal="center" vertical="center"/>
    </xf>
    <xf numFmtId="0" fontId="13" fillId="0" borderId="178" xfId="0" applyFont="1" applyFill="1" applyBorder="1" applyAlignment="1">
      <alignment vertical="center"/>
    </xf>
    <xf numFmtId="168" fontId="13" fillId="0" borderId="178" xfId="2" applyNumberFormat="1" applyFont="1" applyFill="1" applyBorder="1" applyAlignment="1">
      <alignment vertical="center"/>
    </xf>
    <xf numFmtId="0" fontId="13" fillId="0" borderId="22" xfId="20" applyFont="1" applyFill="1" applyBorder="1" applyAlignment="1" applyProtection="1">
      <alignment horizontal="center" vertical="center"/>
    </xf>
    <xf numFmtId="0" fontId="13" fillId="0" borderId="22" xfId="20" applyFont="1" applyFill="1" applyBorder="1" applyAlignment="1" applyProtection="1">
      <alignment horizontal="centerContinuous" vertical="center"/>
    </xf>
    <xf numFmtId="0" fontId="13" fillId="0" borderId="22" xfId="1" applyNumberFormat="1" applyFont="1" applyFill="1" applyBorder="1" applyAlignment="1" applyProtection="1">
      <alignment vertical="center"/>
    </xf>
    <xf numFmtId="0" fontId="13" fillId="0" borderId="22" xfId="11" applyFont="1" applyFill="1" applyBorder="1" applyAlignment="1" applyProtection="1">
      <alignment vertical="center"/>
    </xf>
    <xf numFmtId="0" fontId="13" fillId="0" borderId="22" xfId="0" applyFont="1" applyFill="1" applyBorder="1" applyAlignment="1">
      <alignment vertical="center"/>
    </xf>
    <xf numFmtId="168" fontId="13" fillId="0" borderId="22" xfId="2" applyNumberFormat="1" applyFont="1" applyFill="1" applyBorder="1" applyAlignment="1">
      <alignment vertical="center"/>
    </xf>
    <xf numFmtId="0" fontId="50" fillId="0" borderId="0" xfId="0" applyFont="1" applyFill="1" applyBorder="1" applyAlignment="1" applyProtection="1">
      <alignment vertical="center"/>
    </xf>
    <xf numFmtId="0" fontId="13" fillId="0" borderId="0" xfId="1" applyNumberFormat="1" applyFont="1" applyFill="1" applyBorder="1" applyAlignment="1">
      <alignment vertical="center"/>
    </xf>
    <xf numFmtId="43" fontId="13" fillId="0" borderId="0" xfId="1" applyFont="1" applyFill="1" applyBorder="1" applyAlignment="1">
      <alignment horizontal="center" vertical="center"/>
    </xf>
    <xf numFmtId="0" fontId="13" fillId="0" borderId="43" xfId="20" applyFont="1" applyFill="1" applyBorder="1" applyAlignment="1" applyProtection="1">
      <alignment horizontal="center" vertical="center"/>
    </xf>
    <xf numFmtId="0" fontId="13" fillId="0" borderId="45" xfId="20" applyNumberFormat="1" applyFont="1" applyFill="1" applyBorder="1" applyAlignment="1" applyProtection="1">
      <alignment vertical="center"/>
    </xf>
    <xf numFmtId="0" fontId="13" fillId="0" borderId="33" xfId="0" applyFont="1" applyFill="1" applyBorder="1" applyAlignment="1">
      <alignment vertical="center"/>
    </xf>
    <xf numFmtId="0" fontId="13" fillId="0" borderId="98" xfId="20" applyFont="1" applyFill="1" applyBorder="1" applyAlignment="1" applyProtection="1">
      <alignment horizontal="center" vertical="center"/>
    </xf>
    <xf numFmtId="39" fontId="13" fillId="0" borderId="162" xfId="0" applyNumberFormat="1" applyFont="1" applyFill="1" applyBorder="1" applyAlignment="1">
      <alignment vertical="center"/>
    </xf>
    <xf numFmtId="49" fontId="13" fillId="0" borderId="190" xfId="1" applyNumberFormat="1" applyFont="1" applyFill="1" applyBorder="1" applyAlignment="1">
      <alignment vertical="center"/>
    </xf>
    <xf numFmtId="0" fontId="13" fillId="0" borderId="209" xfId="20" applyFont="1" applyFill="1" applyBorder="1" applyAlignment="1" applyProtection="1">
      <alignment horizontal="center" vertical="center"/>
    </xf>
    <xf numFmtId="0" fontId="13" fillId="0" borderId="210" xfId="0" applyFont="1" applyFill="1" applyBorder="1" applyAlignment="1">
      <alignment vertical="center"/>
    </xf>
    <xf numFmtId="0" fontId="13" fillId="0" borderId="211" xfId="20" applyFont="1" applyFill="1" applyBorder="1" applyAlignment="1" applyProtection="1">
      <alignment horizontal="center" vertical="center"/>
    </xf>
    <xf numFmtId="0" fontId="13" fillId="0" borderId="190" xfId="1" applyNumberFormat="1" applyFont="1" applyFill="1" applyBorder="1" applyAlignment="1">
      <alignment vertical="center"/>
    </xf>
    <xf numFmtId="43" fontId="13" fillId="0" borderId="191" xfId="1" applyFont="1" applyFill="1" applyBorder="1" applyAlignment="1">
      <alignment horizontal="center" vertical="center"/>
    </xf>
    <xf numFmtId="41" fontId="13" fillId="0" borderId="0" xfId="0" applyNumberFormat="1" applyFont="1" applyFill="1" applyAlignment="1">
      <alignment vertical="center"/>
    </xf>
    <xf numFmtId="0" fontId="13" fillId="0" borderId="39" xfId="20" applyFont="1" applyFill="1" applyBorder="1" applyAlignment="1" applyProtection="1">
      <alignment horizontal="center" vertical="center"/>
    </xf>
    <xf numFmtId="0" fontId="13" fillId="0" borderId="39" xfId="20" applyFont="1" applyFill="1" applyBorder="1" applyAlignment="1" applyProtection="1">
      <alignment horizontal="centerContinuous" vertical="center"/>
    </xf>
    <xf numFmtId="0" fontId="13" fillId="0" borderId="39" xfId="1" applyNumberFormat="1" applyFont="1" applyFill="1" applyBorder="1" applyAlignment="1">
      <alignment vertical="center"/>
    </xf>
    <xf numFmtId="0" fontId="13" fillId="0" borderId="39" xfId="20" applyFont="1" applyFill="1" applyBorder="1" applyAlignment="1">
      <alignment vertical="center"/>
    </xf>
    <xf numFmtId="39" fontId="13" fillId="0" borderId="39" xfId="20" applyNumberFormat="1" applyFont="1" applyFill="1" applyBorder="1" applyAlignment="1" applyProtection="1">
      <alignment horizontal="center" vertical="center"/>
    </xf>
    <xf numFmtId="43" fontId="13" fillId="0" borderId="39" xfId="1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vertical="center"/>
    </xf>
    <xf numFmtId="0" fontId="2" fillId="0" borderId="81" xfId="0" applyFont="1" applyBorder="1" applyAlignment="1">
      <alignment horizontal="center"/>
    </xf>
    <xf numFmtId="0" fontId="13" fillId="0" borderId="182" xfId="20" applyFont="1" applyFill="1" applyBorder="1" applyAlignment="1" applyProtection="1">
      <alignment horizontal="centerContinuous" vertical="center"/>
    </xf>
    <xf numFmtId="0" fontId="4" fillId="0" borderId="182" xfId="0" applyFont="1" applyBorder="1"/>
    <xf numFmtId="0" fontId="13" fillId="0" borderId="182" xfId="20" applyFont="1" applyFill="1" applyBorder="1" applyAlignment="1">
      <alignment vertical="center"/>
    </xf>
    <xf numFmtId="0" fontId="13" fillId="0" borderId="112" xfId="20" applyFont="1" applyFill="1" applyBorder="1" applyAlignment="1" applyProtection="1">
      <alignment horizontal="center" vertical="center"/>
    </xf>
    <xf numFmtId="39" fontId="13" fillId="0" borderId="183" xfId="20" applyNumberFormat="1" applyFont="1" applyFill="1" applyBorder="1" applyAlignment="1" applyProtection="1">
      <alignment horizontal="center" vertical="center"/>
    </xf>
    <xf numFmtId="43" fontId="13" fillId="0" borderId="184" xfId="1" applyFont="1" applyFill="1" applyBorder="1" applyAlignment="1">
      <alignment horizontal="center" vertical="center"/>
    </xf>
    <xf numFmtId="0" fontId="13" fillId="0" borderId="113" xfId="0" applyFont="1" applyFill="1" applyBorder="1" applyAlignment="1">
      <alignment vertical="center"/>
    </xf>
    <xf numFmtId="0" fontId="13" fillId="0" borderId="2" xfId="20" applyFont="1" applyFill="1" applyBorder="1" applyAlignment="1" applyProtection="1">
      <alignment horizontal="center" vertical="center"/>
    </xf>
    <xf numFmtId="39" fontId="13" fillId="0" borderId="8" xfId="20" applyNumberFormat="1" applyFont="1" applyFill="1" applyBorder="1" applyAlignment="1" applyProtection="1">
      <alignment horizontal="center" vertical="center"/>
    </xf>
    <xf numFmtId="43" fontId="13" fillId="0" borderId="25" xfId="1" applyFont="1" applyFill="1" applyBorder="1" applyAlignment="1">
      <alignment horizontal="center" vertical="center"/>
    </xf>
    <xf numFmtId="0" fontId="13" fillId="0" borderId="69" xfId="0" applyFont="1" applyFill="1" applyBorder="1" applyAlignment="1">
      <alignment vertical="center"/>
    </xf>
    <xf numFmtId="0" fontId="13" fillId="0" borderId="53" xfId="20" applyFont="1" applyFill="1" applyBorder="1" applyAlignment="1" applyProtection="1">
      <alignment horizontal="centerContinuous" vertical="center"/>
    </xf>
    <xf numFmtId="0" fontId="2" fillId="0" borderId="53" xfId="0" applyFont="1" applyBorder="1"/>
    <xf numFmtId="0" fontId="2" fillId="0" borderId="80" xfId="0" applyFont="1" applyBorder="1" applyAlignment="1">
      <alignment horizontal="center"/>
    </xf>
    <xf numFmtId="39" fontId="13" fillId="0" borderId="53" xfId="20" applyNumberFormat="1" applyFont="1" applyFill="1" applyBorder="1" applyAlignment="1" applyProtection="1">
      <alignment horizontal="center" vertical="center"/>
    </xf>
    <xf numFmtId="43" fontId="13" fillId="0" borderId="53" xfId="1" applyFont="1" applyFill="1" applyBorder="1" applyAlignment="1">
      <alignment horizontal="center" vertical="center"/>
    </xf>
    <xf numFmtId="43" fontId="2" fillId="0" borderId="0" xfId="0" applyNumberFormat="1" applyFont="1" applyBorder="1"/>
    <xf numFmtId="0" fontId="2" fillId="0" borderId="212" xfId="0" applyFont="1" applyBorder="1" applyAlignment="1">
      <alignment horizontal="center" vertical="center"/>
    </xf>
    <xf numFmtId="0" fontId="13" fillId="0" borderId="213" xfId="20" applyFont="1" applyFill="1" applyBorder="1" applyAlignment="1" applyProtection="1">
      <alignment horizontal="centerContinuous" vertical="center"/>
    </xf>
    <xf numFmtId="0" fontId="2" fillId="0" borderId="213" xfId="0" applyFont="1" applyBorder="1"/>
    <xf numFmtId="0" fontId="13" fillId="0" borderId="213" xfId="20" applyFont="1" applyFill="1" applyBorder="1" applyAlignment="1">
      <alignment vertical="center"/>
    </xf>
    <xf numFmtId="0" fontId="2" fillId="0" borderId="214" xfId="0" applyFont="1" applyBorder="1" applyAlignment="1">
      <alignment horizontal="center"/>
    </xf>
    <xf numFmtId="39" fontId="13" fillId="0" borderId="213" xfId="20" applyNumberFormat="1" applyFont="1" applyFill="1" applyBorder="1" applyAlignment="1" applyProtection="1">
      <alignment horizontal="center" vertical="center"/>
    </xf>
    <xf numFmtId="43" fontId="13" fillId="0" borderId="213" xfId="1" applyFont="1" applyFill="1" applyBorder="1" applyAlignment="1">
      <alignment horizontal="center" vertical="center"/>
    </xf>
    <xf numFmtId="0" fontId="13" fillId="0" borderId="215" xfId="0" applyFont="1" applyFill="1" applyBorder="1" applyAlignment="1">
      <alignment vertical="center"/>
    </xf>
    <xf numFmtId="0" fontId="2" fillId="0" borderId="212" xfId="0" applyFont="1" applyBorder="1" applyAlignment="1">
      <alignment horizontal="center"/>
    </xf>
    <xf numFmtId="43" fontId="13" fillId="0" borderId="216" xfId="1" applyFont="1" applyFill="1" applyBorder="1" applyAlignment="1">
      <alignment horizontal="center" vertical="center"/>
    </xf>
    <xf numFmtId="0" fontId="13" fillId="0" borderId="213" xfId="0" applyFont="1" applyFill="1" applyBorder="1" applyAlignment="1">
      <alignment vertical="center"/>
    </xf>
    <xf numFmtId="0" fontId="2" fillId="0" borderId="217" xfId="0" applyFont="1" applyBorder="1" applyAlignment="1">
      <alignment horizontal="center"/>
    </xf>
    <xf numFmtId="41" fontId="2" fillId="0" borderId="214" xfId="0" applyNumberFormat="1" applyFont="1" applyBorder="1" applyAlignment="1">
      <alignment horizontal="center" vertical="center"/>
    </xf>
    <xf numFmtId="41" fontId="2" fillId="0" borderId="214" xfId="0" applyNumberFormat="1" applyFont="1" applyBorder="1" applyAlignment="1">
      <alignment horizontal="center"/>
    </xf>
    <xf numFmtId="0" fontId="2" fillId="0" borderId="211" xfId="0" applyFont="1" applyBorder="1" applyAlignment="1">
      <alignment horizontal="center"/>
    </xf>
    <xf numFmtId="0" fontId="13" fillId="0" borderId="157" xfId="0" applyFont="1" applyFill="1" applyBorder="1" applyAlignment="1">
      <alignment vertical="center"/>
    </xf>
    <xf numFmtId="0" fontId="2" fillId="0" borderId="157" xfId="0" applyFont="1" applyBorder="1"/>
    <xf numFmtId="0" fontId="2" fillId="0" borderId="209" xfId="0" applyFont="1" applyBorder="1" applyAlignment="1">
      <alignment horizontal="center"/>
    </xf>
    <xf numFmtId="43" fontId="13" fillId="0" borderId="157" xfId="1" applyFont="1" applyFill="1" applyBorder="1" applyAlignment="1">
      <alignment horizontal="center" vertical="center"/>
    </xf>
    <xf numFmtId="0" fontId="13" fillId="0" borderId="53" xfId="0" applyFont="1" applyFill="1" applyBorder="1" applyAlignment="1">
      <alignment vertical="center"/>
    </xf>
    <xf numFmtId="0" fontId="4" fillId="0" borderId="53" xfId="0" applyFont="1" applyBorder="1"/>
    <xf numFmtId="0" fontId="4" fillId="0" borderId="0" xfId="0" applyFont="1" applyFill="1" applyBorder="1"/>
    <xf numFmtId="0" fontId="2" fillId="0" borderId="213" xfId="1" applyNumberFormat="1" applyFont="1" applyFill="1" applyBorder="1" applyAlignment="1">
      <alignment vertical="center"/>
    </xf>
    <xf numFmtId="0" fontId="2" fillId="0" borderId="214" xfId="20" applyFont="1" applyFill="1" applyBorder="1" applyAlignment="1" applyProtection="1">
      <alignment horizontal="center" vertical="center"/>
    </xf>
    <xf numFmtId="43" fontId="46" fillId="0" borderId="213" xfId="1" applyFont="1" applyFill="1" applyBorder="1" applyAlignment="1">
      <alignment horizontal="center" vertical="center"/>
    </xf>
    <xf numFmtId="49" fontId="2" fillId="0" borderId="213" xfId="1" applyNumberFormat="1" applyFont="1" applyFill="1" applyBorder="1" applyAlignment="1">
      <alignment vertical="center"/>
    </xf>
    <xf numFmtId="39" fontId="2" fillId="0" borderId="213" xfId="11" applyNumberFormat="1" applyFont="1" applyFill="1" applyBorder="1" applyAlignment="1" applyProtection="1">
      <alignment vertical="center"/>
    </xf>
    <xf numFmtId="39" fontId="31" fillId="0" borderId="213" xfId="11" applyNumberFormat="1" applyFont="1" applyFill="1" applyBorder="1" applyAlignment="1" applyProtection="1">
      <alignment vertical="center"/>
    </xf>
    <xf numFmtId="0" fontId="2" fillId="0" borderId="213" xfId="1" applyNumberFormat="1" applyFont="1" applyFill="1" applyBorder="1" applyAlignment="1" applyProtection="1">
      <alignment vertical="center"/>
    </xf>
    <xf numFmtId="0" fontId="2" fillId="0" borderId="213" xfId="0" applyFont="1" applyFill="1" applyBorder="1" applyAlignment="1" applyProtection="1">
      <alignment vertical="center"/>
    </xf>
    <xf numFmtId="0" fontId="13" fillId="0" borderId="218" xfId="0" applyFont="1" applyFill="1" applyBorder="1" applyAlignment="1">
      <alignment vertical="center"/>
    </xf>
    <xf numFmtId="0" fontId="2" fillId="0" borderId="218" xfId="0" applyFont="1" applyBorder="1"/>
    <xf numFmtId="0" fontId="2" fillId="0" borderId="219" xfId="0" applyFont="1" applyBorder="1" applyAlignment="1">
      <alignment horizontal="center"/>
    </xf>
    <xf numFmtId="43" fontId="13" fillId="0" borderId="218" xfId="1" applyFont="1" applyFill="1" applyBorder="1" applyAlignment="1">
      <alignment horizontal="center" vertical="center"/>
    </xf>
    <xf numFmtId="0" fontId="13" fillId="0" borderId="220" xfId="0" applyFont="1" applyFill="1" applyBorder="1" applyAlignment="1">
      <alignment vertical="center"/>
    </xf>
    <xf numFmtId="41" fontId="38" fillId="0" borderId="0" xfId="2" applyFont="1" applyFill="1" applyAlignment="1" applyProtection="1">
      <alignment horizontal="left" vertical="center"/>
    </xf>
    <xf numFmtId="0" fontId="38" fillId="0" borderId="0" xfId="11" applyFont="1" applyFill="1" applyAlignment="1" applyProtection="1">
      <alignment horizontal="centerContinuous" vertical="center"/>
    </xf>
    <xf numFmtId="0" fontId="38" fillId="0" borderId="0" xfId="11" applyFont="1" applyFill="1" applyAlignment="1" applyProtection="1">
      <alignment horizontal="center" vertical="center"/>
    </xf>
    <xf numFmtId="0" fontId="39" fillId="0" borderId="0" xfId="11" applyFont="1" applyFill="1" applyAlignment="1">
      <alignment vertical="center"/>
    </xf>
    <xf numFmtId="0" fontId="2" fillId="0" borderId="0" xfId="28" applyFont="1"/>
    <xf numFmtId="0" fontId="2" fillId="0" borderId="0" xfId="28"/>
    <xf numFmtId="0" fontId="2" fillId="0" borderId="0" xfId="29" applyProtection="1">
      <protection locked="0" hidden="1"/>
    </xf>
    <xf numFmtId="39" fontId="21" fillId="5" borderId="0" xfId="29" applyNumberFormat="1" applyFont="1" applyFill="1" applyProtection="1">
      <protection locked="0" hidden="1"/>
    </xf>
    <xf numFmtId="39" fontId="2" fillId="0" borderId="0" xfId="29" applyNumberFormat="1" applyProtection="1">
      <protection locked="0" hidden="1"/>
    </xf>
    <xf numFmtId="0" fontId="58" fillId="5" borderId="0" xfId="29" applyFont="1" applyFill="1" applyProtection="1"/>
    <xf numFmtId="0" fontId="2" fillId="5" borderId="0" xfId="29" applyFill="1" applyProtection="1">
      <protection locked="0" hidden="1"/>
    </xf>
    <xf numFmtId="0" fontId="2" fillId="5" borderId="0" xfId="28" applyFill="1"/>
    <xf numFmtId="0" fontId="2" fillId="0" borderId="0" xfId="29" applyFont="1" applyProtection="1">
      <protection locked="0" hidden="1"/>
    </xf>
    <xf numFmtId="0" fontId="38" fillId="0" borderId="0" xfId="11" applyFont="1" applyFill="1" applyAlignment="1">
      <alignment horizontal="center" vertical="center"/>
    </xf>
    <xf numFmtId="0" fontId="44" fillId="0" borderId="0" xfId="11" applyFont="1" applyFill="1" applyAlignment="1">
      <alignment vertical="center"/>
    </xf>
    <xf numFmtId="43" fontId="38" fillId="0" borderId="0" xfId="1" applyFont="1" applyFill="1" applyAlignment="1">
      <alignment vertical="center"/>
    </xf>
    <xf numFmtId="43" fontId="39" fillId="0" borderId="0" xfId="1" applyFont="1" applyFill="1" applyAlignment="1">
      <alignment vertical="center"/>
    </xf>
    <xf numFmtId="39" fontId="38" fillId="0" borderId="0" xfId="11" applyNumberFormat="1" applyFont="1" applyFill="1" applyAlignment="1">
      <alignment vertical="center"/>
    </xf>
    <xf numFmtId="0" fontId="41" fillId="0" borderId="0" xfId="0" applyFont="1" applyFill="1" applyAlignment="1">
      <alignment horizontal="left"/>
    </xf>
    <xf numFmtId="0" fontId="41" fillId="0" borderId="0" xfId="0" applyFont="1" applyFill="1" applyAlignment="1">
      <alignment horizontal="right"/>
    </xf>
    <xf numFmtId="43" fontId="41" fillId="0" borderId="0" xfId="1" applyFont="1" applyFill="1"/>
    <xf numFmtId="43" fontId="42" fillId="0" borderId="0" xfId="1" applyFont="1" applyFill="1"/>
    <xf numFmtId="0" fontId="42" fillId="0" borderId="0" xfId="0" applyFont="1" applyFill="1"/>
    <xf numFmtId="0" fontId="43" fillId="0" borderId="0" xfId="0" applyFont="1" applyFill="1"/>
    <xf numFmtId="0" fontId="41" fillId="0" borderId="258" xfId="13" applyFont="1" applyFill="1" applyBorder="1" applyAlignment="1">
      <alignment horizontal="center" vertical="center"/>
    </xf>
    <xf numFmtId="0" fontId="42" fillId="0" borderId="259" xfId="13" applyFont="1" applyFill="1" applyBorder="1" applyAlignment="1">
      <alignment horizontal="center" vertical="center"/>
    </xf>
    <xf numFmtId="0" fontId="42" fillId="0" borderId="260" xfId="13" applyFont="1" applyFill="1" applyBorder="1" applyAlignment="1">
      <alignment horizontal="center" vertical="center"/>
    </xf>
    <xf numFmtId="43" fontId="42" fillId="0" borderId="261" xfId="1" applyFont="1" applyFill="1" applyBorder="1" applyAlignment="1">
      <alignment horizontal="center" vertical="center"/>
    </xf>
    <xf numFmtId="43" fontId="42" fillId="0" borderId="262" xfId="1" applyFont="1" applyFill="1" applyBorder="1" applyAlignment="1">
      <alignment horizontal="center" vertical="center" wrapText="1"/>
    </xf>
    <xf numFmtId="0" fontId="42" fillId="0" borderId="263" xfId="13" applyFont="1" applyFill="1" applyBorder="1" applyAlignment="1">
      <alignment horizontal="center" vertical="center"/>
    </xf>
    <xf numFmtId="1" fontId="41" fillId="0" borderId="0" xfId="0" applyNumberFormat="1" applyFont="1" applyFill="1"/>
    <xf numFmtId="0" fontId="41" fillId="0" borderId="264" xfId="11" applyFont="1" applyFill="1" applyBorder="1" applyAlignment="1" applyProtection="1">
      <alignment horizontal="center" vertical="center"/>
    </xf>
    <xf numFmtId="0" fontId="41" fillId="0" borderId="265" xfId="11" applyFont="1" applyFill="1" applyBorder="1" applyAlignment="1" applyProtection="1">
      <alignment horizontal="left" vertical="center"/>
    </xf>
    <xf numFmtId="39" fontId="41" fillId="0" borderId="94" xfId="11" applyNumberFormat="1" applyFont="1" applyFill="1" applyBorder="1" applyAlignment="1" applyProtection="1">
      <alignment vertical="center"/>
    </xf>
    <xf numFmtId="0" fontId="41" fillId="0" borderId="265" xfId="13" applyFont="1" applyFill="1" applyBorder="1"/>
    <xf numFmtId="0" fontId="41" fillId="0" borderId="265" xfId="13" applyFont="1" applyFill="1" applyBorder="1" applyAlignment="1">
      <alignment horizontal="right"/>
    </xf>
    <xf numFmtId="0" fontId="41" fillId="0" borderId="266" xfId="13" applyFont="1" applyFill="1" applyBorder="1" applyAlignment="1">
      <alignment horizontal="center" vertical="center"/>
    </xf>
    <xf numFmtId="0" fontId="41" fillId="0" borderId="265" xfId="13" applyFont="1" applyFill="1" applyBorder="1" applyAlignment="1">
      <alignment horizontal="center" vertical="center"/>
    </xf>
    <xf numFmtId="43" fontId="41" fillId="0" borderId="267" xfId="1" applyFont="1" applyFill="1" applyBorder="1" applyAlignment="1">
      <alignment horizontal="center" vertical="center"/>
    </xf>
    <xf numFmtId="43" fontId="42" fillId="0" borderId="214" xfId="1" applyFont="1" applyFill="1" applyBorder="1" applyAlignment="1">
      <alignment horizontal="center" vertical="center"/>
    </xf>
    <xf numFmtId="39" fontId="60" fillId="0" borderId="0" xfId="11" applyNumberFormat="1" applyFont="1" applyFill="1" applyBorder="1" applyAlignment="1" applyProtection="1">
      <alignment vertical="center"/>
    </xf>
    <xf numFmtId="0" fontId="39" fillId="0" borderId="0" xfId="0" applyFont="1" applyFill="1" applyAlignment="1">
      <alignment vertical="center"/>
    </xf>
    <xf numFmtId="0" fontId="42" fillId="0" borderId="264" xfId="11" applyFont="1" applyFill="1" applyBorder="1" applyAlignment="1" applyProtection="1">
      <alignment horizontal="center" vertical="center"/>
    </xf>
    <xf numFmtId="39" fontId="42" fillId="0" borderId="265" xfId="11" applyNumberFormat="1" applyFont="1" applyFill="1" applyBorder="1" applyAlignment="1" applyProtection="1">
      <alignment horizontal="left" vertical="center"/>
    </xf>
    <xf numFmtId="39" fontId="42" fillId="0" borderId="94" xfId="11" applyNumberFormat="1" applyFont="1" applyFill="1" applyBorder="1" applyAlignment="1" applyProtection="1">
      <alignment vertical="center"/>
    </xf>
    <xf numFmtId="0" fontId="42" fillId="0" borderId="268" xfId="13" applyFont="1" applyFill="1" applyBorder="1" applyAlignment="1">
      <alignment horizontal="center" vertical="center"/>
    </xf>
    <xf numFmtId="39" fontId="43" fillId="0" borderId="0" xfId="11" applyNumberFormat="1" applyFont="1" applyFill="1" applyBorder="1" applyAlignment="1" applyProtection="1">
      <alignment vertical="center"/>
    </xf>
    <xf numFmtId="39" fontId="41" fillId="0" borderId="265" xfId="11" applyNumberFormat="1" applyFont="1" applyFill="1" applyBorder="1" applyAlignment="1" applyProtection="1">
      <alignment horizontal="left" vertical="center"/>
    </xf>
    <xf numFmtId="0" fontId="60" fillId="0" borderId="0" xfId="0" applyFont="1"/>
    <xf numFmtId="177" fontId="61" fillId="0" borderId="0" xfId="1" applyNumberFormat="1" applyFont="1"/>
    <xf numFmtId="168" fontId="61" fillId="0" borderId="0" xfId="4" applyNumberFormat="1" applyFont="1"/>
    <xf numFmtId="178" fontId="61" fillId="0" borderId="0" xfId="1" applyNumberFormat="1" applyFont="1"/>
    <xf numFmtId="177" fontId="62" fillId="0" borderId="0" xfId="1" applyNumberFormat="1" applyFont="1"/>
    <xf numFmtId="43" fontId="42" fillId="2" borderId="0" xfId="0" applyNumberFormat="1" applyFont="1" applyFill="1"/>
    <xf numFmtId="0" fontId="42" fillId="2" borderId="0" xfId="0" applyFont="1" applyFill="1"/>
    <xf numFmtId="0" fontId="41" fillId="0" borderId="0" xfId="13" applyFont="1" applyFill="1" applyBorder="1" applyAlignment="1">
      <alignment horizontal="center" vertical="center"/>
    </xf>
    <xf numFmtId="176" fontId="41" fillId="0" borderId="269" xfId="1" applyNumberFormat="1" applyFont="1" applyFill="1" applyBorder="1" applyAlignment="1" applyProtection="1">
      <alignment horizontal="center" vertical="center"/>
    </xf>
    <xf numFmtId="0" fontId="41" fillId="0" borderId="270" xfId="11" applyFont="1" applyFill="1" applyBorder="1" applyAlignment="1" applyProtection="1">
      <alignment horizontal="left" vertical="center"/>
    </xf>
    <xf numFmtId="39" fontId="41" fillId="0" borderId="76" xfId="11" applyNumberFormat="1" applyFont="1" applyFill="1" applyBorder="1" applyAlignment="1" applyProtection="1">
      <alignment vertical="center"/>
    </xf>
    <xf numFmtId="0" fontId="41" fillId="0" borderId="270" xfId="13" applyFont="1" applyFill="1" applyBorder="1"/>
    <xf numFmtId="0" fontId="41" fillId="0" borderId="270" xfId="13" applyFont="1" applyFill="1" applyBorder="1" applyAlignment="1">
      <alignment horizontal="right"/>
    </xf>
    <xf numFmtId="0" fontId="41" fillId="0" borderId="271" xfId="13" applyFont="1" applyFill="1" applyBorder="1" applyAlignment="1">
      <alignment horizontal="center" vertical="center"/>
    </xf>
    <xf numFmtId="0" fontId="41" fillId="0" borderId="270" xfId="13" applyFont="1" applyFill="1" applyBorder="1" applyAlignment="1">
      <alignment horizontal="center" vertical="center"/>
    </xf>
    <xf numFmtId="43" fontId="41" fillId="0" borderId="272" xfId="1" applyFont="1" applyFill="1" applyBorder="1" applyAlignment="1">
      <alignment horizontal="center" vertical="center"/>
    </xf>
    <xf numFmtId="43" fontId="42" fillId="0" borderId="273" xfId="1" applyFont="1" applyFill="1" applyBorder="1" applyAlignment="1">
      <alignment horizontal="center" vertical="center"/>
    </xf>
    <xf numFmtId="0" fontId="41" fillId="0" borderId="0" xfId="13" applyFont="1" applyFill="1" applyBorder="1" applyAlignment="1">
      <alignment horizontal="center"/>
    </xf>
    <xf numFmtId="0" fontId="41" fillId="0" borderId="0" xfId="13" applyFont="1" applyFill="1" applyBorder="1" applyAlignment="1">
      <alignment horizontal="left"/>
    </xf>
    <xf numFmtId="0" fontId="41" fillId="0" borderId="0" xfId="13" applyFont="1" applyFill="1" applyBorder="1"/>
    <xf numFmtId="0" fontId="41" fillId="0" borderId="275" xfId="13" applyFont="1" applyFill="1" applyBorder="1" applyAlignment="1">
      <alignment horizontal="right"/>
    </xf>
    <xf numFmtId="43" fontId="42" fillId="0" borderId="0" xfId="1" applyFont="1" applyFill="1" applyBorder="1" applyAlignment="1">
      <alignment horizontal="center" vertical="center"/>
    </xf>
    <xf numFmtId="0" fontId="63" fillId="0" borderId="0" xfId="13" applyFont="1" applyFill="1" applyBorder="1" applyAlignment="1">
      <alignment horizontal="left"/>
    </xf>
    <xf numFmtId="39" fontId="41" fillId="0" borderId="0" xfId="13" applyNumberFormat="1" applyFont="1" applyFill="1" applyBorder="1" applyAlignment="1">
      <alignment horizontal="center"/>
    </xf>
    <xf numFmtId="0" fontId="41" fillId="0" borderId="0" xfId="13" applyFont="1" applyFill="1" applyBorder="1" applyAlignment="1">
      <alignment horizontal="right"/>
    </xf>
    <xf numFmtId="4" fontId="41" fillId="0" borderId="0" xfId="13" applyNumberFormat="1" applyFont="1" applyFill="1" applyBorder="1" applyAlignment="1">
      <alignment horizontal="center" vertical="center"/>
    </xf>
    <xf numFmtId="39" fontId="41" fillId="0" borderId="0" xfId="13" applyNumberFormat="1" applyFont="1" applyFill="1" applyBorder="1" applyAlignment="1">
      <alignment horizontal="center" vertical="center"/>
    </xf>
    <xf numFmtId="0" fontId="42" fillId="0" borderId="0" xfId="13" applyFont="1" applyFill="1" applyBorder="1" applyAlignment="1">
      <alignment horizontal="center" vertical="center"/>
    </xf>
    <xf numFmtId="0" fontId="42" fillId="0" borderId="274" xfId="13" applyFont="1" applyFill="1" applyBorder="1" applyAlignment="1">
      <alignment horizontal="center" vertical="center"/>
    </xf>
    <xf numFmtId="1" fontId="43" fillId="0" borderId="0" xfId="0" applyNumberFormat="1" applyFont="1" applyFill="1"/>
    <xf numFmtId="0" fontId="43" fillId="0" borderId="264" xfId="11" applyFont="1" applyFill="1" applyBorder="1" applyAlignment="1" applyProtection="1">
      <alignment horizontal="center" vertical="center"/>
    </xf>
    <xf numFmtId="39" fontId="43" fillId="0" borderId="94" xfId="11" applyNumberFormat="1" applyFont="1" applyFill="1" applyBorder="1" applyAlignment="1" applyProtection="1">
      <alignment vertical="center"/>
    </xf>
    <xf numFmtId="0" fontId="43" fillId="0" borderId="0" xfId="0" applyFont="1" applyFill="1" applyAlignment="1">
      <alignment vertical="center"/>
    </xf>
    <xf numFmtId="43" fontId="41" fillId="0" borderId="266" xfId="13" applyNumberFormat="1" applyFont="1" applyFill="1" applyBorder="1" applyAlignment="1">
      <alignment horizontal="center" vertical="center"/>
    </xf>
    <xf numFmtId="39" fontId="41" fillId="0" borderId="0" xfId="11" applyNumberFormat="1" applyFont="1" applyFill="1" applyBorder="1" applyAlignment="1" applyProtection="1">
      <alignment vertical="center"/>
    </xf>
    <xf numFmtId="0" fontId="42" fillId="0" borderId="339" xfId="13" applyFont="1" applyFill="1" applyBorder="1" applyAlignment="1">
      <alignment horizontal="center" vertical="center"/>
    </xf>
    <xf numFmtId="0" fontId="60" fillId="0" borderId="339" xfId="13" applyFont="1" applyFill="1" applyBorder="1" applyAlignment="1">
      <alignment horizontal="center" vertical="center"/>
    </xf>
    <xf numFmtId="176" fontId="64" fillId="0" borderId="0" xfId="1" applyNumberFormat="1" applyFont="1" applyFill="1" applyAlignment="1">
      <alignment horizontal="left" vertical="center"/>
    </xf>
    <xf numFmtId="0" fontId="65" fillId="0" borderId="0" xfId="11" applyFont="1" applyFill="1" applyAlignment="1">
      <alignment vertical="center"/>
    </xf>
    <xf numFmtId="168" fontId="65" fillId="0" borderId="0" xfId="2" applyNumberFormat="1" applyFont="1" applyFill="1" applyAlignment="1">
      <alignment vertical="center"/>
    </xf>
    <xf numFmtId="176" fontId="64" fillId="0" borderId="0" xfId="1" applyNumberFormat="1" applyFont="1" applyFill="1" applyBorder="1" applyAlignment="1">
      <alignment horizontal="left" vertical="center"/>
    </xf>
    <xf numFmtId="0" fontId="65" fillId="0" borderId="0" xfId="11" applyFont="1" applyFill="1" applyAlignment="1" applyProtection="1">
      <alignment horizontal="centerContinuous" vertical="center"/>
    </xf>
    <xf numFmtId="0" fontId="68" fillId="0" borderId="0" xfId="11" applyFont="1" applyFill="1" applyAlignment="1">
      <alignment vertical="center"/>
    </xf>
    <xf numFmtId="0" fontId="68" fillId="0" borderId="0" xfId="11" applyFont="1" applyFill="1" applyAlignment="1" applyProtection="1">
      <alignment vertical="center"/>
    </xf>
    <xf numFmtId="41" fontId="68" fillId="0" borderId="0" xfId="2" applyFont="1" applyFill="1" applyAlignment="1" applyProtection="1">
      <alignment vertical="center"/>
    </xf>
    <xf numFmtId="176" fontId="64" fillId="0" borderId="0" xfId="1" applyNumberFormat="1" applyFont="1" applyFill="1" applyBorder="1" applyAlignment="1" applyProtection="1">
      <alignment horizontal="left" vertical="center"/>
    </xf>
    <xf numFmtId="0" fontId="68" fillId="0" borderId="0" xfId="11" applyFont="1" applyFill="1" applyAlignment="1" applyProtection="1">
      <alignment horizontal="center" vertical="center"/>
    </xf>
    <xf numFmtId="0" fontId="68" fillId="0" borderId="0" xfId="11" applyFont="1" applyFill="1" applyAlignment="1">
      <alignment horizontal="center" vertical="center"/>
    </xf>
    <xf numFmtId="39" fontId="68" fillId="0" borderId="0" xfId="11" applyNumberFormat="1" applyFont="1" applyFill="1" applyAlignment="1">
      <alignment vertical="center"/>
    </xf>
    <xf numFmtId="176" fontId="69" fillId="0" borderId="0" xfId="1" applyNumberFormat="1" applyFont="1" applyFill="1" applyBorder="1" applyAlignment="1" applyProtection="1">
      <alignment horizontal="left" vertical="center"/>
    </xf>
    <xf numFmtId="0" fontId="68" fillId="0" borderId="225" xfId="11" applyFont="1" applyFill="1" applyBorder="1" applyAlignment="1" applyProtection="1">
      <alignment horizontal="center" vertical="center"/>
    </xf>
    <xf numFmtId="0" fontId="68" fillId="0" borderId="226" xfId="11" applyFont="1" applyFill="1" applyBorder="1" applyAlignment="1" applyProtection="1">
      <alignment vertical="center"/>
    </xf>
    <xf numFmtId="39" fontId="68" fillId="0" borderId="226" xfId="11" applyNumberFormat="1" applyFont="1" applyFill="1" applyBorder="1" applyAlignment="1" applyProtection="1">
      <alignment vertical="center"/>
    </xf>
    <xf numFmtId="39" fontId="68" fillId="0" borderId="227" xfId="11" applyNumberFormat="1" applyFont="1" applyFill="1" applyBorder="1" applyAlignment="1" applyProtection="1">
      <alignment vertical="center"/>
    </xf>
    <xf numFmtId="39" fontId="68" fillId="0" borderId="226" xfId="11" applyNumberFormat="1" applyFont="1" applyFill="1" applyBorder="1" applyAlignment="1" applyProtection="1">
      <alignment horizontal="center" vertical="center"/>
    </xf>
    <xf numFmtId="39" fontId="68" fillId="0" borderId="227" xfId="11" applyNumberFormat="1" applyFont="1" applyFill="1" applyBorder="1" applyAlignment="1" applyProtection="1">
      <alignment horizontal="center" vertical="center"/>
    </xf>
    <xf numFmtId="39" fontId="68" fillId="0" borderId="228" xfId="11" applyNumberFormat="1" applyFont="1" applyFill="1" applyBorder="1" applyAlignment="1" applyProtection="1">
      <alignment vertical="center"/>
    </xf>
    <xf numFmtId="39" fontId="68" fillId="0" borderId="229" xfId="11" applyNumberFormat="1" applyFont="1" applyFill="1" applyBorder="1" applyAlignment="1" applyProtection="1">
      <alignment vertical="center"/>
    </xf>
    <xf numFmtId="0" fontId="70" fillId="0" borderId="230" xfId="11" applyFont="1" applyFill="1" applyBorder="1" applyAlignment="1" applyProtection="1">
      <alignment horizontal="center" vertical="center"/>
    </xf>
    <xf numFmtId="0" fontId="70" fillId="0" borderId="0" xfId="11" applyFont="1" applyFill="1" applyBorder="1" applyAlignment="1" applyProtection="1">
      <alignment horizontal="centerContinuous" vertical="center"/>
    </xf>
    <xf numFmtId="0" fontId="70" fillId="0" borderId="12" xfId="11" applyFont="1" applyFill="1" applyBorder="1" applyAlignment="1" applyProtection="1">
      <alignment horizontal="centerContinuous" vertical="center"/>
    </xf>
    <xf numFmtId="0" fontId="70" fillId="0" borderId="0" xfId="11" applyFont="1" applyFill="1" applyBorder="1" applyAlignment="1" applyProtection="1">
      <alignment horizontal="center" vertical="center"/>
    </xf>
    <xf numFmtId="0" fontId="70" fillId="0" borderId="12" xfId="11" applyFont="1" applyFill="1" applyBorder="1" applyAlignment="1" applyProtection="1">
      <alignment horizontal="center" vertical="center"/>
    </xf>
    <xf numFmtId="0" fontId="70" fillId="0" borderId="0" xfId="11" applyFont="1" applyFill="1" applyBorder="1" applyAlignment="1" applyProtection="1">
      <alignment horizontal="left" vertical="center"/>
    </xf>
    <xf numFmtId="0" fontId="70" fillId="0" borderId="231" xfId="11" applyFont="1" applyFill="1" applyBorder="1" applyAlignment="1" applyProtection="1">
      <alignment horizontal="center" vertical="center"/>
    </xf>
    <xf numFmtId="0" fontId="70" fillId="0" borderId="13" xfId="11" applyFont="1" applyFill="1" applyBorder="1" applyAlignment="1" applyProtection="1">
      <alignment horizontal="center" vertical="center"/>
    </xf>
    <xf numFmtId="0" fontId="70" fillId="0" borderId="231" xfId="11" applyFont="1" applyFill="1" applyBorder="1" applyAlignment="1" applyProtection="1">
      <alignment horizontal="centerContinuous" vertical="center"/>
    </xf>
    <xf numFmtId="0" fontId="68" fillId="0" borderId="230" xfId="11" applyFont="1" applyFill="1" applyBorder="1" applyAlignment="1" applyProtection="1">
      <alignment horizontal="center" vertical="center"/>
    </xf>
    <xf numFmtId="0" fontId="68" fillId="0" borderId="0" xfId="11" applyFont="1" applyFill="1" applyBorder="1" applyAlignment="1" applyProtection="1">
      <alignment vertical="center"/>
    </xf>
    <xf numFmtId="0" fontId="68" fillId="0" borderId="12" xfId="11" applyFont="1" applyFill="1" applyBorder="1" applyAlignment="1" applyProtection="1">
      <alignment vertical="center"/>
    </xf>
    <xf numFmtId="0" fontId="68" fillId="0" borderId="0" xfId="11" applyFont="1" applyFill="1" applyBorder="1" applyAlignment="1" applyProtection="1">
      <alignment horizontal="center" vertical="center"/>
    </xf>
    <xf numFmtId="0" fontId="68" fillId="0" borderId="12" xfId="11" applyFont="1" applyFill="1" applyBorder="1" applyAlignment="1" applyProtection="1">
      <alignment horizontal="center" vertical="center"/>
    </xf>
    <xf numFmtId="0" fontId="68" fillId="0" borderId="0" xfId="11" applyFont="1" applyFill="1" applyBorder="1" applyAlignment="1" applyProtection="1">
      <alignment horizontal="centerContinuous" vertical="center"/>
    </xf>
    <xf numFmtId="0" fontId="68" fillId="0" borderId="231" xfId="11" applyFont="1" applyFill="1" applyBorder="1" applyAlignment="1" applyProtection="1">
      <alignment horizontal="centerContinuous" vertical="center"/>
    </xf>
    <xf numFmtId="0" fontId="68" fillId="0" borderId="13" xfId="11" applyFont="1" applyFill="1" applyBorder="1" applyAlignment="1" applyProtection="1">
      <alignment horizontal="center" vertical="center"/>
    </xf>
    <xf numFmtId="0" fontId="70" fillId="0" borderId="232" xfId="11" quotePrefix="1" applyFont="1" applyFill="1" applyBorder="1" applyAlignment="1" applyProtection="1">
      <alignment horizontal="center" vertical="center"/>
    </xf>
    <xf numFmtId="0" fontId="70" fillId="0" borderId="233" xfId="11" applyFont="1" applyFill="1" applyBorder="1" applyAlignment="1" applyProtection="1">
      <alignment horizontal="centerContinuous" vertical="center"/>
    </xf>
    <xf numFmtId="0" fontId="70" fillId="0" borderId="233" xfId="11" applyFont="1" applyFill="1" applyBorder="1" applyAlignment="1" applyProtection="1">
      <alignment horizontal="right" vertical="center"/>
    </xf>
    <xf numFmtId="0" fontId="70" fillId="0" borderId="235" xfId="11" applyFont="1" applyFill="1" applyBorder="1" applyAlignment="1" applyProtection="1">
      <alignment horizontal="center" vertical="center"/>
    </xf>
    <xf numFmtId="0" fontId="70" fillId="0" borderId="235" xfId="11" applyFont="1" applyFill="1" applyBorder="1" applyAlignment="1" applyProtection="1">
      <alignment horizontal="centerContinuous" vertical="center"/>
    </xf>
    <xf numFmtId="0" fontId="70" fillId="0" borderId="236" xfId="11" applyFont="1" applyFill="1" applyBorder="1" applyAlignment="1" applyProtection="1">
      <alignment horizontal="centerContinuous" vertical="center"/>
    </xf>
    <xf numFmtId="0" fontId="70" fillId="0" borderId="237" xfId="11" applyFont="1" applyFill="1" applyBorder="1" applyAlignment="1" applyProtection="1">
      <alignment horizontal="center" vertical="center"/>
    </xf>
    <xf numFmtId="0" fontId="70" fillId="0" borderId="238" xfId="11" applyFont="1" applyFill="1" applyBorder="1" applyAlignment="1" applyProtection="1">
      <alignment horizontal="center" vertical="center"/>
    </xf>
    <xf numFmtId="0" fontId="70" fillId="0" borderId="239" xfId="11" applyFont="1" applyFill="1" applyBorder="1" applyAlignment="1" applyProtection="1">
      <alignment horizontal="centerContinuous" vertical="center"/>
    </xf>
    <xf numFmtId="0" fontId="70" fillId="0" borderId="239" xfId="11" applyFont="1" applyFill="1" applyBorder="1" applyAlignment="1" applyProtection="1">
      <alignment vertical="center"/>
    </xf>
    <xf numFmtId="0" fontId="68" fillId="0" borderId="239" xfId="11" applyFont="1" applyFill="1" applyBorder="1" applyAlignment="1" applyProtection="1">
      <alignment horizontal="centerContinuous" vertical="center"/>
    </xf>
    <xf numFmtId="0" fontId="68" fillId="0" borderId="240" xfId="11" applyFont="1" applyFill="1" applyBorder="1" applyAlignment="1" applyProtection="1">
      <alignment horizontal="centerContinuous" vertical="center"/>
    </xf>
    <xf numFmtId="39" fontId="68" fillId="0" borderId="239" xfId="11" applyNumberFormat="1" applyFont="1" applyFill="1" applyBorder="1" applyAlignment="1" applyProtection="1">
      <alignment horizontal="right" vertical="center"/>
    </xf>
    <xf numFmtId="0" fontId="68" fillId="0" borderId="239" xfId="11" applyFont="1" applyFill="1" applyBorder="1" applyAlignment="1" applyProtection="1">
      <alignment horizontal="center" vertical="center"/>
    </xf>
    <xf numFmtId="0" fontId="68" fillId="0" borderId="241" xfId="11" applyFont="1" applyFill="1" applyBorder="1" applyAlignment="1" applyProtection="1">
      <alignment horizontal="center" vertical="center"/>
    </xf>
    <xf numFmtId="0" fontId="68" fillId="0" borderId="239" xfId="11" applyFont="1" applyFill="1" applyBorder="1" applyAlignment="1" applyProtection="1">
      <alignment vertical="center"/>
    </xf>
    <xf numFmtId="0" fontId="68" fillId="0" borderId="242" xfId="11" applyFont="1" applyFill="1" applyBorder="1" applyAlignment="1" applyProtection="1">
      <alignment horizontal="centerContinuous" vertical="center"/>
    </xf>
    <xf numFmtId="39" fontId="68" fillId="0" borderId="243" xfId="11" applyNumberFormat="1" applyFont="1" applyFill="1" applyBorder="1" applyAlignment="1" applyProtection="1">
      <alignment horizontal="center" vertical="center"/>
    </xf>
    <xf numFmtId="39" fontId="68" fillId="0" borderId="244" xfId="11" applyNumberFormat="1" applyFont="1" applyFill="1" applyBorder="1" applyAlignment="1" applyProtection="1">
      <alignment vertical="center"/>
    </xf>
    <xf numFmtId="43" fontId="70" fillId="0" borderId="0" xfId="11" applyNumberFormat="1" applyFont="1" applyFill="1" applyAlignment="1" applyProtection="1">
      <alignment vertical="center"/>
    </xf>
    <xf numFmtId="43" fontId="68" fillId="0" borderId="0" xfId="1" applyFont="1" applyFill="1" applyAlignment="1" applyProtection="1">
      <alignment vertical="center"/>
    </xf>
    <xf numFmtId="43" fontId="68" fillId="0" borderId="0" xfId="1" applyFont="1" applyFill="1" applyAlignment="1">
      <alignment vertical="center"/>
    </xf>
    <xf numFmtId="0" fontId="68" fillId="0" borderId="238" xfId="11" applyFont="1" applyFill="1" applyBorder="1" applyAlignment="1" applyProtection="1">
      <alignment horizontal="center" vertical="center"/>
    </xf>
    <xf numFmtId="39" fontId="68" fillId="0" borderId="239" xfId="11" applyNumberFormat="1" applyFont="1" applyFill="1" applyBorder="1" applyAlignment="1" applyProtection="1">
      <alignment vertical="center"/>
    </xf>
    <xf numFmtId="39" fontId="68" fillId="0" borderId="240" xfId="11" applyNumberFormat="1" applyFont="1" applyFill="1" applyBorder="1" applyAlignment="1" applyProtection="1">
      <alignment vertical="center"/>
    </xf>
    <xf numFmtId="168" fontId="68" fillId="0" borderId="239" xfId="2" applyNumberFormat="1" applyFont="1" applyFill="1" applyBorder="1" applyAlignment="1" applyProtection="1">
      <alignment horizontal="right" vertical="center"/>
    </xf>
    <xf numFmtId="39" fontId="68" fillId="0" borderId="239" xfId="11" applyNumberFormat="1" applyFont="1" applyFill="1" applyBorder="1" applyAlignment="1" applyProtection="1">
      <alignment horizontal="center" vertical="center"/>
    </xf>
    <xf numFmtId="39" fontId="68" fillId="0" borderId="241" xfId="11" applyNumberFormat="1" applyFont="1" applyFill="1" applyBorder="1" applyAlignment="1" applyProtection="1">
      <alignment horizontal="center" vertical="center"/>
    </xf>
    <xf numFmtId="39" fontId="68" fillId="0" borderId="241" xfId="11" applyNumberFormat="1" applyFont="1" applyFill="1" applyBorder="1" applyAlignment="1" applyProtection="1">
      <alignment horizontal="right" vertical="center"/>
    </xf>
    <xf numFmtId="168" fontId="68" fillId="0" borderId="242" xfId="2" applyNumberFormat="1" applyFont="1" applyFill="1" applyBorder="1" applyAlignment="1" applyProtection="1">
      <alignment vertical="center"/>
    </xf>
    <xf numFmtId="168" fontId="68" fillId="0" borderId="243" xfId="2" applyNumberFormat="1" applyFont="1" applyFill="1" applyBorder="1" applyAlignment="1" applyProtection="1">
      <alignment vertical="center"/>
    </xf>
    <xf numFmtId="168" fontId="68" fillId="0" borderId="244" xfId="2" applyNumberFormat="1" applyFont="1" applyFill="1" applyBorder="1" applyAlignment="1" applyProtection="1">
      <alignment vertical="center"/>
    </xf>
    <xf numFmtId="43" fontId="68" fillId="0" borderId="0" xfId="11" applyNumberFormat="1" applyFont="1" applyFill="1" applyAlignment="1">
      <alignment vertical="center"/>
    </xf>
    <xf numFmtId="168" fontId="68" fillId="0" borderId="239" xfId="2" applyNumberFormat="1" applyFont="1" applyFill="1" applyBorder="1" applyAlignment="1" applyProtection="1">
      <alignment vertical="center"/>
    </xf>
    <xf numFmtId="0" fontId="68" fillId="0" borderId="245" xfId="11" applyFont="1" applyFill="1" applyBorder="1" applyAlignment="1" applyProtection="1">
      <alignment horizontal="center" vertical="center"/>
    </xf>
    <xf numFmtId="0" fontId="68" fillId="0" borderId="246" xfId="11" applyFont="1" applyFill="1" applyBorder="1" applyAlignment="1" applyProtection="1">
      <alignment vertical="center"/>
    </xf>
    <xf numFmtId="39" fontId="68" fillId="0" borderId="246" xfId="11" applyNumberFormat="1" applyFont="1" applyFill="1" applyBorder="1" applyAlignment="1" applyProtection="1">
      <alignment vertical="center"/>
    </xf>
    <xf numFmtId="39" fontId="68" fillId="0" borderId="247" xfId="11" applyNumberFormat="1" applyFont="1" applyFill="1" applyBorder="1" applyAlignment="1" applyProtection="1">
      <alignment vertical="center"/>
    </xf>
    <xf numFmtId="168" fontId="68" fillId="0" borderId="246" xfId="2" applyNumberFormat="1" applyFont="1" applyFill="1" applyBorder="1" applyAlignment="1" applyProtection="1">
      <alignment horizontal="right" vertical="center"/>
    </xf>
    <xf numFmtId="39" fontId="68" fillId="0" borderId="246" xfId="11" applyNumberFormat="1" applyFont="1" applyFill="1" applyBorder="1" applyAlignment="1" applyProtection="1">
      <alignment horizontal="center" vertical="center"/>
    </xf>
    <xf numFmtId="39" fontId="70" fillId="0" borderId="248" xfId="11" applyNumberFormat="1" applyFont="1" applyFill="1" applyBorder="1" applyAlignment="1" applyProtection="1">
      <alignment horizontal="center" vertical="center"/>
    </xf>
    <xf numFmtId="168" fontId="70" fillId="0" borderId="246" xfId="2" applyNumberFormat="1" applyFont="1" applyFill="1" applyBorder="1" applyAlignment="1" applyProtection="1">
      <alignment vertical="center"/>
    </xf>
    <xf numFmtId="168" fontId="70" fillId="0" borderId="249" xfId="2" applyNumberFormat="1" applyFont="1" applyFill="1" applyBorder="1" applyAlignment="1" applyProtection="1">
      <alignment vertical="center"/>
    </xf>
    <xf numFmtId="168" fontId="70" fillId="0" borderId="250" xfId="2" applyNumberFormat="1" applyFont="1" applyFill="1" applyBorder="1" applyAlignment="1" applyProtection="1">
      <alignment vertical="center"/>
    </xf>
    <xf numFmtId="168" fontId="68" fillId="0" borderId="251" xfId="2" applyNumberFormat="1" applyFont="1" applyFill="1" applyBorder="1" applyAlignment="1" applyProtection="1">
      <alignment vertical="center"/>
    </xf>
    <xf numFmtId="168" fontId="68" fillId="0" borderId="309" xfId="2" applyNumberFormat="1" applyFont="1" applyFill="1" applyBorder="1" applyAlignment="1" applyProtection="1">
      <alignment horizontal="right" vertical="center"/>
    </xf>
    <xf numFmtId="176" fontId="71" fillId="0" borderId="0" xfId="1" applyNumberFormat="1" applyFont="1" applyFill="1" applyBorder="1" applyAlignment="1" applyProtection="1">
      <alignment horizontal="left" vertical="center"/>
    </xf>
    <xf numFmtId="0" fontId="70" fillId="0" borderId="252" xfId="11" applyFont="1" applyFill="1" applyBorder="1" applyAlignment="1" applyProtection="1">
      <alignment horizontal="center" vertical="center"/>
    </xf>
    <xf numFmtId="0" fontId="70" fillId="0" borderId="124" xfId="11" applyFont="1" applyFill="1" applyBorder="1" applyAlignment="1" applyProtection="1">
      <alignment vertical="center"/>
    </xf>
    <xf numFmtId="39" fontId="70" fillId="0" borderId="124" xfId="11" applyNumberFormat="1" applyFont="1" applyFill="1" applyBorder="1" applyAlignment="1" applyProtection="1">
      <alignment vertical="center"/>
    </xf>
    <xf numFmtId="39" fontId="70" fillId="0" borderId="125" xfId="11" applyNumberFormat="1" applyFont="1" applyFill="1" applyBorder="1" applyAlignment="1" applyProtection="1">
      <alignment vertical="center"/>
    </xf>
    <xf numFmtId="168" fontId="70" fillId="0" borderId="124" xfId="2" applyNumberFormat="1" applyFont="1" applyFill="1" applyBorder="1" applyAlignment="1" applyProtection="1">
      <alignment horizontal="right" vertical="center"/>
    </xf>
    <xf numFmtId="39" fontId="70" fillId="0" borderId="124" xfId="11" applyNumberFormat="1" applyFont="1" applyFill="1" applyBorder="1" applyAlignment="1" applyProtection="1">
      <alignment horizontal="center" vertical="center"/>
    </xf>
    <xf numFmtId="39" fontId="70" fillId="0" borderId="126" xfId="11" applyNumberFormat="1" applyFont="1" applyFill="1" applyBorder="1" applyAlignment="1" applyProtection="1">
      <alignment horizontal="center" vertical="center"/>
    </xf>
    <xf numFmtId="168" fontId="70" fillId="0" borderId="124" xfId="2" applyNumberFormat="1" applyFont="1" applyFill="1" applyBorder="1" applyAlignment="1" applyProtection="1">
      <alignment vertical="center"/>
    </xf>
    <xf numFmtId="168" fontId="70" fillId="0" borderId="127" xfId="2" applyNumberFormat="1" applyFont="1" applyFill="1" applyBorder="1" applyAlignment="1" applyProtection="1">
      <alignment vertical="center"/>
    </xf>
    <xf numFmtId="168" fontId="70" fillId="0" borderId="253" xfId="2" applyNumberFormat="1" applyFont="1" applyFill="1" applyBorder="1" applyAlignment="1" applyProtection="1">
      <alignment vertical="center"/>
    </xf>
    <xf numFmtId="168" fontId="70" fillId="0" borderId="128" xfId="2" applyNumberFormat="1" applyFont="1" applyFill="1" applyBorder="1" applyAlignment="1" applyProtection="1">
      <alignment vertical="center"/>
    </xf>
    <xf numFmtId="0" fontId="72" fillId="0" borderId="0" xfId="11" applyFont="1" applyFill="1" applyAlignment="1" applyProtection="1">
      <alignment vertical="center"/>
    </xf>
    <xf numFmtId="0" fontId="72" fillId="0" borderId="0" xfId="11" applyFont="1" applyFill="1" applyAlignment="1">
      <alignment vertical="center"/>
    </xf>
    <xf numFmtId="39" fontId="73" fillId="0" borderId="239" xfId="11" applyNumberFormat="1" applyFont="1" applyFill="1" applyBorder="1" applyAlignment="1" applyProtection="1">
      <alignment vertical="center"/>
    </xf>
    <xf numFmtId="0" fontId="68" fillId="0" borderId="312" xfId="11" applyFont="1" applyFill="1" applyBorder="1" applyAlignment="1" applyProtection="1">
      <alignment horizontal="center" vertical="center"/>
    </xf>
    <xf numFmtId="0" fontId="68" fillId="0" borderId="313" xfId="11" applyFont="1" applyFill="1" applyBorder="1" applyAlignment="1" applyProtection="1">
      <alignment vertical="center"/>
    </xf>
    <xf numFmtId="39" fontId="70" fillId="0" borderId="313" xfId="11" applyNumberFormat="1" applyFont="1" applyFill="1" applyBorder="1" applyAlignment="1" applyProtection="1">
      <alignment vertical="center"/>
    </xf>
    <xf numFmtId="39" fontId="68" fillId="0" borderId="313" xfId="11" applyNumberFormat="1" applyFont="1" applyFill="1" applyBorder="1" applyAlignment="1" applyProtection="1">
      <alignment vertical="center"/>
    </xf>
    <xf numFmtId="39" fontId="68" fillId="0" borderId="314" xfId="11" applyNumberFormat="1" applyFont="1" applyFill="1" applyBorder="1" applyAlignment="1" applyProtection="1">
      <alignment vertical="center"/>
    </xf>
    <xf numFmtId="168" fontId="68" fillId="0" borderId="313" xfId="2" applyNumberFormat="1" applyFont="1" applyFill="1" applyBorder="1" applyAlignment="1" applyProtection="1">
      <alignment horizontal="right" vertical="center"/>
    </xf>
    <xf numFmtId="39" fontId="68" fillId="0" borderId="313" xfId="11" applyNumberFormat="1" applyFont="1" applyFill="1" applyBorder="1" applyAlignment="1" applyProtection="1">
      <alignment horizontal="center" vertical="center"/>
    </xf>
    <xf numFmtId="39" fontId="68" fillId="0" borderId="315" xfId="11" applyNumberFormat="1" applyFont="1" applyFill="1" applyBorder="1" applyAlignment="1" applyProtection="1">
      <alignment horizontal="center" vertical="center"/>
    </xf>
    <xf numFmtId="39" fontId="68" fillId="0" borderId="315" xfId="11" applyNumberFormat="1" applyFont="1" applyFill="1" applyBorder="1" applyAlignment="1" applyProtection="1">
      <alignment horizontal="right" vertical="center"/>
    </xf>
    <xf numFmtId="168" fontId="68" fillId="0" borderId="316" xfId="2" applyNumberFormat="1" applyFont="1" applyFill="1" applyBorder="1" applyAlignment="1" applyProtection="1">
      <alignment vertical="center"/>
    </xf>
    <xf numFmtId="168" fontId="68" fillId="0" borderId="317" xfId="2" applyNumberFormat="1" applyFont="1" applyFill="1" applyBorder="1" applyAlignment="1" applyProtection="1">
      <alignment vertical="center"/>
    </xf>
    <xf numFmtId="168" fontId="68" fillId="0" borderId="318" xfId="2" applyNumberFormat="1" applyFont="1" applyFill="1" applyBorder="1" applyAlignment="1" applyProtection="1">
      <alignment vertical="center"/>
    </xf>
    <xf numFmtId="0" fontId="65" fillId="0" borderId="0" xfId="11" applyFont="1" applyFill="1" applyAlignment="1" applyProtection="1">
      <alignment vertical="center"/>
    </xf>
    <xf numFmtId="43" fontId="70" fillId="0" borderId="0" xfId="1" applyFont="1" applyFill="1" applyAlignment="1">
      <alignment vertical="center"/>
    </xf>
    <xf numFmtId="39" fontId="73" fillId="0" borderId="240" xfId="11" applyNumberFormat="1" applyFont="1" applyFill="1" applyBorder="1" applyAlignment="1" applyProtection="1">
      <alignment vertical="center"/>
    </xf>
    <xf numFmtId="0" fontId="70" fillId="0" borderId="245" xfId="11" applyFont="1" applyFill="1" applyBorder="1" applyAlignment="1" applyProtection="1">
      <alignment horizontal="center" vertical="center"/>
    </xf>
    <xf numFmtId="0" fontId="70" fillId="0" borderId="246" xfId="11" applyFont="1" applyFill="1" applyBorder="1" applyAlignment="1" applyProtection="1">
      <alignment vertical="center"/>
    </xf>
    <xf numFmtId="39" fontId="70" fillId="0" borderId="246" xfId="11" applyNumberFormat="1" applyFont="1" applyFill="1" applyBorder="1" applyAlignment="1" applyProtection="1">
      <alignment vertical="center"/>
    </xf>
    <xf numFmtId="39" fontId="70" fillId="0" borderId="247" xfId="11" applyNumberFormat="1" applyFont="1" applyFill="1" applyBorder="1" applyAlignment="1" applyProtection="1">
      <alignment vertical="center"/>
    </xf>
    <xf numFmtId="168" fontId="70" fillId="0" borderId="246" xfId="2" applyNumberFormat="1" applyFont="1" applyFill="1" applyBorder="1" applyAlignment="1" applyProtection="1">
      <alignment horizontal="right" vertical="center"/>
    </xf>
    <xf numFmtId="43" fontId="70" fillId="0" borderId="250" xfId="2" applyNumberFormat="1" applyFont="1" applyFill="1" applyBorder="1" applyAlignment="1" applyProtection="1">
      <alignment vertical="center"/>
    </xf>
    <xf numFmtId="43" fontId="65" fillId="0" borderId="0" xfId="11" applyNumberFormat="1" applyFont="1" applyFill="1" applyAlignment="1">
      <alignment vertical="center"/>
    </xf>
    <xf numFmtId="39" fontId="68" fillId="0" borderId="248" xfId="11" applyNumberFormat="1" applyFont="1" applyFill="1" applyBorder="1" applyAlignment="1" applyProtection="1">
      <alignment horizontal="center" vertical="center"/>
    </xf>
    <xf numFmtId="168" fontId="68" fillId="0" borderId="249" xfId="2" applyNumberFormat="1" applyFont="1" applyFill="1" applyBorder="1" applyAlignment="1" applyProtection="1">
      <alignment vertical="center"/>
    </xf>
    <xf numFmtId="0" fontId="65" fillId="0" borderId="0" xfId="11" applyFont="1" applyFill="1" applyAlignment="1" applyProtection="1">
      <alignment horizontal="right" vertical="center"/>
    </xf>
    <xf numFmtId="176" fontId="72" fillId="0" borderId="0" xfId="1" applyNumberFormat="1" applyFont="1" applyFill="1" applyAlignment="1">
      <alignment vertical="center"/>
    </xf>
    <xf numFmtId="0" fontId="68" fillId="0" borderId="249" xfId="11" applyFont="1" applyFill="1" applyBorder="1" applyAlignment="1" applyProtection="1">
      <alignment vertical="center"/>
    </xf>
    <xf numFmtId="168" fontId="70" fillId="0" borderId="250" xfId="2" applyNumberFormat="1" applyFont="1" applyFill="1" applyBorder="1" applyAlignment="1" applyProtection="1">
      <alignment horizontal="right" vertical="center"/>
    </xf>
    <xf numFmtId="168" fontId="74" fillId="0" borderId="254" xfId="2" applyNumberFormat="1" applyFont="1" applyFill="1" applyBorder="1" applyAlignment="1" applyProtection="1">
      <alignment vertical="center"/>
    </xf>
    <xf numFmtId="168" fontId="70" fillId="0" borderId="0" xfId="11" applyNumberFormat="1" applyFont="1" applyFill="1" applyAlignment="1" applyProtection="1">
      <alignment vertical="center"/>
    </xf>
    <xf numFmtId="41" fontId="70" fillId="0" borderId="0" xfId="11" applyNumberFormat="1" applyFont="1" applyFill="1" applyAlignment="1" applyProtection="1">
      <alignment vertical="center"/>
    </xf>
    <xf numFmtId="0" fontId="68" fillId="0" borderId="232" xfId="11" applyFont="1" applyFill="1" applyBorder="1" applyAlignment="1" applyProtection="1">
      <alignment horizontal="left" vertical="center"/>
    </xf>
    <xf numFmtId="0" fontId="68" fillId="0" borderId="233" xfId="11" applyFont="1" applyFill="1" applyBorder="1" applyAlignment="1" applyProtection="1">
      <alignment vertical="center"/>
    </xf>
    <xf numFmtId="39" fontId="68" fillId="0" borderId="234" xfId="11" applyNumberFormat="1" applyFont="1" applyFill="1" applyBorder="1" applyAlignment="1" applyProtection="1">
      <alignment vertical="center"/>
    </xf>
    <xf numFmtId="168" fontId="68" fillId="0" borderId="233" xfId="2" applyNumberFormat="1" applyFont="1" applyFill="1" applyBorder="1" applyAlignment="1" applyProtection="1">
      <alignment horizontal="center" vertical="center"/>
    </xf>
    <xf numFmtId="0" fontId="68" fillId="0" borderId="235" xfId="11" applyFont="1" applyFill="1" applyBorder="1" applyAlignment="1" applyProtection="1">
      <alignment horizontal="center" vertical="center"/>
    </xf>
    <xf numFmtId="168" fontId="68" fillId="0" borderId="233" xfId="2" applyNumberFormat="1" applyFont="1" applyFill="1" applyBorder="1" applyAlignment="1" applyProtection="1">
      <alignment vertical="center"/>
    </xf>
    <xf numFmtId="168" fontId="68" fillId="0" borderId="255" xfId="2" applyNumberFormat="1" applyFont="1" applyFill="1" applyBorder="1" applyAlignment="1" applyProtection="1">
      <alignment vertical="center"/>
    </xf>
    <xf numFmtId="168" fontId="68" fillId="0" borderId="256" xfId="2" applyNumberFormat="1" applyFont="1" applyFill="1" applyBorder="1" applyAlignment="1" applyProtection="1">
      <alignment vertical="center"/>
    </xf>
    <xf numFmtId="168" fontId="68" fillId="0" borderId="257" xfId="2" applyNumberFormat="1" applyFont="1" applyFill="1" applyBorder="1" applyAlignment="1">
      <alignment vertical="center"/>
    </xf>
    <xf numFmtId="43" fontId="72" fillId="0" borderId="0" xfId="11" applyNumberFormat="1" applyFont="1" applyFill="1" applyAlignment="1" applyProtection="1">
      <alignment vertical="center"/>
    </xf>
    <xf numFmtId="39" fontId="75" fillId="0" borderId="0" xfId="11" applyNumberFormat="1" applyFont="1" applyFill="1" applyAlignment="1" applyProtection="1">
      <alignment vertical="center"/>
    </xf>
    <xf numFmtId="41" fontId="75" fillId="0" borderId="0" xfId="11" applyNumberFormat="1" applyFont="1" applyFill="1" applyAlignment="1" applyProtection="1">
      <alignment vertical="center"/>
    </xf>
    <xf numFmtId="176" fontId="64" fillId="0" borderId="0" xfId="1" applyNumberFormat="1" applyFont="1" applyFill="1" applyAlignment="1" applyProtection="1">
      <alignment horizontal="left" vertical="center"/>
    </xf>
    <xf numFmtId="0" fontId="65" fillId="0" borderId="0" xfId="11" applyFont="1" applyFill="1" applyBorder="1" applyAlignment="1" applyProtection="1">
      <alignment horizontal="center" vertical="center"/>
    </xf>
    <xf numFmtId="0" fontId="65" fillId="0" borderId="0" xfId="11" applyFont="1" applyFill="1" applyBorder="1" applyAlignment="1" applyProtection="1">
      <alignment vertical="center"/>
    </xf>
    <xf numFmtId="39" fontId="65" fillId="0" borderId="0" xfId="11" applyNumberFormat="1" applyFont="1" applyFill="1" applyBorder="1" applyAlignment="1" applyProtection="1">
      <alignment vertical="center"/>
    </xf>
    <xf numFmtId="39" fontId="65" fillId="0" borderId="0" xfId="11" applyNumberFormat="1" applyFont="1" applyFill="1" applyBorder="1" applyAlignment="1" applyProtection="1">
      <alignment horizontal="center" vertical="center"/>
    </xf>
    <xf numFmtId="39" fontId="65" fillId="0" borderId="0" xfId="11" applyNumberFormat="1" applyFont="1" applyFill="1" applyBorder="1" applyAlignment="1">
      <alignment vertical="center"/>
    </xf>
    <xf numFmtId="4" fontId="76" fillId="0" borderId="0" xfId="11" applyNumberFormat="1" applyFont="1" applyFill="1" applyAlignment="1" applyProtection="1">
      <alignment vertical="center"/>
    </xf>
    <xf numFmtId="0" fontId="65" fillId="0" borderId="0" xfId="11" applyFont="1" applyFill="1" applyAlignment="1">
      <alignment horizontal="center" vertical="center"/>
    </xf>
    <xf numFmtId="41" fontId="65" fillId="0" borderId="0" xfId="11" applyNumberFormat="1" applyFont="1" applyFill="1" applyAlignment="1">
      <alignment vertical="center"/>
    </xf>
    <xf numFmtId="176" fontId="65" fillId="0" borderId="0" xfId="1" applyNumberFormat="1" applyFont="1" applyFill="1" applyAlignment="1">
      <alignment vertical="center"/>
    </xf>
    <xf numFmtId="0" fontId="70" fillId="0" borderId="0" xfId="11" applyFont="1" applyFill="1" applyAlignment="1">
      <alignment vertical="center"/>
    </xf>
    <xf numFmtId="0" fontId="70" fillId="0" borderId="0" xfId="11" applyFont="1" applyFill="1" applyAlignment="1">
      <alignment horizontal="center" vertical="center"/>
    </xf>
    <xf numFmtId="168" fontId="65" fillId="0" borderId="0" xfId="11" applyNumberFormat="1" applyFont="1" applyFill="1" applyAlignment="1">
      <alignment vertical="center"/>
    </xf>
    <xf numFmtId="41" fontId="65" fillId="0" borderId="0" xfId="2" applyFont="1" applyFill="1" applyAlignment="1">
      <alignment vertical="center"/>
    </xf>
    <xf numFmtId="175" fontId="65" fillId="0" borderId="0" xfId="2" applyNumberFormat="1" applyFont="1" applyFill="1" applyAlignment="1">
      <alignment vertical="center"/>
    </xf>
    <xf numFmtId="41" fontId="65" fillId="0" borderId="0" xfId="2" applyFont="1" applyFill="1" applyAlignment="1">
      <alignment horizontal="center" vertical="center"/>
    </xf>
    <xf numFmtId="168" fontId="72" fillId="0" borderId="0" xfId="2" applyNumberFormat="1" applyFont="1" applyFill="1" applyAlignment="1">
      <alignment horizontal="center" vertical="center"/>
    </xf>
    <xf numFmtId="168" fontId="72" fillId="0" borderId="0" xfId="2" applyNumberFormat="1" applyFont="1" applyFill="1" applyAlignment="1">
      <alignment vertical="center"/>
    </xf>
    <xf numFmtId="168" fontId="70" fillId="0" borderId="311" xfId="2" applyNumberFormat="1" applyFont="1" applyFill="1" applyBorder="1" applyAlignment="1" applyProtection="1">
      <alignment horizontal="right" vertical="center"/>
    </xf>
    <xf numFmtId="0" fontId="77" fillId="0" borderId="0" xfId="0" applyFont="1"/>
    <xf numFmtId="0" fontId="65" fillId="0" borderId="0" xfId="0" applyFont="1"/>
    <xf numFmtId="0" fontId="72" fillId="0" borderId="283" xfId="0" applyFont="1" applyBorder="1" applyAlignment="1">
      <alignment horizontal="center" vertical="center" wrapText="1"/>
    </xf>
    <xf numFmtId="0" fontId="72" fillId="0" borderId="278" xfId="0" applyFont="1" applyBorder="1" applyAlignment="1">
      <alignment horizontal="center" vertical="center" wrapText="1"/>
    </xf>
    <xf numFmtId="0" fontId="72" fillId="0" borderId="287" xfId="0" applyFont="1" applyBorder="1" applyAlignment="1">
      <alignment vertical="center"/>
    </xf>
    <xf numFmtId="0" fontId="72" fillId="0" borderId="279" xfId="0" applyFont="1" applyBorder="1" applyAlignment="1">
      <alignment vertical="center"/>
    </xf>
    <xf numFmtId="0" fontId="65" fillId="0" borderId="280" xfId="0" applyFont="1" applyBorder="1" applyAlignment="1">
      <alignment vertical="center"/>
    </xf>
    <xf numFmtId="0" fontId="65" fillId="0" borderId="288" xfId="0" applyFont="1" applyBorder="1" applyAlignment="1">
      <alignment vertical="center"/>
    </xf>
    <xf numFmtId="0" fontId="65" fillId="0" borderId="0" xfId="0" applyFont="1" applyAlignment="1">
      <alignment vertical="center"/>
    </xf>
    <xf numFmtId="0" fontId="65" fillId="0" borderId="289" xfId="0" applyFont="1" applyBorder="1" applyAlignment="1">
      <alignment vertical="center"/>
    </xf>
    <xf numFmtId="0" fontId="65" fillId="0" borderId="290" xfId="0" applyFont="1" applyBorder="1" applyAlignment="1">
      <alignment vertical="center"/>
    </xf>
    <xf numFmtId="0" fontId="65" fillId="0" borderId="291" xfId="0" applyFont="1" applyBorder="1" applyAlignment="1">
      <alignment vertical="center"/>
    </xf>
    <xf numFmtId="0" fontId="65" fillId="0" borderId="292" xfId="0" applyFont="1" applyBorder="1" applyAlignment="1">
      <alignment vertical="center"/>
    </xf>
    <xf numFmtId="0" fontId="65" fillId="0" borderId="276" xfId="0" applyFont="1" applyBorder="1" applyAlignment="1">
      <alignment vertical="center"/>
    </xf>
    <xf numFmtId="0" fontId="65" fillId="0" borderId="293" xfId="0" applyFont="1" applyBorder="1" applyAlignment="1">
      <alignment vertical="center"/>
    </xf>
    <xf numFmtId="0" fontId="65" fillId="0" borderId="294" xfId="0" applyFont="1" applyBorder="1" applyAlignment="1">
      <alignment vertical="center"/>
    </xf>
    <xf numFmtId="0" fontId="65" fillId="0" borderId="277" xfId="0" applyFont="1" applyBorder="1" applyAlignment="1">
      <alignment vertical="center"/>
    </xf>
    <xf numFmtId="0" fontId="65" fillId="0" borderId="295" xfId="0" applyFont="1" applyBorder="1" applyAlignment="1">
      <alignment vertical="center"/>
    </xf>
    <xf numFmtId="0" fontId="65" fillId="0" borderId="296" xfId="0" applyFont="1" applyBorder="1" applyAlignment="1">
      <alignment vertical="center"/>
    </xf>
    <xf numFmtId="0" fontId="65" fillId="0" borderId="297" xfId="0" applyFont="1" applyBorder="1" applyAlignment="1">
      <alignment vertical="center"/>
    </xf>
    <xf numFmtId="0" fontId="65" fillId="0" borderId="298" xfId="0" applyFont="1" applyBorder="1" applyAlignment="1">
      <alignment vertical="center"/>
    </xf>
    <xf numFmtId="0" fontId="72" fillId="0" borderId="278" xfId="0" applyFont="1" applyBorder="1" applyAlignment="1">
      <alignment vertical="center"/>
    </xf>
    <xf numFmtId="0" fontId="72" fillId="0" borderId="280" xfId="0" applyFont="1" applyBorder="1" applyAlignment="1">
      <alignment vertical="center"/>
    </xf>
    <xf numFmtId="0" fontId="65" fillId="0" borderId="278" xfId="0" applyFont="1" applyBorder="1" applyAlignment="1">
      <alignment vertical="center" wrapText="1"/>
    </xf>
    <xf numFmtId="43" fontId="72" fillId="0" borderId="278" xfId="0" applyNumberFormat="1" applyFont="1" applyBorder="1" applyAlignment="1">
      <alignment vertical="center" wrapText="1"/>
    </xf>
    <xf numFmtId="0" fontId="72" fillId="0" borderId="289" xfId="0" applyFont="1" applyBorder="1" applyAlignment="1">
      <alignment vertical="center"/>
    </xf>
    <xf numFmtId="0" fontId="72" fillId="0" borderId="290" xfId="0" applyFont="1" applyBorder="1" applyAlignment="1">
      <alignment vertical="center"/>
    </xf>
    <xf numFmtId="0" fontId="65" fillId="0" borderId="290" xfId="0" applyFont="1" applyBorder="1" applyAlignment="1">
      <alignment vertical="center" wrapText="1"/>
    </xf>
    <xf numFmtId="0" fontId="65" fillId="0" borderId="299" xfId="0" applyFont="1" applyBorder="1" applyAlignment="1">
      <alignment vertical="center"/>
    </xf>
    <xf numFmtId="0" fontId="65" fillId="0" borderId="293" xfId="0" applyFont="1" applyBorder="1" applyAlignment="1">
      <alignment vertical="center" wrapText="1"/>
    </xf>
    <xf numFmtId="43" fontId="65" fillId="0" borderId="293" xfId="1" applyFont="1" applyBorder="1" applyAlignment="1">
      <alignment vertical="center" wrapText="1"/>
    </xf>
    <xf numFmtId="0" fontId="65" fillId="0" borderId="300" xfId="0" applyFont="1" applyBorder="1" applyAlignment="1">
      <alignment vertical="center"/>
    </xf>
    <xf numFmtId="0" fontId="65" fillId="0" borderId="285" xfId="0" applyFont="1" applyBorder="1" applyAlignment="1">
      <alignment vertical="center"/>
    </xf>
    <xf numFmtId="0" fontId="72" fillId="0" borderId="281" xfId="0" applyFont="1" applyBorder="1" applyAlignment="1">
      <alignment vertical="center"/>
    </xf>
    <xf numFmtId="0" fontId="72" fillId="0" borderId="78" xfId="0" applyFont="1" applyBorder="1" applyAlignment="1">
      <alignment vertical="center"/>
    </xf>
    <xf numFmtId="0" fontId="65" fillId="0" borderId="281" xfId="0" applyFont="1" applyBorder="1" applyAlignment="1">
      <alignment vertical="center" wrapText="1"/>
    </xf>
    <xf numFmtId="43" fontId="72" fillId="0" borderId="281" xfId="0" applyNumberFormat="1" applyFont="1" applyBorder="1" applyAlignment="1">
      <alignment vertical="center" wrapText="1"/>
    </xf>
    <xf numFmtId="0" fontId="65" fillId="0" borderId="301" xfId="0" applyFont="1" applyBorder="1" applyAlignment="1">
      <alignment vertical="center"/>
    </xf>
    <xf numFmtId="0" fontId="72" fillId="0" borderId="285" xfId="0" applyFont="1" applyBorder="1" applyAlignment="1">
      <alignment vertical="center"/>
    </xf>
    <xf numFmtId="0" fontId="65" fillId="0" borderId="278" xfId="0" applyFont="1" applyBorder="1" applyAlignment="1">
      <alignment vertical="center"/>
    </xf>
    <xf numFmtId="43" fontId="65" fillId="0" borderId="278" xfId="1" applyFont="1" applyBorder="1" applyAlignment="1">
      <alignment vertical="center"/>
    </xf>
    <xf numFmtId="0" fontId="65" fillId="0" borderId="286" xfId="0" applyFont="1" applyBorder="1" applyAlignment="1">
      <alignment vertical="center"/>
    </xf>
    <xf numFmtId="0" fontId="65" fillId="0" borderId="302" xfId="0" applyFont="1" applyBorder="1" applyAlignment="1">
      <alignment vertical="center"/>
    </xf>
    <xf numFmtId="0" fontId="65" fillId="0" borderId="140" xfId="0" applyFont="1" applyBorder="1" applyAlignment="1">
      <alignment vertical="center"/>
    </xf>
    <xf numFmtId="43" fontId="65" fillId="0" borderId="140" xfId="1" applyFont="1" applyBorder="1" applyAlignment="1">
      <alignment vertical="center"/>
    </xf>
    <xf numFmtId="0" fontId="65" fillId="0" borderId="141" xfId="0" applyFont="1" applyBorder="1" applyAlignment="1">
      <alignment vertical="center"/>
    </xf>
    <xf numFmtId="0" fontId="65" fillId="0" borderId="303" xfId="0" applyFont="1" applyBorder="1" applyAlignment="1">
      <alignment vertical="center"/>
    </xf>
    <xf numFmtId="43" fontId="65" fillId="0" borderId="293" xfId="1" applyFont="1" applyBorder="1" applyAlignment="1">
      <alignment vertical="center"/>
    </xf>
    <xf numFmtId="43" fontId="65" fillId="0" borderId="0" xfId="0" applyNumberFormat="1" applyFont="1" applyAlignment="1">
      <alignment vertical="center"/>
    </xf>
    <xf numFmtId="0" fontId="72" fillId="0" borderId="304" xfId="0" applyFont="1" applyBorder="1" applyAlignment="1">
      <alignment vertical="center"/>
    </xf>
    <xf numFmtId="0" fontId="72" fillId="0" borderId="305" xfId="0" applyFont="1" applyBorder="1" applyAlignment="1">
      <alignment vertical="center"/>
    </xf>
    <xf numFmtId="0" fontId="65" fillId="0" borderId="305" xfId="0" applyFont="1" applyBorder="1" applyAlignment="1">
      <alignment vertical="center"/>
    </xf>
    <xf numFmtId="43" fontId="65" fillId="0" borderId="305" xfId="1" applyFont="1" applyBorder="1" applyAlignment="1">
      <alignment vertical="center"/>
    </xf>
    <xf numFmtId="43" fontId="65" fillId="0" borderId="306" xfId="1" applyFont="1" applyBorder="1" applyAlignment="1">
      <alignment vertical="center"/>
    </xf>
    <xf numFmtId="43" fontId="72" fillId="0" borderId="307" xfId="1" applyFont="1" applyBorder="1" applyAlignment="1">
      <alignment vertical="center"/>
    </xf>
    <xf numFmtId="0" fontId="65" fillId="0" borderId="308" xfId="0" applyFont="1" applyBorder="1" applyAlignment="1">
      <alignment vertical="center"/>
    </xf>
    <xf numFmtId="0" fontId="65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43" fontId="65" fillId="0" borderId="0" xfId="1" applyFont="1"/>
    <xf numFmtId="43" fontId="65" fillId="0" borderId="0" xfId="0" applyNumberFormat="1" applyFont="1"/>
    <xf numFmtId="0" fontId="72" fillId="0" borderId="0" xfId="0" applyFont="1"/>
    <xf numFmtId="0" fontId="68" fillId="0" borderId="0" xfId="0" applyFont="1"/>
    <xf numFmtId="0" fontId="77" fillId="0" borderId="0" xfId="0" quotePrefix="1" applyFont="1"/>
    <xf numFmtId="9" fontId="77" fillId="0" borderId="0" xfId="21" applyFont="1"/>
    <xf numFmtId="39" fontId="73" fillId="0" borderId="240" xfId="11" applyNumberFormat="1" applyFont="1" applyFill="1" applyBorder="1" applyAlignment="1" applyProtection="1">
      <alignment horizontal="right" vertical="center"/>
    </xf>
    <xf numFmtId="0" fontId="14" fillId="0" borderId="341" xfId="20" applyFont="1" applyFill="1" applyBorder="1" applyAlignment="1" applyProtection="1">
      <alignment vertical="center"/>
    </xf>
    <xf numFmtId="0" fontId="14" fillId="0" borderId="342" xfId="20" applyFont="1" applyFill="1" applyBorder="1" applyAlignment="1" applyProtection="1">
      <alignment vertical="center"/>
    </xf>
    <xf numFmtId="0" fontId="14" fillId="0" borderId="343" xfId="20" applyNumberFormat="1" applyFont="1" applyFill="1" applyBorder="1" applyAlignment="1" applyProtection="1">
      <alignment vertical="center"/>
    </xf>
    <xf numFmtId="0" fontId="14" fillId="0" borderId="343" xfId="20" applyFont="1" applyFill="1" applyBorder="1" applyAlignment="1" applyProtection="1">
      <alignment vertical="center"/>
    </xf>
    <xf numFmtId="0" fontId="14" fillId="0" borderId="344" xfId="20" applyFont="1" applyFill="1" applyBorder="1" applyAlignment="1" applyProtection="1">
      <alignment vertical="center"/>
    </xf>
    <xf numFmtId="0" fontId="14" fillId="0" borderId="345" xfId="20" applyFont="1" applyFill="1" applyBorder="1" applyAlignment="1" applyProtection="1">
      <alignment vertical="center"/>
    </xf>
    <xf numFmtId="0" fontId="14" fillId="0" borderId="346" xfId="20" applyFont="1" applyFill="1" applyBorder="1" applyAlignment="1" applyProtection="1">
      <alignment vertical="center"/>
    </xf>
    <xf numFmtId="0" fontId="14" fillId="0" borderId="347" xfId="20" applyFont="1" applyFill="1" applyBorder="1" applyAlignment="1" applyProtection="1">
      <alignment horizontal="center" vertical="center"/>
    </xf>
    <xf numFmtId="0" fontId="14" fillId="0" borderId="336" xfId="0" applyFont="1" applyFill="1" applyBorder="1" applyAlignment="1">
      <alignment horizontal="center" vertical="center"/>
    </xf>
    <xf numFmtId="0" fontId="14" fillId="0" borderId="348" xfId="0" applyFont="1" applyFill="1" applyBorder="1" applyAlignment="1">
      <alignment horizontal="center" vertical="center"/>
    </xf>
    <xf numFmtId="0" fontId="14" fillId="0" borderId="17" xfId="20" applyFont="1" applyFill="1" applyBorder="1" applyAlignment="1" applyProtection="1">
      <alignment vertical="center"/>
    </xf>
    <xf numFmtId="0" fontId="14" fillId="0" borderId="18" xfId="20" applyNumberFormat="1" applyFont="1" applyFill="1" applyBorder="1" applyAlignment="1" applyProtection="1">
      <alignment vertical="center"/>
    </xf>
    <xf numFmtId="0" fontId="14" fillId="0" borderId="18" xfId="20" applyFont="1" applyFill="1" applyBorder="1" applyAlignment="1" applyProtection="1">
      <alignment vertical="center"/>
    </xf>
    <xf numFmtId="0" fontId="14" fillId="0" borderId="19" xfId="20" applyFont="1" applyFill="1" applyBorder="1" applyAlignment="1" applyProtection="1">
      <alignment vertical="center"/>
    </xf>
    <xf numFmtId="0" fontId="14" fillId="0" borderId="20" xfId="0" applyFont="1" applyFill="1" applyBorder="1" applyAlignment="1">
      <alignment vertical="center"/>
    </xf>
    <xf numFmtId="0" fontId="14" fillId="0" borderId="41" xfId="0" applyFont="1" applyFill="1" applyBorder="1" applyAlignment="1">
      <alignment vertical="center"/>
    </xf>
    <xf numFmtId="0" fontId="13" fillId="0" borderId="342" xfId="20" applyFont="1" applyFill="1" applyBorder="1" applyAlignment="1" applyProtection="1">
      <alignment vertical="center"/>
    </xf>
    <xf numFmtId="0" fontId="13" fillId="0" borderId="347" xfId="20" applyFont="1" applyFill="1" applyBorder="1" applyAlignment="1" applyProtection="1">
      <alignment vertical="center"/>
    </xf>
    <xf numFmtId="0" fontId="13" fillId="0" borderId="342" xfId="0" applyFont="1" applyFill="1" applyBorder="1" applyAlignment="1">
      <alignment vertical="center"/>
    </xf>
    <xf numFmtId="0" fontId="13" fillId="0" borderId="343" xfId="20" applyFont="1" applyFill="1" applyBorder="1" applyAlignment="1" applyProtection="1">
      <alignment vertical="center"/>
    </xf>
    <xf numFmtId="0" fontId="13" fillId="0" borderId="348" xfId="0" applyFont="1" applyFill="1" applyBorder="1" applyAlignment="1">
      <alignment vertical="center"/>
    </xf>
    <xf numFmtId="0" fontId="13" fillId="0" borderId="349" xfId="20" applyFont="1" applyFill="1" applyBorder="1" applyAlignment="1" applyProtection="1">
      <alignment horizontal="center" vertical="center"/>
    </xf>
    <xf numFmtId="0" fontId="13" fillId="0" borderId="331" xfId="20" applyFont="1" applyFill="1" applyBorder="1" applyAlignment="1" applyProtection="1">
      <alignment horizontal="centerContinuous" vertical="center"/>
    </xf>
    <xf numFmtId="41" fontId="13" fillId="0" borderId="330" xfId="2" applyFont="1" applyFill="1" applyBorder="1" applyAlignment="1">
      <alignment vertical="center"/>
    </xf>
    <xf numFmtId="0" fontId="13" fillId="0" borderId="330" xfId="20" applyFont="1" applyFill="1" applyBorder="1" applyAlignment="1">
      <alignment vertical="center"/>
    </xf>
    <xf numFmtId="0" fontId="13" fillId="0" borderId="332" xfId="20" applyFont="1" applyFill="1" applyBorder="1" applyAlignment="1">
      <alignment vertical="center"/>
    </xf>
    <xf numFmtId="0" fontId="13" fillId="0" borderId="242" xfId="20" applyFont="1" applyFill="1" applyBorder="1" applyAlignment="1" applyProtection="1">
      <alignment horizontal="center" vertical="center"/>
    </xf>
    <xf numFmtId="39" fontId="13" fillId="0" borderId="331" xfId="20" applyNumberFormat="1" applyFont="1" applyFill="1" applyBorder="1" applyAlignment="1" applyProtection="1">
      <alignment horizontal="center" vertical="center"/>
    </xf>
    <xf numFmtId="168" fontId="45" fillId="0" borderId="239" xfId="2" applyNumberFormat="1" applyFont="1" applyFill="1" applyBorder="1" applyAlignment="1">
      <alignment vertical="center"/>
    </xf>
    <xf numFmtId="0" fontId="13" fillId="0" borderId="350" xfId="0" applyFont="1" applyFill="1" applyBorder="1" applyAlignment="1">
      <alignment vertical="center"/>
    </xf>
    <xf numFmtId="0" fontId="13" fillId="0" borderId="351" xfId="20" applyFont="1" applyFill="1" applyBorder="1" applyAlignment="1" applyProtection="1">
      <alignment horizontal="center" vertical="center"/>
    </xf>
    <xf numFmtId="0" fontId="13" fillId="0" borderId="316" xfId="20" applyFont="1" applyFill="1" applyBorder="1" applyAlignment="1" applyProtection="1">
      <alignment horizontal="centerContinuous" vertical="center"/>
    </xf>
    <xf numFmtId="41" fontId="13" fillId="0" borderId="239" xfId="2" applyFont="1" applyFill="1" applyBorder="1" applyAlignment="1" applyProtection="1">
      <alignment vertical="center"/>
    </xf>
    <xf numFmtId="0" fontId="13" fillId="0" borderId="239" xfId="20" applyFont="1" applyFill="1" applyBorder="1" applyAlignment="1" applyProtection="1">
      <alignment vertical="center"/>
    </xf>
    <xf numFmtId="0" fontId="13" fillId="0" borderId="240" xfId="20" applyFont="1" applyFill="1" applyBorder="1" applyAlignment="1" applyProtection="1">
      <alignment vertical="center"/>
    </xf>
    <xf numFmtId="0" fontId="13" fillId="0" borderId="316" xfId="20" applyFont="1" applyFill="1" applyBorder="1" applyAlignment="1" applyProtection="1">
      <alignment horizontal="center" vertical="center"/>
    </xf>
    <xf numFmtId="0" fontId="13" fillId="0" borderId="316" xfId="0" applyFont="1" applyFill="1" applyBorder="1" applyAlignment="1">
      <alignment vertical="center"/>
    </xf>
    <xf numFmtId="0" fontId="13" fillId="0" borderId="352" xfId="0" applyFont="1" applyFill="1" applyBorder="1" applyAlignment="1">
      <alignment vertical="center"/>
    </xf>
    <xf numFmtId="41" fontId="13" fillId="0" borderId="353" xfId="2" applyFont="1" applyFill="1" applyBorder="1" applyAlignment="1">
      <alignment vertical="center"/>
    </xf>
    <xf numFmtId="0" fontId="13" fillId="0" borderId="353" xfId="20" applyFont="1" applyFill="1" applyBorder="1" applyAlignment="1">
      <alignment vertical="center"/>
    </xf>
    <xf numFmtId="0" fontId="13" fillId="0" borderId="354" xfId="20" applyFont="1" applyFill="1" applyBorder="1" applyAlignment="1">
      <alignment vertical="center"/>
    </xf>
    <xf numFmtId="39" fontId="13" fillId="0" borderId="355" xfId="20" applyNumberFormat="1" applyFont="1" applyFill="1" applyBorder="1" applyAlignment="1" applyProtection="1">
      <alignment horizontal="center" vertical="center"/>
    </xf>
    <xf numFmtId="41" fontId="13" fillId="0" borderId="94" xfId="2" applyFont="1" applyFill="1" applyBorder="1" applyAlignment="1">
      <alignment vertical="center"/>
    </xf>
    <xf numFmtId="0" fontId="13" fillId="0" borderId="94" xfId="20" applyFont="1" applyFill="1" applyBorder="1" applyAlignment="1">
      <alignment vertical="center"/>
    </xf>
    <xf numFmtId="43" fontId="13" fillId="0" borderId="239" xfId="1" applyFont="1" applyFill="1" applyBorder="1" applyProtection="1"/>
    <xf numFmtId="41" fontId="46" fillId="0" borderId="239" xfId="2" applyFont="1" applyFill="1" applyBorder="1" applyAlignment="1" applyProtection="1">
      <alignment vertical="center"/>
    </xf>
    <xf numFmtId="168" fontId="46" fillId="0" borderId="239" xfId="2" applyNumberFormat="1" applyFont="1" applyFill="1" applyBorder="1" applyAlignment="1">
      <alignment vertical="center"/>
    </xf>
    <xf numFmtId="41" fontId="13" fillId="0" borderId="356" xfId="2" applyFont="1" applyFill="1" applyBorder="1" applyAlignment="1" applyProtection="1">
      <alignment vertical="center"/>
    </xf>
    <xf numFmtId="0" fontId="13" fillId="0" borderId="356" xfId="20" applyFont="1" applyFill="1" applyBorder="1" applyAlignment="1" applyProtection="1">
      <alignment vertical="center"/>
    </xf>
    <xf numFmtId="0" fontId="13" fillId="0" borderId="357" xfId="20" applyFont="1" applyFill="1" applyBorder="1" applyAlignment="1" applyProtection="1">
      <alignment vertical="center"/>
    </xf>
    <xf numFmtId="0" fontId="13" fillId="0" borderId="358" xfId="0" applyFont="1" applyFill="1" applyBorder="1" applyAlignment="1">
      <alignment vertical="center"/>
    </xf>
    <xf numFmtId="0" fontId="13" fillId="0" borderId="359" xfId="0" applyFont="1" applyFill="1" applyBorder="1" applyAlignment="1">
      <alignment vertical="center"/>
    </xf>
    <xf numFmtId="0" fontId="13" fillId="0" borderId="360" xfId="20" applyFont="1" applyFill="1" applyBorder="1" applyAlignment="1" applyProtection="1">
      <alignment horizontal="center" vertical="center"/>
    </xf>
    <xf numFmtId="0" fontId="13" fillId="0" borderId="361" xfId="20" applyFont="1" applyFill="1" applyBorder="1" applyAlignment="1" applyProtection="1">
      <alignment horizontal="centerContinuous" vertical="center"/>
    </xf>
    <xf numFmtId="0" fontId="13" fillId="0" borderId="362" xfId="20" applyNumberFormat="1" applyFont="1" applyFill="1" applyBorder="1" applyAlignment="1" applyProtection="1">
      <alignment vertical="center"/>
    </xf>
    <xf numFmtId="0" fontId="13" fillId="0" borderId="362" xfId="20" applyFont="1" applyFill="1" applyBorder="1" applyAlignment="1" applyProtection="1">
      <alignment vertical="center"/>
    </xf>
    <xf numFmtId="0" fontId="13" fillId="0" borderId="363" xfId="20" applyFont="1" applyFill="1" applyBorder="1" applyAlignment="1" applyProtection="1">
      <alignment vertical="center"/>
    </xf>
    <xf numFmtId="0" fontId="13" fillId="0" borderId="361" xfId="20" applyFont="1" applyFill="1" applyBorder="1" applyAlignment="1" applyProtection="1">
      <alignment horizontal="center" vertical="center"/>
    </xf>
    <xf numFmtId="0" fontId="13" fillId="0" borderId="361" xfId="0" applyFont="1" applyFill="1" applyBorder="1" applyAlignment="1">
      <alignment vertical="center"/>
    </xf>
    <xf numFmtId="39" fontId="13" fillId="0" borderId="362" xfId="20" applyNumberFormat="1" applyFont="1" applyFill="1" applyBorder="1" applyAlignment="1" applyProtection="1">
      <alignment vertical="center"/>
    </xf>
    <xf numFmtId="0" fontId="13" fillId="0" borderId="364" xfId="0" applyFont="1" applyFill="1" applyBorder="1" applyAlignment="1">
      <alignment vertical="center"/>
    </xf>
    <xf numFmtId="0" fontId="14" fillId="0" borderId="344" xfId="0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14" fillId="0" borderId="19" xfId="0" applyFont="1" applyFill="1" applyBorder="1" applyAlignment="1">
      <alignment vertical="center"/>
    </xf>
    <xf numFmtId="0" fontId="13" fillId="0" borderId="365" xfId="20" applyFont="1" applyFill="1" applyBorder="1" applyAlignment="1" applyProtection="1">
      <alignment horizontal="center" vertical="center"/>
    </xf>
    <xf numFmtId="0" fontId="13" fillId="0" borderId="366" xfId="20" applyFont="1" applyFill="1" applyBorder="1" applyAlignment="1" applyProtection="1">
      <alignment vertical="center"/>
    </xf>
    <xf numFmtId="0" fontId="13" fillId="0" borderId="367" xfId="20" applyNumberFormat="1" applyFont="1" applyFill="1" applyBorder="1" applyAlignment="1" applyProtection="1">
      <alignment vertical="center"/>
    </xf>
    <xf numFmtId="0" fontId="13" fillId="0" borderId="367" xfId="20" applyFont="1" applyFill="1" applyBorder="1" applyAlignment="1" applyProtection="1">
      <alignment vertical="center"/>
    </xf>
    <xf numFmtId="0" fontId="13" fillId="0" borderId="368" xfId="0" applyFont="1" applyFill="1" applyBorder="1" applyAlignment="1">
      <alignment vertical="center"/>
    </xf>
    <xf numFmtId="0" fontId="45" fillId="0" borderId="239" xfId="1" applyNumberFormat="1" applyFont="1" applyFill="1" applyBorder="1" applyAlignment="1" applyProtection="1">
      <alignment vertical="center"/>
    </xf>
    <xf numFmtId="0" fontId="13" fillId="0" borderId="315" xfId="20" applyFont="1" applyFill="1" applyBorder="1" applyAlignment="1" applyProtection="1">
      <alignment horizontal="center" vertical="center"/>
    </xf>
    <xf numFmtId="39" fontId="13" fillId="0" borderId="316" xfId="20" applyNumberFormat="1" applyFont="1" applyFill="1" applyBorder="1" applyAlignment="1" applyProtection="1">
      <alignment vertical="center"/>
    </xf>
    <xf numFmtId="168" fontId="13" fillId="0" borderId="239" xfId="2" applyNumberFormat="1" applyFont="1" applyFill="1" applyBorder="1" applyAlignment="1">
      <alignment vertical="center"/>
    </xf>
    <xf numFmtId="0" fontId="13" fillId="0" borderId="369" xfId="20" applyFont="1" applyFill="1" applyBorder="1" applyAlignment="1" applyProtection="1">
      <alignment horizontal="centerContinuous" vertical="center"/>
    </xf>
    <xf numFmtId="0" fontId="45" fillId="0" borderId="239" xfId="1" applyNumberFormat="1" applyFont="1" applyFill="1" applyBorder="1" applyAlignment="1">
      <alignment vertical="center"/>
    </xf>
    <xf numFmtId="0" fontId="13" fillId="0" borderId="239" xfId="20" applyFont="1" applyFill="1" applyBorder="1" applyAlignment="1">
      <alignment vertical="center"/>
    </xf>
    <xf numFmtId="43" fontId="13" fillId="0" borderId="239" xfId="1" applyFont="1" applyFill="1" applyBorder="1"/>
    <xf numFmtId="39" fontId="13" fillId="0" borderId="369" xfId="20" applyNumberFormat="1" applyFont="1" applyFill="1" applyBorder="1" applyAlignment="1" applyProtection="1">
      <alignment horizontal="center" vertical="center"/>
    </xf>
    <xf numFmtId="0" fontId="46" fillId="0" borderId="239" xfId="1" applyNumberFormat="1" applyFont="1" applyFill="1" applyBorder="1" applyAlignment="1" applyProtection="1">
      <alignment vertical="center"/>
    </xf>
    <xf numFmtId="0" fontId="46" fillId="0" borderId="239" xfId="1" applyNumberFormat="1" applyFont="1" applyFill="1" applyBorder="1" applyAlignment="1">
      <alignment vertical="center"/>
    </xf>
    <xf numFmtId="0" fontId="13" fillId="0" borderId="315" xfId="0" applyFont="1" applyFill="1" applyBorder="1" applyAlignment="1">
      <alignment vertical="center"/>
    </xf>
    <xf numFmtId="0" fontId="13" fillId="0" borderId="240" xfId="0" applyFont="1" applyFill="1" applyBorder="1" applyAlignment="1">
      <alignment vertical="center"/>
    </xf>
    <xf numFmtId="43" fontId="13" fillId="0" borderId="352" xfId="0" applyNumberFormat="1" applyFont="1" applyFill="1" applyBorder="1" applyAlignment="1">
      <alignment vertical="center"/>
    </xf>
    <xf numFmtId="0" fontId="25" fillId="0" borderId="316" xfId="20" applyFont="1" applyFill="1" applyBorder="1" applyAlignment="1" applyProtection="1">
      <alignment horizontal="centerContinuous" vertical="center"/>
    </xf>
    <xf numFmtId="39" fontId="25" fillId="0" borderId="316" xfId="20" applyNumberFormat="1" applyFont="1" applyFill="1" applyBorder="1" applyAlignment="1" applyProtection="1">
      <alignment vertical="center"/>
    </xf>
    <xf numFmtId="0" fontId="25" fillId="0" borderId="352" xfId="0" applyFont="1" applyFill="1" applyBorder="1" applyAlignment="1">
      <alignment vertical="center"/>
    </xf>
    <xf numFmtId="39" fontId="13" fillId="0" borderId="239" xfId="20" applyNumberFormat="1" applyFont="1" applyFill="1" applyBorder="1" applyAlignment="1" applyProtection="1">
      <alignment vertical="center"/>
    </xf>
    <xf numFmtId="49" fontId="46" fillId="0" borderId="94" xfId="1" applyNumberFormat="1" applyFont="1" applyFill="1" applyBorder="1" applyAlignment="1">
      <alignment vertical="center"/>
    </xf>
    <xf numFmtId="43" fontId="13" fillId="0" borderId="124" xfId="1" applyFont="1" applyFill="1" applyBorder="1" applyProtection="1"/>
    <xf numFmtId="0" fontId="13" fillId="0" borderId="355" xfId="20" applyFont="1" applyFill="1" applyBorder="1" applyAlignment="1" applyProtection="1">
      <alignment horizontal="centerContinuous" vertical="center"/>
    </xf>
    <xf numFmtId="49" fontId="46" fillId="0" borderId="353" xfId="1" applyNumberFormat="1" applyFont="1" applyFill="1" applyBorder="1" applyAlignment="1">
      <alignment vertical="center"/>
    </xf>
    <xf numFmtId="0" fontId="13" fillId="0" borderId="370" xfId="20" applyFont="1" applyFill="1" applyBorder="1" applyAlignment="1" applyProtection="1">
      <alignment horizontal="center" vertical="center"/>
    </xf>
    <xf numFmtId="39" fontId="13" fillId="0" borderId="353" xfId="20" applyNumberFormat="1" applyFont="1" applyFill="1" applyBorder="1" applyAlignment="1" applyProtection="1">
      <alignment horizontal="center" vertical="center"/>
    </xf>
    <xf numFmtId="0" fontId="13" fillId="0" borderId="371" xfId="20" applyFont="1" applyFill="1" applyBorder="1" applyAlignment="1" applyProtection="1">
      <alignment horizontal="centerContinuous" vertical="center"/>
    </xf>
    <xf numFmtId="49" fontId="46" fillId="0" borderId="372" xfId="1" applyNumberFormat="1" applyFont="1" applyFill="1" applyBorder="1" applyAlignment="1">
      <alignment vertical="center"/>
    </xf>
    <xf numFmtId="0" fontId="13" fillId="0" borderId="372" xfId="20" applyFont="1" applyFill="1" applyBorder="1" applyAlignment="1">
      <alignment vertical="center"/>
    </xf>
    <xf numFmtId="0" fontId="13" fillId="0" borderId="373" xfId="20" applyFont="1" applyFill="1" applyBorder="1" applyAlignment="1" applyProtection="1">
      <alignment horizontal="center" vertical="center"/>
    </xf>
    <xf numFmtId="39" fontId="13" fillId="0" borderId="372" xfId="20" applyNumberFormat="1" applyFont="1" applyFill="1" applyBorder="1" applyAlignment="1" applyProtection="1">
      <alignment horizontal="center" vertical="center"/>
    </xf>
    <xf numFmtId="0" fontId="13" fillId="0" borderId="127" xfId="20" applyFont="1" applyFill="1" applyBorder="1" applyAlignment="1" applyProtection="1">
      <alignment horizontal="centerContinuous" vertical="center"/>
    </xf>
    <xf numFmtId="49" fontId="46" fillId="0" borderId="124" xfId="1" applyNumberFormat="1" applyFont="1" applyFill="1" applyBorder="1" applyAlignment="1">
      <alignment vertical="center"/>
    </xf>
    <xf numFmtId="0" fontId="13" fillId="0" borderId="124" xfId="20" applyFont="1" applyFill="1" applyBorder="1" applyAlignment="1">
      <alignment vertical="center"/>
    </xf>
    <xf numFmtId="0" fontId="13" fillId="0" borderId="127" xfId="20" applyFont="1" applyFill="1" applyBorder="1" applyAlignment="1" applyProtection="1">
      <alignment horizontal="center" vertical="center"/>
    </xf>
    <xf numFmtId="39" fontId="13" fillId="0" borderId="127" xfId="20" applyNumberFormat="1" applyFont="1" applyFill="1" applyBorder="1" applyAlignment="1" applyProtection="1">
      <alignment horizontal="center" vertical="center"/>
    </xf>
    <xf numFmtId="0" fontId="19" fillId="0" borderId="352" xfId="0" applyFont="1" applyFill="1" applyBorder="1" applyAlignment="1">
      <alignment vertical="center"/>
    </xf>
    <xf numFmtId="0" fontId="46" fillId="0" borderId="124" xfId="1" applyNumberFormat="1" applyFont="1" applyFill="1" applyBorder="1" applyAlignment="1">
      <alignment vertical="center"/>
    </xf>
    <xf numFmtId="0" fontId="13" fillId="0" borderId="126" xfId="20" applyFont="1" applyFill="1" applyBorder="1" applyAlignment="1" applyProtection="1">
      <alignment horizontal="center" vertical="center"/>
    </xf>
    <xf numFmtId="39" fontId="13" fillId="0" borderId="127" xfId="20" applyNumberFormat="1" applyFont="1" applyFill="1" applyBorder="1" applyAlignment="1" applyProtection="1">
      <alignment vertical="center"/>
    </xf>
    <xf numFmtId="43" fontId="13" fillId="0" borderId="124" xfId="1" applyFont="1" applyFill="1" applyBorder="1"/>
    <xf numFmtId="0" fontId="46" fillId="0" borderId="353" xfId="1" applyNumberFormat="1" applyFont="1" applyFill="1" applyBorder="1" applyAlignment="1">
      <alignment vertical="center"/>
    </xf>
    <xf numFmtId="0" fontId="13" fillId="0" borderId="374" xfId="20" applyFont="1" applyFill="1" applyBorder="1" applyAlignment="1" applyProtection="1">
      <alignment horizontal="center" vertical="center"/>
    </xf>
    <xf numFmtId="0" fontId="31" fillId="0" borderId="353" xfId="0" applyFont="1" applyBorder="1"/>
    <xf numFmtId="0" fontId="31" fillId="0" borderId="213" xfId="0" applyFont="1" applyBorder="1"/>
    <xf numFmtId="43" fontId="13" fillId="0" borderId="375" xfId="1" applyFont="1" applyFill="1" applyBorder="1" applyProtection="1"/>
    <xf numFmtId="168" fontId="13" fillId="0" borderId="375" xfId="2" applyNumberFormat="1" applyFont="1" applyFill="1" applyBorder="1" applyAlignment="1">
      <alignment vertical="center"/>
    </xf>
    <xf numFmtId="0" fontId="13" fillId="0" borderId="376" xfId="0" applyFont="1" applyFill="1" applyBorder="1" applyAlignment="1">
      <alignment vertical="center"/>
    </xf>
    <xf numFmtId="0" fontId="13" fillId="0" borderId="377" xfId="20" applyFont="1" applyFill="1" applyBorder="1" applyAlignment="1" applyProtection="1">
      <alignment horizontal="center" vertical="center"/>
    </xf>
    <xf numFmtId="0" fontId="13" fillId="0" borderId="378" xfId="20" applyFont="1" applyFill="1" applyBorder="1" applyAlignment="1" applyProtection="1">
      <alignment horizontal="centerContinuous" vertical="center"/>
    </xf>
    <xf numFmtId="49" fontId="46" fillId="0" borderId="375" xfId="1" applyNumberFormat="1" applyFont="1" applyFill="1" applyBorder="1" applyAlignment="1" applyProtection="1">
      <alignment vertical="center"/>
    </xf>
    <xf numFmtId="0" fontId="13" fillId="0" borderId="375" xfId="20" applyFont="1" applyFill="1" applyBorder="1" applyAlignment="1" applyProtection="1">
      <alignment vertical="center"/>
    </xf>
    <xf numFmtId="0" fontId="13" fillId="0" borderId="378" xfId="20" applyFont="1" applyFill="1" applyBorder="1" applyAlignment="1" applyProtection="1">
      <alignment horizontal="center" vertical="center"/>
    </xf>
    <xf numFmtId="39" fontId="13" fillId="0" borderId="378" xfId="20" applyNumberFormat="1" applyFont="1" applyFill="1" applyBorder="1" applyAlignment="1" applyProtection="1">
      <alignment vertical="center"/>
    </xf>
    <xf numFmtId="0" fontId="13" fillId="0" borderId="379" xfId="20" applyFont="1" applyFill="1" applyBorder="1" applyAlignment="1" applyProtection="1">
      <alignment horizontal="center" vertical="center"/>
    </xf>
    <xf numFmtId="0" fontId="13" fillId="0" borderId="380" xfId="20" applyFont="1" applyFill="1" applyBorder="1" applyAlignment="1" applyProtection="1">
      <alignment horizontal="center" vertical="center"/>
    </xf>
    <xf numFmtId="0" fontId="46" fillId="0" borderId="375" xfId="1" applyNumberFormat="1" applyFont="1" applyFill="1" applyBorder="1" applyAlignment="1">
      <alignment vertical="center"/>
    </xf>
    <xf numFmtId="0" fontId="13" fillId="0" borderId="375" xfId="20" applyFont="1" applyFill="1" applyBorder="1" applyAlignment="1">
      <alignment vertical="center"/>
    </xf>
    <xf numFmtId="43" fontId="13" fillId="0" borderId="375" xfId="1" applyFont="1" applyFill="1" applyBorder="1"/>
    <xf numFmtId="0" fontId="46" fillId="0" borderId="375" xfId="1" applyNumberFormat="1" applyFont="1" applyFill="1" applyBorder="1" applyAlignment="1" applyProtection="1">
      <alignment vertical="center"/>
    </xf>
    <xf numFmtId="39" fontId="13" fillId="0" borderId="375" xfId="20" applyNumberFormat="1" applyFont="1" applyFill="1" applyBorder="1" applyAlignment="1" applyProtection="1">
      <alignment vertical="center"/>
    </xf>
    <xf numFmtId="0" fontId="46" fillId="0" borderId="213" xfId="1" applyNumberFormat="1" applyFont="1" applyFill="1" applyBorder="1" applyAlignment="1">
      <alignment vertical="center"/>
    </xf>
    <xf numFmtId="0" fontId="46" fillId="0" borderId="375" xfId="0" applyNumberFormat="1" applyFont="1" applyFill="1" applyBorder="1" applyAlignment="1">
      <alignment vertical="center"/>
    </xf>
    <xf numFmtId="0" fontId="13" fillId="0" borderId="375" xfId="0" applyFont="1" applyFill="1" applyBorder="1" applyAlignment="1">
      <alignment vertical="center"/>
    </xf>
    <xf numFmtId="0" fontId="13" fillId="0" borderId="381" xfId="0" applyFont="1" applyFill="1" applyBorder="1" applyAlignment="1">
      <alignment vertical="center"/>
    </xf>
    <xf numFmtId="0" fontId="46" fillId="0" borderId="124" xfId="20" applyNumberFormat="1" applyFont="1" applyFill="1" applyBorder="1" applyAlignment="1" applyProtection="1">
      <alignment vertical="center"/>
    </xf>
    <xf numFmtId="0" fontId="13" fillId="0" borderId="124" xfId="20" applyFont="1" applyFill="1" applyBorder="1" applyAlignment="1" applyProtection="1">
      <alignment vertical="center"/>
    </xf>
    <xf numFmtId="0" fontId="13" fillId="0" borderId="127" xfId="20" applyFont="1" applyFill="1" applyBorder="1" applyAlignment="1" applyProtection="1">
      <alignment vertical="center"/>
    </xf>
    <xf numFmtId="0" fontId="46" fillId="0" borderId="375" xfId="0" applyFont="1" applyFill="1" applyBorder="1"/>
    <xf numFmtId="41" fontId="13" fillId="0" borderId="375" xfId="2" applyFont="1" applyFill="1" applyBorder="1"/>
    <xf numFmtId="0" fontId="13" fillId="0" borderId="382" xfId="20" applyFont="1" applyFill="1" applyBorder="1" applyAlignment="1" applyProtection="1">
      <alignment horizontal="center" vertical="center"/>
    </xf>
    <xf numFmtId="49" fontId="46" fillId="0" borderId="375" xfId="1" applyNumberFormat="1" applyFont="1" applyFill="1" applyBorder="1" applyAlignment="1">
      <alignment vertical="center"/>
    </xf>
    <xf numFmtId="168" fontId="25" fillId="0" borderId="375" xfId="2" applyNumberFormat="1" applyFont="1" applyFill="1" applyBorder="1" applyAlignment="1">
      <alignment vertical="center"/>
    </xf>
    <xf numFmtId="0" fontId="31" fillId="0" borderId="383" xfId="0" applyFont="1" applyBorder="1"/>
    <xf numFmtId="0" fontId="13" fillId="0" borderId="378" xfId="20" applyFont="1" applyFill="1" applyBorder="1" applyAlignment="1">
      <alignment vertical="center"/>
    </xf>
    <xf numFmtId="168" fontId="48" fillId="0" borderId="375" xfId="2" applyNumberFormat="1" applyFont="1" applyFill="1" applyBorder="1" applyAlignment="1">
      <alignment vertical="center"/>
    </xf>
    <xf numFmtId="0" fontId="13" fillId="0" borderId="381" xfId="20" applyFont="1" applyFill="1" applyBorder="1" applyAlignment="1">
      <alignment vertical="center"/>
    </xf>
    <xf numFmtId="41" fontId="13" fillId="0" borderId="375" xfId="2" applyFont="1" applyFill="1" applyBorder="1" applyAlignment="1">
      <alignment horizontal="left"/>
    </xf>
    <xf numFmtId="0" fontId="13" fillId="0" borderId="384" xfId="20" applyFont="1" applyFill="1" applyBorder="1" applyAlignment="1" applyProtection="1">
      <alignment horizontal="centerContinuous" vertical="center"/>
    </xf>
    <xf numFmtId="0" fontId="13" fillId="0" borderId="385" xfId="20" applyFont="1" applyFill="1" applyBorder="1" applyAlignment="1">
      <alignment vertical="center"/>
    </xf>
    <xf numFmtId="0" fontId="13" fillId="0" borderId="386" xfId="20" applyFont="1" applyFill="1" applyBorder="1" applyAlignment="1">
      <alignment vertical="center"/>
    </xf>
    <xf numFmtId="39" fontId="13" fillId="0" borderId="384" xfId="20" applyNumberFormat="1" applyFont="1" applyFill="1" applyBorder="1" applyAlignment="1" applyProtection="1">
      <alignment horizontal="center" vertical="center"/>
    </xf>
    <xf numFmtId="41" fontId="13" fillId="0" borderId="375" xfId="2" applyFont="1" applyFill="1" applyBorder="1" applyProtection="1"/>
    <xf numFmtId="0" fontId="25" fillId="0" borderId="378" xfId="20" applyFont="1" applyFill="1" applyBorder="1" applyAlignment="1" applyProtection="1">
      <alignment horizontal="centerContinuous" vertical="center"/>
    </xf>
    <xf numFmtId="0" fontId="25" fillId="0" borderId="375" xfId="20" applyFont="1" applyFill="1" applyBorder="1" applyAlignment="1" applyProtection="1">
      <alignment vertical="center"/>
    </xf>
    <xf numFmtId="43" fontId="25" fillId="0" borderId="375" xfId="1" applyFont="1" applyFill="1" applyBorder="1" applyProtection="1"/>
    <xf numFmtId="0" fontId="25" fillId="0" borderId="378" xfId="20" applyFont="1" applyFill="1" applyBorder="1" applyAlignment="1" applyProtection="1">
      <alignment horizontal="center" vertical="center"/>
    </xf>
    <xf numFmtId="39" fontId="25" fillId="0" borderId="378" xfId="20" applyNumberFormat="1" applyFont="1" applyFill="1" applyBorder="1" applyAlignment="1" applyProtection="1">
      <alignment vertical="center"/>
    </xf>
    <xf numFmtId="41" fontId="13" fillId="0" borderId="375" xfId="2" applyFont="1" applyFill="1" applyBorder="1" applyAlignment="1" applyProtection="1">
      <alignment vertical="center"/>
    </xf>
    <xf numFmtId="0" fontId="13" fillId="0" borderId="381" xfId="20" applyFont="1" applyFill="1" applyBorder="1" applyAlignment="1" applyProtection="1">
      <alignment vertical="center"/>
    </xf>
    <xf numFmtId="0" fontId="13" fillId="0" borderId="375" xfId="20" applyFont="1" applyFill="1" applyBorder="1" applyAlignment="1" applyProtection="1">
      <alignment horizontal="center" vertical="center"/>
    </xf>
    <xf numFmtId="0" fontId="13" fillId="0" borderId="380" xfId="0" applyFont="1" applyFill="1" applyBorder="1" applyAlignment="1">
      <alignment horizontal="center" vertical="center"/>
    </xf>
    <xf numFmtId="0" fontId="46" fillId="0" borderId="375" xfId="20" applyFont="1" applyFill="1" applyBorder="1" applyAlignment="1" applyProtection="1">
      <alignment vertical="center"/>
    </xf>
    <xf numFmtId="0" fontId="46" fillId="0" borderId="381" xfId="20" applyFont="1" applyFill="1" applyBorder="1" applyAlignment="1">
      <alignment vertical="center"/>
    </xf>
    <xf numFmtId="0" fontId="46" fillId="0" borderId="375" xfId="20" applyFont="1" applyFill="1" applyBorder="1" applyAlignment="1">
      <alignment vertical="center"/>
    </xf>
    <xf numFmtId="49" fontId="46" fillId="0" borderId="387" xfId="1" applyNumberFormat="1" applyFont="1" applyFill="1" applyBorder="1" applyAlignment="1">
      <alignment vertical="center"/>
    </xf>
    <xf numFmtId="0" fontId="13" fillId="0" borderId="387" xfId="20" applyFont="1" applyFill="1" applyBorder="1" applyAlignment="1">
      <alignment vertical="center"/>
    </xf>
    <xf numFmtId="0" fontId="13" fillId="0" borderId="388" xfId="20" applyFont="1" applyFill="1" applyBorder="1" applyAlignment="1">
      <alignment vertical="center"/>
    </xf>
    <xf numFmtId="0" fontId="19" fillId="0" borderId="376" xfId="0" applyFont="1" applyFill="1" applyBorder="1" applyAlignment="1">
      <alignment vertical="center"/>
    </xf>
    <xf numFmtId="0" fontId="13" fillId="0" borderId="375" xfId="20" applyNumberFormat="1" applyFont="1" applyFill="1" applyBorder="1" applyAlignment="1" applyProtection="1">
      <alignment vertical="center"/>
    </xf>
    <xf numFmtId="0" fontId="13" fillId="0" borderId="378" xfId="20" applyFont="1" applyFill="1" applyBorder="1" applyAlignment="1" applyProtection="1">
      <alignment vertical="center"/>
    </xf>
    <xf numFmtId="49" fontId="46" fillId="0" borderId="375" xfId="1" applyNumberFormat="1" applyFont="1" applyFill="1" applyBorder="1" applyAlignment="1" applyProtection="1">
      <alignment horizontal="left" vertical="center"/>
    </xf>
    <xf numFmtId="0" fontId="46" fillId="0" borderId="378" xfId="20" applyFont="1" applyFill="1" applyBorder="1" applyAlignment="1" applyProtection="1">
      <alignment horizontal="centerContinuous" vertical="center"/>
    </xf>
    <xf numFmtId="0" fontId="46" fillId="0" borderId="378" xfId="20" applyFont="1" applyFill="1" applyBorder="1" applyAlignment="1" applyProtection="1">
      <alignment horizontal="center" vertical="center"/>
    </xf>
    <xf numFmtId="39" fontId="46" fillId="0" borderId="378" xfId="20" applyNumberFormat="1" applyFont="1" applyFill="1" applyBorder="1" applyAlignment="1" applyProtection="1">
      <alignment vertical="center"/>
    </xf>
    <xf numFmtId="168" fontId="46" fillId="0" borderId="375" xfId="2" applyNumberFormat="1" applyFont="1" applyFill="1" applyBorder="1" applyAlignment="1">
      <alignment vertical="center"/>
    </xf>
    <xf numFmtId="0" fontId="46" fillId="0" borderId="376" xfId="0" applyFont="1" applyFill="1" applyBorder="1" applyAlignment="1">
      <alignment vertical="center"/>
    </xf>
    <xf numFmtId="0" fontId="25" fillId="0" borderId="375" xfId="1" applyNumberFormat="1" applyFont="1" applyFill="1" applyBorder="1" applyAlignment="1" applyProtection="1">
      <alignment vertical="center"/>
    </xf>
    <xf numFmtId="0" fontId="25" fillId="0" borderId="380" xfId="20" applyFont="1" applyFill="1" applyBorder="1" applyAlignment="1" applyProtection="1">
      <alignment horizontal="center" vertical="center"/>
    </xf>
    <xf numFmtId="0" fontId="25" fillId="0" borderId="376" xfId="0" applyFont="1" applyFill="1" applyBorder="1" applyAlignment="1">
      <alignment vertical="center"/>
    </xf>
    <xf numFmtId="0" fontId="48" fillId="0" borderId="375" xfId="20" applyFont="1" applyFill="1" applyBorder="1" applyAlignment="1" applyProtection="1">
      <alignment vertical="center"/>
    </xf>
    <xf numFmtId="43" fontId="48" fillId="0" borderId="375" xfId="1" applyFont="1" applyFill="1" applyBorder="1" applyProtection="1"/>
    <xf numFmtId="0" fontId="48" fillId="0" borderId="380" xfId="20" applyFont="1" applyFill="1" applyBorder="1" applyAlignment="1" applyProtection="1">
      <alignment horizontal="center" vertical="center"/>
    </xf>
    <xf numFmtId="39" fontId="19" fillId="0" borderId="378" xfId="20" applyNumberFormat="1" applyFont="1" applyFill="1" applyBorder="1" applyAlignment="1" applyProtection="1">
      <alignment vertical="center"/>
    </xf>
    <xf numFmtId="0" fontId="48" fillId="0" borderId="375" xfId="20" applyFont="1" applyFill="1" applyBorder="1" applyAlignment="1">
      <alignment vertical="center"/>
    </xf>
    <xf numFmtId="0" fontId="13" fillId="0" borderId="381" xfId="20" applyFont="1" applyFill="1" applyBorder="1" applyAlignment="1">
      <alignment horizontal="center" vertical="center"/>
    </xf>
    <xf numFmtId="0" fontId="13" fillId="0" borderId="380" xfId="20" applyFont="1" applyFill="1" applyBorder="1" applyAlignment="1">
      <alignment horizontal="center" vertical="center"/>
    </xf>
    <xf numFmtId="0" fontId="13" fillId="0" borderId="389" xfId="20" applyFont="1" applyFill="1" applyBorder="1" applyAlignment="1">
      <alignment horizontal="center" vertical="center"/>
    </xf>
    <xf numFmtId="49" fontId="46" fillId="0" borderId="213" xfId="1" applyNumberFormat="1" applyFont="1" applyFill="1" applyBorder="1" applyAlignment="1">
      <alignment vertical="center"/>
    </xf>
    <xf numFmtId="0" fontId="13" fillId="0" borderId="390" xfId="20" applyFont="1" applyFill="1" applyBorder="1" applyAlignment="1" applyProtection="1">
      <alignment horizontal="centerContinuous" vertical="center"/>
    </xf>
    <xf numFmtId="0" fontId="46" fillId="0" borderId="391" xfId="1" applyNumberFormat="1" applyFont="1" applyFill="1" applyBorder="1" applyAlignment="1" applyProtection="1">
      <alignment vertical="center"/>
    </xf>
    <xf numFmtId="0" fontId="13" fillId="0" borderId="391" xfId="20" applyFont="1" applyFill="1" applyBorder="1" applyAlignment="1" applyProtection="1">
      <alignment vertical="center"/>
    </xf>
    <xf numFmtId="0" fontId="13" fillId="0" borderId="392" xfId="20" applyFont="1" applyFill="1" applyBorder="1" applyAlignment="1" applyProtection="1">
      <alignment horizontal="center" vertical="center"/>
    </xf>
    <xf numFmtId="39" fontId="13" fillId="0" borderId="390" xfId="20" applyNumberFormat="1" applyFont="1" applyFill="1" applyBorder="1" applyAlignment="1" applyProtection="1">
      <alignment vertical="center"/>
    </xf>
    <xf numFmtId="0" fontId="49" fillId="0" borderId="383" xfId="0" applyFont="1" applyBorder="1"/>
    <xf numFmtId="0" fontId="2" fillId="0" borderId="393" xfId="0" applyFont="1" applyBorder="1" applyAlignment="1">
      <alignment horizontal="center"/>
    </xf>
    <xf numFmtId="43" fontId="13" fillId="0" borderId="375" xfId="1" applyFont="1" applyFill="1" applyBorder="1" applyAlignment="1" applyProtection="1"/>
    <xf numFmtId="0" fontId="31" fillId="0" borderId="375" xfId="0" applyFont="1" applyBorder="1"/>
    <xf numFmtId="0" fontId="31" fillId="0" borderId="394" xfId="0" applyFont="1" applyBorder="1"/>
    <xf numFmtId="0" fontId="13" fillId="0" borderId="213" xfId="1" applyNumberFormat="1" applyFont="1" applyFill="1" applyBorder="1" applyAlignment="1">
      <alignment vertical="center"/>
    </xf>
    <xf numFmtId="43" fontId="13" fillId="0" borderId="375" xfId="1" applyFont="1" applyFill="1" applyBorder="1" applyAlignment="1" applyProtection="1">
      <alignment horizontal="left"/>
    </xf>
    <xf numFmtId="0" fontId="13" fillId="0" borderId="395" xfId="20" applyFont="1" applyFill="1" applyBorder="1" applyAlignment="1" applyProtection="1">
      <alignment horizontal="center" vertical="center"/>
    </xf>
    <xf numFmtId="39" fontId="13" fillId="0" borderId="396" xfId="20" applyNumberFormat="1" applyFont="1" applyFill="1" applyBorder="1" applyAlignment="1" applyProtection="1">
      <alignment vertical="center"/>
    </xf>
    <xf numFmtId="0" fontId="13" fillId="0" borderId="381" xfId="20" applyFont="1" applyFill="1" applyBorder="1" applyAlignment="1" applyProtection="1">
      <alignment horizontal="center" vertical="center"/>
    </xf>
    <xf numFmtId="43" fontId="13" fillId="0" borderId="381" xfId="1" applyFont="1" applyFill="1" applyBorder="1"/>
    <xf numFmtId="0" fontId="13" fillId="0" borderId="397" xfId="20" applyFont="1" applyFill="1" applyBorder="1" applyAlignment="1" applyProtection="1">
      <alignment horizontal="centerContinuous" vertical="center"/>
    </xf>
    <xf numFmtId="0" fontId="13" fillId="0" borderId="375" xfId="1" applyNumberFormat="1" applyFont="1" applyFill="1" applyBorder="1" applyAlignment="1">
      <alignment vertical="center"/>
    </xf>
    <xf numFmtId="0" fontId="13" fillId="0" borderId="398" xfId="20" applyFont="1" applyFill="1" applyBorder="1" applyAlignment="1">
      <alignment vertical="center"/>
    </xf>
    <xf numFmtId="0" fontId="13" fillId="0" borderId="397" xfId="20" applyFont="1" applyFill="1" applyBorder="1" applyAlignment="1" applyProtection="1">
      <alignment horizontal="center" vertical="center"/>
    </xf>
    <xf numFmtId="39" fontId="13" fillId="0" borderId="378" xfId="20" applyNumberFormat="1" applyFont="1" applyFill="1" applyBorder="1" applyAlignment="1" applyProtection="1">
      <alignment horizontal="center" vertical="center"/>
    </xf>
    <xf numFmtId="0" fontId="13" fillId="0" borderId="399" xfId="20" applyFont="1" applyFill="1" applyBorder="1" applyAlignment="1" applyProtection="1">
      <alignment horizontal="center" vertical="center"/>
    </xf>
    <xf numFmtId="39" fontId="13" fillId="0" borderId="397" xfId="20" applyNumberFormat="1" applyFont="1" applyFill="1" applyBorder="1" applyAlignment="1" applyProtection="1">
      <alignment horizontal="center" vertical="center"/>
    </xf>
    <xf numFmtId="0" fontId="13" fillId="0" borderId="375" xfId="1" applyNumberFormat="1" applyFont="1" applyFill="1" applyBorder="1" applyAlignment="1" applyProtection="1">
      <alignment vertical="center"/>
    </xf>
    <xf numFmtId="0" fontId="46" fillId="0" borderId="124" xfId="1" applyNumberFormat="1" applyFont="1" applyFill="1" applyBorder="1" applyAlignment="1" applyProtection="1">
      <alignment vertical="center"/>
    </xf>
    <xf numFmtId="0" fontId="50" fillId="0" borderId="375" xfId="0" applyFont="1" applyFill="1" applyBorder="1" applyAlignment="1" applyProtection="1">
      <alignment vertical="center"/>
    </xf>
    <xf numFmtId="0" fontId="25" fillId="2" borderId="124" xfId="1" applyNumberFormat="1" applyFont="1" applyFill="1" applyBorder="1" applyAlignment="1" applyProtection="1">
      <alignment vertical="center"/>
    </xf>
    <xf numFmtId="0" fontId="18" fillId="0" borderId="127" xfId="20" applyFont="1" applyFill="1" applyBorder="1" applyProtection="1"/>
    <xf numFmtId="0" fontId="25" fillId="0" borderId="124" xfId="20" applyFont="1" applyFill="1" applyBorder="1" applyProtection="1"/>
    <xf numFmtId="0" fontId="18" fillId="0" borderId="124" xfId="20" applyFont="1" applyFill="1" applyBorder="1" applyProtection="1"/>
    <xf numFmtId="0" fontId="25" fillId="0" borderId="375" xfId="1" applyNumberFormat="1" applyFont="1" applyFill="1" applyBorder="1" applyAlignment="1">
      <alignment vertical="center"/>
    </xf>
    <xf numFmtId="0" fontId="13" fillId="0" borderId="375" xfId="11" applyFont="1" applyFill="1" applyBorder="1" applyAlignment="1" applyProtection="1">
      <alignment vertical="center"/>
    </xf>
    <xf numFmtId="49" fontId="25" fillId="0" borderId="213" xfId="1" applyNumberFormat="1" applyFont="1" applyFill="1" applyBorder="1" applyAlignment="1">
      <alignment vertical="center"/>
    </xf>
    <xf numFmtId="0" fontId="25" fillId="0" borderId="213" xfId="1" applyNumberFormat="1" applyFont="1" applyFill="1" applyBorder="1" applyAlignment="1">
      <alignment vertical="center"/>
    </xf>
    <xf numFmtId="49" fontId="13" fillId="0" borderId="213" xfId="1" applyNumberFormat="1" applyFont="1" applyFill="1" applyBorder="1" applyAlignment="1">
      <alignment vertical="center"/>
    </xf>
    <xf numFmtId="0" fontId="13" fillId="0" borderId="400" xfId="0" applyFont="1" applyFill="1" applyBorder="1" applyAlignment="1">
      <alignment vertical="center"/>
    </xf>
    <xf numFmtId="0" fontId="27" fillId="0" borderId="378" xfId="20" applyFont="1" applyFill="1" applyBorder="1" applyAlignment="1" applyProtection="1">
      <alignment horizontal="centerContinuous" vertical="center"/>
    </xf>
    <xf numFmtId="39" fontId="27" fillId="0" borderId="391" xfId="11" applyNumberFormat="1" applyFont="1" applyFill="1" applyBorder="1" applyAlignment="1" applyProtection="1">
      <alignment vertical="center"/>
    </xf>
    <xf numFmtId="0" fontId="27" fillId="0" borderId="375" xfId="20" applyFont="1" applyFill="1" applyBorder="1" applyAlignment="1">
      <alignment vertical="center"/>
    </xf>
    <xf numFmtId="0" fontId="27" fillId="0" borderId="378" xfId="20" applyFont="1" applyFill="1" applyBorder="1" applyAlignment="1" applyProtection="1">
      <alignment horizontal="center" vertical="center"/>
    </xf>
    <xf numFmtId="39" fontId="27" fillId="0" borderId="378" xfId="20" applyNumberFormat="1" applyFont="1" applyFill="1" applyBorder="1" applyAlignment="1" applyProtection="1">
      <alignment vertical="center"/>
    </xf>
    <xf numFmtId="0" fontId="27" fillId="0" borderId="376" xfId="0" applyFont="1" applyFill="1" applyBorder="1" applyAlignment="1">
      <alignment vertical="center"/>
    </xf>
    <xf numFmtId="0" fontId="13" fillId="0" borderId="213" xfId="0" applyFont="1" applyFill="1" applyBorder="1" applyAlignment="1" applyProtection="1">
      <alignment vertical="center"/>
    </xf>
    <xf numFmtId="0" fontId="52" fillId="0" borderId="378" xfId="20" applyFont="1" applyFill="1" applyBorder="1" applyAlignment="1" applyProtection="1">
      <alignment horizontal="centerContinuous" vertical="center"/>
    </xf>
    <xf numFmtId="0" fontId="53" fillId="0" borderId="213" xfId="0" applyFont="1" applyFill="1" applyBorder="1" applyAlignment="1" applyProtection="1">
      <alignment vertical="center"/>
    </xf>
    <xf numFmtId="0" fontId="52" fillId="0" borderId="375" xfId="20" applyFont="1" applyFill="1" applyBorder="1" applyAlignment="1">
      <alignment vertical="center"/>
    </xf>
    <xf numFmtId="0" fontId="52" fillId="0" borderId="378" xfId="20" applyFont="1" applyFill="1" applyBorder="1" applyAlignment="1" applyProtection="1">
      <alignment horizontal="center" vertical="center"/>
    </xf>
    <xf numFmtId="39" fontId="52" fillId="0" borderId="378" xfId="20" applyNumberFormat="1" applyFont="1" applyFill="1" applyBorder="1" applyAlignment="1" applyProtection="1">
      <alignment vertical="center"/>
    </xf>
    <xf numFmtId="168" fontId="53" fillId="0" borderId="375" xfId="2" applyNumberFormat="1" applyFont="1" applyFill="1" applyBorder="1" applyAlignment="1">
      <alignment vertical="center"/>
    </xf>
    <xf numFmtId="0" fontId="13" fillId="0" borderId="385" xfId="0" applyFont="1" applyFill="1" applyBorder="1" applyAlignment="1" applyProtection="1">
      <alignment vertical="center"/>
    </xf>
    <xf numFmtId="0" fontId="48" fillId="0" borderId="354" xfId="0" applyFont="1" applyFill="1" applyBorder="1" applyAlignment="1">
      <alignment vertical="center"/>
    </xf>
    <xf numFmtId="43" fontId="25" fillId="0" borderId="375" xfId="1" applyFont="1" applyFill="1" applyBorder="1"/>
    <xf numFmtId="0" fontId="48" fillId="0" borderId="378" xfId="20" applyFont="1" applyFill="1" applyBorder="1" applyAlignment="1" applyProtection="1">
      <alignment horizontal="center" vertical="center"/>
    </xf>
    <xf numFmtId="0" fontId="25" fillId="0" borderId="390" xfId="20" applyFont="1" applyFill="1" applyBorder="1" applyAlignment="1" applyProtection="1">
      <alignment horizontal="centerContinuous" vertical="center"/>
    </xf>
    <xf numFmtId="0" fontId="48" fillId="0" borderId="213" xfId="0" applyFont="1" applyFill="1" applyBorder="1" applyAlignment="1">
      <alignment vertical="center"/>
    </xf>
    <xf numFmtId="0" fontId="25" fillId="0" borderId="391" xfId="20" applyFont="1" applyFill="1" applyBorder="1" applyAlignment="1" applyProtection="1">
      <alignment vertical="center"/>
    </xf>
    <xf numFmtId="43" fontId="25" fillId="0" borderId="391" xfId="1" applyFont="1" applyFill="1" applyBorder="1"/>
    <xf numFmtId="0" fontId="48" fillId="0" borderId="390" xfId="20" applyFont="1" applyFill="1" applyBorder="1" applyAlignment="1" applyProtection="1">
      <alignment horizontal="center" vertical="center"/>
    </xf>
    <xf numFmtId="39" fontId="25" fillId="0" borderId="390" xfId="20" applyNumberFormat="1" applyFont="1" applyFill="1" applyBorder="1" applyAlignment="1" applyProtection="1">
      <alignment vertical="center"/>
    </xf>
    <xf numFmtId="0" fontId="25" fillId="0" borderId="401" xfId="0" applyFont="1" applyFill="1" applyBorder="1" applyAlignment="1">
      <alignment vertical="center"/>
    </xf>
    <xf numFmtId="0" fontId="54" fillId="0" borderId="390" xfId="20" applyFont="1" applyFill="1" applyBorder="1" applyAlignment="1" applyProtection="1">
      <alignment horizontal="centerContinuous" vertical="center"/>
    </xf>
    <xf numFmtId="0" fontId="54" fillId="0" borderId="391" xfId="20" applyFont="1" applyFill="1" applyBorder="1" applyAlignment="1" applyProtection="1">
      <alignment vertical="center"/>
    </xf>
    <xf numFmtId="43" fontId="54" fillId="0" borderId="391" xfId="1" applyFont="1" applyFill="1" applyBorder="1"/>
    <xf numFmtId="0" fontId="13" fillId="0" borderId="390" xfId="20" applyFont="1" applyFill="1" applyBorder="1" applyAlignment="1" applyProtection="1">
      <alignment horizontal="center" vertical="center"/>
    </xf>
    <xf numFmtId="39" fontId="54" fillId="0" borderId="378" xfId="20" applyNumberFormat="1" applyFont="1" applyFill="1" applyBorder="1" applyAlignment="1" applyProtection="1">
      <alignment vertical="center"/>
    </xf>
    <xf numFmtId="0" fontId="13" fillId="0" borderId="401" xfId="0" applyFont="1" applyFill="1" applyBorder="1" applyAlignment="1">
      <alignment vertical="center"/>
    </xf>
    <xf numFmtId="0" fontId="48" fillId="0" borderId="383" xfId="0" applyFont="1" applyFill="1" applyBorder="1" applyAlignment="1" applyProtection="1">
      <alignment vertical="center"/>
    </xf>
    <xf numFmtId="39" fontId="54" fillId="0" borderId="390" xfId="20" applyNumberFormat="1" applyFont="1" applyFill="1" applyBorder="1" applyAlignment="1" applyProtection="1">
      <alignment vertical="center"/>
    </xf>
    <xf numFmtId="168" fontId="13" fillId="0" borderId="391" xfId="2" applyNumberFormat="1" applyFont="1" applyFill="1" applyBorder="1" applyAlignment="1">
      <alignment vertical="center"/>
    </xf>
    <xf numFmtId="0" fontId="25" fillId="0" borderId="383" xfId="0" applyFont="1" applyFill="1" applyBorder="1" applyAlignment="1">
      <alignment vertical="center"/>
    </xf>
    <xf numFmtId="0" fontId="13" fillId="0" borderId="383" xfId="0" applyFont="1" applyFill="1" applyBorder="1" applyAlignment="1">
      <alignment vertical="center"/>
    </xf>
    <xf numFmtId="0" fontId="53" fillId="0" borderId="390" xfId="20" applyFont="1" applyFill="1" applyBorder="1" applyAlignment="1" applyProtection="1">
      <alignment horizontal="centerContinuous" vertical="center"/>
    </xf>
    <xf numFmtId="0" fontId="53" fillId="0" borderId="391" xfId="20" applyFont="1" applyFill="1" applyBorder="1" applyAlignment="1" applyProtection="1">
      <alignment vertical="center"/>
    </xf>
    <xf numFmtId="43" fontId="53" fillId="0" borderId="391" xfId="1" applyFont="1" applyFill="1" applyBorder="1"/>
    <xf numFmtId="0" fontId="53" fillId="0" borderId="390" xfId="20" applyFont="1" applyFill="1" applyBorder="1" applyAlignment="1" applyProtection="1">
      <alignment horizontal="center" vertical="center"/>
    </xf>
    <xf numFmtId="39" fontId="53" fillId="0" borderId="390" xfId="20" applyNumberFormat="1" applyFont="1" applyFill="1" applyBorder="1" applyAlignment="1" applyProtection="1">
      <alignment vertical="center"/>
    </xf>
    <xf numFmtId="168" fontId="53" fillId="0" borderId="391" xfId="2" applyNumberFormat="1" applyFont="1" applyFill="1" applyBorder="1" applyAlignment="1">
      <alignment vertical="center"/>
    </xf>
    <xf numFmtId="0" fontId="13" fillId="0" borderId="402" xfId="20" applyFont="1" applyFill="1" applyBorder="1" applyAlignment="1" applyProtection="1">
      <alignment horizontal="center" vertical="center"/>
    </xf>
    <xf numFmtId="0" fontId="13" fillId="0" borderId="403" xfId="20" applyFont="1" applyFill="1" applyBorder="1" applyAlignment="1" applyProtection="1">
      <alignment horizontal="center" vertical="center"/>
    </xf>
    <xf numFmtId="0" fontId="55" fillId="0" borderId="404" xfId="20" applyFont="1" applyFill="1" applyBorder="1" applyAlignment="1" applyProtection="1">
      <alignment horizontal="centerContinuous" vertical="center"/>
    </xf>
    <xf numFmtId="39" fontId="55" fillId="0" borderId="405" xfId="11" applyNumberFormat="1" applyFont="1" applyFill="1" applyBorder="1" applyAlignment="1" applyProtection="1">
      <alignment vertical="center"/>
    </xf>
    <xf numFmtId="0" fontId="55" fillId="0" borderId="405" xfId="20" applyFont="1" applyFill="1" applyBorder="1" applyAlignment="1">
      <alignment vertical="center"/>
    </xf>
    <xf numFmtId="0" fontId="55" fillId="0" borderId="404" xfId="20" applyFont="1" applyFill="1" applyBorder="1" applyAlignment="1" applyProtection="1">
      <alignment horizontal="center" vertical="center"/>
    </xf>
    <xf numFmtId="39" fontId="55" fillId="0" borderId="404" xfId="20" applyNumberFormat="1" applyFont="1" applyFill="1" applyBorder="1" applyAlignment="1" applyProtection="1">
      <alignment vertical="center"/>
    </xf>
    <xf numFmtId="43" fontId="55" fillId="0" borderId="405" xfId="1" applyFont="1" applyFill="1" applyBorder="1" applyAlignment="1">
      <alignment vertical="center"/>
    </xf>
    <xf numFmtId="0" fontId="27" fillId="0" borderId="406" xfId="0" applyFont="1" applyFill="1" applyBorder="1" applyAlignment="1">
      <alignment vertical="center"/>
    </xf>
    <xf numFmtId="43" fontId="51" fillId="0" borderId="375" xfId="1" applyFont="1" applyFill="1" applyBorder="1" applyAlignment="1">
      <alignment vertical="center"/>
    </xf>
    <xf numFmtId="0" fontId="13" fillId="0" borderId="366" xfId="20" applyFont="1" applyFill="1" applyBorder="1" applyAlignment="1" applyProtection="1">
      <alignment horizontal="centerContinuous" vertical="center"/>
    </xf>
    <xf numFmtId="0" fontId="13" fillId="0" borderId="367" xfId="1" applyNumberFormat="1" applyFont="1" applyFill="1" applyBorder="1" applyAlignment="1" applyProtection="1">
      <alignment vertical="center"/>
    </xf>
    <xf numFmtId="43" fontId="13" fillId="0" borderId="407" xfId="1" applyFont="1" applyFill="1" applyBorder="1"/>
    <xf numFmtId="0" fontId="13" fillId="0" borderId="408" xfId="20" applyFont="1" applyFill="1" applyBorder="1" applyAlignment="1" applyProtection="1">
      <alignment horizontal="center" vertical="center"/>
    </xf>
    <xf numFmtId="39" fontId="13" fillId="0" borderId="366" xfId="20" applyNumberFormat="1" applyFont="1" applyFill="1" applyBorder="1" applyAlignment="1" applyProtection="1">
      <alignment vertical="center"/>
    </xf>
    <xf numFmtId="168" fontId="13" fillId="0" borderId="367" xfId="2" applyNumberFormat="1" applyFont="1" applyFill="1" applyBorder="1" applyAlignment="1">
      <alignment vertical="center"/>
    </xf>
    <xf numFmtId="0" fontId="54" fillId="0" borderId="379" xfId="20" applyFont="1" applyFill="1" applyBorder="1" applyAlignment="1" applyProtection="1">
      <alignment horizontal="center" vertical="center"/>
    </xf>
    <xf numFmtId="0" fontId="54" fillId="0" borderId="378" xfId="20" applyFont="1" applyFill="1" applyBorder="1" applyAlignment="1" applyProtection="1">
      <alignment horizontal="centerContinuous" vertical="center"/>
    </xf>
    <xf numFmtId="0" fontId="54" fillId="0" borderId="375" xfId="1" applyNumberFormat="1" applyFont="1" applyFill="1" applyBorder="1" applyAlignment="1" applyProtection="1">
      <alignment vertical="center"/>
    </xf>
    <xf numFmtId="0" fontId="54" fillId="0" borderId="375" xfId="20" applyFont="1" applyFill="1" applyBorder="1" applyAlignment="1" applyProtection="1">
      <alignment vertical="center"/>
    </xf>
    <xf numFmtId="43" fontId="54" fillId="0" borderId="375" xfId="1" applyFont="1" applyFill="1" applyBorder="1"/>
    <xf numFmtId="0" fontId="54" fillId="0" borderId="378" xfId="20" applyFont="1" applyFill="1" applyBorder="1" applyAlignment="1" applyProtection="1">
      <alignment horizontal="center" vertical="center"/>
    </xf>
    <xf numFmtId="168" fontId="54" fillId="0" borderId="375" xfId="2" applyNumberFormat="1" applyFont="1" applyFill="1" applyBorder="1" applyAlignment="1">
      <alignment vertical="center"/>
    </xf>
    <xf numFmtId="0" fontId="48" fillId="0" borderId="379" xfId="20" applyFont="1" applyFill="1" applyBorder="1" applyAlignment="1" applyProtection="1">
      <alignment horizontal="center" vertical="center"/>
    </xf>
    <xf numFmtId="0" fontId="54" fillId="0" borderId="376" xfId="0" applyFont="1" applyFill="1" applyBorder="1" applyAlignment="1">
      <alignment vertical="center"/>
    </xf>
    <xf numFmtId="0" fontId="25" fillId="0" borderId="391" xfId="1" applyNumberFormat="1" applyFont="1" applyFill="1" applyBorder="1" applyAlignment="1" applyProtection="1">
      <alignment vertical="center"/>
    </xf>
    <xf numFmtId="0" fontId="26" fillId="0" borderId="354" xfId="0" applyFont="1" applyFill="1" applyBorder="1" applyAlignment="1">
      <alignment vertical="center"/>
    </xf>
    <xf numFmtId="0" fontId="56" fillId="0" borderId="354" xfId="0" applyFont="1" applyFill="1" applyBorder="1" applyAlignment="1">
      <alignment vertical="center"/>
    </xf>
    <xf numFmtId="0" fontId="56" fillId="0" borderId="213" xfId="0" applyFont="1" applyFill="1" applyBorder="1" applyAlignment="1">
      <alignment vertical="center"/>
    </xf>
    <xf numFmtId="0" fontId="56" fillId="0" borderId="213" xfId="0" applyFont="1" applyFill="1" applyBorder="1" applyAlignment="1">
      <alignment horizontal="left" vertical="center"/>
    </xf>
    <xf numFmtId="0" fontId="56" fillId="0" borderId="354" xfId="0" applyFont="1" applyFill="1" applyBorder="1" applyAlignment="1">
      <alignment horizontal="left" vertical="center"/>
    </xf>
    <xf numFmtId="0" fontId="26" fillId="0" borderId="354" xfId="0" applyFont="1" applyFill="1" applyBorder="1" applyAlignment="1">
      <alignment horizontal="left" vertical="center"/>
    </xf>
    <xf numFmtId="0" fontId="26" fillId="0" borderId="213" xfId="0" applyFont="1" applyFill="1" applyBorder="1" applyAlignment="1">
      <alignment horizontal="left" vertical="center"/>
    </xf>
    <xf numFmtId="0" fontId="26" fillId="0" borderId="213" xfId="0" applyFont="1" applyFill="1" applyBorder="1" applyAlignment="1">
      <alignment vertical="center"/>
    </xf>
    <xf numFmtId="0" fontId="57" fillId="0" borderId="213" xfId="11" applyFont="1" applyFill="1" applyBorder="1" applyAlignment="1" applyProtection="1">
      <alignment vertical="center"/>
    </xf>
    <xf numFmtId="0" fontId="40" fillId="0" borderId="213" xfId="11" applyFont="1" applyFill="1" applyBorder="1" applyAlignment="1" applyProtection="1">
      <alignment vertical="center"/>
    </xf>
    <xf numFmtId="0" fontId="9" fillId="0" borderId="354" xfId="0" applyFont="1" applyFill="1" applyBorder="1" applyAlignment="1">
      <alignment vertical="center"/>
    </xf>
    <xf numFmtId="49" fontId="13" fillId="0" borderId="375" xfId="2" applyNumberFormat="1" applyFont="1" applyFill="1" applyBorder="1" applyAlignment="1">
      <alignment vertical="center"/>
    </xf>
    <xf numFmtId="43" fontId="13" fillId="0" borderId="381" xfId="1" applyFont="1" applyFill="1" applyBorder="1" applyProtection="1"/>
    <xf numFmtId="0" fontId="13" fillId="0" borderId="347" xfId="20" applyFont="1" applyFill="1" applyBorder="1" applyAlignment="1" applyProtection="1">
      <alignment horizontal="centerContinuous" vertical="center"/>
    </xf>
    <xf numFmtId="168" fontId="46" fillId="0" borderId="124" xfId="2" applyNumberFormat="1" applyFont="1" applyFill="1" applyBorder="1" applyAlignment="1">
      <alignment vertical="center"/>
    </xf>
    <xf numFmtId="0" fontId="13" fillId="0" borderId="391" xfId="1" applyNumberFormat="1" applyFont="1" applyFill="1" applyBorder="1" applyAlignment="1" applyProtection="1">
      <alignment vertical="center"/>
    </xf>
    <xf numFmtId="0" fontId="13" fillId="0" borderId="391" xfId="11" applyFont="1" applyFill="1" applyBorder="1" applyAlignment="1" applyProtection="1">
      <alignment vertical="center"/>
    </xf>
    <xf numFmtId="0" fontId="13" fillId="0" borderId="409" xfId="20" applyFont="1" applyFill="1" applyBorder="1" applyAlignment="1" applyProtection="1">
      <alignment vertical="center"/>
    </xf>
    <xf numFmtId="0" fontId="13" fillId="0" borderId="391" xfId="0" applyFont="1" applyFill="1" applyBorder="1" applyAlignment="1">
      <alignment vertical="center"/>
    </xf>
    <xf numFmtId="41" fontId="13" fillId="0" borderId="376" xfId="2" applyFont="1" applyFill="1" applyBorder="1" applyAlignment="1">
      <alignment vertical="center"/>
    </xf>
    <xf numFmtId="0" fontId="13" fillId="0" borderId="409" xfId="20" applyFont="1" applyFill="1" applyBorder="1" applyAlignment="1" applyProtection="1">
      <alignment horizontal="center" vertical="center"/>
    </xf>
    <xf numFmtId="0" fontId="25" fillId="0" borderId="375" xfId="11" applyFont="1" applyFill="1" applyBorder="1" applyAlignment="1" applyProtection="1">
      <alignment vertical="center"/>
    </xf>
    <xf numFmtId="0" fontId="25" fillId="0" borderId="381" xfId="20" applyFont="1" applyFill="1" applyBorder="1" applyAlignment="1" applyProtection="1">
      <alignment vertical="center"/>
    </xf>
    <xf numFmtId="0" fontId="25" fillId="0" borderId="381" xfId="20" applyFont="1" applyFill="1" applyBorder="1" applyAlignment="1" applyProtection="1">
      <alignment horizontal="center" vertical="center"/>
    </xf>
    <xf numFmtId="0" fontId="25" fillId="0" borderId="375" xfId="0" applyFont="1" applyFill="1" applyBorder="1" applyAlignment="1">
      <alignment vertical="center"/>
    </xf>
    <xf numFmtId="0" fontId="9" fillId="0" borderId="213" xfId="0" applyFont="1" applyFill="1" applyBorder="1" applyAlignment="1">
      <alignment vertical="center"/>
    </xf>
    <xf numFmtId="43" fontId="13" fillId="0" borderId="391" xfId="1" applyFont="1" applyFill="1" applyBorder="1" applyProtection="1"/>
    <xf numFmtId="39" fontId="13" fillId="0" borderId="391" xfId="20" applyNumberFormat="1" applyFont="1" applyFill="1" applyBorder="1" applyAlignment="1" applyProtection="1">
      <alignment vertical="center"/>
    </xf>
    <xf numFmtId="0" fontId="13" fillId="0" borderId="404" xfId="20" applyFont="1" applyFill="1" applyBorder="1" applyAlignment="1" applyProtection="1">
      <alignment horizontal="centerContinuous" vertical="center"/>
    </xf>
    <xf numFmtId="0" fontId="13" fillId="0" borderId="18" xfId="1" applyNumberFormat="1" applyFont="1" applyFill="1" applyBorder="1" applyAlignment="1" applyProtection="1">
      <alignment vertical="center"/>
    </xf>
    <xf numFmtId="0" fontId="13" fillId="0" borderId="405" xfId="11" applyFont="1" applyFill="1" applyBorder="1" applyAlignment="1" applyProtection="1">
      <alignment vertical="center"/>
    </xf>
    <xf numFmtId="0" fontId="13" fillId="0" borderId="410" xfId="20" applyFont="1" applyFill="1" applyBorder="1" applyAlignment="1" applyProtection="1">
      <alignment vertical="center"/>
    </xf>
    <xf numFmtId="0" fontId="13" fillId="0" borderId="410" xfId="20" applyFont="1" applyFill="1" applyBorder="1" applyAlignment="1" applyProtection="1">
      <alignment horizontal="center" vertical="center"/>
    </xf>
    <xf numFmtId="0" fontId="13" fillId="0" borderId="405" xfId="0" applyFont="1" applyFill="1" applyBorder="1" applyAlignment="1">
      <alignment vertical="center"/>
    </xf>
    <xf numFmtId="168" fontId="13" fillId="0" borderId="405" xfId="2" applyNumberFormat="1" applyFont="1" applyFill="1" applyBorder="1" applyAlignment="1">
      <alignment vertical="center"/>
    </xf>
    <xf numFmtId="0" fontId="13" fillId="0" borderId="406" xfId="0" applyFont="1" applyFill="1" applyBorder="1" applyAlignment="1">
      <alignment vertical="center"/>
    </xf>
    <xf numFmtId="0" fontId="13" fillId="0" borderId="343" xfId="20" applyFont="1" applyFill="1" applyBorder="1" applyAlignment="1" applyProtection="1">
      <alignment horizontal="center" vertical="center"/>
    </xf>
    <xf numFmtId="0" fontId="13" fillId="0" borderId="343" xfId="20" applyFont="1" applyFill="1" applyBorder="1" applyAlignment="1" applyProtection="1">
      <alignment horizontal="centerContinuous" vertical="center"/>
    </xf>
    <xf numFmtId="0" fontId="13" fillId="0" borderId="343" xfId="1" applyNumberFormat="1" applyFont="1" applyFill="1" applyBorder="1" applyAlignment="1" applyProtection="1">
      <alignment vertical="center"/>
    </xf>
    <xf numFmtId="0" fontId="13" fillId="0" borderId="343" xfId="11" applyFont="1" applyFill="1" applyBorder="1" applyAlignment="1" applyProtection="1">
      <alignment vertical="center"/>
    </xf>
    <xf numFmtId="0" fontId="13" fillId="0" borderId="343" xfId="0" applyFont="1" applyFill="1" applyBorder="1" applyAlignment="1">
      <alignment vertical="center"/>
    </xf>
    <xf numFmtId="168" fontId="13" fillId="0" borderId="343" xfId="2" applyNumberFormat="1" applyFont="1" applyFill="1" applyBorder="1" applyAlignment="1">
      <alignment vertical="center"/>
    </xf>
    <xf numFmtId="0" fontId="13" fillId="0" borderId="124" xfId="20" applyNumberFormat="1" applyFont="1" applyFill="1" applyBorder="1" applyAlignment="1" applyProtection="1">
      <alignment vertical="center"/>
    </xf>
    <xf numFmtId="0" fontId="13" fillId="0" borderId="346" xfId="0" applyFont="1" applyFill="1" applyBorder="1" applyAlignment="1">
      <alignment vertical="center"/>
    </xf>
    <xf numFmtId="0" fontId="13" fillId="0" borderId="411" xfId="20" applyFont="1" applyFill="1" applyBorder="1" applyAlignment="1" applyProtection="1">
      <alignment horizontal="center" vertical="center"/>
    </xf>
    <xf numFmtId="0" fontId="13" fillId="0" borderId="412" xfId="20" applyFont="1" applyFill="1" applyBorder="1" applyAlignment="1" applyProtection="1">
      <alignment horizontal="centerContinuous" vertical="center"/>
    </xf>
    <xf numFmtId="49" fontId="13" fillId="0" borderId="383" xfId="1" applyNumberFormat="1" applyFont="1" applyFill="1" applyBorder="1" applyAlignment="1">
      <alignment vertical="center"/>
    </xf>
    <xf numFmtId="0" fontId="13" fillId="0" borderId="383" xfId="20" applyFont="1" applyFill="1" applyBorder="1" applyAlignment="1">
      <alignment vertical="center"/>
    </xf>
    <xf numFmtId="0" fontId="13" fillId="0" borderId="413" xfId="20" applyFont="1" applyFill="1" applyBorder="1" applyAlignment="1">
      <alignment vertical="center"/>
    </xf>
    <xf numFmtId="0" fontId="13" fillId="0" borderId="393" xfId="20" applyFont="1" applyFill="1" applyBorder="1" applyAlignment="1" applyProtection="1">
      <alignment horizontal="center" vertical="center"/>
    </xf>
    <xf numFmtId="39" fontId="13" fillId="0" borderId="412" xfId="20" applyNumberFormat="1" applyFont="1" applyFill="1" applyBorder="1" applyAlignment="1" applyProtection="1">
      <alignment horizontal="center" vertical="center"/>
    </xf>
    <xf numFmtId="39" fontId="13" fillId="0" borderId="414" xfId="0" applyNumberFormat="1" applyFont="1" applyFill="1" applyBorder="1" applyAlignment="1">
      <alignment vertical="center"/>
    </xf>
    <xf numFmtId="0" fontId="13" fillId="0" borderId="415" xfId="0" applyFont="1" applyFill="1" applyBorder="1" applyAlignment="1">
      <alignment vertical="center"/>
    </xf>
    <xf numFmtId="49" fontId="13" fillId="0" borderId="416" xfId="1" applyNumberFormat="1" applyFont="1" applyFill="1" applyBorder="1" applyAlignment="1">
      <alignment vertical="center"/>
    </xf>
    <xf numFmtId="0" fontId="13" fillId="0" borderId="416" xfId="20" applyFont="1" applyFill="1" applyBorder="1" applyAlignment="1">
      <alignment vertical="center"/>
    </xf>
    <xf numFmtId="0" fontId="13" fillId="0" borderId="417" xfId="20" applyFont="1" applyFill="1" applyBorder="1" applyAlignment="1" applyProtection="1">
      <alignment horizontal="centerContinuous" vertical="center"/>
    </xf>
    <xf numFmtId="49" fontId="13" fillId="0" borderId="418" xfId="1" applyNumberFormat="1" applyFont="1" applyFill="1" applyBorder="1" applyAlignment="1">
      <alignment vertical="center"/>
    </xf>
    <xf numFmtId="0" fontId="13" fillId="0" borderId="418" xfId="20" applyFont="1" applyFill="1" applyBorder="1" applyAlignment="1">
      <alignment vertical="center"/>
    </xf>
    <xf numFmtId="0" fontId="13" fillId="0" borderId="419" xfId="20" applyFont="1" applyFill="1" applyBorder="1" applyAlignment="1">
      <alignment vertical="center"/>
    </xf>
    <xf numFmtId="0" fontId="13" fillId="0" borderId="420" xfId="20" applyFont="1" applyFill="1" applyBorder="1" applyAlignment="1" applyProtection="1">
      <alignment horizontal="center" vertical="center"/>
    </xf>
    <xf numFmtId="39" fontId="13" fillId="0" borderId="417" xfId="20" applyNumberFormat="1" applyFont="1" applyFill="1" applyBorder="1" applyAlignment="1" applyProtection="1">
      <alignment horizontal="center" vertical="center"/>
    </xf>
    <xf numFmtId="0" fontId="13" fillId="0" borderId="421" xfId="0" applyFont="1" applyFill="1" applyBorder="1" applyAlignment="1">
      <alignment vertical="center"/>
    </xf>
    <xf numFmtId="0" fontId="13" fillId="0" borderId="422" xfId="20" applyFont="1" applyFill="1" applyBorder="1" applyAlignment="1" applyProtection="1">
      <alignment horizontal="center" vertical="center"/>
    </xf>
    <xf numFmtId="0" fontId="13" fillId="0" borderId="418" xfId="1" applyNumberFormat="1" applyFont="1" applyFill="1" applyBorder="1" applyAlignment="1">
      <alignment vertical="center"/>
    </xf>
    <xf numFmtId="43" fontId="13" fillId="0" borderId="419" xfId="1" applyFont="1" applyFill="1" applyBorder="1" applyAlignment="1">
      <alignment horizontal="center" vertical="center"/>
    </xf>
    <xf numFmtId="0" fontId="13" fillId="0" borderId="423" xfId="20" applyFont="1" applyFill="1" applyBorder="1" applyAlignment="1" applyProtection="1">
      <alignment horizontal="center" vertical="center"/>
    </xf>
    <xf numFmtId="0" fontId="13" fillId="0" borderId="423" xfId="20" applyFont="1" applyFill="1" applyBorder="1" applyAlignment="1" applyProtection="1">
      <alignment horizontal="centerContinuous" vertical="center"/>
    </xf>
    <xf numFmtId="0" fontId="13" fillId="0" borderId="423" xfId="1" applyNumberFormat="1" applyFont="1" applyFill="1" applyBorder="1" applyAlignment="1">
      <alignment vertical="center"/>
    </xf>
    <xf numFmtId="0" fontId="13" fillId="0" borderId="423" xfId="20" applyFont="1" applyFill="1" applyBorder="1" applyAlignment="1">
      <alignment vertical="center"/>
    </xf>
    <xf numFmtId="39" fontId="13" fillId="0" borderId="423" xfId="20" applyNumberFormat="1" applyFont="1" applyFill="1" applyBorder="1" applyAlignment="1" applyProtection="1">
      <alignment horizontal="center" vertical="center"/>
    </xf>
    <xf numFmtId="43" fontId="13" fillId="0" borderId="423" xfId="1" applyFont="1" applyFill="1" applyBorder="1" applyAlignment="1">
      <alignment horizontal="center" vertical="center"/>
    </xf>
    <xf numFmtId="0" fontId="13" fillId="0" borderId="423" xfId="0" applyFont="1" applyFill="1" applyBorder="1" applyAlignment="1">
      <alignment vertical="center"/>
    </xf>
    <xf numFmtId="0" fontId="13" fillId="0" borderId="340" xfId="20" applyFont="1" applyFill="1" applyBorder="1" applyAlignment="1" applyProtection="1">
      <alignment horizontal="center" vertical="center"/>
    </xf>
    <xf numFmtId="39" fontId="13" fillId="0" borderId="424" xfId="20" applyNumberFormat="1" applyFont="1" applyFill="1" applyBorder="1" applyAlignment="1" applyProtection="1">
      <alignment horizontal="center" vertical="center"/>
    </xf>
    <xf numFmtId="43" fontId="13" fillId="0" borderId="425" xfId="1" applyFont="1" applyFill="1" applyBorder="1" applyAlignment="1">
      <alignment horizontal="center" vertical="center"/>
    </xf>
    <xf numFmtId="0" fontId="2" fillId="0" borderId="411" xfId="0" applyFont="1" applyBorder="1" applyAlignment="1">
      <alignment horizontal="center" vertical="center"/>
    </xf>
    <xf numFmtId="0" fontId="13" fillId="0" borderId="416" xfId="20" applyFont="1" applyFill="1" applyBorder="1" applyAlignment="1" applyProtection="1">
      <alignment horizontal="centerContinuous" vertical="center"/>
    </xf>
    <xf numFmtId="0" fontId="2" fillId="0" borderId="416" xfId="0" applyFont="1" applyBorder="1"/>
    <xf numFmtId="39" fontId="13" fillId="0" borderId="416" xfId="20" applyNumberFormat="1" applyFont="1" applyFill="1" applyBorder="1" applyAlignment="1" applyProtection="1">
      <alignment horizontal="center" vertical="center"/>
    </xf>
    <xf numFmtId="43" fontId="13" fillId="0" borderId="416" xfId="1" applyFont="1" applyFill="1" applyBorder="1" applyAlignment="1">
      <alignment horizontal="center" vertical="center"/>
    </xf>
    <xf numFmtId="0" fontId="2" fillId="0" borderId="340" xfId="0" applyFont="1" applyBorder="1" applyAlignment="1">
      <alignment horizontal="center"/>
    </xf>
    <xf numFmtId="0" fontId="2" fillId="0" borderId="411" xfId="0" applyFont="1" applyBorder="1" applyAlignment="1">
      <alignment horizontal="center"/>
    </xf>
    <xf numFmtId="43" fontId="13" fillId="0" borderId="413" xfId="1" applyFont="1" applyFill="1" applyBorder="1" applyAlignment="1">
      <alignment horizontal="center" vertical="center"/>
    </xf>
    <xf numFmtId="0" fontId="13" fillId="0" borderId="416" xfId="0" applyFont="1" applyFill="1" applyBorder="1" applyAlignment="1">
      <alignment vertical="center"/>
    </xf>
    <xf numFmtId="0" fontId="2" fillId="0" borderId="426" xfId="0" applyFont="1" applyBorder="1" applyAlignment="1">
      <alignment horizontal="center"/>
    </xf>
    <xf numFmtId="0" fontId="4" fillId="0" borderId="340" xfId="0" applyFont="1" applyBorder="1" applyAlignment="1">
      <alignment horizontal="center"/>
    </xf>
    <xf numFmtId="41" fontId="2" fillId="0" borderId="393" xfId="0" applyNumberFormat="1" applyFont="1" applyBorder="1" applyAlignment="1">
      <alignment horizontal="center" vertical="center"/>
    </xf>
    <xf numFmtId="41" fontId="2" fillId="0" borderId="393" xfId="0" applyNumberFormat="1" applyFont="1" applyBorder="1" applyAlignment="1">
      <alignment horizontal="center"/>
    </xf>
    <xf numFmtId="0" fontId="2" fillId="0" borderId="422" xfId="0" applyFont="1" applyBorder="1" applyAlignment="1">
      <alignment horizontal="center"/>
    </xf>
    <xf numFmtId="0" fontId="13" fillId="0" borderId="418" xfId="0" applyFont="1" applyFill="1" applyBorder="1" applyAlignment="1">
      <alignment vertical="center"/>
    </xf>
    <xf numFmtId="0" fontId="2" fillId="0" borderId="418" xfId="0" applyFont="1" applyBorder="1"/>
    <xf numFmtId="0" fontId="2" fillId="0" borderId="420" xfId="0" applyFont="1" applyBorder="1" applyAlignment="1">
      <alignment horizontal="center"/>
    </xf>
    <xf numFmtId="43" fontId="13" fillId="0" borderId="418" xfId="1" applyFont="1" applyFill="1" applyBorder="1" applyAlignment="1">
      <alignment horizontal="center" vertical="center"/>
    </xf>
    <xf numFmtId="0" fontId="2" fillId="0" borderId="416" xfId="1" applyNumberFormat="1" applyFont="1" applyFill="1" applyBorder="1" applyAlignment="1">
      <alignment vertical="center"/>
    </xf>
    <xf numFmtId="0" fontId="2" fillId="0" borderId="393" xfId="20" applyFont="1" applyFill="1" applyBorder="1" applyAlignment="1" applyProtection="1">
      <alignment horizontal="center" vertical="center"/>
    </xf>
    <xf numFmtId="43" fontId="46" fillId="0" borderId="416" xfId="1" applyFont="1" applyFill="1" applyBorder="1" applyAlignment="1">
      <alignment horizontal="center" vertical="center"/>
    </xf>
    <xf numFmtId="49" fontId="2" fillId="0" borderId="416" xfId="1" applyNumberFormat="1" applyFont="1" applyFill="1" applyBorder="1" applyAlignment="1">
      <alignment vertical="center"/>
    </xf>
    <xf numFmtId="39" fontId="2" fillId="0" borderId="416" xfId="11" applyNumberFormat="1" applyFont="1" applyFill="1" applyBorder="1" applyAlignment="1" applyProtection="1">
      <alignment vertical="center"/>
    </xf>
    <xf numFmtId="39" fontId="31" fillId="0" borderId="416" xfId="11" applyNumberFormat="1" applyFont="1" applyFill="1" applyBorder="1" applyAlignment="1" applyProtection="1">
      <alignment vertical="center"/>
    </xf>
    <xf numFmtId="0" fontId="2" fillId="0" borderId="416" xfId="1" applyNumberFormat="1" applyFont="1" applyFill="1" applyBorder="1" applyAlignment="1" applyProtection="1">
      <alignment vertical="center"/>
    </xf>
    <xf numFmtId="0" fontId="2" fillId="0" borderId="416" xfId="0" applyFont="1" applyFill="1" applyBorder="1" applyAlignment="1" applyProtection="1">
      <alignment vertical="center"/>
    </xf>
    <xf numFmtId="0" fontId="13" fillId="0" borderId="427" xfId="0" applyFont="1" applyFill="1" applyBorder="1" applyAlignment="1">
      <alignment vertical="center"/>
    </xf>
    <xf numFmtId="0" fontId="2" fillId="0" borderId="427" xfId="0" applyFont="1" applyBorder="1"/>
    <xf numFmtId="0" fontId="2" fillId="0" borderId="428" xfId="0" applyFont="1" applyBorder="1" applyAlignment="1">
      <alignment horizontal="center"/>
    </xf>
    <xf numFmtId="43" fontId="13" fillId="0" borderId="427" xfId="1" applyFont="1" applyFill="1" applyBorder="1" applyAlignment="1">
      <alignment horizontal="center" vertical="center"/>
    </xf>
    <xf numFmtId="0" fontId="13" fillId="0" borderId="429" xfId="0" applyFont="1" applyFill="1" applyBorder="1" applyAlignment="1">
      <alignment vertical="center"/>
    </xf>
    <xf numFmtId="0" fontId="68" fillId="0" borderId="430" xfId="11" applyFont="1" applyFill="1" applyBorder="1" applyAlignment="1" applyProtection="1">
      <alignment horizontal="center" vertical="center"/>
    </xf>
    <xf numFmtId="0" fontId="68" fillId="0" borderId="414" xfId="11" applyFont="1" applyFill="1" applyBorder="1" applyAlignment="1" applyProtection="1">
      <alignment vertical="center"/>
    </xf>
    <xf numFmtId="39" fontId="68" fillId="0" borderId="414" xfId="11" applyNumberFormat="1" applyFont="1" applyFill="1" applyBorder="1" applyAlignment="1" applyProtection="1">
      <alignment vertical="center"/>
    </xf>
    <xf numFmtId="39" fontId="68" fillId="0" borderId="431" xfId="11" applyNumberFormat="1" applyFont="1" applyFill="1" applyBorder="1" applyAlignment="1" applyProtection="1">
      <alignment vertical="center"/>
    </xf>
    <xf numFmtId="168" fontId="68" fillId="0" borderId="414" xfId="2" applyNumberFormat="1" applyFont="1" applyFill="1" applyBorder="1" applyAlignment="1" applyProtection="1">
      <alignment horizontal="right" vertical="center"/>
    </xf>
    <xf numFmtId="39" fontId="68" fillId="0" borderId="414" xfId="11" applyNumberFormat="1" applyFont="1" applyFill="1" applyBorder="1" applyAlignment="1" applyProtection="1">
      <alignment horizontal="center" vertical="center"/>
    </xf>
    <xf numFmtId="39" fontId="68" fillId="0" borderId="432" xfId="11" applyNumberFormat="1" applyFont="1" applyFill="1" applyBorder="1" applyAlignment="1" applyProtection="1">
      <alignment horizontal="center" vertical="center"/>
    </xf>
    <xf numFmtId="39" fontId="68" fillId="0" borderId="414" xfId="11" applyNumberFormat="1" applyFont="1" applyFill="1" applyBorder="1" applyAlignment="1" applyProtection="1">
      <alignment horizontal="right" vertical="center"/>
    </xf>
    <xf numFmtId="168" fontId="68" fillId="0" borderId="433" xfId="2" applyNumberFormat="1" applyFont="1" applyFill="1" applyBorder="1" applyAlignment="1" applyProtection="1">
      <alignment vertical="center"/>
    </xf>
    <xf numFmtId="168" fontId="68" fillId="0" borderId="434" xfId="2" applyNumberFormat="1" applyFont="1" applyFill="1" applyBorder="1" applyAlignment="1" applyProtection="1">
      <alignment vertical="center"/>
    </xf>
    <xf numFmtId="168" fontId="68" fillId="0" borderId="435" xfId="2" applyNumberFormat="1" applyFont="1" applyFill="1" applyBorder="1" applyAlignment="1" applyProtection="1">
      <alignment vertical="center"/>
    </xf>
    <xf numFmtId="39" fontId="70" fillId="0" borderId="414" xfId="11" applyNumberFormat="1" applyFont="1" applyFill="1" applyBorder="1" applyAlignment="1" applyProtection="1">
      <alignment vertical="center"/>
    </xf>
    <xf numFmtId="39" fontId="41" fillId="0" borderId="416" xfId="11" applyNumberFormat="1" applyFont="1" applyFill="1" applyBorder="1" applyAlignment="1" applyProtection="1">
      <alignment horizontal="left" vertical="center"/>
    </xf>
    <xf numFmtId="0" fontId="41" fillId="0" borderId="416" xfId="13" applyFont="1" applyFill="1" applyBorder="1"/>
    <xf numFmtId="0" fontId="41" fillId="0" borderId="416" xfId="13" applyFont="1" applyFill="1" applyBorder="1" applyAlignment="1">
      <alignment horizontal="right"/>
    </xf>
    <xf numFmtId="0" fontId="41" fillId="0" borderId="412" xfId="13" applyFont="1" applyFill="1" applyBorder="1" applyAlignment="1">
      <alignment horizontal="center" vertical="center"/>
    </xf>
    <xf numFmtId="0" fontId="41" fillId="0" borderId="416" xfId="13" applyFont="1" applyFill="1" applyBorder="1" applyAlignment="1">
      <alignment horizontal="center" vertical="center"/>
    </xf>
    <xf numFmtId="43" fontId="41" fillId="0" borderId="413" xfId="1" applyFont="1" applyFill="1" applyBorder="1" applyAlignment="1">
      <alignment horizontal="center" vertical="center"/>
    </xf>
    <xf numFmtId="43" fontId="42" fillId="0" borderId="393" xfId="1" applyFont="1" applyFill="1" applyBorder="1" applyAlignment="1">
      <alignment horizontal="center" vertical="center"/>
    </xf>
    <xf numFmtId="39" fontId="43" fillId="0" borderId="416" xfId="11" applyNumberFormat="1" applyFont="1" applyFill="1" applyBorder="1" applyAlignment="1" applyProtection="1">
      <alignment horizontal="left" vertical="center"/>
    </xf>
    <xf numFmtId="0" fontId="43" fillId="0" borderId="416" xfId="13" applyFont="1" applyFill="1" applyBorder="1"/>
    <xf numFmtId="0" fontId="43" fillId="0" borderId="416" xfId="13" applyFont="1" applyFill="1" applyBorder="1" applyAlignment="1">
      <alignment horizontal="right"/>
    </xf>
    <xf numFmtId="0" fontId="43" fillId="0" borderId="412" xfId="13" applyFont="1" applyFill="1" applyBorder="1" applyAlignment="1">
      <alignment horizontal="center" vertical="center"/>
    </xf>
    <xf numFmtId="0" fontId="43" fillId="0" borderId="416" xfId="13" applyFont="1" applyFill="1" applyBorder="1" applyAlignment="1">
      <alignment horizontal="center" vertical="center"/>
    </xf>
    <xf numFmtId="43" fontId="43" fillId="0" borderId="413" xfId="1" applyFont="1" applyFill="1" applyBorder="1" applyAlignment="1">
      <alignment horizontal="center" vertical="center"/>
    </xf>
    <xf numFmtId="43" fontId="60" fillId="0" borderId="393" xfId="1" applyFont="1" applyFill="1" applyBorder="1" applyAlignment="1">
      <alignment horizontal="center" vertical="center"/>
    </xf>
    <xf numFmtId="43" fontId="41" fillId="0" borderId="412" xfId="13" applyNumberFormat="1" applyFont="1" applyFill="1" applyBorder="1" applyAlignment="1">
      <alignment horizontal="center" vertical="center"/>
    </xf>
    <xf numFmtId="43" fontId="41" fillId="0" borderId="416" xfId="13" applyNumberFormat="1" applyFont="1" applyFill="1" applyBorder="1" applyAlignment="1">
      <alignment horizontal="center" vertical="center"/>
    </xf>
    <xf numFmtId="41" fontId="41" fillId="0" borderId="416" xfId="2" applyFont="1" applyFill="1" applyBorder="1" applyAlignment="1">
      <alignment horizontal="center" vertical="center"/>
    </xf>
    <xf numFmtId="177" fontId="41" fillId="0" borderId="416" xfId="13" applyNumberFormat="1" applyFont="1" applyFill="1" applyBorder="1" applyAlignment="1">
      <alignment horizontal="center" vertical="center"/>
    </xf>
    <xf numFmtId="1" fontId="41" fillId="0" borderId="416" xfId="13" applyNumberFormat="1" applyFont="1" applyFill="1" applyBorder="1" applyAlignment="1">
      <alignment horizontal="center" vertical="center"/>
    </xf>
    <xf numFmtId="0" fontId="42" fillId="0" borderId="412" xfId="13" applyFont="1" applyFill="1" applyBorder="1" applyAlignment="1">
      <alignment horizontal="center" vertical="center"/>
    </xf>
    <xf numFmtId="0" fontId="68" fillId="0" borderId="436" xfId="11" applyFont="1" applyFill="1" applyBorder="1" applyAlignment="1" applyProtection="1">
      <alignment horizontal="center" vertical="center"/>
    </xf>
    <xf numFmtId="0" fontId="68" fillId="0" borderId="437" xfId="11" applyFont="1" applyFill="1" applyBorder="1" applyAlignment="1" applyProtection="1">
      <alignment vertical="center"/>
    </xf>
    <xf numFmtId="39" fontId="68" fillId="0" borderId="437" xfId="11" applyNumberFormat="1" applyFont="1" applyFill="1" applyBorder="1" applyAlignment="1" applyProtection="1">
      <alignment vertical="center"/>
    </xf>
    <xf numFmtId="39" fontId="68" fillId="0" borderId="438" xfId="11" applyNumberFormat="1" applyFont="1" applyFill="1" applyBorder="1" applyAlignment="1" applyProtection="1">
      <alignment vertical="center"/>
    </xf>
    <xf numFmtId="168" fontId="68" fillId="0" borderId="437" xfId="2" applyNumberFormat="1" applyFont="1" applyFill="1" applyBorder="1" applyAlignment="1" applyProtection="1">
      <alignment horizontal="right" vertical="center"/>
    </xf>
    <xf numFmtId="39" fontId="68" fillId="0" borderId="437" xfId="11" applyNumberFormat="1" applyFont="1" applyFill="1" applyBorder="1" applyAlignment="1" applyProtection="1">
      <alignment horizontal="center" vertical="center"/>
    </xf>
    <xf numFmtId="39" fontId="68" fillId="0" borderId="439" xfId="11" applyNumberFormat="1" applyFont="1" applyFill="1" applyBorder="1" applyAlignment="1" applyProtection="1">
      <alignment horizontal="center" vertical="center"/>
    </xf>
    <xf numFmtId="39" fontId="68" fillId="0" borderId="437" xfId="11" applyNumberFormat="1" applyFont="1" applyFill="1" applyBorder="1" applyAlignment="1" applyProtection="1">
      <alignment horizontal="right" vertical="center"/>
    </xf>
    <xf numFmtId="168" fontId="68" fillId="0" borderId="440" xfId="2" applyNumberFormat="1" applyFont="1" applyFill="1" applyBorder="1" applyAlignment="1" applyProtection="1">
      <alignment vertical="center"/>
    </xf>
    <xf numFmtId="168" fontId="68" fillId="0" borderId="441" xfId="2" applyNumberFormat="1" applyFont="1" applyFill="1" applyBorder="1" applyAlignment="1" applyProtection="1">
      <alignment vertical="center"/>
    </xf>
    <xf numFmtId="168" fontId="68" fillId="0" borderId="442" xfId="2" applyNumberFormat="1" applyFont="1" applyFill="1" applyBorder="1" applyAlignment="1" applyProtection="1">
      <alignment vertical="center"/>
    </xf>
    <xf numFmtId="39" fontId="70" fillId="0" borderId="437" xfId="11" applyNumberFormat="1" applyFont="1" applyFill="1" applyBorder="1" applyAlignment="1" applyProtection="1">
      <alignment vertical="center"/>
    </xf>
    <xf numFmtId="39" fontId="41" fillId="0" borderId="443" xfId="11" applyNumberFormat="1" applyFont="1" applyFill="1" applyBorder="1" applyAlignment="1" applyProtection="1">
      <alignment horizontal="left" vertical="center"/>
    </xf>
    <xf numFmtId="0" fontId="41" fillId="0" borderId="443" xfId="13" applyFont="1" applyFill="1" applyBorder="1"/>
    <xf numFmtId="0" fontId="41" fillId="0" borderId="443" xfId="13" applyFont="1" applyFill="1" applyBorder="1" applyAlignment="1">
      <alignment horizontal="right"/>
    </xf>
    <xf numFmtId="0" fontId="41" fillId="0" borderId="444" xfId="13" applyFont="1" applyFill="1" applyBorder="1" applyAlignment="1">
      <alignment horizontal="center" vertical="center"/>
    </xf>
    <xf numFmtId="0" fontId="41" fillId="0" borderId="443" xfId="13" applyFont="1" applyFill="1" applyBorder="1" applyAlignment="1">
      <alignment horizontal="center" vertical="center"/>
    </xf>
    <xf numFmtId="43" fontId="41" fillId="0" borderId="445" xfId="1" applyFont="1" applyFill="1" applyBorder="1" applyAlignment="1">
      <alignment horizontal="center" vertical="center"/>
    </xf>
    <xf numFmtId="43" fontId="42" fillId="0" borderId="446" xfId="1" applyFont="1" applyFill="1" applyBorder="1" applyAlignment="1">
      <alignment horizontal="center" vertical="center"/>
    </xf>
    <xf numFmtId="0" fontId="42" fillId="0" borderId="447" xfId="13" applyFont="1" applyFill="1" applyBorder="1" applyAlignment="1">
      <alignment horizontal="center" vertical="center"/>
    </xf>
    <xf numFmtId="43" fontId="41" fillId="0" borderId="265" xfId="13" applyNumberFormat="1" applyFont="1" applyFill="1" applyBorder="1" applyAlignment="1">
      <alignment horizontal="center" vertical="center"/>
    </xf>
    <xf numFmtId="39" fontId="43" fillId="0" borderId="443" xfId="11" applyNumberFormat="1" applyFont="1" applyFill="1" applyBorder="1" applyAlignment="1" applyProtection="1">
      <alignment horizontal="left" vertical="center"/>
    </xf>
    <xf numFmtId="0" fontId="43" fillId="0" borderId="443" xfId="13" applyFont="1" applyFill="1" applyBorder="1"/>
    <xf numFmtId="0" fontId="43" fillId="0" borderId="443" xfId="13" applyFont="1" applyFill="1" applyBorder="1" applyAlignment="1">
      <alignment horizontal="right"/>
    </xf>
    <xf numFmtId="0" fontId="43" fillId="0" borderId="444" xfId="13" applyFont="1" applyFill="1" applyBorder="1" applyAlignment="1">
      <alignment horizontal="center" vertical="center"/>
    </xf>
    <xf numFmtId="0" fontId="43" fillId="0" borderId="443" xfId="13" applyFont="1" applyFill="1" applyBorder="1" applyAlignment="1">
      <alignment horizontal="center" vertical="center"/>
    </xf>
    <xf numFmtId="43" fontId="43" fillId="0" borderId="445" xfId="1" applyFont="1" applyFill="1" applyBorder="1" applyAlignment="1">
      <alignment horizontal="center" vertical="center"/>
    </xf>
    <xf numFmtId="43" fontId="60" fillId="0" borderId="446" xfId="1" applyFont="1" applyFill="1" applyBorder="1" applyAlignment="1">
      <alignment horizontal="center" vertical="center"/>
    </xf>
    <xf numFmtId="0" fontId="60" fillId="0" borderId="447" xfId="13" applyFont="1" applyFill="1" applyBorder="1" applyAlignment="1">
      <alignment horizontal="center" vertical="center"/>
    </xf>
    <xf numFmtId="43" fontId="41" fillId="0" borderId="444" xfId="13" applyNumberFormat="1" applyFont="1" applyFill="1" applyBorder="1" applyAlignment="1">
      <alignment horizontal="center" vertical="center"/>
    </xf>
    <xf numFmtId="0" fontId="41" fillId="0" borderId="265" xfId="13" quotePrefix="1" applyFont="1" applyFill="1" applyBorder="1" applyAlignment="1">
      <alignment horizontal="center" vertical="center"/>
    </xf>
    <xf numFmtId="168" fontId="41" fillId="0" borderId="443" xfId="2" applyNumberFormat="1" applyFont="1" applyFill="1" applyBorder="1" applyAlignment="1">
      <alignment horizontal="center" vertical="center"/>
    </xf>
    <xf numFmtId="43" fontId="41" fillId="0" borderId="443" xfId="13" applyNumberFormat="1" applyFont="1" applyFill="1" applyBorder="1" applyAlignment="1">
      <alignment horizontal="center" vertical="center"/>
    </xf>
    <xf numFmtId="43" fontId="41" fillId="0" borderId="443" xfId="13" applyNumberFormat="1" applyFont="1" applyFill="1" applyBorder="1" applyAlignment="1">
      <alignment horizontal="right"/>
    </xf>
    <xf numFmtId="39" fontId="41" fillId="0" borderId="449" xfId="11" applyNumberFormat="1" applyFont="1" applyFill="1" applyBorder="1" applyAlignment="1" applyProtection="1">
      <alignment horizontal="left" vertical="center"/>
    </xf>
    <xf numFmtId="0" fontId="41" fillId="0" borderId="449" xfId="13" applyFont="1" applyFill="1" applyBorder="1"/>
    <xf numFmtId="0" fontId="41" fillId="0" borderId="449" xfId="13" applyFont="1" applyFill="1" applyBorder="1" applyAlignment="1">
      <alignment horizontal="right"/>
    </xf>
    <xf numFmtId="0" fontId="41" fillId="0" borderId="448" xfId="13" applyFont="1" applyFill="1" applyBorder="1" applyAlignment="1">
      <alignment horizontal="center" vertical="center"/>
    </xf>
    <xf numFmtId="0" fontId="41" fillId="0" borderId="449" xfId="13" applyFont="1" applyFill="1" applyBorder="1" applyAlignment="1">
      <alignment horizontal="center" vertical="center"/>
    </xf>
    <xf numFmtId="43" fontId="41" fillId="0" borderId="450" xfId="1" applyFont="1" applyFill="1" applyBorder="1" applyAlignment="1">
      <alignment horizontal="center" vertical="center"/>
    </xf>
    <xf numFmtId="43" fontId="42" fillId="0" borderId="451" xfId="1" applyFont="1" applyFill="1" applyBorder="1" applyAlignment="1">
      <alignment horizontal="center" vertical="center"/>
    </xf>
    <xf numFmtId="0" fontId="42" fillId="0" borderId="452" xfId="13" applyFont="1" applyFill="1" applyBorder="1" applyAlignment="1">
      <alignment horizontal="center" vertical="center"/>
    </xf>
    <xf numFmtId="39" fontId="43" fillId="0" borderId="449" xfId="11" applyNumberFormat="1" applyFont="1" applyFill="1" applyBorder="1" applyAlignment="1" applyProtection="1">
      <alignment horizontal="left" vertical="center"/>
    </xf>
    <xf numFmtId="0" fontId="43" fillId="0" borderId="449" xfId="13" applyFont="1" applyFill="1" applyBorder="1"/>
    <xf numFmtId="0" fontId="43" fillId="0" borderId="449" xfId="13" applyFont="1" applyFill="1" applyBorder="1" applyAlignment="1">
      <alignment horizontal="right"/>
    </xf>
    <xf numFmtId="0" fontId="43" fillId="0" borderId="448" xfId="13" applyFont="1" applyFill="1" applyBorder="1" applyAlignment="1">
      <alignment horizontal="center" vertical="center"/>
    </xf>
    <xf numFmtId="0" fontId="43" fillId="0" borderId="449" xfId="13" applyFont="1" applyFill="1" applyBorder="1" applyAlignment="1">
      <alignment horizontal="center" vertical="center"/>
    </xf>
    <xf numFmtId="43" fontId="43" fillId="0" borderId="450" xfId="1" applyFont="1" applyFill="1" applyBorder="1" applyAlignment="1">
      <alignment horizontal="center" vertical="center"/>
    </xf>
    <xf numFmtId="43" fontId="60" fillId="0" borderId="451" xfId="1" applyFont="1" applyFill="1" applyBorder="1" applyAlignment="1">
      <alignment horizontal="center" vertical="center"/>
    </xf>
    <xf numFmtId="0" fontId="60" fillId="0" borderId="452" xfId="13" applyFont="1" applyFill="1" applyBorder="1" applyAlignment="1">
      <alignment horizontal="center" vertical="center"/>
    </xf>
    <xf numFmtId="43" fontId="41" fillId="0" borderId="448" xfId="13" applyNumberFormat="1" applyFont="1" applyFill="1" applyBorder="1" applyAlignment="1">
      <alignment horizontal="center" vertical="center"/>
    </xf>
    <xf numFmtId="43" fontId="41" fillId="0" borderId="449" xfId="13" applyNumberFormat="1" applyFont="1" applyFill="1" applyBorder="1" applyAlignment="1">
      <alignment horizontal="center" vertical="center"/>
    </xf>
    <xf numFmtId="0" fontId="70" fillId="0" borderId="496" xfId="11" quotePrefix="1" applyFont="1" applyFill="1" applyBorder="1" applyAlignment="1" applyProtection="1">
      <alignment horizontal="center" vertical="center"/>
    </xf>
    <xf numFmtId="0" fontId="70" fillId="0" borderId="497" xfId="11" applyFont="1" applyFill="1" applyBorder="1" applyAlignment="1" applyProtection="1">
      <alignment horizontal="centerContinuous" vertical="center"/>
    </xf>
    <xf numFmtId="41" fontId="70" fillId="0" borderId="497" xfId="2" quotePrefix="1" applyNumberFormat="1" applyFont="1" applyFill="1" applyBorder="1" applyAlignment="1" applyProtection="1">
      <alignment horizontal="center" vertical="center"/>
    </xf>
    <xf numFmtId="41" fontId="70" fillId="0" borderId="498" xfId="2" quotePrefix="1" applyNumberFormat="1" applyFont="1" applyFill="1" applyBorder="1" applyAlignment="1" applyProtection="1">
      <alignment horizontal="center" vertical="center"/>
    </xf>
    <xf numFmtId="0" fontId="70" fillId="0" borderId="497" xfId="11" applyFont="1" applyFill="1" applyBorder="1" applyAlignment="1" applyProtection="1">
      <alignment horizontal="right" vertical="center"/>
    </xf>
    <xf numFmtId="0" fontId="70" fillId="0" borderId="499" xfId="11" applyFont="1" applyFill="1" applyBorder="1" applyAlignment="1" applyProtection="1">
      <alignment horizontal="center" vertical="center"/>
    </xf>
    <xf numFmtId="0" fontId="70" fillId="0" borderId="497" xfId="11" applyFont="1" applyFill="1" applyBorder="1" applyAlignment="1" applyProtection="1">
      <alignment horizontal="center" vertical="center"/>
    </xf>
    <xf numFmtId="0" fontId="70" fillId="0" borderId="500" xfId="11" applyFont="1" applyFill="1" applyBorder="1" applyAlignment="1" applyProtection="1">
      <alignment horizontal="centerContinuous" vertical="center"/>
    </xf>
    <xf numFmtId="0" fontId="70" fillId="0" borderId="501" xfId="11" applyFont="1" applyFill="1" applyBorder="1" applyAlignment="1" applyProtection="1">
      <alignment horizontal="centerContinuous" vertical="center"/>
    </xf>
    <xf numFmtId="0" fontId="70" fillId="0" borderId="502" xfId="11" quotePrefix="1" applyFont="1" applyFill="1" applyBorder="1" applyAlignment="1" applyProtection="1">
      <alignment horizontal="center" vertical="center"/>
    </xf>
    <xf numFmtId="0" fontId="70" fillId="0" borderId="463" xfId="11" applyFont="1" applyFill="1" applyBorder="1" applyAlignment="1" applyProtection="1">
      <alignment horizontal="centerContinuous" vertical="center"/>
    </xf>
    <xf numFmtId="41" fontId="70" fillId="0" borderId="463" xfId="2" quotePrefix="1" applyNumberFormat="1" applyFont="1" applyFill="1" applyBorder="1" applyAlignment="1" applyProtection="1">
      <alignment horizontal="left" vertical="center"/>
    </xf>
    <xf numFmtId="41" fontId="70" fillId="0" borderId="463" xfId="2" quotePrefix="1" applyNumberFormat="1" applyFont="1" applyFill="1" applyBorder="1" applyAlignment="1" applyProtection="1">
      <alignment horizontal="center" vertical="center"/>
    </xf>
    <xf numFmtId="41" fontId="70" fillId="0" borderId="464" xfId="2" quotePrefix="1" applyNumberFormat="1" applyFont="1" applyFill="1" applyBorder="1" applyAlignment="1" applyProtection="1">
      <alignment horizontal="center" vertical="center"/>
    </xf>
    <xf numFmtId="0" fontId="70" fillId="0" borderId="463" xfId="11" applyFont="1" applyFill="1" applyBorder="1" applyAlignment="1" applyProtection="1">
      <alignment horizontal="right" vertical="center"/>
    </xf>
    <xf numFmtId="0" fontId="70" fillId="0" borderId="465" xfId="11" applyFont="1" applyFill="1" applyBorder="1" applyAlignment="1" applyProtection="1">
      <alignment horizontal="center" vertical="center"/>
    </xf>
    <xf numFmtId="0" fontId="70" fillId="0" borderId="463" xfId="11" applyFont="1" applyFill="1" applyBorder="1" applyAlignment="1" applyProtection="1">
      <alignment horizontal="center" vertical="center"/>
    </xf>
    <xf numFmtId="0" fontId="70" fillId="0" borderId="466" xfId="11" applyFont="1" applyFill="1" applyBorder="1" applyAlignment="1" applyProtection="1">
      <alignment horizontal="centerContinuous" vertical="center"/>
    </xf>
    <xf numFmtId="0" fontId="70" fillId="0" borderId="503" xfId="11" applyFont="1" applyFill="1" applyBorder="1" applyAlignment="1" applyProtection="1">
      <alignment horizontal="centerContinuous" vertical="center"/>
    </xf>
    <xf numFmtId="0" fontId="68" fillId="0" borderId="502" xfId="11" applyFont="1" applyFill="1" applyBorder="1" applyAlignment="1" applyProtection="1">
      <alignment horizontal="center" vertical="center"/>
    </xf>
    <xf numFmtId="0" fontId="68" fillId="0" borderId="463" xfId="11" applyFont="1" applyFill="1" applyBorder="1" applyAlignment="1" applyProtection="1">
      <alignment vertical="center"/>
    </xf>
    <xf numFmtId="39" fontId="68" fillId="0" borderId="463" xfId="11" applyNumberFormat="1" applyFont="1" applyFill="1" applyBorder="1" applyAlignment="1" applyProtection="1">
      <alignment vertical="center"/>
    </xf>
    <xf numFmtId="39" fontId="68" fillId="0" borderId="464" xfId="11" applyNumberFormat="1" applyFont="1" applyFill="1" applyBorder="1" applyAlignment="1" applyProtection="1">
      <alignment vertical="center"/>
    </xf>
    <xf numFmtId="168" fontId="68" fillId="0" borderId="463" xfId="2" applyNumberFormat="1" applyFont="1" applyFill="1" applyBorder="1" applyAlignment="1" applyProtection="1">
      <alignment horizontal="right" vertical="center"/>
    </xf>
    <xf numFmtId="39" fontId="68" fillId="0" borderId="463" xfId="11" applyNumberFormat="1" applyFont="1" applyFill="1" applyBorder="1" applyAlignment="1" applyProtection="1">
      <alignment horizontal="center" vertical="center"/>
    </xf>
    <xf numFmtId="39" fontId="68" fillId="0" borderId="465" xfId="11" applyNumberFormat="1" applyFont="1" applyFill="1" applyBorder="1" applyAlignment="1" applyProtection="1">
      <alignment horizontal="center" vertical="center"/>
    </xf>
    <xf numFmtId="39" fontId="68" fillId="0" borderId="463" xfId="11" applyNumberFormat="1" applyFont="1" applyFill="1" applyBorder="1" applyAlignment="1" applyProtection="1">
      <alignment horizontal="right" vertical="center"/>
    </xf>
    <xf numFmtId="168" fontId="68" fillId="0" borderId="466" xfId="2" applyNumberFormat="1" applyFont="1" applyFill="1" applyBorder="1" applyAlignment="1" applyProtection="1">
      <alignment vertical="center"/>
    </xf>
    <xf numFmtId="168" fontId="68" fillId="0" borderId="503" xfId="2" applyNumberFormat="1" applyFont="1" applyFill="1" applyBorder="1" applyAlignment="1" applyProtection="1">
      <alignment vertical="center"/>
    </xf>
    <xf numFmtId="168" fontId="68" fillId="0" borderId="467" xfId="2" applyNumberFormat="1" applyFont="1" applyFill="1" applyBorder="1" applyAlignment="1" applyProtection="1">
      <alignment vertical="center"/>
    </xf>
    <xf numFmtId="0" fontId="70" fillId="0" borderId="0" xfId="11" applyFont="1" applyFill="1" applyBorder="1" applyAlignment="1" applyProtection="1">
      <alignment horizontal="center" vertical="center"/>
    </xf>
    <xf numFmtId="9" fontId="70" fillId="0" borderId="572" xfId="0" applyNumberFormat="1" applyFont="1" applyFill="1" applyBorder="1" applyAlignment="1">
      <alignment horizontal="center" vertical="center"/>
    </xf>
    <xf numFmtId="41" fontId="64" fillId="0" borderId="0" xfId="2" applyFont="1" applyAlignment="1">
      <alignment vertical="center"/>
    </xf>
    <xf numFmtId="0" fontId="66" fillId="0" borderId="0" xfId="11" applyFont="1" applyAlignment="1">
      <alignment horizontal="center" vertical="center"/>
    </xf>
    <xf numFmtId="41" fontId="70" fillId="0" borderId="0" xfId="2" applyFont="1" applyAlignment="1">
      <alignment horizontal="centerContinuous" vertical="center"/>
    </xf>
    <xf numFmtId="0" fontId="65" fillId="0" borderId="0" xfId="11" applyFont="1" applyAlignment="1">
      <alignment vertical="center"/>
    </xf>
    <xf numFmtId="41" fontId="65" fillId="0" borderId="0" xfId="2" applyFont="1" applyAlignment="1">
      <alignment vertical="center"/>
    </xf>
    <xf numFmtId="0" fontId="80" fillId="0" borderId="0" xfId="11" applyFont="1" applyAlignment="1">
      <alignment horizontal="center" vertical="center"/>
    </xf>
    <xf numFmtId="41" fontId="81" fillId="0" borderId="0" xfId="2" applyFont="1" applyAlignment="1">
      <alignment horizontal="center" vertical="center"/>
    </xf>
    <xf numFmtId="0" fontId="78" fillId="0" borderId="0" xfId="11" applyFont="1" applyAlignment="1">
      <alignment horizontal="center" vertical="center"/>
    </xf>
    <xf numFmtId="0" fontId="74" fillId="0" borderId="0" xfId="11" applyFont="1" applyAlignment="1">
      <alignment vertical="center"/>
    </xf>
    <xf numFmtId="0" fontId="74" fillId="0" borderId="0" xfId="11" applyFont="1" applyAlignment="1">
      <alignment horizontal="center" vertical="center"/>
    </xf>
    <xf numFmtId="0" fontId="74" fillId="0" borderId="0" xfId="11" applyFont="1" applyAlignment="1">
      <alignment vertical="top"/>
    </xf>
    <xf numFmtId="0" fontId="74" fillId="0" borderId="0" xfId="11" applyFont="1" applyAlignment="1">
      <alignment vertical="top" wrapText="1"/>
    </xf>
    <xf numFmtId="41" fontId="70" fillId="0" borderId="0" xfId="2" applyFont="1" applyAlignment="1">
      <alignment horizontal="center" vertical="center"/>
    </xf>
    <xf numFmtId="0" fontId="65" fillId="0" borderId="0" xfId="11" applyFont="1" applyAlignment="1">
      <alignment horizontal="center" vertical="center"/>
    </xf>
    <xf numFmtId="39" fontId="65" fillId="0" borderId="0" xfId="11" applyNumberFormat="1" applyFont="1" applyAlignment="1">
      <alignment vertical="center"/>
    </xf>
    <xf numFmtId="41" fontId="70" fillId="0" borderId="0" xfId="2" applyFont="1" applyAlignment="1">
      <alignment vertical="center"/>
    </xf>
    <xf numFmtId="43" fontId="65" fillId="0" borderId="0" xfId="27" applyFont="1" applyFill="1" applyAlignment="1">
      <alignment horizontal="center" vertical="center"/>
    </xf>
    <xf numFmtId="0" fontId="74" fillId="0" borderId="0" xfId="11" applyFont="1" applyAlignment="1">
      <alignment horizontal="left" vertical="center"/>
    </xf>
    <xf numFmtId="0" fontId="74" fillId="0" borderId="0" xfId="11" quotePrefix="1" applyFont="1" applyAlignment="1">
      <alignment horizontal="left" vertical="center"/>
    </xf>
    <xf numFmtId="0" fontId="82" fillId="0" borderId="341" xfId="11" applyFont="1" applyBorder="1" applyAlignment="1">
      <alignment horizontal="center" vertical="center"/>
    </xf>
    <xf numFmtId="0" fontId="82" fillId="0" borderId="343" xfId="11" applyFont="1" applyBorder="1" applyAlignment="1">
      <alignment vertical="center"/>
    </xf>
    <xf numFmtId="39" fontId="82" fillId="0" borderId="343" xfId="11" applyNumberFormat="1" applyFont="1" applyBorder="1" applyAlignment="1">
      <alignment vertical="center"/>
    </xf>
    <xf numFmtId="39" fontId="82" fillId="0" borderId="344" xfId="11" applyNumberFormat="1" applyFont="1" applyBorder="1" applyAlignment="1">
      <alignment vertical="center"/>
    </xf>
    <xf numFmtId="39" fontId="82" fillId="0" borderId="343" xfId="11" applyNumberFormat="1" applyFont="1" applyBorder="1" applyAlignment="1">
      <alignment horizontal="center" vertical="center"/>
    </xf>
    <xf numFmtId="39" fontId="82" fillId="0" borderId="344" xfId="11" applyNumberFormat="1" applyFont="1" applyBorder="1" applyAlignment="1">
      <alignment horizontal="center" vertical="center"/>
    </xf>
    <xf numFmtId="39" fontId="82" fillId="0" borderId="342" xfId="11" applyNumberFormat="1" applyFont="1" applyBorder="1" applyAlignment="1">
      <alignment vertical="center"/>
    </xf>
    <xf numFmtId="39" fontId="82" fillId="0" borderId="552" xfId="11" applyNumberFormat="1" applyFont="1" applyBorder="1" applyAlignment="1">
      <alignment horizontal="center" vertical="center"/>
    </xf>
    <xf numFmtId="39" fontId="82" fillId="0" borderId="229" xfId="11" applyNumberFormat="1" applyFont="1" applyBorder="1" applyAlignment="1">
      <alignment horizontal="center" vertical="center"/>
    </xf>
    <xf numFmtId="0" fontId="74" fillId="0" borderId="11" xfId="11" applyFont="1" applyBorder="1" applyAlignment="1">
      <alignment horizontal="center" vertical="center"/>
    </xf>
    <xf numFmtId="0" fontId="74" fillId="0" borderId="0" xfId="11" applyFont="1" applyAlignment="1">
      <alignment horizontal="centerContinuous" vertical="center"/>
    </xf>
    <xf numFmtId="0" fontId="74" fillId="0" borderId="12" xfId="11" applyFont="1" applyBorder="1" applyAlignment="1">
      <alignment horizontal="centerContinuous" vertical="center"/>
    </xf>
    <xf numFmtId="0" fontId="74" fillId="0" borderId="12" xfId="11" applyFont="1" applyBorder="1" applyAlignment="1">
      <alignment horizontal="center" vertical="center"/>
    </xf>
    <xf numFmtId="0" fontId="74" fillId="0" borderId="547" xfId="11" applyFont="1" applyBorder="1" applyAlignment="1">
      <alignment horizontal="center" vertical="center"/>
    </xf>
    <xf numFmtId="0" fontId="74" fillId="0" borderId="230" xfId="11" applyFont="1" applyBorder="1" applyAlignment="1">
      <alignment horizontal="center" vertical="center"/>
    </xf>
    <xf numFmtId="0" fontId="74" fillId="0" borderId="13" xfId="11" applyFont="1" applyBorder="1" applyAlignment="1">
      <alignment horizontal="center" vertical="center"/>
    </xf>
    <xf numFmtId="0" fontId="82" fillId="0" borderId="11" xfId="11" applyFont="1" applyBorder="1" applyAlignment="1">
      <alignment horizontal="center" vertical="center"/>
    </xf>
    <xf numFmtId="0" fontId="82" fillId="0" borderId="0" xfId="11" applyFont="1" applyAlignment="1">
      <alignment vertical="center"/>
    </xf>
    <xf numFmtId="0" fontId="82" fillId="0" borderId="12" xfId="11" applyFont="1" applyBorder="1" applyAlignment="1">
      <alignment vertical="center"/>
    </xf>
    <xf numFmtId="0" fontId="82" fillId="0" borderId="0" xfId="11" applyFont="1" applyAlignment="1">
      <alignment horizontal="center" vertical="center"/>
    </xf>
    <xf numFmtId="0" fontId="82" fillId="0" borderId="12" xfId="11" applyFont="1" applyBorder="1" applyAlignment="1">
      <alignment horizontal="center" vertical="center"/>
    </xf>
    <xf numFmtId="0" fontId="82" fillId="0" borderId="0" xfId="11" applyFont="1" applyAlignment="1">
      <alignment horizontal="centerContinuous" vertical="center"/>
    </xf>
    <xf numFmtId="0" fontId="82" fillId="0" borderId="12" xfId="11" applyFont="1" applyBorder="1" applyAlignment="1">
      <alignment horizontal="centerContinuous" vertical="center"/>
    </xf>
    <xf numFmtId="0" fontId="82" fillId="0" borderId="547" xfId="11" applyFont="1" applyBorder="1" applyAlignment="1">
      <alignment horizontal="center" vertical="center"/>
    </xf>
    <xf numFmtId="0" fontId="82" fillId="0" borderId="230" xfId="11" applyFont="1" applyBorder="1" applyAlignment="1">
      <alignment horizontal="center" vertical="center"/>
    </xf>
    <xf numFmtId="0" fontId="74" fillId="0" borderId="12" xfId="11" quotePrefix="1" applyFont="1" applyBorder="1" applyAlignment="1">
      <alignment horizontal="center" vertical="center"/>
    </xf>
    <xf numFmtId="0" fontId="82" fillId="0" borderId="13" xfId="11" applyFont="1" applyBorder="1" applyAlignment="1">
      <alignment horizontal="center" vertical="center"/>
    </xf>
    <xf numFmtId="0" fontId="74" fillId="0" borderId="453" xfId="11" quotePrefix="1" applyFont="1" applyBorder="1" applyAlignment="1">
      <alignment horizontal="center" vertical="center"/>
    </xf>
    <xf numFmtId="0" fontId="74" fillId="0" borderId="454" xfId="11" applyFont="1" applyBorder="1" applyAlignment="1">
      <alignment horizontal="centerContinuous" vertical="center"/>
    </xf>
    <xf numFmtId="0" fontId="74" fillId="0" borderId="454" xfId="11" applyFont="1" applyBorder="1" applyAlignment="1">
      <alignment horizontal="center" vertical="center"/>
    </xf>
    <xf numFmtId="41" fontId="74" fillId="0" borderId="454" xfId="2" quotePrefix="1" applyFont="1" applyFill="1" applyBorder="1" applyAlignment="1" applyProtection="1">
      <alignment horizontal="center" vertical="center"/>
    </xf>
    <xf numFmtId="0" fontId="74" fillId="0" borderId="455" xfId="11" applyFont="1" applyBorder="1" applyAlignment="1">
      <alignment horizontal="center" vertical="center"/>
    </xf>
    <xf numFmtId="0" fontId="74" fillId="0" borderId="454" xfId="11" applyFont="1" applyBorder="1" applyAlignment="1">
      <alignment horizontal="right" vertical="center"/>
    </xf>
    <xf numFmtId="0" fontId="74" fillId="0" borderId="456" xfId="11" applyFont="1" applyBorder="1" applyAlignment="1">
      <alignment horizontal="center" vertical="center"/>
    </xf>
    <xf numFmtId="0" fontId="74" fillId="0" borderId="456" xfId="11" applyFont="1" applyBorder="1" applyAlignment="1">
      <alignment horizontal="centerContinuous" vertical="center"/>
    </xf>
    <xf numFmtId="0" fontId="74" fillId="0" borderId="548" xfId="11" applyFont="1" applyBorder="1" applyAlignment="1">
      <alignment horizontal="center" vertical="center"/>
    </xf>
    <xf numFmtId="0" fontId="74" fillId="0" borderId="553" xfId="11" applyFont="1" applyBorder="1" applyAlignment="1">
      <alignment horizontal="center" vertical="center"/>
    </xf>
    <xf numFmtId="0" fontId="74" fillId="0" borderId="566" xfId="11" applyFont="1" applyBorder="1" applyAlignment="1">
      <alignment horizontal="center" vertical="center"/>
    </xf>
    <xf numFmtId="0" fontId="74" fillId="0" borderId="554" xfId="11" applyFont="1" applyBorder="1" applyAlignment="1">
      <alignment horizontal="center" vertical="center"/>
    </xf>
    <xf numFmtId="0" fontId="74" fillId="0" borderId="576" xfId="11" applyFont="1" applyBorder="1" applyAlignment="1">
      <alignment horizontal="center" vertical="center"/>
    </xf>
    <xf numFmtId="0" fontId="74" fillId="0" borderId="555" xfId="11" applyFont="1" applyBorder="1" applyAlignment="1">
      <alignment horizontal="center" vertical="center"/>
    </xf>
    <xf numFmtId="0" fontId="70" fillId="0" borderId="457" xfId="11" applyFont="1" applyBorder="1" applyAlignment="1">
      <alignment horizontal="center" vertical="center"/>
    </xf>
    <xf numFmtId="0" fontId="70" fillId="0" borderId="458" xfId="11" applyFont="1" applyBorder="1" applyAlignment="1">
      <alignment horizontal="centerContinuous" vertical="center"/>
    </xf>
    <xf numFmtId="0" fontId="70" fillId="0" borderId="459" xfId="11" applyFont="1" applyBorder="1" applyAlignment="1">
      <alignment horizontal="centerContinuous" vertical="center"/>
    </xf>
    <xf numFmtId="0" fontId="70" fillId="0" borderId="460" xfId="11" applyFont="1" applyBorder="1" applyAlignment="1">
      <alignment horizontal="centerContinuous" vertical="center"/>
    </xf>
    <xf numFmtId="0" fontId="70" fillId="0" borderId="459" xfId="11" applyFont="1" applyBorder="1" applyAlignment="1">
      <alignment horizontal="center" vertical="center"/>
    </xf>
    <xf numFmtId="0" fontId="70" fillId="0" borderId="461" xfId="11" applyFont="1" applyBorder="1" applyAlignment="1">
      <alignment horizontal="center" vertical="center"/>
    </xf>
    <xf numFmtId="0" fontId="70" fillId="0" borderId="556" xfId="11" applyFont="1" applyBorder="1" applyAlignment="1">
      <alignment horizontal="center" vertical="center"/>
    </xf>
    <xf numFmtId="0" fontId="70" fillId="0" borderId="460" xfId="11" applyFont="1" applyBorder="1" applyAlignment="1">
      <alignment horizontal="center" vertical="center"/>
    </xf>
    <xf numFmtId="0" fontId="70" fillId="0" borderId="458" xfId="11" applyFont="1" applyBorder="1" applyAlignment="1">
      <alignment horizontal="center" vertical="center"/>
    </xf>
    <xf numFmtId="0" fontId="70" fillId="0" borderId="557" xfId="11" applyFont="1" applyBorder="1" applyAlignment="1">
      <alignment horizontal="center" vertical="center"/>
    </xf>
    <xf numFmtId="41" fontId="83" fillId="0" borderId="0" xfId="2" applyFont="1" applyAlignment="1">
      <alignment vertical="center"/>
    </xf>
    <xf numFmtId="0" fontId="74" fillId="6" borderId="11" xfId="11" applyFont="1" applyFill="1" applyBorder="1" applyAlignment="1">
      <alignment horizontal="center" vertical="center"/>
    </xf>
    <xf numFmtId="0" fontId="84" fillId="6" borderId="0" xfId="11" applyFont="1" applyFill="1" applyAlignment="1">
      <alignment horizontal="centerContinuous" vertical="center"/>
    </xf>
    <xf numFmtId="0" fontId="74" fillId="6" borderId="0" xfId="11" applyFont="1" applyFill="1" applyAlignment="1">
      <alignment horizontal="left" vertical="center"/>
    </xf>
    <xf numFmtId="0" fontId="84" fillId="6" borderId="12" xfId="11" applyFont="1" applyFill="1" applyBorder="1" applyAlignment="1">
      <alignment horizontal="centerContinuous" vertical="center"/>
    </xf>
    <xf numFmtId="0" fontId="84" fillId="6" borderId="0" xfId="11" applyFont="1" applyFill="1" applyAlignment="1">
      <alignment horizontal="center" vertical="center"/>
    </xf>
    <xf numFmtId="0" fontId="84" fillId="6" borderId="336" xfId="11" applyFont="1" applyFill="1" applyBorder="1" applyAlignment="1">
      <alignment horizontal="center" vertical="center"/>
    </xf>
    <xf numFmtId="0" fontId="84" fillId="6" borderId="347" xfId="11" applyFont="1" applyFill="1" applyBorder="1" applyAlignment="1">
      <alignment horizontal="centerContinuous" vertical="center"/>
    </xf>
    <xf numFmtId="0" fontId="84" fillId="6" borderId="0" xfId="11" applyFont="1" applyFill="1" applyBorder="1" applyAlignment="1">
      <alignment horizontal="center" vertical="center"/>
    </xf>
    <xf numFmtId="0" fontId="84" fillId="6" borderId="230" xfId="11" applyFont="1" applyFill="1" applyBorder="1" applyAlignment="1">
      <alignment horizontal="center" vertical="center"/>
    </xf>
    <xf numFmtId="0" fontId="84" fillId="6" borderId="12" xfId="11" applyFont="1" applyFill="1" applyBorder="1" applyAlignment="1">
      <alignment horizontal="center" vertical="center"/>
    </xf>
    <xf numFmtId="0" fontId="84" fillId="6" borderId="558" xfId="11" applyFont="1" applyFill="1" applyBorder="1" applyAlignment="1">
      <alignment horizontal="center" vertical="center"/>
    </xf>
    <xf numFmtId="0" fontId="84" fillId="6" borderId="547" xfId="11" applyFont="1" applyFill="1" applyBorder="1" applyAlignment="1">
      <alignment horizontal="center" vertical="center"/>
    </xf>
    <xf numFmtId="0" fontId="84" fillId="6" borderId="559" xfId="11" applyFont="1" applyFill="1" applyBorder="1" applyAlignment="1">
      <alignment horizontal="center" vertical="center"/>
    </xf>
    <xf numFmtId="0" fontId="85" fillId="0" borderId="0" xfId="11" applyFont="1" applyAlignment="1">
      <alignment vertical="center"/>
    </xf>
    <xf numFmtId="168" fontId="85" fillId="0" borderId="0" xfId="2" applyNumberFormat="1" applyFont="1" applyFill="1" applyAlignment="1">
      <alignment vertical="center"/>
    </xf>
    <xf numFmtId="41" fontId="85" fillId="0" borderId="0" xfId="2" applyFont="1" applyFill="1" applyAlignment="1">
      <alignment vertical="center"/>
    </xf>
    <xf numFmtId="0" fontId="74" fillId="0" borderId="462" xfId="11" applyFont="1" applyBorder="1" applyAlignment="1">
      <alignment horizontal="center" vertical="center"/>
    </xf>
    <xf numFmtId="0" fontId="74" fillId="0" borderId="463" xfId="11" applyFont="1" applyBorder="1" applyAlignment="1">
      <alignment horizontal="centerContinuous" vertical="center"/>
    </xf>
    <xf numFmtId="0" fontId="74" fillId="0" borderId="463" xfId="11" applyFont="1" applyBorder="1" applyAlignment="1">
      <alignment vertical="center"/>
    </xf>
    <xf numFmtId="0" fontId="68" fillId="0" borderId="463" xfId="11" applyFont="1" applyBorder="1" applyAlignment="1">
      <alignment horizontal="centerContinuous" vertical="center"/>
    </xf>
    <xf numFmtId="0" fontId="68" fillId="0" borderId="464" xfId="11" applyFont="1" applyBorder="1" applyAlignment="1">
      <alignment horizontal="centerContinuous" vertical="center"/>
    </xf>
    <xf numFmtId="39" fontId="68" fillId="0" borderId="463" xfId="11" applyNumberFormat="1" applyFont="1" applyBorder="1" applyAlignment="1">
      <alignment horizontal="right" vertical="center"/>
    </xf>
    <xf numFmtId="0" fontId="68" fillId="0" borderId="463" xfId="11" applyFont="1" applyBorder="1" applyAlignment="1">
      <alignment horizontal="center" vertical="center"/>
    </xf>
    <xf numFmtId="0" fontId="68" fillId="0" borderId="465" xfId="11" applyFont="1" applyBorder="1" applyAlignment="1">
      <alignment horizontal="center" vertical="center"/>
    </xf>
    <xf numFmtId="0" fontId="68" fillId="0" borderId="463" xfId="11" applyFont="1" applyBorder="1" applyAlignment="1">
      <alignment vertical="center"/>
    </xf>
    <xf numFmtId="0" fontId="68" fillId="0" borderId="466" xfId="11" applyFont="1" applyBorder="1" applyAlignment="1">
      <alignment horizontal="centerContinuous" vertical="center"/>
    </xf>
    <xf numFmtId="39" fontId="68" fillId="0" borderId="464" xfId="11" applyNumberFormat="1" applyFont="1" applyBorder="1" applyAlignment="1">
      <alignment horizontal="center" vertical="center"/>
    </xf>
    <xf numFmtId="39" fontId="68" fillId="0" borderId="549" xfId="11" applyNumberFormat="1" applyFont="1" applyBorder="1" applyAlignment="1">
      <alignment vertical="center"/>
    </xf>
    <xf numFmtId="0" fontId="68" fillId="0" borderId="560" xfId="11" applyFont="1" applyBorder="1" applyAlignment="1">
      <alignment horizontal="center" vertical="center"/>
    </xf>
    <xf numFmtId="0" fontId="68" fillId="0" borderId="567" xfId="11" applyFont="1" applyBorder="1" applyAlignment="1">
      <alignment horizontal="center" vertical="center"/>
    </xf>
    <xf numFmtId="0" fontId="68" fillId="0" borderId="561" xfId="11" applyFont="1" applyBorder="1" applyAlignment="1">
      <alignment horizontal="center" vertical="center"/>
    </xf>
    <xf numFmtId="0" fontId="68" fillId="0" borderId="577" xfId="11" applyFont="1" applyBorder="1" applyAlignment="1">
      <alignment horizontal="center" vertical="center"/>
    </xf>
    <xf numFmtId="0" fontId="68" fillId="0" borderId="562" xfId="11" applyFont="1" applyBorder="1" applyAlignment="1">
      <alignment horizontal="center" vertical="center"/>
    </xf>
    <xf numFmtId="41" fontId="69" fillId="0" borderId="0" xfId="2" applyFont="1" applyAlignment="1">
      <alignment vertical="center"/>
    </xf>
    <xf numFmtId="0" fontId="68" fillId="0" borderId="462" xfId="11" applyFont="1" applyBorder="1" applyAlignment="1">
      <alignment horizontal="center" vertical="center"/>
    </xf>
    <xf numFmtId="39" fontId="68" fillId="0" borderId="463" xfId="11" applyNumberFormat="1" applyFont="1" applyBorder="1" applyAlignment="1">
      <alignment vertical="center"/>
    </xf>
    <xf numFmtId="39" fontId="68" fillId="0" borderId="465" xfId="11" applyNumberFormat="1" applyFont="1" applyBorder="1" applyAlignment="1">
      <alignment horizontal="center" vertical="center"/>
    </xf>
    <xf numFmtId="168" fontId="68" fillId="0" borderId="463" xfId="2" applyNumberFormat="1" applyFont="1" applyFill="1" applyBorder="1" applyAlignment="1" applyProtection="1">
      <alignment vertical="center"/>
    </xf>
    <xf numFmtId="168" fontId="68" fillId="0" borderId="464" xfId="2" applyNumberFormat="1" applyFont="1" applyFill="1" applyBorder="1" applyAlignment="1" applyProtection="1">
      <alignment vertical="center"/>
    </xf>
    <xf numFmtId="9" fontId="68" fillId="0" borderId="560" xfId="21" applyFont="1" applyFill="1" applyBorder="1" applyAlignment="1" applyProtection="1">
      <alignment vertical="center"/>
    </xf>
    <xf numFmtId="41" fontId="68" fillId="0" borderId="561" xfId="2" applyFont="1" applyFill="1" applyBorder="1" applyAlignment="1" applyProtection="1">
      <alignment vertical="center"/>
    </xf>
    <xf numFmtId="168" fontId="68" fillId="0" borderId="562" xfId="2" applyNumberFormat="1" applyFont="1" applyBorder="1" applyAlignment="1">
      <alignment horizontal="center" vertical="center"/>
    </xf>
    <xf numFmtId="168" fontId="68" fillId="0" borderId="0" xfId="2" applyNumberFormat="1" applyFont="1" applyAlignment="1">
      <alignment vertical="center"/>
    </xf>
    <xf numFmtId="0" fontId="68" fillId="0" borderId="0" xfId="11" applyFont="1" applyAlignment="1">
      <alignment vertical="center"/>
    </xf>
    <xf numFmtId="168" fontId="68" fillId="0" borderId="0" xfId="2" applyNumberFormat="1" applyFont="1" applyFill="1" applyAlignment="1">
      <alignment vertical="center"/>
    </xf>
    <xf numFmtId="41" fontId="68" fillId="0" borderId="0" xfId="2" applyFont="1" applyFill="1" applyAlignment="1">
      <alignment vertical="center"/>
    </xf>
    <xf numFmtId="43" fontId="68" fillId="0" borderId="0" xfId="11" applyNumberFormat="1" applyFont="1" applyAlignment="1">
      <alignment vertical="center"/>
    </xf>
    <xf numFmtId="39" fontId="68" fillId="0" borderId="464" xfId="11" applyNumberFormat="1" applyFont="1" applyBorder="1" applyAlignment="1">
      <alignment vertical="center"/>
    </xf>
    <xf numFmtId="0" fontId="68" fillId="0" borderId="468" xfId="11" applyFont="1" applyBorder="1" applyAlignment="1">
      <alignment horizontal="center" vertical="center"/>
    </xf>
    <xf numFmtId="0" fontId="68" fillId="0" borderId="469" xfId="11" applyFont="1" applyBorder="1" applyAlignment="1">
      <alignment vertical="center"/>
    </xf>
    <xf numFmtId="39" fontId="68" fillId="0" borderId="469" xfId="11" applyNumberFormat="1" applyFont="1" applyBorder="1" applyAlignment="1">
      <alignment vertical="center"/>
    </xf>
    <xf numFmtId="39" fontId="68" fillId="0" borderId="470" xfId="11" applyNumberFormat="1" applyFont="1" applyBorder="1" applyAlignment="1">
      <alignment vertical="center"/>
    </xf>
    <xf numFmtId="168" fontId="68" fillId="0" borderId="471" xfId="2" applyNumberFormat="1" applyFont="1" applyFill="1" applyBorder="1" applyAlignment="1" applyProtection="1">
      <alignment vertical="center"/>
    </xf>
    <xf numFmtId="39" fontId="68" fillId="0" borderId="550" xfId="11" applyNumberFormat="1" applyFont="1" applyBorder="1" applyAlignment="1">
      <alignment vertical="center"/>
    </xf>
    <xf numFmtId="0" fontId="68" fillId="0" borderId="472" xfId="11" applyFont="1" applyBorder="1" applyAlignment="1">
      <alignment horizontal="center" vertical="center"/>
    </xf>
    <xf numFmtId="0" fontId="68" fillId="0" borderId="473" xfId="11" applyFont="1" applyBorder="1" applyAlignment="1">
      <alignment vertical="center"/>
    </xf>
    <xf numFmtId="0" fontId="68" fillId="0" borderId="309" xfId="11" applyFont="1" applyBorder="1" applyAlignment="1">
      <alignment vertical="center"/>
    </xf>
    <xf numFmtId="39" fontId="68" fillId="0" borderId="310" xfId="11" applyNumberFormat="1" applyFont="1" applyBorder="1" applyAlignment="1">
      <alignment vertical="center"/>
    </xf>
    <xf numFmtId="0" fontId="68" fillId="0" borderId="309" xfId="11" applyFont="1" applyBorder="1" applyAlignment="1">
      <alignment horizontal="center" vertical="center"/>
    </xf>
    <xf numFmtId="0" fontId="68" fillId="0" borderId="311" xfId="11" applyFont="1" applyBorder="1" applyAlignment="1">
      <alignment horizontal="center" vertical="center"/>
    </xf>
    <xf numFmtId="168" fontId="68" fillId="0" borderId="309" xfId="2" applyNumberFormat="1" applyFont="1" applyFill="1" applyBorder="1" applyAlignment="1" applyProtection="1">
      <alignment vertical="center"/>
    </xf>
    <xf numFmtId="168" fontId="68" fillId="0" borderId="473" xfId="2" applyNumberFormat="1" applyFont="1" applyFill="1" applyBorder="1" applyAlignment="1" applyProtection="1">
      <alignment vertical="center"/>
    </xf>
    <xf numFmtId="168" fontId="74" fillId="0" borderId="310" xfId="2" applyNumberFormat="1" applyFont="1" applyFill="1" applyBorder="1" applyAlignment="1" applyProtection="1">
      <alignment horizontal="right" vertical="center"/>
    </xf>
    <xf numFmtId="168" fontId="74" fillId="0" borderId="551" xfId="2" applyNumberFormat="1" applyFont="1" applyFill="1" applyBorder="1" applyAlignment="1" applyProtection="1">
      <alignment vertical="center"/>
    </xf>
    <xf numFmtId="0" fontId="68" fillId="0" borderId="563" xfId="11" applyFont="1" applyBorder="1" applyAlignment="1">
      <alignment horizontal="center" vertical="center"/>
    </xf>
    <xf numFmtId="0" fontId="68" fillId="0" borderId="568" xfId="11" applyFont="1" applyBorder="1" applyAlignment="1">
      <alignment horizontal="center" vertical="center"/>
    </xf>
    <xf numFmtId="0" fontId="68" fillId="0" borderId="564" xfId="11" applyFont="1" applyBorder="1" applyAlignment="1">
      <alignment horizontal="center" vertical="center"/>
    </xf>
    <xf numFmtId="0" fontId="68" fillId="0" borderId="578" xfId="11" applyFont="1" applyBorder="1" applyAlignment="1">
      <alignment horizontal="center" vertical="center"/>
    </xf>
    <xf numFmtId="0" fontId="68" fillId="0" borderId="565" xfId="11" applyFont="1" applyBorder="1" applyAlignment="1">
      <alignment horizontal="center" vertical="center"/>
    </xf>
    <xf numFmtId="0" fontId="74" fillId="0" borderId="474" xfId="11" applyFont="1" applyBorder="1" applyAlignment="1">
      <alignment horizontal="center" vertical="center"/>
    </xf>
    <xf numFmtId="0" fontId="74" fillId="0" borderId="124" xfId="11" applyFont="1" applyBorder="1" applyAlignment="1">
      <alignment horizontal="centerContinuous" vertical="center"/>
    </xf>
    <xf numFmtId="0" fontId="74" fillId="0" borderId="124" xfId="11" applyFont="1" applyBorder="1" applyAlignment="1">
      <alignment vertical="center"/>
    </xf>
    <xf numFmtId="0" fontId="68" fillId="0" borderId="124" xfId="11" applyFont="1" applyBorder="1" applyAlignment="1">
      <alignment horizontal="centerContinuous" vertical="center"/>
    </xf>
    <xf numFmtId="0" fontId="68" fillId="0" borderId="125" xfId="11" applyFont="1" applyBorder="1" applyAlignment="1">
      <alignment horizontal="centerContinuous" vertical="center"/>
    </xf>
    <xf numFmtId="168" fontId="68" fillId="0" borderId="124" xfId="2" applyNumberFormat="1" applyFont="1" applyFill="1" applyBorder="1" applyAlignment="1" applyProtection="1">
      <alignment horizontal="right" vertical="center"/>
    </xf>
    <xf numFmtId="0" fontId="68" fillId="0" borderId="124" xfId="11" applyFont="1" applyBorder="1" applyAlignment="1">
      <alignment horizontal="center" vertical="center"/>
    </xf>
    <xf numFmtId="0" fontId="68" fillId="0" borderId="126" xfId="11" applyFont="1" applyBorder="1" applyAlignment="1">
      <alignment horizontal="center" vertical="center"/>
    </xf>
    <xf numFmtId="168" fontId="68" fillId="0" borderId="124" xfId="2" applyNumberFormat="1" applyFont="1" applyFill="1" applyBorder="1" applyAlignment="1" applyProtection="1">
      <alignment vertical="center"/>
    </xf>
    <xf numFmtId="168" fontId="68" fillId="0" borderId="127" xfId="2" applyNumberFormat="1" applyFont="1" applyFill="1" applyBorder="1" applyAlignment="1" applyProtection="1">
      <alignment horizontal="centerContinuous" vertical="center"/>
    </xf>
    <xf numFmtId="168" fontId="68" fillId="0" borderId="125" xfId="2" applyNumberFormat="1" applyFont="1" applyFill="1" applyBorder="1" applyAlignment="1" applyProtection="1">
      <alignment horizontal="center" vertical="center"/>
    </xf>
    <xf numFmtId="0" fontId="68" fillId="0" borderId="252" xfId="11" applyFont="1" applyBorder="1" applyAlignment="1">
      <alignment horizontal="center" vertical="center"/>
    </xf>
    <xf numFmtId="0" fontId="68" fillId="0" borderId="125" xfId="11" applyFont="1" applyBorder="1" applyAlignment="1">
      <alignment horizontal="center" vertical="center"/>
    </xf>
    <xf numFmtId="0" fontId="68" fillId="0" borderId="127" xfId="11" applyFont="1" applyBorder="1" applyAlignment="1">
      <alignment horizontal="center" vertical="center"/>
    </xf>
    <xf numFmtId="0" fontId="68" fillId="0" borderId="46" xfId="11" applyFont="1" applyBorder="1" applyAlignment="1">
      <alignment horizontal="center" vertical="center"/>
    </xf>
    <xf numFmtId="168" fontId="68" fillId="0" borderId="549" xfId="2" applyNumberFormat="1" applyFont="1" applyFill="1" applyBorder="1" applyAlignment="1" applyProtection="1">
      <alignment vertical="center"/>
    </xf>
    <xf numFmtId="43" fontId="65" fillId="0" borderId="0" xfId="11" applyNumberFormat="1" applyFont="1" applyAlignment="1">
      <alignment vertical="center"/>
    </xf>
    <xf numFmtId="168" fontId="68" fillId="0" borderId="466" xfId="2" applyNumberFormat="1" applyFont="1" applyFill="1" applyBorder="1" applyAlignment="1" applyProtection="1">
      <alignment horizontal="centerContinuous" vertical="center"/>
    </xf>
    <xf numFmtId="168" fontId="68" fillId="0" borderId="464" xfId="2" applyNumberFormat="1" applyFont="1" applyFill="1" applyBorder="1" applyAlignment="1" applyProtection="1">
      <alignment horizontal="center" vertical="center"/>
    </xf>
    <xf numFmtId="177" fontId="65" fillId="0" borderId="0" xfId="1" applyNumberFormat="1" applyFont="1" applyFill="1" applyAlignment="1">
      <alignment vertical="center"/>
    </xf>
    <xf numFmtId="0" fontId="65" fillId="0" borderId="124" xfId="11" applyFont="1" applyBorder="1" applyAlignment="1">
      <alignment horizontal="centerContinuous" vertical="center"/>
    </xf>
    <xf numFmtId="0" fontId="65" fillId="0" borderId="125" xfId="11" applyFont="1" applyBorder="1" applyAlignment="1">
      <alignment horizontal="centerContinuous" vertical="center"/>
    </xf>
    <xf numFmtId="0" fontId="65" fillId="0" borderId="124" xfId="11" applyFont="1" applyBorder="1" applyAlignment="1">
      <alignment horizontal="center" vertical="center"/>
    </xf>
    <xf numFmtId="0" fontId="65" fillId="0" borderId="126" xfId="11" applyFont="1" applyBorder="1" applyAlignment="1">
      <alignment horizontal="center" vertical="center"/>
    </xf>
    <xf numFmtId="168" fontId="65" fillId="0" borderId="124" xfId="2" applyNumberFormat="1" applyFont="1" applyFill="1" applyBorder="1" applyAlignment="1" applyProtection="1">
      <alignment vertical="center"/>
    </xf>
    <xf numFmtId="168" fontId="65" fillId="0" borderId="127" xfId="2" applyNumberFormat="1" applyFont="1" applyFill="1" applyBorder="1" applyAlignment="1" applyProtection="1">
      <alignment horizontal="centerContinuous" vertical="center"/>
    </xf>
    <xf numFmtId="168" fontId="65" fillId="0" borderId="125" xfId="2" applyNumberFormat="1" applyFont="1" applyFill="1" applyBorder="1" applyAlignment="1" applyProtection="1">
      <alignment horizontal="center" vertical="center"/>
    </xf>
    <xf numFmtId="0" fontId="65" fillId="0" borderId="252" xfId="11" applyFont="1" applyBorder="1" applyAlignment="1">
      <alignment horizontal="center" vertical="center"/>
    </xf>
    <xf numFmtId="0" fontId="65" fillId="0" borderId="125" xfId="11" applyFont="1" applyBorder="1" applyAlignment="1">
      <alignment horizontal="center" vertical="center"/>
    </xf>
    <xf numFmtId="0" fontId="65" fillId="0" borderId="127" xfId="11" applyFont="1" applyBorder="1" applyAlignment="1">
      <alignment horizontal="center" vertical="center"/>
    </xf>
    <xf numFmtId="0" fontId="65" fillId="0" borderId="46" xfId="11" applyFont="1" applyBorder="1" applyAlignment="1">
      <alignment horizontal="center" vertical="center"/>
    </xf>
    <xf numFmtId="0" fontId="70" fillId="0" borderId="463" xfId="11" applyFont="1" applyBorder="1" applyAlignment="1">
      <alignment vertical="center"/>
    </xf>
    <xf numFmtId="0" fontId="65" fillId="0" borderId="463" xfId="11" applyFont="1" applyBorder="1" applyAlignment="1">
      <alignment horizontal="centerContinuous" vertical="center"/>
    </xf>
    <xf numFmtId="0" fontId="65" fillId="0" borderId="464" xfId="11" applyFont="1" applyBorder="1" applyAlignment="1">
      <alignment horizontal="centerContinuous" vertical="center"/>
    </xf>
    <xf numFmtId="0" fontId="65" fillId="0" borderId="463" xfId="11" applyFont="1" applyBorder="1" applyAlignment="1">
      <alignment horizontal="center" vertical="center"/>
    </xf>
    <xf numFmtId="0" fontId="65" fillId="0" borderId="465" xfId="11" applyFont="1" applyBorder="1" applyAlignment="1">
      <alignment horizontal="center" vertical="center"/>
    </xf>
    <xf numFmtId="168" fontId="65" fillId="0" borderId="463" xfId="2" applyNumberFormat="1" applyFont="1" applyFill="1" applyBorder="1" applyAlignment="1" applyProtection="1">
      <alignment vertical="center"/>
    </xf>
    <xf numFmtId="168" fontId="65" fillId="0" borderId="466" xfId="2" applyNumberFormat="1" applyFont="1" applyFill="1" applyBorder="1" applyAlignment="1" applyProtection="1">
      <alignment horizontal="centerContinuous" vertical="center"/>
    </xf>
    <xf numFmtId="168" fontId="65" fillId="0" borderId="464" xfId="2" applyNumberFormat="1" applyFont="1" applyFill="1" applyBorder="1" applyAlignment="1" applyProtection="1">
      <alignment horizontal="center" vertical="center"/>
    </xf>
    <xf numFmtId="168" fontId="65" fillId="0" borderId="549" xfId="2" applyNumberFormat="1" applyFont="1" applyFill="1" applyBorder="1" applyAlignment="1" applyProtection="1">
      <alignment vertical="center"/>
    </xf>
    <xf numFmtId="0" fontId="65" fillId="0" borderId="560" xfId="11" applyFont="1" applyBorder="1" applyAlignment="1">
      <alignment horizontal="center" vertical="center"/>
    </xf>
    <xf numFmtId="0" fontId="65" fillId="0" borderId="567" xfId="11" applyFont="1" applyBorder="1" applyAlignment="1">
      <alignment horizontal="center" vertical="center"/>
    </xf>
    <xf numFmtId="0" fontId="65" fillId="0" borderId="561" xfId="11" applyFont="1" applyBorder="1" applyAlignment="1">
      <alignment horizontal="center" vertical="center"/>
    </xf>
    <xf numFmtId="0" fontId="65" fillId="0" borderId="577" xfId="11" applyFont="1" applyBorder="1" applyAlignment="1">
      <alignment horizontal="center" vertical="center"/>
    </xf>
    <xf numFmtId="0" fontId="65" fillId="0" borderId="562" xfId="11" applyFont="1" applyBorder="1" applyAlignment="1">
      <alignment horizontal="center" vertical="center"/>
    </xf>
    <xf numFmtId="39" fontId="68" fillId="0" borderId="463" xfId="11" applyNumberFormat="1" applyFont="1" applyBorder="1" applyAlignment="1">
      <alignment horizontal="center" vertical="center"/>
    </xf>
    <xf numFmtId="39" fontId="68" fillId="0" borderId="560" xfId="11" applyNumberFormat="1" applyFont="1" applyBorder="1" applyAlignment="1">
      <alignment horizontal="center" vertical="center"/>
    </xf>
    <xf numFmtId="39" fontId="68" fillId="0" borderId="567" xfId="11" applyNumberFormat="1" applyFont="1" applyBorder="1" applyAlignment="1">
      <alignment horizontal="center" vertical="center"/>
    </xf>
    <xf numFmtId="39" fontId="68" fillId="0" borderId="561" xfId="11" applyNumberFormat="1" applyFont="1" applyBorder="1" applyAlignment="1">
      <alignment horizontal="center" vertical="center"/>
    </xf>
    <xf numFmtId="39" fontId="68" fillId="0" borderId="577" xfId="11" applyNumberFormat="1" applyFont="1" applyBorder="1" applyAlignment="1">
      <alignment horizontal="center" vertical="center"/>
    </xf>
    <xf numFmtId="39" fontId="68" fillId="0" borderId="562" xfId="11" applyNumberFormat="1" applyFont="1" applyBorder="1" applyAlignment="1">
      <alignment horizontal="center" vertical="center"/>
    </xf>
    <xf numFmtId="0" fontId="70" fillId="0" borderId="462" xfId="11" applyFont="1" applyBorder="1" applyAlignment="1">
      <alignment horizontal="center" vertical="center"/>
    </xf>
    <xf numFmtId="0" fontId="70" fillId="0" borderId="463" xfId="11" applyFont="1" applyBorder="1" applyAlignment="1">
      <alignment horizontal="centerContinuous" vertical="center"/>
    </xf>
    <xf numFmtId="168" fontId="68" fillId="0" borderId="466" xfId="2" applyNumberFormat="1" applyFont="1" applyFill="1" applyBorder="1" applyAlignment="1" applyProtection="1">
      <alignment horizontal="right" vertical="center"/>
    </xf>
    <xf numFmtId="39" fontId="68" fillId="0" borderId="124" xfId="11" applyNumberFormat="1" applyFont="1" applyBorder="1" applyAlignment="1">
      <alignment vertical="center"/>
    </xf>
    <xf numFmtId="0" fontId="68" fillId="0" borderId="474" xfId="11" applyFont="1" applyBorder="1" applyAlignment="1">
      <alignment horizontal="center" vertical="center"/>
    </xf>
    <xf numFmtId="0" fontId="68" fillId="0" borderId="124" xfId="11" applyFont="1" applyBorder="1" applyAlignment="1">
      <alignment vertical="center"/>
    </xf>
    <xf numFmtId="39" fontId="68" fillId="0" borderId="125" xfId="11" applyNumberFormat="1" applyFont="1" applyBorder="1" applyAlignment="1">
      <alignment vertical="center"/>
    </xf>
    <xf numFmtId="168" fontId="68" fillId="0" borderId="127" xfId="2" applyNumberFormat="1" applyFont="1" applyFill="1" applyBorder="1" applyAlignment="1" applyProtection="1">
      <alignment vertical="center"/>
    </xf>
    <xf numFmtId="168" fontId="74" fillId="0" borderId="125" xfId="2" applyNumberFormat="1" applyFont="1" applyFill="1" applyBorder="1" applyAlignment="1" applyProtection="1">
      <alignment horizontal="right" vertical="center"/>
    </xf>
    <xf numFmtId="168" fontId="74" fillId="0" borderId="124" xfId="2" applyNumberFormat="1" applyFont="1" applyFill="1" applyBorder="1" applyAlignment="1" applyProtection="1">
      <alignment vertical="center"/>
    </xf>
    <xf numFmtId="0" fontId="65" fillId="0" borderId="462" xfId="11" applyFont="1" applyBorder="1" applyAlignment="1">
      <alignment horizontal="center" vertical="center"/>
    </xf>
    <xf numFmtId="0" fontId="65" fillId="0" borderId="474" xfId="11" applyFont="1" applyBorder="1" applyAlignment="1">
      <alignment horizontal="center" vertical="center"/>
    </xf>
    <xf numFmtId="168" fontId="65" fillId="0" borderId="466" xfId="2" applyNumberFormat="1" applyFont="1" applyFill="1" applyBorder="1" applyAlignment="1" applyProtection="1">
      <alignment vertical="center"/>
    </xf>
    <xf numFmtId="41" fontId="68" fillId="0" borderId="0" xfId="2" applyFont="1" applyAlignment="1">
      <alignment vertical="center"/>
    </xf>
    <xf numFmtId="168" fontId="65" fillId="0" borderId="0" xfId="11" applyNumberFormat="1" applyFont="1" applyAlignment="1">
      <alignment vertical="center"/>
    </xf>
    <xf numFmtId="43" fontId="65" fillId="0" borderId="0" xfId="1" applyFont="1" applyFill="1" applyAlignment="1">
      <alignment vertical="center"/>
    </xf>
    <xf numFmtId="41" fontId="64" fillId="0" borderId="0" xfId="2" applyFont="1" applyFill="1" applyAlignment="1">
      <alignment vertical="center"/>
    </xf>
    <xf numFmtId="0" fontId="68" fillId="0" borderId="462" xfId="11" applyFont="1" applyFill="1" applyBorder="1" applyAlignment="1">
      <alignment horizontal="center" vertical="center"/>
    </xf>
    <xf numFmtId="0" fontId="68" fillId="0" borderId="463" xfId="11" applyFont="1" applyFill="1" applyBorder="1" applyAlignment="1">
      <alignment vertical="center"/>
    </xf>
    <xf numFmtId="39" fontId="68" fillId="0" borderId="463" xfId="11" applyNumberFormat="1" applyFont="1" applyFill="1" applyBorder="1" applyAlignment="1">
      <alignment vertical="center"/>
    </xf>
    <xf numFmtId="39" fontId="68" fillId="0" borderId="464" xfId="11" applyNumberFormat="1" applyFont="1" applyFill="1" applyBorder="1" applyAlignment="1">
      <alignment vertical="center"/>
    </xf>
    <xf numFmtId="41" fontId="70" fillId="0" borderId="0" xfId="2" applyFont="1" applyFill="1" applyAlignment="1">
      <alignment vertical="center"/>
    </xf>
    <xf numFmtId="168" fontId="68" fillId="0" borderId="469" xfId="2" applyNumberFormat="1" applyFont="1" applyFill="1" applyBorder="1" applyAlignment="1" applyProtection="1">
      <alignment horizontal="right" vertical="center"/>
    </xf>
    <xf numFmtId="168" fontId="68" fillId="0" borderId="550" xfId="2" applyNumberFormat="1" applyFont="1" applyFill="1" applyBorder="1" applyAlignment="1" applyProtection="1">
      <alignment vertical="center"/>
    </xf>
    <xf numFmtId="39" fontId="68" fillId="0" borderId="0" xfId="11" applyNumberFormat="1" applyFont="1" applyAlignment="1">
      <alignment vertical="center"/>
    </xf>
    <xf numFmtId="0" fontId="74" fillId="0" borderId="462" xfId="30" applyFont="1" applyBorder="1" applyAlignment="1">
      <alignment horizontal="center" vertical="center"/>
    </xf>
    <xf numFmtId="0" fontId="74" fillId="0" borderId="124" xfId="30" applyFont="1" applyBorder="1" applyAlignment="1">
      <alignment horizontal="centerContinuous" vertical="center"/>
    </xf>
    <xf numFmtId="0" fontId="74" fillId="0" borderId="124" xfId="30" applyFont="1" applyBorder="1" applyAlignment="1">
      <alignment vertical="center"/>
    </xf>
    <xf numFmtId="0" fontId="68" fillId="0" borderId="124" xfId="30" applyFont="1" applyBorder="1" applyAlignment="1">
      <alignment horizontal="centerContinuous" vertical="center"/>
    </xf>
    <xf numFmtId="0" fontId="68" fillId="0" borderId="125" xfId="30" applyFont="1" applyBorder="1" applyAlignment="1">
      <alignment horizontal="centerContinuous" vertical="center"/>
    </xf>
    <xf numFmtId="168" fontId="68" fillId="0" borderId="463" xfId="31" applyNumberFormat="1" applyFont="1" applyFill="1" applyBorder="1" applyAlignment="1" applyProtection="1">
      <alignment horizontal="right" vertical="center"/>
    </xf>
    <xf numFmtId="0" fontId="68" fillId="0" borderId="124" xfId="30" applyFont="1" applyBorder="1" applyAlignment="1">
      <alignment horizontal="center" vertical="center"/>
    </xf>
    <xf numFmtId="0" fontId="68" fillId="0" borderId="126" xfId="30" applyFont="1" applyBorder="1" applyAlignment="1">
      <alignment horizontal="center" vertical="center"/>
    </xf>
    <xf numFmtId="168" fontId="68" fillId="0" borderId="124" xfId="31" applyNumberFormat="1" applyFont="1" applyFill="1" applyBorder="1" applyAlignment="1" applyProtection="1">
      <alignment vertical="center"/>
    </xf>
    <xf numFmtId="168" fontId="68" fillId="0" borderId="127" xfId="31" applyNumberFormat="1" applyFont="1" applyFill="1" applyBorder="1" applyAlignment="1" applyProtection="1">
      <alignment horizontal="centerContinuous" vertical="center"/>
    </xf>
    <xf numFmtId="168" fontId="68" fillId="0" borderId="125" xfId="31" applyNumberFormat="1" applyFont="1" applyFill="1" applyBorder="1" applyAlignment="1" applyProtection="1">
      <alignment horizontal="center" vertical="center"/>
    </xf>
    <xf numFmtId="0" fontId="68" fillId="0" borderId="252" xfId="30" applyFont="1" applyBorder="1" applyAlignment="1">
      <alignment horizontal="center" vertical="center"/>
    </xf>
    <xf numFmtId="0" fontId="68" fillId="0" borderId="125" xfId="30" applyFont="1" applyBorder="1" applyAlignment="1">
      <alignment horizontal="center" vertical="center"/>
    </xf>
    <xf numFmtId="0" fontId="68" fillId="0" borderId="127" xfId="30" applyFont="1" applyBorder="1" applyAlignment="1">
      <alignment horizontal="center" vertical="center"/>
    </xf>
    <xf numFmtId="0" fontId="68" fillId="0" borderId="46" xfId="30" applyFont="1" applyBorder="1" applyAlignment="1">
      <alignment horizontal="center" vertical="center"/>
    </xf>
    <xf numFmtId="0" fontId="65" fillId="0" borderId="0" xfId="30" applyFont="1" applyAlignment="1">
      <alignment vertical="center"/>
    </xf>
    <xf numFmtId="168" fontId="65" fillId="0" borderId="0" xfId="31" applyNumberFormat="1" applyFont="1" applyFill="1" applyAlignment="1">
      <alignment vertical="center"/>
    </xf>
    <xf numFmtId="0" fontId="68" fillId="0" borderId="462" xfId="30" applyFont="1" applyBorder="1" applyAlignment="1">
      <alignment horizontal="center" vertical="center"/>
    </xf>
    <xf numFmtId="0" fontId="68" fillId="0" borderId="463" xfId="30" applyFont="1" applyBorder="1" applyAlignment="1">
      <alignment vertical="center"/>
    </xf>
    <xf numFmtId="168" fontId="68" fillId="0" borderId="549" xfId="31" applyNumberFormat="1" applyFont="1" applyFill="1" applyBorder="1" applyAlignment="1" applyProtection="1">
      <alignment vertical="center"/>
    </xf>
    <xf numFmtId="168" fontId="76" fillId="0" borderId="0" xfId="31" applyNumberFormat="1" applyFont="1" applyFill="1" applyAlignment="1">
      <alignment vertical="center"/>
    </xf>
    <xf numFmtId="0" fontId="74" fillId="0" borderId="462" xfId="11" applyFont="1" applyBorder="1" applyAlignment="1">
      <alignment horizontal="right" vertical="center"/>
    </xf>
    <xf numFmtId="0" fontId="74" fillId="0" borderId="462" xfId="11" applyFont="1" applyFill="1" applyBorder="1" applyAlignment="1">
      <alignment horizontal="right" vertical="center"/>
    </xf>
    <xf numFmtId="0" fontId="74" fillId="0" borderId="124" xfId="11" applyFont="1" applyFill="1" applyBorder="1" applyAlignment="1">
      <alignment horizontal="centerContinuous" vertical="center"/>
    </xf>
    <xf numFmtId="0" fontId="74" fillId="0" borderId="124" xfId="11" applyFont="1" applyFill="1" applyBorder="1" applyAlignment="1">
      <alignment vertical="center"/>
    </xf>
    <xf numFmtId="0" fontId="68" fillId="0" borderId="124" xfId="11" applyFont="1" applyFill="1" applyBorder="1" applyAlignment="1">
      <alignment horizontal="centerContinuous" vertical="center"/>
    </xf>
    <xf numFmtId="0" fontId="68" fillId="0" borderId="125" xfId="11" applyFont="1" applyFill="1" applyBorder="1" applyAlignment="1">
      <alignment horizontal="centerContinuous" vertical="center"/>
    </xf>
    <xf numFmtId="0" fontId="68" fillId="0" borderId="124" xfId="11" applyFont="1" applyFill="1" applyBorder="1" applyAlignment="1">
      <alignment horizontal="center" vertical="center"/>
    </xf>
    <xf numFmtId="0" fontId="68" fillId="0" borderId="126" xfId="11" applyFont="1" applyFill="1" applyBorder="1" applyAlignment="1">
      <alignment horizontal="center" vertical="center"/>
    </xf>
    <xf numFmtId="0" fontId="68" fillId="0" borderId="252" xfId="11" applyFont="1" applyFill="1" applyBorder="1" applyAlignment="1">
      <alignment horizontal="center" vertical="center"/>
    </xf>
    <xf numFmtId="0" fontId="68" fillId="0" borderId="125" xfId="11" applyFont="1" applyFill="1" applyBorder="1" applyAlignment="1">
      <alignment horizontal="center" vertical="center"/>
    </xf>
    <xf numFmtId="0" fontId="68" fillId="0" borderId="127" xfId="11" applyFont="1" applyFill="1" applyBorder="1" applyAlignment="1">
      <alignment horizontal="center" vertical="center"/>
    </xf>
    <xf numFmtId="0" fontId="68" fillId="0" borderId="46" xfId="11" applyFont="1" applyFill="1" applyBorder="1" applyAlignment="1">
      <alignment horizontal="center" vertical="center"/>
    </xf>
    <xf numFmtId="39" fontId="68" fillId="0" borderId="124" xfId="11" applyNumberFormat="1" applyFont="1" applyBorder="1" applyAlignment="1">
      <alignment horizontal="center" vertical="center"/>
    </xf>
    <xf numFmtId="39" fontId="68" fillId="0" borderId="126" xfId="11" applyNumberFormat="1" applyFont="1" applyBorder="1" applyAlignment="1">
      <alignment horizontal="center" vertical="center"/>
    </xf>
    <xf numFmtId="168" fontId="68" fillId="0" borderId="125" xfId="2" applyNumberFormat="1" applyFont="1" applyFill="1" applyBorder="1" applyAlignment="1" applyProtection="1">
      <alignment vertical="center"/>
    </xf>
    <xf numFmtId="39" fontId="68" fillId="0" borderId="252" xfId="11" applyNumberFormat="1" applyFont="1" applyBorder="1" applyAlignment="1">
      <alignment horizontal="center" vertical="center"/>
    </xf>
    <xf numFmtId="39" fontId="68" fillId="0" borderId="125" xfId="11" applyNumberFormat="1" applyFont="1" applyBorder="1" applyAlignment="1">
      <alignment horizontal="center" vertical="center"/>
    </xf>
    <xf numFmtId="39" fontId="68" fillId="0" borderId="127" xfId="11" applyNumberFormat="1" applyFont="1" applyBorder="1" applyAlignment="1">
      <alignment horizontal="center" vertical="center"/>
    </xf>
    <xf numFmtId="39" fontId="68" fillId="0" borderId="46" xfId="11" applyNumberFormat="1" applyFont="1" applyBorder="1" applyAlignment="1">
      <alignment horizontal="center" vertical="center"/>
    </xf>
    <xf numFmtId="168" fontId="68" fillId="0" borderId="475" xfId="2" applyNumberFormat="1" applyFont="1" applyFill="1" applyBorder="1" applyAlignment="1" applyProtection="1">
      <alignment horizontal="right" vertical="center"/>
    </xf>
    <xf numFmtId="168" fontId="70" fillId="0" borderId="310" xfId="2" applyNumberFormat="1" applyFont="1" applyFill="1" applyBorder="1" applyAlignment="1" applyProtection="1">
      <alignment horizontal="right" vertical="center"/>
    </xf>
    <xf numFmtId="168" fontId="70" fillId="0" borderId="551" xfId="2" applyNumberFormat="1" applyFont="1" applyFill="1" applyBorder="1" applyAlignment="1" applyProtection="1">
      <alignment vertical="center"/>
    </xf>
    <xf numFmtId="168" fontId="65" fillId="0" borderId="0" xfId="2" applyNumberFormat="1" applyFont="1" applyAlignment="1">
      <alignment vertical="center"/>
    </xf>
    <xf numFmtId="0" fontId="68" fillId="0" borderId="476" xfId="30" applyFont="1" applyFill="1" applyBorder="1" applyAlignment="1">
      <alignment horizontal="center" vertical="center"/>
    </xf>
    <xf numFmtId="0" fontId="68" fillId="0" borderId="477" xfId="30" applyFont="1" applyFill="1" applyBorder="1" applyAlignment="1">
      <alignment vertical="center"/>
    </xf>
    <xf numFmtId="39" fontId="68" fillId="0" borderId="478" xfId="30" applyNumberFormat="1" applyFont="1" applyFill="1" applyBorder="1" applyAlignment="1">
      <alignment vertical="center"/>
    </xf>
    <xf numFmtId="168" fontId="68" fillId="0" borderId="477" xfId="31" applyNumberFormat="1" applyFont="1" applyFill="1" applyBorder="1" applyAlignment="1" applyProtection="1">
      <alignment horizontal="right" vertical="center"/>
    </xf>
    <xf numFmtId="39" fontId="68" fillId="0" borderId="479" xfId="30" applyNumberFormat="1" applyFont="1" applyFill="1" applyBorder="1" applyAlignment="1">
      <alignment horizontal="center" vertical="center"/>
    </xf>
    <xf numFmtId="168" fontId="70" fillId="0" borderId="478" xfId="31" applyNumberFormat="1" applyFont="1" applyFill="1" applyBorder="1" applyAlignment="1" applyProtection="1">
      <alignment vertical="center"/>
    </xf>
    <xf numFmtId="168" fontId="74" fillId="0" borderId="563" xfId="31" applyNumberFormat="1" applyFont="1" applyFill="1" applyBorder="1" applyAlignment="1" applyProtection="1">
      <alignment vertical="center"/>
    </xf>
    <xf numFmtId="168" fontId="74" fillId="0" borderId="564" xfId="31" applyNumberFormat="1" applyFont="1" applyFill="1" applyBorder="1" applyAlignment="1" applyProtection="1">
      <alignment vertical="center"/>
    </xf>
    <xf numFmtId="168" fontId="74" fillId="0" borderId="578" xfId="31" applyNumberFormat="1" applyFont="1" applyFill="1" applyBorder="1" applyAlignment="1" applyProtection="1">
      <alignment vertical="center"/>
    </xf>
    <xf numFmtId="168" fontId="74" fillId="0" borderId="565" xfId="31" applyNumberFormat="1" applyFont="1" applyFill="1" applyBorder="1" applyAlignment="1" applyProtection="1">
      <alignment vertical="center"/>
    </xf>
    <xf numFmtId="168" fontId="72" fillId="0" borderId="0" xfId="31" applyNumberFormat="1" applyFont="1" applyFill="1" applyAlignment="1">
      <alignment vertical="center"/>
    </xf>
    <xf numFmtId="0" fontId="84" fillId="6" borderId="11" xfId="11" applyFont="1" applyFill="1" applyBorder="1" applyAlignment="1">
      <alignment horizontal="center" vertical="center"/>
    </xf>
    <xf numFmtId="0" fontId="84" fillId="6" borderId="0" xfId="11" applyFont="1" applyFill="1" applyAlignment="1">
      <alignment horizontal="left" vertical="center"/>
    </xf>
    <xf numFmtId="0" fontId="84" fillId="6" borderId="563" xfId="11" applyFont="1" applyFill="1" applyBorder="1" applyAlignment="1">
      <alignment horizontal="center" vertical="center"/>
    </xf>
    <xf numFmtId="0" fontId="84" fillId="6" borderId="564" xfId="11" applyFont="1" applyFill="1" applyBorder="1" applyAlignment="1">
      <alignment horizontal="center" vertical="center"/>
    </xf>
    <xf numFmtId="0" fontId="84" fillId="6" borderId="578" xfId="11" applyFont="1" applyFill="1" applyBorder="1" applyAlignment="1">
      <alignment horizontal="center" vertical="center"/>
    </xf>
    <xf numFmtId="0" fontId="84" fillId="6" borderId="565" xfId="11" applyFont="1" applyFill="1" applyBorder="1" applyAlignment="1">
      <alignment horizontal="center" vertical="center"/>
    </xf>
    <xf numFmtId="0" fontId="70" fillId="0" borderId="482" xfId="30" applyFont="1" applyFill="1" applyBorder="1" applyAlignment="1">
      <alignment horizontal="center" vertical="center"/>
    </xf>
    <xf numFmtId="0" fontId="70" fillId="0" borderId="483" xfId="30" applyFont="1" applyFill="1" applyBorder="1" applyAlignment="1">
      <alignment vertical="center"/>
    </xf>
    <xf numFmtId="39" fontId="70" fillId="0" borderId="484" xfId="30" applyNumberFormat="1" applyFont="1" applyFill="1" applyBorder="1" applyAlignment="1">
      <alignment vertical="center"/>
    </xf>
    <xf numFmtId="39" fontId="68" fillId="0" borderId="484" xfId="30" applyNumberFormat="1" applyFont="1" applyFill="1" applyBorder="1" applyAlignment="1">
      <alignment vertical="center"/>
    </xf>
    <xf numFmtId="168" fontId="68" fillId="0" borderId="483" xfId="31" applyNumberFormat="1" applyFont="1" applyFill="1" applyBorder="1" applyAlignment="1" applyProtection="1">
      <alignment horizontal="right" vertical="center"/>
    </xf>
    <xf numFmtId="39" fontId="68" fillId="0" borderId="485" xfId="30" applyNumberFormat="1" applyFont="1" applyFill="1" applyBorder="1" applyAlignment="1">
      <alignment horizontal="center" vertical="center"/>
    </xf>
    <xf numFmtId="168" fontId="74" fillId="0" borderId="484" xfId="31" quotePrefix="1" applyNumberFormat="1" applyFont="1" applyFill="1" applyBorder="1" applyAlignment="1" applyProtection="1">
      <alignment horizontal="right" vertical="center"/>
    </xf>
    <xf numFmtId="168" fontId="74" fillId="0" borderId="486" xfId="31" quotePrefix="1" applyNumberFormat="1" applyFont="1" applyFill="1" applyBorder="1" applyAlignment="1" applyProtection="1">
      <alignment horizontal="right" vertical="center"/>
    </xf>
    <xf numFmtId="168" fontId="74" fillId="0" borderId="483" xfId="31" quotePrefix="1" applyNumberFormat="1" applyFont="1" applyFill="1" applyBorder="1" applyAlignment="1" applyProtection="1">
      <alignment horizontal="right" vertical="center"/>
    </xf>
    <xf numFmtId="168" fontId="74" fillId="0" borderId="485" xfId="31" quotePrefix="1" applyNumberFormat="1" applyFont="1" applyFill="1" applyBorder="1" applyAlignment="1" applyProtection="1">
      <alignment horizontal="right" vertical="center"/>
    </xf>
    <xf numFmtId="168" fontId="74" fillId="0" borderId="484" xfId="31" applyNumberFormat="1" applyFont="1" applyFill="1" applyBorder="1" applyAlignment="1" applyProtection="1">
      <alignment vertical="center"/>
    </xf>
    <xf numFmtId="168" fontId="74" fillId="0" borderId="569" xfId="31" applyNumberFormat="1" applyFont="1" applyFill="1" applyBorder="1" applyAlignment="1" applyProtection="1">
      <alignment vertical="center"/>
    </xf>
    <xf numFmtId="168" fontId="74" fillId="0" borderId="570" xfId="31" applyNumberFormat="1" applyFont="1" applyFill="1" applyBorder="1" applyAlignment="1" applyProtection="1">
      <alignment vertical="center"/>
    </xf>
    <xf numFmtId="168" fontId="74" fillId="0" borderId="579" xfId="31" applyNumberFormat="1" applyFont="1" applyFill="1" applyBorder="1" applyAlignment="1" applyProtection="1">
      <alignment vertical="center"/>
    </xf>
    <xf numFmtId="168" fontId="74" fillId="0" borderId="571" xfId="31" applyNumberFormat="1" applyFont="1" applyFill="1" applyBorder="1" applyAlignment="1" applyProtection="1">
      <alignment vertical="center"/>
    </xf>
    <xf numFmtId="0" fontId="68" fillId="0" borderId="487" xfId="11" applyFont="1" applyFill="1" applyBorder="1" applyAlignment="1">
      <alignment horizontal="center" vertical="center"/>
    </xf>
    <xf numFmtId="0" fontId="68" fillId="0" borderId="488" xfId="11" applyFont="1" applyFill="1" applyBorder="1" applyAlignment="1">
      <alignment vertical="center"/>
    </xf>
    <xf numFmtId="0" fontId="68" fillId="0" borderId="489" xfId="11" applyFont="1" applyFill="1" applyBorder="1" applyAlignment="1">
      <alignment vertical="center"/>
    </xf>
    <xf numFmtId="39" fontId="68" fillId="0" borderId="489" xfId="11" applyNumberFormat="1" applyFont="1" applyFill="1" applyBorder="1" applyAlignment="1">
      <alignment vertical="center"/>
    </xf>
    <xf numFmtId="39" fontId="68" fillId="0" borderId="488" xfId="11" applyNumberFormat="1" applyFont="1" applyFill="1" applyBorder="1" applyAlignment="1">
      <alignment horizontal="right" vertical="center"/>
    </xf>
    <xf numFmtId="168" fontId="68" fillId="0" borderId="561" xfId="2" applyNumberFormat="1" applyFont="1" applyFill="1" applyBorder="1" applyAlignment="1" applyProtection="1">
      <alignment vertical="center"/>
    </xf>
    <xf numFmtId="0" fontId="68" fillId="0" borderId="490" xfId="11" applyFont="1" applyFill="1" applyBorder="1" applyAlignment="1">
      <alignment horizontal="center" vertical="center"/>
    </xf>
    <xf numFmtId="0" fontId="68" fillId="0" borderId="491" xfId="11" applyFont="1" applyFill="1" applyBorder="1" applyAlignment="1">
      <alignment vertical="center"/>
    </xf>
    <xf numFmtId="39" fontId="68" fillId="0" borderId="492" xfId="11" applyNumberFormat="1" applyFont="1" applyFill="1" applyBorder="1" applyAlignment="1">
      <alignment vertical="center"/>
    </xf>
    <xf numFmtId="0" fontId="68" fillId="0" borderId="492" xfId="11" applyFont="1" applyFill="1" applyBorder="1" applyAlignment="1">
      <alignment vertical="center"/>
    </xf>
    <xf numFmtId="39" fontId="68" fillId="0" borderId="491" xfId="11" applyNumberFormat="1" applyFont="1" applyFill="1" applyBorder="1" applyAlignment="1">
      <alignment horizontal="center" vertical="center"/>
    </xf>
    <xf numFmtId="0" fontId="68" fillId="0" borderId="493" xfId="11" applyFont="1" applyFill="1" applyBorder="1" applyAlignment="1">
      <alignment vertical="center"/>
    </xf>
    <xf numFmtId="39" fontId="68" fillId="0" borderId="492" xfId="11" applyNumberFormat="1" applyFont="1" applyFill="1" applyBorder="1" applyAlignment="1">
      <alignment horizontal="center" vertical="center"/>
    </xf>
    <xf numFmtId="168" fontId="68" fillId="0" borderId="494" xfId="2" applyNumberFormat="1" applyFont="1" applyFill="1" applyBorder="1" applyAlignment="1" applyProtection="1">
      <alignment vertical="center"/>
    </xf>
    <xf numFmtId="39" fontId="68" fillId="0" borderId="493" xfId="11" applyNumberFormat="1" applyFont="1" applyFill="1" applyBorder="1" applyAlignment="1">
      <alignment vertical="center"/>
    </xf>
    <xf numFmtId="39" fontId="68" fillId="0" borderId="230" xfId="11" applyNumberFormat="1" applyFont="1" applyFill="1" applyBorder="1" applyAlignment="1">
      <alignment vertical="center"/>
    </xf>
    <xf numFmtId="39" fontId="68" fillId="0" borderId="558" xfId="11" applyNumberFormat="1" applyFont="1" applyFill="1" applyBorder="1" applyAlignment="1">
      <alignment vertical="center"/>
    </xf>
    <xf numFmtId="39" fontId="68" fillId="0" borderId="547" xfId="11" applyNumberFormat="1" applyFont="1" applyFill="1" applyBorder="1" applyAlignment="1">
      <alignment vertical="center"/>
    </xf>
    <xf numFmtId="39" fontId="68" fillId="0" borderId="559" xfId="11" applyNumberFormat="1" applyFont="1" applyFill="1" applyBorder="1" applyAlignment="1">
      <alignment vertical="center"/>
    </xf>
    <xf numFmtId="0" fontId="68" fillId="0" borderId="495" xfId="11" applyFont="1" applyFill="1" applyBorder="1" applyAlignment="1">
      <alignment horizontal="center" vertical="center"/>
    </xf>
    <xf numFmtId="0" fontId="68" fillId="0" borderId="477" xfId="11" applyFont="1" applyFill="1" applyBorder="1" applyAlignment="1">
      <alignment vertical="center"/>
    </xf>
    <xf numFmtId="0" fontId="68" fillId="0" borderId="480" xfId="11" applyFont="1" applyFill="1" applyBorder="1" applyAlignment="1">
      <alignment vertical="center"/>
    </xf>
    <xf numFmtId="39" fontId="68" fillId="0" borderId="480" xfId="11" applyNumberFormat="1" applyFont="1" applyFill="1" applyBorder="1" applyAlignment="1">
      <alignment vertical="center"/>
    </xf>
    <xf numFmtId="39" fontId="68" fillId="0" borderId="477" xfId="11" applyNumberFormat="1" applyFont="1" applyFill="1" applyBorder="1" applyAlignment="1">
      <alignment horizontal="center" vertical="center"/>
    </xf>
    <xf numFmtId="0" fontId="68" fillId="0" borderId="479" xfId="11" applyFont="1" applyFill="1" applyBorder="1" applyAlignment="1">
      <alignment vertical="center"/>
    </xf>
    <xf numFmtId="39" fontId="70" fillId="0" borderId="480" xfId="11" applyNumberFormat="1" applyFont="1" applyFill="1" applyBorder="1" applyAlignment="1">
      <alignment vertical="center"/>
    </xf>
    <xf numFmtId="39" fontId="70" fillId="0" borderId="564" xfId="11" applyNumberFormat="1" applyFont="1" applyFill="1" applyBorder="1" applyAlignment="1">
      <alignment vertical="center"/>
    </xf>
    <xf numFmtId="39" fontId="70" fillId="0" borderId="565" xfId="11" applyNumberFormat="1" applyFont="1" applyFill="1" applyBorder="1" applyAlignment="1">
      <alignment vertical="center"/>
    </xf>
    <xf numFmtId="41" fontId="68" fillId="0" borderId="0" xfId="11" applyNumberFormat="1" applyFont="1" applyAlignment="1">
      <alignment vertical="center"/>
    </xf>
    <xf numFmtId="0" fontId="68" fillId="0" borderId="583" xfId="30" applyFont="1" applyFill="1" applyBorder="1" applyAlignment="1">
      <alignment horizontal="center" vertical="center"/>
    </xf>
    <xf numFmtId="0" fontId="68" fillId="0" borderId="584" xfId="30" applyFont="1" applyFill="1" applyBorder="1" applyAlignment="1">
      <alignment vertical="center"/>
    </xf>
    <xf numFmtId="39" fontId="68" fillId="0" borderId="0" xfId="30" applyNumberFormat="1" applyFont="1" applyFill="1" applyBorder="1" applyAlignment="1">
      <alignment vertical="center"/>
    </xf>
    <xf numFmtId="168" fontId="68" fillId="0" borderId="584" xfId="31" applyNumberFormat="1" applyFont="1" applyFill="1" applyBorder="1" applyAlignment="1" applyProtection="1">
      <alignment horizontal="right" vertical="center"/>
    </xf>
    <xf numFmtId="39" fontId="68" fillId="0" borderId="585" xfId="30" applyNumberFormat="1" applyFont="1" applyFill="1" applyBorder="1" applyAlignment="1">
      <alignment horizontal="center" vertical="center"/>
    </xf>
    <xf numFmtId="168" fontId="70" fillId="0" borderId="0" xfId="31" quotePrefix="1" applyNumberFormat="1" applyFont="1" applyFill="1" applyBorder="1" applyAlignment="1" applyProtection="1">
      <alignment horizontal="right" vertical="center"/>
    </xf>
    <xf numFmtId="168" fontId="70" fillId="0" borderId="595" xfId="31" quotePrefix="1" applyNumberFormat="1" applyFont="1" applyFill="1" applyBorder="1" applyAlignment="1" applyProtection="1">
      <alignment horizontal="right" vertical="center"/>
    </xf>
    <xf numFmtId="168" fontId="70" fillId="0" borderId="586" xfId="31" quotePrefix="1" applyNumberFormat="1" applyFont="1" applyFill="1" applyBorder="1" applyAlignment="1" applyProtection="1">
      <alignment horizontal="right" vertical="center"/>
    </xf>
    <xf numFmtId="168" fontId="70" fillId="0" borderId="0" xfId="31" applyNumberFormat="1" applyFont="1" applyFill="1" applyBorder="1" applyAlignment="1" applyProtection="1">
      <alignment vertical="center"/>
    </xf>
    <xf numFmtId="168" fontId="70" fillId="0" borderId="230" xfId="31" applyNumberFormat="1" applyFont="1" applyFill="1" applyBorder="1" applyAlignment="1" applyProtection="1">
      <alignment vertical="center"/>
    </xf>
    <xf numFmtId="168" fontId="70" fillId="0" borderId="558" xfId="31" applyNumberFormat="1" applyFont="1" applyFill="1" applyBorder="1" applyAlignment="1" applyProtection="1">
      <alignment vertical="center"/>
    </xf>
    <xf numFmtId="168" fontId="70" fillId="0" borderId="547" xfId="31" applyNumberFormat="1" applyFont="1" applyFill="1" applyBorder="1" applyAlignment="1" applyProtection="1">
      <alignment vertical="center"/>
    </xf>
    <xf numFmtId="168" fontId="70" fillId="0" borderId="559" xfId="31" applyNumberFormat="1" applyFont="1" applyFill="1" applyBorder="1" applyAlignment="1" applyProtection="1">
      <alignment vertical="center"/>
    </xf>
    <xf numFmtId="0" fontId="68" fillId="0" borderId="591" xfId="30" applyFont="1" applyFill="1" applyBorder="1" applyAlignment="1">
      <alignment horizontal="center" vertical="center"/>
    </xf>
    <xf numFmtId="0" fontId="68" fillId="0" borderId="578" xfId="30" applyFont="1" applyFill="1" applyBorder="1" applyAlignment="1">
      <alignment vertical="center"/>
    </xf>
    <xf numFmtId="39" fontId="68" fillId="0" borderId="551" xfId="30" applyNumberFormat="1" applyFont="1" applyFill="1" applyBorder="1" applyAlignment="1">
      <alignment vertical="center"/>
    </xf>
    <xf numFmtId="39" fontId="68" fillId="0" borderId="568" xfId="30" applyNumberFormat="1" applyFont="1" applyFill="1" applyBorder="1" applyAlignment="1">
      <alignment vertical="center"/>
    </xf>
    <xf numFmtId="168" fontId="68" fillId="0" borderId="578" xfId="31" applyNumberFormat="1" applyFont="1" applyFill="1" applyBorder="1" applyAlignment="1" applyProtection="1">
      <alignment horizontal="right" vertical="center"/>
    </xf>
    <xf numFmtId="39" fontId="68" fillId="0" borderId="568" xfId="30" applyNumberFormat="1" applyFont="1" applyFill="1" applyBorder="1" applyAlignment="1">
      <alignment horizontal="center" vertical="center"/>
    </xf>
    <xf numFmtId="168" fontId="74" fillId="0" borderId="564" xfId="31" quotePrefix="1" applyNumberFormat="1" applyFont="1" applyFill="1" applyBorder="1" applyAlignment="1" applyProtection="1">
      <alignment horizontal="right" vertical="center"/>
    </xf>
    <xf numFmtId="168" fontId="74" fillId="0" borderId="578" xfId="31" quotePrefix="1" applyNumberFormat="1" applyFont="1" applyFill="1" applyBorder="1" applyAlignment="1" applyProtection="1">
      <alignment horizontal="right" vertical="center"/>
    </xf>
    <xf numFmtId="168" fontId="70" fillId="0" borderId="568" xfId="31" quotePrefix="1" applyNumberFormat="1" applyFont="1" applyFill="1" applyBorder="1" applyAlignment="1" applyProtection="1">
      <alignment horizontal="right" vertical="center"/>
    </xf>
    <xf numFmtId="168" fontId="70" fillId="0" borderId="592" xfId="31" applyNumberFormat="1" applyFont="1" applyFill="1" applyBorder="1" applyAlignment="1" applyProtection="1">
      <alignment vertical="center"/>
    </xf>
    <xf numFmtId="0" fontId="65" fillId="0" borderId="0" xfId="30" applyFont="1" applyFill="1" applyAlignment="1">
      <alignment vertical="center"/>
    </xf>
    <xf numFmtId="0" fontId="68" fillId="0" borderId="587" xfId="30" applyFont="1" applyFill="1" applyBorder="1" applyAlignment="1">
      <alignment horizontal="center" vertical="center"/>
    </xf>
    <xf numFmtId="0" fontId="68" fillId="0" borderId="579" xfId="30" applyFont="1" applyFill="1" applyBorder="1" applyAlignment="1">
      <alignment vertical="center"/>
    </xf>
    <xf numFmtId="39" fontId="68" fillId="0" borderId="588" xfId="30" applyNumberFormat="1" applyFont="1" applyFill="1" applyBorder="1" applyAlignment="1">
      <alignment vertical="center"/>
    </xf>
    <xf numFmtId="39" fontId="68" fillId="0" borderId="589" xfId="30" applyNumberFormat="1" applyFont="1" applyFill="1" applyBorder="1" applyAlignment="1">
      <alignment vertical="center"/>
    </xf>
    <xf numFmtId="168" fontId="68" fillId="0" borderId="579" xfId="31" applyNumberFormat="1" applyFont="1" applyFill="1" applyBorder="1" applyAlignment="1" applyProtection="1">
      <alignment horizontal="right" vertical="center"/>
    </xf>
    <xf numFmtId="39" fontId="68" fillId="0" borderId="589" xfId="30" applyNumberFormat="1" applyFont="1" applyFill="1" applyBorder="1" applyAlignment="1">
      <alignment horizontal="center" vertical="center"/>
    </xf>
    <xf numFmtId="168" fontId="74" fillId="0" borderId="570" xfId="31" quotePrefix="1" applyNumberFormat="1" applyFont="1" applyFill="1" applyBorder="1" applyAlignment="1" applyProtection="1">
      <alignment horizontal="right" vertical="center"/>
    </xf>
    <xf numFmtId="168" fontId="74" fillId="0" borderId="579" xfId="31" quotePrefix="1" applyNumberFormat="1" applyFont="1" applyFill="1" applyBorder="1" applyAlignment="1" applyProtection="1">
      <alignment horizontal="right" vertical="center"/>
    </xf>
    <xf numFmtId="168" fontId="70" fillId="0" borderId="589" xfId="31" quotePrefix="1" applyNumberFormat="1" applyFont="1" applyFill="1" applyBorder="1" applyAlignment="1" applyProtection="1">
      <alignment horizontal="right" vertical="center"/>
    </xf>
    <xf numFmtId="0" fontId="68" fillId="0" borderId="593" xfId="11" applyFont="1" applyBorder="1" applyAlignment="1">
      <alignment horizontal="center" vertical="center"/>
    </xf>
    <xf numFmtId="0" fontId="68" fillId="0" borderId="576" xfId="11" applyFont="1" applyBorder="1" applyAlignment="1">
      <alignment vertical="center"/>
    </xf>
    <xf numFmtId="0" fontId="68" fillId="0" borderId="548" xfId="11" applyFont="1" applyBorder="1" applyAlignment="1">
      <alignment vertical="center"/>
    </xf>
    <xf numFmtId="39" fontId="68" fillId="0" borderId="566" xfId="11" applyNumberFormat="1" applyFont="1" applyBorder="1" applyAlignment="1">
      <alignment vertical="center"/>
    </xf>
    <xf numFmtId="168" fontId="68" fillId="0" borderId="576" xfId="2" applyNumberFormat="1" applyFont="1" applyFill="1" applyBorder="1" applyAlignment="1" applyProtection="1">
      <alignment horizontal="center" vertical="center"/>
    </xf>
    <xf numFmtId="0" fontId="68" fillId="0" borderId="566" xfId="11" applyFont="1" applyBorder="1" applyAlignment="1">
      <alignment vertical="center"/>
    </xf>
    <xf numFmtId="0" fontId="68" fillId="0" borderId="554" xfId="11" applyFont="1" applyBorder="1" applyAlignment="1">
      <alignment horizontal="center" vertical="center"/>
    </xf>
    <xf numFmtId="168" fontId="68" fillId="0" borderId="554" xfId="2" applyNumberFormat="1" applyFont="1" applyFill="1" applyBorder="1" applyAlignment="1" applyProtection="1">
      <alignment vertical="center"/>
    </xf>
    <xf numFmtId="168" fontId="68" fillId="0" borderId="576" xfId="2" applyNumberFormat="1" applyFont="1" applyFill="1" applyBorder="1" applyAlignment="1" applyProtection="1">
      <alignment vertical="center"/>
    </xf>
    <xf numFmtId="168" fontId="68" fillId="0" borderId="566" xfId="2" applyNumberFormat="1" applyFont="1" applyFill="1" applyBorder="1" applyAlignment="1" applyProtection="1">
      <alignment vertical="center"/>
    </xf>
    <xf numFmtId="168" fontId="68" fillId="0" borderId="594" xfId="2" applyNumberFormat="1" applyFont="1" applyFill="1" applyBorder="1" applyAlignment="1">
      <alignment vertical="center"/>
    </xf>
    <xf numFmtId="168" fontId="68" fillId="0" borderId="553" xfId="2" applyNumberFormat="1" applyFont="1" applyFill="1" applyBorder="1" applyAlignment="1">
      <alignment vertical="center"/>
    </xf>
    <xf numFmtId="168" fontId="68" fillId="0" borderId="554" xfId="2" applyNumberFormat="1" applyFont="1" applyFill="1" applyBorder="1" applyAlignment="1">
      <alignment vertical="center"/>
    </xf>
    <xf numFmtId="168" fontId="68" fillId="0" borderId="555" xfId="2" applyNumberFormat="1" applyFont="1" applyFill="1" applyBorder="1" applyAlignment="1">
      <alignment vertical="center"/>
    </xf>
    <xf numFmtId="0" fontId="65" fillId="0" borderId="0" xfId="11" applyFont="1" applyBorder="1" applyAlignment="1">
      <alignment horizontal="center" vertical="center"/>
    </xf>
    <xf numFmtId="39" fontId="65" fillId="0" borderId="0" xfId="11" applyNumberFormat="1" applyFont="1" applyAlignment="1">
      <alignment horizontal="center" vertical="center"/>
    </xf>
    <xf numFmtId="43" fontId="86" fillId="0" borderId="0" xfId="1" applyFont="1" applyFill="1" applyAlignment="1">
      <alignment vertical="center"/>
    </xf>
    <xf numFmtId="41" fontId="87" fillId="0" borderId="0" xfId="2" applyFont="1" applyAlignment="1">
      <alignment vertical="center"/>
    </xf>
    <xf numFmtId="0" fontId="88" fillId="0" borderId="0" xfId="11" applyFont="1" applyAlignment="1">
      <alignment horizontal="center" vertical="center"/>
    </xf>
    <xf numFmtId="41" fontId="89" fillId="0" borderId="0" xfId="2" applyFont="1" applyAlignment="1">
      <alignment horizontal="centerContinuous" vertical="center"/>
    </xf>
    <xf numFmtId="0" fontId="90" fillId="0" borderId="0" xfId="11" applyFont="1" applyAlignment="1">
      <alignment vertical="center"/>
    </xf>
    <xf numFmtId="41" fontId="90" fillId="0" borderId="0" xfId="2" applyFont="1" applyAlignment="1">
      <alignment vertical="center"/>
    </xf>
    <xf numFmtId="0" fontId="91" fillId="0" borderId="0" xfId="11" applyFont="1" applyAlignment="1">
      <alignment horizontal="center" vertical="center"/>
    </xf>
    <xf numFmtId="41" fontId="92" fillId="0" borderId="0" xfId="2" applyFont="1" applyAlignment="1">
      <alignment horizontal="center" vertical="center"/>
    </xf>
    <xf numFmtId="0" fontId="93" fillId="0" borderId="0" xfId="11" applyFont="1" applyAlignment="1">
      <alignment horizontal="center" vertical="center"/>
    </xf>
    <xf numFmtId="0" fontId="94" fillId="0" borderId="0" xfId="11" applyFont="1" applyAlignment="1">
      <alignment vertical="center"/>
    </xf>
    <xf numFmtId="0" fontId="94" fillId="0" borderId="0" xfId="11" applyFont="1" applyAlignment="1">
      <alignment horizontal="center" vertical="center"/>
    </xf>
    <xf numFmtId="0" fontId="94" fillId="0" borderId="0" xfId="11" applyFont="1" applyAlignment="1">
      <alignment vertical="top"/>
    </xf>
    <xf numFmtId="0" fontId="94" fillId="0" borderId="0" xfId="11" applyFont="1" applyAlignment="1">
      <alignment vertical="top" wrapText="1"/>
    </xf>
    <xf numFmtId="41" fontId="89" fillId="0" borderId="0" xfId="2" applyFont="1" applyAlignment="1">
      <alignment horizontal="center" vertical="center"/>
    </xf>
    <xf numFmtId="0" fontId="90" fillId="0" borderId="0" xfId="11" applyFont="1" applyAlignment="1">
      <alignment horizontal="center" vertical="center"/>
    </xf>
    <xf numFmtId="39" fontId="90" fillId="0" borderId="0" xfId="11" applyNumberFormat="1" applyFont="1" applyAlignment="1">
      <alignment vertical="center"/>
    </xf>
    <xf numFmtId="41" fontId="89" fillId="0" borderId="0" xfId="2" applyFont="1" applyAlignment="1">
      <alignment vertical="center"/>
    </xf>
    <xf numFmtId="43" fontId="90" fillId="0" borderId="0" xfId="27" applyFont="1" applyFill="1" applyAlignment="1">
      <alignment horizontal="center" vertical="center"/>
    </xf>
    <xf numFmtId="0" fontId="94" fillId="0" borderId="0" xfId="11" applyFont="1" applyAlignment="1">
      <alignment horizontal="left" vertical="center"/>
    </xf>
    <xf numFmtId="0" fontId="94" fillId="0" borderId="0" xfId="11" quotePrefix="1" applyFont="1" applyAlignment="1">
      <alignment horizontal="left" vertical="center"/>
    </xf>
    <xf numFmtId="0" fontId="95" fillId="0" borderId="341" xfId="11" applyFont="1" applyBorder="1" applyAlignment="1">
      <alignment horizontal="center" vertical="center"/>
    </xf>
    <xf numFmtId="0" fontId="95" fillId="0" borderId="343" xfId="11" applyFont="1" applyBorder="1" applyAlignment="1">
      <alignment vertical="center"/>
    </xf>
    <xf numFmtId="39" fontId="95" fillId="0" borderId="343" xfId="11" applyNumberFormat="1" applyFont="1" applyBorder="1" applyAlignment="1">
      <alignment vertical="center"/>
    </xf>
    <xf numFmtId="39" fontId="95" fillId="0" borderId="344" xfId="11" applyNumberFormat="1" applyFont="1" applyBorder="1" applyAlignment="1">
      <alignment vertical="center"/>
    </xf>
    <xf numFmtId="39" fontId="95" fillId="0" borderId="343" xfId="11" applyNumberFormat="1" applyFont="1" applyBorder="1" applyAlignment="1">
      <alignment horizontal="center" vertical="center"/>
    </xf>
    <xf numFmtId="39" fontId="95" fillId="0" borderId="345" xfId="11" applyNumberFormat="1" applyFont="1" applyBorder="1" applyAlignment="1">
      <alignment vertical="center"/>
    </xf>
    <xf numFmtId="39" fontId="95" fillId="0" borderId="344" xfId="11" applyNumberFormat="1" applyFont="1" applyBorder="1" applyAlignment="1">
      <alignment horizontal="center" vertical="center"/>
    </xf>
    <xf numFmtId="39" fontId="95" fillId="0" borderId="345" xfId="11" applyNumberFormat="1" applyFont="1" applyBorder="1" applyAlignment="1">
      <alignment horizontal="center" vertical="center"/>
    </xf>
    <xf numFmtId="39" fontId="95" fillId="0" borderId="229" xfId="11" applyNumberFormat="1" applyFont="1" applyBorder="1" applyAlignment="1">
      <alignment horizontal="center" vertical="center"/>
    </xf>
    <xf numFmtId="0" fontId="94" fillId="0" borderId="11" xfId="11" applyFont="1" applyBorder="1" applyAlignment="1">
      <alignment horizontal="center" vertical="center"/>
    </xf>
    <xf numFmtId="0" fontId="94" fillId="0" borderId="0" xfId="11" applyFont="1" applyAlignment="1">
      <alignment horizontal="centerContinuous" vertical="center"/>
    </xf>
    <xf numFmtId="0" fontId="94" fillId="0" borderId="12" xfId="11" applyFont="1" applyBorder="1" applyAlignment="1">
      <alignment horizontal="centerContinuous" vertical="center"/>
    </xf>
    <xf numFmtId="0" fontId="94" fillId="0" borderId="0" xfId="11" applyFont="1" applyBorder="1" applyAlignment="1">
      <alignment horizontal="centerContinuous" vertical="center"/>
    </xf>
    <xf numFmtId="0" fontId="94" fillId="0" borderId="558" xfId="11" applyFont="1" applyBorder="1" applyAlignment="1">
      <alignment horizontal="center" vertical="center"/>
    </xf>
    <xf numFmtId="0" fontId="94" fillId="0" borderId="586" xfId="11" applyFont="1" applyBorder="1" applyAlignment="1">
      <alignment horizontal="center" vertical="center"/>
    </xf>
    <xf numFmtId="0" fontId="94" fillId="0" borderId="12" xfId="11" applyFont="1" applyBorder="1" applyAlignment="1">
      <alignment horizontal="center" vertical="center"/>
    </xf>
    <xf numFmtId="0" fontId="94" fillId="0" borderId="13" xfId="11" applyFont="1" applyBorder="1" applyAlignment="1">
      <alignment horizontal="center" vertical="center"/>
    </xf>
    <xf numFmtId="0" fontId="94" fillId="0" borderId="558" xfId="11" applyFont="1" applyBorder="1" applyAlignment="1">
      <alignment horizontal="centerContinuous" vertical="center"/>
    </xf>
    <xf numFmtId="0" fontId="95" fillId="0" borderId="11" xfId="11" applyFont="1" applyBorder="1" applyAlignment="1">
      <alignment horizontal="center" vertical="center"/>
    </xf>
    <xf numFmtId="0" fontId="95" fillId="0" borderId="0" xfId="11" applyFont="1" applyAlignment="1">
      <alignment vertical="center"/>
    </xf>
    <xf numFmtId="0" fontId="95" fillId="0" borderId="12" xfId="11" applyFont="1" applyBorder="1" applyAlignment="1">
      <alignment vertical="center"/>
    </xf>
    <xf numFmtId="0" fontId="95" fillId="0" borderId="0" xfId="11" applyFont="1" applyAlignment="1">
      <alignment horizontal="center" vertical="center"/>
    </xf>
    <xf numFmtId="0" fontId="95" fillId="0" borderId="0" xfId="11" applyFont="1" applyBorder="1" applyAlignment="1">
      <alignment vertical="center"/>
    </xf>
    <xf numFmtId="0" fontId="95" fillId="0" borderId="558" xfId="11" applyFont="1" applyBorder="1" applyAlignment="1">
      <alignment vertical="center"/>
    </xf>
    <xf numFmtId="0" fontId="95" fillId="0" borderId="586" xfId="11" applyFont="1" applyBorder="1" applyAlignment="1">
      <alignment vertical="center"/>
    </xf>
    <xf numFmtId="0" fontId="95" fillId="0" borderId="586" xfId="11" applyFont="1" applyBorder="1" applyAlignment="1">
      <alignment horizontal="center" vertical="center"/>
    </xf>
    <xf numFmtId="0" fontId="95" fillId="0" borderId="12" xfId="11" applyFont="1" applyBorder="1" applyAlignment="1">
      <alignment horizontal="center" vertical="center"/>
    </xf>
    <xf numFmtId="0" fontId="95" fillId="0" borderId="0" xfId="11" applyFont="1" applyAlignment="1">
      <alignment horizontal="centerContinuous" vertical="center"/>
    </xf>
    <xf numFmtId="0" fontId="95" fillId="0" borderId="12" xfId="11" applyFont="1" applyBorder="1" applyAlignment="1">
      <alignment horizontal="centerContinuous" vertical="center"/>
    </xf>
    <xf numFmtId="0" fontId="95" fillId="0" borderId="558" xfId="11" applyFont="1" applyBorder="1" applyAlignment="1">
      <alignment horizontal="center" vertical="center"/>
    </xf>
    <xf numFmtId="0" fontId="94" fillId="0" borderId="558" xfId="11" quotePrefix="1" applyFont="1" applyBorder="1" applyAlignment="1">
      <alignment horizontal="center" vertical="center"/>
    </xf>
    <xf numFmtId="0" fontId="95" fillId="0" borderId="13" xfId="11" applyFont="1" applyBorder="1" applyAlignment="1">
      <alignment horizontal="center" vertical="center"/>
    </xf>
    <xf numFmtId="0" fontId="94" fillId="0" borderId="453" xfId="11" quotePrefix="1" applyFont="1" applyBorder="1" applyAlignment="1">
      <alignment horizontal="center" vertical="center"/>
    </xf>
    <xf numFmtId="0" fontId="94" fillId="0" borderId="454" xfId="11" applyFont="1" applyBorder="1" applyAlignment="1">
      <alignment horizontal="centerContinuous" vertical="center"/>
    </xf>
    <xf numFmtId="0" fontId="94" fillId="0" borderId="454" xfId="11" applyFont="1" applyBorder="1" applyAlignment="1">
      <alignment horizontal="center" vertical="center"/>
    </xf>
    <xf numFmtId="41" fontId="94" fillId="0" borderId="454" xfId="2" quotePrefix="1" applyFont="1" applyFill="1" applyBorder="1" applyAlignment="1" applyProtection="1">
      <alignment horizontal="center" vertical="center"/>
    </xf>
    <xf numFmtId="0" fontId="94" fillId="0" borderId="455" xfId="11" applyFont="1" applyBorder="1" applyAlignment="1">
      <alignment horizontal="center" vertical="center"/>
    </xf>
    <xf numFmtId="0" fontId="94" fillId="0" borderId="454" xfId="11" applyFont="1" applyBorder="1" applyAlignment="1">
      <alignment horizontal="right" vertical="center"/>
    </xf>
    <xf numFmtId="0" fontId="94" fillId="0" borderId="548" xfId="11" applyFont="1" applyBorder="1" applyAlignment="1">
      <alignment horizontal="centerContinuous" vertical="center"/>
    </xf>
    <xf numFmtId="0" fontId="94" fillId="0" borderId="554" xfId="11" applyFont="1" applyBorder="1" applyAlignment="1">
      <alignment horizontal="centerContinuous" vertical="center"/>
    </xf>
    <xf numFmtId="0" fontId="94" fillId="0" borderId="566" xfId="11" applyFont="1" applyBorder="1" applyAlignment="1">
      <alignment horizontal="centerContinuous" vertical="center"/>
    </xf>
    <xf numFmtId="0" fontId="94" fillId="0" borderId="566" xfId="11" applyFont="1" applyBorder="1" applyAlignment="1">
      <alignment horizontal="center" vertical="center"/>
    </xf>
    <xf numFmtId="0" fontId="94" fillId="0" borderId="456" xfId="11" applyFont="1" applyBorder="1" applyAlignment="1">
      <alignment horizontal="center" vertical="center"/>
    </xf>
    <xf numFmtId="0" fontId="94" fillId="0" borderId="456" xfId="11" applyFont="1" applyBorder="1" applyAlignment="1">
      <alignment horizontal="centerContinuous" vertical="center"/>
    </xf>
    <xf numFmtId="0" fontId="94" fillId="0" borderId="554" xfId="11" applyFont="1" applyBorder="1" applyAlignment="1">
      <alignment horizontal="center" vertical="center"/>
    </xf>
    <xf numFmtId="0" fontId="94" fillId="0" borderId="576" xfId="11" applyFont="1" applyBorder="1" applyAlignment="1">
      <alignment horizontal="center" vertical="center"/>
    </xf>
    <xf numFmtId="0" fontId="94" fillId="0" borderId="555" xfId="11" applyFont="1" applyBorder="1" applyAlignment="1">
      <alignment horizontal="center" vertical="center"/>
    </xf>
    <xf numFmtId="0" fontId="89" fillId="0" borderId="457" xfId="11" applyFont="1" applyBorder="1" applyAlignment="1">
      <alignment horizontal="center" vertical="center"/>
    </xf>
    <xf numFmtId="0" fontId="89" fillId="0" borderId="458" xfId="11" applyFont="1" applyBorder="1" applyAlignment="1">
      <alignment horizontal="centerContinuous" vertical="center"/>
    </xf>
    <xf numFmtId="0" fontId="89" fillId="0" borderId="459" xfId="11" applyFont="1" applyBorder="1" applyAlignment="1">
      <alignment horizontal="centerContinuous" vertical="center"/>
    </xf>
    <xf numFmtId="0" fontId="89" fillId="0" borderId="460" xfId="11" applyFont="1" applyBorder="1" applyAlignment="1">
      <alignment horizontal="centerContinuous" vertical="center"/>
    </xf>
    <xf numFmtId="0" fontId="89" fillId="0" borderId="459" xfId="11" applyFont="1" applyBorder="1" applyAlignment="1">
      <alignment horizontal="center" vertical="center"/>
    </xf>
    <xf numFmtId="0" fontId="89" fillId="0" borderId="461" xfId="11" applyFont="1" applyBorder="1" applyAlignment="1">
      <alignment horizontal="centerContinuous" vertical="center"/>
    </xf>
    <xf numFmtId="0" fontId="89" fillId="0" borderId="460" xfId="11" applyFont="1" applyBorder="1" applyAlignment="1">
      <alignment horizontal="center" vertical="center"/>
    </xf>
    <xf numFmtId="0" fontId="89" fillId="0" borderId="461" xfId="11" applyFont="1" applyBorder="1" applyAlignment="1">
      <alignment horizontal="center" vertical="center"/>
    </xf>
    <xf numFmtId="0" fontId="89" fillId="0" borderId="458" xfId="11" applyFont="1" applyBorder="1" applyAlignment="1">
      <alignment horizontal="center" vertical="center"/>
    </xf>
    <xf numFmtId="0" fontId="89" fillId="0" borderId="557" xfId="11" applyFont="1" applyBorder="1" applyAlignment="1">
      <alignment horizontal="center" vertical="center"/>
    </xf>
    <xf numFmtId="168" fontId="90" fillId="0" borderId="0" xfId="2" applyNumberFormat="1" applyFont="1" applyFill="1" applyAlignment="1">
      <alignment vertical="center"/>
    </xf>
    <xf numFmtId="41" fontId="90" fillId="0" borderId="0" xfId="2" applyFont="1" applyFill="1" applyAlignment="1">
      <alignment vertical="center"/>
    </xf>
    <xf numFmtId="41" fontId="96" fillId="0" borderId="0" xfId="2" applyFont="1" applyAlignment="1">
      <alignment vertical="center"/>
    </xf>
    <xf numFmtId="0" fontId="94" fillId="6" borderId="11" xfId="11" applyFont="1" applyFill="1" applyBorder="1" applyAlignment="1">
      <alignment horizontal="center" vertical="center"/>
    </xf>
    <xf numFmtId="0" fontId="97" fillId="6" borderId="0" xfId="11" applyFont="1" applyFill="1" applyAlignment="1">
      <alignment horizontal="centerContinuous" vertical="center"/>
    </xf>
    <xf numFmtId="0" fontId="94" fillId="6" borderId="0" xfId="11" applyFont="1" applyFill="1" applyAlignment="1">
      <alignment horizontal="left" vertical="center"/>
    </xf>
    <xf numFmtId="0" fontId="97" fillId="6" borderId="12" xfId="11" applyFont="1" applyFill="1" applyBorder="1" applyAlignment="1">
      <alignment horizontal="centerContinuous" vertical="center"/>
    </xf>
    <xf numFmtId="0" fontId="97" fillId="6" borderId="0" xfId="11" applyFont="1" applyFill="1" applyAlignment="1">
      <alignment horizontal="center" vertical="center"/>
    </xf>
    <xf numFmtId="0" fontId="97" fillId="6" borderId="558" xfId="11" applyFont="1" applyFill="1" applyBorder="1" applyAlignment="1">
      <alignment horizontal="centerContinuous" vertical="center"/>
    </xf>
    <xf numFmtId="0" fontId="97" fillId="6" borderId="586" xfId="11" applyFont="1" applyFill="1" applyBorder="1" applyAlignment="1">
      <alignment horizontal="centerContinuous" vertical="center"/>
    </xf>
    <xf numFmtId="0" fontId="97" fillId="6" borderId="586" xfId="11" applyFont="1" applyFill="1" applyBorder="1" applyAlignment="1">
      <alignment horizontal="center" vertical="center"/>
    </xf>
    <xf numFmtId="0" fontId="97" fillId="6" borderId="347" xfId="11" applyFont="1" applyFill="1" applyBorder="1" applyAlignment="1">
      <alignment horizontal="centerContinuous" vertical="center"/>
    </xf>
    <xf numFmtId="0" fontId="97" fillId="6" borderId="558" xfId="11" applyFont="1" applyFill="1" applyBorder="1" applyAlignment="1">
      <alignment horizontal="center" vertical="center"/>
    </xf>
    <xf numFmtId="0" fontId="97" fillId="6" borderId="547" xfId="11" applyFont="1" applyFill="1" applyBorder="1" applyAlignment="1">
      <alignment horizontal="center" vertical="center"/>
    </xf>
    <xf numFmtId="0" fontId="97" fillId="6" borderId="559" xfId="11" applyFont="1" applyFill="1" applyBorder="1" applyAlignment="1">
      <alignment horizontal="center" vertical="center"/>
    </xf>
    <xf numFmtId="0" fontId="98" fillId="0" borderId="0" xfId="11" applyFont="1" applyAlignment="1">
      <alignment vertical="center"/>
    </xf>
    <xf numFmtId="168" fontId="98" fillId="0" borderId="0" xfId="2" applyNumberFormat="1" applyFont="1" applyFill="1" applyAlignment="1">
      <alignment vertical="center"/>
    </xf>
    <xf numFmtId="41" fontId="98" fillId="0" borderId="0" xfId="2" applyFont="1" applyFill="1" applyAlignment="1">
      <alignment vertical="center"/>
    </xf>
    <xf numFmtId="0" fontId="94" fillId="0" borderId="462" xfId="11" applyFont="1" applyBorder="1" applyAlignment="1">
      <alignment horizontal="center" vertical="center"/>
    </xf>
    <xf numFmtId="0" fontId="94" fillId="0" borderId="463" xfId="11" applyFont="1" applyBorder="1" applyAlignment="1">
      <alignment horizontal="centerContinuous" vertical="center"/>
    </xf>
    <xf numFmtId="0" fontId="94" fillId="0" borderId="463" xfId="11" applyFont="1" applyBorder="1" applyAlignment="1">
      <alignment vertical="center"/>
    </xf>
    <xf numFmtId="0" fontId="10" fillId="0" borderId="463" xfId="11" applyFont="1" applyBorder="1" applyAlignment="1">
      <alignment horizontal="centerContinuous" vertical="center"/>
    </xf>
    <xf numFmtId="0" fontId="10" fillId="0" borderId="464" xfId="11" applyFont="1" applyBorder="1" applyAlignment="1">
      <alignment horizontal="centerContinuous" vertical="center"/>
    </xf>
    <xf numFmtId="39" fontId="10" fillId="0" borderId="463" xfId="11" applyNumberFormat="1" applyFont="1" applyBorder="1" applyAlignment="1">
      <alignment horizontal="right" vertical="center"/>
    </xf>
    <xf numFmtId="0" fontId="10" fillId="0" borderId="549" xfId="11" applyFont="1" applyBorder="1" applyAlignment="1">
      <alignment horizontal="center" vertical="center"/>
    </xf>
    <xf numFmtId="0" fontId="10" fillId="0" borderId="561" xfId="11" applyFont="1" applyBorder="1" applyAlignment="1">
      <alignment horizontal="center" vertical="center"/>
    </xf>
    <xf numFmtId="9" fontId="10" fillId="0" borderId="567" xfId="21" applyFont="1" applyBorder="1" applyAlignment="1">
      <alignment horizontal="center" vertical="center"/>
    </xf>
    <xf numFmtId="0" fontId="10" fillId="0" borderId="567" xfId="11" applyFont="1" applyBorder="1" applyAlignment="1">
      <alignment horizontal="center" vertical="center"/>
    </xf>
    <xf numFmtId="0" fontId="10" fillId="0" borderId="463" xfId="11" applyFont="1" applyBorder="1" applyAlignment="1">
      <alignment vertical="center"/>
    </xf>
    <xf numFmtId="0" fontId="10" fillId="0" borderId="466" xfId="11" applyFont="1" applyBorder="1" applyAlignment="1">
      <alignment horizontal="centerContinuous" vertical="center"/>
    </xf>
    <xf numFmtId="39" fontId="10" fillId="0" borderId="464" xfId="11" applyNumberFormat="1" applyFont="1" applyBorder="1" applyAlignment="1">
      <alignment horizontal="center" vertical="center"/>
    </xf>
    <xf numFmtId="0" fontId="10" fillId="0" borderId="577" xfId="11" applyFont="1" applyBorder="1" applyAlignment="1">
      <alignment horizontal="center" vertical="center"/>
    </xf>
    <xf numFmtId="0" fontId="10" fillId="0" borderId="562" xfId="11" applyFont="1" applyBorder="1" applyAlignment="1">
      <alignment horizontal="center" vertical="center"/>
    </xf>
    <xf numFmtId="41" fontId="99" fillId="0" borderId="0" xfId="2" applyFont="1" applyAlignment="1">
      <alignment vertical="center"/>
    </xf>
    <xf numFmtId="0" fontId="10" fillId="0" borderId="462" xfId="11" applyFont="1" applyBorder="1" applyAlignment="1">
      <alignment horizontal="center" vertical="center"/>
    </xf>
    <xf numFmtId="39" fontId="10" fillId="0" borderId="463" xfId="11" applyNumberFormat="1" applyFont="1" applyBorder="1" applyAlignment="1">
      <alignment vertical="center"/>
    </xf>
    <xf numFmtId="168" fontId="10" fillId="0" borderId="463" xfId="2" applyNumberFormat="1" applyFont="1" applyFill="1" applyBorder="1" applyAlignment="1" applyProtection="1">
      <alignment horizontal="right" vertical="center"/>
    </xf>
    <xf numFmtId="39" fontId="10" fillId="0" borderId="549" xfId="11" applyNumberFormat="1" applyFont="1" applyFill="1" applyBorder="1" applyAlignment="1" applyProtection="1">
      <alignment horizontal="center" vertical="center"/>
    </xf>
    <xf numFmtId="39" fontId="10" fillId="0" borderId="561" xfId="11" applyNumberFormat="1" applyFont="1" applyFill="1" applyBorder="1" applyAlignment="1" applyProtection="1">
      <alignment horizontal="center" vertical="center"/>
    </xf>
    <xf numFmtId="9" fontId="10" fillId="0" borderId="567" xfId="21" applyFont="1" applyFill="1" applyBorder="1" applyAlignment="1" applyProtection="1">
      <alignment horizontal="center" vertical="center"/>
    </xf>
    <xf numFmtId="39" fontId="10" fillId="0" borderId="567" xfId="11" applyNumberFormat="1" applyFont="1" applyFill="1" applyBorder="1" applyAlignment="1" applyProtection="1">
      <alignment horizontal="center" vertical="center"/>
    </xf>
    <xf numFmtId="39" fontId="10" fillId="0" borderId="567" xfId="11" applyNumberFormat="1" applyFont="1" applyBorder="1" applyAlignment="1">
      <alignment horizontal="center" vertical="center"/>
    </xf>
    <xf numFmtId="168" fontId="10" fillId="0" borderId="463" xfId="2" applyNumberFormat="1" applyFont="1" applyFill="1" applyBorder="1" applyAlignment="1" applyProtection="1">
      <alignment vertical="center"/>
    </xf>
    <xf numFmtId="168" fontId="10" fillId="0" borderId="464" xfId="2" applyNumberFormat="1" applyFont="1" applyFill="1" applyBorder="1" applyAlignment="1" applyProtection="1">
      <alignment vertical="center"/>
    </xf>
    <xf numFmtId="9" fontId="10" fillId="0" borderId="561" xfId="21" applyFont="1" applyFill="1" applyBorder="1" applyAlignment="1" applyProtection="1">
      <alignment vertical="center"/>
    </xf>
    <xf numFmtId="41" fontId="10" fillId="0" borderId="561" xfId="2" applyFont="1" applyFill="1" applyBorder="1" applyAlignment="1" applyProtection="1">
      <alignment vertical="center"/>
    </xf>
    <xf numFmtId="168" fontId="10" fillId="0" borderId="562" xfId="2" applyNumberFormat="1" applyFont="1" applyBorder="1" applyAlignment="1">
      <alignment horizontal="center" vertical="center"/>
    </xf>
    <xf numFmtId="168" fontId="10" fillId="0" borderId="0" xfId="2" applyNumberFormat="1" applyFont="1" applyAlignment="1">
      <alignment vertical="center"/>
    </xf>
    <xf numFmtId="0" fontId="10" fillId="0" borderId="0" xfId="11" applyFont="1" applyAlignment="1">
      <alignment vertical="center"/>
    </xf>
    <xf numFmtId="168" fontId="10" fillId="0" borderId="0" xfId="2" applyNumberFormat="1" applyFont="1" applyFill="1" applyAlignment="1">
      <alignment vertical="center"/>
    </xf>
    <xf numFmtId="41" fontId="10" fillId="0" borderId="0" xfId="2" applyFont="1" applyFill="1" applyAlignment="1">
      <alignment vertical="center"/>
    </xf>
    <xf numFmtId="43" fontId="10" fillId="0" borderId="0" xfId="11" applyNumberFormat="1" applyFont="1" applyAlignment="1">
      <alignment vertical="center"/>
    </xf>
    <xf numFmtId="0" fontId="10" fillId="0" borderId="626" xfId="11" applyFont="1" applyBorder="1" applyAlignment="1">
      <alignment horizontal="center" vertical="center"/>
    </xf>
    <xf numFmtId="0" fontId="10" fillId="0" borderId="549" xfId="11" applyFont="1" applyBorder="1" applyAlignment="1">
      <alignment vertical="center"/>
    </xf>
    <xf numFmtId="39" fontId="10" fillId="0" borderId="549" xfId="11" applyNumberFormat="1" applyFont="1" applyBorder="1" applyAlignment="1">
      <alignment vertical="center"/>
    </xf>
    <xf numFmtId="0" fontId="10" fillId="0" borderId="549" xfId="11" applyFont="1" applyBorder="1" applyAlignment="1">
      <alignment horizontal="centerContinuous" vertical="center"/>
    </xf>
    <xf numFmtId="0" fontId="10" fillId="0" borderId="567" xfId="11" applyFont="1" applyBorder="1" applyAlignment="1">
      <alignment horizontal="centerContinuous" vertical="center"/>
    </xf>
    <xf numFmtId="168" fontId="10" fillId="0" borderId="549" xfId="2" applyNumberFormat="1" applyFont="1" applyFill="1" applyBorder="1" applyAlignment="1" applyProtection="1">
      <alignment horizontal="right" vertical="center"/>
    </xf>
    <xf numFmtId="168" fontId="10" fillId="0" borderId="549" xfId="2" applyNumberFormat="1" applyFont="1" applyFill="1" applyBorder="1" applyAlignment="1" applyProtection="1">
      <alignment vertical="center"/>
    </xf>
    <xf numFmtId="0" fontId="10" fillId="0" borderId="577" xfId="11" applyFont="1" applyBorder="1" applyAlignment="1">
      <alignment horizontal="centerContinuous" vertical="center"/>
    </xf>
    <xf numFmtId="168" fontId="10" fillId="0" borderId="567" xfId="2" applyNumberFormat="1" applyFont="1" applyFill="1" applyBorder="1" applyAlignment="1" applyProtection="1">
      <alignment vertical="center"/>
    </xf>
    <xf numFmtId="0" fontId="10" fillId="0" borderId="628" xfId="11" applyFont="1" applyBorder="1" applyAlignment="1">
      <alignment horizontal="center" vertical="center"/>
    </xf>
    <xf numFmtId="0" fontId="10" fillId="0" borderId="551" xfId="11" applyFont="1" applyBorder="1" applyAlignment="1">
      <alignment vertical="center"/>
    </xf>
    <xf numFmtId="39" fontId="10" fillId="0" borderId="551" xfId="11" applyNumberFormat="1" applyFont="1" applyBorder="1" applyAlignment="1">
      <alignment vertical="center"/>
    </xf>
    <xf numFmtId="0" fontId="10" fillId="0" borderId="551" xfId="11" applyFont="1" applyBorder="1" applyAlignment="1">
      <alignment horizontal="centerContinuous" vertical="center"/>
    </xf>
    <xf numFmtId="0" fontId="89" fillId="0" borderId="568" xfId="11" applyFont="1" applyBorder="1" applyAlignment="1">
      <alignment horizontal="centerContinuous" vertical="center"/>
    </xf>
    <xf numFmtId="41" fontId="89" fillId="0" borderId="551" xfId="2" applyNumberFormat="1" applyFont="1" applyFill="1" applyBorder="1" applyAlignment="1" applyProtection="1">
      <alignment horizontal="right" vertical="center"/>
    </xf>
    <xf numFmtId="39" fontId="10" fillId="0" borderId="551" xfId="11" applyNumberFormat="1" applyFont="1" applyFill="1" applyBorder="1" applyAlignment="1" applyProtection="1">
      <alignment horizontal="center" vertical="center"/>
    </xf>
    <xf numFmtId="39" fontId="10" fillId="0" borderId="564" xfId="11" applyNumberFormat="1" applyFont="1" applyFill="1" applyBorder="1" applyAlignment="1" applyProtection="1">
      <alignment horizontal="center" vertical="center"/>
    </xf>
    <xf numFmtId="9" fontId="10" fillId="0" borderId="568" xfId="21" applyFont="1" applyFill="1" applyBorder="1" applyAlignment="1" applyProtection="1">
      <alignment horizontal="center" vertical="center"/>
    </xf>
    <xf numFmtId="39" fontId="10" fillId="0" borderId="568" xfId="11" applyNumberFormat="1" applyFont="1" applyFill="1" applyBorder="1" applyAlignment="1" applyProtection="1">
      <alignment horizontal="center" vertical="center"/>
    </xf>
    <xf numFmtId="39" fontId="10" fillId="0" borderId="568" xfId="11" applyNumberFormat="1" applyFont="1" applyBorder="1" applyAlignment="1">
      <alignment horizontal="center" vertical="center"/>
    </xf>
    <xf numFmtId="168" fontId="10" fillId="0" borderId="551" xfId="2" applyNumberFormat="1" applyFont="1" applyFill="1" applyBorder="1" applyAlignment="1" applyProtection="1">
      <alignment vertical="center"/>
    </xf>
    <xf numFmtId="0" fontId="10" fillId="0" borderId="578" xfId="11" applyFont="1" applyBorder="1" applyAlignment="1">
      <alignment horizontal="centerContinuous" vertical="center"/>
    </xf>
    <xf numFmtId="168" fontId="89" fillId="0" borderId="568" xfId="2" applyNumberFormat="1" applyFont="1" applyFill="1" applyBorder="1" applyAlignment="1" applyProtection="1">
      <alignment vertical="center"/>
    </xf>
    <xf numFmtId="9" fontId="89" fillId="0" borderId="564" xfId="21" applyFont="1" applyFill="1" applyBorder="1" applyAlignment="1" applyProtection="1">
      <alignment vertical="center"/>
    </xf>
    <xf numFmtId="41" fontId="89" fillId="0" borderId="564" xfId="2" applyFont="1" applyFill="1" applyBorder="1" applyAlignment="1" applyProtection="1">
      <alignment vertical="center"/>
    </xf>
    <xf numFmtId="168" fontId="10" fillId="0" borderId="629" xfId="2" applyNumberFormat="1" applyFont="1" applyBorder="1" applyAlignment="1">
      <alignment horizontal="center" vertical="center"/>
    </xf>
    <xf numFmtId="0" fontId="10" fillId="0" borderId="474" xfId="11" applyFont="1" applyBorder="1" applyAlignment="1">
      <alignment horizontal="center" vertical="center"/>
    </xf>
    <xf numFmtId="0" fontId="10" fillId="0" borderId="124" xfId="11" applyFont="1" applyBorder="1" applyAlignment="1">
      <alignment vertical="center"/>
    </xf>
    <xf numFmtId="39" fontId="10" fillId="0" borderId="124" xfId="11" applyNumberFormat="1" applyFont="1" applyBorder="1" applyAlignment="1">
      <alignment vertical="center"/>
    </xf>
    <xf numFmtId="39" fontId="10" fillId="0" borderId="125" xfId="11" applyNumberFormat="1" applyFont="1" applyBorder="1" applyAlignment="1">
      <alignment vertical="center"/>
    </xf>
    <xf numFmtId="168" fontId="10" fillId="0" borderId="124" xfId="2" applyNumberFormat="1" applyFont="1" applyFill="1" applyBorder="1" applyAlignment="1" applyProtection="1">
      <alignment horizontal="right" vertical="center"/>
    </xf>
    <xf numFmtId="39" fontId="10" fillId="0" borderId="124" xfId="11" applyNumberFormat="1" applyFont="1" applyFill="1" applyBorder="1" applyAlignment="1" applyProtection="1">
      <alignment horizontal="center" vertical="center"/>
    </xf>
    <xf numFmtId="39" fontId="10" fillId="0" borderId="126" xfId="11" applyNumberFormat="1" applyFont="1" applyFill="1" applyBorder="1" applyAlignment="1" applyProtection="1">
      <alignment horizontal="center" vertical="center"/>
    </xf>
    <xf numFmtId="9" fontId="10" fillId="0" borderId="125" xfId="21" applyFont="1" applyFill="1" applyBorder="1" applyAlignment="1" applyProtection="1">
      <alignment horizontal="center" vertical="center"/>
    </xf>
    <xf numFmtId="39" fontId="10" fillId="0" borderId="125" xfId="11" applyNumberFormat="1" applyFont="1" applyFill="1" applyBorder="1" applyAlignment="1" applyProtection="1">
      <alignment horizontal="center" vertical="center"/>
    </xf>
    <xf numFmtId="39" fontId="10" fillId="0" borderId="125" xfId="11" applyNumberFormat="1" applyFont="1" applyBorder="1" applyAlignment="1">
      <alignment horizontal="center" vertical="center"/>
    </xf>
    <xf numFmtId="168" fontId="10" fillId="0" borderId="124" xfId="2" applyNumberFormat="1" applyFont="1" applyFill="1" applyBorder="1" applyAlignment="1" applyProtection="1">
      <alignment vertical="center"/>
    </xf>
    <xf numFmtId="0" fontId="10" fillId="0" borderId="127" xfId="11" applyFont="1" applyBorder="1" applyAlignment="1">
      <alignment horizontal="centerContinuous" vertical="center"/>
    </xf>
    <xf numFmtId="168" fontId="10" fillId="0" borderId="125" xfId="2" applyNumberFormat="1" applyFont="1" applyFill="1" applyBorder="1" applyAlignment="1" applyProtection="1">
      <alignment vertical="center"/>
    </xf>
    <xf numFmtId="9" fontId="10" fillId="0" borderId="126" xfId="21" applyFont="1" applyFill="1" applyBorder="1" applyAlignment="1" applyProtection="1">
      <alignment vertical="center"/>
    </xf>
    <xf numFmtId="41" fontId="10" fillId="0" borderId="126" xfId="2" applyFont="1" applyFill="1" applyBorder="1" applyAlignment="1" applyProtection="1">
      <alignment vertical="center"/>
    </xf>
    <xf numFmtId="168" fontId="10" fillId="0" borderId="46" xfId="2" applyNumberFormat="1" applyFont="1" applyBorder="1" applyAlignment="1">
      <alignment horizontal="center" vertical="center"/>
    </xf>
    <xf numFmtId="39" fontId="10" fillId="0" borderId="567" xfId="11" applyNumberFormat="1" applyFont="1" applyBorder="1" applyAlignment="1">
      <alignment vertical="center"/>
    </xf>
    <xf numFmtId="39" fontId="10" fillId="0" borderId="464" xfId="11" applyNumberFormat="1" applyFont="1" applyBorder="1" applyAlignment="1">
      <alignment vertical="center"/>
    </xf>
    <xf numFmtId="180" fontId="10" fillId="0" borderId="549" xfId="2" applyNumberFormat="1" applyFont="1" applyFill="1" applyBorder="1" applyAlignment="1" applyProtection="1">
      <alignment horizontal="right" vertical="center"/>
    </xf>
    <xf numFmtId="0" fontId="10" fillId="0" borderId="627" xfId="11" applyFont="1" applyBorder="1" applyAlignment="1">
      <alignment horizontal="center" vertical="center"/>
    </xf>
    <xf numFmtId="43" fontId="10" fillId="0" borderId="604" xfId="11" applyNumberFormat="1" applyFont="1" applyBorder="1" applyAlignment="1">
      <alignment vertical="center"/>
    </xf>
    <xf numFmtId="39" fontId="10" fillId="0" borderId="604" xfId="11" applyNumberFormat="1" applyFont="1" applyBorder="1" applyAlignment="1">
      <alignment vertical="center"/>
    </xf>
    <xf numFmtId="39" fontId="10" fillId="0" borderId="607" xfId="11" applyNumberFormat="1" applyFont="1" applyBorder="1" applyAlignment="1">
      <alignment vertical="center"/>
    </xf>
    <xf numFmtId="168" fontId="10" fillId="0" borderId="604" xfId="2" applyNumberFormat="1" applyFont="1" applyFill="1" applyBorder="1" applyAlignment="1" applyProtection="1">
      <alignment horizontal="right" vertical="center"/>
    </xf>
    <xf numFmtId="0" fontId="10" fillId="0" borderId="604" xfId="11" applyFont="1" applyBorder="1" applyAlignment="1">
      <alignment vertical="center"/>
    </xf>
    <xf numFmtId="0" fontId="10" fillId="0" borderId="468" xfId="11" applyFont="1" applyBorder="1" applyAlignment="1">
      <alignment horizontal="center" vertical="center"/>
    </xf>
    <xf numFmtId="0" fontId="10" fillId="0" borderId="469" xfId="11" applyFont="1" applyBorder="1" applyAlignment="1">
      <alignment vertical="center"/>
    </xf>
    <xf numFmtId="39" fontId="10" fillId="0" borderId="469" xfId="11" applyNumberFormat="1" applyFont="1" applyBorder="1" applyAlignment="1">
      <alignment vertical="center"/>
    </xf>
    <xf numFmtId="39" fontId="10" fillId="0" borderId="470" xfId="11" applyNumberFormat="1" applyFont="1" applyBorder="1" applyAlignment="1">
      <alignment vertical="center"/>
    </xf>
    <xf numFmtId="168" fontId="10" fillId="0" borderId="471" xfId="2" applyNumberFormat="1" applyFont="1" applyFill="1" applyBorder="1" applyAlignment="1" applyProtection="1">
      <alignment vertical="center"/>
    </xf>
    <xf numFmtId="0" fontId="10" fillId="0" borderId="472" xfId="11" applyFont="1" applyBorder="1" applyAlignment="1">
      <alignment horizontal="center" vertical="center"/>
    </xf>
    <xf numFmtId="0" fontId="10" fillId="0" borderId="473" xfId="11" applyFont="1" applyBorder="1" applyAlignment="1">
      <alignment vertical="center"/>
    </xf>
    <xf numFmtId="0" fontId="10" fillId="0" borderId="309" xfId="11" applyFont="1" applyBorder="1" applyAlignment="1">
      <alignment vertical="center"/>
    </xf>
    <xf numFmtId="39" fontId="10" fillId="0" borderId="310" xfId="11" applyNumberFormat="1" applyFont="1" applyBorder="1" applyAlignment="1">
      <alignment vertical="center"/>
    </xf>
    <xf numFmtId="168" fontId="10" fillId="0" borderId="309" xfId="2" applyNumberFormat="1" applyFont="1" applyFill="1" applyBorder="1" applyAlignment="1" applyProtection="1">
      <alignment horizontal="right" vertical="center"/>
    </xf>
    <xf numFmtId="0" fontId="10" fillId="0" borderId="551" xfId="11" applyFont="1" applyBorder="1" applyAlignment="1">
      <alignment horizontal="center" vertical="center"/>
    </xf>
    <xf numFmtId="0" fontId="10" fillId="0" borderId="564" xfId="11" applyFont="1" applyBorder="1" applyAlignment="1">
      <alignment horizontal="center" vertical="center"/>
    </xf>
    <xf numFmtId="9" fontId="10" fillId="0" borderId="568" xfId="21" applyFont="1" applyBorder="1" applyAlignment="1">
      <alignment horizontal="center" vertical="center"/>
    </xf>
    <xf numFmtId="0" fontId="10" fillId="0" borderId="568" xfId="11" applyFont="1" applyBorder="1" applyAlignment="1">
      <alignment horizontal="center" vertical="center"/>
    </xf>
    <xf numFmtId="168" fontId="10" fillId="0" borderId="309" xfId="2" applyNumberFormat="1" applyFont="1" applyFill="1" applyBorder="1" applyAlignment="1" applyProtection="1">
      <alignment vertical="center"/>
    </xf>
    <xf numFmtId="168" fontId="10" fillId="0" borderId="473" xfId="2" applyNumberFormat="1" applyFont="1" applyFill="1" applyBorder="1" applyAlignment="1" applyProtection="1">
      <alignment vertical="center"/>
    </xf>
    <xf numFmtId="168" fontId="89" fillId="0" borderId="310" xfId="2" applyNumberFormat="1" applyFont="1" applyFill="1" applyBorder="1" applyAlignment="1" applyProtection="1">
      <alignment horizontal="right" vertical="center"/>
    </xf>
    <xf numFmtId="9" fontId="89" fillId="0" borderId="564" xfId="21" applyFont="1" applyBorder="1" applyAlignment="1">
      <alignment horizontal="right" vertical="center"/>
    </xf>
    <xf numFmtId="43" fontId="89" fillId="0" borderId="564" xfId="11" applyNumberFormat="1" applyFont="1" applyBorder="1" applyAlignment="1">
      <alignment horizontal="center" vertical="center"/>
    </xf>
    <xf numFmtId="0" fontId="10" fillId="0" borderId="565" xfId="11" applyFont="1" applyBorder="1" applyAlignment="1">
      <alignment horizontal="center" vertical="center"/>
    </xf>
    <xf numFmtId="0" fontId="94" fillId="0" borderId="474" xfId="11" applyFont="1" applyBorder="1" applyAlignment="1">
      <alignment horizontal="center" vertical="center"/>
    </xf>
    <xf numFmtId="0" fontId="94" fillId="0" borderId="124" xfId="11" applyFont="1" applyBorder="1" applyAlignment="1">
      <alignment horizontal="centerContinuous" vertical="center"/>
    </xf>
    <xf numFmtId="0" fontId="94" fillId="0" borderId="124" xfId="11" applyFont="1" applyBorder="1" applyAlignment="1">
      <alignment vertical="center"/>
    </xf>
    <xf numFmtId="0" fontId="10" fillId="0" borderId="124" xfId="11" applyFont="1" applyBorder="1" applyAlignment="1">
      <alignment horizontal="centerContinuous" vertical="center"/>
    </xf>
    <xf numFmtId="0" fontId="10" fillId="0" borderId="125" xfId="11" applyFont="1" applyBorder="1" applyAlignment="1">
      <alignment horizontal="centerContinuous" vertical="center"/>
    </xf>
    <xf numFmtId="0" fontId="10" fillId="0" borderId="124" xfId="11" applyFont="1" applyBorder="1" applyAlignment="1">
      <alignment horizontal="center" vertical="center"/>
    </xf>
    <xf numFmtId="0" fontId="10" fillId="0" borderId="126" xfId="11" applyFont="1" applyBorder="1" applyAlignment="1">
      <alignment horizontal="center" vertical="center"/>
    </xf>
    <xf numFmtId="9" fontId="10" fillId="0" borderId="125" xfId="21" applyFont="1" applyBorder="1" applyAlignment="1">
      <alignment horizontal="center" vertical="center"/>
    </xf>
    <xf numFmtId="0" fontId="10" fillId="0" borderId="125" xfId="11" applyFont="1" applyBorder="1" applyAlignment="1">
      <alignment horizontal="center" vertical="center"/>
    </xf>
    <xf numFmtId="168" fontId="10" fillId="0" borderId="127" xfId="2" applyNumberFormat="1" applyFont="1" applyFill="1" applyBorder="1" applyAlignment="1" applyProtection="1">
      <alignment horizontal="centerContinuous" vertical="center"/>
    </xf>
    <xf numFmtId="168" fontId="10" fillId="0" borderId="125" xfId="2" applyNumberFormat="1" applyFont="1" applyFill="1" applyBorder="1" applyAlignment="1" applyProtection="1">
      <alignment horizontal="center" vertical="center"/>
    </xf>
    <xf numFmtId="0" fontId="10" fillId="0" borderId="127" xfId="11" applyFont="1" applyBorder="1" applyAlignment="1">
      <alignment horizontal="center" vertical="center"/>
    </xf>
    <xf numFmtId="0" fontId="10" fillId="0" borderId="46" xfId="11" applyFont="1" applyBorder="1" applyAlignment="1">
      <alignment horizontal="center" vertical="center"/>
    </xf>
    <xf numFmtId="0" fontId="10" fillId="0" borderId="634" xfId="11" applyFont="1" applyBorder="1" applyAlignment="1">
      <alignment horizontal="center" vertical="center"/>
    </xf>
    <xf numFmtId="0" fontId="10" fillId="0" borderId="635" xfId="11" applyFont="1" applyBorder="1" applyAlignment="1">
      <alignment vertical="center"/>
    </xf>
    <xf numFmtId="39" fontId="10" fillId="0" borderId="635" xfId="11" applyNumberFormat="1" applyFont="1" applyBorder="1" applyAlignment="1">
      <alignment vertical="center"/>
    </xf>
    <xf numFmtId="39" fontId="10" fillId="0" borderId="636" xfId="11" applyNumberFormat="1" applyFont="1" applyBorder="1" applyAlignment="1">
      <alignment vertical="center"/>
    </xf>
    <xf numFmtId="168" fontId="10" fillId="0" borderId="635" xfId="2" applyNumberFormat="1" applyFont="1" applyFill="1" applyBorder="1" applyAlignment="1" applyProtection="1">
      <alignment horizontal="right" vertical="center"/>
    </xf>
    <xf numFmtId="39" fontId="10" fillId="0" borderId="635" xfId="11" applyNumberFormat="1" applyFont="1" applyFill="1" applyBorder="1" applyAlignment="1" applyProtection="1">
      <alignment horizontal="center" vertical="center"/>
    </xf>
    <xf numFmtId="39" fontId="10" fillId="0" borderId="637" xfId="11" applyNumberFormat="1" applyFont="1" applyFill="1" applyBorder="1" applyAlignment="1" applyProtection="1">
      <alignment horizontal="center" vertical="center"/>
    </xf>
    <xf numFmtId="9" fontId="10" fillId="0" borderId="636" xfId="21" applyFont="1" applyFill="1" applyBorder="1" applyAlignment="1" applyProtection="1">
      <alignment horizontal="center" vertical="center"/>
    </xf>
    <xf numFmtId="39" fontId="10" fillId="0" borderId="636" xfId="11" applyNumberFormat="1" applyFont="1" applyFill="1" applyBorder="1" applyAlignment="1" applyProtection="1">
      <alignment horizontal="center" vertical="center"/>
    </xf>
    <xf numFmtId="39" fontId="10" fillId="0" borderId="636" xfId="11" applyNumberFormat="1" applyFont="1" applyBorder="1" applyAlignment="1">
      <alignment horizontal="center" vertical="center"/>
    </xf>
    <xf numFmtId="168" fontId="10" fillId="0" borderId="635" xfId="2" applyNumberFormat="1" applyFont="1" applyFill="1" applyBorder="1" applyAlignment="1" applyProtection="1">
      <alignment vertical="center"/>
    </xf>
    <xf numFmtId="0" fontId="10" fillId="0" borderId="638" xfId="11" applyFont="1" applyBorder="1" applyAlignment="1">
      <alignment horizontal="centerContinuous" vertical="center"/>
    </xf>
    <xf numFmtId="168" fontId="10" fillId="0" borderId="636" xfId="2" applyNumberFormat="1" applyFont="1" applyFill="1" applyBorder="1" applyAlignment="1" applyProtection="1">
      <alignment vertical="center"/>
    </xf>
    <xf numFmtId="9" fontId="10" fillId="0" borderId="637" xfId="21" applyFont="1" applyFill="1" applyBorder="1" applyAlignment="1" applyProtection="1">
      <alignment vertical="center"/>
    </xf>
    <xf numFmtId="41" fontId="10" fillId="0" borderId="637" xfId="2" applyFont="1" applyFill="1" applyBorder="1" applyAlignment="1" applyProtection="1">
      <alignment vertical="center"/>
    </xf>
    <xf numFmtId="168" fontId="10" fillId="0" borderId="639" xfId="2" applyNumberFormat="1" applyFont="1" applyBorder="1" applyAlignment="1">
      <alignment horizontal="center" vertical="center"/>
    </xf>
    <xf numFmtId="43" fontId="90" fillId="0" borderId="0" xfId="11" applyNumberFormat="1" applyFont="1" applyAlignment="1">
      <alignment vertical="center"/>
    </xf>
    <xf numFmtId="168" fontId="10" fillId="0" borderId="640" xfId="2" applyNumberFormat="1" applyFont="1" applyFill="1" applyBorder="1" applyAlignment="1" applyProtection="1">
      <alignment horizontal="right" vertical="center"/>
    </xf>
    <xf numFmtId="168" fontId="10" fillId="0" borderId="641" xfId="2" applyNumberFormat="1" applyFont="1" applyFill="1" applyBorder="1" applyAlignment="1" applyProtection="1">
      <alignment vertical="center"/>
    </xf>
    <xf numFmtId="168" fontId="10" fillId="0" borderId="638" xfId="2" applyNumberFormat="1" applyFont="1" applyFill="1" applyBorder="1" applyAlignment="1" applyProtection="1">
      <alignment horizontal="right" vertical="center"/>
    </xf>
    <xf numFmtId="168" fontId="94" fillId="0" borderId="310" xfId="2" applyNumberFormat="1" applyFont="1" applyFill="1" applyBorder="1" applyAlignment="1" applyProtection="1">
      <alignment horizontal="right" vertical="center"/>
    </xf>
    <xf numFmtId="168" fontId="10" fillId="0" borderId="466" xfId="2" applyNumberFormat="1" applyFont="1" applyFill="1" applyBorder="1" applyAlignment="1" applyProtection="1">
      <alignment horizontal="centerContinuous" vertical="center"/>
    </xf>
    <xf numFmtId="168" fontId="10" fillId="0" borderId="464" xfId="2" applyNumberFormat="1" applyFont="1" applyFill="1" applyBorder="1" applyAlignment="1" applyProtection="1">
      <alignment horizontal="center" vertical="center"/>
    </xf>
    <xf numFmtId="168" fontId="89" fillId="0" borderId="578" xfId="11" applyNumberFormat="1" applyFont="1" applyBorder="1" applyAlignment="1">
      <alignment horizontal="center" vertical="center"/>
    </xf>
    <xf numFmtId="177" fontId="90" fillId="0" borderId="0" xfId="1" applyNumberFormat="1" applyFont="1" applyFill="1" applyAlignment="1">
      <alignment vertical="center"/>
    </xf>
    <xf numFmtId="0" fontId="90" fillId="0" borderId="124" xfId="11" applyFont="1" applyBorder="1" applyAlignment="1">
      <alignment horizontal="centerContinuous" vertical="center"/>
    </xf>
    <xf numFmtId="0" fontId="90" fillId="0" borderId="125" xfId="11" applyFont="1" applyBorder="1" applyAlignment="1">
      <alignment horizontal="centerContinuous" vertical="center"/>
    </xf>
    <xf numFmtId="0" fontId="90" fillId="0" borderId="124" xfId="11" applyFont="1" applyBorder="1" applyAlignment="1">
      <alignment horizontal="center" vertical="center"/>
    </xf>
    <xf numFmtId="0" fontId="90" fillId="0" borderId="126" xfId="11" applyFont="1" applyBorder="1" applyAlignment="1">
      <alignment horizontal="center" vertical="center"/>
    </xf>
    <xf numFmtId="9" fontId="90" fillId="0" borderId="125" xfId="21" applyFont="1" applyBorder="1" applyAlignment="1">
      <alignment horizontal="center" vertical="center"/>
    </xf>
    <xf numFmtId="0" fontId="90" fillId="0" borderId="125" xfId="11" applyFont="1" applyBorder="1" applyAlignment="1">
      <alignment horizontal="center" vertical="center"/>
    </xf>
    <xf numFmtId="168" fontId="90" fillId="0" borderId="124" xfId="2" applyNumberFormat="1" applyFont="1" applyFill="1" applyBorder="1" applyAlignment="1" applyProtection="1">
      <alignment vertical="center"/>
    </xf>
    <xf numFmtId="168" fontId="90" fillId="0" borderId="127" xfId="2" applyNumberFormat="1" applyFont="1" applyFill="1" applyBorder="1" applyAlignment="1" applyProtection="1">
      <alignment horizontal="centerContinuous" vertical="center"/>
    </xf>
    <xf numFmtId="168" fontId="90" fillId="0" borderId="125" xfId="2" applyNumberFormat="1" applyFont="1" applyFill="1" applyBorder="1" applyAlignment="1" applyProtection="1">
      <alignment horizontal="center" vertical="center"/>
    </xf>
    <xf numFmtId="0" fontId="90" fillId="0" borderId="127" xfId="11" applyFont="1" applyBorder="1" applyAlignment="1">
      <alignment horizontal="center" vertical="center"/>
    </xf>
    <xf numFmtId="0" fontId="90" fillId="0" borderId="46" xfId="11" applyFont="1" applyBorder="1" applyAlignment="1">
      <alignment horizontal="center" vertical="center"/>
    </xf>
    <xf numFmtId="0" fontId="89" fillId="0" borderId="463" xfId="11" applyFont="1" applyBorder="1" applyAlignment="1">
      <alignment vertical="center"/>
    </xf>
    <xf numFmtId="0" fontId="90" fillId="0" borderId="463" xfId="11" applyFont="1" applyBorder="1" applyAlignment="1">
      <alignment horizontal="centerContinuous" vertical="center"/>
    </xf>
    <xf numFmtId="0" fontId="90" fillId="0" borderId="464" xfId="11" applyFont="1" applyBorder="1" applyAlignment="1">
      <alignment horizontal="centerContinuous" vertical="center"/>
    </xf>
    <xf numFmtId="0" fontId="90" fillId="0" borderId="549" xfId="11" applyFont="1" applyBorder="1" applyAlignment="1">
      <alignment horizontal="center" vertical="center"/>
    </xf>
    <xf numFmtId="0" fontId="90" fillId="0" borderId="561" xfId="11" applyFont="1" applyBorder="1" applyAlignment="1">
      <alignment horizontal="center" vertical="center"/>
    </xf>
    <xf numFmtId="9" fontId="90" fillId="0" borderId="567" xfId="21" applyFont="1" applyBorder="1" applyAlignment="1">
      <alignment horizontal="center" vertical="center"/>
    </xf>
    <xf numFmtId="0" fontId="90" fillId="0" borderId="567" xfId="11" applyFont="1" applyBorder="1" applyAlignment="1">
      <alignment horizontal="center" vertical="center"/>
    </xf>
    <xf numFmtId="168" fontId="90" fillId="0" borderId="463" xfId="2" applyNumberFormat="1" applyFont="1" applyFill="1" applyBorder="1" applyAlignment="1" applyProtection="1">
      <alignment vertical="center"/>
    </xf>
    <xf numFmtId="168" fontId="90" fillId="0" borderId="466" xfId="2" applyNumberFormat="1" applyFont="1" applyFill="1" applyBorder="1" applyAlignment="1" applyProtection="1">
      <alignment horizontal="centerContinuous" vertical="center"/>
    </xf>
    <xf numFmtId="168" fontId="90" fillId="0" borderId="464" xfId="2" applyNumberFormat="1" applyFont="1" applyFill="1" applyBorder="1" applyAlignment="1" applyProtection="1">
      <alignment horizontal="center" vertical="center"/>
    </xf>
    <xf numFmtId="0" fontId="90" fillId="0" borderId="577" xfId="11" applyFont="1" applyBorder="1" applyAlignment="1">
      <alignment horizontal="center" vertical="center"/>
    </xf>
    <xf numFmtId="0" fontId="90" fillId="0" borderId="562" xfId="11" applyFont="1" applyBorder="1" applyAlignment="1">
      <alignment horizontal="center" vertical="center"/>
    </xf>
    <xf numFmtId="39" fontId="10" fillId="0" borderId="549" xfId="11" applyNumberFormat="1" applyFont="1" applyBorder="1" applyAlignment="1">
      <alignment horizontal="center" vertical="center"/>
    </xf>
    <xf numFmtId="39" fontId="10" fillId="0" borderId="561" xfId="11" applyNumberFormat="1" applyFont="1" applyBorder="1" applyAlignment="1">
      <alignment horizontal="center" vertical="center"/>
    </xf>
    <xf numFmtId="168" fontId="10" fillId="0" borderId="466" xfId="2" applyNumberFormat="1" applyFont="1" applyFill="1" applyBorder="1" applyAlignment="1" applyProtection="1">
      <alignment vertical="center"/>
    </xf>
    <xf numFmtId="39" fontId="10" fillId="0" borderId="577" xfId="11" applyNumberFormat="1" applyFont="1" applyBorder="1" applyAlignment="1">
      <alignment horizontal="center" vertical="center"/>
    </xf>
    <xf numFmtId="39" fontId="10" fillId="0" borderId="562" xfId="11" applyNumberFormat="1" applyFont="1" applyBorder="1" applyAlignment="1">
      <alignment horizontal="center" vertical="center"/>
    </xf>
    <xf numFmtId="39" fontId="10" fillId="0" borderId="635" xfId="11" applyNumberFormat="1" applyFont="1" applyBorder="1" applyAlignment="1">
      <alignment horizontal="center" vertical="center"/>
    </xf>
    <xf numFmtId="39" fontId="10" fillId="0" borderId="637" xfId="11" applyNumberFormat="1" applyFont="1" applyBorder="1" applyAlignment="1">
      <alignment horizontal="center" vertical="center"/>
    </xf>
    <xf numFmtId="9" fontId="10" fillId="0" borderId="636" xfId="21" applyFont="1" applyBorder="1" applyAlignment="1">
      <alignment horizontal="center" vertical="center"/>
    </xf>
    <xf numFmtId="168" fontId="10" fillId="0" borderId="638" xfId="2" applyNumberFormat="1" applyFont="1" applyFill="1" applyBorder="1" applyAlignment="1" applyProtection="1">
      <alignment vertical="center"/>
    </xf>
    <xf numFmtId="0" fontId="89" fillId="0" borderId="462" xfId="11" applyFont="1" applyBorder="1" applyAlignment="1">
      <alignment horizontal="center" vertical="center"/>
    </xf>
    <xf numFmtId="0" fontId="89" fillId="0" borderId="463" xfId="11" applyFont="1" applyBorder="1" applyAlignment="1">
      <alignment horizontal="centerContinuous" vertical="center"/>
    </xf>
    <xf numFmtId="168" fontId="10" fillId="0" borderId="466" xfId="2" applyNumberFormat="1" applyFont="1" applyFill="1" applyBorder="1" applyAlignment="1" applyProtection="1">
      <alignment horizontal="right" vertical="center"/>
    </xf>
    <xf numFmtId="0" fontId="90" fillId="0" borderId="462" xfId="11" applyFont="1" applyBorder="1" applyAlignment="1">
      <alignment horizontal="center" vertical="center"/>
    </xf>
    <xf numFmtId="0" fontId="90" fillId="0" borderId="634" xfId="11" applyFont="1" applyBorder="1" applyAlignment="1">
      <alignment horizontal="center" vertical="center"/>
    </xf>
    <xf numFmtId="0" fontId="90" fillId="0" borderId="474" xfId="11" applyFont="1" applyBorder="1" applyAlignment="1">
      <alignment horizontal="center" vertical="center"/>
    </xf>
    <xf numFmtId="168" fontId="90" fillId="0" borderId="466" xfId="2" applyNumberFormat="1" applyFont="1" applyFill="1" applyBorder="1" applyAlignment="1" applyProtection="1">
      <alignment vertical="center"/>
    </xf>
    <xf numFmtId="41" fontId="10" fillId="0" borderId="0" xfId="2" applyFont="1" applyAlignment="1">
      <alignment vertical="center"/>
    </xf>
    <xf numFmtId="0" fontId="10" fillId="0" borderId="635" xfId="11" applyFont="1" applyBorder="1" applyAlignment="1">
      <alignment horizontal="left" vertical="center"/>
    </xf>
    <xf numFmtId="0" fontId="10" fillId="0" borderId="635" xfId="11" applyFont="1" applyBorder="1" applyAlignment="1">
      <alignment horizontal="centerContinuous" vertical="center"/>
    </xf>
    <xf numFmtId="0" fontId="10" fillId="0" borderId="636" xfId="11" applyFont="1" applyBorder="1" applyAlignment="1">
      <alignment horizontal="centerContinuous" vertical="center"/>
    </xf>
    <xf numFmtId="168" fontId="10" fillId="0" borderId="0" xfId="2" applyNumberFormat="1" applyFont="1" applyFill="1" applyBorder="1" applyAlignment="1" applyProtection="1">
      <alignment vertical="center"/>
    </xf>
    <xf numFmtId="0" fontId="10" fillId="0" borderId="472" xfId="11" applyFont="1" applyFill="1" applyBorder="1" applyAlignment="1">
      <alignment horizontal="center" vertical="center"/>
    </xf>
    <xf numFmtId="0" fontId="10" fillId="0" borderId="473" xfId="11" applyFont="1" applyFill="1" applyBorder="1" applyAlignment="1">
      <alignment vertical="center"/>
    </xf>
    <xf numFmtId="0" fontId="10" fillId="0" borderId="309" xfId="11" applyFont="1" applyFill="1" applyBorder="1" applyAlignment="1">
      <alignment vertical="center"/>
    </xf>
    <xf numFmtId="39" fontId="10" fillId="0" borderId="310" xfId="11" applyNumberFormat="1" applyFont="1" applyFill="1" applyBorder="1" applyAlignment="1">
      <alignment vertical="center"/>
    </xf>
    <xf numFmtId="0" fontId="10" fillId="0" borderId="551" xfId="11" applyFont="1" applyFill="1" applyBorder="1" applyAlignment="1">
      <alignment horizontal="center" vertical="center"/>
    </xf>
    <xf numFmtId="0" fontId="10" fillId="0" borderId="564" xfId="11" applyFont="1" applyFill="1" applyBorder="1" applyAlignment="1">
      <alignment horizontal="center" vertical="center"/>
    </xf>
    <xf numFmtId="9" fontId="10" fillId="0" borderId="568" xfId="21" applyFont="1" applyFill="1" applyBorder="1" applyAlignment="1">
      <alignment horizontal="center" vertical="center"/>
    </xf>
    <xf numFmtId="0" fontId="10" fillId="0" borderId="568" xfId="11" applyFont="1" applyFill="1" applyBorder="1" applyAlignment="1">
      <alignment horizontal="center" vertical="center"/>
    </xf>
    <xf numFmtId="9" fontId="89" fillId="0" borderId="564" xfId="21" applyFont="1" applyFill="1" applyBorder="1" applyAlignment="1">
      <alignment horizontal="right" vertical="center"/>
    </xf>
    <xf numFmtId="168" fontId="89" fillId="0" borderId="578" xfId="11" applyNumberFormat="1" applyFont="1" applyFill="1" applyBorder="1" applyAlignment="1">
      <alignment horizontal="center" vertical="center"/>
    </xf>
    <xf numFmtId="0" fontId="10" fillId="0" borderId="565" xfId="11" applyFont="1" applyFill="1" applyBorder="1" applyAlignment="1">
      <alignment horizontal="center" vertical="center"/>
    </xf>
    <xf numFmtId="41" fontId="89" fillId="0" borderId="0" xfId="2" applyFont="1" applyFill="1" applyAlignment="1">
      <alignment vertical="center"/>
    </xf>
    <xf numFmtId="168" fontId="90" fillId="0" borderId="0" xfId="11" applyNumberFormat="1" applyFont="1" applyFill="1" applyAlignment="1">
      <alignment vertical="center"/>
    </xf>
    <xf numFmtId="0" fontId="90" fillId="0" borderId="0" xfId="11" applyFont="1" applyFill="1" applyAlignment="1">
      <alignment vertical="center"/>
    </xf>
    <xf numFmtId="43" fontId="10" fillId="0" borderId="0" xfId="11" applyNumberFormat="1" applyFont="1" applyFill="1" applyAlignment="1">
      <alignment vertical="center"/>
    </xf>
    <xf numFmtId="43" fontId="90" fillId="0" borderId="0" xfId="1" applyFont="1" applyFill="1" applyAlignment="1">
      <alignment vertical="center"/>
    </xf>
    <xf numFmtId="41" fontId="87" fillId="0" borderId="0" xfId="2" applyFont="1" applyFill="1" applyAlignment="1">
      <alignment vertical="center"/>
    </xf>
    <xf numFmtId="0" fontId="10" fillId="0" borderId="462" xfId="11" applyFont="1" applyFill="1" applyBorder="1" applyAlignment="1">
      <alignment horizontal="center" vertical="center"/>
    </xf>
    <xf numFmtId="0" fontId="10" fillId="0" borderId="463" xfId="11" applyFont="1" applyFill="1" applyBorder="1" applyAlignment="1">
      <alignment vertical="center"/>
    </xf>
    <xf numFmtId="39" fontId="10" fillId="0" borderId="463" xfId="11" applyNumberFormat="1" applyFont="1" applyFill="1" applyBorder="1" applyAlignment="1">
      <alignment vertical="center"/>
    </xf>
    <xf numFmtId="39" fontId="10" fillId="0" borderId="464" xfId="11" applyNumberFormat="1" applyFont="1" applyFill="1" applyBorder="1" applyAlignment="1">
      <alignment vertical="center"/>
    </xf>
    <xf numFmtId="39" fontId="10" fillId="0" borderId="568" xfId="11" applyNumberFormat="1" applyFont="1" applyBorder="1" applyAlignment="1">
      <alignment vertical="center"/>
    </xf>
    <xf numFmtId="168" fontId="10" fillId="0" borderId="551" xfId="2" applyNumberFormat="1" applyFont="1" applyFill="1" applyBorder="1" applyAlignment="1" applyProtection="1">
      <alignment horizontal="right" vertical="center"/>
    </xf>
    <xf numFmtId="39" fontId="10" fillId="0" borderId="622" xfId="11" applyNumberFormat="1" applyFont="1" applyFill="1" applyBorder="1" applyAlignment="1" applyProtection="1">
      <alignment horizontal="center" vertical="center"/>
    </xf>
    <xf numFmtId="168" fontId="10" fillId="0" borderId="568" xfId="2" applyNumberFormat="1" applyFont="1" applyFill="1" applyBorder="1" applyAlignment="1" applyProtection="1">
      <alignment vertical="center"/>
    </xf>
    <xf numFmtId="9" fontId="10" fillId="0" borderId="622" xfId="21" applyFont="1" applyFill="1" applyBorder="1" applyAlignment="1" applyProtection="1">
      <alignment vertical="center"/>
    </xf>
    <xf numFmtId="41" fontId="10" fillId="0" borderId="622" xfId="2" applyFont="1" applyFill="1" applyBorder="1" applyAlignment="1" applyProtection="1">
      <alignment vertical="center"/>
    </xf>
    <xf numFmtId="39" fontId="10" fillId="0" borderId="0" xfId="11" applyNumberFormat="1" applyFont="1" applyAlignment="1">
      <alignment vertical="center"/>
    </xf>
    <xf numFmtId="39" fontId="10" fillId="0" borderId="642" xfId="11" applyNumberFormat="1" applyFont="1" applyFill="1" applyBorder="1" applyAlignment="1" applyProtection="1">
      <alignment horizontal="center" vertical="center"/>
    </xf>
    <xf numFmtId="0" fontId="94" fillId="0" borderId="462" xfId="30" applyFont="1" applyBorder="1" applyAlignment="1">
      <alignment horizontal="center" vertical="center"/>
    </xf>
    <xf numFmtId="0" fontId="94" fillId="0" borderId="124" xfId="30" applyFont="1" applyBorder="1" applyAlignment="1">
      <alignment horizontal="centerContinuous" vertical="center"/>
    </xf>
    <xf numFmtId="0" fontId="94" fillId="0" borderId="124" xfId="30" applyFont="1" applyBorder="1" applyAlignment="1">
      <alignment vertical="center"/>
    </xf>
    <xf numFmtId="0" fontId="10" fillId="0" borderId="124" xfId="30" applyFont="1" applyBorder="1" applyAlignment="1">
      <alignment horizontal="centerContinuous" vertical="center"/>
    </xf>
    <xf numFmtId="0" fontId="10" fillId="0" borderId="125" xfId="30" applyFont="1" applyBorder="1" applyAlignment="1">
      <alignment horizontal="centerContinuous" vertical="center"/>
    </xf>
    <xf numFmtId="168" fontId="10" fillId="0" borderId="463" xfId="31" applyNumberFormat="1" applyFont="1" applyFill="1" applyBorder="1" applyAlignment="1" applyProtection="1">
      <alignment horizontal="right" vertical="center"/>
    </xf>
    <xf numFmtId="0" fontId="10" fillId="0" borderId="124" xfId="30" applyFont="1" applyBorder="1" applyAlignment="1">
      <alignment horizontal="center" vertical="center"/>
    </xf>
    <xf numFmtId="0" fontId="10" fillId="0" borderId="126" xfId="30" applyFont="1" applyBorder="1" applyAlignment="1">
      <alignment horizontal="center" vertical="center"/>
    </xf>
    <xf numFmtId="0" fontId="10" fillId="0" borderId="125" xfId="30" applyFont="1" applyBorder="1" applyAlignment="1">
      <alignment horizontal="center" vertical="center"/>
    </xf>
    <xf numFmtId="168" fontId="10" fillId="0" borderId="124" xfId="31" applyNumberFormat="1" applyFont="1" applyFill="1" applyBorder="1" applyAlignment="1" applyProtection="1">
      <alignment vertical="center"/>
    </xf>
    <xf numFmtId="168" fontId="10" fillId="0" borderId="127" xfId="31" applyNumberFormat="1" applyFont="1" applyFill="1" applyBorder="1" applyAlignment="1" applyProtection="1">
      <alignment horizontal="centerContinuous" vertical="center"/>
    </xf>
    <xf numFmtId="168" fontId="10" fillId="0" borderId="125" xfId="31" applyNumberFormat="1" applyFont="1" applyFill="1" applyBorder="1" applyAlignment="1" applyProtection="1">
      <alignment horizontal="center" vertical="center"/>
    </xf>
    <xf numFmtId="0" fontId="10" fillId="0" borderId="127" xfId="30" applyFont="1" applyBorder="1" applyAlignment="1">
      <alignment horizontal="center" vertical="center"/>
    </xf>
    <xf numFmtId="0" fontId="10" fillId="0" borderId="46" xfId="30" applyFont="1" applyBorder="1" applyAlignment="1">
      <alignment horizontal="center" vertical="center"/>
    </xf>
    <xf numFmtId="0" fontId="90" fillId="0" borderId="0" xfId="30" applyFont="1" applyAlignment="1">
      <alignment vertical="center"/>
    </xf>
    <xf numFmtId="168" fontId="90" fillId="0" borderId="0" xfId="31" applyNumberFormat="1" applyFont="1" applyFill="1" applyAlignment="1">
      <alignment vertical="center"/>
    </xf>
    <xf numFmtId="0" fontId="10" fillId="0" borderId="462" xfId="30" applyFont="1" applyBorder="1" applyAlignment="1">
      <alignment horizontal="center" vertical="center"/>
    </xf>
    <xf numFmtId="0" fontId="10" fillId="0" borderId="463" xfId="30" applyFont="1" applyBorder="1" applyAlignment="1">
      <alignment vertical="center"/>
    </xf>
    <xf numFmtId="168" fontId="100" fillId="0" borderId="0" xfId="31" applyNumberFormat="1" applyFont="1" applyFill="1" applyAlignment="1">
      <alignment vertical="center"/>
    </xf>
    <xf numFmtId="0" fontId="94" fillId="0" borderId="462" xfId="11" applyFont="1" applyBorder="1" applyAlignment="1">
      <alignment horizontal="right" vertical="center"/>
    </xf>
    <xf numFmtId="0" fontId="94" fillId="0" borderId="462" xfId="11" applyFont="1" applyFill="1" applyBorder="1" applyAlignment="1">
      <alignment horizontal="right" vertical="center"/>
    </xf>
    <xf numFmtId="0" fontId="94" fillId="0" borderId="124" xfId="11" applyFont="1" applyFill="1" applyBorder="1" applyAlignment="1">
      <alignment horizontal="centerContinuous" vertical="center"/>
    </xf>
    <xf numFmtId="0" fontId="94" fillId="0" borderId="124" xfId="11" applyFont="1" applyFill="1" applyBorder="1" applyAlignment="1">
      <alignment vertical="center"/>
    </xf>
    <xf numFmtId="0" fontId="10" fillId="0" borderId="124" xfId="11" applyFont="1" applyFill="1" applyBorder="1" applyAlignment="1">
      <alignment horizontal="centerContinuous" vertical="center"/>
    </xf>
    <xf numFmtId="0" fontId="10" fillId="0" borderId="125" xfId="11" applyFont="1" applyFill="1" applyBorder="1" applyAlignment="1">
      <alignment horizontal="centerContinuous" vertical="center"/>
    </xf>
    <xf numFmtId="0" fontId="10" fillId="0" borderId="124" xfId="11" applyFont="1" applyFill="1" applyBorder="1" applyAlignment="1">
      <alignment horizontal="center" vertical="center"/>
    </xf>
    <xf numFmtId="0" fontId="10" fillId="0" borderId="126" xfId="11" applyFont="1" applyFill="1" applyBorder="1" applyAlignment="1">
      <alignment horizontal="center" vertical="center"/>
    </xf>
    <xf numFmtId="9" fontId="10" fillId="0" borderId="125" xfId="21" applyFont="1" applyFill="1" applyBorder="1" applyAlignment="1">
      <alignment horizontal="center" vertical="center"/>
    </xf>
    <xf numFmtId="0" fontId="10" fillId="0" borderId="125" xfId="11" applyFont="1" applyFill="1" applyBorder="1" applyAlignment="1">
      <alignment horizontal="center" vertical="center"/>
    </xf>
    <xf numFmtId="0" fontId="10" fillId="0" borderId="127" xfId="11" applyFont="1" applyFill="1" applyBorder="1" applyAlignment="1">
      <alignment horizontal="center" vertical="center"/>
    </xf>
    <xf numFmtId="0" fontId="10" fillId="0" borderId="46" xfId="11" applyFont="1" applyFill="1" applyBorder="1" applyAlignment="1">
      <alignment horizontal="center" vertical="center"/>
    </xf>
    <xf numFmtId="168" fontId="101" fillId="0" borderId="0" xfId="2" applyNumberFormat="1" applyFont="1" applyFill="1" applyAlignment="1">
      <alignment vertical="center"/>
    </xf>
    <xf numFmtId="168" fontId="10" fillId="0" borderId="475" xfId="2" applyNumberFormat="1" applyFont="1" applyFill="1" applyBorder="1" applyAlignment="1" applyProtection="1">
      <alignment horizontal="right" vertical="center"/>
    </xf>
    <xf numFmtId="168" fontId="90" fillId="0" borderId="0" xfId="2" applyNumberFormat="1" applyFont="1" applyAlignment="1">
      <alignment vertical="center"/>
    </xf>
    <xf numFmtId="0" fontId="10" fillId="0" borderId="476" xfId="30" applyFont="1" applyFill="1" applyBorder="1" applyAlignment="1">
      <alignment horizontal="center" vertical="center"/>
    </xf>
    <xf numFmtId="0" fontId="10" fillId="0" borderId="477" xfId="30" applyFont="1" applyFill="1" applyBorder="1" applyAlignment="1">
      <alignment vertical="center"/>
    </xf>
    <xf numFmtId="39" fontId="10" fillId="0" borderId="478" xfId="30" applyNumberFormat="1" applyFont="1" applyFill="1" applyBorder="1" applyAlignment="1">
      <alignment vertical="center"/>
    </xf>
    <xf numFmtId="168" fontId="10" fillId="0" borderId="477" xfId="31" applyNumberFormat="1" applyFont="1" applyFill="1" applyBorder="1" applyAlignment="1" applyProtection="1">
      <alignment horizontal="right" vertical="center"/>
    </xf>
    <xf numFmtId="39" fontId="10" fillId="0" borderId="480" xfId="30" applyNumberFormat="1" applyFont="1" applyFill="1" applyBorder="1" applyAlignment="1">
      <alignment horizontal="center" vertical="center"/>
    </xf>
    <xf numFmtId="39" fontId="10" fillId="0" borderId="618" xfId="30" applyNumberFormat="1" applyFont="1" applyFill="1" applyBorder="1" applyAlignment="1">
      <alignment horizontal="center" vertical="center"/>
    </xf>
    <xf numFmtId="9" fontId="10" fillId="0" borderId="480" xfId="21" applyFont="1" applyFill="1" applyBorder="1" applyAlignment="1">
      <alignment horizontal="center" vertical="center"/>
    </xf>
    <xf numFmtId="168" fontId="94" fillId="0" borderId="564" xfId="31" applyNumberFormat="1" applyFont="1" applyFill="1" applyBorder="1" applyAlignment="1" applyProtection="1">
      <alignment vertical="center"/>
    </xf>
    <xf numFmtId="168" fontId="94" fillId="0" borderId="578" xfId="31" applyNumberFormat="1" applyFont="1" applyFill="1" applyBorder="1" applyAlignment="1" applyProtection="1">
      <alignment vertical="center"/>
    </xf>
    <xf numFmtId="168" fontId="94" fillId="0" borderId="565" xfId="31" applyNumberFormat="1" applyFont="1" applyFill="1" applyBorder="1" applyAlignment="1" applyProtection="1">
      <alignment vertical="center"/>
    </xf>
    <xf numFmtId="168" fontId="101" fillId="0" borderId="0" xfId="31" applyNumberFormat="1" applyFont="1" applyFill="1" applyAlignment="1">
      <alignment vertical="center"/>
    </xf>
    <xf numFmtId="0" fontId="97" fillId="6" borderId="11" xfId="11" applyFont="1" applyFill="1" applyBorder="1" applyAlignment="1">
      <alignment horizontal="center" vertical="center"/>
    </xf>
    <xf numFmtId="0" fontId="97" fillId="6" borderId="0" xfId="11" applyFont="1" applyFill="1" applyAlignment="1">
      <alignment horizontal="left" vertical="center"/>
    </xf>
    <xf numFmtId="9" fontId="97" fillId="6" borderId="586" xfId="21" applyFont="1" applyFill="1" applyBorder="1" applyAlignment="1">
      <alignment horizontal="centerContinuous" vertical="center"/>
    </xf>
    <xf numFmtId="0" fontId="97" fillId="6" borderId="564" xfId="11" applyFont="1" applyFill="1" applyBorder="1" applyAlignment="1">
      <alignment horizontal="center" vertical="center"/>
    </xf>
    <xf numFmtId="0" fontId="97" fillId="6" borderId="578" xfId="11" applyFont="1" applyFill="1" applyBorder="1" applyAlignment="1">
      <alignment horizontal="center" vertical="center"/>
    </xf>
    <xf numFmtId="0" fontId="97" fillId="6" borderId="565" xfId="11" applyFont="1" applyFill="1" applyBorder="1" applyAlignment="1">
      <alignment horizontal="center" vertical="center"/>
    </xf>
    <xf numFmtId="0" fontId="89" fillId="0" borderId="482" xfId="30" applyFont="1" applyFill="1" applyBorder="1" applyAlignment="1">
      <alignment horizontal="center" vertical="center"/>
    </xf>
    <xf numFmtId="0" fontId="89" fillId="0" borderId="483" xfId="30" applyFont="1" applyFill="1" applyBorder="1" applyAlignment="1">
      <alignment vertical="center"/>
    </xf>
    <xf numFmtId="39" fontId="89" fillId="0" borderId="484" xfId="30" applyNumberFormat="1" applyFont="1" applyFill="1" applyBorder="1" applyAlignment="1">
      <alignment vertical="center"/>
    </xf>
    <xf numFmtId="39" fontId="10" fillId="0" borderId="484" xfId="30" applyNumberFormat="1" applyFont="1" applyFill="1" applyBorder="1" applyAlignment="1">
      <alignment vertical="center"/>
    </xf>
    <xf numFmtId="168" fontId="10" fillId="0" borderId="483" xfId="31" applyNumberFormat="1" applyFont="1" applyFill="1" applyBorder="1" applyAlignment="1" applyProtection="1">
      <alignment horizontal="right" vertical="center"/>
    </xf>
    <xf numFmtId="39" fontId="10" fillId="0" borderId="484" xfId="30" applyNumberFormat="1" applyFont="1" applyFill="1" applyBorder="1" applyAlignment="1">
      <alignment horizontal="center" vertical="center"/>
    </xf>
    <xf numFmtId="39" fontId="10" fillId="0" borderId="619" xfId="30" applyNumberFormat="1" applyFont="1" applyFill="1" applyBorder="1" applyAlignment="1">
      <alignment horizontal="center" vertical="center"/>
    </xf>
    <xf numFmtId="9" fontId="10" fillId="0" borderId="484" xfId="21" applyFont="1" applyFill="1" applyBorder="1" applyAlignment="1">
      <alignment horizontal="center" vertical="center"/>
    </xf>
    <xf numFmtId="168" fontId="94" fillId="0" borderId="484" xfId="31" quotePrefix="1" applyNumberFormat="1" applyFont="1" applyFill="1" applyBorder="1" applyAlignment="1" applyProtection="1">
      <alignment horizontal="right" vertical="center"/>
    </xf>
    <xf numFmtId="168" fontId="94" fillId="0" borderId="486" xfId="31" quotePrefix="1" applyNumberFormat="1" applyFont="1" applyFill="1" applyBorder="1" applyAlignment="1" applyProtection="1">
      <alignment horizontal="right" vertical="center"/>
    </xf>
    <xf numFmtId="168" fontId="94" fillId="0" borderId="483" xfId="31" quotePrefix="1" applyNumberFormat="1" applyFont="1" applyFill="1" applyBorder="1" applyAlignment="1" applyProtection="1">
      <alignment horizontal="right" vertical="center"/>
    </xf>
    <xf numFmtId="168" fontId="94" fillId="0" borderId="485" xfId="31" quotePrefix="1" applyNumberFormat="1" applyFont="1" applyFill="1" applyBorder="1" applyAlignment="1" applyProtection="1">
      <alignment horizontal="right" vertical="center"/>
    </xf>
    <xf numFmtId="168" fontId="94" fillId="0" borderId="570" xfId="31" applyNumberFormat="1" applyFont="1" applyFill="1" applyBorder="1" applyAlignment="1" applyProtection="1">
      <alignment vertical="center"/>
    </xf>
    <xf numFmtId="168" fontId="94" fillId="0" borderId="579" xfId="31" applyNumberFormat="1" applyFont="1" applyFill="1" applyBorder="1" applyAlignment="1" applyProtection="1">
      <alignment vertical="center"/>
    </xf>
    <xf numFmtId="168" fontId="94" fillId="0" borderId="571" xfId="31" applyNumberFormat="1" applyFont="1" applyFill="1" applyBorder="1" applyAlignment="1" applyProtection="1">
      <alignment vertical="center"/>
    </xf>
    <xf numFmtId="0" fontId="10" fillId="0" borderId="487" xfId="11" applyFont="1" applyFill="1" applyBorder="1" applyAlignment="1">
      <alignment horizontal="center" vertical="center"/>
    </xf>
    <xf numFmtId="0" fontId="10" fillId="0" borderId="488" xfId="11" applyFont="1" applyFill="1" applyBorder="1" applyAlignment="1">
      <alignment vertical="center"/>
    </xf>
    <xf numFmtId="0" fontId="10" fillId="0" borderId="489" xfId="11" applyFont="1" applyFill="1" applyBorder="1" applyAlignment="1">
      <alignment vertical="center"/>
    </xf>
    <xf numFmtId="39" fontId="10" fillId="0" borderId="489" xfId="11" applyNumberFormat="1" applyFont="1" applyFill="1" applyBorder="1" applyAlignment="1">
      <alignment vertical="center"/>
    </xf>
    <xf numFmtId="39" fontId="10" fillId="0" borderId="488" xfId="11" applyNumberFormat="1" applyFont="1" applyFill="1" applyBorder="1" applyAlignment="1">
      <alignment horizontal="right" vertical="center"/>
    </xf>
    <xf numFmtId="0" fontId="10" fillId="0" borderId="490" xfId="11" applyFont="1" applyFill="1" applyBorder="1" applyAlignment="1">
      <alignment horizontal="center" vertical="center"/>
    </xf>
    <xf numFmtId="0" fontId="10" fillId="0" borderId="491" xfId="11" applyFont="1" applyFill="1" applyBorder="1" applyAlignment="1">
      <alignment vertical="center"/>
    </xf>
    <xf numFmtId="39" fontId="10" fillId="0" borderId="640" xfId="11" applyNumberFormat="1" applyFont="1" applyBorder="1" applyAlignment="1">
      <alignment vertical="center"/>
    </xf>
    <xf numFmtId="0" fontId="10" fillId="0" borderId="492" xfId="11" applyFont="1" applyFill="1" applyBorder="1" applyAlignment="1">
      <alignment vertical="center"/>
    </xf>
    <xf numFmtId="39" fontId="10" fillId="0" borderId="492" xfId="11" applyNumberFormat="1" applyFont="1" applyFill="1" applyBorder="1" applyAlignment="1">
      <alignment vertical="center"/>
    </xf>
    <xf numFmtId="39" fontId="10" fillId="0" borderId="491" xfId="11" applyNumberFormat="1" applyFont="1" applyFill="1" applyBorder="1" applyAlignment="1">
      <alignment horizontal="right" vertical="center"/>
    </xf>
    <xf numFmtId="39" fontId="10" fillId="0" borderId="640" xfId="11" applyNumberFormat="1" applyFont="1" applyFill="1" applyBorder="1" applyAlignment="1" applyProtection="1">
      <alignment horizontal="center" vertical="center"/>
    </xf>
    <xf numFmtId="9" fontId="10" fillId="0" borderId="643" xfId="21" applyFont="1" applyFill="1" applyBorder="1" applyAlignment="1" applyProtection="1">
      <alignment horizontal="center" vertical="center"/>
    </xf>
    <xf numFmtId="39" fontId="10" fillId="0" borderId="643" xfId="11" applyNumberFormat="1" applyFont="1" applyFill="1" applyBorder="1" applyAlignment="1" applyProtection="1">
      <alignment horizontal="center" vertical="center"/>
    </xf>
    <xf numFmtId="39" fontId="10" fillId="0" borderId="643" xfId="11" applyNumberFormat="1" applyFont="1" applyBorder="1" applyAlignment="1">
      <alignment horizontal="center" vertical="center"/>
    </xf>
    <xf numFmtId="168" fontId="10" fillId="0" borderId="475" xfId="2" applyNumberFormat="1" applyFont="1" applyFill="1" applyBorder="1" applyAlignment="1" applyProtection="1">
      <alignment vertical="center"/>
    </xf>
    <xf numFmtId="0" fontId="10" fillId="0" borderId="644" xfId="11" applyFont="1" applyBorder="1" applyAlignment="1">
      <alignment horizontal="centerContinuous" vertical="center"/>
    </xf>
    <xf numFmtId="168" fontId="10" fillId="0" borderId="643" xfId="2" applyNumberFormat="1" applyFont="1" applyFill="1" applyBorder="1" applyAlignment="1" applyProtection="1">
      <alignment vertical="center"/>
    </xf>
    <xf numFmtId="9" fontId="10" fillId="0" borderId="642" xfId="21" applyFont="1" applyFill="1" applyBorder="1" applyAlignment="1" applyProtection="1">
      <alignment vertical="center"/>
    </xf>
    <xf numFmtId="41" fontId="10" fillId="0" borderId="642" xfId="2" applyFont="1" applyFill="1" applyBorder="1" applyAlignment="1" applyProtection="1">
      <alignment vertical="center"/>
    </xf>
    <xf numFmtId="168" fontId="10" fillId="0" borderId="645" xfId="2" applyNumberFormat="1" applyFont="1" applyBorder="1" applyAlignment="1">
      <alignment horizontal="center" vertical="center"/>
    </xf>
    <xf numFmtId="39" fontId="10" fillId="0" borderId="475" xfId="11" applyNumberFormat="1" applyFont="1" applyBorder="1" applyAlignment="1">
      <alignment vertical="center"/>
    </xf>
    <xf numFmtId="39" fontId="10" fillId="0" borderId="475" xfId="11" applyNumberFormat="1" applyFont="1" applyFill="1" applyBorder="1" applyAlignment="1" applyProtection="1">
      <alignment horizontal="center" vertical="center"/>
    </xf>
    <xf numFmtId="39" fontId="10" fillId="0" borderId="604" xfId="11" applyNumberFormat="1" applyFont="1" applyFill="1" applyBorder="1" applyAlignment="1" applyProtection="1">
      <alignment horizontal="center" vertical="center"/>
    </xf>
    <xf numFmtId="39" fontId="10" fillId="0" borderId="605" xfId="11" applyNumberFormat="1" applyFont="1" applyFill="1" applyBorder="1" applyAlignment="1" applyProtection="1">
      <alignment horizontal="center" vertical="center"/>
    </xf>
    <xf numFmtId="9" fontId="10" fillId="0" borderId="607" xfId="21" applyFont="1" applyFill="1" applyBorder="1" applyAlignment="1" applyProtection="1">
      <alignment horizontal="center" vertical="center"/>
    </xf>
    <xf numFmtId="39" fontId="10" fillId="0" borderId="607" xfId="11" applyNumberFormat="1" applyFont="1" applyFill="1" applyBorder="1" applyAlignment="1" applyProtection="1">
      <alignment horizontal="center" vertical="center"/>
    </xf>
    <xf numFmtId="39" fontId="10" fillId="0" borderId="607" xfId="11" applyNumberFormat="1" applyFont="1" applyBorder="1" applyAlignment="1">
      <alignment horizontal="center" vertical="center"/>
    </xf>
    <xf numFmtId="168" fontId="10" fillId="0" borderId="604" xfId="2" applyNumberFormat="1" applyFont="1" applyFill="1" applyBorder="1" applyAlignment="1" applyProtection="1">
      <alignment vertical="center"/>
    </xf>
    <xf numFmtId="0" fontId="10" fillId="0" borderId="606" xfId="11" applyFont="1" applyBorder="1" applyAlignment="1">
      <alignment horizontal="centerContinuous" vertical="center"/>
    </xf>
    <xf numFmtId="168" fontId="10" fillId="0" borderId="607" xfId="2" applyNumberFormat="1" applyFont="1" applyFill="1" applyBorder="1" applyAlignment="1" applyProtection="1">
      <alignment vertical="center"/>
    </xf>
    <xf numFmtId="9" fontId="10" fillId="0" borderId="605" xfId="21" applyFont="1" applyFill="1" applyBorder="1" applyAlignment="1" applyProtection="1">
      <alignment vertical="center"/>
    </xf>
    <xf numFmtId="41" fontId="10" fillId="0" borderId="605" xfId="2" applyFont="1" applyFill="1" applyBorder="1" applyAlignment="1" applyProtection="1">
      <alignment vertical="center"/>
    </xf>
    <xf numFmtId="168" fontId="10" fillId="0" borderId="609" xfId="2" applyNumberFormat="1" applyFont="1" applyBorder="1" applyAlignment="1">
      <alignment horizontal="center" vertical="center"/>
    </xf>
    <xf numFmtId="0" fontId="10" fillId="0" borderId="610" xfId="11" applyFont="1" applyFill="1" applyBorder="1" applyAlignment="1">
      <alignment horizontal="center" vertical="center"/>
    </xf>
    <xf numFmtId="0" fontId="10" fillId="0" borderId="611" xfId="11" applyFont="1" applyFill="1" applyBorder="1" applyAlignment="1">
      <alignment vertical="center"/>
    </xf>
    <xf numFmtId="39" fontId="10" fillId="0" borderId="612" xfId="11" applyNumberFormat="1" applyFont="1" applyFill="1" applyBorder="1" applyAlignment="1">
      <alignment vertical="center"/>
    </xf>
    <xf numFmtId="0" fontId="10" fillId="0" borderId="612" xfId="11" applyFont="1" applyFill="1" applyBorder="1" applyAlignment="1">
      <alignment vertical="center"/>
    </xf>
    <xf numFmtId="39" fontId="10" fillId="0" borderId="611" xfId="11" applyNumberFormat="1" applyFont="1" applyFill="1" applyBorder="1" applyAlignment="1">
      <alignment horizontal="center" vertical="center"/>
    </xf>
    <xf numFmtId="0" fontId="10" fillId="0" borderId="615" xfId="11" applyFont="1" applyFill="1" applyBorder="1" applyAlignment="1">
      <alignment vertical="center"/>
    </xf>
    <xf numFmtId="9" fontId="10" fillId="0" borderId="612" xfId="21" applyFont="1" applyFill="1" applyBorder="1" applyAlignment="1">
      <alignment vertical="center"/>
    </xf>
    <xf numFmtId="39" fontId="10" fillId="0" borderId="612" xfId="11" applyNumberFormat="1" applyFont="1" applyFill="1" applyBorder="1" applyAlignment="1">
      <alignment horizontal="center" vertical="center"/>
    </xf>
    <xf numFmtId="168" fontId="10" fillId="0" borderId="614" xfId="2" applyNumberFormat="1" applyFont="1" applyFill="1" applyBorder="1" applyAlignment="1" applyProtection="1">
      <alignment vertical="center"/>
    </xf>
    <xf numFmtId="39" fontId="10" fillId="0" borderId="613" xfId="11" applyNumberFormat="1" applyFont="1" applyFill="1" applyBorder="1" applyAlignment="1">
      <alignment vertical="center"/>
    </xf>
    <xf numFmtId="9" fontId="89" fillId="0" borderId="620" xfId="21" applyFont="1" applyBorder="1" applyAlignment="1">
      <alignment horizontal="right" vertical="center"/>
    </xf>
    <xf numFmtId="39" fontId="10" fillId="0" borderId="615" xfId="11" applyNumberFormat="1" applyFont="1" applyFill="1" applyBorder="1" applyAlignment="1">
      <alignment vertical="center"/>
    </xf>
    <xf numFmtId="39" fontId="10" fillId="0" borderId="616" xfId="11" applyNumberFormat="1" applyFont="1" applyFill="1" applyBorder="1" applyAlignment="1">
      <alignment vertical="center"/>
    </xf>
    <xf numFmtId="39" fontId="10" fillId="0" borderId="617" xfId="11" applyNumberFormat="1" applyFont="1" applyFill="1" applyBorder="1" applyAlignment="1">
      <alignment vertical="center"/>
    </xf>
    <xf numFmtId="0" fontId="10" fillId="0" borderId="495" xfId="11" applyFont="1" applyFill="1" applyBorder="1" applyAlignment="1">
      <alignment horizontal="center" vertical="center"/>
    </xf>
    <xf numFmtId="0" fontId="10" fillId="0" borderId="477" xfId="11" applyFont="1" applyFill="1" applyBorder="1" applyAlignment="1">
      <alignment vertical="center"/>
    </xf>
    <xf numFmtId="0" fontId="10" fillId="0" borderId="480" xfId="11" applyFont="1" applyFill="1" applyBorder="1" applyAlignment="1">
      <alignment vertical="center"/>
    </xf>
    <xf numFmtId="39" fontId="10" fillId="0" borderId="480" xfId="11" applyNumberFormat="1" applyFont="1" applyFill="1" applyBorder="1" applyAlignment="1">
      <alignment vertical="center"/>
    </xf>
    <xf numFmtId="39" fontId="10" fillId="0" borderId="477" xfId="11" applyNumberFormat="1" applyFont="1" applyFill="1" applyBorder="1" applyAlignment="1">
      <alignment horizontal="center" vertical="center"/>
    </xf>
    <xf numFmtId="0" fontId="10" fillId="0" borderId="618" xfId="11" applyFont="1" applyFill="1" applyBorder="1" applyAlignment="1">
      <alignment vertical="center"/>
    </xf>
    <xf numFmtId="9" fontId="10" fillId="0" borderId="480" xfId="21" applyFont="1" applyFill="1" applyBorder="1" applyAlignment="1">
      <alignment vertical="center"/>
    </xf>
    <xf numFmtId="9" fontId="94" fillId="0" borderId="621" xfId="0" applyNumberFormat="1" applyFont="1" applyFill="1" applyBorder="1" applyAlignment="1">
      <alignment horizontal="right" vertical="center"/>
    </xf>
    <xf numFmtId="39" fontId="94" fillId="0" borderId="622" xfId="11" applyNumberFormat="1" applyFont="1" applyFill="1" applyBorder="1" applyAlignment="1">
      <alignment vertical="center"/>
    </xf>
    <xf numFmtId="39" fontId="94" fillId="0" borderId="564" xfId="11" applyNumberFormat="1" applyFont="1" applyFill="1" applyBorder="1" applyAlignment="1">
      <alignment vertical="center"/>
    </xf>
    <xf numFmtId="39" fontId="94" fillId="0" borderId="565" xfId="11" applyNumberFormat="1" applyFont="1" applyFill="1" applyBorder="1" applyAlignment="1">
      <alignment vertical="center"/>
    </xf>
    <xf numFmtId="41" fontId="10" fillId="0" borderId="0" xfId="11" applyNumberFormat="1" applyFont="1" applyAlignment="1">
      <alignment vertical="center"/>
    </xf>
    <xf numFmtId="0" fontId="10" fillId="0" borderId="583" xfId="30" applyFont="1" applyFill="1" applyBorder="1" applyAlignment="1">
      <alignment horizontal="center" vertical="center"/>
    </xf>
    <xf numFmtId="0" fontId="10" fillId="0" borderId="584" xfId="30" applyFont="1" applyFill="1" applyBorder="1" applyAlignment="1">
      <alignment vertical="center"/>
    </xf>
    <xf numFmtId="39" fontId="10" fillId="0" borderId="0" xfId="30" applyNumberFormat="1" applyFont="1" applyFill="1" applyBorder="1" applyAlignment="1">
      <alignment vertical="center"/>
    </xf>
    <xf numFmtId="168" fontId="10" fillId="0" borderId="584" xfId="31" applyNumberFormat="1" applyFont="1" applyFill="1" applyBorder="1" applyAlignment="1" applyProtection="1">
      <alignment horizontal="right" vertical="center"/>
    </xf>
    <xf numFmtId="39" fontId="10" fillId="0" borderId="0" xfId="30" applyNumberFormat="1" applyFont="1" applyFill="1" applyBorder="1" applyAlignment="1">
      <alignment horizontal="center" vertical="center"/>
    </xf>
    <xf numFmtId="39" fontId="10" fillId="0" borderId="558" xfId="30" applyNumberFormat="1" applyFont="1" applyFill="1" applyBorder="1" applyAlignment="1">
      <alignment horizontal="center" vertical="center"/>
    </xf>
    <xf numFmtId="9" fontId="10" fillId="0" borderId="0" xfId="21" applyFont="1" applyFill="1" applyBorder="1" applyAlignment="1">
      <alignment horizontal="center" vertical="center"/>
    </xf>
    <xf numFmtId="168" fontId="94" fillId="0" borderId="0" xfId="31" quotePrefix="1" applyNumberFormat="1" applyFont="1" applyFill="1" applyBorder="1" applyAlignment="1" applyProtection="1">
      <alignment horizontal="right" vertical="center"/>
    </xf>
    <xf numFmtId="168" fontId="94" fillId="0" borderId="595" xfId="31" quotePrefix="1" applyNumberFormat="1" applyFont="1" applyFill="1" applyBorder="1" applyAlignment="1" applyProtection="1">
      <alignment horizontal="right" vertical="center"/>
    </xf>
    <xf numFmtId="168" fontId="94" fillId="0" borderId="586" xfId="31" quotePrefix="1" applyNumberFormat="1" applyFont="1" applyFill="1" applyBorder="1" applyAlignment="1" applyProtection="1">
      <alignment horizontal="right" vertical="center"/>
    </xf>
    <xf numFmtId="168" fontId="94" fillId="0" borderId="558" xfId="31" applyNumberFormat="1" applyFont="1" applyFill="1" applyBorder="1" applyAlignment="1" applyProtection="1">
      <alignment vertical="center"/>
    </xf>
    <xf numFmtId="168" fontId="94" fillId="0" borderId="547" xfId="31" applyNumberFormat="1" applyFont="1" applyFill="1" applyBorder="1" applyAlignment="1" applyProtection="1">
      <alignment vertical="center"/>
    </xf>
    <xf numFmtId="168" fontId="94" fillId="0" borderId="559" xfId="31" applyNumberFormat="1" applyFont="1" applyFill="1" applyBorder="1" applyAlignment="1" applyProtection="1">
      <alignment vertical="center"/>
    </xf>
    <xf numFmtId="0" fontId="10" fillId="0" borderId="591" xfId="30" applyFont="1" applyFill="1" applyBorder="1" applyAlignment="1">
      <alignment horizontal="center" vertical="center"/>
    </xf>
    <xf numFmtId="0" fontId="10" fillId="0" borderId="578" xfId="30" applyFont="1" applyFill="1" applyBorder="1" applyAlignment="1">
      <alignment vertical="center"/>
    </xf>
    <xf numFmtId="39" fontId="10" fillId="0" borderId="551" xfId="30" applyNumberFormat="1" applyFont="1" applyFill="1" applyBorder="1" applyAlignment="1">
      <alignment vertical="center"/>
    </xf>
    <xf numFmtId="39" fontId="10" fillId="0" borderId="568" xfId="30" applyNumberFormat="1" applyFont="1" applyFill="1" applyBorder="1" applyAlignment="1">
      <alignment vertical="center"/>
    </xf>
    <xf numFmtId="168" fontId="10" fillId="0" borderId="578" xfId="31" applyNumberFormat="1" applyFont="1" applyFill="1" applyBorder="1" applyAlignment="1" applyProtection="1">
      <alignment horizontal="right" vertical="center"/>
    </xf>
    <xf numFmtId="39" fontId="10" fillId="0" borderId="551" xfId="30" applyNumberFormat="1" applyFont="1" applyFill="1" applyBorder="1" applyAlignment="1">
      <alignment horizontal="center" vertical="center"/>
    </xf>
    <xf numFmtId="39" fontId="10" fillId="0" borderId="564" xfId="30" applyNumberFormat="1" applyFont="1" applyFill="1" applyBorder="1" applyAlignment="1">
      <alignment horizontal="center" vertical="center"/>
    </xf>
    <xf numFmtId="39" fontId="10" fillId="0" borderId="568" xfId="30" applyNumberFormat="1" applyFont="1" applyFill="1" applyBorder="1" applyAlignment="1">
      <alignment horizontal="center" vertical="center"/>
    </xf>
    <xf numFmtId="168" fontId="94" fillId="0" borderId="568" xfId="31" quotePrefix="1" applyNumberFormat="1" applyFont="1" applyFill="1" applyBorder="1" applyAlignment="1" applyProtection="1">
      <alignment horizontal="right" vertical="center"/>
    </xf>
    <xf numFmtId="168" fontId="94" fillId="0" borderId="564" xfId="31" quotePrefix="1" applyNumberFormat="1" applyFont="1" applyFill="1" applyBorder="1" applyAlignment="1" applyProtection="1">
      <alignment horizontal="right" vertical="center"/>
    </xf>
    <xf numFmtId="168" fontId="94" fillId="0" borderId="578" xfId="31" quotePrefix="1" applyNumberFormat="1" applyFont="1" applyFill="1" applyBorder="1" applyAlignment="1" applyProtection="1">
      <alignment horizontal="right" vertical="center"/>
    </xf>
    <xf numFmtId="0" fontId="90" fillId="0" borderId="0" xfId="30" applyFont="1" applyFill="1" applyAlignment="1">
      <alignment vertical="center"/>
    </xf>
    <xf numFmtId="0" fontId="10" fillId="0" borderId="587" xfId="30" applyFont="1" applyFill="1" applyBorder="1" applyAlignment="1">
      <alignment horizontal="center" vertical="center"/>
    </xf>
    <xf numFmtId="0" fontId="10" fillId="0" borderId="579" xfId="30" applyFont="1" applyFill="1" applyBorder="1" applyAlignment="1">
      <alignment vertical="center"/>
    </xf>
    <xf numFmtId="39" fontId="10" fillId="0" borderId="588" xfId="30" applyNumberFormat="1" applyFont="1" applyFill="1" applyBorder="1" applyAlignment="1">
      <alignment vertical="center"/>
    </xf>
    <xf numFmtId="39" fontId="10" fillId="0" borderId="589" xfId="30" applyNumberFormat="1" applyFont="1" applyFill="1" applyBorder="1" applyAlignment="1">
      <alignment vertical="center"/>
    </xf>
    <xf numFmtId="168" fontId="10" fillId="0" borderId="579" xfId="31" applyNumberFormat="1" applyFont="1" applyFill="1" applyBorder="1" applyAlignment="1" applyProtection="1">
      <alignment horizontal="right" vertical="center"/>
    </xf>
    <xf numFmtId="39" fontId="10" fillId="0" borderId="588" xfId="30" applyNumberFormat="1" applyFont="1" applyFill="1" applyBorder="1" applyAlignment="1">
      <alignment horizontal="center" vertical="center"/>
    </xf>
    <xf numFmtId="39" fontId="10" fillId="0" borderId="570" xfId="30" applyNumberFormat="1" applyFont="1" applyFill="1" applyBorder="1" applyAlignment="1">
      <alignment horizontal="center" vertical="center"/>
    </xf>
    <xf numFmtId="9" fontId="10" fillId="0" borderId="589" xfId="21" applyFont="1" applyFill="1" applyBorder="1" applyAlignment="1">
      <alignment horizontal="center" vertical="center"/>
    </xf>
    <xf numFmtId="39" fontId="10" fillId="0" borderId="589" xfId="30" applyNumberFormat="1" applyFont="1" applyFill="1" applyBorder="1" applyAlignment="1">
      <alignment horizontal="center" vertical="center"/>
    </xf>
    <xf numFmtId="168" fontId="94" fillId="0" borderId="589" xfId="31" quotePrefix="1" applyNumberFormat="1" applyFont="1" applyFill="1" applyBorder="1" applyAlignment="1" applyProtection="1">
      <alignment horizontal="right" vertical="center"/>
    </xf>
    <xf numFmtId="168" fontId="94" fillId="0" borderId="570" xfId="31" quotePrefix="1" applyNumberFormat="1" applyFont="1" applyFill="1" applyBorder="1" applyAlignment="1" applyProtection="1">
      <alignment horizontal="right" vertical="center"/>
    </xf>
    <xf numFmtId="168" fontId="94" fillId="0" borderId="579" xfId="31" quotePrefix="1" applyNumberFormat="1" applyFont="1" applyFill="1" applyBorder="1" applyAlignment="1" applyProtection="1">
      <alignment horizontal="right" vertical="center"/>
    </xf>
    <xf numFmtId="0" fontId="10" fillId="0" borderId="593" xfId="11" applyFont="1" applyBorder="1" applyAlignment="1">
      <alignment horizontal="center" vertical="center"/>
    </xf>
    <xf numFmtId="0" fontId="10" fillId="0" borderId="576" xfId="11" applyFont="1" applyBorder="1" applyAlignment="1">
      <alignment vertical="center"/>
    </xf>
    <xf numFmtId="0" fontId="10" fillId="0" borderId="548" xfId="11" applyFont="1" applyBorder="1" applyAlignment="1">
      <alignment vertical="center"/>
    </xf>
    <xf numFmtId="39" fontId="10" fillId="0" borderId="566" xfId="11" applyNumberFormat="1" applyFont="1" applyBorder="1" applyAlignment="1">
      <alignment vertical="center"/>
    </xf>
    <xf numFmtId="168" fontId="10" fillId="0" borderId="576" xfId="2" applyNumberFormat="1" applyFont="1" applyFill="1" applyBorder="1" applyAlignment="1" applyProtection="1">
      <alignment horizontal="center" vertical="center"/>
    </xf>
    <xf numFmtId="0" fontId="10" fillId="0" borderId="554" xfId="11" applyFont="1" applyBorder="1" applyAlignment="1">
      <alignment vertical="center"/>
    </xf>
    <xf numFmtId="9" fontId="10" fillId="0" borderId="566" xfId="21" applyFont="1" applyBorder="1" applyAlignment="1">
      <alignment vertical="center"/>
    </xf>
    <xf numFmtId="0" fontId="10" fillId="0" borderId="566" xfId="11" applyFont="1" applyBorder="1" applyAlignment="1">
      <alignment vertical="center"/>
    </xf>
    <xf numFmtId="0" fontId="10" fillId="0" borderId="566" xfId="11" applyFont="1" applyBorder="1" applyAlignment="1">
      <alignment horizontal="center" vertical="center"/>
    </xf>
    <xf numFmtId="168" fontId="10" fillId="0" borderId="554" xfId="2" applyNumberFormat="1" applyFont="1" applyFill="1" applyBorder="1" applyAlignment="1" applyProtection="1">
      <alignment vertical="center"/>
    </xf>
    <xf numFmtId="168" fontId="10" fillId="0" borderId="576" xfId="2" applyNumberFormat="1" applyFont="1" applyFill="1" applyBorder="1" applyAlignment="1" applyProtection="1">
      <alignment vertical="center"/>
    </xf>
    <xf numFmtId="168" fontId="10" fillId="0" borderId="566" xfId="2" applyNumberFormat="1" applyFont="1" applyFill="1" applyBorder="1" applyAlignment="1" applyProtection="1">
      <alignment vertical="center"/>
    </xf>
    <xf numFmtId="168" fontId="10" fillId="0" borderId="623" xfId="2" applyNumberFormat="1" applyFont="1" applyFill="1" applyBorder="1" applyAlignment="1">
      <alignment vertical="center"/>
    </xf>
    <xf numFmtId="168" fontId="10" fillId="0" borderId="554" xfId="2" applyNumberFormat="1" applyFont="1" applyFill="1" applyBorder="1" applyAlignment="1">
      <alignment vertical="center"/>
    </xf>
    <xf numFmtId="168" fontId="10" fillId="0" borderId="555" xfId="2" applyNumberFormat="1" applyFont="1" applyFill="1" applyBorder="1" applyAlignment="1">
      <alignment vertical="center"/>
    </xf>
    <xf numFmtId="0" fontId="90" fillId="0" borderId="0" xfId="11" applyFont="1" applyBorder="1" applyAlignment="1">
      <alignment horizontal="center" vertical="center"/>
    </xf>
    <xf numFmtId="39" fontId="90" fillId="0" borderId="0" xfId="11" applyNumberFormat="1" applyFont="1" applyAlignment="1">
      <alignment horizontal="center" vertical="center"/>
    </xf>
    <xf numFmtId="43" fontId="102" fillId="0" borderId="0" xfId="1" applyFont="1" applyFill="1" applyAlignment="1">
      <alignment vertical="center"/>
    </xf>
    <xf numFmtId="176" fontId="87" fillId="0" borderId="0" xfId="1" applyNumberFormat="1" applyFont="1" applyFill="1" applyAlignment="1">
      <alignment horizontal="left" vertical="center"/>
    </xf>
    <xf numFmtId="176" fontId="87" fillId="0" borderId="0" xfId="1" applyNumberFormat="1" applyFont="1" applyFill="1" applyBorder="1" applyAlignment="1">
      <alignment horizontal="left" vertical="center"/>
    </xf>
    <xf numFmtId="0" fontId="90" fillId="0" borderId="0" xfId="11" applyFont="1" applyFill="1" applyAlignment="1" applyProtection="1">
      <alignment horizontal="centerContinuous" vertical="center"/>
    </xf>
    <xf numFmtId="176" fontId="87" fillId="0" borderId="0" xfId="1" applyNumberFormat="1" applyFont="1" applyFill="1" applyBorder="1" applyAlignment="1" applyProtection="1">
      <alignment horizontal="left" vertical="center"/>
    </xf>
    <xf numFmtId="0" fontId="10" fillId="0" borderId="0" xfId="11" applyFont="1" applyFill="1" applyAlignment="1" applyProtection="1">
      <alignment horizontal="center" vertical="center"/>
    </xf>
    <xf numFmtId="0" fontId="10" fillId="0" borderId="0" xfId="11" applyFont="1" applyFill="1" applyAlignment="1">
      <alignment vertical="center"/>
    </xf>
    <xf numFmtId="0" fontId="10" fillId="0" borderId="0" xfId="11" applyFont="1" applyFill="1" applyAlignment="1" applyProtection="1">
      <alignment vertical="center"/>
    </xf>
    <xf numFmtId="41" fontId="10" fillId="0" borderId="0" xfId="2" applyFont="1" applyFill="1" applyAlignment="1" applyProtection="1">
      <alignment vertical="center"/>
    </xf>
    <xf numFmtId="0" fontId="10" fillId="0" borderId="0" xfId="11" applyFont="1" applyFill="1" applyAlignment="1">
      <alignment horizontal="center" vertical="center"/>
    </xf>
    <xf numFmtId="39" fontId="10" fillId="0" borderId="0" xfId="11" applyNumberFormat="1" applyFont="1" applyFill="1" applyAlignment="1">
      <alignment vertical="center"/>
    </xf>
    <xf numFmtId="176" fontId="99" fillId="0" borderId="0" xfId="1" applyNumberFormat="1" applyFont="1" applyFill="1" applyBorder="1" applyAlignment="1" applyProtection="1">
      <alignment horizontal="left" vertical="center"/>
    </xf>
    <xf numFmtId="0" fontId="10" fillId="0" borderId="596" xfId="11" applyFont="1" applyFill="1" applyBorder="1" applyAlignment="1" applyProtection="1">
      <alignment horizontal="center" vertical="center"/>
    </xf>
    <xf numFmtId="0" fontId="10" fillId="0" borderId="226" xfId="11" applyFont="1" applyFill="1" applyBorder="1" applyAlignment="1" applyProtection="1">
      <alignment vertical="center"/>
    </xf>
    <xf numFmtId="39" fontId="10" fillId="0" borderId="226" xfId="11" applyNumberFormat="1" applyFont="1" applyFill="1" applyBorder="1" applyAlignment="1" applyProtection="1">
      <alignment vertical="center"/>
    </xf>
    <xf numFmtId="39" fontId="10" fillId="0" borderId="226" xfId="11" applyNumberFormat="1" applyFont="1" applyFill="1" applyBorder="1" applyAlignment="1" applyProtection="1">
      <alignment horizontal="center" vertical="center"/>
    </xf>
    <xf numFmtId="39" fontId="10" fillId="0" borderId="333" xfId="11" applyNumberFormat="1" applyFont="1" applyFill="1" applyBorder="1" applyAlignment="1" applyProtection="1">
      <alignment horizontal="center" vertical="center"/>
    </xf>
    <xf numFmtId="39" fontId="10" fillId="0" borderId="334" xfId="11" applyNumberFormat="1" applyFont="1" applyFill="1" applyBorder="1" applyAlignment="1" applyProtection="1">
      <alignment vertical="center"/>
    </xf>
    <xf numFmtId="39" fontId="10" fillId="0" borderId="335" xfId="11" applyNumberFormat="1" applyFont="1" applyFill="1" applyBorder="1" applyAlignment="1" applyProtection="1">
      <alignment vertical="center"/>
    </xf>
    <xf numFmtId="0" fontId="89" fillId="0" borderId="230" xfId="11" applyFont="1" applyFill="1" applyBorder="1" applyAlignment="1" applyProtection="1">
      <alignment horizontal="center" vertical="center"/>
    </xf>
    <xf numFmtId="0" fontId="89" fillId="0" borderId="0" xfId="11" applyFont="1" applyFill="1" applyBorder="1" applyAlignment="1" applyProtection="1">
      <alignment horizontal="centerContinuous" vertical="center"/>
    </xf>
    <xf numFmtId="0" fontId="89" fillId="0" borderId="558" xfId="11" applyFont="1" applyFill="1" applyBorder="1" applyAlignment="1" applyProtection="1">
      <alignment horizontal="center" vertical="center"/>
    </xf>
    <xf numFmtId="0" fontId="89" fillId="0" borderId="590" xfId="11" applyFont="1" applyFill="1" applyBorder="1" applyAlignment="1" applyProtection="1">
      <alignment horizontal="center" vertical="center"/>
    </xf>
    <xf numFmtId="0" fontId="89" fillId="0" borderId="0" xfId="11" applyFont="1" applyFill="1" applyBorder="1" applyAlignment="1" applyProtection="1">
      <alignment horizontal="center" vertical="center"/>
    </xf>
    <xf numFmtId="0" fontId="89" fillId="0" borderId="586" xfId="11" applyFont="1" applyFill="1" applyBorder="1" applyAlignment="1" applyProtection="1">
      <alignment horizontal="center" vertical="center"/>
    </xf>
    <xf numFmtId="0" fontId="89" fillId="0" borderId="590" xfId="11" applyFont="1" applyFill="1" applyBorder="1" applyAlignment="1" applyProtection="1">
      <alignment horizontal="centerContinuous" vertical="center"/>
    </xf>
    <xf numFmtId="0" fontId="10" fillId="0" borderId="230" xfId="11" applyFont="1" applyFill="1" applyBorder="1" applyAlignment="1" applyProtection="1">
      <alignment horizontal="center" vertical="center"/>
    </xf>
    <xf numFmtId="0" fontId="10" fillId="0" borderId="0" xfId="11" applyFont="1" applyFill="1" applyBorder="1" applyAlignment="1" applyProtection="1">
      <alignment vertical="center"/>
    </xf>
    <xf numFmtId="0" fontId="10" fillId="0" borderId="0" xfId="11" applyFont="1" applyFill="1" applyBorder="1" applyAlignment="1" applyProtection="1">
      <alignment horizontal="center" vertical="center"/>
    </xf>
    <xf numFmtId="0" fontId="10" fillId="0" borderId="586" xfId="11" applyFont="1" applyFill="1" applyBorder="1" applyAlignment="1" applyProtection="1">
      <alignment horizontal="center" vertical="center"/>
    </xf>
    <xf numFmtId="0" fontId="10" fillId="0" borderId="558" xfId="11" applyFont="1" applyFill="1" applyBorder="1" applyAlignment="1" applyProtection="1">
      <alignment horizontal="center" vertical="center"/>
    </xf>
    <xf numFmtId="0" fontId="10" fillId="0" borderId="590" xfId="11" applyFont="1" applyFill="1" applyBorder="1" applyAlignment="1" applyProtection="1">
      <alignment horizontal="centerContinuous" vertical="center"/>
    </xf>
    <xf numFmtId="0" fontId="89" fillId="0" borderId="597" xfId="11" quotePrefix="1" applyFont="1" applyFill="1" applyBorder="1" applyAlignment="1" applyProtection="1">
      <alignment horizontal="center" vertical="center"/>
    </xf>
    <xf numFmtId="0" fontId="89" fillId="0" borderId="598" xfId="11" applyFont="1" applyFill="1" applyBorder="1" applyAlignment="1" applyProtection="1">
      <alignment horizontal="centerContinuous" vertical="center"/>
    </xf>
    <xf numFmtId="0" fontId="89" fillId="0" borderId="598" xfId="11" applyFont="1" applyFill="1" applyBorder="1" applyAlignment="1" applyProtection="1">
      <alignment horizontal="right" vertical="center"/>
    </xf>
    <xf numFmtId="0" fontId="89" fillId="0" borderId="599" xfId="11" applyFont="1" applyFill="1" applyBorder="1" applyAlignment="1" applyProtection="1">
      <alignment horizontal="center" vertical="center"/>
    </xf>
    <xf numFmtId="0" fontId="89" fillId="0" borderId="600" xfId="11" applyFont="1" applyFill="1" applyBorder="1" applyAlignment="1" applyProtection="1">
      <alignment horizontal="center" vertical="center"/>
    </xf>
    <xf numFmtId="0" fontId="89" fillId="0" borderId="601" xfId="11" applyFont="1" applyFill="1" applyBorder="1" applyAlignment="1" applyProtection="1">
      <alignment horizontal="centerContinuous" vertical="center"/>
    </xf>
    <xf numFmtId="43" fontId="10" fillId="0" borderId="0" xfId="1" applyFont="1" applyFill="1" applyAlignment="1" applyProtection="1">
      <alignment vertical="center"/>
    </xf>
    <xf numFmtId="0" fontId="89" fillId="0" borderId="560" xfId="11" applyFont="1" applyFill="1" applyBorder="1" applyAlignment="1" applyProtection="1">
      <alignment horizontal="center" vertical="center"/>
    </xf>
    <xf numFmtId="0" fontId="89" fillId="0" borderId="549" xfId="11" applyFont="1" applyFill="1" applyBorder="1" applyAlignment="1" applyProtection="1">
      <alignment horizontal="centerContinuous" vertical="center"/>
    </xf>
    <xf numFmtId="0" fontId="89" fillId="0" borderId="549" xfId="11" applyFont="1" applyFill="1" applyBorder="1" applyAlignment="1" applyProtection="1">
      <alignment vertical="center"/>
    </xf>
    <xf numFmtId="0" fontId="10" fillId="0" borderId="549" xfId="11" applyFont="1" applyFill="1" applyBorder="1" applyAlignment="1" applyProtection="1">
      <alignment horizontal="centerContinuous" vertical="center"/>
    </xf>
    <xf numFmtId="39" fontId="10" fillId="0" borderId="549" xfId="11" applyNumberFormat="1" applyFont="1" applyFill="1" applyBorder="1" applyAlignment="1" applyProtection="1">
      <alignment horizontal="right" vertical="center"/>
    </xf>
    <xf numFmtId="0" fontId="10" fillId="0" borderId="549" xfId="11" applyFont="1" applyFill="1" applyBorder="1" applyAlignment="1" applyProtection="1">
      <alignment horizontal="center" vertical="center"/>
    </xf>
    <xf numFmtId="0" fontId="10" fillId="0" borderId="567" xfId="11" applyFont="1" applyFill="1" applyBorder="1" applyAlignment="1" applyProtection="1">
      <alignment horizontal="center" vertical="center"/>
    </xf>
    <xf numFmtId="168" fontId="10" fillId="0" borderId="561" xfId="2" applyNumberFormat="1" applyFont="1" applyFill="1" applyBorder="1" applyAlignment="1" applyProtection="1">
      <alignment vertical="center"/>
    </xf>
    <xf numFmtId="168" fontId="10" fillId="0" borderId="577" xfId="2" applyNumberFormat="1" applyFont="1" applyFill="1" applyBorder="1" applyAlignment="1" applyProtection="1">
      <alignment vertical="center"/>
    </xf>
    <xf numFmtId="39" fontId="10" fillId="0" borderId="602" xfId="11" applyNumberFormat="1" applyFont="1" applyFill="1" applyBorder="1" applyAlignment="1" applyProtection="1">
      <alignment horizontal="center" vertical="center"/>
    </xf>
    <xf numFmtId="43" fontId="89" fillId="0" borderId="0" xfId="11" applyNumberFormat="1" applyFont="1" applyFill="1" applyAlignment="1" applyProtection="1">
      <alignment vertical="center"/>
    </xf>
    <xf numFmtId="43" fontId="10" fillId="0" borderId="0" xfId="1" applyFont="1" applyFill="1" applyAlignment="1">
      <alignment vertical="center"/>
    </xf>
    <xf numFmtId="0" fontId="89" fillId="0" borderId="563" xfId="11" applyFont="1" applyFill="1" applyBorder="1" applyAlignment="1" applyProtection="1">
      <alignment horizontal="center" vertical="center"/>
    </xf>
    <xf numFmtId="0" fontId="89" fillId="0" borderId="551" xfId="11" applyFont="1" applyFill="1" applyBorder="1" applyAlignment="1" applyProtection="1">
      <alignment vertical="center"/>
    </xf>
    <xf numFmtId="39" fontId="89" fillId="0" borderId="551" xfId="11" applyNumberFormat="1" applyFont="1" applyFill="1" applyBorder="1" applyAlignment="1" applyProtection="1">
      <alignment vertical="center"/>
    </xf>
    <xf numFmtId="39" fontId="10" fillId="0" borderId="551" xfId="11" applyNumberFormat="1" applyFont="1" applyFill="1" applyBorder="1" applyAlignment="1" applyProtection="1">
      <alignment vertical="center"/>
    </xf>
    <xf numFmtId="39" fontId="89" fillId="0" borderId="568" xfId="11" applyNumberFormat="1" applyFont="1" applyFill="1" applyBorder="1" applyAlignment="1" applyProtection="1">
      <alignment horizontal="center" vertical="center"/>
    </xf>
    <xf numFmtId="168" fontId="89" fillId="0" borderId="564" xfId="2" applyNumberFormat="1" applyFont="1" applyFill="1" applyBorder="1" applyAlignment="1" applyProtection="1">
      <alignment vertical="center"/>
    </xf>
    <xf numFmtId="9" fontId="89" fillId="0" borderId="578" xfId="21" applyFont="1" applyFill="1" applyBorder="1" applyAlignment="1" applyProtection="1">
      <alignment vertical="center"/>
    </xf>
    <xf numFmtId="168" fontId="89" fillId="0" borderId="578" xfId="2" applyNumberFormat="1" applyFont="1" applyFill="1" applyBorder="1" applyAlignment="1" applyProtection="1">
      <alignment vertical="center"/>
    </xf>
    <xf numFmtId="168" fontId="89" fillId="0" borderId="592" xfId="2" applyNumberFormat="1" applyFont="1" applyFill="1" applyBorder="1" applyAlignment="1" applyProtection="1">
      <alignment vertical="center"/>
    </xf>
    <xf numFmtId="176" fontId="104" fillId="0" borderId="0" xfId="1" applyNumberFormat="1" applyFont="1" applyFill="1" applyBorder="1" applyAlignment="1" applyProtection="1">
      <alignment horizontal="left" vertical="center"/>
    </xf>
    <xf numFmtId="0" fontId="10" fillId="0" borderId="252" xfId="11" applyFont="1" applyFill="1" applyBorder="1" applyAlignment="1" applyProtection="1">
      <alignment horizontal="center" vertical="center"/>
    </xf>
    <xf numFmtId="0" fontId="10" fillId="0" borderId="124" xfId="11" applyFont="1" applyFill="1" applyBorder="1" applyAlignment="1" applyProtection="1">
      <alignment vertical="center"/>
    </xf>
    <xf numFmtId="39" fontId="10" fillId="0" borderId="124" xfId="11" applyNumberFormat="1" applyFont="1" applyFill="1" applyBorder="1" applyAlignment="1" applyProtection="1">
      <alignment vertical="center"/>
    </xf>
    <xf numFmtId="39" fontId="89" fillId="0" borderId="124" xfId="11" applyNumberFormat="1" applyFont="1" applyFill="1" applyBorder="1" applyAlignment="1" applyProtection="1">
      <alignment vertical="center"/>
    </xf>
    <xf numFmtId="168" fontId="89" fillId="0" borderId="124" xfId="2" applyNumberFormat="1" applyFont="1" applyFill="1" applyBorder="1" applyAlignment="1" applyProtection="1">
      <alignment horizontal="right" vertical="center"/>
    </xf>
    <xf numFmtId="39" fontId="89" fillId="0" borderId="124" xfId="11" applyNumberFormat="1" applyFont="1" applyFill="1" applyBorder="1" applyAlignment="1" applyProtection="1">
      <alignment horizontal="center" vertical="center"/>
    </xf>
    <xf numFmtId="39" fontId="89" fillId="0" borderId="125" xfId="11" applyNumberFormat="1" applyFont="1" applyFill="1" applyBorder="1" applyAlignment="1" applyProtection="1">
      <alignment horizontal="center" vertical="center"/>
    </xf>
    <xf numFmtId="168" fontId="10" fillId="0" borderId="126" xfId="2" applyNumberFormat="1" applyFont="1" applyFill="1" applyBorder="1" applyAlignment="1" applyProtection="1">
      <alignment vertical="center"/>
    </xf>
    <xf numFmtId="168" fontId="10" fillId="0" borderId="127" xfId="2" applyNumberFormat="1" applyFont="1" applyFill="1" applyBorder="1" applyAlignment="1" applyProtection="1">
      <alignment vertical="center"/>
    </xf>
    <xf numFmtId="168" fontId="89" fillId="0" borderId="337" xfId="2" applyNumberFormat="1" applyFont="1" applyFill="1" applyBorder="1" applyAlignment="1" applyProtection="1">
      <alignment vertical="center"/>
    </xf>
    <xf numFmtId="0" fontId="101" fillId="0" borderId="0" xfId="11" applyFont="1" applyFill="1" applyAlignment="1" applyProtection="1">
      <alignment vertical="center"/>
    </xf>
    <xf numFmtId="0" fontId="101" fillId="0" borderId="0" xfId="11" applyFont="1" applyFill="1" applyAlignment="1">
      <alignment vertical="center"/>
    </xf>
    <xf numFmtId="168" fontId="89" fillId="0" borderId="551" xfId="2" applyNumberFormat="1" applyFont="1" applyFill="1" applyBorder="1" applyAlignment="1" applyProtection="1">
      <alignment horizontal="right" vertical="center"/>
    </xf>
    <xf numFmtId="39" fontId="89" fillId="0" borderId="551" xfId="11" applyNumberFormat="1" applyFont="1" applyFill="1" applyBorder="1" applyAlignment="1" applyProtection="1">
      <alignment horizontal="center" vertical="center"/>
    </xf>
    <xf numFmtId="168" fontId="89" fillId="0" borderId="564" xfId="2" applyNumberFormat="1" applyFont="1" applyFill="1" applyBorder="1" applyAlignment="1" applyProtection="1">
      <alignment horizontal="right" vertical="center"/>
    </xf>
    <xf numFmtId="168" fontId="89" fillId="0" borderId="578" xfId="2" applyNumberFormat="1" applyFont="1" applyFill="1" applyBorder="1" applyAlignment="1" applyProtection="1">
      <alignment horizontal="right" vertical="center"/>
    </xf>
    <xf numFmtId="43" fontId="89" fillId="0" borderId="592" xfId="2" applyNumberFormat="1" applyFont="1" applyFill="1" applyBorder="1" applyAlignment="1" applyProtection="1">
      <alignment vertical="center"/>
    </xf>
    <xf numFmtId="0" fontId="10" fillId="0" borderId="563" xfId="11" applyFont="1" applyFill="1" applyBorder="1" applyAlignment="1" applyProtection="1">
      <alignment horizontal="center" vertical="center"/>
    </xf>
    <xf numFmtId="0" fontId="10" fillId="0" borderId="551" xfId="11" applyFont="1" applyFill="1" applyBorder="1" applyAlignment="1" applyProtection="1">
      <alignment vertical="center"/>
    </xf>
    <xf numFmtId="0" fontId="90" fillId="0" borderId="0" xfId="11" applyFont="1" applyFill="1" applyAlignment="1" applyProtection="1">
      <alignment vertical="center"/>
    </xf>
    <xf numFmtId="43" fontId="90" fillId="0" borderId="0" xfId="11" applyNumberFormat="1" applyFont="1" applyFill="1" applyAlignment="1">
      <alignment vertical="center"/>
    </xf>
    <xf numFmtId="0" fontId="90" fillId="0" borderId="0" xfId="11" applyFont="1" applyFill="1" applyAlignment="1" applyProtection="1">
      <alignment horizontal="right" vertical="center"/>
    </xf>
    <xf numFmtId="176" fontId="90" fillId="0" borderId="0" xfId="1" applyNumberFormat="1" applyFont="1" applyFill="1" applyAlignment="1">
      <alignment vertical="center"/>
    </xf>
    <xf numFmtId="0" fontId="10" fillId="0" borderId="578" xfId="11" applyFont="1" applyFill="1" applyBorder="1" applyAlignment="1" applyProtection="1">
      <alignment vertical="center"/>
    </xf>
    <xf numFmtId="168" fontId="89" fillId="0" borderId="592" xfId="2" applyNumberFormat="1" applyFont="1" applyFill="1" applyBorder="1" applyAlignment="1" applyProtection="1">
      <alignment horizontal="right" vertical="center"/>
    </xf>
    <xf numFmtId="168" fontId="89" fillId="0" borderId="0" xfId="11" applyNumberFormat="1" applyFont="1" applyFill="1" applyAlignment="1" applyProtection="1">
      <alignment vertical="center"/>
    </xf>
    <xf numFmtId="41" fontId="89" fillId="0" borderId="0" xfId="11" applyNumberFormat="1" applyFont="1" applyFill="1" applyAlignment="1" applyProtection="1">
      <alignment vertical="center"/>
    </xf>
    <xf numFmtId="0" fontId="10" fillId="0" borderId="597" xfId="11" applyFont="1" applyFill="1" applyBorder="1" applyAlignment="1" applyProtection="1">
      <alignment horizontal="left" vertical="center"/>
    </xf>
    <xf numFmtId="0" fontId="10" fillId="0" borderId="598" xfId="11" applyFont="1" applyFill="1" applyBorder="1" applyAlignment="1" applyProtection="1">
      <alignment vertical="center"/>
    </xf>
    <xf numFmtId="39" fontId="10" fillId="0" borderId="598" xfId="11" applyNumberFormat="1" applyFont="1" applyFill="1" applyBorder="1" applyAlignment="1" applyProtection="1">
      <alignment vertical="center"/>
    </xf>
    <xf numFmtId="168" fontId="10" fillId="0" borderId="598" xfId="2" applyNumberFormat="1" applyFont="1" applyFill="1" applyBorder="1" applyAlignment="1" applyProtection="1">
      <alignment horizontal="center" vertical="center"/>
    </xf>
    <xf numFmtId="0" fontId="10" fillId="0" borderId="599" xfId="11" applyFont="1" applyFill="1" applyBorder="1" applyAlignment="1" applyProtection="1">
      <alignment horizontal="center" vertical="center"/>
    </xf>
    <xf numFmtId="168" fontId="10" fillId="0" borderId="600" xfId="2" applyNumberFormat="1" applyFont="1" applyFill="1" applyBorder="1" applyAlignment="1" applyProtection="1">
      <alignment vertical="center"/>
    </xf>
    <xf numFmtId="168" fontId="10" fillId="0" borderId="603" xfId="2" applyNumberFormat="1" applyFont="1" applyFill="1" applyBorder="1" applyAlignment="1" applyProtection="1">
      <alignment vertical="center"/>
    </xf>
    <xf numFmtId="168" fontId="10" fillId="0" borderId="601" xfId="2" applyNumberFormat="1" applyFont="1" applyFill="1" applyBorder="1" applyAlignment="1" applyProtection="1">
      <alignment vertical="center"/>
    </xf>
    <xf numFmtId="43" fontId="101" fillId="0" borderId="0" xfId="11" applyNumberFormat="1" applyFont="1" applyFill="1" applyAlignment="1" applyProtection="1">
      <alignment vertical="center"/>
    </xf>
    <xf numFmtId="39" fontId="105" fillId="0" borderId="0" xfId="11" applyNumberFormat="1" applyFont="1" applyFill="1" applyAlignment="1" applyProtection="1">
      <alignment vertical="center"/>
    </xf>
    <xf numFmtId="41" fontId="105" fillId="0" borderId="0" xfId="11" applyNumberFormat="1" applyFont="1" applyFill="1" applyAlignment="1" applyProtection="1">
      <alignment vertical="center"/>
    </xf>
    <xf numFmtId="176" fontId="87" fillId="0" borderId="0" xfId="1" applyNumberFormat="1" applyFont="1" applyFill="1" applyAlignment="1" applyProtection="1">
      <alignment horizontal="left" vertical="center"/>
    </xf>
    <xf numFmtId="0" fontId="90" fillId="0" borderId="0" xfId="11" applyFont="1" applyFill="1" applyBorder="1" applyAlignment="1" applyProtection="1">
      <alignment horizontal="center" vertical="center"/>
    </xf>
    <xf numFmtId="0" fontId="90" fillId="0" borderId="0" xfId="11" applyFont="1" applyFill="1" applyBorder="1" applyAlignment="1" applyProtection="1">
      <alignment vertical="center"/>
    </xf>
    <xf numFmtId="39" fontId="90" fillId="0" borderId="0" xfId="11" applyNumberFormat="1" applyFont="1" applyFill="1" applyBorder="1" applyAlignment="1" applyProtection="1">
      <alignment vertical="center"/>
    </xf>
    <xf numFmtId="39" fontId="90" fillId="0" borderId="0" xfId="11" applyNumberFormat="1" applyFont="1" applyFill="1" applyBorder="1" applyAlignment="1" applyProtection="1">
      <alignment horizontal="center" vertical="center"/>
    </xf>
    <xf numFmtId="39" fontId="90" fillId="0" borderId="0" xfId="11" applyNumberFormat="1" applyFont="1" applyFill="1" applyBorder="1" applyAlignment="1">
      <alignment vertical="center"/>
    </xf>
    <xf numFmtId="4" fontId="100" fillId="0" borderId="0" xfId="11" applyNumberFormat="1" applyFont="1" applyFill="1" applyAlignment="1" applyProtection="1">
      <alignment vertical="center"/>
    </xf>
    <xf numFmtId="0" fontId="90" fillId="0" borderId="0" xfId="11" applyFont="1" applyFill="1" applyAlignment="1">
      <alignment horizontal="center" vertical="center"/>
    </xf>
    <xf numFmtId="41" fontId="90" fillId="0" borderId="0" xfId="11" applyNumberFormat="1" applyFont="1" applyFill="1" applyAlignment="1">
      <alignment vertical="center"/>
    </xf>
    <xf numFmtId="0" fontId="89" fillId="0" borderId="0" xfId="11" applyFont="1" applyFill="1" applyAlignment="1">
      <alignment vertical="center"/>
    </xf>
    <xf numFmtId="176" fontId="101" fillId="0" borderId="0" xfId="1" applyNumberFormat="1" applyFont="1" applyFill="1" applyAlignment="1">
      <alignment vertical="center"/>
    </xf>
    <xf numFmtId="0" fontId="89" fillId="0" borderId="0" xfId="11" applyFont="1" applyFill="1" applyAlignment="1">
      <alignment horizontal="center" vertical="center"/>
    </xf>
    <xf numFmtId="175" fontId="90" fillId="0" borderId="0" xfId="2" applyNumberFormat="1" applyFont="1" applyFill="1" applyAlignment="1">
      <alignment vertical="center"/>
    </xf>
    <xf numFmtId="41" fontId="90" fillId="0" borderId="0" xfId="2" applyFont="1" applyFill="1" applyAlignment="1">
      <alignment horizontal="center" vertical="center"/>
    </xf>
    <xf numFmtId="168" fontId="101" fillId="0" borderId="0" xfId="2" applyNumberFormat="1" applyFont="1" applyFill="1" applyAlignment="1">
      <alignment horizontal="center" vertical="center"/>
    </xf>
    <xf numFmtId="0" fontId="106" fillId="0" borderId="0" xfId="11" applyFont="1" applyAlignment="1">
      <alignment horizontal="center" vertical="center"/>
    </xf>
    <xf numFmtId="39" fontId="10" fillId="0" borderId="342" xfId="11" applyNumberFormat="1" applyFont="1" applyBorder="1" applyAlignment="1">
      <alignment vertical="center"/>
    </xf>
    <xf numFmtId="39" fontId="95" fillId="0" borderId="552" xfId="11" applyNumberFormat="1" applyFont="1" applyBorder="1" applyAlignment="1">
      <alignment horizontal="center" vertical="center"/>
    </xf>
    <xf numFmtId="0" fontId="94" fillId="0" borderId="547" xfId="11" applyFont="1" applyBorder="1" applyAlignment="1">
      <alignment horizontal="center" vertical="center"/>
    </xf>
    <xf numFmtId="0" fontId="94" fillId="0" borderId="230" xfId="11" applyFont="1" applyBorder="1" applyAlignment="1">
      <alignment horizontal="center" vertical="center"/>
    </xf>
    <xf numFmtId="0" fontId="95" fillId="0" borderId="547" xfId="11" applyFont="1" applyBorder="1" applyAlignment="1">
      <alignment horizontal="center" vertical="center"/>
    </xf>
    <xf numFmtId="0" fontId="95" fillId="0" borderId="230" xfId="11" applyFont="1" applyBorder="1" applyAlignment="1">
      <alignment horizontal="center" vertical="center"/>
    </xf>
    <xf numFmtId="0" fontId="94" fillId="0" borderId="12" xfId="11" quotePrefix="1" applyFont="1" applyBorder="1" applyAlignment="1">
      <alignment horizontal="center" vertical="center"/>
    </xf>
    <xf numFmtId="0" fontId="89" fillId="0" borderId="548" xfId="11" applyFont="1" applyBorder="1" applyAlignment="1">
      <alignment horizontal="center" vertical="center"/>
    </xf>
    <xf numFmtId="0" fontId="94" fillId="0" borderId="553" xfId="11" applyFont="1" applyBorder="1" applyAlignment="1">
      <alignment horizontal="center" vertical="center"/>
    </xf>
    <xf numFmtId="0" fontId="89" fillId="0" borderId="556" xfId="11" applyFont="1" applyBorder="1" applyAlignment="1">
      <alignment horizontal="center" vertical="center"/>
    </xf>
    <xf numFmtId="0" fontId="97" fillId="6" borderId="336" xfId="11" applyFont="1" applyFill="1" applyBorder="1" applyAlignment="1">
      <alignment horizontal="center" vertical="center"/>
    </xf>
    <xf numFmtId="0" fontId="89" fillId="6" borderId="0" xfId="11" applyFont="1" applyFill="1" applyBorder="1" applyAlignment="1">
      <alignment horizontal="center" vertical="center"/>
    </xf>
    <xf numFmtId="0" fontId="97" fillId="6" borderId="230" xfId="11" applyFont="1" applyFill="1" applyBorder="1" applyAlignment="1">
      <alignment horizontal="center" vertical="center"/>
    </xf>
    <xf numFmtId="0" fontId="97" fillId="6" borderId="12" xfId="11" applyFont="1" applyFill="1" applyBorder="1" applyAlignment="1">
      <alignment horizontal="center" vertical="center"/>
    </xf>
    <xf numFmtId="0" fontId="10" fillId="0" borderId="463" xfId="11" applyFont="1" applyBorder="1" applyAlignment="1">
      <alignment horizontal="center" vertical="center"/>
    </xf>
    <xf numFmtId="0" fontId="10" fillId="0" borderId="465" xfId="11" applyFont="1" applyBorder="1" applyAlignment="1">
      <alignment horizontal="center" vertical="center"/>
    </xf>
    <xf numFmtId="0" fontId="10" fillId="0" borderId="560" xfId="11" applyFont="1" applyBorder="1" applyAlignment="1">
      <alignment horizontal="center" vertical="center"/>
    </xf>
    <xf numFmtId="43" fontId="10" fillId="0" borderId="577" xfId="11" applyNumberFormat="1" applyFont="1" applyBorder="1" applyAlignment="1">
      <alignment horizontal="center" vertical="center"/>
    </xf>
    <xf numFmtId="39" fontId="10" fillId="0" borderId="239" xfId="11" applyNumberFormat="1" applyFont="1" applyFill="1" applyBorder="1" applyAlignment="1" applyProtection="1">
      <alignment horizontal="center" vertical="center"/>
    </xf>
    <xf numFmtId="39" fontId="10" fillId="0" borderId="465" xfId="11" applyNumberFormat="1" applyFont="1" applyBorder="1" applyAlignment="1">
      <alignment horizontal="center" vertical="center"/>
    </xf>
    <xf numFmtId="9" fontId="10" fillId="0" borderId="560" xfId="21" applyFont="1" applyFill="1" applyBorder="1" applyAlignment="1" applyProtection="1">
      <alignment vertical="center"/>
    </xf>
    <xf numFmtId="9" fontId="89" fillId="0" borderId="0" xfId="21" applyFont="1" applyAlignment="1">
      <alignment vertical="center"/>
    </xf>
    <xf numFmtId="39" fontId="10" fillId="0" borderId="550" xfId="11" applyNumberFormat="1" applyFont="1" applyBorder="1" applyAlignment="1">
      <alignment vertical="center"/>
    </xf>
    <xf numFmtId="0" fontId="10" fillId="0" borderId="309" xfId="11" applyFont="1" applyBorder="1" applyAlignment="1">
      <alignment horizontal="center" vertical="center"/>
    </xf>
    <xf numFmtId="0" fontId="10" fillId="0" borderId="311" xfId="11" applyFont="1" applyBorder="1" applyAlignment="1">
      <alignment horizontal="center" vertical="center"/>
    </xf>
    <xf numFmtId="168" fontId="89" fillId="0" borderId="551" xfId="2" applyNumberFormat="1" applyFont="1" applyFill="1" applyBorder="1" applyAlignment="1" applyProtection="1">
      <alignment vertical="center"/>
    </xf>
    <xf numFmtId="9" fontId="89" fillId="0" borderId="563" xfId="21" applyFont="1" applyBorder="1" applyAlignment="1">
      <alignment horizontal="right" vertical="center"/>
    </xf>
    <xf numFmtId="168" fontId="89" fillId="0" borderId="629" xfId="11" applyNumberFormat="1" applyFont="1" applyBorder="1" applyAlignment="1">
      <alignment horizontal="center" vertical="center"/>
    </xf>
    <xf numFmtId="0" fontId="10" fillId="0" borderId="252" xfId="11" applyFont="1" applyBorder="1" applyAlignment="1">
      <alignment horizontal="center" vertical="center"/>
    </xf>
    <xf numFmtId="168" fontId="89" fillId="0" borderId="565" xfId="11" applyNumberFormat="1" applyFont="1" applyBorder="1" applyAlignment="1">
      <alignment horizontal="center" vertical="center"/>
    </xf>
    <xf numFmtId="0" fontId="90" fillId="0" borderId="252" xfId="11" applyFont="1" applyBorder="1" applyAlignment="1">
      <alignment horizontal="center" vertical="center"/>
    </xf>
    <xf numFmtId="0" fontId="90" fillId="0" borderId="463" xfId="11" applyFont="1" applyBorder="1" applyAlignment="1">
      <alignment horizontal="center" vertical="center"/>
    </xf>
    <xf numFmtId="0" fontId="90" fillId="0" borderId="465" xfId="11" applyFont="1" applyBorder="1" applyAlignment="1">
      <alignment horizontal="center" vertical="center"/>
    </xf>
    <xf numFmtId="0" fontId="90" fillId="0" borderId="560" xfId="11" applyFont="1" applyBorder="1" applyAlignment="1">
      <alignment horizontal="center" vertical="center"/>
    </xf>
    <xf numFmtId="39" fontId="10" fillId="0" borderId="463" xfId="11" applyNumberFormat="1" applyFont="1" applyBorder="1" applyAlignment="1">
      <alignment horizontal="center" vertical="center"/>
    </xf>
    <xf numFmtId="39" fontId="10" fillId="0" borderId="560" xfId="11" applyNumberFormat="1" applyFont="1" applyBorder="1" applyAlignment="1">
      <alignment horizontal="center" vertical="center"/>
    </xf>
    <xf numFmtId="168" fontId="89" fillId="0" borderId="0" xfId="2" applyNumberFormat="1" applyFont="1" applyAlignment="1">
      <alignment vertical="center"/>
    </xf>
    <xf numFmtId="168" fontId="94" fillId="0" borderId="125" xfId="2" applyNumberFormat="1" applyFont="1" applyFill="1" applyBorder="1" applyAlignment="1" applyProtection="1">
      <alignment horizontal="right" vertical="center"/>
    </xf>
    <xf numFmtId="168" fontId="89" fillId="0" borderId="124" xfId="2" applyNumberFormat="1" applyFont="1" applyFill="1" applyBorder="1" applyAlignment="1" applyProtection="1">
      <alignment vertical="center"/>
    </xf>
    <xf numFmtId="168" fontId="90" fillId="0" borderId="0" xfId="11" applyNumberFormat="1" applyFont="1" applyAlignment="1">
      <alignment vertical="center"/>
    </xf>
    <xf numFmtId="168" fontId="10" fillId="0" borderId="469" xfId="2" applyNumberFormat="1" applyFont="1" applyFill="1" applyBorder="1" applyAlignment="1" applyProtection="1">
      <alignment horizontal="right" vertical="center"/>
    </xf>
    <xf numFmtId="168" fontId="10" fillId="0" borderId="550" xfId="2" applyNumberFormat="1" applyFont="1" applyFill="1" applyBorder="1" applyAlignment="1" applyProtection="1">
      <alignment vertical="center"/>
    </xf>
    <xf numFmtId="0" fontId="10" fillId="0" borderId="252" xfId="30" applyFont="1" applyBorder="1" applyAlignment="1">
      <alignment horizontal="center" vertical="center"/>
    </xf>
    <xf numFmtId="168" fontId="10" fillId="0" borderId="549" xfId="31" applyNumberFormat="1" applyFont="1" applyFill="1" applyBorder="1" applyAlignment="1" applyProtection="1">
      <alignment vertical="center"/>
    </xf>
    <xf numFmtId="0" fontId="10" fillId="0" borderId="252" xfId="11" applyFont="1" applyFill="1" applyBorder="1" applyAlignment="1">
      <alignment horizontal="center" vertical="center"/>
    </xf>
    <xf numFmtId="39" fontId="10" fillId="0" borderId="124" xfId="11" applyNumberFormat="1" applyFont="1" applyBorder="1" applyAlignment="1">
      <alignment horizontal="center" vertical="center"/>
    </xf>
    <xf numFmtId="39" fontId="10" fillId="0" borderId="126" xfId="11" applyNumberFormat="1" applyFont="1" applyBorder="1" applyAlignment="1">
      <alignment horizontal="center" vertical="center"/>
    </xf>
    <xf numFmtId="39" fontId="10" fillId="0" borderId="252" xfId="11" applyNumberFormat="1" applyFont="1" applyBorder="1" applyAlignment="1">
      <alignment horizontal="center" vertical="center"/>
    </xf>
    <xf numFmtId="39" fontId="10" fillId="0" borderId="127" xfId="11" applyNumberFormat="1" applyFont="1" applyBorder="1" applyAlignment="1">
      <alignment horizontal="center" vertical="center"/>
    </xf>
    <xf numFmtId="39" fontId="10" fillId="0" borderId="46" xfId="11" applyNumberFormat="1" applyFont="1" applyBorder="1" applyAlignment="1">
      <alignment horizontal="center" vertical="center"/>
    </xf>
    <xf numFmtId="39" fontId="10" fillId="0" borderId="479" xfId="30" applyNumberFormat="1" applyFont="1" applyFill="1" applyBorder="1" applyAlignment="1">
      <alignment horizontal="center" vertical="center"/>
    </xf>
    <xf numFmtId="168" fontId="89" fillId="0" borderId="478" xfId="31" applyNumberFormat="1" applyFont="1" applyFill="1" applyBorder="1" applyAlignment="1" applyProtection="1">
      <alignment vertical="center"/>
    </xf>
    <xf numFmtId="168" fontId="94" fillId="0" borderId="563" xfId="31" applyNumberFormat="1" applyFont="1" applyFill="1" applyBorder="1" applyAlignment="1" applyProtection="1">
      <alignment vertical="center"/>
    </xf>
    <xf numFmtId="0" fontId="97" fillId="6" borderId="563" xfId="11" applyFont="1" applyFill="1" applyBorder="1" applyAlignment="1">
      <alignment horizontal="center" vertical="center"/>
    </xf>
    <xf numFmtId="39" fontId="10" fillId="0" borderId="485" xfId="30" applyNumberFormat="1" applyFont="1" applyFill="1" applyBorder="1" applyAlignment="1">
      <alignment horizontal="center" vertical="center"/>
    </xf>
    <xf numFmtId="168" fontId="89" fillId="0" borderId="484" xfId="31" applyNumberFormat="1" applyFont="1" applyFill="1" applyBorder="1" applyAlignment="1" applyProtection="1">
      <alignment vertical="center"/>
    </xf>
    <xf numFmtId="168" fontId="94" fillId="0" borderId="569" xfId="31" applyNumberFormat="1" applyFont="1" applyFill="1" applyBorder="1" applyAlignment="1" applyProtection="1">
      <alignment vertical="center"/>
    </xf>
    <xf numFmtId="39" fontId="10" fillId="0" borderId="605" xfId="11" applyNumberFormat="1" applyFont="1" applyBorder="1" applyAlignment="1">
      <alignment horizontal="center" vertical="center"/>
    </xf>
    <xf numFmtId="9" fontId="10" fillId="0" borderId="608" xfId="21" applyFont="1" applyFill="1" applyBorder="1" applyAlignment="1" applyProtection="1">
      <alignment vertical="center"/>
    </xf>
    <xf numFmtId="168" fontId="10" fillId="0" borderId="605" xfId="2" applyNumberFormat="1" applyFont="1" applyFill="1" applyBorder="1" applyAlignment="1" applyProtection="1">
      <alignment vertical="center"/>
    </xf>
    <xf numFmtId="0" fontId="10" fillId="0" borderId="479" xfId="11" applyFont="1" applyFill="1" applyBorder="1" applyAlignment="1">
      <alignment vertical="center"/>
    </xf>
    <xf numFmtId="39" fontId="10" fillId="0" borderId="585" xfId="30" applyNumberFormat="1" applyFont="1" applyFill="1" applyBorder="1" applyAlignment="1">
      <alignment horizontal="center" vertical="center"/>
    </xf>
    <xf numFmtId="168" fontId="94" fillId="0" borderId="0" xfId="31" applyNumberFormat="1" applyFont="1" applyFill="1" applyBorder="1" applyAlignment="1" applyProtection="1">
      <alignment vertical="center"/>
    </xf>
    <xf numFmtId="9" fontId="94" fillId="0" borderId="230" xfId="21" applyFont="1" applyFill="1" applyBorder="1" applyAlignment="1" applyProtection="1">
      <alignment vertical="center"/>
    </xf>
    <xf numFmtId="43" fontId="94" fillId="0" borderId="547" xfId="31" applyNumberFormat="1" applyFont="1" applyFill="1" applyBorder="1" applyAlignment="1" applyProtection="1">
      <alignment vertical="center"/>
    </xf>
    <xf numFmtId="168" fontId="94" fillId="0" borderId="592" xfId="31" applyNumberFormat="1" applyFont="1" applyFill="1" applyBorder="1" applyAlignment="1" applyProtection="1">
      <alignment vertical="center"/>
    </xf>
    <xf numFmtId="168" fontId="94" fillId="0" borderId="311" xfId="2" applyNumberFormat="1" applyFont="1" applyFill="1" applyBorder="1" applyAlignment="1" applyProtection="1">
      <alignment horizontal="right" vertical="center"/>
    </xf>
    <xf numFmtId="0" fontId="10" fillId="0" borderId="554" xfId="11" applyFont="1" applyBorder="1" applyAlignment="1">
      <alignment horizontal="center" vertical="center"/>
    </xf>
    <xf numFmtId="168" fontId="10" fillId="0" borderId="594" xfId="2" applyNumberFormat="1" applyFont="1" applyFill="1" applyBorder="1" applyAlignment="1">
      <alignment vertical="center"/>
    </xf>
    <xf numFmtId="168" fontId="10" fillId="0" borderId="553" xfId="2" applyNumberFormat="1" applyFont="1" applyFill="1" applyBorder="1" applyAlignment="1">
      <alignment vertical="center"/>
    </xf>
    <xf numFmtId="0" fontId="94" fillId="0" borderId="0" xfId="35" applyFont="1" applyAlignment="1">
      <alignment horizontal="left" vertical="center"/>
    </xf>
    <xf numFmtId="0" fontId="90" fillId="0" borderId="0" xfId="35" applyFont="1" applyAlignment="1">
      <alignment vertical="center"/>
    </xf>
    <xf numFmtId="177" fontId="90" fillId="0" borderId="0" xfId="36" applyNumberFormat="1" applyFont="1" applyFill="1" applyAlignment="1">
      <alignment vertical="center"/>
    </xf>
    <xf numFmtId="43" fontId="90" fillId="0" borderId="0" xfId="36" applyFont="1" applyFill="1" applyAlignment="1">
      <alignment vertical="center"/>
    </xf>
    <xf numFmtId="0" fontId="107" fillId="0" borderId="0" xfId="35" applyFont="1" applyAlignment="1">
      <alignment vertical="center"/>
    </xf>
    <xf numFmtId="0" fontId="108" fillId="0" borderId="0" xfId="0" applyFont="1"/>
    <xf numFmtId="43" fontId="108" fillId="0" borderId="0" xfId="0" applyNumberFormat="1" applyFont="1"/>
    <xf numFmtId="41" fontId="108" fillId="0" borderId="0" xfId="10" applyNumberFormat="1" applyFont="1" applyFill="1" applyBorder="1" applyAlignment="1">
      <alignment vertical="center"/>
    </xf>
    <xf numFmtId="9" fontId="108" fillId="0" borderId="0" xfId="0" applyNumberFormat="1" applyFont="1"/>
    <xf numFmtId="0" fontId="101" fillId="0" borderId="0" xfId="35" applyFont="1" applyAlignment="1">
      <alignment horizontal="center" vertical="center"/>
    </xf>
    <xf numFmtId="0" fontId="101" fillId="0" borderId="506" xfId="35" applyFont="1" applyBorder="1" applyAlignment="1">
      <alignment horizontal="center" vertical="center"/>
    </xf>
    <xf numFmtId="0" fontId="90" fillId="0" borderId="507" xfId="35" applyFont="1" applyBorder="1" applyAlignment="1">
      <alignment vertical="center"/>
    </xf>
    <xf numFmtId="177" fontId="90" fillId="0" borderId="507" xfId="36" applyNumberFormat="1" applyFont="1" applyFill="1" applyBorder="1" applyAlignment="1">
      <alignment vertical="center"/>
    </xf>
    <xf numFmtId="43" fontId="90" fillId="0" borderId="508" xfId="36" applyFont="1" applyFill="1" applyBorder="1" applyAlignment="1">
      <alignment vertical="center"/>
    </xf>
    <xf numFmtId="0" fontId="90" fillId="0" borderId="504" xfId="35" applyFont="1" applyBorder="1" applyAlignment="1">
      <alignment vertical="center"/>
    </xf>
    <xf numFmtId="0" fontId="107" fillId="0" borderId="509" xfId="35" applyFont="1" applyBorder="1" applyAlignment="1">
      <alignment vertical="center"/>
    </xf>
    <xf numFmtId="0" fontId="108" fillId="0" borderId="1" xfId="0" applyFont="1" applyFill="1" applyBorder="1" applyAlignment="1">
      <alignment horizontal="center" vertical="center"/>
    </xf>
    <xf numFmtId="0" fontId="101" fillId="0" borderId="511" xfId="35" applyFont="1" applyBorder="1" applyAlignment="1">
      <alignment horizontal="center" vertical="center"/>
    </xf>
    <xf numFmtId="0" fontId="101" fillId="0" borderId="512" xfId="35" applyFont="1" applyBorder="1" applyAlignment="1">
      <alignment horizontal="center" vertical="center"/>
    </xf>
    <xf numFmtId="177" fontId="101" fillId="0" borderId="512" xfId="36" applyNumberFormat="1" applyFont="1" applyFill="1" applyBorder="1" applyAlignment="1">
      <alignment horizontal="center" vertical="center"/>
    </xf>
    <xf numFmtId="0" fontId="108" fillId="0" borderId="2" xfId="0" applyFont="1" applyFill="1" applyBorder="1" applyAlignment="1">
      <alignment horizontal="center" vertical="center"/>
    </xf>
    <xf numFmtId="0" fontId="101" fillId="0" borderId="516" xfId="35" applyFont="1" applyBorder="1" applyAlignment="1">
      <alignment horizontal="center" vertical="center"/>
    </xf>
    <xf numFmtId="0" fontId="90" fillId="0" borderId="512" xfId="35" applyFont="1" applyBorder="1" applyAlignment="1">
      <alignment vertical="center"/>
    </xf>
    <xf numFmtId="177" fontId="90" fillId="0" borderId="512" xfId="36" applyNumberFormat="1" applyFont="1" applyFill="1" applyBorder="1" applyAlignment="1">
      <alignment vertical="center"/>
    </xf>
    <xf numFmtId="43" fontId="90" fillId="0" borderId="513" xfId="36" applyFont="1" applyFill="1" applyBorder="1" applyAlignment="1">
      <alignment vertical="center"/>
    </xf>
    <xf numFmtId="0" fontId="107" fillId="0" borderId="514" xfId="35" applyFont="1" applyBorder="1" applyAlignment="1">
      <alignment vertical="center"/>
    </xf>
    <xf numFmtId="43" fontId="101" fillId="0" borderId="512" xfId="36" applyFont="1" applyFill="1" applyBorder="1" applyAlignment="1">
      <alignment horizontal="center" vertical="center"/>
    </xf>
    <xf numFmtId="43" fontId="101" fillId="0" borderId="515" xfId="36" applyFont="1" applyFill="1" applyBorder="1" applyAlignment="1">
      <alignment horizontal="center" vertical="center"/>
    </xf>
    <xf numFmtId="0" fontId="108" fillId="0" borderId="3" xfId="0" applyFont="1" applyFill="1" applyBorder="1" applyAlignment="1">
      <alignment vertical="center"/>
    </xf>
    <xf numFmtId="0" fontId="108" fillId="0" borderId="3" xfId="0" applyFont="1" applyFill="1" applyBorder="1" applyAlignment="1">
      <alignment horizontal="center" vertical="center"/>
    </xf>
    <xf numFmtId="0" fontId="101" fillId="0" borderId="328" xfId="35" applyFont="1" applyBorder="1" applyAlignment="1">
      <alignment horizontal="center" vertical="center"/>
    </xf>
    <xf numFmtId="0" fontId="90" fillId="0" borderId="328" xfId="35" applyFont="1" applyBorder="1" applyAlignment="1">
      <alignment vertical="center"/>
    </xf>
    <xf numFmtId="177" fontId="90" fillId="0" borderId="328" xfId="36" applyNumberFormat="1" applyFont="1" applyFill="1" applyBorder="1" applyAlignment="1">
      <alignment vertical="center"/>
    </xf>
    <xf numFmtId="43" fontId="90" fillId="0" borderId="328" xfId="36" applyFont="1" applyFill="1" applyBorder="1" applyAlignment="1">
      <alignment vertical="center"/>
    </xf>
    <xf numFmtId="0" fontId="107" fillId="0" borderId="328" xfId="35" applyFont="1" applyBorder="1" applyAlignment="1">
      <alignment vertical="center"/>
    </xf>
    <xf numFmtId="43" fontId="90" fillId="0" borderId="630" xfId="36" applyFont="1" applyFill="1" applyBorder="1" applyAlignment="1">
      <alignment vertical="center"/>
    </xf>
    <xf numFmtId="43" fontId="90" fillId="0" borderId="633" xfId="36" applyFont="1" applyFill="1" applyBorder="1" applyAlignment="1">
      <alignment vertical="center"/>
    </xf>
    <xf numFmtId="0" fontId="101" fillId="0" borderId="512" xfId="35" applyFont="1" applyBorder="1" applyAlignment="1">
      <alignment vertical="center"/>
    </xf>
    <xf numFmtId="177" fontId="101" fillId="0" borderId="512" xfId="36" applyNumberFormat="1" applyFont="1" applyFill="1" applyBorder="1" applyAlignment="1">
      <alignment vertical="center"/>
    </xf>
    <xf numFmtId="43" fontId="94" fillId="0" borderId="513" xfId="36" applyFont="1" applyFill="1" applyBorder="1" applyAlignment="1">
      <alignment vertical="center"/>
    </xf>
    <xf numFmtId="43" fontId="90" fillId="0" borderId="512" xfId="36" applyFont="1" applyFill="1" applyBorder="1" applyAlignment="1">
      <alignment vertical="center"/>
    </xf>
    <xf numFmtId="43" fontId="90" fillId="0" borderId="326" xfId="36" applyFont="1" applyFill="1" applyBorder="1" applyAlignment="1">
      <alignment vertical="center"/>
    </xf>
    <xf numFmtId="0" fontId="101" fillId="0" borderId="517" xfId="35" applyFont="1" applyBorder="1" applyAlignment="1">
      <alignment horizontal="center" vertical="center"/>
    </xf>
    <xf numFmtId="0" fontId="101" fillId="0" borderId="518" xfId="35" applyFont="1" applyBorder="1" applyAlignment="1">
      <alignment horizontal="center" vertical="center"/>
    </xf>
    <xf numFmtId="0" fontId="90" fillId="0" borderId="518" xfId="35" applyFont="1" applyBorder="1" applyAlignment="1">
      <alignment horizontal="center" vertical="center"/>
    </xf>
    <xf numFmtId="177" fontId="101" fillId="0" borderId="518" xfId="36" applyNumberFormat="1" applyFont="1" applyFill="1" applyBorder="1" applyAlignment="1">
      <alignment vertical="center"/>
    </xf>
    <xf numFmtId="43" fontId="101" fillId="0" borderId="519" xfId="36" applyFont="1" applyFill="1" applyBorder="1" applyAlignment="1">
      <alignment vertical="center"/>
    </xf>
    <xf numFmtId="0" fontId="107" fillId="0" borderId="520" xfId="35" applyFont="1" applyBorder="1" applyAlignment="1">
      <alignment vertical="center"/>
    </xf>
    <xf numFmtId="43" fontId="90" fillId="0" borderId="518" xfId="36" applyFont="1" applyFill="1" applyBorder="1" applyAlignment="1">
      <alignment vertical="center"/>
    </xf>
    <xf numFmtId="43" fontId="101" fillId="0" borderId="326" xfId="36" applyFont="1" applyFill="1" applyBorder="1" applyAlignment="1">
      <alignment vertical="center"/>
    </xf>
    <xf numFmtId="0" fontId="101" fillId="0" borderId="521" xfId="35" applyFont="1" applyBorder="1" applyAlignment="1">
      <alignment horizontal="center" vertical="center"/>
    </xf>
    <xf numFmtId="0" fontId="90" fillId="0" borderId="522" xfId="35" applyFont="1" applyBorder="1" applyAlignment="1">
      <alignment vertical="center"/>
    </xf>
    <xf numFmtId="177" fontId="90" fillId="0" borderId="522" xfId="36" applyNumberFormat="1" applyFont="1" applyFill="1" applyBorder="1" applyAlignment="1">
      <alignment vertical="center"/>
    </xf>
    <xf numFmtId="0" fontId="90" fillId="0" borderId="522" xfId="35" applyFont="1" applyBorder="1" applyAlignment="1">
      <alignment horizontal="center" vertical="center"/>
    </xf>
    <xf numFmtId="43" fontId="101" fillId="0" borderId="523" xfId="36" applyFont="1" applyFill="1" applyBorder="1" applyAlignment="1">
      <alignment vertical="center"/>
    </xf>
    <xf numFmtId="0" fontId="90" fillId="0" borderId="94" xfId="35" applyFont="1" applyBorder="1" applyAlignment="1">
      <alignment vertical="center"/>
    </xf>
    <xf numFmtId="0" fontId="107" fillId="0" borderId="524" xfId="35" applyFont="1" applyBorder="1" applyAlignment="1">
      <alignment vertical="center"/>
    </xf>
    <xf numFmtId="43" fontId="90" fillId="0" borderId="522" xfId="36" applyFont="1" applyFill="1" applyBorder="1" applyAlignment="1">
      <alignment vertical="center"/>
    </xf>
    <xf numFmtId="43" fontId="101" fillId="0" borderId="79" xfId="36" applyFont="1" applyFill="1" applyBorder="1" applyAlignment="1">
      <alignment vertical="center"/>
    </xf>
    <xf numFmtId="43" fontId="90" fillId="0" borderId="523" xfId="36" applyFont="1" applyFill="1" applyBorder="1" applyAlignment="1">
      <alignment vertical="center"/>
    </xf>
    <xf numFmtId="9" fontId="108" fillId="0" borderId="631" xfId="1" applyNumberFormat="1" applyFont="1" applyFill="1" applyBorder="1" applyAlignment="1">
      <alignment horizontal="center" vertical="center"/>
    </xf>
    <xf numFmtId="43" fontId="108" fillId="0" borderId="631" xfId="1" applyFont="1" applyFill="1" applyBorder="1" applyAlignment="1">
      <alignment horizontal="center" vertical="center"/>
    </xf>
    <xf numFmtId="43" fontId="108" fillId="0" borderId="631" xfId="1" applyFont="1" applyFill="1" applyBorder="1" applyAlignment="1">
      <alignment vertical="center"/>
    </xf>
    <xf numFmtId="0" fontId="101" fillId="0" borderId="525" xfId="35" applyFont="1" applyBorder="1" applyAlignment="1">
      <alignment horizontal="center" vertical="center"/>
    </xf>
    <xf numFmtId="0" fontId="90" fillId="0" borderId="526" xfId="35" applyFont="1" applyBorder="1" applyAlignment="1">
      <alignment vertical="center"/>
    </xf>
    <xf numFmtId="177" fontId="90" fillId="0" borderId="526" xfId="36" applyNumberFormat="1" applyFont="1" applyFill="1" applyBorder="1" applyAlignment="1">
      <alignment vertical="center"/>
    </xf>
    <xf numFmtId="0" fontId="90" fillId="0" borderId="526" xfId="35" applyFont="1" applyBorder="1" applyAlignment="1">
      <alignment horizontal="center" vertical="center"/>
    </xf>
    <xf numFmtId="43" fontId="101" fillId="0" borderId="527" xfId="36" applyFont="1" applyFill="1" applyBorder="1" applyAlignment="1">
      <alignment vertical="center"/>
    </xf>
    <xf numFmtId="0" fontId="90" fillId="0" borderId="449" xfId="35" applyFont="1" applyBorder="1" applyAlignment="1">
      <alignment vertical="center"/>
    </xf>
    <xf numFmtId="0" fontId="107" fillId="0" borderId="528" xfId="35" applyFont="1" applyBorder="1" applyAlignment="1">
      <alignment vertical="center"/>
    </xf>
    <xf numFmtId="43" fontId="90" fillId="0" borderId="526" xfId="36" applyFont="1" applyFill="1" applyBorder="1" applyAlignment="1">
      <alignment vertical="center"/>
    </xf>
    <xf numFmtId="43" fontId="101" fillId="0" borderId="140" xfId="36" applyFont="1" applyFill="1" applyBorder="1" applyAlignment="1">
      <alignment vertical="center"/>
    </xf>
    <xf numFmtId="0" fontId="90" fillId="0" borderId="526" xfId="12" applyFont="1" applyBorder="1" applyAlignment="1">
      <alignment horizontal="center" vertical="center"/>
    </xf>
    <xf numFmtId="43" fontId="90" fillId="0" borderId="527" xfId="36" applyFont="1" applyFill="1" applyBorder="1" applyAlignment="1">
      <alignment vertical="center"/>
    </xf>
    <xf numFmtId="43" fontId="90" fillId="0" borderId="529" xfId="36" applyFont="1" applyFill="1" applyBorder="1" applyAlignment="1">
      <alignment vertical="center"/>
    </xf>
    <xf numFmtId="0" fontId="101" fillId="0" borderId="530" xfId="35" applyFont="1" applyBorder="1" applyAlignment="1">
      <alignment horizontal="center" vertical="center"/>
    </xf>
    <xf numFmtId="0" fontId="90" fillId="0" borderId="531" xfId="35" applyFont="1" applyBorder="1" applyAlignment="1">
      <alignment vertical="center"/>
    </xf>
    <xf numFmtId="177" fontId="90" fillId="0" borderId="531" xfId="36" applyNumberFormat="1" applyFont="1" applyFill="1" applyBorder="1" applyAlignment="1">
      <alignment vertical="center"/>
    </xf>
    <xf numFmtId="0" fontId="90" fillId="0" borderId="531" xfId="12" applyFont="1" applyBorder="1" applyAlignment="1">
      <alignment horizontal="center" vertical="center"/>
    </xf>
    <xf numFmtId="43" fontId="90" fillId="0" borderId="532" xfId="36" applyFont="1" applyFill="1" applyBorder="1" applyAlignment="1">
      <alignment vertical="center"/>
    </xf>
    <xf numFmtId="0" fontId="90" fillId="0" borderId="533" xfId="35" applyFont="1" applyBorder="1" applyAlignment="1">
      <alignment vertical="center"/>
    </xf>
    <xf numFmtId="0" fontId="107" fillId="0" borderId="534" xfId="35" applyFont="1" applyBorder="1" applyAlignment="1">
      <alignment vertical="center"/>
    </xf>
    <xf numFmtId="43" fontId="90" fillId="0" borderId="531" xfId="36" applyFont="1" applyFill="1" applyBorder="1" applyAlignment="1">
      <alignment vertical="center"/>
    </xf>
    <xf numFmtId="177" fontId="90" fillId="0" borderId="522" xfId="36" applyNumberFormat="1" applyFont="1" applyFill="1" applyBorder="1" applyAlignment="1">
      <alignment horizontal="center" vertical="center"/>
    </xf>
    <xf numFmtId="0" fontId="101" fillId="0" borderId="522" xfId="35" applyFont="1" applyBorder="1" applyAlignment="1">
      <alignment horizontal="center" vertical="center"/>
    </xf>
    <xf numFmtId="43" fontId="101" fillId="0" borderId="523" xfId="36" applyFont="1" applyFill="1" applyBorder="1" applyAlignment="1">
      <alignment horizontal="left" vertical="center"/>
    </xf>
    <xf numFmtId="177" fontId="90" fillId="0" borderId="526" xfId="36" applyNumberFormat="1" applyFont="1" applyFill="1" applyBorder="1" applyAlignment="1">
      <alignment horizontal="center" vertical="center"/>
    </xf>
    <xf numFmtId="0" fontId="101" fillId="0" borderId="526" xfId="35" applyFont="1" applyBorder="1" applyAlignment="1">
      <alignment horizontal="center" vertical="center"/>
    </xf>
    <xf numFmtId="43" fontId="101" fillId="0" borderId="527" xfId="36" applyFont="1" applyFill="1" applyBorder="1" applyAlignment="1">
      <alignment horizontal="left" vertical="center"/>
    </xf>
    <xf numFmtId="9" fontId="109" fillId="0" borderId="631" xfId="21" applyFont="1" applyFill="1" applyBorder="1" applyAlignment="1">
      <alignment horizontal="center" vertical="center"/>
    </xf>
    <xf numFmtId="43" fontId="108" fillId="0" borderId="631" xfId="1" applyFont="1" applyFill="1" applyBorder="1" applyAlignment="1">
      <alignment horizontal="right" vertical="center"/>
    </xf>
    <xf numFmtId="43" fontId="109" fillId="0" borderId="631" xfId="1" applyFont="1" applyFill="1" applyBorder="1" applyAlignment="1">
      <alignment horizontal="right" vertical="center"/>
    </xf>
    <xf numFmtId="9" fontId="90" fillId="0" borderId="528" xfId="35" applyNumberFormat="1" applyFont="1" applyBorder="1" applyAlignment="1">
      <alignment vertical="center"/>
    </xf>
    <xf numFmtId="0" fontId="90" fillId="0" borderId="531" xfId="35" applyFont="1" applyBorder="1" applyAlignment="1">
      <alignment horizontal="center" vertical="center"/>
    </xf>
    <xf numFmtId="177" fontId="90" fillId="0" borderId="531" xfId="36" applyNumberFormat="1" applyFont="1" applyFill="1" applyBorder="1" applyAlignment="1">
      <alignment horizontal="center" vertical="center"/>
    </xf>
    <xf numFmtId="0" fontId="101" fillId="0" borderId="531" xfId="35" applyFont="1" applyBorder="1" applyAlignment="1">
      <alignment horizontal="center" vertical="center"/>
    </xf>
    <xf numFmtId="43" fontId="101" fillId="0" borderId="532" xfId="36" applyFont="1" applyFill="1" applyBorder="1" applyAlignment="1">
      <alignment horizontal="left" vertical="center"/>
    </xf>
    <xf numFmtId="43" fontId="101" fillId="0" borderId="532" xfId="36" applyFont="1" applyFill="1" applyBorder="1" applyAlignment="1">
      <alignment vertical="center"/>
    </xf>
    <xf numFmtId="43" fontId="101" fillId="0" borderId="632" xfId="36" applyFont="1" applyFill="1" applyBorder="1" applyAlignment="1">
      <alignment vertical="center"/>
    </xf>
    <xf numFmtId="41" fontId="108" fillId="0" borderId="0" xfId="2" applyFont="1"/>
    <xf numFmtId="41" fontId="109" fillId="0" borderId="131" xfId="2" applyFont="1" applyBorder="1" applyAlignment="1">
      <alignment horizontal="center" vertical="center"/>
    </xf>
    <xf numFmtId="0" fontId="109" fillId="0" borderId="132" xfId="0" applyFont="1" applyBorder="1" applyAlignment="1">
      <alignment horizontal="center" vertical="center"/>
    </xf>
    <xf numFmtId="0" fontId="109" fillId="0" borderId="145" xfId="0" applyFont="1" applyBorder="1" applyAlignment="1">
      <alignment horizontal="center" vertical="center"/>
    </xf>
    <xf numFmtId="0" fontId="109" fillId="0" borderId="131" xfId="0" applyFont="1" applyBorder="1" applyAlignment="1">
      <alignment horizontal="center" vertical="center"/>
    </xf>
    <xf numFmtId="0" fontId="109" fillId="0" borderId="132" xfId="0" applyFont="1" applyBorder="1" applyAlignment="1">
      <alignment horizontal="center" vertical="center" wrapText="1"/>
    </xf>
    <xf numFmtId="0" fontId="109" fillId="0" borderId="145" xfId="0" applyFont="1" applyBorder="1" applyAlignment="1">
      <alignment horizontal="center" vertical="center" wrapText="1"/>
    </xf>
    <xf numFmtId="0" fontId="109" fillId="0" borderId="133" xfId="0" applyFont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41" fontId="109" fillId="0" borderId="0" xfId="2" applyFont="1" applyAlignment="1">
      <alignment horizontal="center" vertical="center"/>
    </xf>
    <xf numFmtId="41" fontId="108" fillId="0" borderId="142" xfId="2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43" fontId="108" fillId="0" borderId="84" xfId="1" applyFont="1" applyBorder="1" applyAlignment="1">
      <alignment horizontal="center" vertical="center"/>
    </xf>
    <xf numFmtId="0" fontId="108" fillId="0" borderId="324" xfId="0" applyFont="1" applyBorder="1" applyAlignment="1">
      <alignment horizontal="center" vertical="center"/>
    </xf>
    <xf numFmtId="0" fontId="108" fillId="0" borderId="539" xfId="0" applyFont="1" applyBorder="1" applyAlignment="1">
      <alignment horizontal="center" vertical="center"/>
    </xf>
    <xf numFmtId="0" fontId="108" fillId="0" borderId="323" xfId="0" applyFont="1" applyBorder="1" applyAlignment="1">
      <alignment horizontal="center" vertical="center"/>
    </xf>
    <xf numFmtId="0" fontId="108" fillId="0" borderId="573" xfId="0" quotePrefix="1" applyFont="1" applyBorder="1" applyAlignment="1">
      <alignment horizontal="center" vertical="center"/>
    </xf>
    <xf numFmtId="0" fontId="108" fillId="0" borderId="540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41" fontId="108" fillId="0" borderId="0" xfId="2" applyFont="1" applyAlignment="1">
      <alignment horizontal="center" vertical="center"/>
    </xf>
    <xf numFmtId="41" fontId="109" fillId="0" borderId="143" xfId="2" applyFont="1" applyBorder="1" applyAlignment="1">
      <alignment horizontal="center" vertical="center"/>
    </xf>
    <xf numFmtId="0" fontId="109" fillId="0" borderId="144" xfId="0" applyFont="1" applyBorder="1" applyAlignment="1">
      <alignment horizontal="left" vertical="center"/>
    </xf>
    <xf numFmtId="0" fontId="108" fillId="0" borderId="144" xfId="0" applyFont="1" applyBorder="1" applyAlignment="1">
      <alignment horizontal="center" vertical="center"/>
    </xf>
    <xf numFmtId="43" fontId="108" fillId="0" borderId="144" xfId="1" applyFont="1" applyBorder="1" applyAlignment="1">
      <alignment horizontal="center" vertical="center"/>
    </xf>
    <xf numFmtId="0" fontId="108" fillId="0" borderId="327" xfId="0" applyFont="1" applyBorder="1" applyAlignment="1">
      <alignment horizontal="center" vertical="center"/>
    </xf>
    <xf numFmtId="0" fontId="108" fillId="0" borderId="541" xfId="0" applyFont="1" applyBorder="1" applyAlignment="1">
      <alignment horizontal="center" vertical="center"/>
    </xf>
    <xf numFmtId="0" fontId="108" fillId="0" borderId="326" xfId="0" applyFont="1" applyBorder="1" applyAlignment="1">
      <alignment horizontal="center" vertical="center"/>
    </xf>
    <xf numFmtId="0" fontId="108" fillId="0" borderId="574" xfId="0" applyFont="1" applyBorder="1" applyAlignment="1">
      <alignment horizontal="center" vertical="center"/>
    </xf>
    <xf numFmtId="0" fontId="108" fillId="0" borderId="542" xfId="0" applyFont="1" applyBorder="1" applyAlignment="1">
      <alignment horizontal="center" vertical="center"/>
    </xf>
    <xf numFmtId="41" fontId="108" fillId="0" borderId="139" xfId="2" applyFont="1" applyBorder="1" applyAlignment="1">
      <alignment horizontal="center" vertical="center"/>
    </xf>
    <xf numFmtId="0" fontId="108" fillId="0" borderId="151" xfId="0" applyFont="1" applyBorder="1" applyAlignment="1">
      <alignment horizontal="left" vertical="center"/>
    </xf>
    <xf numFmtId="0" fontId="108" fillId="0" borderId="152" xfId="0" applyFont="1" applyBorder="1" applyAlignment="1">
      <alignment horizontal="left" vertical="center"/>
    </xf>
    <xf numFmtId="0" fontId="108" fillId="0" borderId="153" xfId="0" applyFont="1" applyBorder="1" applyAlignment="1">
      <alignment horizontal="left" vertical="center"/>
    </xf>
    <xf numFmtId="0" fontId="108" fillId="0" borderId="140" xfId="0" applyFont="1" applyBorder="1" applyAlignment="1">
      <alignment horizontal="center" vertical="center"/>
    </xf>
    <xf numFmtId="43" fontId="108" fillId="0" borderId="140" xfId="1" applyFont="1" applyBorder="1" applyAlignment="1">
      <alignment horizontal="center" vertical="center"/>
    </xf>
    <xf numFmtId="0" fontId="108" fillId="0" borderId="93" xfId="0" applyFont="1" applyBorder="1" applyAlignment="1">
      <alignment horizontal="center" vertical="center"/>
    </xf>
    <xf numFmtId="9" fontId="108" fillId="0" borderId="139" xfId="21" applyFont="1" applyBorder="1" applyAlignment="1">
      <alignment horizontal="center" vertical="center"/>
    </xf>
    <xf numFmtId="0" fontId="108" fillId="0" borderId="141" xfId="0" applyFont="1" applyBorder="1" applyAlignment="1">
      <alignment horizontal="center" vertical="center"/>
    </xf>
    <xf numFmtId="43" fontId="108" fillId="0" borderId="0" xfId="0" applyNumberFormat="1" applyFont="1" applyAlignment="1">
      <alignment horizontal="center" vertical="center"/>
    </xf>
    <xf numFmtId="41" fontId="108" fillId="0" borderId="134" xfId="2" applyFont="1" applyBorder="1" applyAlignment="1">
      <alignment horizontal="center" vertical="center"/>
    </xf>
    <xf numFmtId="0" fontId="108" fillId="0" borderId="154" xfId="0" applyFont="1" applyBorder="1" applyAlignment="1">
      <alignment horizontal="left" vertical="center"/>
    </xf>
    <xf numFmtId="0" fontId="108" fillId="0" borderId="155" xfId="0" applyFont="1" applyBorder="1" applyAlignment="1">
      <alignment horizontal="left" vertical="center"/>
    </xf>
    <xf numFmtId="0" fontId="108" fillId="0" borderId="156" xfId="0" applyFont="1" applyBorder="1" applyAlignment="1">
      <alignment horizontal="left" vertical="center"/>
    </xf>
    <xf numFmtId="0" fontId="108" fillId="0" borderId="135" xfId="0" applyFont="1" applyBorder="1" applyAlignment="1">
      <alignment horizontal="center" vertical="center"/>
    </xf>
    <xf numFmtId="43" fontId="108" fillId="0" borderId="135" xfId="1" applyFont="1" applyBorder="1" applyAlignment="1">
      <alignment horizontal="center" vertical="center"/>
    </xf>
    <xf numFmtId="0" fontId="108" fillId="0" borderId="448" xfId="0" applyFont="1" applyBorder="1" applyAlignment="1">
      <alignment horizontal="center" vertical="center"/>
    </xf>
    <xf numFmtId="0" fontId="108" fillId="0" borderId="452" xfId="0" applyFont="1" applyBorder="1" applyAlignment="1">
      <alignment horizontal="center" vertical="center"/>
    </xf>
    <xf numFmtId="41" fontId="108" fillId="0" borderId="136" xfId="2" applyFont="1" applyBorder="1" applyAlignment="1">
      <alignment horizontal="center" vertical="center"/>
    </xf>
    <xf numFmtId="0" fontId="108" fillId="0" borderId="221" xfId="0" applyFont="1" applyBorder="1" applyAlignment="1">
      <alignment horizontal="left" vertical="center"/>
    </xf>
    <xf numFmtId="0" fontId="108" fillId="0" borderId="213" xfId="0" applyFont="1" applyBorder="1" applyAlignment="1">
      <alignment horizontal="left" vertical="center"/>
    </xf>
    <xf numFmtId="0" fontId="108" fillId="0" borderId="216" xfId="0" applyFont="1" applyBorder="1" applyAlignment="1">
      <alignment horizontal="left" vertical="center"/>
    </xf>
    <xf numFmtId="0" fontId="108" fillId="0" borderId="322" xfId="0" applyFont="1" applyBorder="1" applyAlignment="1">
      <alignment horizontal="center" vertical="center"/>
    </xf>
    <xf numFmtId="43" fontId="108" fillId="0" borderId="322" xfId="1" applyFont="1" applyBorder="1" applyAlignment="1">
      <alignment horizontal="center" vertical="center"/>
    </xf>
    <xf numFmtId="0" fontId="108" fillId="0" borderId="221" xfId="0" applyFont="1" applyFill="1" applyBorder="1" applyAlignment="1">
      <alignment horizontal="left" vertical="center"/>
    </xf>
    <xf numFmtId="0" fontId="108" fillId="0" borderId="213" xfId="0" applyFont="1" applyFill="1" applyBorder="1" applyAlignment="1">
      <alignment horizontal="left" vertical="center"/>
    </xf>
    <xf numFmtId="0" fontId="108" fillId="0" borderId="216" xfId="0" applyFont="1" applyFill="1" applyBorder="1" applyAlignment="1">
      <alignment horizontal="left" vertical="center"/>
    </xf>
    <xf numFmtId="0" fontId="108" fillId="0" borderId="338" xfId="0" applyFont="1" applyFill="1" applyBorder="1" applyAlignment="1">
      <alignment horizontal="center" vertical="center"/>
    </xf>
    <xf numFmtId="43" fontId="108" fillId="0" borderId="338" xfId="1" applyFont="1" applyFill="1" applyBorder="1" applyAlignment="1">
      <alignment horizontal="center" vertical="center"/>
    </xf>
    <xf numFmtId="0" fontId="108" fillId="0" borderId="448" xfId="0" applyFont="1" applyFill="1" applyBorder="1" applyAlignment="1">
      <alignment horizontal="center" vertical="center"/>
    </xf>
    <xf numFmtId="0" fontId="108" fillId="0" borderId="448" xfId="0" applyFont="1" applyFill="1" applyBorder="1" applyAlignment="1">
      <alignment horizontal="left" vertical="center"/>
    </xf>
    <xf numFmtId="0" fontId="108" fillId="0" borderId="449" xfId="0" applyFont="1" applyFill="1" applyBorder="1" applyAlignment="1">
      <alignment horizontal="left" vertical="center"/>
    </xf>
    <xf numFmtId="0" fontId="108" fillId="0" borderId="450" xfId="0" applyFont="1" applyFill="1" applyBorder="1" applyAlignment="1">
      <alignment horizontal="left" vertical="center"/>
    </xf>
    <xf numFmtId="43" fontId="108" fillId="0" borderId="451" xfId="1" applyFont="1" applyFill="1" applyBorder="1" applyAlignment="1">
      <alignment horizontal="center" vertical="center"/>
    </xf>
    <xf numFmtId="41" fontId="108" fillId="0" borderId="136" xfId="2" applyFont="1" applyFill="1" applyBorder="1" applyAlignment="1">
      <alignment horizontal="center" vertical="center"/>
    </xf>
    <xf numFmtId="0" fontId="108" fillId="0" borderId="451" xfId="0" applyFont="1" applyFill="1" applyBorder="1" applyAlignment="1">
      <alignment horizontal="center" vertical="center"/>
    </xf>
    <xf numFmtId="0" fontId="108" fillId="0" borderId="575" xfId="0" applyFont="1" applyFill="1" applyBorder="1" applyAlignment="1">
      <alignment horizontal="left" vertical="center"/>
    </xf>
    <xf numFmtId="0" fontId="108" fillId="0" borderId="580" xfId="0" applyFont="1" applyFill="1" applyBorder="1" applyAlignment="1">
      <alignment horizontal="left" vertical="center"/>
    </xf>
    <xf numFmtId="0" fontId="108" fillId="0" borderId="581" xfId="0" applyFont="1" applyFill="1" applyBorder="1" applyAlignment="1">
      <alignment horizontal="left" vertical="center"/>
    </xf>
    <xf numFmtId="0" fontId="108" fillId="0" borderId="582" xfId="0" applyFont="1" applyBorder="1" applyAlignment="1">
      <alignment horizontal="center" vertical="center"/>
    </xf>
    <xf numFmtId="0" fontId="108" fillId="0" borderId="543" xfId="0" applyFont="1" applyFill="1" applyBorder="1" applyAlignment="1">
      <alignment horizontal="center" vertical="center"/>
    </xf>
    <xf numFmtId="0" fontId="108" fillId="0" borderId="575" xfId="0" applyFont="1" applyFill="1" applyBorder="1" applyAlignment="1">
      <alignment horizontal="center" vertical="center"/>
    </xf>
    <xf numFmtId="41" fontId="108" fillId="0" borderId="137" xfId="2" applyFont="1" applyBorder="1" applyAlignment="1">
      <alignment horizontal="center" vertical="center"/>
    </xf>
    <xf numFmtId="0" fontId="108" fillId="0" borderId="158" xfId="0" applyFont="1" applyBorder="1" applyAlignment="1">
      <alignment horizontal="left" vertical="center"/>
    </xf>
    <xf numFmtId="0" fontId="108" fillId="0" borderId="159" xfId="0" applyFont="1" applyBorder="1" applyAlignment="1">
      <alignment horizontal="left" vertical="center"/>
    </xf>
    <xf numFmtId="0" fontId="108" fillId="0" borderId="160" xfId="0" applyFont="1" applyBorder="1" applyAlignment="1">
      <alignment horizontal="left" vertical="center"/>
    </xf>
    <xf numFmtId="0" fontId="108" fillId="0" borderId="138" xfId="0" applyFont="1" applyBorder="1" applyAlignment="1">
      <alignment horizontal="center" vertical="center"/>
    </xf>
    <xf numFmtId="43" fontId="108" fillId="0" borderId="138" xfId="1" applyFont="1" applyBorder="1" applyAlignment="1">
      <alignment horizontal="center" vertical="center"/>
    </xf>
    <xf numFmtId="0" fontId="108" fillId="0" borderId="538" xfId="0" applyFont="1" applyBorder="1" applyAlignment="1">
      <alignment horizontal="center" vertical="center"/>
    </xf>
    <xf numFmtId="0" fontId="108" fillId="0" borderId="544" xfId="0" applyFont="1" applyBorder="1" applyAlignment="1">
      <alignment horizontal="center" vertical="center"/>
    </xf>
    <xf numFmtId="0" fontId="108" fillId="0" borderId="545" xfId="0" applyFont="1" applyBorder="1" applyAlignment="1">
      <alignment horizontal="center" vertical="center"/>
    </xf>
    <xf numFmtId="0" fontId="108" fillId="0" borderId="546" xfId="0" applyFont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90" fillId="0" borderId="0" xfId="11" applyFont="1" applyFill="1" applyBorder="1" applyAlignment="1">
      <alignment vertical="center"/>
    </xf>
    <xf numFmtId="0" fontId="90" fillId="0" borderId="0" xfId="11" applyFont="1" applyFill="1" applyBorder="1" applyAlignment="1">
      <alignment horizontal="center" vertical="center"/>
    </xf>
    <xf numFmtId="41" fontId="90" fillId="0" borderId="0" xfId="2" applyFont="1" applyFill="1" applyBorder="1" applyAlignment="1">
      <alignment vertical="center"/>
    </xf>
    <xf numFmtId="0" fontId="101" fillId="0" borderId="0" xfId="0" applyFont="1" applyFill="1" applyAlignment="1">
      <alignment horizontal="center" vertical="center"/>
    </xf>
    <xf numFmtId="0" fontId="90" fillId="0" borderId="0" xfId="0" applyFont="1" applyFill="1" applyAlignment="1">
      <alignment vertical="center"/>
    </xf>
    <xf numFmtId="0" fontId="90" fillId="0" borderId="0" xfId="0" applyFont="1" applyFill="1" applyAlignment="1">
      <alignment horizontal="center" vertical="center"/>
    </xf>
    <xf numFmtId="0" fontId="93" fillId="0" borderId="0" xfId="11" applyFont="1" applyFill="1" applyAlignment="1" applyProtection="1">
      <alignment horizontal="center" vertical="center"/>
    </xf>
    <xf numFmtId="41" fontId="90" fillId="0" borderId="0" xfId="11" applyNumberFormat="1" applyFont="1" applyFill="1" applyBorder="1" applyAlignment="1" applyProtection="1">
      <alignment horizontal="left" vertical="center"/>
    </xf>
    <xf numFmtId="0" fontId="111" fillId="0" borderId="0" xfId="11" applyFont="1" applyFill="1" applyBorder="1" applyAlignment="1" applyProtection="1">
      <alignment horizontal="center" vertical="center"/>
    </xf>
    <xf numFmtId="41" fontId="90" fillId="0" borderId="0" xfId="11" applyNumberFormat="1" applyFont="1" applyFill="1" applyAlignment="1" applyProtection="1">
      <alignment horizontal="right" vertical="center"/>
    </xf>
    <xf numFmtId="41" fontId="90" fillId="0" borderId="0" xfId="11" applyNumberFormat="1" applyFont="1" applyFill="1" applyAlignment="1" applyProtection="1">
      <alignment horizontal="left" vertical="center"/>
    </xf>
    <xf numFmtId="0" fontId="101" fillId="0" borderId="0" xfId="11" applyFont="1" applyFill="1"/>
    <xf numFmtId="0" fontId="93" fillId="0" borderId="0" xfId="11" applyFont="1" applyFill="1" applyBorder="1" applyAlignment="1" applyProtection="1">
      <alignment horizontal="center" vertical="center"/>
    </xf>
    <xf numFmtId="41" fontId="93" fillId="0" borderId="0" xfId="2" applyFont="1" applyFill="1" applyBorder="1" applyAlignment="1" applyProtection="1">
      <alignment horizontal="center" vertical="center"/>
    </xf>
    <xf numFmtId="171" fontId="90" fillId="0" borderId="0" xfId="11" applyNumberFormat="1" applyFont="1" applyFill="1" applyAlignment="1" applyProtection="1">
      <alignment vertical="center"/>
    </xf>
    <xf numFmtId="0" fontId="90" fillId="0" borderId="0" xfId="11" applyFont="1" applyFill="1" applyAlignment="1" applyProtection="1">
      <alignment horizontal="left" vertical="center"/>
    </xf>
    <xf numFmtId="41" fontId="101" fillId="0" borderId="0" xfId="2" applyFont="1" applyFill="1" applyAlignment="1" applyProtection="1">
      <alignment horizontal="left" vertical="center"/>
    </xf>
    <xf numFmtId="9" fontId="90" fillId="0" borderId="0" xfId="21" applyFont="1" applyFill="1" applyAlignment="1">
      <alignment horizontal="center" vertical="center"/>
    </xf>
    <xf numFmtId="0" fontId="101" fillId="0" borderId="0" xfId="0" applyFont="1" applyFill="1" applyBorder="1" applyAlignment="1">
      <alignment horizontal="left" vertical="center"/>
    </xf>
    <xf numFmtId="0" fontId="101" fillId="0" borderId="0" xfId="11" applyFont="1" applyFill="1" applyBorder="1" applyAlignment="1">
      <alignment vertical="center"/>
    </xf>
    <xf numFmtId="3" fontId="90" fillId="0" borderId="0" xfId="11" applyNumberFormat="1" applyFont="1" applyFill="1" applyBorder="1" applyAlignment="1">
      <alignment horizontal="center" vertical="center"/>
    </xf>
    <xf numFmtId="0" fontId="101" fillId="0" borderId="0" xfId="11" applyFont="1" applyFill="1" applyAlignment="1" applyProtection="1">
      <alignment horizontal="left" vertical="center"/>
    </xf>
    <xf numFmtId="0" fontId="108" fillId="0" borderId="0" xfId="0" applyFont="1" applyFill="1" applyAlignment="1">
      <alignment horizontal="center" vertical="center"/>
    </xf>
    <xf numFmtId="170" fontId="108" fillId="0" borderId="0" xfId="10" applyNumberFormat="1" applyFont="1" applyFill="1" applyAlignment="1" applyProtection="1">
      <alignment vertical="center"/>
    </xf>
    <xf numFmtId="0" fontId="108" fillId="0" borderId="0" xfId="0" applyFont="1" applyFill="1" applyBorder="1" applyAlignment="1">
      <alignment vertical="center"/>
    </xf>
    <xf numFmtId="0" fontId="108" fillId="0" borderId="0" xfId="0" applyFont="1" applyFill="1" applyBorder="1" applyAlignment="1">
      <alignment horizontal="center" vertical="center"/>
    </xf>
    <xf numFmtId="0" fontId="108" fillId="0" borderId="0" xfId="0" applyFont="1" applyFill="1" applyAlignment="1">
      <alignment horizontal="right" vertical="center"/>
    </xf>
    <xf numFmtId="0" fontId="108" fillId="0" borderId="0" xfId="10" applyFont="1" applyFill="1" applyBorder="1" applyAlignment="1">
      <alignment horizontal="center" vertical="center"/>
    </xf>
    <xf numFmtId="43" fontId="108" fillId="0" borderId="0" xfId="10" applyNumberFormat="1" applyFont="1" applyFill="1" applyBorder="1" applyAlignment="1">
      <alignment vertical="center"/>
    </xf>
    <xf numFmtId="9" fontId="108" fillId="0" borderId="0" xfId="10" applyNumberFormat="1" applyFont="1" applyFill="1" applyBorder="1" applyAlignment="1">
      <alignment vertical="center"/>
    </xf>
    <xf numFmtId="41" fontId="108" fillId="0" borderId="0" xfId="2" applyFont="1" applyFill="1" applyBorder="1" applyAlignment="1">
      <alignment vertical="center"/>
    </xf>
    <xf numFmtId="0" fontId="108" fillId="0" borderId="0" xfId="10" applyFont="1" applyFill="1" applyBorder="1" applyAlignment="1">
      <alignment vertical="center"/>
    </xf>
    <xf numFmtId="0" fontId="108" fillId="0" borderId="0" xfId="0" applyFont="1" applyFill="1" applyAlignment="1">
      <alignment vertical="center"/>
    </xf>
    <xf numFmtId="0" fontId="108" fillId="0" borderId="24" xfId="0" applyFont="1" applyFill="1" applyBorder="1" applyAlignment="1">
      <alignment horizontal="center" vertical="center"/>
    </xf>
    <xf numFmtId="0" fontId="108" fillId="0" borderId="25" xfId="0" applyFont="1" applyFill="1" applyBorder="1" applyAlignment="1">
      <alignment horizontal="center" vertical="center"/>
    </xf>
    <xf numFmtId="0" fontId="108" fillId="0" borderId="9" xfId="0" applyFont="1" applyFill="1" applyBorder="1" applyAlignment="1">
      <alignment horizontal="center" vertical="center"/>
    </xf>
    <xf numFmtId="0" fontId="108" fillId="0" borderId="1" xfId="0" applyFont="1" applyFill="1" applyBorder="1" applyAlignment="1">
      <alignment vertical="center"/>
    </xf>
    <xf numFmtId="0" fontId="108" fillId="0" borderId="4" xfId="10" applyFont="1" applyFill="1" applyBorder="1" applyAlignment="1" applyProtection="1">
      <alignment vertical="center"/>
    </xf>
    <xf numFmtId="0" fontId="108" fillId="0" borderId="4" xfId="0" applyFont="1" applyFill="1" applyBorder="1" applyAlignment="1">
      <alignment horizontal="center" vertical="center"/>
    </xf>
    <xf numFmtId="170" fontId="108" fillId="0" borderId="4" xfId="10" applyNumberFormat="1" applyFont="1" applyFill="1" applyBorder="1" applyAlignment="1" applyProtection="1">
      <alignment horizontal="center" vertical="center"/>
    </xf>
    <xf numFmtId="43" fontId="108" fillId="0" borderId="4" xfId="1" applyFont="1" applyFill="1" applyBorder="1" applyAlignment="1">
      <alignment vertical="center"/>
    </xf>
    <xf numFmtId="43" fontId="108" fillId="0" borderId="1" xfId="1" applyFont="1" applyFill="1" applyBorder="1" applyAlignment="1">
      <alignment vertical="center"/>
    </xf>
    <xf numFmtId="9" fontId="108" fillId="0" borderId="4" xfId="1" applyNumberFormat="1" applyFont="1" applyFill="1" applyBorder="1" applyAlignment="1">
      <alignment horizontal="center" vertical="center"/>
    </xf>
    <xf numFmtId="43" fontId="108" fillId="0" borderId="4" xfId="1" applyFont="1" applyFill="1" applyBorder="1" applyAlignment="1">
      <alignment horizontal="center" vertical="center"/>
    </xf>
    <xf numFmtId="0" fontId="108" fillId="0" borderId="2" xfId="0" applyFont="1" applyFill="1" applyBorder="1" applyAlignment="1">
      <alignment vertical="center"/>
    </xf>
    <xf numFmtId="43" fontId="108" fillId="0" borderId="2" xfId="1" applyFont="1" applyFill="1" applyBorder="1" applyAlignment="1">
      <alignment vertical="center"/>
    </xf>
    <xf numFmtId="43" fontId="108" fillId="0" borderId="3" xfId="1" applyFont="1" applyFill="1" applyBorder="1" applyAlignment="1">
      <alignment vertical="center"/>
    </xf>
    <xf numFmtId="0" fontId="108" fillId="0" borderId="5" xfId="0" applyFont="1" applyFill="1" applyBorder="1" applyAlignment="1">
      <alignment vertical="center"/>
    </xf>
    <xf numFmtId="0" fontId="108" fillId="0" borderId="1" xfId="10" applyFont="1" applyFill="1" applyBorder="1" applyAlignment="1" applyProtection="1">
      <alignment vertical="center"/>
    </xf>
    <xf numFmtId="0" fontId="108" fillId="0" borderId="10" xfId="0" applyFont="1" applyFill="1" applyBorder="1" applyAlignment="1">
      <alignment vertical="center"/>
    </xf>
    <xf numFmtId="0" fontId="108" fillId="0" borderId="4" xfId="0" applyFont="1" applyFill="1" applyBorder="1" applyAlignment="1">
      <alignment vertical="center"/>
    </xf>
    <xf numFmtId="166" fontId="108" fillId="0" borderId="4" xfId="0" applyNumberFormat="1" applyFont="1" applyFill="1" applyBorder="1" applyAlignment="1">
      <alignment horizontal="center" vertical="center"/>
    </xf>
    <xf numFmtId="0" fontId="108" fillId="0" borderId="6" xfId="0" applyFont="1" applyFill="1" applyBorder="1" applyAlignment="1">
      <alignment vertical="center"/>
    </xf>
    <xf numFmtId="0" fontId="108" fillId="0" borderId="6" xfId="0" applyFont="1" applyFill="1" applyBorder="1" applyAlignment="1">
      <alignment horizontal="center" vertical="center"/>
    </xf>
    <xf numFmtId="166" fontId="108" fillId="0" borderId="6" xfId="0" applyNumberFormat="1" applyFont="1" applyFill="1" applyBorder="1" applyAlignment="1">
      <alignment horizontal="center" vertical="center"/>
    </xf>
    <xf numFmtId="39" fontId="108" fillId="0" borderId="6" xfId="0" applyNumberFormat="1" applyFont="1" applyFill="1" applyBorder="1" applyAlignment="1">
      <alignment horizontal="right" vertical="center"/>
    </xf>
    <xf numFmtId="43" fontId="108" fillId="0" borderId="7" xfId="1" applyFont="1" applyFill="1" applyBorder="1" applyAlignment="1">
      <alignment horizontal="right" vertical="center"/>
    </xf>
    <xf numFmtId="9" fontId="109" fillId="0" borderId="7" xfId="0" applyNumberFormat="1" applyFont="1" applyFill="1" applyBorder="1" applyAlignment="1">
      <alignment horizontal="center" vertical="center"/>
    </xf>
    <xf numFmtId="43" fontId="109" fillId="0" borderId="7" xfId="1" applyFont="1" applyFill="1" applyBorder="1" applyAlignment="1">
      <alignment horizontal="right" vertical="center"/>
    </xf>
    <xf numFmtId="9" fontId="108" fillId="0" borderId="4" xfId="21" applyFont="1" applyFill="1" applyBorder="1" applyAlignment="1">
      <alignment horizontal="center" vertical="center"/>
    </xf>
    <xf numFmtId="39" fontId="108" fillId="0" borderId="4" xfId="0" applyNumberFormat="1" applyFont="1" applyFill="1" applyBorder="1" applyAlignment="1">
      <alignment horizontal="center" vertical="center"/>
    </xf>
    <xf numFmtId="168" fontId="108" fillId="0" borderId="4" xfId="2" applyNumberFormat="1" applyFont="1" applyFill="1" applyBorder="1" applyAlignment="1">
      <alignment vertical="center"/>
    </xf>
    <xf numFmtId="0" fontId="109" fillId="0" borderId="4" xfId="0" applyFont="1" applyFill="1" applyBorder="1" applyAlignment="1">
      <alignment horizontal="center" vertical="center"/>
    </xf>
    <xf numFmtId="0" fontId="109" fillId="0" borderId="5" xfId="0" applyFont="1" applyFill="1" applyBorder="1" applyAlignment="1">
      <alignment vertical="center"/>
    </xf>
    <xf numFmtId="0" fontId="109" fillId="0" borderId="6" xfId="0" applyFont="1" applyFill="1" applyBorder="1" applyAlignment="1"/>
    <xf numFmtId="0" fontId="109" fillId="0" borderId="6" xfId="0" applyFont="1" applyFill="1" applyBorder="1" applyAlignment="1">
      <alignment horizontal="center"/>
    </xf>
    <xf numFmtId="0" fontId="109" fillId="0" borderId="7" xfId="0" applyFont="1" applyFill="1" applyBorder="1" applyAlignment="1">
      <alignment horizontal="right" vertical="center"/>
    </xf>
    <xf numFmtId="43" fontId="109" fillId="0" borderId="4" xfId="0" applyNumberFormat="1" applyFont="1" applyFill="1" applyBorder="1" applyAlignment="1">
      <alignment vertical="center"/>
    </xf>
    <xf numFmtId="43" fontId="109" fillId="0" borderId="7" xfId="0" applyNumberFormat="1" applyFont="1" applyFill="1" applyBorder="1" applyAlignment="1">
      <alignment horizontal="right" vertical="center"/>
    </xf>
    <xf numFmtId="0" fontId="108" fillId="0" borderId="0" xfId="30" applyFont="1" applyAlignment="1">
      <alignment vertical="center"/>
    </xf>
    <xf numFmtId="0" fontId="108" fillId="0" borderId="0" xfId="33" applyFont="1" applyAlignment="1">
      <alignment horizontal="center" vertical="center"/>
    </xf>
    <xf numFmtId="170" fontId="108" fillId="0" borderId="0" xfId="30" applyNumberFormat="1" applyFont="1" applyAlignment="1">
      <alignment vertical="center"/>
    </xf>
    <xf numFmtId="0" fontId="108" fillId="0" borderId="0" xfId="33" applyFont="1" applyAlignment="1">
      <alignment vertical="center"/>
    </xf>
    <xf numFmtId="0" fontId="108" fillId="0" borderId="0" xfId="33" applyFont="1" applyAlignment="1">
      <alignment horizontal="right" vertical="center"/>
    </xf>
    <xf numFmtId="0" fontId="108" fillId="0" borderId="0" xfId="33" applyFont="1"/>
    <xf numFmtId="43" fontId="108" fillId="0" borderId="0" xfId="30" applyNumberFormat="1" applyFont="1" applyAlignment="1">
      <alignment horizontal="center" vertical="center"/>
    </xf>
    <xf numFmtId="9" fontId="108" fillId="0" borderId="0" xfId="33" applyNumberFormat="1" applyFont="1" applyAlignment="1">
      <alignment vertical="center"/>
    </xf>
    <xf numFmtId="0" fontId="108" fillId="0" borderId="0" xfId="30" applyFont="1" applyAlignment="1">
      <alignment horizontal="center" vertical="center"/>
    </xf>
    <xf numFmtId="0" fontId="108" fillId="0" borderId="323" xfId="33" applyFont="1" applyBorder="1" applyAlignment="1">
      <alignment horizontal="center" vertical="center"/>
    </xf>
    <xf numFmtId="0" fontId="108" fillId="0" borderId="324" xfId="33" applyFont="1" applyBorder="1" applyAlignment="1">
      <alignment vertical="center"/>
    </xf>
    <xf numFmtId="0" fontId="108" fillId="0" borderId="504" xfId="33" applyFont="1" applyBorder="1" applyAlignment="1">
      <alignment vertical="center"/>
    </xf>
    <xf numFmtId="0" fontId="108" fillId="0" borderId="325" xfId="33" applyFont="1" applyBorder="1" applyAlignment="1">
      <alignment vertical="center"/>
    </xf>
    <xf numFmtId="0" fontId="108" fillId="0" borderId="340" xfId="33" applyFont="1" applyBorder="1" applyAlignment="1">
      <alignment horizontal="center" vertical="center"/>
    </xf>
    <xf numFmtId="0" fontId="108" fillId="0" borderId="424" xfId="33" applyFont="1" applyBorder="1" applyAlignment="1">
      <alignment vertical="center"/>
    </xf>
    <xf numFmtId="0" fontId="108" fillId="0" borderId="505" xfId="33" applyFont="1" applyBorder="1" applyAlignment="1">
      <alignment vertical="center"/>
    </xf>
    <xf numFmtId="0" fontId="108" fillId="0" borderId="3" xfId="33" applyFont="1" applyBorder="1" applyAlignment="1">
      <alignment horizontal="center" vertical="center"/>
    </xf>
    <xf numFmtId="0" fontId="108" fillId="0" borderId="10" xfId="33" applyFont="1" applyBorder="1" applyAlignment="1">
      <alignment vertical="center"/>
    </xf>
    <xf numFmtId="0" fontId="108" fillId="0" borderId="35" xfId="33" applyFont="1" applyBorder="1" applyAlignment="1">
      <alignment vertical="center"/>
    </xf>
    <xf numFmtId="0" fontId="108" fillId="0" borderId="9" xfId="33" applyFont="1" applyBorder="1" applyAlignment="1">
      <alignment vertical="center"/>
    </xf>
    <xf numFmtId="0" fontId="108" fillId="0" borderId="3" xfId="33" applyFont="1" applyBorder="1" applyAlignment="1">
      <alignment vertical="center"/>
    </xf>
    <xf numFmtId="0" fontId="108" fillId="0" borderId="326" xfId="30" applyFont="1" applyBorder="1" applyAlignment="1">
      <alignment vertical="center"/>
    </xf>
    <xf numFmtId="0" fontId="108" fillId="0" borderId="326" xfId="33" applyFont="1" applyBorder="1" applyAlignment="1">
      <alignment horizontal="center" vertical="center"/>
    </xf>
    <xf numFmtId="179" fontId="108" fillId="0" borderId="326" xfId="30" applyNumberFormat="1" applyFont="1" applyBorder="1" applyAlignment="1">
      <alignment horizontal="center" vertical="center"/>
    </xf>
    <xf numFmtId="43" fontId="108" fillId="0" borderId="326" xfId="32" applyFont="1" applyFill="1" applyBorder="1" applyAlignment="1">
      <alignment vertical="center"/>
    </xf>
    <xf numFmtId="43" fontId="108" fillId="0" borderId="323" xfId="32" applyFont="1" applyFill="1" applyBorder="1" applyAlignment="1">
      <alignment vertical="center"/>
    </xf>
    <xf numFmtId="170" fontId="108" fillId="0" borderId="326" xfId="30" applyNumberFormat="1" applyFont="1" applyBorder="1" applyAlignment="1">
      <alignment horizontal="center" vertical="center"/>
    </xf>
    <xf numFmtId="43" fontId="108" fillId="0" borderId="340" xfId="32" applyFont="1" applyFill="1" applyBorder="1" applyAlignment="1">
      <alignment vertical="center"/>
    </xf>
    <xf numFmtId="0" fontId="108" fillId="0" borderId="327" xfId="30" applyFont="1" applyBorder="1" applyAlignment="1">
      <alignment vertical="center"/>
    </xf>
    <xf numFmtId="0" fontId="108" fillId="0" borderId="328" xfId="33" applyFont="1" applyBorder="1" applyAlignment="1">
      <alignment horizontal="center" vertical="center"/>
    </xf>
    <xf numFmtId="170" fontId="108" fillId="0" borderId="328" xfId="30" applyNumberFormat="1" applyFont="1" applyBorder="1" applyAlignment="1">
      <alignment horizontal="center" vertical="center"/>
    </xf>
    <xf numFmtId="43" fontId="108" fillId="0" borderId="328" xfId="32" applyFont="1" applyFill="1" applyBorder="1" applyAlignment="1">
      <alignment vertical="center"/>
    </xf>
    <xf numFmtId="43" fontId="108" fillId="0" borderId="329" xfId="32" applyFont="1" applyFill="1" applyBorder="1" applyAlignment="1">
      <alignment vertical="center"/>
    </xf>
    <xf numFmtId="0" fontId="108" fillId="0" borderId="327" xfId="33" applyFont="1" applyBorder="1" applyAlignment="1">
      <alignment vertical="center"/>
    </xf>
    <xf numFmtId="166" fontId="108" fillId="0" borderId="328" xfId="33" applyNumberFormat="1" applyFont="1" applyBorder="1" applyAlignment="1">
      <alignment horizontal="center" vertical="center"/>
    </xf>
    <xf numFmtId="43" fontId="108" fillId="0" borderId="326" xfId="32" applyFont="1" applyFill="1" applyBorder="1" applyAlignment="1">
      <alignment horizontal="center" vertical="center"/>
    </xf>
    <xf numFmtId="0" fontId="108" fillId="0" borderId="326" xfId="33" applyFont="1" applyBorder="1" applyAlignment="1">
      <alignment vertical="center"/>
    </xf>
    <xf numFmtId="166" fontId="108" fillId="0" borderId="326" xfId="33" applyNumberFormat="1" applyFont="1" applyBorder="1" applyAlignment="1">
      <alignment horizontal="center" vertical="center"/>
    </xf>
    <xf numFmtId="39" fontId="108" fillId="0" borderId="326" xfId="33" applyNumberFormat="1" applyFont="1" applyBorder="1" applyAlignment="1">
      <alignment horizontal="right" vertical="center"/>
    </xf>
    <xf numFmtId="39" fontId="108" fillId="0" borderId="328" xfId="33" applyNumberFormat="1" applyFont="1" applyBorder="1" applyAlignment="1">
      <alignment horizontal="right" vertical="center"/>
    </xf>
    <xf numFmtId="0" fontId="108" fillId="0" borderId="328" xfId="33" applyFont="1" applyBorder="1" applyAlignment="1">
      <alignment vertical="center"/>
    </xf>
    <xf numFmtId="43" fontId="108" fillId="0" borderId="329" xfId="32" applyFont="1" applyFill="1" applyBorder="1" applyAlignment="1">
      <alignment horizontal="right" vertical="center"/>
    </xf>
    <xf numFmtId="39" fontId="108" fillId="0" borderId="326" xfId="33" applyNumberFormat="1" applyFont="1" applyBorder="1" applyAlignment="1">
      <alignment horizontal="center" vertical="center"/>
    </xf>
    <xf numFmtId="168" fontId="108" fillId="0" borderId="326" xfId="31" applyNumberFormat="1" applyFont="1" applyFill="1" applyBorder="1" applyAlignment="1">
      <alignment vertical="center"/>
    </xf>
    <xf numFmtId="0" fontId="109" fillId="0" borderId="3" xfId="33" applyFont="1" applyBorder="1" applyAlignment="1">
      <alignment horizontal="center" vertical="center"/>
    </xf>
    <xf numFmtId="0" fontId="109" fillId="0" borderId="327" xfId="33" applyFont="1" applyBorder="1" applyAlignment="1">
      <alignment vertical="center"/>
    </xf>
    <xf numFmtId="0" fontId="109" fillId="0" borderId="328" xfId="33" applyFont="1" applyBorder="1" applyAlignment="1">
      <alignment vertical="center"/>
    </xf>
    <xf numFmtId="0" fontId="109" fillId="0" borderId="328" xfId="33" applyFont="1" applyBorder="1" applyAlignment="1">
      <alignment horizontal="center" vertical="center"/>
    </xf>
    <xf numFmtId="0" fontId="109" fillId="0" borderId="329" xfId="33" applyFont="1" applyBorder="1" applyAlignment="1">
      <alignment horizontal="right" vertical="center"/>
    </xf>
    <xf numFmtId="43" fontId="109" fillId="0" borderId="326" xfId="33" applyNumberFormat="1" applyFont="1" applyBorder="1" applyAlignment="1">
      <alignment vertical="center"/>
    </xf>
    <xf numFmtId="41" fontId="109" fillId="0" borderId="7" xfId="2" applyFont="1" applyFill="1" applyBorder="1" applyAlignment="1">
      <alignment horizontal="center" vertical="center"/>
    </xf>
    <xf numFmtId="0" fontId="108" fillId="0" borderId="0" xfId="0" applyFont="1" applyFill="1" applyBorder="1" applyAlignment="1">
      <alignment horizontal="right" vertical="center"/>
    </xf>
    <xf numFmtId="43" fontId="108" fillId="0" borderId="0" xfId="0" applyNumberFormat="1" applyFont="1" applyFill="1" applyAlignment="1">
      <alignment vertical="center"/>
    </xf>
    <xf numFmtId="39" fontId="108" fillId="0" borderId="4" xfId="0" applyNumberFormat="1" applyFont="1" applyFill="1" applyBorder="1" applyAlignment="1">
      <alignment vertical="center"/>
    </xf>
    <xf numFmtId="39" fontId="108" fillId="0" borderId="6" xfId="0" applyNumberFormat="1" applyFont="1" applyFill="1" applyBorder="1" applyAlignment="1">
      <alignment vertical="center"/>
    </xf>
    <xf numFmtId="43" fontId="108" fillId="0" borderId="7" xfId="1" applyFont="1" applyFill="1" applyBorder="1" applyAlignment="1">
      <alignment vertical="center"/>
    </xf>
    <xf numFmtId="39" fontId="108" fillId="0" borderId="4" xfId="0" applyNumberFormat="1" applyFont="1" applyFill="1" applyBorder="1" applyAlignment="1">
      <alignment horizontal="right" vertical="center"/>
    </xf>
    <xf numFmtId="0" fontId="109" fillId="0" borderId="6" xfId="0" applyFont="1" applyFill="1" applyBorder="1" applyAlignment="1">
      <alignment vertical="center"/>
    </xf>
    <xf numFmtId="0" fontId="109" fillId="0" borderId="6" xfId="0" applyFont="1" applyFill="1" applyBorder="1" applyAlignment="1">
      <alignment horizontal="center" vertical="center"/>
    </xf>
    <xf numFmtId="170" fontId="90" fillId="0" borderId="0" xfId="11" applyNumberFormat="1" applyFont="1" applyFill="1" applyAlignment="1" applyProtection="1">
      <alignment vertical="center"/>
    </xf>
    <xf numFmtId="0" fontId="90" fillId="0" borderId="0" xfId="0" applyFont="1" applyFill="1" applyBorder="1" applyAlignment="1">
      <alignment vertical="center"/>
    </xf>
    <xf numFmtId="0" fontId="90" fillId="0" borderId="0" xfId="0" applyFont="1" applyFill="1" applyBorder="1" applyAlignment="1">
      <alignment horizontal="center" vertical="center"/>
    </xf>
    <xf numFmtId="0" fontId="90" fillId="0" borderId="0" xfId="0" applyFont="1" applyFill="1" applyAlignment="1">
      <alignment horizontal="right" vertical="center"/>
    </xf>
    <xf numFmtId="43" fontId="90" fillId="0" borderId="0" xfId="11" applyNumberFormat="1" applyFont="1" applyFill="1" applyBorder="1" applyAlignment="1">
      <alignment vertical="center"/>
    </xf>
    <xf numFmtId="0" fontId="90" fillId="0" borderId="1" xfId="0" applyFont="1" applyFill="1" applyBorder="1" applyAlignment="1">
      <alignment horizontal="center" vertical="center"/>
    </xf>
    <xf numFmtId="0" fontId="90" fillId="0" borderId="24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center" vertical="center"/>
    </xf>
    <xf numFmtId="0" fontId="90" fillId="0" borderId="25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horizontal="center" vertical="center"/>
    </xf>
    <xf numFmtId="0" fontId="90" fillId="0" borderId="9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vertical="center"/>
    </xf>
    <xf numFmtId="0" fontId="90" fillId="0" borderId="1" xfId="0" applyFont="1" applyFill="1" applyBorder="1" applyAlignment="1">
      <alignment vertical="center"/>
    </xf>
    <xf numFmtId="0" fontId="90" fillId="0" borderId="4" xfId="11" applyFont="1" applyFill="1" applyBorder="1" applyAlignment="1" applyProtection="1">
      <alignment vertical="center"/>
    </xf>
    <xf numFmtId="0" fontId="90" fillId="0" borderId="4" xfId="0" applyFont="1" applyFill="1" applyBorder="1" applyAlignment="1">
      <alignment horizontal="center" vertical="center"/>
    </xf>
    <xf numFmtId="170" fontId="90" fillId="0" borderId="4" xfId="11" applyNumberFormat="1" applyFont="1" applyFill="1" applyBorder="1" applyAlignment="1" applyProtection="1">
      <alignment horizontal="center" vertical="center"/>
    </xf>
    <xf numFmtId="43" fontId="90" fillId="0" borderId="4" xfId="1" applyFont="1" applyFill="1" applyBorder="1" applyAlignment="1">
      <alignment vertical="center"/>
    </xf>
    <xf numFmtId="43" fontId="90" fillId="0" borderId="1" xfId="1" applyFont="1" applyFill="1" applyBorder="1" applyAlignment="1">
      <alignment vertical="center"/>
    </xf>
    <xf numFmtId="0" fontId="90" fillId="0" borderId="2" xfId="0" applyFont="1" applyFill="1" applyBorder="1" applyAlignment="1">
      <alignment vertical="center"/>
    </xf>
    <xf numFmtId="43" fontId="90" fillId="0" borderId="2" xfId="1" applyFont="1" applyFill="1" applyBorder="1" applyAlignment="1">
      <alignment vertical="center"/>
    </xf>
    <xf numFmtId="43" fontId="90" fillId="0" borderId="3" xfId="1" applyFont="1" applyFill="1" applyBorder="1" applyAlignment="1">
      <alignment vertical="center"/>
    </xf>
    <xf numFmtId="0" fontId="90" fillId="0" borderId="5" xfId="11" applyFont="1" applyFill="1" applyBorder="1" applyAlignment="1" applyProtection="1">
      <alignment vertical="center"/>
    </xf>
    <xf numFmtId="0" fontId="90" fillId="0" borderId="6" xfId="11" applyFont="1" applyFill="1" applyBorder="1" applyAlignment="1" applyProtection="1">
      <alignment vertical="center"/>
    </xf>
    <xf numFmtId="0" fontId="90" fillId="0" borderId="6" xfId="0" applyFont="1" applyFill="1" applyBorder="1" applyAlignment="1">
      <alignment horizontal="center" vertical="center"/>
    </xf>
    <xf numFmtId="170" fontId="90" fillId="0" borderId="6" xfId="11" applyNumberFormat="1" applyFont="1" applyFill="1" applyBorder="1" applyAlignment="1" applyProtection="1">
      <alignment horizontal="center" vertical="center"/>
    </xf>
    <xf numFmtId="43" fontId="108" fillId="0" borderId="6" xfId="1" applyFont="1" applyFill="1" applyBorder="1" applyAlignment="1">
      <alignment vertical="center"/>
    </xf>
    <xf numFmtId="43" fontId="90" fillId="0" borderId="7" xfId="1" applyFont="1" applyFill="1" applyBorder="1" applyAlignment="1">
      <alignment vertical="center"/>
    </xf>
    <xf numFmtId="0" fontId="90" fillId="0" borderId="5" xfId="0" applyFont="1" applyFill="1" applyBorder="1" applyAlignment="1">
      <alignment vertical="center"/>
    </xf>
    <xf numFmtId="0" fontId="90" fillId="0" borderId="6" xfId="0" applyFont="1" applyFill="1" applyBorder="1" applyAlignment="1">
      <alignment vertical="center"/>
    </xf>
    <xf numFmtId="166" fontId="90" fillId="0" borderId="6" xfId="0" applyNumberFormat="1" applyFont="1" applyFill="1" applyBorder="1" applyAlignment="1">
      <alignment horizontal="center" vertical="center"/>
    </xf>
    <xf numFmtId="43" fontId="90" fillId="0" borderId="6" xfId="1" applyFont="1" applyFill="1" applyBorder="1" applyAlignment="1">
      <alignment vertical="center"/>
    </xf>
    <xf numFmtId="43" fontId="90" fillId="0" borderId="4" xfId="1" applyFont="1" applyFill="1" applyBorder="1" applyAlignment="1">
      <alignment horizontal="center" vertical="center"/>
    </xf>
    <xf numFmtId="0" fontId="90" fillId="0" borderId="4" xfId="0" applyFont="1" applyFill="1" applyBorder="1" applyAlignment="1">
      <alignment vertical="center"/>
    </xf>
    <xf numFmtId="166" fontId="90" fillId="0" borderId="4" xfId="0" applyNumberFormat="1" applyFont="1" applyFill="1" applyBorder="1" applyAlignment="1">
      <alignment horizontal="center" vertical="center"/>
    </xf>
    <xf numFmtId="39" fontId="90" fillId="0" borderId="4" xfId="0" applyNumberFormat="1" applyFont="1" applyFill="1" applyBorder="1" applyAlignment="1">
      <alignment horizontal="right" vertical="center"/>
    </xf>
    <xf numFmtId="39" fontId="90" fillId="0" borderId="6" xfId="0" applyNumberFormat="1" applyFont="1" applyFill="1" applyBorder="1" applyAlignment="1">
      <alignment horizontal="right" vertical="center"/>
    </xf>
    <xf numFmtId="0" fontId="90" fillId="0" borderId="10" xfId="0" applyFont="1" applyFill="1" applyBorder="1" applyAlignment="1">
      <alignment vertical="center"/>
    </xf>
    <xf numFmtId="43" fontId="90" fillId="0" borderId="7" xfId="1" applyFont="1" applyFill="1" applyBorder="1" applyAlignment="1">
      <alignment horizontal="right" vertical="center"/>
    </xf>
    <xf numFmtId="39" fontId="90" fillId="0" borderId="4" xfId="0" applyNumberFormat="1" applyFont="1" applyFill="1" applyBorder="1" applyAlignment="1">
      <alignment horizontal="center" vertical="center"/>
    </xf>
    <xf numFmtId="168" fontId="90" fillId="0" borderId="4" xfId="2" applyNumberFormat="1" applyFont="1" applyFill="1" applyBorder="1" applyAlignment="1">
      <alignment vertical="center"/>
    </xf>
    <xf numFmtId="0" fontId="101" fillId="0" borderId="3" xfId="0" applyFont="1" applyFill="1" applyBorder="1" applyAlignment="1">
      <alignment horizontal="center" vertical="center"/>
    </xf>
    <xf numFmtId="0" fontId="101" fillId="0" borderId="5" xfId="0" applyFont="1" applyFill="1" applyBorder="1" applyAlignment="1">
      <alignment vertical="center"/>
    </xf>
    <xf numFmtId="0" fontId="101" fillId="0" borderId="6" xfId="0" applyFont="1" applyFill="1" applyBorder="1" applyAlignment="1">
      <alignment vertical="center"/>
    </xf>
    <xf numFmtId="0" fontId="101" fillId="0" borderId="6" xfId="0" applyFont="1" applyFill="1" applyBorder="1" applyAlignment="1">
      <alignment horizontal="center" vertical="center"/>
    </xf>
    <xf numFmtId="0" fontId="101" fillId="0" borderId="7" xfId="0" applyFont="1" applyFill="1" applyBorder="1" applyAlignment="1">
      <alignment horizontal="right" vertical="center"/>
    </xf>
    <xf numFmtId="43" fontId="101" fillId="0" borderId="4" xfId="0" applyNumberFormat="1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right" vertical="center"/>
    </xf>
    <xf numFmtId="43" fontId="101" fillId="0" borderId="0" xfId="0" applyNumberFormat="1" applyFont="1" applyFill="1" applyBorder="1" applyAlignment="1">
      <alignment vertical="center"/>
    </xf>
    <xf numFmtId="171" fontId="108" fillId="0" borderId="0" xfId="10" applyNumberFormat="1" applyFont="1" applyFill="1" applyAlignment="1" applyProtection="1">
      <alignment vertical="center"/>
    </xf>
    <xf numFmtId="0" fontId="108" fillId="0" borderId="0" xfId="10" applyFont="1" applyFill="1" applyAlignment="1">
      <alignment vertical="center"/>
    </xf>
    <xf numFmtId="0" fontId="108" fillId="0" borderId="0" xfId="10" applyFont="1" applyFill="1" applyAlignment="1">
      <alignment horizontal="center" vertical="center"/>
    </xf>
    <xf numFmtId="43" fontId="108" fillId="0" borderId="0" xfId="0" applyNumberFormat="1" applyFont="1" applyFill="1" applyBorder="1" applyAlignment="1">
      <alignment vertical="center"/>
    </xf>
    <xf numFmtId="0" fontId="108" fillId="0" borderId="4" xfId="0" applyFont="1" applyFill="1" applyBorder="1" applyAlignment="1">
      <alignment horizontal="left" vertical="center"/>
    </xf>
    <xf numFmtId="0" fontId="108" fillId="0" borderId="9" xfId="0" applyFont="1" applyFill="1" applyBorder="1" applyAlignment="1">
      <alignment horizontal="left" vertical="center"/>
    </xf>
    <xf numFmtId="166" fontId="108" fillId="0" borderId="3" xfId="0" applyNumberFormat="1" applyFont="1" applyFill="1" applyBorder="1" applyAlignment="1">
      <alignment horizontal="center" vertical="center"/>
    </xf>
    <xf numFmtId="39" fontId="108" fillId="0" borderId="3" xfId="0" applyNumberFormat="1" applyFont="1" applyFill="1" applyBorder="1" applyAlignment="1">
      <alignment horizontal="right" vertical="center"/>
    </xf>
    <xf numFmtId="0" fontId="108" fillId="0" borderId="1" xfId="0" applyFont="1" applyFill="1" applyBorder="1" applyAlignment="1">
      <alignment horizontal="left" vertical="center"/>
    </xf>
    <xf numFmtId="0" fontId="108" fillId="0" borderId="5" xfId="0" applyFont="1" applyFill="1" applyBorder="1" applyAlignment="1">
      <alignment horizontal="left" vertical="center"/>
    </xf>
    <xf numFmtId="0" fontId="108" fillId="0" borderId="6" xfId="0" applyFont="1" applyFill="1" applyBorder="1" applyAlignment="1">
      <alignment horizontal="left" vertical="center"/>
    </xf>
    <xf numFmtId="39" fontId="108" fillId="0" borderId="7" xfId="0" applyNumberFormat="1" applyFont="1" applyFill="1" applyBorder="1" applyAlignment="1">
      <alignment vertical="center"/>
    </xf>
    <xf numFmtId="43" fontId="108" fillId="0" borderId="4" xfId="0" applyNumberFormat="1" applyFont="1" applyFill="1" applyBorder="1" applyAlignment="1">
      <alignment vertical="center"/>
    </xf>
    <xf numFmtId="0" fontId="109" fillId="0" borderId="3" xfId="0" applyFont="1" applyFill="1" applyBorder="1" applyAlignment="1">
      <alignment horizontal="center" vertical="center"/>
    </xf>
    <xf numFmtId="0" fontId="108" fillId="0" borderId="3" xfId="0" applyFont="1" applyFill="1" applyBorder="1" applyAlignment="1">
      <alignment horizontal="left" vertical="center"/>
    </xf>
    <xf numFmtId="166" fontId="108" fillId="0" borderId="0" xfId="0" applyNumberFormat="1" applyFont="1" applyFill="1" applyBorder="1" applyAlignment="1">
      <alignment horizontal="center" vertical="center"/>
    </xf>
    <xf numFmtId="166" fontId="108" fillId="0" borderId="0" xfId="0" applyNumberFormat="1" applyFont="1" applyFill="1" applyAlignment="1">
      <alignment horizontal="center" vertical="center"/>
    </xf>
    <xf numFmtId="0" fontId="90" fillId="0" borderId="0" xfId="0" applyFont="1" applyFill="1" applyBorder="1"/>
    <xf numFmtId="0" fontId="90" fillId="0" borderId="0" xfId="0" applyFont="1" applyFill="1" applyBorder="1" applyAlignment="1">
      <alignment horizontal="center"/>
    </xf>
    <xf numFmtId="0" fontId="109" fillId="0" borderId="0" xfId="0" applyFont="1" applyFill="1" applyAlignment="1">
      <alignment horizontal="center" vertical="center"/>
    </xf>
    <xf numFmtId="0" fontId="109" fillId="0" borderId="0" xfId="0" applyFont="1" applyFill="1" applyBorder="1" applyAlignment="1">
      <alignment vertical="center"/>
    </xf>
    <xf numFmtId="0" fontId="109" fillId="0" borderId="0" xfId="0" applyFont="1" applyFill="1" applyBorder="1" applyAlignment="1">
      <alignment horizontal="center" vertical="center"/>
    </xf>
    <xf numFmtId="167" fontId="108" fillId="0" borderId="4" xfId="0" applyNumberFormat="1" applyFont="1" applyFill="1" applyBorder="1" applyAlignment="1">
      <alignment horizontal="center" vertical="center"/>
    </xf>
    <xf numFmtId="43" fontId="108" fillId="0" borderId="2" xfId="1" applyFont="1" applyFill="1" applyBorder="1" applyAlignment="1">
      <alignment horizontal="center" vertical="center"/>
    </xf>
    <xf numFmtId="43" fontId="108" fillId="0" borderId="3" xfId="1" applyFont="1" applyFill="1" applyBorder="1" applyAlignment="1">
      <alignment horizontal="center" vertical="center"/>
    </xf>
    <xf numFmtId="41" fontId="108" fillId="0" borderId="0" xfId="2" applyFont="1" applyFill="1" applyAlignment="1">
      <alignment vertical="center"/>
    </xf>
    <xf numFmtId="41" fontId="108" fillId="0" borderId="0" xfId="0" applyNumberFormat="1" applyFont="1" applyFill="1" applyAlignment="1">
      <alignment vertical="center"/>
    </xf>
    <xf numFmtId="43" fontId="109" fillId="0" borderId="0" xfId="0" applyNumberFormat="1" applyFont="1" applyFill="1" applyAlignment="1">
      <alignment vertical="center"/>
    </xf>
    <xf numFmtId="0" fontId="108" fillId="0" borderId="8" xfId="0" applyFont="1" applyFill="1" applyBorder="1" applyAlignment="1">
      <alignment horizontal="left" vertical="center"/>
    </xf>
    <xf numFmtId="2" fontId="109" fillId="0" borderId="6" xfId="0" applyNumberFormat="1" applyFont="1" applyFill="1" applyBorder="1" applyAlignment="1">
      <alignment horizontal="center" vertical="center"/>
    </xf>
    <xf numFmtId="43" fontId="109" fillId="0" borderId="6" xfId="0" applyNumberFormat="1" applyFont="1" applyFill="1" applyBorder="1" applyAlignment="1">
      <alignment vertical="center"/>
    </xf>
    <xf numFmtId="4" fontId="109" fillId="0" borderId="4" xfId="0" applyNumberFormat="1" applyFont="1" applyFill="1" applyBorder="1" applyAlignment="1">
      <alignment vertical="center"/>
    </xf>
    <xf numFmtId="39" fontId="108" fillId="0" borderId="0" xfId="0" applyNumberFormat="1" applyFont="1" applyFill="1" applyBorder="1" applyAlignment="1">
      <alignment horizontal="right" vertical="center"/>
    </xf>
    <xf numFmtId="43" fontId="108" fillId="0" borderId="0" xfId="1" applyFont="1" applyFill="1" applyBorder="1" applyAlignment="1">
      <alignment vertical="center"/>
    </xf>
    <xf numFmtId="39" fontId="108" fillId="0" borderId="7" xfId="0" applyNumberFormat="1" applyFont="1" applyFill="1" applyBorder="1" applyAlignment="1">
      <alignment horizontal="right" vertical="center"/>
    </xf>
    <xf numFmtId="0" fontId="108" fillId="0" borderId="4" xfId="0" applyFont="1" applyFill="1" applyBorder="1" applyAlignment="1">
      <alignment horizontal="right" vertical="center"/>
    </xf>
    <xf numFmtId="0" fontId="108" fillId="0" borderId="6" xfId="0" applyFont="1" applyFill="1" applyBorder="1" applyAlignment="1">
      <alignment horizontal="right" vertical="center"/>
    </xf>
    <xf numFmtId="43" fontId="108" fillId="0" borderId="3" xfId="1" applyFont="1" applyFill="1" applyBorder="1" applyAlignment="1">
      <alignment horizontal="right" vertical="center"/>
    </xf>
    <xf numFmtId="166" fontId="108" fillId="0" borderId="0" xfId="0" applyNumberFormat="1" applyFont="1" applyFill="1" applyAlignment="1">
      <alignment vertical="center"/>
    </xf>
    <xf numFmtId="43" fontId="108" fillId="0" borderId="4" xfId="1" applyFont="1" applyFill="1" applyBorder="1" applyAlignment="1">
      <alignment horizontal="right" vertical="center"/>
    </xf>
    <xf numFmtId="43" fontId="108" fillId="0" borderId="6" xfId="1" applyFont="1" applyFill="1" applyBorder="1" applyAlignment="1">
      <alignment horizontal="right" vertical="center"/>
    </xf>
    <xf numFmtId="43" fontId="108" fillId="0" borderId="7" xfId="0" applyNumberFormat="1" applyFont="1" applyFill="1" applyBorder="1" applyAlignment="1">
      <alignment vertical="center"/>
    </xf>
    <xf numFmtId="0" fontId="108" fillId="0" borderId="0" xfId="0" applyFont="1" applyFill="1" applyBorder="1"/>
    <xf numFmtId="0" fontId="108" fillId="0" borderId="4" xfId="0" applyFont="1" applyFill="1" applyBorder="1"/>
    <xf numFmtId="166" fontId="108" fillId="0" borderId="4" xfId="0" applyNumberFormat="1" applyFont="1" applyFill="1" applyBorder="1" applyAlignment="1">
      <alignment horizontal="center"/>
    </xf>
    <xf numFmtId="167" fontId="108" fillId="0" borderId="6" xfId="0" applyNumberFormat="1" applyFont="1" applyFill="1" applyBorder="1" applyAlignment="1">
      <alignment horizontal="center" vertical="center"/>
    </xf>
    <xf numFmtId="169" fontId="108" fillId="0" borderId="7" xfId="0" applyNumberFormat="1" applyFont="1" applyFill="1" applyBorder="1" applyAlignment="1">
      <alignment vertical="center"/>
    </xf>
    <xf numFmtId="168" fontId="108" fillId="0" borderId="6" xfId="2" applyNumberFormat="1" applyFont="1" applyFill="1" applyBorder="1" applyAlignment="1">
      <alignment vertical="center"/>
    </xf>
    <xf numFmtId="168" fontId="108" fillId="0" borderId="4" xfId="2" applyNumberFormat="1" applyFont="1" applyFill="1" applyBorder="1" applyAlignment="1">
      <alignment horizontal="center" vertical="center"/>
    </xf>
    <xf numFmtId="0" fontId="108" fillId="0" borderId="7" xfId="0" applyFont="1" applyFill="1" applyBorder="1" applyAlignment="1">
      <alignment vertical="center"/>
    </xf>
    <xf numFmtId="43" fontId="108" fillId="0" borderId="0" xfId="0" applyNumberFormat="1" applyFont="1" applyFill="1" applyBorder="1"/>
    <xf numFmtId="0" fontId="108" fillId="0" borderId="0" xfId="0" applyFont="1" applyAlignment="1">
      <alignment vertical="center"/>
    </xf>
    <xf numFmtId="0" fontId="108" fillId="0" borderId="0" xfId="0" applyFont="1" applyAlignment="1">
      <alignment horizontal="right" vertical="center"/>
    </xf>
    <xf numFmtId="0" fontId="108" fillId="0" borderId="0" xfId="11" applyFont="1" applyAlignment="1">
      <alignment horizontal="center" vertical="center"/>
    </xf>
    <xf numFmtId="43" fontId="108" fillId="0" borderId="0" xfId="11" applyNumberFormat="1" applyFont="1" applyAlignment="1">
      <alignment vertical="center"/>
    </xf>
    <xf numFmtId="0" fontId="108" fillId="0" borderId="0" xfId="11" applyFont="1" applyAlignment="1">
      <alignment vertical="center"/>
    </xf>
    <xf numFmtId="0" fontId="108" fillId="0" borderId="107" xfId="0" applyFont="1" applyBorder="1" applyAlignment="1">
      <alignment horizontal="center" vertical="center"/>
    </xf>
    <xf numFmtId="0" fontId="108" fillId="0" borderId="535" xfId="0" applyFont="1" applyBorder="1" applyAlignment="1">
      <alignment horizontal="center" vertical="center"/>
    </xf>
    <xf numFmtId="0" fontId="108" fillId="0" borderId="505" xfId="0" applyFont="1" applyBorder="1" applyAlignment="1">
      <alignment horizontal="center" vertical="center"/>
    </xf>
    <xf numFmtId="0" fontId="108" fillId="0" borderId="3" xfId="0" applyFont="1" applyBorder="1" applyAlignment="1">
      <alignment horizontal="center" vertical="center"/>
    </xf>
    <xf numFmtId="0" fontId="108" fillId="0" borderId="9" xfId="0" applyFont="1" applyBorder="1" applyAlignment="1">
      <alignment horizontal="center" vertical="center"/>
    </xf>
    <xf numFmtId="0" fontId="108" fillId="0" borderId="3" xfId="0" applyFont="1" applyBorder="1" applyAlignment="1">
      <alignment vertical="center"/>
    </xf>
    <xf numFmtId="0" fontId="108" fillId="0" borderId="535" xfId="0" applyFont="1" applyBorder="1" applyAlignment="1">
      <alignment vertical="center"/>
    </xf>
    <xf numFmtId="0" fontId="108" fillId="0" borderId="326" xfId="0" applyFont="1" applyBorder="1" applyAlignment="1">
      <alignment vertical="center"/>
    </xf>
    <xf numFmtId="43" fontId="108" fillId="0" borderId="326" xfId="1" applyFont="1" applyFill="1" applyBorder="1" applyAlignment="1">
      <alignment horizontal="right" vertical="center"/>
    </xf>
    <xf numFmtId="43" fontId="108" fillId="0" borderId="326" xfId="1" applyFont="1" applyFill="1" applyBorder="1" applyAlignment="1">
      <alignment vertical="center"/>
    </xf>
    <xf numFmtId="43" fontId="108" fillId="0" borderId="84" xfId="1" applyFont="1" applyFill="1" applyBorder="1" applyAlignment="1">
      <alignment vertical="center"/>
    </xf>
    <xf numFmtId="43" fontId="108" fillId="0" borderId="535" xfId="1" applyFont="1" applyFill="1" applyBorder="1" applyAlignment="1">
      <alignment vertical="center"/>
    </xf>
    <xf numFmtId="0" fontId="108" fillId="0" borderId="328" xfId="0" applyFont="1" applyBorder="1" applyAlignment="1">
      <alignment vertical="center"/>
    </xf>
    <xf numFmtId="43" fontId="108" fillId="0" borderId="328" xfId="1" applyFont="1" applyFill="1" applyBorder="1" applyAlignment="1">
      <alignment horizontal="right" vertical="center"/>
    </xf>
    <xf numFmtId="43" fontId="108" fillId="0" borderId="329" xfId="1" applyFont="1" applyFill="1" applyBorder="1" applyAlignment="1">
      <alignment vertical="center"/>
    </xf>
    <xf numFmtId="0" fontId="108" fillId="0" borderId="84" xfId="0" applyFont="1" applyBorder="1" applyAlignment="1">
      <alignment vertical="center"/>
    </xf>
    <xf numFmtId="0" fontId="108" fillId="0" borderId="327" xfId="0" applyFont="1" applyBorder="1" applyAlignment="1">
      <alignment vertical="center"/>
    </xf>
    <xf numFmtId="0" fontId="108" fillId="0" borderId="328" xfId="0" applyFont="1" applyBorder="1" applyAlignment="1">
      <alignment horizontal="center" vertical="center"/>
    </xf>
    <xf numFmtId="166" fontId="108" fillId="0" borderId="328" xfId="0" applyNumberFormat="1" applyFont="1" applyBorder="1" applyAlignment="1">
      <alignment horizontal="center" vertical="center"/>
    </xf>
    <xf numFmtId="43" fontId="108" fillId="0" borderId="326" xfId="1" applyFont="1" applyFill="1" applyBorder="1" applyAlignment="1">
      <alignment horizontal="center" vertical="center"/>
    </xf>
    <xf numFmtId="166" fontId="108" fillId="0" borderId="326" xfId="0" applyNumberFormat="1" applyFont="1" applyBorder="1" applyAlignment="1">
      <alignment horizontal="center" vertical="center"/>
    </xf>
    <xf numFmtId="39" fontId="108" fillId="0" borderId="326" xfId="0" applyNumberFormat="1" applyFont="1" applyBorder="1" applyAlignment="1">
      <alignment horizontal="right" vertical="center"/>
    </xf>
    <xf numFmtId="39" fontId="108" fillId="0" borderId="328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vertical="center"/>
    </xf>
    <xf numFmtId="43" fontId="108" fillId="0" borderId="329" xfId="1" applyFont="1" applyFill="1" applyBorder="1" applyAlignment="1">
      <alignment horizontal="right" vertical="center"/>
    </xf>
    <xf numFmtId="39" fontId="108" fillId="0" borderId="326" xfId="0" applyNumberFormat="1" applyFont="1" applyBorder="1" applyAlignment="1">
      <alignment horizontal="center" vertical="center"/>
    </xf>
    <xf numFmtId="168" fontId="108" fillId="0" borderId="326" xfId="2" applyNumberFormat="1" applyFont="1" applyFill="1" applyBorder="1" applyAlignment="1">
      <alignment vertical="center"/>
    </xf>
    <xf numFmtId="0" fontId="109" fillId="0" borderId="3" xfId="0" applyFont="1" applyBorder="1" applyAlignment="1">
      <alignment horizontal="center" vertical="center"/>
    </xf>
    <xf numFmtId="0" fontId="109" fillId="0" borderId="327" xfId="0" applyFont="1" applyBorder="1" applyAlignment="1">
      <alignment vertical="center"/>
    </xf>
    <xf numFmtId="0" fontId="109" fillId="0" borderId="328" xfId="0" applyFont="1" applyBorder="1" applyAlignment="1">
      <alignment vertical="center"/>
    </xf>
    <xf numFmtId="0" fontId="109" fillId="0" borderId="328" xfId="0" applyFont="1" applyBorder="1" applyAlignment="1">
      <alignment horizontal="center" vertical="center"/>
    </xf>
    <xf numFmtId="0" fontId="109" fillId="0" borderId="329" xfId="0" applyFont="1" applyBorder="1" applyAlignment="1">
      <alignment horizontal="right" vertical="center"/>
    </xf>
    <xf numFmtId="43" fontId="109" fillId="0" borderId="326" xfId="0" applyNumberFormat="1" applyFont="1" applyBorder="1" applyAlignment="1">
      <alignment vertical="center"/>
    </xf>
    <xf numFmtId="0" fontId="109" fillId="0" borderId="0" xfId="0" applyFont="1" applyFill="1" applyBorder="1" applyAlignment="1">
      <alignment horizontal="right" vertical="center"/>
    </xf>
    <xf numFmtId="43" fontId="109" fillId="0" borderId="0" xfId="0" applyNumberFormat="1" applyFont="1" applyFill="1" applyBorder="1" applyAlignment="1">
      <alignment vertical="center"/>
    </xf>
    <xf numFmtId="0" fontId="108" fillId="0" borderId="0" xfId="0" applyFont="1" applyFill="1"/>
    <xf numFmtId="0" fontId="108" fillId="0" borderId="323" xfId="0" applyFont="1" applyFill="1" applyBorder="1" applyAlignment="1">
      <alignment horizontal="center" vertical="center"/>
    </xf>
    <xf numFmtId="0" fontId="108" fillId="0" borderId="325" xfId="0" applyFont="1" applyFill="1" applyBorder="1" applyAlignment="1">
      <alignment horizontal="center" vertical="center"/>
    </xf>
    <xf numFmtId="0" fontId="108" fillId="0" borderId="321" xfId="0" applyFont="1" applyFill="1" applyBorder="1" applyAlignment="1">
      <alignment horizontal="center" vertical="center"/>
    </xf>
    <xf numFmtId="0" fontId="108" fillId="0" borderId="320" xfId="0" applyFont="1" applyFill="1" applyBorder="1" applyAlignment="1">
      <alignment horizontal="center" vertical="center"/>
    </xf>
    <xf numFmtId="0" fontId="108" fillId="0" borderId="323" xfId="0" applyFont="1" applyFill="1" applyBorder="1" applyAlignment="1">
      <alignment vertical="center"/>
    </xf>
    <xf numFmtId="0" fontId="108" fillId="0" borderId="326" xfId="0" applyFont="1" applyFill="1" applyBorder="1" applyAlignment="1">
      <alignment vertical="center"/>
    </xf>
    <xf numFmtId="0" fontId="108" fillId="0" borderId="326" xfId="0" applyFont="1" applyFill="1" applyBorder="1" applyAlignment="1">
      <alignment horizontal="center" vertical="center"/>
    </xf>
    <xf numFmtId="43" fontId="108" fillId="0" borderId="323" xfId="1" applyFont="1" applyFill="1" applyBorder="1" applyAlignment="1">
      <alignment vertical="center"/>
    </xf>
    <xf numFmtId="0" fontId="108" fillId="0" borderId="321" xfId="0" applyFont="1" applyFill="1" applyBorder="1" applyAlignment="1">
      <alignment vertical="center"/>
    </xf>
    <xf numFmtId="166" fontId="108" fillId="0" borderId="326" xfId="0" applyNumberFormat="1" applyFont="1" applyFill="1" applyBorder="1" applyAlignment="1">
      <alignment horizontal="center" vertical="center"/>
    </xf>
    <xf numFmtId="0" fontId="108" fillId="0" borderId="327" xfId="0" applyFont="1" applyFill="1" applyBorder="1" applyAlignment="1">
      <alignment vertical="center"/>
    </xf>
    <xf numFmtId="0" fontId="108" fillId="0" borderId="328" xfId="0" applyFont="1" applyFill="1" applyBorder="1" applyAlignment="1">
      <alignment vertical="center"/>
    </xf>
    <xf numFmtId="0" fontId="108" fillId="0" borderId="328" xfId="0" applyFont="1" applyFill="1" applyBorder="1" applyAlignment="1">
      <alignment horizontal="center" vertical="center"/>
    </xf>
    <xf numFmtId="166" fontId="108" fillId="0" borderId="328" xfId="0" applyNumberFormat="1" applyFont="1" applyFill="1" applyBorder="1" applyAlignment="1">
      <alignment horizontal="center" vertical="center"/>
    </xf>
    <xf numFmtId="43" fontId="108" fillId="0" borderId="328" xfId="1" applyFont="1" applyFill="1" applyBorder="1" applyAlignment="1">
      <alignment vertical="center"/>
    </xf>
    <xf numFmtId="170" fontId="108" fillId="0" borderId="326" xfId="11" applyNumberFormat="1" applyFont="1" applyFill="1" applyBorder="1" applyAlignment="1" applyProtection="1">
      <alignment horizontal="center" vertical="center"/>
    </xf>
    <xf numFmtId="43" fontId="108" fillId="0" borderId="321" xfId="1" applyFont="1" applyFill="1" applyBorder="1" applyAlignment="1">
      <alignment vertical="center"/>
    </xf>
    <xf numFmtId="39" fontId="108" fillId="0" borderId="326" xfId="0" applyNumberFormat="1" applyFont="1" applyFill="1" applyBorder="1" applyAlignment="1">
      <alignment horizontal="right" vertical="center"/>
    </xf>
    <xf numFmtId="39" fontId="108" fillId="0" borderId="328" xfId="0" applyNumberFormat="1" applyFont="1" applyFill="1" applyBorder="1" applyAlignment="1">
      <alignment horizontal="right" vertical="center"/>
    </xf>
    <xf numFmtId="39" fontId="108" fillId="0" borderId="326" xfId="0" applyNumberFormat="1" applyFont="1" applyFill="1" applyBorder="1" applyAlignment="1">
      <alignment horizontal="center" vertical="center"/>
    </xf>
    <xf numFmtId="0" fontId="109" fillId="0" borderId="327" xfId="0" applyFont="1" applyFill="1" applyBorder="1" applyAlignment="1">
      <alignment vertical="center"/>
    </xf>
    <xf numFmtId="0" fontId="109" fillId="0" borderId="328" xfId="0" applyFont="1" applyFill="1" applyBorder="1" applyAlignment="1">
      <alignment vertical="center"/>
    </xf>
    <xf numFmtId="0" fontId="109" fillId="0" borderId="328" xfId="0" applyFont="1" applyFill="1" applyBorder="1" applyAlignment="1">
      <alignment horizontal="center" vertical="center"/>
    </xf>
    <xf numFmtId="0" fontId="109" fillId="0" borderId="329" xfId="0" applyFont="1" applyFill="1" applyBorder="1" applyAlignment="1">
      <alignment horizontal="right" vertical="center"/>
    </xf>
    <xf numFmtId="43" fontId="109" fillId="0" borderId="326" xfId="0" applyNumberFormat="1" applyFont="1" applyFill="1" applyBorder="1" applyAlignment="1">
      <alignment vertical="center"/>
    </xf>
    <xf numFmtId="0" fontId="108" fillId="0" borderId="5" xfId="10" applyFont="1" applyFill="1" applyBorder="1" applyAlignment="1" applyProtection="1">
      <alignment vertical="center"/>
    </xf>
    <xf numFmtId="0" fontId="108" fillId="0" borderId="6" xfId="10" applyFont="1" applyFill="1" applyBorder="1" applyAlignment="1" applyProtection="1">
      <alignment vertical="center"/>
    </xf>
    <xf numFmtId="170" fontId="108" fillId="0" borderId="6" xfId="10" applyNumberFormat="1" applyFont="1" applyFill="1" applyBorder="1" applyAlignment="1" applyProtection="1">
      <alignment horizontal="center" vertical="center"/>
    </xf>
    <xf numFmtId="0" fontId="113" fillId="0" borderId="4" xfId="10" applyFont="1" applyFill="1" applyBorder="1" applyAlignment="1" applyProtection="1">
      <alignment vertical="center"/>
    </xf>
    <xf numFmtId="172" fontId="108" fillId="0" borderId="4" xfId="10" applyNumberFormat="1" applyFont="1" applyFill="1" applyBorder="1" applyAlignment="1" applyProtection="1">
      <alignment horizontal="center" vertical="center"/>
    </xf>
    <xf numFmtId="170" fontId="108" fillId="0" borderId="0" xfId="10" applyNumberFormat="1" applyFont="1" applyFill="1" applyBorder="1" applyAlignment="1">
      <alignment horizontal="center" vertical="center"/>
    </xf>
    <xf numFmtId="0" fontId="108" fillId="0" borderId="4" xfId="11" applyFont="1" applyFill="1" applyBorder="1" applyAlignment="1" applyProtection="1">
      <alignment vertical="center"/>
    </xf>
    <xf numFmtId="170" fontId="108" fillId="0" borderId="4" xfId="11" applyNumberFormat="1" applyFont="1" applyFill="1" applyBorder="1" applyAlignment="1" applyProtection="1">
      <alignment horizontal="center" vertical="center"/>
    </xf>
    <xf numFmtId="172" fontId="108" fillId="0" borderId="4" xfId="11" applyNumberFormat="1" applyFont="1" applyFill="1" applyBorder="1" applyAlignment="1" applyProtection="1">
      <alignment horizontal="center" vertical="center"/>
    </xf>
    <xf numFmtId="170" fontId="108" fillId="0" borderId="0" xfId="11" applyNumberFormat="1" applyFont="1" applyAlignment="1">
      <alignment vertical="center"/>
    </xf>
    <xf numFmtId="0" fontId="108" fillId="0" borderId="326" xfId="11" applyFont="1" applyBorder="1" applyAlignment="1">
      <alignment vertical="center"/>
    </xf>
    <xf numFmtId="170" fontId="108" fillId="0" borderId="326" xfId="11" applyNumberFormat="1" applyFont="1" applyBorder="1" applyAlignment="1">
      <alignment horizontal="center" vertical="center"/>
    </xf>
    <xf numFmtId="0" fontId="108" fillId="0" borderId="327" xfId="11" applyFont="1" applyBorder="1" applyAlignment="1">
      <alignment vertical="center"/>
    </xf>
    <xf numFmtId="0" fontId="108" fillId="0" borderId="328" xfId="11" applyFont="1" applyBorder="1" applyAlignment="1">
      <alignment vertical="center"/>
    </xf>
    <xf numFmtId="170" fontId="108" fillId="0" borderId="328" xfId="11" applyNumberFormat="1" applyFont="1" applyBorder="1" applyAlignment="1">
      <alignment horizontal="center" vertical="center"/>
    </xf>
    <xf numFmtId="0" fontId="108" fillId="0" borderId="326" xfId="11" applyFont="1" applyFill="1" applyBorder="1" applyAlignment="1" applyProtection="1">
      <alignment vertical="center"/>
    </xf>
    <xf numFmtId="170" fontId="108" fillId="0" borderId="1" xfId="10" applyNumberFormat="1" applyFont="1" applyFill="1" applyBorder="1" applyAlignment="1" applyProtection="1">
      <alignment horizontal="center" vertical="center"/>
    </xf>
    <xf numFmtId="0" fontId="108" fillId="0" borderId="327" xfId="10" applyFont="1" applyFill="1" applyBorder="1" applyAlignment="1" applyProtection="1">
      <alignment vertical="center"/>
    </xf>
    <xf numFmtId="170" fontId="108" fillId="0" borderId="0" xfId="11" applyNumberFormat="1" applyFont="1" applyFill="1" applyAlignment="1" applyProtection="1">
      <alignment vertical="center"/>
    </xf>
    <xf numFmtId="0" fontId="108" fillId="0" borderId="0" xfId="11" applyFont="1" applyFill="1" applyBorder="1" applyAlignment="1">
      <alignment horizontal="center" vertical="center"/>
    </xf>
    <xf numFmtId="43" fontId="108" fillId="0" borderId="0" xfId="11" applyNumberFormat="1" applyFont="1" applyFill="1" applyBorder="1" applyAlignment="1">
      <alignment vertical="center"/>
    </xf>
    <xf numFmtId="0" fontId="108" fillId="0" borderId="0" xfId="11" applyFont="1" applyFill="1" applyBorder="1" applyAlignment="1">
      <alignment vertical="center"/>
    </xf>
    <xf numFmtId="0" fontId="108" fillId="0" borderId="327" xfId="11" applyFont="1" applyFill="1" applyBorder="1" applyAlignment="1" applyProtection="1">
      <alignment vertical="center"/>
    </xf>
    <xf numFmtId="0" fontId="108" fillId="0" borderId="328" xfId="11" applyFont="1" applyFill="1" applyBorder="1" applyAlignment="1" applyProtection="1">
      <alignment vertical="center"/>
    </xf>
    <xf numFmtId="170" fontId="108" fillId="0" borderId="328" xfId="11" applyNumberFormat="1" applyFont="1" applyFill="1" applyBorder="1" applyAlignment="1" applyProtection="1">
      <alignment horizontal="center" vertical="center"/>
    </xf>
    <xf numFmtId="171" fontId="108" fillId="0" borderId="0" xfId="11" applyNumberFormat="1" applyFont="1" applyFill="1" applyAlignment="1" applyProtection="1">
      <alignment vertical="center"/>
    </xf>
    <xf numFmtId="0" fontId="108" fillId="0" borderId="0" xfId="11" applyFont="1" applyFill="1" applyAlignment="1">
      <alignment vertical="center"/>
    </xf>
    <xf numFmtId="0" fontId="108" fillId="0" borderId="0" xfId="11" applyFont="1" applyFill="1" applyAlignment="1">
      <alignment horizontal="center" vertical="center"/>
    </xf>
    <xf numFmtId="9" fontId="108" fillId="0" borderId="326" xfId="24" applyFont="1" applyFill="1" applyBorder="1" applyAlignment="1">
      <alignment horizontal="center" vertical="center"/>
    </xf>
    <xf numFmtId="0" fontId="108" fillId="0" borderId="535" xfId="0" applyFont="1" applyFill="1" applyBorder="1" applyAlignment="1">
      <alignment horizontal="center" vertical="center"/>
    </xf>
    <xf numFmtId="0" fontId="108" fillId="0" borderId="535" xfId="0" applyFont="1" applyFill="1" applyBorder="1" applyAlignment="1">
      <alignment vertical="center"/>
    </xf>
    <xf numFmtId="49" fontId="108" fillId="0" borderId="4" xfId="10" applyNumberFormat="1" applyFont="1" applyFill="1" applyBorder="1" applyAlignment="1" applyProtection="1">
      <alignment vertical="center"/>
    </xf>
    <xf numFmtId="173" fontId="108" fillId="0" borderId="4" xfId="10" applyNumberFormat="1" applyFont="1" applyFill="1" applyBorder="1" applyAlignment="1" applyProtection="1">
      <alignment horizontal="center" vertical="center"/>
    </xf>
    <xf numFmtId="0" fontId="108" fillId="0" borderId="0" xfId="10" applyFont="1" applyFill="1" applyAlignment="1" applyProtection="1">
      <alignment vertical="center"/>
    </xf>
    <xf numFmtId="170" fontId="108" fillId="0" borderId="4" xfId="10" applyNumberFormat="1" applyFont="1" applyFill="1" applyBorder="1" applyAlignment="1" applyProtection="1">
      <alignment vertical="center"/>
    </xf>
    <xf numFmtId="170" fontId="108" fillId="0" borderId="6" xfId="10" applyNumberFormat="1" applyFont="1" applyFill="1" applyBorder="1" applyAlignment="1" applyProtection="1">
      <alignment vertical="center"/>
    </xf>
    <xf numFmtId="166" fontId="108" fillId="0" borderId="6" xfId="0" applyNumberFormat="1" applyFont="1" applyFill="1" applyBorder="1" applyAlignment="1">
      <alignment vertical="center"/>
    </xf>
    <xf numFmtId="166" fontId="108" fillId="0" borderId="4" xfId="0" applyNumberFormat="1" applyFont="1" applyFill="1" applyBorder="1" applyAlignment="1">
      <alignment vertical="center"/>
    </xf>
    <xf numFmtId="41" fontId="90" fillId="0" borderId="0" xfId="2" applyFont="1" applyFill="1" applyBorder="1"/>
    <xf numFmtId="9" fontId="90" fillId="0" borderId="0" xfId="21" applyFont="1" applyFill="1" applyBorder="1"/>
    <xf numFmtId="0" fontId="101" fillId="0" borderId="0" xfId="19" applyFont="1" applyFill="1" applyAlignment="1" applyProtection="1">
      <alignment vertical="center"/>
    </xf>
    <xf numFmtId="0" fontId="101" fillId="0" borderId="0" xfId="19" applyNumberFormat="1" applyFont="1" applyFill="1" applyAlignment="1" applyProtection="1">
      <alignment vertical="center"/>
    </xf>
    <xf numFmtId="0" fontId="101" fillId="0" borderId="0" xfId="19" applyFont="1" applyFill="1" applyBorder="1" applyAlignment="1" applyProtection="1">
      <alignment vertical="center"/>
    </xf>
    <xf numFmtId="41" fontId="90" fillId="0" borderId="0" xfId="0" applyNumberFormat="1" applyFont="1" applyFill="1" applyAlignment="1">
      <alignment vertical="center"/>
    </xf>
    <xf numFmtId="0" fontId="114" fillId="0" borderId="0" xfId="0" applyFont="1" applyFill="1" applyAlignment="1">
      <alignment vertical="center"/>
    </xf>
    <xf numFmtId="0" fontId="115" fillId="0" borderId="0" xfId="0" applyFont="1" applyFill="1" applyAlignment="1">
      <alignment vertical="center"/>
    </xf>
    <xf numFmtId="0" fontId="90" fillId="0" borderId="0" xfId="19" applyNumberFormat="1" applyFont="1" applyFill="1" applyAlignment="1" applyProtection="1">
      <alignment vertical="center"/>
    </xf>
    <xf numFmtId="0" fontId="90" fillId="0" borderId="0" xfId="0" applyNumberFormat="1" applyFont="1" applyFill="1" applyAlignment="1">
      <alignment vertical="center"/>
    </xf>
    <xf numFmtId="0" fontId="90" fillId="0" borderId="0" xfId="19" applyFont="1" applyFill="1" applyBorder="1" applyAlignment="1" applyProtection="1">
      <alignment horizontal="center" vertical="center"/>
    </xf>
    <xf numFmtId="41" fontId="90" fillId="0" borderId="0" xfId="2" applyFont="1" applyFill="1" applyAlignment="1" applyProtection="1">
      <alignment horizontal="left" vertical="center"/>
    </xf>
    <xf numFmtId="0" fontId="90" fillId="0" borderId="0" xfId="19" applyFont="1" applyFill="1" applyAlignment="1" applyProtection="1">
      <alignment vertical="center"/>
    </xf>
    <xf numFmtId="0" fontId="90" fillId="0" borderId="0" xfId="19" applyFont="1" applyFill="1" applyBorder="1" applyAlignment="1" applyProtection="1">
      <alignment horizontal="centerContinuous" vertical="center"/>
    </xf>
    <xf numFmtId="0" fontId="90" fillId="0" borderId="0" xfId="1" applyNumberFormat="1" applyFont="1" applyFill="1" applyBorder="1" applyAlignment="1" applyProtection="1">
      <alignment vertical="center"/>
    </xf>
    <xf numFmtId="0" fontId="90" fillId="0" borderId="0" xfId="10" applyFont="1" applyFill="1" applyBorder="1" applyAlignment="1" applyProtection="1">
      <alignment vertical="center"/>
    </xf>
    <xf numFmtId="0" fontId="90" fillId="0" borderId="0" xfId="19" applyFont="1" applyFill="1" applyBorder="1" applyAlignment="1" applyProtection="1">
      <alignment vertical="center"/>
    </xf>
    <xf numFmtId="168" fontId="101" fillId="0" borderId="0" xfId="2" applyNumberFormat="1" applyFont="1" applyFill="1" applyBorder="1" applyAlignment="1">
      <alignment horizontal="center" vertical="center"/>
    </xf>
    <xf numFmtId="41" fontId="90" fillId="0" borderId="0" xfId="2" applyNumberFormat="1" applyFont="1" applyFill="1" applyAlignment="1">
      <alignment vertical="center"/>
    </xf>
    <xf numFmtId="168" fontId="114" fillId="0" borderId="0" xfId="2" applyNumberFormat="1" applyFont="1" applyFill="1" applyAlignment="1">
      <alignment vertical="center"/>
    </xf>
    <xf numFmtId="168" fontId="115" fillId="0" borderId="0" xfId="2" applyNumberFormat="1" applyFont="1" applyFill="1" applyAlignment="1">
      <alignment vertical="center"/>
    </xf>
    <xf numFmtId="0" fontId="101" fillId="0" borderId="0" xfId="19" applyNumberFormat="1" applyFont="1" applyFill="1" applyAlignment="1">
      <alignment horizontal="center" vertical="center"/>
    </xf>
    <xf numFmtId="0" fontId="101" fillId="0" borderId="0" xfId="19" applyFont="1" applyFill="1" applyAlignment="1">
      <alignment horizontal="center" vertical="center"/>
    </xf>
    <xf numFmtId="0" fontId="101" fillId="0" borderId="0" xfId="19" applyFont="1" applyFill="1" applyBorder="1" applyAlignment="1">
      <alignment horizontal="center" vertical="center"/>
    </xf>
    <xf numFmtId="0" fontId="101" fillId="0" borderId="21" xfId="19" applyFont="1" applyFill="1" applyBorder="1" applyAlignment="1" applyProtection="1">
      <alignment vertical="center"/>
    </xf>
    <xf numFmtId="0" fontId="101" fillId="0" borderId="37" xfId="19" applyFont="1" applyFill="1" applyBorder="1" applyAlignment="1" applyProtection="1">
      <alignment vertical="center"/>
    </xf>
    <xf numFmtId="0" fontId="101" fillId="0" borderId="22" xfId="19" applyNumberFormat="1" applyFont="1" applyFill="1" applyBorder="1" applyAlignment="1" applyProtection="1">
      <alignment vertical="center"/>
    </xf>
    <xf numFmtId="0" fontId="101" fillId="0" borderId="22" xfId="19" applyFont="1" applyFill="1" applyBorder="1" applyAlignment="1" applyProtection="1">
      <alignment vertical="center"/>
    </xf>
    <xf numFmtId="0" fontId="101" fillId="0" borderId="23" xfId="19" applyFont="1" applyFill="1" applyBorder="1" applyAlignment="1" applyProtection="1">
      <alignment vertical="center"/>
    </xf>
    <xf numFmtId="0" fontId="101" fillId="0" borderId="38" xfId="19" applyFont="1" applyFill="1" applyBorder="1" applyAlignment="1" applyProtection="1">
      <alignment vertical="center"/>
    </xf>
    <xf numFmtId="0" fontId="101" fillId="0" borderId="33" xfId="19" applyFont="1" applyFill="1" applyBorder="1" applyAlignment="1" applyProtection="1">
      <alignment vertical="center"/>
    </xf>
    <xf numFmtId="0" fontId="101" fillId="0" borderId="11" xfId="0" applyFont="1" applyFill="1" applyBorder="1" applyAlignment="1">
      <alignment horizontal="center" vertical="center"/>
    </xf>
    <xf numFmtId="0" fontId="101" fillId="0" borderId="15" xfId="19" applyFont="1" applyFill="1" applyBorder="1" applyAlignment="1" applyProtection="1">
      <alignment horizontal="center" vertical="center"/>
    </xf>
    <xf numFmtId="0" fontId="101" fillId="0" borderId="14" xfId="0" applyFont="1" applyFill="1" applyBorder="1" applyAlignment="1">
      <alignment horizontal="center" vertical="center"/>
    </xf>
    <xf numFmtId="0" fontId="101" fillId="0" borderId="12" xfId="19" applyFont="1" applyFill="1" applyBorder="1" applyAlignment="1" applyProtection="1">
      <alignment horizontal="center" vertical="center"/>
    </xf>
    <xf numFmtId="0" fontId="101" fillId="0" borderId="34" xfId="0" applyFont="1" applyFill="1" applyBorder="1" applyAlignment="1">
      <alignment horizontal="center" vertical="center"/>
    </xf>
    <xf numFmtId="0" fontId="101" fillId="0" borderId="40" xfId="0" applyFont="1" applyFill="1" applyBorder="1" applyAlignment="1">
      <alignment vertical="center"/>
    </xf>
    <xf numFmtId="0" fontId="101" fillId="0" borderId="17" xfId="19" applyFont="1" applyFill="1" applyBorder="1" applyAlignment="1" applyProtection="1">
      <alignment vertical="center"/>
    </xf>
    <xf numFmtId="0" fontId="101" fillId="0" borderId="18" xfId="19" applyNumberFormat="1" applyFont="1" applyFill="1" applyBorder="1" applyAlignment="1" applyProtection="1">
      <alignment vertical="center"/>
    </xf>
    <xf numFmtId="0" fontId="101" fillId="0" borderId="18" xfId="19" applyFont="1" applyFill="1" applyBorder="1" applyAlignment="1" applyProtection="1">
      <alignment vertical="center"/>
    </xf>
    <xf numFmtId="0" fontId="101" fillId="0" borderId="19" xfId="19" applyFont="1" applyFill="1" applyBorder="1" applyAlignment="1" applyProtection="1">
      <alignment vertical="center"/>
    </xf>
    <xf numFmtId="0" fontId="101" fillId="0" borderId="20" xfId="0" applyFont="1" applyFill="1" applyBorder="1" applyAlignment="1">
      <alignment vertical="center"/>
    </xf>
    <xf numFmtId="0" fontId="101" fillId="0" borderId="41" xfId="0" applyFont="1" applyFill="1" applyBorder="1" applyAlignment="1">
      <alignment vertical="center"/>
    </xf>
    <xf numFmtId="168" fontId="101" fillId="0" borderId="0" xfId="2" applyNumberFormat="1" applyFont="1" applyFill="1" applyAlignment="1">
      <alignment horizontal="right" vertical="center"/>
    </xf>
    <xf numFmtId="0" fontId="90" fillId="0" borderId="42" xfId="19" applyFont="1" applyFill="1" applyBorder="1" applyAlignment="1" applyProtection="1">
      <alignment horizontal="center" vertical="center"/>
    </xf>
    <xf numFmtId="0" fontId="90" fillId="0" borderId="37" xfId="19" applyFont="1" applyFill="1" applyBorder="1" applyAlignment="1" applyProtection="1">
      <alignment vertical="center"/>
    </xf>
    <xf numFmtId="0" fontId="90" fillId="0" borderId="0" xfId="19" applyNumberFormat="1" applyFont="1" applyFill="1" applyBorder="1" applyAlignment="1" applyProtection="1">
      <alignment vertical="center"/>
    </xf>
    <xf numFmtId="0" fontId="90" fillId="0" borderId="12" xfId="19" applyFont="1" applyFill="1" applyBorder="1" applyAlignment="1" applyProtection="1">
      <alignment vertical="center"/>
    </xf>
    <xf numFmtId="0" fontId="90" fillId="0" borderId="15" xfId="19" applyFont="1" applyFill="1" applyBorder="1" applyAlignment="1" applyProtection="1">
      <alignment vertical="center"/>
    </xf>
    <xf numFmtId="0" fontId="90" fillId="0" borderId="37" xfId="0" applyFont="1" applyFill="1" applyBorder="1" applyAlignment="1">
      <alignment vertical="center"/>
    </xf>
    <xf numFmtId="0" fontId="90" fillId="0" borderId="22" xfId="19" applyFont="1" applyFill="1" applyBorder="1" applyAlignment="1" applyProtection="1">
      <alignment vertical="center"/>
    </xf>
    <xf numFmtId="0" fontId="90" fillId="0" borderId="34" xfId="0" applyFont="1" applyFill="1" applyBorder="1" applyAlignment="1">
      <alignment vertical="center"/>
    </xf>
    <xf numFmtId="0" fontId="100" fillId="0" borderId="0" xfId="0" applyFont="1" applyFill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0" fontId="90" fillId="0" borderId="47" xfId="19" applyFont="1" applyFill="1" applyBorder="1" applyAlignment="1" applyProtection="1">
      <alignment horizontal="center" vertical="center"/>
    </xf>
    <xf numFmtId="0" fontId="90" fillId="0" borderId="48" xfId="19" applyFont="1" applyFill="1" applyBorder="1" applyAlignment="1" applyProtection="1">
      <alignment horizontal="centerContinuous" vertical="center"/>
    </xf>
    <xf numFmtId="0" fontId="90" fillId="0" borderId="49" xfId="19" applyFont="1" applyFill="1" applyBorder="1" applyAlignment="1">
      <alignment vertical="center"/>
    </xf>
    <xf numFmtId="0" fontId="90" fillId="0" borderId="50" xfId="19" applyFont="1" applyFill="1" applyBorder="1" applyAlignment="1">
      <alignment vertical="center"/>
    </xf>
    <xf numFmtId="0" fontId="90" fillId="0" borderId="29" xfId="19" applyFont="1" applyFill="1" applyBorder="1" applyAlignment="1" applyProtection="1">
      <alignment horizontal="center" vertical="center"/>
    </xf>
    <xf numFmtId="39" fontId="90" fillId="0" borderId="48" xfId="19" applyNumberFormat="1" applyFont="1" applyFill="1" applyBorder="1" applyAlignment="1" applyProtection="1">
      <alignment horizontal="center" vertical="center"/>
    </xf>
    <xf numFmtId="168" fontId="90" fillId="0" borderId="26" xfId="2" applyNumberFormat="1" applyFont="1" applyFill="1" applyBorder="1" applyAlignment="1">
      <alignment vertical="center"/>
    </xf>
    <xf numFmtId="0" fontId="90" fillId="0" borderId="51" xfId="0" applyFont="1" applyFill="1" applyBorder="1" applyAlignment="1">
      <alignment vertical="center"/>
    </xf>
    <xf numFmtId="0" fontId="90" fillId="0" borderId="29" xfId="19" applyFont="1" applyFill="1" applyBorder="1" applyAlignment="1" applyProtection="1">
      <alignment horizontal="centerContinuous" vertical="center"/>
    </xf>
    <xf numFmtId="41" fontId="90" fillId="0" borderId="26" xfId="2" applyFont="1" applyFill="1" applyBorder="1" applyAlignment="1" applyProtection="1">
      <alignment vertical="center"/>
    </xf>
    <xf numFmtId="0" fontId="90" fillId="0" borderId="26" xfId="19" applyFont="1" applyFill="1" applyBorder="1" applyAlignment="1" applyProtection="1">
      <alignment vertical="center"/>
    </xf>
    <xf numFmtId="0" fontId="90" fillId="0" borderId="27" xfId="19" applyFont="1" applyFill="1" applyBorder="1" applyAlignment="1" applyProtection="1">
      <alignment vertical="center"/>
    </xf>
    <xf numFmtId="0" fontId="90" fillId="0" borderId="29" xfId="0" applyFont="1" applyFill="1" applyBorder="1" applyAlignment="1">
      <alignment vertical="center"/>
    </xf>
    <xf numFmtId="0" fontId="90" fillId="0" borderId="52" xfId="0" applyFont="1" applyFill="1" applyBorder="1" applyAlignment="1">
      <alignment vertical="center"/>
    </xf>
    <xf numFmtId="43" fontId="90" fillId="0" borderId="26" xfId="1" applyFont="1" applyFill="1" applyBorder="1" applyProtection="1"/>
    <xf numFmtId="0" fontId="90" fillId="0" borderId="57" xfId="19" applyFont="1" applyFill="1" applyBorder="1" applyAlignment="1" applyProtection="1">
      <alignment horizontal="center" vertical="center"/>
    </xf>
    <xf numFmtId="0" fontId="90" fillId="0" borderId="32" xfId="19" applyFont="1" applyFill="1" applyBorder="1" applyAlignment="1" applyProtection="1">
      <alignment horizontal="centerContinuous" vertical="center"/>
    </xf>
    <xf numFmtId="0" fontId="90" fillId="0" borderId="30" xfId="19" applyNumberFormat="1" applyFont="1" applyFill="1" applyBorder="1" applyAlignment="1" applyProtection="1">
      <alignment vertical="center"/>
    </xf>
    <xf numFmtId="0" fontId="90" fillId="0" borderId="30" xfId="19" applyFont="1" applyFill="1" applyBorder="1" applyAlignment="1" applyProtection="1">
      <alignment vertical="center"/>
    </xf>
    <xf numFmtId="0" fontId="90" fillId="0" borderId="31" xfId="19" applyFont="1" applyFill="1" applyBorder="1" applyAlignment="1" applyProtection="1">
      <alignment vertical="center"/>
    </xf>
    <xf numFmtId="0" fontId="90" fillId="0" borderId="32" xfId="19" applyFont="1" applyFill="1" applyBorder="1" applyAlignment="1" applyProtection="1">
      <alignment horizontal="center" vertical="center"/>
    </xf>
    <xf numFmtId="0" fontId="90" fillId="0" borderId="32" xfId="0" applyFont="1" applyFill="1" applyBorder="1" applyAlignment="1">
      <alignment vertical="center"/>
    </xf>
    <xf numFmtId="39" fontId="90" fillId="0" borderId="30" xfId="19" applyNumberFormat="1" applyFont="1" applyFill="1" applyBorder="1" applyAlignment="1" applyProtection="1">
      <alignment vertical="center"/>
    </xf>
    <xf numFmtId="0" fontId="90" fillId="0" borderId="58" xfId="0" applyFont="1" applyFill="1" applyBorder="1" applyAlignment="1">
      <alignment vertical="center"/>
    </xf>
    <xf numFmtId="168" fontId="90" fillId="0" borderId="0" xfId="2" applyNumberFormat="1" applyFont="1" applyFill="1" applyBorder="1" applyAlignment="1">
      <alignment horizontal="center" vertical="center"/>
    </xf>
    <xf numFmtId="0" fontId="100" fillId="0" borderId="0" xfId="19" applyFont="1" applyFill="1" applyBorder="1" applyAlignment="1" applyProtection="1">
      <alignment horizontal="center" vertical="center"/>
    </xf>
    <xf numFmtId="39" fontId="90" fillId="0" borderId="0" xfId="19" applyNumberFormat="1" applyFont="1" applyFill="1" applyBorder="1" applyAlignment="1" applyProtection="1">
      <alignment vertical="center"/>
    </xf>
    <xf numFmtId="0" fontId="101" fillId="0" borderId="23" xfId="0" applyFont="1" applyFill="1" applyBorder="1" applyAlignment="1">
      <alignment vertical="center"/>
    </xf>
    <xf numFmtId="0" fontId="101" fillId="0" borderId="16" xfId="0" applyFont="1" applyFill="1" applyBorder="1" applyAlignment="1">
      <alignment vertical="center"/>
    </xf>
    <xf numFmtId="0" fontId="101" fillId="0" borderId="17" xfId="0" applyFont="1" applyFill="1" applyBorder="1" applyAlignment="1">
      <alignment vertical="center"/>
    </xf>
    <xf numFmtId="0" fontId="101" fillId="0" borderId="19" xfId="0" applyFont="1" applyFill="1" applyBorder="1" applyAlignment="1">
      <alignment vertical="center"/>
    </xf>
    <xf numFmtId="0" fontId="90" fillId="0" borderId="59" xfId="19" applyFont="1" applyFill="1" applyBorder="1" applyAlignment="1" applyProtection="1">
      <alignment horizontal="center" vertical="center"/>
    </xf>
    <xf numFmtId="0" fontId="90" fillId="0" borderId="60" xfId="19" applyFont="1" applyFill="1" applyBorder="1" applyAlignment="1" applyProtection="1">
      <alignment vertical="center"/>
    </xf>
    <xf numFmtId="0" fontId="90" fillId="0" borderId="61" xfId="19" applyNumberFormat="1" applyFont="1" applyFill="1" applyBorder="1" applyAlignment="1" applyProtection="1">
      <alignment vertical="center"/>
    </xf>
    <xf numFmtId="0" fontId="90" fillId="0" borderId="61" xfId="19" applyFont="1" applyFill="1" applyBorder="1" applyAlignment="1" applyProtection="1">
      <alignment vertical="center"/>
    </xf>
    <xf numFmtId="0" fontId="90" fillId="0" borderId="62" xfId="0" applyFont="1" applyFill="1" applyBorder="1" applyAlignment="1">
      <alignment vertical="center"/>
    </xf>
    <xf numFmtId="17" fontId="101" fillId="0" borderId="0" xfId="0" applyNumberFormat="1" applyFont="1" applyFill="1" applyAlignment="1">
      <alignment horizontal="center" vertical="center"/>
    </xf>
    <xf numFmtId="0" fontId="90" fillId="0" borderId="26" xfId="1" applyNumberFormat="1" applyFont="1" applyFill="1" applyBorder="1" applyAlignment="1" applyProtection="1">
      <alignment vertical="center"/>
    </xf>
    <xf numFmtId="0" fontId="90" fillId="0" borderId="28" xfId="19" applyFont="1" applyFill="1" applyBorder="1" applyAlignment="1" applyProtection="1">
      <alignment horizontal="center" vertical="center"/>
    </xf>
    <xf numFmtId="39" fontId="90" fillId="0" borderId="29" xfId="19" applyNumberFormat="1" applyFont="1" applyFill="1" applyBorder="1" applyAlignment="1" applyProtection="1">
      <alignment vertical="center"/>
    </xf>
    <xf numFmtId="0" fontId="90" fillId="0" borderId="63" xfId="19" applyFont="1" applyFill="1" applyBorder="1" applyAlignment="1" applyProtection="1">
      <alignment horizontal="centerContinuous" vertical="center"/>
    </xf>
    <xf numFmtId="0" fontId="90" fillId="0" borderId="26" xfId="1" applyNumberFormat="1" applyFont="1" applyFill="1" applyBorder="1" applyAlignment="1">
      <alignment vertical="center"/>
    </xf>
    <xf numFmtId="0" fontId="90" fillId="0" borderId="26" xfId="19" applyFont="1" applyFill="1" applyBorder="1" applyAlignment="1">
      <alignment vertical="center"/>
    </xf>
    <xf numFmtId="43" fontId="90" fillId="0" borderId="26" xfId="1" applyFont="1" applyFill="1" applyBorder="1"/>
    <xf numFmtId="39" fontId="90" fillId="0" borderId="63" xfId="19" applyNumberFormat="1" applyFont="1" applyFill="1" applyBorder="1" applyAlignment="1" applyProtection="1">
      <alignment horizontal="center" vertical="center"/>
    </xf>
    <xf numFmtId="168" fontId="90" fillId="0" borderId="28" xfId="19" applyNumberFormat="1" applyFont="1" applyFill="1" applyBorder="1" applyAlignment="1" applyProtection="1">
      <alignment horizontal="center" vertical="center"/>
    </xf>
    <xf numFmtId="0" fontId="87" fillId="0" borderId="29" xfId="19" applyFont="1" applyFill="1" applyBorder="1" applyAlignment="1" applyProtection="1">
      <alignment horizontal="centerContinuous" vertical="center"/>
    </xf>
    <xf numFmtId="39" fontId="90" fillId="0" borderId="26" xfId="19" applyNumberFormat="1" applyFont="1" applyFill="1" applyBorder="1" applyAlignment="1" applyProtection="1">
      <alignment vertical="center"/>
    </xf>
    <xf numFmtId="0" fontId="90" fillId="0" borderId="44" xfId="19" applyFont="1" applyFill="1" applyBorder="1" applyAlignment="1" applyProtection="1">
      <alignment horizontal="centerContinuous" vertical="center"/>
    </xf>
    <xf numFmtId="49" fontId="90" fillId="0" borderId="45" xfId="1" applyNumberFormat="1" applyFont="1" applyFill="1" applyBorder="1" applyAlignment="1">
      <alignment vertical="center"/>
    </xf>
    <xf numFmtId="0" fontId="90" fillId="0" borderId="45" xfId="19" applyFont="1" applyFill="1" applyBorder="1" applyAlignment="1">
      <alignment vertical="center"/>
    </xf>
    <xf numFmtId="0" fontId="90" fillId="0" borderId="44" xfId="19" applyFont="1" applyFill="1" applyBorder="1" applyAlignment="1" applyProtection="1">
      <alignment horizontal="center" vertical="center"/>
    </xf>
    <xf numFmtId="39" fontId="90" fillId="0" borderId="44" xfId="19" applyNumberFormat="1" applyFont="1" applyFill="1" applyBorder="1" applyAlignment="1" applyProtection="1">
      <alignment horizontal="center" vertical="center"/>
    </xf>
    <xf numFmtId="0" fontId="114" fillId="0" borderId="52" xfId="0" applyFont="1" applyFill="1" applyBorder="1" applyAlignment="1">
      <alignment vertical="center"/>
    </xf>
    <xf numFmtId="0" fontId="90" fillId="0" borderId="49" xfId="1" applyNumberFormat="1" applyFont="1" applyFill="1" applyBorder="1" applyAlignment="1">
      <alignment vertical="center"/>
    </xf>
    <xf numFmtId="0" fontId="90" fillId="0" borderId="64" xfId="19" applyFont="1" applyFill="1" applyBorder="1" applyAlignment="1" applyProtection="1">
      <alignment horizontal="center" vertical="center"/>
    </xf>
    <xf numFmtId="39" fontId="90" fillId="0" borderId="0" xfId="19" applyNumberFormat="1" applyFont="1" applyFill="1" applyBorder="1" applyAlignment="1" applyProtection="1">
      <alignment horizontal="center" vertical="center"/>
    </xf>
    <xf numFmtId="0" fontId="90" fillId="0" borderId="0" xfId="1" applyNumberFormat="1" applyFont="1" applyFill="1" applyBorder="1" applyAlignment="1">
      <alignment vertical="center"/>
    </xf>
    <xf numFmtId="0" fontId="90" fillId="0" borderId="0" xfId="19" applyFont="1" applyFill="1" applyBorder="1" applyAlignment="1">
      <alignment vertical="center"/>
    </xf>
    <xf numFmtId="0" fontId="90" fillId="0" borderId="44" xfId="19" applyFont="1" applyFill="1" applyBorder="1" applyAlignment="1" applyProtection="1">
      <alignment vertical="center"/>
    </xf>
    <xf numFmtId="0" fontId="90" fillId="0" borderId="26" xfId="0" applyFont="1" applyFill="1" applyBorder="1"/>
    <xf numFmtId="41" fontId="90" fillId="0" borderId="26" xfId="2" applyFont="1" applyFill="1" applyBorder="1"/>
    <xf numFmtId="49" fontId="90" fillId="0" borderId="26" xfId="1" applyNumberFormat="1" applyFont="1" applyFill="1" applyBorder="1" applyAlignment="1">
      <alignment vertical="center"/>
    </xf>
    <xf numFmtId="0" fontId="90" fillId="0" borderId="466" xfId="19" applyFont="1" applyFill="1" applyBorder="1" applyAlignment="1" applyProtection="1">
      <alignment horizontal="centerContinuous" vertical="center"/>
    </xf>
    <xf numFmtId="0" fontId="90" fillId="0" borderId="463" xfId="1" applyNumberFormat="1" applyFont="1" applyFill="1" applyBorder="1" applyAlignment="1" applyProtection="1">
      <alignment vertical="center"/>
    </xf>
    <xf numFmtId="0" fontId="90" fillId="0" borderId="463" xfId="19" applyFont="1" applyFill="1" applyBorder="1" applyAlignment="1" applyProtection="1">
      <alignment vertical="center"/>
    </xf>
    <xf numFmtId="43" fontId="90" fillId="0" borderId="463" xfId="1" applyFont="1" applyFill="1" applyBorder="1"/>
    <xf numFmtId="0" fontId="90" fillId="0" borderId="537" xfId="0" applyFont="1" applyFill="1" applyBorder="1" applyAlignment="1">
      <alignment vertical="center"/>
    </xf>
    <xf numFmtId="0" fontId="90" fillId="0" borderId="26" xfId="0" applyFont="1" applyFill="1" applyBorder="1" applyAlignment="1">
      <alignment vertical="center"/>
    </xf>
    <xf numFmtId="0" fontId="90" fillId="0" borderId="29" xfId="19" applyFont="1" applyFill="1" applyBorder="1" applyAlignment="1">
      <alignment vertical="center"/>
    </xf>
    <xf numFmtId="41" fontId="90" fillId="0" borderId="26" xfId="2" applyFont="1" applyFill="1" applyBorder="1" applyAlignment="1">
      <alignment horizontal="left"/>
    </xf>
    <xf numFmtId="41" fontId="90" fillId="0" borderId="26" xfId="2" applyFont="1" applyFill="1" applyBorder="1" applyProtection="1"/>
    <xf numFmtId="0" fontId="87" fillId="0" borderId="26" xfId="19" applyFont="1" applyFill="1" applyBorder="1" applyAlignment="1" applyProtection="1">
      <alignment vertical="center"/>
    </xf>
    <xf numFmtId="43" fontId="87" fillId="0" borderId="26" xfId="1" applyFont="1" applyFill="1" applyBorder="1" applyProtection="1"/>
    <xf numFmtId="39" fontId="87" fillId="0" borderId="29" xfId="19" applyNumberFormat="1" applyFont="1" applyFill="1" applyBorder="1" applyAlignment="1" applyProtection="1">
      <alignment vertical="center"/>
    </xf>
    <xf numFmtId="0" fontId="90" fillId="0" borderId="26" xfId="19" applyNumberFormat="1" applyFont="1" applyFill="1" applyBorder="1" applyAlignment="1" applyProtection="1">
      <alignment vertical="center"/>
    </xf>
    <xf numFmtId="43" fontId="90" fillId="0" borderId="26" xfId="19" applyNumberFormat="1" applyFont="1" applyFill="1" applyBorder="1" applyAlignment="1" applyProtection="1">
      <alignment vertical="center"/>
    </xf>
    <xf numFmtId="49" fontId="90" fillId="0" borderId="26" xfId="1" applyNumberFormat="1" applyFont="1" applyFill="1" applyBorder="1" applyAlignment="1" applyProtection="1">
      <alignment horizontal="left" vertical="center"/>
    </xf>
    <xf numFmtId="0" fontId="90" fillId="0" borderId="27" xfId="19" applyFont="1" applyFill="1" applyBorder="1" applyAlignment="1">
      <alignment horizontal="center" vertical="center"/>
    </xf>
    <xf numFmtId="43" fontId="90" fillId="0" borderId="26" xfId="1" applyFont="1" applyFill="1" applyBorder="1" applyAlignment="1" applyProtection="1"/>
    <xf numFmtId="43" fontId="90" fillId="0" borderId="26" xfId="1" applyFont="1" applyFill="1" applyBorder="1" applyAlignment="1" applyProtection="1">
      <alignment horizontal="left"/>
    </xf>
    <xf numFmtId="43" fontId="90" fillId="0" borderId="27" xfId="1" applyFont="1" applyFill="1" applyBorder="1"/>
    <xf numFmtId="0" fontId="90" fillId="0" borderId="26" xfId="10" applyFont="1" applyFill="1" applyBorder="1" applyAlignment="1" applyProtection="1">
      <alignment vertical="center"/>
    </xf>
    <xf numFmtId="0" fontId="90" fillId="0" borderId="129" xfId="20" applyFont="1" applyFill="1" applyBorder="1" applyAlignment="1" applyProtection="1">
      <alignment horizontal="centerContinuous" vertical="center"/>
    </xf>
    <xf numFmtId="0" fontId="90" fillId="0" borderId="130" xfId="20" applyFont="1" applyFill="1" applyBorder="1" applyAlignment="1">
      <alignment vertical="center"/>
    </xf>
    <xf numFmtId="0" fontId="90" fillId="0" borderId="129" xfId="20" applyFont="1" applyFill="1" applyBorder="1" applyAlignment="1" applyProtection="1">
      <alignment horizontal="center" vertical="center"/>
    </xf>
    <xf numFmtId="39" fontId="90" fillId="0" borderId="129" xfId="20" applyNumberFormat="1" applyFont="1" applyFill="1" applyBorder="1" applyAlignment="1" applyProtection="1">
      <alignment vertical="center"/>
    </xf>
    <xf numFmtId="0" fontId="90" fillId="0" borderId="109" xfId="0" applyFont="1" applyFill="1" applyBorder="1" applyAlignment="1" applyProtection="1">
      <alignment vertical="center"/>
    </xf>
    <xf numFmtId="0" fontId="90" fillId="0" borderId="222" xfId="0" applyFont="1" applyBorder="1" applyAlignment="1">
      <alignment horizontal="center" vertical="center"/>
    </xf>
    <xf numFmtId="0" fontId="90" fillId="0" borderId="103" xfId="0" applyFont="1" applyFill="1" applyBorder="1" applyAlignment="1">
      <alignment vertical="center"/>
    </xf>
    <xf numFmtId="0" fontId="90" fillId="0" borderId="103" xfId="0" applyFont="1" applyBorder="1"/>
    <xf numFmtId="0" fontId="90" fillId="0" borderId="223" xfId="0" applyFont="1" applyBorder="1" applyAlignment="1">
      <alignment horizontal="center"/>
    </xf>
    <xf numFmtId="43" fontId="90" fillId="0" borderId="103" xfId="1" applyFont="1" applyFill="1" applyBorder="1" applyAlignment="1">
      <alignment horizontal="center" vertical="center"/>
    </xf>
    <xf numFmtId="0" fontId="90" fillId="0" borderId="224" xfId="0" applyFont="1" applyFill="1" applyBorder="1" applyAlignment="1">
      <alignment vertical="center"/>
    </xf>
    <xf numFmtId="0" fontId="90" fillId="0" borderId="0" xfId="0" applyFont="1" applyBorder="1"/>
    <xf numFmtId="0" fontId="90" fillId="0" borderId="0" xfId="0" applyFont="1"/>
    <xf numFmtId="0" fontId="108" fillId="2" borderId="0" xfId="0" applyFont="1" applyFill="1" applyAlignment="1">
      <alignment horizontal="center" vertical="center"/>
    </xf>
    <xf numFmtId="0" fontId="88" fillId="0" borderId="0" xfId="11" applyFont="1" applyAlignment="1">
      <alignment horizontal="center" vertical="center"/>
    </xf>
    <xf numFmtId="0" fontId="91" fillId="0" borderId="0" xfId="11" applyFont="1" applyAlignment="1">
      <alignment horizontal="center" vertical="center"/>
    </xf>
    <xf numFmtId="0" fontId="89" fillId="0" borderId="0" xfId="11" applyFont="1" applyFill="1" applyBorder="1" applyAlignment="1" applyProtection="1">
      <alignment horizontal="center" vertical="center"/>
    </xf>
    <xf numFmtId="168" fontId="87" fillId="0" borderId="0" xfId="2" applyNumberFormat="1" applyFont="1" applyFill="1" applyAlignment="1">
      <alignment vertical="center"/>
    </xf>
    <xf numFmtId="10" fontId="108" fillId="0" borderId="4" xfId="1" applyNumberFormat="1" applyFont="1" applyFill="1" applyBorder="1" applyAlignment="1">
      <alignment horizontal="center" vertical="center"/>
    </xf>
    <xf numFmtId="10" fontId="108" fillId="0" borderId="4" xfId="1" applyNumberFormat="1" applyFont="1" applyFill="1" applyBorder="1" applyAlignment="1">
      <alignment vertical="center"/>
    </xf>
    <xf numFmtId="10" fontId="109" fillId="0" borderId="7" xfId="0" applyNumberFormat="1" applyFont="1" applyFill="1" applyBorder="1" applyAlignment="1">
      <alignment horizontal="center" vertical="center"/>
    </xf>
    <xf numFmtId="10" fontId="108" fillId="0" borderId="4" xfId="21" applyNumberFormat="1" applyFont="1" applyFill="1" applyBorder="1" applyAlignment="1">
      <alignment horizontal="center" vertical="center"/>
    </xf>
    <xf numFmtId="10" fontId="109" fillId="0" borderId="7" xfId="21" applyNumberFormat="1" applyFont="1" applyFill="1" applyBorder="1" applyAlignment="1">
      <alignment horizontal="center" vertical="center"/>
    </xf>
    <xf numFmtId="0" fontId="108" fillId="7" borderId="0" xfId="0" applyFont="1" applyFill="1" applyAlignment="1">
      <alignment vertical="center"/>
    </xf>
    <xf numFmtId="10" fontId="108" fillId="0" borderId="139" xfId="21" applyNumberFormat="1" applyFont="1" applyBorder="1" applyAlignment="1">
      <alignment horizontal="center" vertical="center"/>
    </xf>
    <xf numFmtId="9" fontId="10" fillId="0" borderId="0" xfId="1" applyNumberFormat="1" applyFont="1" applyFill="1" applyAlignment="1" applyProtection="1">
      <alignment vertical="center"/>
    </xf>
    <xf numFmtId="9" fontId="10" fillId="0" borderId="0" xfId="1" applyNumberFormat="1" applyFont="1" applyFill="1" applyAlignment="1">
      <alignment vertical="center"/>
    </xf>
    <xf numFmtId="9" fontId="94" fillId="0" borderId="230" xfId="21" applyNumberFormat="1" applyFont="1" applyFill="1" applyBorder="1" applyAlignment="1" applyProtection="1">
      <alignment vertical="center"/>
    </xf>
    <xf numFmtId="0" fontId="90" fillId="0" borderId="0" xfId="11" applyFont="1" applyFill="1" applyAlignment="1">
      <alignment horizontal="center" vertical="center"/>
    </xf>
    <xf numFmtId="0" fontId="89" fillId="0" borderId="0" xfId="11" applyFont="1" applyFill="1" applyBorder="1" applyAlignment="1" applyProtection="1">
      <alignment horizontal="center" vertical="center"/>
    </xf>
    <xf numFmtId="168" fontId="89" fillId="0" borderId="464" xfId="2" applyNumberFormat="1" applyFont="1" applyFill="1" applyBorder="1" applyAlignment="1" applyProtection="1">
      <alignment vertical="center"/>
    </xf>
    <xf numFmtId="0" fontId="88" fillId="0" borderId="0" xfId="11" applyFont="1" applyFill="1" applyAlignment="1">
      <alignment horizontal="center" vertical="center"/>
    </xf>
    <xf numFmtId="41" fontId="89" fillId="0" borderId="0" xfId="2" applyFont="1" applyFill="1" applyAlignment="1">
      <alignment horizontal="centerContinuous" vertical="center"/>
    </xf>
    <xf numFmtId="0" fontId="91" fillId="0" borderId="0" xfId="11" applyFont="1" applyFill="1" applyAlignment="1">
      <alignment horizontal="center" vertical="center"/>
    </xf>
    <xf numFmtId="0" fontId="93" fillId="0" borderId="0" xfId="11" applyFont="1" applyFill="1" applyAlignment="1">
      <alignment horizontal="center" vertical="center"/>
    </xf>
    <xf numFmtId="0" fontId="94" fillId="0" borderId="0" xfId="11" applyFont="1" applyFill="1" applyAlignment="1">
      <alignment vertical="center"/>
    </xf>
    <xf numFmtId="0" fontId="94" fillId="0" borderId="0" xfId="11" applyFont="1" applyFill="1" applyAlignment="1">
      <alignment horizontal="center" vertical="center"/>
    </xf>
    <xf numFmtId="0" fontId="94" fillId="0" borderId="0" xfId="11" applyFont="1" applyFill="1" applyAlignment="1">
      <alignment vertical="top"/>
    </xf>
    <xf numFmtId="0" fontId="94" fillId="0" borderId="0" xfId="11" applyFont="1" applyFill="1" applyAlignment="1">
      <alignment vertical="top" wrapText="1"/>
    </xf>
    <xf numFmtId="0" fontId="106" fillId="0" borderId="0" xfId="11" applyFont="1" applyFill="1" applyAlignment="1">
      <alignment horizontal="center" vertical="center"/>
    </xf>
    <xf numFmtId="41" fontId="89" fillId="0" borderId="0" xfId="2" applyFont="1" applyFill="1" applyAlignment="1">
      <alignment horizontal="center" vertical="center"/>
    </xf>
    <xf numFmtId="39" fontId="90" fillId="0" borderId="0" xfId="11" applyNumberFormat="1" applyFont="1" applyFill="1" applyAlignment="1">
      <alignment vertical="center"/>
    </xf>
    <xf numFmtId="0" fontId="94" fillId="0" borderId="0" xfId="11" applyFont="1" applyFill="1" applyAlignment="1">
      <alignment horizontal="left" vertical="center"/>
    </xf>
    <xf numFmtId="0" fontId="94" fillId="0" borderId="0" xfId="11" quotePrefix="1" applyFont="1" applyFill="1" applyAlignment="1">
      <alignment horizontal="left" vertical="center"/>
    </xf>
    <xf numFmtId="0" fontId="95" fillId="0" borderId="341" xfId="11" applyFont="1" applyFill="1" applyBorder="1" applyAlignment="1">
      <alignment horizontal="center" vertical="center"/>
    </xf>
    <xf numFmtId="0" fontId="95" fillId="0" borderId="343" xfId="11" applyFont="1" applyFill="1" applyBorder="1" applyAlignment="1">
      <alignment vertical="center"/>
    </xf>
    <xf numFmtId="39" fontId="95" fillId="0" borderId="343" xfId="11" applyNumberFormat="1" applyFont="1" applyFill="1" applyBorder="1" applyAlignment="1">
      <alignment vertical="center"/>
    </xf>
    <xf numFmtId="39" fontId="95" fillId="0" borderId="344" xfId="11" applyNumberFormat="1" applyFont="1" applyFill="1" applyBorder="1" applyAlignment="1">
      <alignment vertical="center"/>
    </xf>
    <xf numFmtId="39" fontId="95" fillId="0" borderId="343" xfId="11" applyNumberFormat="1" applyFont="1" applyFill="1" applyBorder="1" applyAlignment="1">
      <alignment horizontal="center" vertical="center"/>
    </xf>
    <xf numFmtId="39" fontId="95" fillId="0" borderId="344" xfId="11" applyNumberFormat="1" applyFont="1" applyFill="1" applyBorder="1" applyAlignment="1">
      <alignment horizontal="center" vertical="center"/>
    </xf>
    <xf numFmtId="39" fontId="10" fillId="0" borderId="342" xfId="11" applyNumberFormat="1" applyFont="1" applyFill="1" applyBorder="1" applyAlignment="1">
      <alignment vertical="center"/>
    </xf>
    <xf numFmtId="39" fontId="95" fillId="0" borderId="552" xfId="11" applyNumberFormat="1" applyFont="1" applyFill="1" applyBorder="1" applyAlignment="1">
      <alignment horizontal="center" vertical="center"/>
    </xf>
    <xf numFmtId="39" fontId="95" fillId="0" borderId="229" xfId="11" applyNumberFormat="1" applyFont="1" applyFill="1" applyBorder="1" applyAlignment="1">
      <alignment horizontal="center" vertical="center"/>
    </xf>
    <xf numFmtId="0" fontId="94" fillId="0" borderId="11" xfId="11" applyFont="1" applyFill="1" applyBorder="1" applyAlignment="1">
      <alignment horizontal="center" vertical="center"/>
    </xf>
    <xf numFmtId="0" fontId="94" fillId="0" borderId="0" xfId="11" applyFont="1" applyFill="1" applyAlignment="1">
      <alignment horizontal="centerContinuous" vertical="center"/>
    </xf>
    <xf numFmtId="0" fontId="94" fillId="0" borderId="12" xfId="11" applyFont="1" applyFill="1" applyBorder="1" applyAlignment="1">
      <alignment horizontal="centerContinuous" vertical="center"/>
    </xf>
    <xf numFmtId="0" fontId="94" fillId="0" borderId="12" xfId="11" applyFont="1" applyFill="1" applyBorder="1" applyAlignment="1">
      <alignment horizontal="center" vertical="center"/>
    </xf>
    <xf numFmtId="0" fontId="94" fillId="0" borderId="547" xfId="11" applyFont="1" applyFill="1" applyBorder="1" applyAlignment="1">
      <alignment horizontal="center" vertical="center"/>
    </xf>
    <xf numFmtId="0" fontId="94" fillId="0" borderId="230" xfId="11" applyFont="1" applyFill="1" applyBorder="1" applyAlignment="1">
      <alignment horizontal="center" vertical="center"/>
    </xf>
    <xf numFmtId="0" fontId="94" fillId="0" borderId="13" xfId="11" applyFont="1" applyFill="1" applyBorder="1" applyAlignment="1">
      <alignment horizontal="center" vertical="center"/>
    </xf>
    <xf numFmtId="0" fontId="95" fillId="0" borderId="11" xfId="11" applyFont="1" applyFill="1" applyBorder="1" applyAlignment="1">
      <alignment horizontal="center" vertical="center"/>
    </xf>
    <xf numFmtId="0" fontId="95" fillId="0" borderId="0" xfId="11" applyFont="1" applyFill="1" applyAlignment="1">
      <alignment vertical="center"/>
    </xf>
    <xf numFmtId="0" fontId="95" fillId="0" borderId="12" xfId="11" applyFont="1" applyFill="1" applyBorder="1" applyAlignment="1">
      <alignment vertical="center"/>
    </xf>
    <xf numFmtId="0" fontId="95" fillId="0" borderId="0" xfId="11" applyFont="1" applyFill="1" applyAlignment="1">
      <alignment horizontal="center" vertical="center"/>
    </xf>
    <xf numFmtId="0" fontId="95" fillId="0" borderId="12" xfId="11" applyFont="1" applyFill="1" applyBorder="1" applyAlignment="1">
      <alignment horizontal="center" vertical="center"/>
    </xf>
    <xf numFmtId="0" fontId="95" fillId="0" borderId="0" xfId="11" applyFont="1" applyFill="1" applyAlignment="1">
      <alignment horizontal="centerContinuous" vertical="center"/>
    </xf>
    <xf numFmtId="0" fontId="95" fillId="0" borderId="12" xfId="11" applyFont="1" applyFill="1" applyBorder="1" applyAlignment="1">
      <alignment horizontal="centerContinuous" vertical="center"/>
    </xf>
    <xf numFmtId="0" fontId="95" fillId="0" borderId="547" xfId="11" applyFont="1" applyFill="1" applyBorder="1" applyAlignment="1">
      <alignment horizontal="center" vertical="center"/>
    </xf>
    <xf numFmtId="0" fontId="95" fillId="0" borderId="230" xfId="11" applyFont="1" applyFill="1" applyBorder="1" applyAlignment="1">
      <alignment horizontal="center" vertical="center"/>
    </xf>
    <xf numFmtId="0" fontId="94" fillId="0" borderId="12" xfId="11" quotePrefix="1" applyFont="1" applyFill="1" applyBorder="1" applyAlignment="1">
      <alignment horizontal="center" vertical="center"/>
    </xf>
    <xf numFmtId="0" fontId="95" fillId="0" borderId="13" xfId="11" applyFont="1" applyFill="1" applyBorder="1" applyAlignment="1">
      <alignment horizontal="center" vertical="center"/>
    </xf>
    <xf numFmtId="0" fontId="94" fillId="0" borderId="453" xfId="11" quotePrefix="1" applyFont="1" applyFill="1" applyBorder="1" applyAlignment="1">
      <alignment horizontal="center" vertical="center"/>
    </xf>
    <xf numFmtId="0" fontId="94" fillId="0" borderId="454" xfId="11" applyFont="1" applyFill="1" applyBorder="1" applyAlignment="1">
      <alignment horizontal="centerContinuous" vertical="center"/>
    </xf>
    <xf numFmtId="0" fontId="94" fillId="0" borderId="454" xfId="11" applyFont="1" applyFill="1" applyBorder="1" applyAlignment="1">
      <alignment horizontal="center" vertical="center"/>
    </xf>
    <xf numFmtId="0" fontId="94" fillId="0" borderId="455" xfId="11" applyFont="1" applyFill="1" applyBorder="1" applyAlignment="1">
      <alignment horizontal="center" vertical="center"/>
    </xf>
    <xf numFmtId="0" fontId="94" fillId="0" borderId="454" xfId="11" applyFont="1" applyFill="1" applyBorder="1" applyAlignment="1">
      <alignment horizontal="right" vertical="center"/>
    </xf>
    <xf numFmtId="0" fontId="94" fillId="0" borderId="456" xfId="11" applyFont="1" applyFill="1" applyBorder="1" applyAlignment="1">
      <alignment horizontal="center" vertical="center"/>
    </xf>
    <xf numFmtId="0" fontId="94" fillId="0" borderId="456" xfId="11" applyFont="1" applyFill="1" applyBorder="1" applyAlignment="1">
      <alignment horizontal="centerContinuous" vertical="center"/>
    </xf>
    <xf numFmtId="0" fontId="89" fillId="0" borderId="548" xfId="11" applyFont="1" applyFill="1" applyBorder="1" applyAlignment="1">
      <alignment horizontal="center" vertical="center"/>
    </xf>
    <xf numFmtId="0" fontId="94" fillId="0" borderId="553" xfId="11" applyFont="1" applyFill="1" applyBorder="1" applyAlignment="1">
      <alignment horizontal="center" vertical="center"/>
    </xf>
    <xf numFmtId="0" fontId="94" fillId="0" borderId="566" xfId="11" applyFont="1" applyFill="1" applyBorder="1" applyAlignment="1">
      <alignment horizontal="center" vertical="center"/>
    </xf>
    <xf numFmtId="0" fontId="94" fillId="0" borderId="554" xfId="11" applyFont="1" applyFill="1" applyBorder="1" applyAlignment="1">
      <alignment horizontal="center" vertical="center"/>
    </xf>
    <xf numFmtId="0" fontId="94" fillId="0" borderId="576" xfId="11" applyFont="1" applyFill="1" applyBorder="1" applyAlignment="1">
      <alignment horizontal="center" vertical="center"/>
    </xf>
    <xf numFmtId="0" fontId="94" fillId="0" borderId="555" xfId="11" applyFont="1" applyFill="1" applyBorder="1" applyAlignment="1">
      <alignment horizontal="center" vertical="center"/>
    </xf>
    <xf numFmtId="0" fontId="89" fillId="0" borderId="457" xfId="11" applyFont="1" applyFill="1" applyBorder="1" applyAlignment="1">
      <alignment horizontal="center" vertical="center"/>
    </xf>
    <xf numFmtId="0" fontId="89" fillId="0" borderId="458" xfId="11" applyFont="1" applyFill="1" applyBorder="1" applyAlignment="1">
      <alignment horizontal="centerContinuous" vertical="center"/>
    </xf>
    <xf numFmtId="0" fontId="89" fillId="0" borderId="459" xfId="11" applyFont="1" applyFill="1" applyBorder="1" applyAlignment="1">
      <alignment horizontal="centerContinuous" vertical="center"/>
    </xf>
    <xf numFmtId="0" fontId="89" fillId="0" borderId="460" xfId="11" applyFont="1" applyFill="1" applyBorder="1" applyAlignment="1">
      <alignment horizontal="centerContinuous" vertical="center"/>
    </xf>
    <xf numFmtId="0" fontId="89" fillId="0" borderId="459" xfId="11" applyFont="1" applyFill="1" applyBorder="1" applyAlignment="1">
      <alignment horizontal="center" vertical="center"/>
    </xf>
    <xf numFmtId="0" fontId="89" fillId="0" borderId="461" xfId="11" applyFont="1" applyFill="1" applyBorder="1" applyAlignment="1">
      <alignment horizontal="center" vertical="center"/>
    </xf>
    <xf numFmtId="0" fontId="89" fillId="0" borderId="556" xfId="11" applyFont="1" applyFill="1" applyBorder="1" applyAlignment="1">
      <alignment horizontal="center" vertical="center"/>
    </xf>
    <xf numFmtId="0" fontId="89" fillId="0" borderId="460" xfId="11" applyFont="1" applyFill="1" applyBorder="1" applyAlignment="1">
      <alignment horizontal="center" vertical="center"/>
    </xf>
    <xf numFmtId="0" fontId="89" fillId="0" borderId="458" xfId="11" applyFont="1" applyFill="1" applyBorder="1" applyAlignment="1">
      <alignment horizontal="center" vertical="center"/>
    </xf>
    <xf numFmtId="0" fontId="89" fillId="0" borderId="557" xfId="11" applyFont="1" applyFill="1" applyBorder="1" applyAlignment="1">
      <alignment horizontal="center" vertical="center"/>
    </xf>
    <xf numFmtId="0" fontId="97" fillId="0" borderId="0" xfId="11" applyFont="1" applyFill="1" applyAlignment="1">
      <alignment horizontal="centerContinuous" vertical="center"/>
    </xf>
    <xf numFmtId="0" fontId="97" fillId="0" borderId="12" xfId="11" applyFont="1" applyFill="1" applyBorder="1" applyAlignment="1">
      <alignment horizontal="centerContinuous" vertical="center"/>
    </xf>
    <xf numFmtId="0" fontId="97" fillId="0" borderId="0" xfId="11" applyFont="1" applyFill="1" applyAlignment="1">
      <alignment horizontal="center" vertical="center"/>
    </xf>
    <xf numFmtId="0" fontId="97" fillId="0" borderId="336" xfId="11" applyFont="1" applyFill="1" applyBorder="1" applyAlignment="1">
      <alignment horizontal="center" vertical="center"/>
    </xf>
    <xf numFmtId="0" fontId="97" fillId="0" borderId="347" xfId="11" applyFont="1" applyFill="1" applyBorder="1" applyAlignment="1">
      <alignment horizontal="centerContinuous" vertical="center"/>
    </xf>
    <xf numFmtId="0" fontId="89" fillId="0" borderId="0" xfId="11" applyFont="1" applyFill="1" applyBorder="1" applyAlignment="1">
      <alignment horizontal="center" vertical="center"/>
    </xf>
    <xf numFmtId="0" fontId="97" fillId="0" borderId="230" xfId="11" applyFont="1" applyFill="1" applyBorder="1" applyAlignment="1">
      <alignment horizontal="center" vertical="center"/>
    </xf>
    <xf numFmtId="0" fontId="97" fillId="0" borderId="12" xfId="11" applyFont="1" applyFill="1" applyBorder="1" applyAlignment="1">
      <alignment horizontal="center" vertical="center"/>
    </xf>
    <xf numFmtId="0" fontId="97" fillId="0" borderId="558" xfId="11" applyFont="1" applyFill="1" applyBorder="1" applyAlignment="1">
      <alignment horizontal="center" vertical="center"/>
    </xf>
    <xf numFmtId="0" fontId="97" fillId="0" borderId="547" xfId="11" applyFont="1" applyFill="1" applyBorder="1" applyAlignment="1">
      <alignment horizontal="center" vertical="center"/>
    </xf>
    <xf numFmtId="0" fontId="97" fillId="0" borderId="559" xfId="11" applyFont="1" applyFill="1" applyBorder="1" applyAlignment="1">
      <alignment horizontal="center" vertical="center"/>
    </xf>
    <xf numFmtId="0" fontId="98" fillId="0" borderId="0" xfId="11" applyFont="1" applyFill="1" applyAlignment="1">
      <alignment vertical="center"/>
    </xf>
    <xf numFmtId="0" fontId="94" fillId="0" borderId="462" xfId="11" applyFont="1" applyFill="1" applyBorder="1" applyAlignment="1">
      <alignment horizontal="center" vertical="center"/>
    </xf>
    <xf numFmtId="0" fontId="94" fillId="0" borderId="463" xfId="11" applyFont="1" applyFill="1" applyBorder="1" applyAlignment="1">
      <alignment horizontal="centerContinuous" vertical="center"/>
    </xf>
    <xf numFmtId="0" fontId="94" fillId="0" borderId="463" xfId="11" applyFont="1" applyFill="1" applyBorder="1" applyAlignment="1">
      <alignment vertical="center"/>
    </xf>
    <xf numFmtId="0" fontId="10" fillId="0" borderId="463" xfId="11" applyFont="1" applyFill="1" applyBorder="1" applyAlignment="1">
      <alignment horizontal="centerContinuous" vertical="center"/>
    </xf>
    <xf numFmtId="0" fontId="10" fillId="0" borderId="464" xfId="11" applyFont="1" applyFill="1" applyBorder="1" applyAlignment="1">
      <alignment horizontal="centerContinuous" vertical="center"/>
    </xf>
    <xf numFmtId="39" fontId="10" fillId="0" borderId="463" xfId="11" applyNumberFormat="1" applyFont="1" applyFill="1" applyBorder="1" applyAlignment="1">
      <alignment horizontal="right" vertical="center"/>
    </xf>
    <xf numFmtId="0" fontId="10" fillId="0" borderId="463" xfId="11" applyFont="1" applyFill="1" applyBorder="1" applyAlignment="1">
      <alignment horizontal="center" vertical="center"/>
    </xf>
    <xf numFmtId="0" fontId="10" fillId="0" borderId="465" xfId="11" applyFont="1" applyFill="1" applyBorder="1" applyAlignment="1">
      <alignment horizontal="center" vertical="center"/>
    </xf>
    <xf numFmtId="0" fontId="10" fillId="0" borderId="466" xfId="11" applyFont="1" applyFill="1" applyBorder="1" applyAlignment="1">
      <alignment horizontal="centerContinuous" vertical="center"/>
    </xf>
    <xf numFmtId="39" fontId="10" fillId="0" borderId="464" xfId="11" applyNumberFormat="1" applyFont="1" applyFill="1" applyBorder="1" applyAlignment="1">
      <alignment horizontal="center" vertical="center"/>
    </xf>
    <xf numFmtId="39" fontId="10" fillId="0" borderId="549" xfId="11" applyNumberFormat="1" applyFont="1" applyFill="1" applyBorder="1" applyAlignment="1">
      <alignment vertical="center"/>
    </xf>
    <xf numFmtId="0" fontId="10" fillId="0" borderId="560" xfId="11" applyFont="1" applyFill="1" applyBorder="1" applyAlignment="1">
      <alignment horizontal="center" vertical="center"/>
    </xf>
    <xf numFmtId="0" fontId="10" fillId="0" borderId="567" xfId="11" applyFont="1" applyFill="1" applyBorder="1" applyAlignment="1">
      <alignment horizontal="center" vertical="center"/>
    </xf>
    <xf numFmtId="0" fontId="10" fillId="0" borderId="561" xfId="11" applyFont="1" applyFill="1" applyBorder="1" applyAlignment="1">
      <alignment horizontal="center" vertical="center"/>
    </xf>
    <xf numFmtId="43" fontId="10" fillId="0" borderId="577" xfId="11" applyNumberFormat="1" applyFont="1" applyFill="1" applyBorder="1" applyAlignment="1">
      <alignment horizontal="center" vertical="center"/>
    </xf>
    <xf numFmtId="0" fontId="10" fillId="0" borderId="562" xfId="11" applyFont="1" applyFill="1" applyBorder="1" applyAlignment="1">
      <alignment horizontal="center" vertical="center"/>
    </xf>
    <xf numFmtId="39" fontId="10" fillId="0" borderId="465" xfId="11" applyNumberFormat="1" applyFont="1" applyFill="1" applyBorder="1" applyAlignment="1">
      <alignment horizontal="center" vertical="center"/>
    </xf>
    <xf numFmtId="168" fontId="10" fillId="0" borderId="562" xfId="2" applyNumberFormat="1" applyFont="1" applyFill="1" applyBorder="1" applyAlignment="1">
      <alignment horizontal="center" vertical="center"/>
    </xf>
    <xf numFmtId="9" fontId="89" fillId="0" borderId="0" xfId="21" applyFont="1" applyFill="1" applyAlignment="1">
      <alignment vertical="center"/>
    </xf>
    <xf numFmtId="0" fontId="10" fillId="0" borderId="468" xfId="11" applyFont="1" applyFill="1" applyBorder="1" applyAlignment="1">
      <alignment horizontal="center" vertical="center"/>
    </xf>
    <xf numFmtId="0" fontId="10" fillId="0" borderId="469" xfId="11" applyFont="1" applyFill="1" applyBorder="1" applyAlignment="1">
      <alignment vertical="center"/>
    </xf>
    <xf numFmtId="39" fontId="10" fillId="0" borderId="469" xfId="11" applyNumberFormat="1" applyFont="1" applyFill="1" applyBorder="1" applyAlignment="1">
      <alignment vertical="center"/>
    </xf>
    <xf numFmtId="39" fontId="10" fillId="0" borderId="470" xfId="11" applyNumberFormat="1" applyFont="1" applyFill="1" applyBorder="1" applyAlignment="1">
      <alignment vertical="center"/>
    </xf>
    <xf numFmtId="39" fontId="10" fillId="0" borderId="550" xfId="11" applyNumberFormat="1" applyFont="1" applyFill="1" applyBorder="1" applyAlignment="1">
      <alignment vertical="center"/>
    </xf>
    <xf numFmtId="0" fontId="10" fillId="0" borderId="309" xfId="11" applyFont="1" applyFill="1" applyBorder="1" applyAlignment="1">
      <alignment horizontal="center" vertical="center"/>
    </xf>
    <xf numFmtId="0" fontId="10" fillId="0" borderId="311" xfId="11" applyFont="1" applyFill="1" applyBorder="1" applyAlignment="1">
      <alignment horizontal="center" vertical="center"/>
    </xf>
    <xf numFmtId="9" fontId="89" fillId="0" borderId="563" xfId="21" applyFont="1" applyFill="1" applyBorder="1" applyAlignment="1">
      <alignment horizontal="right" vertical="center"/>
    </xf>
    <xf numFmtId="168" fontId="89" fillId="0" borderId="629" xfId="11" applyNumberFormat="1" applyFont="1" applyFill="1" applyBorder="1" applyAlignment="1">
      <alignment horizontal="center" vertical="center"/>
    </xf>
    <xf numFmtId="0" fontId="94" fillId="0" borderId="474" xfId="11" applyFont="1" applyFill="1" applyBorder="1" applyAlignment="1">
      <alignment horizontal="center" vertical="center"/>
    </xf>
    <xf numFmtId="168" fontId="89" fillId="0" borderId="565" xfId="11" applyNumberFormat="1" applyFont="1" applyFill="1" applyBorder="1" applyAlignment="1">
      <alignment horizontal="center" vertical="center"/>
    </xf>
    <xf numFmtId="0" fontId="10" fillId="0" borderId="577" xfId="11" applyFont="1" applyFill="1" applyBorder="1" applyAlignment="1">
      <alignment horizontal="center" vertical="center"/>
    </xf>
    <xf numFmtId="0" fontId="90" fillId="0" borderId="124" xfId="11" applyFont="1" applyFill="1" applyBorder="1" applyAlignment="1">
      <alignment horizontal="centerContinuous" vertical="center"/>
    </xf>
    <xf numFmtId="0" fontId="90" fillId="0" borderId="125" xfId="11" applyFont="1" applyFill="1" applyBorder="1" applyAlignment="1">
      <alignment horizontal="centerContinuous" vertical="center"/>
    </xf>
    <xf numFmtId="0" fontId="90" fillId="0" borderId="124" xfId="11" applyFont="1" applyFill="1" applyBorder="1" applyAlignment="1">
      <alignment horizontal="center" vertical="center"/>
    </xf>
    <xf numFmtId="0" fontId="90" fillId="0" borderId="126" xfId="11" applyFont="1" applyFill="1" applyBorder="1" applyAlignment="1">
      <alignment horizontal="center" vertical="center"/>
    </xf>
    <xf numFmtId="0" fontId="90" fillId="0" borderId="252" xfId="11" applyFont="1" applyFill="1" applyBorder="1" applyAlignment="1">
      <alignment horizontal="center" vertical="center"/>
    </xf>
    <xf numFmtId="0" fontId="90" fillId="0" borderId="125" xfId="11" applyFont="1" applyFill="1" applyBorder="1" applyAlignment="1">
      <alignment horizontal="center" vertical="center"/>
    </xf>
    <xf numFmtId="0" fontId="90" fillId="0" borderId="127" xfId="11" applyFont="1" applyFill="1" applyBorder="1" applyAlignment="1">
      <alignment horizontal="center" vertical="center"/>
    </xf>
    <xf numFmtId="0" fontId="90" fillId="0" borderId="46" xfId="11" applyFont="1" applyFill="1" applyBorder="1" applyAlignment="1">
      <alignment horizontal="center" vertical="center"/>
    </xf>
    <xf numFmtId="0" fontId="89" fillId="0" borderId="463" xfId="11" applyFont="1" applyFill="1" applyBorder="1" applyAlignment="1">
      <alignment vertical="center"/>
    </xf>
    <xf numFmtId="0" fontId="90" fillId="0" borderId="463" xfId="11" applyFont="1" applyFill="1" applyBorder="1" applyAlignment="1">
      <alignment horizontal="centerContinuous" vertical="center"/>
    </xf>
    <xf numFmtId="0" fontId="90" fillId="0" borderId="464" xfId="11" applyFont="1" applyFill="1" applyBorder="1" applyAlignment="1">
      <alignment horizontal="centerContinuous" vertical="center"/>
    </xf>
    <xf numFmtId="0" fontId="90" fillId="0" borderId="463" xfId="11" applyFont="1" applyFill="1" applyBorder="1" applyAlignment="1">
      <alignment horizontal="center" vertical="center"/>
    </xf>
    <xf numFmtId="0" fontId="90" fillId="0" borderId="465" xfId="11" applyFont="1" applyFill="1" applyBorder="1" applyAlignment="1">
      <alignment horizontal="center" vertical="center"/>
    </xf>
    <xf numFmtId="0" fontId="90" fillId="0" borderId="560" xfId="11" applyFont="1" applyFill="1" applyBorder="1" applyAlignment="1">
      <alignment horizontal="center" vertical="center"/>
    </xf>
    <xf numFmtId="0" fontId="90" fillId="0" borderId="567" xfId="11" applyFont="1" applyFill="1" applyBorder="1" applyAlignment="1">
      <alignment horizontal="center" vertical="center"/>
    </xf>
    <xf numFmtId="0" fontId="90" fillId="0" borderId="561" xfId="11" applyFont="1" applyFill="1" applyBorder="1" applyAlignment="1">
      <alignment horizontal="center" vertical="center"/>
    </xf>
    <xf numFmtId="0" fontId="90" fillId="0" borderId="577" xfId="11" applyFont="1" applyFill="1" applyBorder="1" applyAlignment="1">
      <alignment horizontal="center" vertical="center"/>
    </xf>
    <xf numFmtId="0" fontId="90" fillId="0" borderId="562" xfId="11" applyFont="1" applyFill="1" applyBorder="1" applyAlignment="1">
      <alignment horizontal="center" vertical="center"/>
    </xf>
    <xf numFmtId="39" fontId="10" fillId="0" borderId="463" xfId="11" applyNumberFormat="1" applyFont="1" applyFill="1" applyBorder="1" applyAlignment="1">
      <alignment horizontal="center" vertical="center"/>
    </xf>
    <xf numFmtId="39" fontId="10" fillId="0" borderId="560" xfId="11" applyNumberFormat="1" applyFont="1" applyFill="1" applyBorder="1" applyAlignment="1">
      <alignment horizontal="center" vertical="center"/>
    </xf>
    <xf numFmtId="39" fontId="10" fillId="0" borderId="567" xfId="11" applyNumberFormat="1" applyFont="1" applyFill="1" applyBorder="1" applyAlignment="1">
      <alignment horizontal="center" vertical="center"/>
    </xf>
    <xf numFmtId="39" fontId="10" fillId="0" borderId="561" xfId="11" applyNumberFormat="1" applyFont="1" applyFill="1" applyBorder="1" applyAlignment="1">
      <alignment horizontal="center" vertical="center"/>
    </xf>
    <xf numFmtId="39" fontId="10" fillId="0" borderId="577" xfId="11" applyNumberFormat="1" applyFont="1" applyFill="1" applyBorder="1" applyAlignment="1">
      <alignment horizontal="center" vertical="center"/>
    </xf>
    <xf numFmtId="39" fontId="10" fillId="0" borderId="562" xfId="11" applyNumberFormat="1" applyFont="1" applyFill="1" applyBorder="1" applyAlignment="1">
      <alignment horizontal="center" vertical="center"/>
    </xf>
    <xf numFmtId="0" fontId="89" fillId="0" borderId="462" xfId="11" applyFont="1" applyFill="1" applyBorder="1" applyAlignment="1">
      <alignment horizontal="center" vertical="center"/>
    </xf>
    <xf numFmtId="0" fontId="89" fillId="0" borderId="463" xfId="11" applyFont="1" applyFill="1" applyBorder="1" applyAlignment="1">
      <alignment horizontal="centerContinuous" vertical="center"/>
    </xf>
    <xf numFmtId="39" fontId="10" fillId="0" borderId="124" xfId="11" applyNumberFormat="1" applyFont="1" applyFill="1" applyBorder="1" applyAlignment="1">
      <alignment vertical="center"/>
    </xf>
    <xf numFmtId="168" fontId="89" fillId="0" borderId="0" xfId="2" applyNumberFormat="1" applyFont="1" applyFill="1" applyAlignment="1">
      <alignment vertical="center"/>
    </xf>
    <xf numFmtId="0" fontId="10" fillId="0" borderId="474" xfId="11" applyFont="1" applyFill="1" applyBorder="1" applyAlignment="1">
      <alignment horizontal="center" vertical="center"/>
    </xf>
    <xf numFmtId="0" fontId="10" fillId="0" borderId="124" xfId="11" applyFont="1" applyFill="1" applyBorder="1" applyAlignment="1">
      <alignment vertical="center"/>
    </xf>
    <xf numFmtId="39" fontId="10" fillId="0" borderId="125" xfId="11" applyNumberFormat="1" applyFont="1" applyFill="1" applyBorder="1" applyAlignment="1">
      <alignment vertical="center"/>
    </xf>
    <xf numFmtId="0" fontId="90" fillId="0" borderId="462" xfId="11" applyFont="1" applyFill="1" applyBorder="1" applyAlignment="1">
      <alignment horizontal="center" vertical="center"/>
    </xf>
    <xf numFmtId="0" fontId="90" fillId="0" borderId="474" xfId="11" applyFont="1" applyFill="1" applyBorder="1" applyAlignment="1">
      <alignment horizontal="center" vertical="center"/>
    </xf>
    <xf numFmtId="0" fontId="94" fillId="0" borderId="462" xfId="30" applyFont="1" applyFill="1" applyBorder="1" applyAlignment="1">
      <alignment horizontal="center" vertical="center"/>
    </xf>
    <xf numFmtId="0" fontId="94" fillId="0" borderId="124" xfId="30" applyFont="1" applyFill="1" applyBorder="1" applyAlignment="1">
      <alignment horizontal="centerContinuous" vertical="center"/>
    </xf>
    <xf numFmtId="0" fontId="94" fillId="0" borderId="124" xfId="30" applyFont="1" applyFill="1" applyBorder="1" applyAlignment="1">
      <alignment vertical="center"/>
    </xf>
    <xf numFmtId="0" fontId="10" fillId="0" borderId="124" xfId="30" applyFont="1" applyFill="1" applyBorder="1" applyAlignment="1">
      <alignment horizontal="centerContinuous" vertical="center"/>
    </xf>
    <xf numFmtId="0" fontId="10" fillId="0" borderId="125" xfId="30" applyFont="1" applyFill="1" applyBorder="1" applyAlignment="1">
      <alignment horizontal="centerContinuous" vertical="center"/>
    </xf>
    <xf numFmtId="0" fontId="10" fillId="0" borderId="124" xfId="30" applyFont="1" applyFill="1" applyBorder="1" applyAlignment="1">
      <alignment horizontal="center" vertical="center"/>
    </xf>
    <xf numFmtId="0" fontId="10" fillId="0" borderId="126" xfId="30" applyFont="1" applyFill="1" applyBorder="1" applyAlignment="1">
      <alignment horizontal="center" vertical="center"/>
    </xf>
    <xf numFmtId="0" fontId="10" fillId="0" borderId="252" xfId="30" applyFont="1" applyFill="1" applyBorder="1" applyAlignment="1">
      <alignment horizontal="center" vertical="center"/>
    </xf>
    <xf numFmtId="0" fontId="10" fillId="0" borderId="125" xfId="30" applyFont="1" applyFill="1" applyBorder="1" applyAlignment="1">
      <alignment horizontal="center" vertical="center"/>
    </xf>
    <xf numFmtId="0" fontId="10" fillId="0" borderId="127" xfId="30" applyFont="1" applyFill="1" applyBorder="1" applyAlignment="1">
      <alignment horizontal="center" vertical="center"/>
    </xf>
    <xf numFmtId="0" fontId="10" fillId="0" borderId="46" xfId="30" applyFont="1" applyFill="1" applyBorder="1" applyAlignment="1">
      <alignment horizontal="center" vertical="center"/>
    </xf>
    <xf numFmtId="0" fontId="10" fillId="0" borderId="462" xfId="30" applyFont="1" applyFill="1" applyBorder="1" applyAlignment="1">
      <alignment horizontal="center" vertical="center"/>
    </xf>
    <xf numFmtId="0" fontId="10" fillId="0" borderId="463" xfId="30" applyFont="1" applyFill="1" applyBorder="1" applyAlignment="1">
      <alignment vertical="center"/>
    </xf>
    <xf numFmtId="39" fontId="10" fillId="0" borderId="124" xfId="11" applyNumberFormat="1" applyFont="1" applyFill="1" applyBorder="1" applyAlignment="1">
      <alignment horizontal="center" vertical="center"/>
    </xf>
    <xf numFmtId="39" fontId="10" fillId="0" borderId="126" xfId="11" applyNumberFormat="1" applyFont="1" applyFill="1" applyBorder="1" applyAlignment="1">
      <alignment horizontal="center" vertical="center"/>
    </xf>
    <xf numFmtId="39" fontId="10" fillId="0" borderId="252" xfId="11" applyNumberFormat="1" applyFont="1" applyFill="1" applyBorder="1" applyAlignment="1">
      <alignment horizontal="center" vertical="center"/>
    </xf>
    <xf numFmtId="39" fontId="10" fillId="0" borderId="125" xfId="11" applyNumberFormat="1" applyFont="1" applyFill="1" applyBorder="1" applyAlignment="1">
      <alignment horizontal="center" vertical="center"/>
    </xf>
    <xf numFmtId="39" fontId="10" fillId="0" borderId="127" xfId="11" applyNumberFormat="1" applyFont="1" applyFill="1" applyBorder="1" applyAlignment="1">
      <alignment horizontal="center" vertical="center"/>
    </xf>
    <xf numFmtId="39" fontId="10" fillId="0" borderId="46" xfId="11" applyNumberFormat="1" applyFont="1" applyFill="1" applyBorder="1" applyAlignment="1">
      <alignment horizontal="center" vertical="center"/>
    </xf>
    <xf numFmtId="0" fontId="97" fillId="0" borderId="11" xfId="11" applyFont="1" applyFill="1" applyBorder="1" applyAlignment="1">
      <alignment horizontal="center" vertical="center"/>
    </xf>
    <xf numFmtId="0" fontId="97" fillId="0" borderId="0" xfId="11" applyFont="1" applyFill="1" applyAlignment="1">
      <alignment horizontal="left" vertical="center"/>
    </xf>
    <xf numFmtId="0" fontId="97" fillId="0" borderId="563" xfId="11" applyFont="1" applyFill="1" applyBorder="1" applyAlignment="1">
      <alignment horizontal="center" vertical="center"/>
    </xf>
    <xf numFmtId="0" fontId="97" fillId="0" borderId="564" xfId="11" applyFont="1" applyFill="1" applyBorder="1" applyAlignment="1">
      <alignment horizontal="center" vertical="center"/>
    </xf>
    <xf numFmtId="0" fontId="97" fillId="0" borderId="578" xfId="11" applyFont="1" applyFill="1" applyBorder="1" applyAlignment="1">
      <alignment horizontal="center" vertical="center"/>
    </xf>
    <xf numFmtId="0" fontId="97" fillId="0" borderId="565" xfId="11" applyFont="1" applyFill="1" applyBorder="1" applyAlignment="1">
      <alignment horizontal="center" vertical="center"/>
    </xf>
    <xf numFmtId="39" fontId="10" fillId="0" borderId="604" xfId="11" applyNumberFormat="1" applyFont="1" applyFill="1" applyBorder="1" applyAlignment="1">
      <alignment vertical="center"/>
    </xf>
    <xf numFmtId="39" fontId="10" fillId="0" borderId="605" xfId="11" applyNumberFormat="1" applyFont="1" applyFill="1" applyBorder="1" applyAlignment="1">
      <alignment horizontal="center" vertical="center"/>
    </xf>
    <xf numFmtId="0" fontId="10" fillId="0" borderId="606" xfId="11" applyFont="1" applyFill="1" applyBorder="1" applyAlignment="1">
      <alignment horizontal="centerContinuous" vertical="center"/>
    </xf>
    <xf numFmtId="168" fontId="10" fillId="0" borderId="609" xfId="2" applyNumberFormat="1" applyFont="1" applyFill="1" applyBorder="1" applyAlignment="1">
      <alignment horizontal="center" vertical="center"/>
    </xf>
    <xf numFmtId="41" fontId="10" fillId="0" borderId="0" xfId="11" applyNumberFormat="1" applyFont="1" applyFill="1" applyAlignment="1">
      <alignment vertical="center"/>
    </xf>
    <xf numFmtId="0" fontId="10" fillId="0" borderId="593" xfId="11" applyFont="1" applyFill="1" applyBorder="1" applyAlignment="1">
      <alignment horizontal="center" vertical="center"/>
    </xf>
    <xf numFmtId="0" fontId="10" fillId="0" borderId="576" xfId="11" applyFont="1" applyFill="1" applyBorder="1" applyAlignment="1">
      <alignment vertical="center"/>
    </xf>
    <xf numFmtId="0" fontId="10" fillId="0" borderId="548" xfId="11" applyFont="1" applyFill="1" applyBorder="1" applyAlignment="1">
      <alignment vertical="center"/>
    </xf>
    <xf numFmtId="39" fontId="10" fillId="0" borderId="566" xfId="11" applyNumberFormat="1" applyFont="1" applyFill="1" applyBorder="1" applyAlignment="1">
      <alignment vertical="center"/>
    </xf>
    <xf numFmtId="0" fontId="10" fillId="0" borderId="566" xfId="11" applyFont="1" applyFill="1" applyBorder="1" applyAlignment="1">
      <alignment vertical="center"/>
    </xf>
    <xf numFmtId="0" fontId="10" fillId="0" borderId="554" xfId="11" applyFont="1" applyFill="1" applyBorder="1" applyAlignment="1">
      <alignment horizontal="center" vertical="center"/>
    </xf>
    <xf numFmtId="39" fontId="90" fillId="0" borderId="0" xfId="11" applyNumberFormat="1" applyFont="1" applyFill="1" applyAlignment="1">
      <alignment horizontal="center" vertical="center"/>
    </xf>
    <xf numFmtId="0" fontId="10" fillId="0" borderId="634" xfId="11" applyFont="1" applyFill="1" applyBorder="1" applyAlignment="1">
      <alignment horizontal="center" vertical="center"/>
    </xf>
    <xf numFmtId="0" fontId="10" fillId="0" borderId="635" xfId="11" applyFont="1" applyFill="1" applyBorder="1" applyAlignment="1">
      <alignment vertical="center"/>
    </xf>
    <xf numFmtId="39" fontId="10" fillId="0" borderId="635" xfId="11" applyNumberFormat="1" applyFont="1" applyFill="1" applyBorder="1" applyAlignment="1">
      <alignment vertical="center"/>
    </xf>
    <xf numFmtId="39" fontId="10" fillId="0" borderId="636" xfId="11" applyNumberFormat="1" applyFont="1" applyFill="1" applyBorder="1" applyAlignment="1">
      <alignment vertical="center"/>
    </xf>
    <xf numFmtId="39" fontId="10" fillId="0" borderId="637" xfId="11" applyNumberFormat="1" applyFont="1" applyFill="1" applyBorder="1" applyAlignment="1">
      <alignment horizontal="center" vertical="center"/>
    </xf>
    <xf numFmtId="0" fontId="10" fillId="0" borderId="638" xfId="11" applyFont="1" applyFill="1" applyBorder="1" applyAlignment="1">
      <alignment horizontal="centerContinuous" vertical="center"/>
    </xf>
    <xf numFmtId="168" fontId="10" fillId="0" borderId="639" xfId="2" applyNumberFormat="1" applyFont="1" applyFill="1" applyBorder="1" applyAlignment="1">
      <alignment horizontal="center" vertical="center"/>
    </xf>
    <xf numFmtId="43" fontId="101" fillId="0" borderId="0" xfId="11" applyNumberFormat="1" applyFont="1" applyFill="1" applyAlignment="1">
      <alignment vertical="center"/>
    </xf>
    <xf numFmtId="41" fontId="93" fillId="0" borderId="0" xfId="2" applyFont="1" applyFill="1" applyAlignment="1">
      <alignment horizontal="center" vertical="center"/>
    </xf>
    <xf numFmtId="43" fontId="94" fillId="0" borderId="0" xfId="1" applyFont="1" applyFill="1" applyAlignment="1">
      <alignment vertical="center"/>
    </xf>
    <xf numFmtId="41" fontId="101" fillId="0" borderId="0" xfId="2" applyFont="1" applyFill="1" applyAlignment="1">
      <alignment vertical="center"/>
    </xf>
    <xf numFmtId="39" fontId="10" fillId="0" borderId="346" xfId="11" applyNumberFormat="1" applyFont="1" applyFill="1" applyBorder="1" applyAlignment="1">
      <alignment vertical="center"/>
    </xf>
    <xf numFmtId="0" fontId="94" fillId="0" borderId="0" xfId="11" applyFont="1" applyFill="1" applyBorder="1" applyAlignment="1">
      <alignment horizontal="centerContinuous" vertical="center"/>
    </xf>
    <xf numFmtId="0" fontId="94" fillId="0" borderId="586" xfId="11" applyFont="1" applyFill="1" applyBorder="1" applyAlignment="1">
      <alignment horizontal="centerContinuous" vertical="center"/>
    </xf>
    <xf numFmtId="0" fontId="94" fillId="0" borderId="0" xfId="11" applyFont="1" applyFill="1" applyBorder="1" applyAlignment="1">
      <alignment horizontal="center" vertical="center"/>
    </xf>
    <xf numFmtId="0" fontId="94" fillId="0" borderId="586" xfId="11" applyFont="1" applyFill="1" applyBorder="1" applyAlignment="1">
      <alignment horizontal="center" vertical="center"/>
    </xf>
    <xf numFmtId="0" fontId="94" fillId="0" borderId="0" xfId="11" applyFont="1" applyFill="1" applyBorder="1" applyAlignment="1">
      <alignment horizontal="left" vertical="center"/>
    </xf>
    <xf numFmtId="0" fontId="94" fillId="0" borderId="559" xfId="11" applyFont="1" applyFill="1" applyBorder="1" applyAlignment="1">
      <alignment horizontal="center" vertical="center"/>
    </xf>
    <xf numFmtId="0" fontId="95" fillId="0" borderId="0" xfId="11" applyFont="1" applyFill="1" applyBorder="1" applyAlignment="1">
      <alignment vertical="center"/>
    </xf>
    <xf numFmtId="0" fontId="95" fillId="0" borderId="586" xfId="11" applyFont="1" applyFill="1" applyBorder="1" applyAlignment="1">
      <alignment vertical="center"/>
    </xf>
    <xf numFmtId="0" fontId="95" fillId="0" borderId="0" xfId="11" applyFont="1" applyFill="1" applyBorder="1" applyAlignment="1">
      <alignment horizontal="center" vertical="center"/>
    </xf>
    <xf numFmtId="0" fontId="95" fillId="0" borderId="586" xfId="11" applyFont="1" applyFill="1" applyBorder="1" applyAlignment="1">
      <alignment horizontal="center" vertical="center"/>
    </xf>
    <xf numFmtId="0" fontId="95" fillId="0" borderId="0" xfId="11" applyFont="1" applyFill="1" applyBorder="1" applyAlignment="1">
      <alignment horizontal="centerContinuous" vertical="center"/>
    </xf>
    <xf numFmtId="0" fontId="95" fillId="0" borderId="586" xfId="11" applyFont="1" applyFill="1" applyBorder="1" applyAlignment="1">
      <alignment horizontal="centerContinuous" vertical="center"/>
    </xf>
    <xf numFmtId="0" fontId="95" fillId="0" borderId="559" xfId="11" applyFont="1" applyFill="1" applyBorder="1" applyAlignment="1">
      <alignment horizontal="center" vertical="center"/>
    </xf>
    <xf numFmtId="0" fontId="94" fillId="0" borderId="593" xfId="11" quotePrefix="1" applyFont="1" applyFill="1" applyBorder="1" applyAlignment="1">
      <alignment horizontal="center" vertical="center"/>
    </xf>
    <xf numFmtId="0" fontId="94" fillId="0" borderId="548" xfId="11" applyFont="1" applyFill="1" applyBorder="1" applyAlignment="1">
      <alignment horizontal="centerContinuous" vertical="center"/>
    </xf>
    <xf numFmtId="0" fontId="94" fillId="0" borderId="548" xfId="11" applyFont="1" applyFill="1" applyBorder="1" applyAlignment="1">
      <alignment horizontal="center" vertical="center"/>
    </xf>
    <xf numFmtId="41" fontId="94" fillId="0" borderId="548" xfId="2" quotePrefix="1" applyFont="1" applyFill="1" applyBorder="1" applyAlignment="1" applyProtection="1">
      <alignment horizontal="center" vertical="center"/>
    </xf>
    <xf numFmtId="0" fontId="94" fillId="0" borderId="548" xfId="11" applyFont="1" applyFill="1" applyBorder="1" applyAlignment="1">
      <alignment horizontal="right" vertical="center"/>
    </xf>
    <xf numFmtId="0" fontId="94" fillId="0" borderId="623" xfId="11" applyFont="1" applyFill="1" applyBorder="1" applyAlignment="1">
      <alignment horizontal="center" vertical="center"/>
    </xf>
    <xf numFmtId="0" fontId="94" fillId="0" borderId="623" xfId="11" applyFont="1" applyFill="1" applyBorder="1" applyAlignment="1">
      <alignment horizontal="centerContinuous" vertical="center"/>
    </xf>
    <xf numFmtId="0" fontId="89" fillId="0" borderId="646" xfId="11" applyFont="1" applyFill="1" applyBorder="1" applyAlignment="1">
      <alignment horizontal="center" vertical="center"/>
    </xf>
    <xf numFmtId="0" fontId="89" fillId="0" borderId="647" xfId="11" applyFont="1" applyFill="1" applyBorder="1" applyAlignment="1">
      <alignment horizontal="center" vertical="center"/>
    </xf>
    <xf numFmtId="0" fontId="10" fillId="0" borderId="627" xfId="11" applyFont="1" applyFill="1" applyBorder="1" applyAlignment="1">
      <alignment horizontal="center" vertical="center"/>
    </xf>
    <xf numFmtId="0" fontId="10" fillId="0" borderId="640" xfId="11" applyFont="1" applyFill="1" applyBorder="1" applyAlignment="1">
      <alignment vertical="center"/>
    </xf>
    <xf numFmtId="39" fontId="10" fillId="0" borderId="640" xfId="11" applyNumberFormat="1" applyFont="1" applyFill="1" applyBorder="1" applyAlignment="1">
      <alignment vertical="center"/>
    </xf>
    <xf numFmtId="39" fontId="10" fillId="0" borderId="643" xfId="11" applyNumberFormat="1" applyFont="1" applyFill="1" applyBorder="1" applyAlignment="1">
      <alignment vertical="center"/>
    </xf>
    <xf numFmtId="39" fontId="10" fillId="0" borderId="642" xfId="11" applyNumberFormat="1" applyFont="1" applyFill="1" applyBorder="1" applyAlignment="1">
      <alignment horizontal="center" vertical="center"/>
    </xf>
    <xf numFmtId="168" fontId="10" fillId="0" borderId="640" xfId="2" applyNumberFormat="1" applyFont="1" applyFill="1" applyBorder="1" applyAlignment="1" applyProtection="1">
      <alignment vertical="center"/>
    </xf>
    <xf numFmtId="0" fontId="10" fillId="0" borderId="644" xfId="11" applyFont="1" applyFill="1" applyBorder="1" applyAlignment="1">
      <alignment horizontal="centerContinuous" vertical="center"/>
    </xf>
    <xf numFmtId="168" fontId="10" fillId="0" borderId="648" xfId="2" applyNumberFormat="1" applyFont="1" applyFill="1" applyBorder="1" applyAlignment="1" applyProtection="1">
      <alignment vertical="center"/>
    </xf>
    <xf numFmtId="0" fontId="10" fillId="0" borderId="649" xfId="11" applyFont="1" applyFill="1" applyBorder="1" applyAlignment="1">
      <alignment horizontal="center" vertical="center"/>
    </xf>
    <xf numFmtId="0" fontId="10" fillId="0" borderId="650" xfId="11" applyFont="1" applyFill="1" applyBorder="1" applyAlignment="1">
      <alignment vertical="center"/>
    </xf>
    <xf numFmtId="39" fontId="10" fillId="0" borderId="650" xfId="11" applyNumberFormat="1" applyFont="1" applyFill="1" applyBorder="1" applyAlignment="1">
      <alignment vertical="center"/>
    </xf>
    <xf numFmtId="39" fontId="10" fillId="0" borderId="651" xfId="11" applyNumberFormat="1" applyFont="1" applyFill="1" applyBorder="1" applyAlignment="1">
      <alignment vertical="center"/>
    </xf>
    <xf numFmtId="168" fontId="10" fillId="0" borderId="650" xfId="2" applyNumberFormat="1" applyFont="1" applyFill="1" applyBorder="1" applyAlignment="1" applyProtection="1">
      <alignment horizontal="right" vertical="center"/>
    </xf>
    <xf numFmtId="39" fontId="10" fillId="0" borderId="650" xfId="11" applyNumberFormat="1" applyFont="1" applyFill="1" applyBorder="1" applyAlignment="1" applyProtection="1">
      <alignment horizontal="center" vertical="center"/>
    </xf>
    <xf numFmtId="39" fontId="10" fillId="0" borderId="652" xfId="11" applyNumberFormat="1" applyFont="1" applyFill="1" applyBorder="1" applyAlignment="1">
      <alignment horizontal="center" vertical="center"/>
    </xf>
    <xf numFmtId="0" fontId="10" fillId="0" borderId="653" xfId="11" applyFont="1" applyFill="1" applyBorder="1" applyAlignment="1">
      <alignment horizontal="centerContinuous" vertical="center"/>
    </xf>
    <xf numFmtId="168" fontId="89" fillId="0" borderId="651" xfId="2" applyNumberFormat="1" applyFont="1" applyFill="1" applyBorder="1" applyAlignment="1" applyProtection="1">
      <alignment vertical="center"/>
    </xf>
    <xf numFmtId="168" fontId="10" fillId="0" borderId="654" xfId="2" applyNumberFormat="1" applyFont="1" applyFill="1" applyBorder="1" applyAlignment="1" applyProtection="1">
      <alignment vertical="center"/>
    </xf>
    <xf numFmtId="168" fontId="89" fillId="0" borderId="650" xfId="2" applyNumberFormat="1" applyFont="1" applyFill="1" applyBorder="1" applyAlignment="1" applyProtection="1">
      <alignment horizontal="center" vertical="center"/>
    </xf>
    <xf numFmtId="37" fontId="89" fillId="0" borderId="244" xfId="2" applyNumberFormat="1" applyFont="1" applyFill="1" applyBorder="1" applyAlignment="1" applyProtection="1">
      <alignment horizontal="center" vertical="center"/>
    </xf>
    <xf numFmtId="41" fontId="107" fillId="0" borderId="0" xfId="2" applyFont="1" applyFill="1" applyAlignment="1">
      <alignment vertical="center"/>
    </xf>
    <xf numFmtId="41" fontId="118" fillId="0" borderId="0" xfId="2" applyFont="1" applyFill="1" applyAlignment="1">
      <alignment horizontal="center" vertical="center"/>
    </xf>
    <xf numFmtId="41" fontId="119" fillId="0" borderId="0" xfId="2" applyFont="1" applyFill="1" applyAlignment="1">
      <alignment vertical="center"/>
    </xf>
    <xf numFmtId="0" fontId="33" fillId="0" borderId="0" xfId="0" applyFont="1" applyAlignment="1">
      <alignment horizontal="center"/>
    </xf>
    <xf numFmtId="0" fontId="111" fillId="0" borderId="0" xfId="0" applyFont="1" applyFill="1" applyAlignment="1">
      <alignment horizontal="center" vertical="center"/>
    </xf>
    <xf numFmtId="0" fontId="101" fillId="0" borderId="0" xfId="19" applyNumberFormat="1" applyFont="1" applyFill="1" applyBorder="1" applyAlignment="1" applyProtection="1">
      <alignment horizontal="center" vertical="center"/>
    </xf>
    <xf numFmtId="0" fontId="101" fillId="0" borderId="12" xfId="19" applyNumberFormat="1" applyFont="1" applyFill="1" applyBorder="1" applyAlignment="1" applyProtection="1">
      <alignment horizontal="center" vertical="center"/>
    </xf>
    <xf numFmtId="0" fontId="108" fillId="0" borderId="36" xfId="0" applyFont="1" applyFill="1" applyBorder="1" applyAlignment="1">
      <alignment horizontal="center" vertical="center"/>
    </xf>
    <xf numFmtId="0" fontId="108" fillId="0" borderId="24" xfId="0" applyFont="1" applyFill="1" applyBorder="1" applyAlignment="1">
      <alignment horizontal="center" vertical="center"/>
    </xf>
    <xf numFmtId="0" fontId="108" fillId="0" borderId="8" xfId="0" applyFont="1" applyFill="1" applyBorder="1" applyAlignment="1">
      <alignment horizontal="center" vertical="center"/>
    </xf>
    <xf numFmtId="0" fontId="108" fillId="0" borderId="25" xfId="0" applyFont="1" applyFill="1" applyBorder="1" applyAlignment="1">
      <alignment horizontal="center" vertical="center"/>
    </xf>
    <xf numFmtId="0" fontId="108" fillId="0" borderId="10" xfId="0" applyFont="1" applyFill="1" applyBorder="1" applyAlignment="1">
      <alignment horizontal="center" vertical="center"/>
    </xf>
    <xf numFmtId="0" fontId="108" fillId="0" borderId="9" xfId="0" applyFont="1" applyFill="1" applyBorder="1" applyAlignment="1">
      <alignment horizontal="center" vertical="center"/>
    </xf>
    <xf numFmtId="0" fontId="108" fillId="0" borderId="1" xfId="0" applyFont="1" applyFill="1" applyBorder="1" applyAlignment="1">
      <alignment horizontal="center" vertical="center"/>
    </xf>
    <xf numFmtId="0" fontId="108" fillId="0" borderId="2" xfId="0" applyFont="1" applyFill="1" applyBorder="1" applyAlignment="1">
      <alignment horizontal="center" vertical="center"/>
    </xf>
    <xf numFmtId="0" fontId="108" fillId="0" borderId="3" xfId="0" applyFont="1" applyFill="1" applyBorder="1" applyAlignment="1">
      <alignment horizontal="center" vertical="center"/>
    </xf>
    <xf numFmtId="0" fontId="108" fillId="0" borderId="324" xfId="0" applyFont="1" applyFill="1" applyBorder="1" applyAlignment="1">
      <alignment horizontal="center" vertical="center"/>
    </xf>
    <xf numFmtId="0" fontId="108" fillId="0" borderId="325" xfId="0" applyFont="1" applyFill="1" applyBorder="1" applyAlignment="1">
      <alignment horizontal="center" vertical="center"/>
    </xf>
    <xf numFmtId="0" fontId="108" fillId="0" borderId="536" xfId="0" applyFont="1" applyFill="1" applyBorder="1" applyAlignment="1">
      <alignment horizontal="center" vertical="center"/>
    </xf>
    <xf numFmtId="0" fontId="108" fillId="0" borderId="505" xfId="0" applyFont="1" applyFill="1" applyBorder="1" applyAlignment="1">
      <alignment horizontal="center" vertical="center"/>
    </xf>
    <xf numFmtId="0" fontId="108" fillId="0" borderId="323" xfId="0" applyFont="1" applyFill="1" applyBorder="1" applyAlignment="1">
      <alignment horizontal="center" vertical="center"/>
    </xf>
    <xf numFmtId="0" fontId="108" fillId="0" borderId="535" xfId="0" applyFont="1" applyFill="1" applyBorder="1" applyAlignment="1">
      <alignment horizontal="center" vertical="center"/>
    </xf>
    <xf numFmtId="166" fontId="108" fillId="0" borderId="1" xfId="0" applyNumberFormat="1" applyFont="1" applyFill="1" applyBorder="1" applyAlignment="1">
      <alignment horizontal="center" vertical="center"/>
    </xf>
    <xf numFmtId="166" fontId="108" fillId="0" borderId="2" xfId="0" applyNumberFormat="1" applyFont="1" applyFill="1" applyBorder="1" applyAlignment="1">
      <alignment horizontal="center" vertical="center"/>
    </xf>
    <xf numFmtId="166" fontId="108" fillId="0" borderId="3" xfId="0" applyNumberFormat="1" applyFont="1" applyFill="1" applyBorder="1" applyAlignment="1">
      <alignment horizontal="center" vertical="center"/>
    </xf>
    <xf numFmtId="0" fontId="101" fillId="0" borderId="0" xfId="0" applyFont="1" applyFill="1" applyAlignment="1">
      <alignment horizontal="center" vertical="center"/>
    </xf>
    <xf numFmtId="0" fontId="90" fillId="0" borderId="36" xfId="0" applyFont="1" applyFill="1" applyBorder="1" applyAlignment="1">
      <alignment horizontal="center" vertical="center"/>
    </xf>
    <xf numFmtId="0" fontId="90" fillId="0" borderId="24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90" fillId="0" borderId="25" xfId="0" applyFont="1" applyFill="1" applyBorder="1" applyAlignment="1">
      <alignment horizontal="center" vertical="center"/>
    </xf>
    <xf numFmtId="0" fontId="90" fillId="0" borderId="10" xfId="0" applyFont="1" applyFill="1" applyBorder="1" applyAlignment="1">
      <alignment horizontal="center" vertical="center"/>
    </xf>
    <xf numFmtId="0" fontId="90" fillId="0" borderId="9" xfId="0" applyFont="1" applyFill="1" applyBorder="1" applyAlignment="1">
      <alignment horizontal="center" vertical="center"/>
    </xf>
    <xf numFmtId="0" fontId="90" fillId="0" borderId="1" xfId="0" applyFont="1" applyFill="1" applyBorder="1" applyAlignment="1">
      <alignment horizontal="center" vertical="center"/>
    </xf>
    <xf numFmtId="0" fontId="90" fillId="0" borderId="2" xfId="0" applyFont="1" applyFill="1" applyBorder="1" applyAlignment="1">
      <alignment horizontal="center" vertical="center"/>
    </xf>
    <xf numFmtId="0" fontId="90" fillId="0" borderId="3" xfId="0" applyFont="1" applyFill="1" applyBorder="1" applyAlignment="1">
      <alignment horizontal="center" vertical="center"/>
    </xf>
    <xf numFmtId="0" fontId="108" fillId="0" borderId="323" xfId="33" applyFont="1" applyBorder="1" applyAlignment="1">
      <alignment horizontal="center" vertical="center"/>
    </xf>
    <xf numFmtId="0" fontId="108" fillId="0" borderId="340" xfId="33" applyFont="1" applyBorder="1" applyAlignment="1">
      <alignment horizontal="center" vertical="center"/>
    </xf>
    <xf numFmtId="0" fontId="108" fillId="0" borderId="3" xfId="33" applyFont="1" applyBorder="1" applyAlignment="1">
      <alignment horizontal="center" vertical="center"/>
    </xf>
    <xf numFmtId="0" fontId="108" fillId="0" borderId="106" xfId="0" applyFont="1" applyBorder="1" applyAlignment="1">
      <alignment horizontal="center" vertical="center"/>
    </xf>
    <xf numFmtId="0" fontId="108" fillId="0" borderId="107" xfId="0" applyFont="1" applyBorder="1" applyAlignment="1">
      <alignment horizontal="center" vertical="center"/>
    </xf>
    <xf numFmtId="0" fontId="108" fillId="0" borderId="536" xfId="0" applyFont="1" applyBorder="1" applyAlignment="1">
      <alignment horizontal="center" vertical="center"/>
    </xf>
    <xf numFmtId="0" fontId="108" fillId="0" borderId="505" xfId="0" applyFont="1" applyBorder="1" applyAlignment="1">
      <alignment horizontal="center" vertical="center"/>
    </xf>
    <xf numFmtId="0" fontId="108" fillId="0" borderId="10" xfId="0" applyFont="1" applyBorder="1" applyAlignment="1">
      <alignment horizontal="center" vertical="center"/>
    </xf>
    <xf numFmtId="0" fontId="108" fillId="0" borderId="9" xfId="0" applyFont="1" applyBorder="1" applyAlignment="1">
      <alignment horizontal="center" vertical="center"/>
    </xf>
    <xf numFmtId="0" fontId="108" fillId="0" borderId="84" xfId="0" applyFont="1" applyBorder="1" applyAlignment="1">
      <alignment horizontal="center" vertical="center"/>
    </xf>
    <xf numFmtId="0" fontId="108" fillId="0" borderId="535" xfId="0" applyFont="1" applyBorder="1" applyAlignment="1">
      <alignment horizontal="center" vertical="center"/>
    </xf>
    <xf numFmtId="0" fontId="108" fillId="0" borderId="3" xfId="0" applyFont="1" applyBorder="1" applyAlignment="1">
      <alignment horizontal="center" vertical="center"/>
    </xf>
    <xf numFmtId="0" fontId="108" fillId="0" borderId="319" xfId="0" applyFont="1" applyFill="1" applyBorder="1" applyAlignment="1">
      <alignment horizontal="center" vertical="center"/>
    </xf>
    <xf numFmtId="0" fontId="108" fillId="0" borderId="320" xfId="0" applyFont="1" applyFill="1" applyBorder="1" applyAlignment="1">
      <alignment horizontal="center" vertical="center"/>
    </xf>
    <xf numFmtId="0" fontId="108" fillId="0" borderId="321" xfId="0" applyFont="1" applyFill="1" applyBorder="1" applyAlignment="1">
      <alignment horizontal="center" vertical="center"/>
    </xf>
    <xf numFmtId="0" fontId="65" fillId="0" borderId="281" xfId="0" applyFont="1" applyBorder="1" applyAlignment="1">
      <alignment horizontal="center" vertical="center" wrapText="1"/>
    </xf>
    <xf numFmtId="0" fontId="65" fillId="0" borderId="2" xfId="0" applyFont="1" applyBorder="1" applyAlignment="1">
      <alignment horizontal="center" vertical="center" wrapText="1"/>
    </xf>
    <xf numFmtId="0" fontId="65" fillId="0" borderId="3" xfId="0" applyFont="1" applyBorder="1" applyAlignment="1">
      <alignment horizontal="center" vertical="center" wrapText="1"/>
    </xf>
    <xf numFmtId="43" fontId="65" fillId="0" borderId="281" xfId="1" applyFont="1" applyBorder="1" applyAlignment="1">
      <alignment horizontal="center" vertical="center" wrapText="1"/>
    </xf>
    <xf numFmtId="43" fontId="65" fillId="0" borderId="2" xfId="1" applyFont="1" applyBorder="1" applyAlignment="1">
      <alignment horizontal="center" vertical="center" wrapText="1"/>
    </xf>
    <xf numFmtId="43" fontId="65" fillId="0" borderId="3" xfId="1" applyFont="1" applyBorder="1" applyAlignment="1">
      <alignment horizontal="center" vertical="center" wrapText="1"/>
    </xf>
    <xf numFmtId="43" fontId="65" fillId="0" borderId="281" xfId="0" applyNumberFormat="1" applyFont="1" applyBorder="1" applyAlignment="1">
      <alignment horizontal="center" vertical="center" wrapText="1"/>
    </xf>
    <xf numFmtId="0" fontId="74" fillId="0" borderId="0" xfId="0" applyFont="1" applyAlignment="1">
      <alignment horizontal="center"/>
    </xf>
    <xf numFmtId="0" fontId="72" fillId="0" borderId="282" xfId="0" applyFont="1" applyBorder="1" applyAlignment="1">
      <alignment horizontal="center" vertical="center" wrapText="1"/>
    </xf>
    <xf numFmtId="0" fontId="72" fillId="0" borderId="285" xfId="0" applyFont="1" applyBorder="1" applyAlignment="1">
      <alignment horizontal="center" vertical="center" wrapText="1"/>
    </xf>
    <xf numFmtId="0" fontId="72" fillId="0" borderId="283" xfId="0" applyFont="1" applyBorder="1" applyAlignment="1">
      <alignment horizontal="center" vertical="center" wrapText="1"/>
    </xf>
    <xf numFmtId="0" fontId="72" fillId="0" borderId="278" xfId="0" applyFont="1" applyBorder="1" applyAlignment="1">
      <alignment horizontal="center" vertical="center" wrapText="1"/>
    </xf>
    <xf numFmtId="0" fontId="72" fillId="0" borderId="284" xfId="0" applyFont="1" applyBorder="1" applyAlignment="1">
      <alignment horizontal="center" vertical="center" wrapText="1"/>
    </xf>
    <xf numFmtId="0" fontId="72" fillId="0" borderId="286" xfId="0" applyFont="1" applyBorder="1" applyAlignment="1">
      <alignment horizontal="center" vertical="center" wrapText="1"/>
    </xf>
    <xf numFmtId="0" fontId="109" fillId="0" borderId="145" xfId="0" applyFont="1" applyBorder="1" applyAlignment="1">
      <alignment horizontal="center" vertical="center"/>
    </xf>
    <xf numFmtId="0" fontId="109" fillId="0" borderId="146" xfId="0" applyFont="1" applyBorder="1" applyAlignment="1">
      <alignment horizontal="center" vertical="center"/>
    </xf>
    <xf numFmtId="0" fontId="109" fillId="0" borderId="147" xfId="0" applyFont="1" applyBorder="1" applyAlignment="1">
      <alignment horizontal="center" vertical="center"/>
    </xf>
    <xf numFmtId="0" fontId="108" fillId="0" borderId="148" xfId="0" applyFont="1" applyBorder="1" applyAlignment="1">
      <alignment horizontal="center" vertical="center"/>
    </xf>
    <xf numFmtId="0" fontId="108" fillId="0" borderId="149" xfId="0" applyFont="1" applyBorder="1" applyAlignment="1">
      <alignment horizontal="center" vertical="center"/>
    </xf>
    <xf numFmtId="0" fontId="108" fillId="0" borderId="150" xfId="0" applyFont="1" applyBorder="1" applyAlignment="1">
      <alignment horizontal="center" vertical="center"/>
    </xf>
    <xf numFmtId="0" fontId="94" fillId="0" borderId="0" xfId="0" applyFont="1" applyAlignment="1">
      <alignment horizontal="center"/>
    </xf>
    <xf numFmtId="0" fontId="4" fillId="0" borderId="82" xfId="0" quotePrefix="1" applyFont="1" applyBorder="1" applyAlignment="1">
      <alignment horizontal="center"/>
    </xf>
    <xf numFmtId="0" fontId="4" fillId="0" borderId="83" xfId="0" applyFont="1" applyBorder="1" applyAlignment="1">
      <alignment horizontal="center"/>
    </xf>
    <xf numFmtId="0" fontId="4" fillId="0" borderId="89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4" fillId="0" borderId="81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4" fillId="0" borderId="114" xfId="0" applyFont="1" applyBorder="1" applyAlignment="1">
      <alignment horizontal="center" vertical="center"/>
    </xf>
    <xf numFmtId="0" fontId="4" fillId="0" borderId="11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6" xfId="0" applyFont="1" applyBorder="1" applyAlignment="1">
      <alignment horizontal="center" vertical="center"/>
    </xf>
    <xf numFmtId="0" fontId="4" fillId="0" borderId="11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6" xfId="0" applyFont="1" applyBorder="1" applyAlignment="1">
      <alignment horizontal="center" vertical="center" wrapText="1"/>
    </xf>
    <xf numFmtId="43" fontId="101" fillId="0" borderId="507" xfId="36" applyFont="1" applyFill="1" applyBorder="1" applyAlignment="1">
      <alignment horizontal="center" vertical="center" wrapText="1"/>
    </xf>
    <xf numFmtId="43" fontId="101" fillId="0" borderId="512" xfId="36" applyFont="1" applyFill="1" applyBorder="1" applyAlignment="1">
      <alignment horizontal="center" vertical="center" wrapText="1"/>
    </xf>
    <xf numFmtId="43" fontId="101" fillId="0" borderId="510" xfId="36" applyFont="1" applyFill="1" applyBorder="1" applyAlignment="1">
      <alignment horizontal="center" vertical="center"/>
    </xf>
    <xf numFmtId="43" fontId="101" fillId="0" borderId="515" xfId="36" applyFont="1" applyFill="1" applyBorder="1" applyAlignment="1">
      <alignment horizontal="center" vertical="center"/>
    </xf>
    <xf numFmtId="0" fontId="101" fillId="0" borderId="513" xfId="35" applyFont="1" applyBorder="1" applyAlignment="1">
      <alignment horizontal="center" vertical="center"/>
    </xf>
    <xf numFmtId="0" fontId="101" fillId="0" borderId="0" xfId="35" applyFont="1" applyAlignment="1">
      <alignment horizontal="center" vertical="center"/>
    </xf>
    <xf numFmtId="0" fontId="101" fillId="0" borderId="514" xfId="35" applyFont="1" applyBorder="1" applyAlignment="1">
      <alignment horizontal="center" vertical="center"/>
    </xf>
    <xf numFmtId="0" fontId="88" fillId="0" borderId="0" xfId="11" applyFont="1" applyAlignment="1">
      <alignment horizontal="center" vertical="center"/>
    </xf>
    <xf numFmtId="0" fontId="91" fillId="0" borderId="0" xfId="11" applyFont="1" applyAlignment="1">
      <alignment horizontal="center" vertical="center"/>
    </xf>
    <xf numFmtId="168" fontId="89" fillId="0" borderId="480" xfId="31" quotePrefix="1" applyNumberFormat="1" applyFont="1" applyFill="1" applyBorder="1" applyAlignment="1" applyProtection="1">
      <alignment horizontal="right" vertical="center"/>
    </xf>
    <xf numFmtId="168" fontId="89" fillId="0" borderId="481" xfId="31" quotePrefix="1" applyNumberFormat="1" applyFont="1" applyFill="1" applyBorder="1" applyAlignment="1" applyProtection="1">
      <alignment horizontal="right" vertical="center"/>
    </xf>
    <xf numFmtId="168" fontId="94" fillId="0" borderId="480" xfId="31" quotePrefix="1" applyNumberFormat="1" applyFont="1" applyFill="1" applyBorder="1" applyAlignment="1" applyProtection="1">
      <alignment horizontal="right" vertical="center"/>
    </xf>
    <xf numFmtId="168" fontId="94" fillId="0" borderId="481" xfId="31" quotePrefix="1" applyNumberFormat="1" applyFont="1" applyFill="1" applyBorder="1" applyAlignment="1" applyProtection="1">
      <alignment horizontal="right" vertical="center"/>
    </xf>
    <xf numFmtId="0" fontId="65" fillId="0" borderId="0" xfId="11" applyFont="1" applyFill="1" applyAlignment="1">
      <alignment horizontal="center" vertical="center"/>
    </xf>
    <xf numFmtId="0" fontId="66" fillId="0" borderId="0" xfId="11" applyFont="1" applyFill="1" applyAlignment="1" applyProtection="1">
      <alignment horizontal="center" vertical="center"/>
    </xf>
    <xf numFmtId="0" fontId="67" fillId="0" borderId="0" xfId="11" applyFont="1" applyFill="1" applyAlignment="1" applyProtection="1">
      <alignment horizontal="center" vertical="center"/>
    </xf>
    <xf numFmtId="41" fontId="70" fillId="0" borderId="233" xfId="2" quotePrefix="1" applyNumberFormat="1" applyFont="1" applyFill="1" applyBorder="1" applyAlignment="1" applyProtection="1">
      <alignment horizontal="center" vertical="center"/>
    </xf>
    <xf numFmtId="41" fontId="70" fillId="0" borderId="234" xfId="2" quotePrefix="1" applyNumberFormat="1" applyFont="1" applyFill="1" applyBorder="1" applyAlignment="1" applyProtection="1">
      <alignment horizontal="center" vertical="center"/>
    </xf>
    <xf numFmtId="0" fontId="90" fillId="0" borderId="0" xfId="11" applyFont="1" applyFill="1" applyAlignment="1">
      <alignment horizontal="center" vertical="center"/>
    </xf>
    <xf numFmtId="0" fontId="88" fillId="0" borderId="0" xfId="11" applyFont="1" applyFill="1" applyAlignment="1" applyProtection="1">
      <alignment horizontal="center" vertical="center"/>
    </xf>
    <xf numFmtId="0" fontId="103" fillId="0" borderId="0" xfId="11" applyFont="1" applyFill="1" applyAlignment="1" applyProtection="1">
      <alignment horizontal="center" vertical="center"/>
    </xf>
    <xf numFmtId="41" fontId="89" fillId="0" borderId="598" xfId="2" quotePrefix="1" applyNumberFormat="1" applyFont="1" applyFill="1" applyBorder="1" applyAlignment="1" applyProtection="1">
      <alignment horizontal="center" vertical="center"/>
    </xf>
    <xf numFmtId="0" fontId="89" fillId="0" borderId="0" xfId="11" applyFont="1" applyFill="1" applyBorder="1" applyAlignment="1" applyProtection="1">
      <alignment horizontal="center" vertical="center"/>
    </xf>
    <xf numFmtId="0" fontId="89" fillId="0" borderId="586" xfId="11" applyFont="1" applyFill="1" applyBorder="1" applyAlignment="1" applyProtection="1">
      <alignment horizontal="center" vertical="center"/>
    </xf>
    <xf numFmtId="39" fontId="94" fillId="0" borderId="624" xfId="11" applyNumberFormat="1" applyFont="1" applyBorder="1" applyAlignment="1">
      <alignment horizontal="center" vertical="center"/>
    </xf>
    <xf numFmtId="39" fontId="94" fillId="0" borderId="625" xfId="11" applyNumberFormat="1" applyFont="1" applyBorder="1" applyAlignment="1">
      <alignment horizontal="center" vertical="center"/>
    </xf>
    <xf numFmtId="0" fontId="66" fillId="0" borderId="0" xfId="11" applyFont="1" applyAlignment="1">
      <alignment horizontal="center" vertical="center"/>
    </xf>
    <xf numFmtId="0" fontId="80" fillId="0" borderId="0" xfId="11" applyFont="1" applyAlignment="1">
      <alignment horizontal="center" vertical="center"/>
    </xf>
    <xf numFmtId="168" fontId="70" fillId="0" borderId="480" xfId="31" quotePrefix="1" applyNumberFormat="1" applyFont="1" applyFill="1" applyBorder="1" applyAlignment="1" applyProtection="1">
      <alignment horizontal="right" vertical="center"/>
    </xf>
    <xf numFmtId="168" fontId="70" fillId="0" borderId="481" xfId="31" quotePrefix="1" applyNumberFormat="1" applyFont="1" applyFill="1" applyBorder="1" applyAlignment="1" applyProtection="1">
      <alignment horizontal="right" vertical="center"/>
    </xf>
    <xf numFmtId="0" fontId="59" fillId="0" borderId="0" xfId="11" applyFont="1" applyFill="1" applyAlignment="1" applyProtection="1">
      <alignment horizontal="center" vertical="center"/>
    </xf>
    <xf numFmtId="0" fontId="42" fillId="0" borderId="259" xfId="13" applyFont="1" applyFill="1" applyBorder="1" applyAlignment="1">
      <alignment horizontal="center" vertical="center"/>
    </xf>
    <xf numFmtId="0" fontId="42" fillId="0" borderId="260" xfId="13" applyFont="1" applyFill="1" applyBorder="1" applyAlignment="1">
      <alignment horizontal="center" vertical="center"/>
    </xf>
    <xf numFmtId="0" fontId="42" fillId="0" borderId="261" xfId="13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4" fillId="0" borderId="0" xfId="20" applyNumberFormat="1" applyFont="1" applyFill="1" applyBorder="1" applyAlignment="1" applyProtection="1">
      <alignment horizontal="center" vertical="center"/>
    </xf>
    <xf numFmtId="0" fontId="14" fillId="0" borderId="12" xfId="20" applyNumberFormat="1" applyFont="1" applyFill="1" applyBorder="1" applyAlignment="1" applyProtection="1">
      <alignment horizontal="center" vertical="center"/>
    </xf>
    <xf numFmtId="0" fontId="88" fillId="0" borderId="0" xfId="11" applyFont="1" applyFill="1" applyAlignment="1">
      <alignment horizontal="center" vertical="center"/>
    </xf>
    <xf numFmtId="0" fontId="91" fillId="0" borderId="0" xfId="11" applyFont="1" applyFill="1" applyAlignment="1">
      <alignment horizontal="center" vertical="center"/>
    </xf>
    <xf numFmtId="9" fontId="10" fillId="0" borderId="127" xfId="21" applyNumberFormat="1" applyFont="1" applyFill="1" applyBorder="1" applyAlignment="1" applyProtection="1">
      <alignment vertical="center"/>
    </xf>
    <xf numFmtId="9" fontId="89" fillId="0" borderId="578" xfId="21" applyNumberFormat="1" applyFont="1" applyFill="1" applyBorder="1" applyAlignment="1" applyProtection="1">
      <alignment vertical="center"/>
    </xf>
    <xf numFmtId="9" fontId="89" fillId="0" borderId="578" xfId="2" applyNumberFormat="1" applyFont="1" applyFill="1" applyBorder="1" applyAlignment="1" applyProtection="1">
      <alignment vertical="center"/>
    </xf>
    <xf numFmtId="9" fontId="89" fillId="0" borderId="127" xfId="21" applyNumberFormat="1" applyFont="1" applyFill="1" applyBorder="1" applyAlignment="1" applyProtection="1">
      <alignment vertical="center"/>
    </xf>
    <xf numFmtId="0" fontId="120" fillId="0" borderId="0" xfId="11" applyFont="1" applyAlignment="1">
      <alignment vertical="center"/>
    </xf>
    <xf numFmtId="0" fontId="121" fillId="0" borderId="0" xfId="11" applyFont="1" applyAlignment="1">
      <alignment horizontal="center" vertical="center"/>
    </xf>
    <xf numFmtId="0" fontId="122" fillId="0" borderId="0" xfId="11" applyFont="1" applyAlignment="1">
      <alignment horizontal="center" vertical="center"/>
    </xf>
    <xf numFmtId="0" fontId="120" fillId="0" borderId="0" xfId="11" applyFont="1" applyAlignment="1">
      <alignment horizontal="center" vertical="center"/>
    </xf>
    <xf numFmtId="0" fontId="123" fillId="0" borderId="0" xfId="11" applyFont="1" applyAlignment="1">
      <alignment vertical="center"/>
    </xf>
    <xf numFmtId="0" fontId="123" fillId="0" borderId="0" xfId="11" applyFont="1" applyAlignment="1">
      <alignment horizontal="center" vertical="center"/>
    </xf>
    <xf numFmtId="0" fontId="123" fillId="0" borderId="0" xfId="11" applyFont="1" applyAlignment="1">
      <alignment horizontal="left" vertical="center"/>
    </xf>
    <xf numFmtId="171" fontId="120" fillId="0" borderId="0" xfId="11" applyNumberFormat="1" applyFont="1" applyAlignment="1">
      <alignment vertical="center"/>
    </xf>
    <xf numFmtId="39" fontId="120" fillId="0" borderId="0" xfId="11" applyNumberFormat="1" applyFont="1" applyAlignment="1">
      <alignment vertical="center"/>
    </xf>
    <xf numFmtId="43" fontId="120" fillId="0" borderId="0" xfId="27" applyFont="1" applyFill="1" applyAlignment="1">
      <alignment horizontal="center" vertical="center"/>
    </xf>
    <xf numFmtId="0" fontId="79" fillId="0" borderId="0" xfId="0" applyFont="1" applyAlignment="1">
      <alignment vertical="center"/>
    </xf>
    <xf numFmtId="0" fontId="124" fillId="0" borderId="655" xfId="13" applyFont="1" applyBorder="1" applyAlignment="1">
      <alignment horizontal="center" vertical="center"/>
    </xf>
    <xf numFmtId="0" fontId="124" fillId="0" borderId="656" xfId="13" applyFont="1" applyBorder="1" applyAlignment="1">
      <alignment horizontal="center" vertical="center"/>
    </xf>
    <xf numFmtId="0" fontId="124" fillId="0" borderId="657" xfId="13" applyFont="1" applyBorder="1" applyAlignment="1">
      <alignment horizontal="center" vertical="center"/>
    </xf>
    <xf numFmtId="0" fontId="124" fillId="0" borderId="658" xfId="13" applyFont="1" applyBorder="1" applyAlignment="1">
      <alignment horizontal="center" vertical="center"/>
    </xf>
    <xf numFmtId="0" fontId="124" fillId="0" borderId="656" xfId="13" applyFont="1" applyBorder="1" applyAlignment="1">
      <alignment horizontal="center" vertical="center"/>
    </xf>
    <xf numFmtId="0" fontId="124" fillId="0" borderId="657" xfId="13" applyFont="1" applyBorder="1" applyAlignment="1">
      <alignment horizontal="center" vertical="center"/>
    </xf>
    <xf numFmtId="0" fontId="124" fillId="0" borderId="659" xfId="13" applyFont="1" applyBorder="1" applyAlignment="1">
      <alignment horizontal="center" vertical="center"/>
    </xf>
    <xf numFmtId="0" fontId="124" fillId="0" borderId="659" xfId="13" applyFont="1" applyBorder="1" applyAlignment="1">
      <alignment horizontal="center" vertical="center" wrapText="1"/>
    </xf>
    <xf numFmtId="0" fontId="124" fillId="0" borderId="660" xfId="13" applyFont="1" applyBorder="1" applyAlignment="1">
      <alignment horizontal="center" vertical="center" wrapText="1"/>
    </xf>
    <xf numFmtId="0" fontId="79" fillId="0" borderId="661" xfId="13" applyFont="1" applyBorder="1" applyAlignment="1">
      <alignment horizontal="center" vertical="center"/>
    </xf>
    <xf numFmtId="0" fontId="79" fillId="0" borderId="662" xfId="13" applyFont="1" applyBorder="1" applyAlignment="1">
      <alignment vertical="center"/>
    </xf>
    <xf numFmtId="0" fontId="79" fillId="0" borderId="663" xfId="13" applyFont="1" applyBorder="1" applyAlignment="1">
      <alignment vertical="center"/>
    </xf>
    <xf numFmtId="168" fontId="79" fillId="0" borderId="664" xfId="2" applyNumberFormat="1" applyFont="1" applyFill="1" applyBorder="1" applyAlignment="1">
      <alignment horizontal="center" vertical="center"/>
    </xf>
    <xf numFmtId="168" fontId="124" fillId="0" borderId="662" xfId="2" applyNumberFormat="1" applyFont="1" applyFill="1" applyBorder="1" applyAlignment="1">
      <alignment horizontal="center" vertical="center"/>
    </xf>
    <xf numFmtId="168" fontId="124" fillId="0" borderId="665" xfId="2" applyNumberFormat="1" applyFont="1" applyFill="1" applyBorder="1" applyAlignment="1">
      <alignment horizontal="center" vertical="center"/>
    </xf>
    <xf numFmtId="39" fontId="125" fillId="3" borderId="666" xfId="13" applyNumberFormat="1" applyFont="1" applyFill="1" applyBorder="1" applyAlignment="1">
      <alignment horizontal="center" vertical="center"/>
    </xf>
    <xf numFmtId="0" fontId="125" fillId="3" borderId="575" xfId="13" applyFont="1" applyFill="1" applyBorder="1" applyAlignment="1">
      <alignment vertical="center"/>
    </xf>
    <xf numFmtId="0" fontId="79" fillId="3" borderId="580" xfId="13" applyFont="1" applyFill="1" applyBorder="1" applyAlignment="1">
      <alignment vertical="center"/>
    </xf>
    <xf numFmtId="168" fontId="79" fillId="3" borderId="451" xfId="2" applyNumberFormat="1" applyFont="1" applyFill="1" applyBorder="1" applyAlignment="1">
      <alignment horizontal="center" vertical="center"/>
    </xf>
    <xf numFmtId="168" fontId="124" fillId="3" borderId="575" xfId="2" applyNumberFormat="1" applyFont="1" applyFill="1" applyBorder="1" applyAlignment="1">
      <alignment horizontal="center" vertical="center"/>
    </xf>
    <xf numFmtId="168" fontId="124" fillId="3" borderId="667" xfId="2" applyNumberFormat="1" applyFont="1" applyFill="1" applyBorder="1" applyAlignment="1">
      <alignment horizontal="center" vertical="center"/>
    </xf>
    <xf numFmtId="39" fontId="124" fillId="0" borderId="666" xfId="13" applyNumberFormat="1" applyFont="1" applyBorder="1" applyAlignment="1">
      <alignment horizontal="center" vertical="center"/>
    </xf>
    <xf numFmtId="0" fontId="124" fillId="0" borderId="575" xfId="13" applyFont="1" applyBorder="1" applyAlignment="1">
      <alignment vertical="center"/>
    </xf>
    <xf numFmtId="0" fontId="79" fillId="0" borderId="580" xfId="13" applyFont="1" applyBorder="1" applyAlignment="1">
      <alignment vertical="center"/>
    </xf>
    <xf numFmtId="168" fontId="79" fillId="0" borderId="451" xfId="2" applyNumberFormat="1" applyFont="1" applyFill="1" applyBorder="1" applyAlignment="1">
      <alignment horizontal="center" vertical="center"/>
    </xf>
    <xf numFmtId="168" fontId="124" fillId="0" borderId="575" xfId="2" applyNumberFormat="1" applyFont="1" applyFill="1" applyBorder="1" applyAlignment="1">
      <alignment horizontal="center" vertical="center"/>
    </xf>
    <xf numFmtId="168" fontId="124" fillId="0" borderId="667" xfId="2" applyNumberFormat="1" applyFont="1" applyFill="1" applyBorder="1" applyAlignment="1">
      <alignment horizontal="center" vertical="center"/>
    </xf>
    <xf numFmtId="37" fontId="79" fillId="0" borderId="666" xfId="13" applyNumberFormat="1" applyFont="1" applyBorder="1" applyAlignment="1">
      <alignment horizontal="center" vertical="center"/>
    </xf>
    <xf numFmtId="0" fontId="79" fillId="0" borderId="575" xfId="13" applyFont="1" applyBorder="1" applyAlignment="1">
      <alignment vertical="center"/>
    </xf>
    <xf numFmtId="43" fontId="79" fillId="0" borderId="451" xfId="2" applyNumberFormat="1" applyFont="1" applyFill="1" applyBorder="1" applyAlignment="1">
      <alignment horizontal="center" vertical="center"/>
    </xf>
    <xf numFmtId="168" fontId="79" fillId="0" borderId="451" xfId="2" quotePrefix="1" applyNumberFormat="1" applyFont="1" applyFill="1" applyBorder="1" applyAlignment="1">
      <alignment horizontal="center" vertical="center"/>
    </xf>
    <xf numFmtId="0" fontId="79" fillId="0" borderId="580" xfId="13" applyFont="1" applyBorder="1" applyAlignment="1">
      <alignment horizontal="right" vertical="center"/>
    </xf>
    <xf numFmtId="41" fontId="79" fillId="0" borderId="451" xfId="2" applyFont="1" applyFill="1" applyBorder="1" applyAlignment="1">
      <alignment horizontal="center" vertical="center"/>
    </xf>
    <xf numFmtId="37" fontId="124" fillId="0" borderId="666" xfId="13" applyNumberFormat="1" applyFont="1" applyBorder="1" applyAlignment="1">
      <alignment horizontal="center" vertical="center"/>
    </xf>
    <xf numFmtId="0" fontId="79" fillId="0" borderId="580" xfId="13" applyFont="1" applyBorder="1" applyAlignment="1">
      <alignment horizontal="center" vertical="center"/>
    </xf>
    <xf numFmtId="168" fontId="126" fillId="0" borderId="451" xfId="2" applyNumberFormat="1" applyFont="1" applyFill="1" applyBorder="1" applyAlignment="1">
      <alignment horizontal="center" vertical="center"/>
    </xf>
    <xf numFmtId="168" fontId="124" fillId="0" borderId="451" xfId="2" applyNumberFormat="1" applyFont="1" applyFill="1" applyBorder="1" applyAlignment="1">
      <alignment horizontal="center" vertical="center"/>
    </xf>
    <xf numFmtId="168" fontId="79" fillId="0" borderId="451" xfId="2" applyNumberFormat="1" applyFont="1" applyFill="1" applyBorder="1" applyAlignment="1">
      <alignment horizontal="right" vertical="center"/>
    </xf>
    <xf numFmtId="168" fontId="124" fillId="0" borderId="575" xfId="2" applyNumberFormat="1" applyFont="1" applyFill="1" applyBorder="1" applyAlignment="1">
      <alignment horizontal="right" vertical="center"/>
    </xf>
    <xf numFmtId="168" fontId="127" fillId="0" borderId="451" xfId="2" applyNumberFormat="1" applyFont="1" applyFill="1" applyBorder="1" applyAlignment="1">
      <alignment horizontal="center" vertical="center"/>
    </xf>
    <xf numFmtId="182" fontId="126" fillId="0" borderId="451" xfId="2" applyNumberFormat="1" applyFont="1" applyFill="1" applyBorder="1" applyAlignment="1">
      <alignment horizontal="center" vertical="center"/>
    </xf>
    <xf numFmtId="182" fontId="79" fillId="0" borderId="451" xfId="2" applyNumberFormat="1" applyFont="1" applyFill="1" applyBorder="1" applyAlignment="1">
      <alignment horizontal="center" vertical="center"/>
    </xf>
    <xf numFmtId="39" fontId="79" fillId="0" borderId="575" xfId="13" applyNumberFormat="1" applyFont="1" applyBorder="1" applyAlignment="1">
      <alignment vertical="center"/>
    </xf>
    <xf numFmtId="39" fontId="124" fillId="0" borderId="575" xfId="13" applyNumberFormat="1" applyFont="1" applyBorder="1" applyAlignment="1">
      <alignment vertical="center"/>
    </xf>
    <xf numFmtId="168" fontId="128" fillId="0" borderId="451" xfId="2" applyNumberFormat="1" applyFont="1" applyFill="1" applyBorder="1" applyAlignment="1">
      <alignment horizontal="center" vertical="center"/>
    </xf>
    <xf numFmtId="41" fontId="79" fillId="0" borderId="451" xfId="2" applyFont="1" applyFill="1" applyBorder="1" applyAlignment="1">
      <alignment vertical="center"/>
    </xf>
    <xf numFmtId="0" fontId="77" fillId="0" borderId="0" xfId="37" applyFont="1" applyAlignment="1">
      <alignment horizontal="center"/>
    </xf>
    <xf numFmtId="2" fontId="77" fillId="0" borderId="0" xfId="37" applyNumberFormat="1" applyFont="1" applyAlignment="1">
      <alignment vertical="center"/>
    </xf>
    <xf numFmtId="0" fontId="77" fillId="0" borderId="0" xfId="37" applyFont="1"/>
    <xf numFmtId="37" fontId="79" fillId="8" borderId="666" xfId="13" applyNumberFormat="1" applyFont="1" applyFill="1" applyBorder="1" applyAlignment="1">
      <alignment horizontal="center" vertical="center"/>
    </xf>
    <xf numFmtId="0" fontId="79" fillId="8" borderId="575" xfId="13" applyFont="1" applyFill="1" applyBorder="1" applyAlignment="1">
      <alignment vertical="center"/>
    </xf>
    <xf numFmtId="0" fontId="79" fillId="8" borderId="580" xfId="13" applyFont="1" applyFill="1" applyBorder="1" applyAlignment="1">
      <alignment vertical="center"/>
    </xf>
    <xf numFmtId="0" fontId="79" fillId="8" borderId="580" xfId="13" applyFont="1" applyFill="1" applyBorder="1" applyAlignment="1">
      <alignment horizontal="center" vertical="center"/>
    </xf>
    <xf numFmtId="168" fontId="79" fillId="8" borderId="451" xfId="2" applyNumberFormat="1" applyFont="1" applyFill="1" applyBorder="1" applyAlignment="1">
      <alignment horizontal="center" vertical="center"/>
    </xf>
    <xf numFmtId="168" fontId="124" fillId="8" borderId="575" xfId="2" applyNumberFormat="1" applyFont="1" applyFill="1" applyBorder="1" applyAlignment="1">
      <alignment horizontal="center" vertical="center"/>
    </xf>
    <xf numFmtId="168" fontId="124" fillId="8" borderId="667" xfId="2" applyNumberFormat="1" applyFont="1" applyFill="1" applyBorder="1" applyAlignment="1">
      <alignment horizontal="center" vertical="center"/>
    </xf>
    <xf numFmtId="0" fontId="79" fillId="8" borderId="0" xfId="0" applyFont="1" applyFill="1" applyAlignment="1">
      <alignment vertical="center"/>
    </xf>
    <xf numFmtId="0" fontId="77" fillId="8" borderId="0" xfId="37" applyFont="1" applyFill="1" applyAlignment="1">
      <alignment horizontal="center"/>
    </xf>
    <xf numFmtId="2" fontId="77" fillId="8" borderId="0" xfId="37" applyNumberFormat="1" applyFont="1" applyFill="1" applyAlignment="1">
      <alignment vertical="center"/>
    </xf>
    <xf numFmtId="0" fontId="77" fillId="8" borderId="0" xfId="37" applyFont="1" applyFill="1"/>
    <xf numFmtId="168" fontId="124" fillId="0" borderId="0" xfId="0" applyNumberFormat="1" applyFont="1" applyAlignment="1">
      <alignment vertical="center"/>
    </xf>
    <xf numFmtId="0" fontId="124" fillId="0" borderId="0" xfId="0" applyFont="1" applyAlignment="1">
      <alignment vertical="center"/>
    </xf>
    <xf numFmtId="0" fontId="79" fillId="0" borderId="0" xfId="0" applyFont="1" applyAlignment="1">
      <alignment horizontal="right" vertical="center"/>
    </xf>
    <xf numFmtId="168" fontId="124" fillId="0" borderId="0" xfId="2" applyNumberFormat="1" applyFont="1" applyFill="1" applyBorder="1" applyAlignment="1">
      <alignment horizontal="center" vertical="center"/>
    </xf>
    <xf numFmtId="168" fontId="124" fillId="0" borderId="0" xfId="2" applyNumberFormat="1" applyFont="1" applyFill="1" applyBorder="1" applyAlignment="1">
      <alignment horizontal="right" vertical="center"/>
    </xf>
    <xf numFmtId="43" fontId="79" fillId="0" borderId="451" xfId="1" applyFont="1" applyFill="1" applyBorder="1" applyAlignment="1">
      <alignment horizontal="center" vertical="center"/>
    </xf>
    <xf numFmtId="43" fontId="79" fillId="0" borderId="0" xfId="0" applyNumberFormat="1" applyFont="1" applyAlignment="1">
      <alignment vertical="center"/>
    </xf>
    <xf numFmtId="0" fontId="126" fillId="0" borderId="580" xfId="13" applyFont="1" applyBorder="1" applyAlignment="1">
      <alignment horizontal="center" vertical="center"/>
    </xf>
    <xf numFmtId="41" fontId="126" fillId="0" borderId="451" xfId="2" applyFont="1" applyFill="1" applyBorder="1" applyAlignment="1">
      <alignment horizontal="center" vertical="center"/>
    </xf>
    <xf numFmtId="168" fontId="79" fillId="0" borderId="575" xfId="2" applyNumberFormat="1" applyFont="1" applyFill="1" applyBorder="1" applyAlignment="1">
      <alignment horizontal="center" vertical="center"/>
    </xf>
    <xf numFmtId="0" fontId="79" fillId="0" borderId="575" xfId="13" applyFont="1" applyBorder="1" applyAlignment="1">
      <alignment horizontal="center" vertical="center"/>
    </xf>
    <xf numFmtId="168" fontId="129" fillId="0" borderId="451" xfId="2" applyNumberFormat="1" applyFont="1" applyFill="1" applyBorder="1" applyAlignment="1">
      <alignment horizontal="center" vertical="center"/>
    </xf>
    <xf numFmtId="39" fontId="79" fillId="0" borderId="580" xfId="13" applyNumberFormat="1" applyFont="1" applyBorder="1" applyAlignment="1">
      <alignment horizontal="center" vertical="center"/>
    </xf>
    <xf numFmtId="37" fontId="79" fillId="9" borderId="666" xfId="13" applyNumberFormat="1" applyFont="1" applyFill="1" applyBorder="1" applyAlignment="1">
      <alignment horizontal="center" vertical="center"/>
    </xf>
    <xf numFmtId="0" fontId="79" fillId="9" borderId="575" xfId="13" applyFont="1" applyFill="1" applyBorder="1" applyAlignment="1">
      <alignment vertical="center"/>
    </xf>
    <xf numFmtId="0" fontId="79" fillId="9" borderId="580" xfId="13" applyFont="1" applyFill="1" applyBorder="1" applyAlignment="1">
      <alignment vertical="center"/>
    </xf>
    <xf numFmtId="39" fontId="79" fillId="9" borderId="580" xfId="13" applyNumberFormat="1" applyFont="1" applyFill="1" applyBorder="1" applyAlignment="1">
      <alignment horizontal="center" vertical="center"/>
    </xf>
    <xf numFmtId="168" fontId="79" fillId="9" borderId="451" xfId="2" applyNumberFormat="1" applyFont="1" applyFill="1" applyBorder="1" applyAlignment="1">
      <alignment horizontal="center" vertical="center"/>
    </xf>
    <xf numFmtId="168" fontId="129" fillId="9" borderId="451" xfId="2" applyNumberFormat="1" applyFont="1" applyFill="1" applyBorder="1" applyAlignment="1">
      <alignment horizontal="center" vertical="center"/>
    </xf>
    <xf numFmtId="168" fontId="124" fillId="9" borderId="451" xfId="2" applyNumberFormat="1" applyFont="1" applyFill="1" applyBorder="1" applyAlignment="1">
      <alignment horizontal="center" vertical="center"/>
    </xf>
    <xf numFmtId="168" fontId="124" fillId="9" borderId="667" xfId="2" applyNumberFormat="1" applyFont="1" applyFill="1" applyBorder="1" applyAlignment="1">
      <alignment horizontal="center" vertical="center"/>
    </xf>
    <xf numFmtId="0" fontId="79" fillId="9" borderId="0" xfId="0" applyFont="1" applyFill="1" applyAlignment="1">
      <alignment vertical="center"/>
    </xf>
    <xf numFmtId="0" fontId="126" fillId="9" borderId="580" xfId="13" applyFont="1" applyFill="1" applyBorder="1" applyAlignment="1">
      <alignment vertical="center"/>
    </xf>
    <xf numFmtId="39" fontId="126" fillId="9" borderId="580" xfId="13" applyNumberFormat="1" applyFont="1" applyFill="1" applyBorder="1" applyAlignment="1">
      <alignment horizontal="center" vertical="center"/>
    </xf>
    <xf numFmtId="168" fontId="126" fillId="9" borderId="451" xfId="2" applyNumberFormat="1" applyFont="1" applyFill="1" applyBorder="1" applyAlignment="1">
      <alignment horizontal="center" vertical="center"/>
    </xf>
    <xf numFmtId="168" fontId="130" fillId="9" borderId="451" xfId="2" applyNumberFormat="1" applyFont="1" applyFill="1" applyBorder="1" applyAlignment="1">
      <alignment horizontal="center" vertical="center"/>
    </xf>
    <xf numFmtId="168" fontId="130" fillId="9" borderId="667" xfId="2" applyNumberFormat="1" applyFont="1" applyFill="1" applyBorder="1" applyAlignment="1">
      <alignment horizontal="center" vertical="center"/>
    </xf>
    <xf numFmtId="0" fontId="126" fillId="9" borderId="0" xfId="0" applyFont="1" applyFill="1" applyAlignment="1">
      <alignment vertical="center"/>
    </xf>
    <xf numFmtId="168" fontId="124" fillId="9" borderId="575" xfId="2" applyNumberFormat="1" applyFont="1" applyFill="1" applyBorder="1" applyAlignment="1">
      <alignment horizontal="center" vertical="center"/>
    </xf>
    <xf numFmtId="0" fontId="126" fillId="9" borderId="575" xfId="13" applyFont="1" applyFill="1" applyBorder="1" applyAlignment="1">
      <alignment vertical="center"/>
    </xf>
    <xf numFmtId="168" fontId="130" fillId="9" borderId="575" xfId="2" applyNumberFormat="1" applyFont="1" applyFill="1" applyBorder="1" applyAlignment="1">
      <alignment horizontal="center" vertical="center"/>
    </xf>
    <xf numFmtId="180" fontId="79" fillId="0" borderId="451" xfId="2" applyNumberFormat="1" applyFont="1" applyFill="1" applyBorder="1" applyAlignment="1">
      <alignment horizontal="center" vertical="center"/>
    </xf>
    <xf numFmtId="0" fontId="126" fillId="0" borderId="666" xfId="13" applyFont="1" applyBorder="1" applyAlignment="1">
      <alignment horizontal="center" vertical="center"/>
    </xf>
    <xf numFmtId="0" fontId="126" fillId="0" borderId="580" xfId="13" applyFont="1" applyBorder="1" applyAlignment="1">
      <alignment vertical="center"/>
    </xf>
    <xf numFmtId="168" fontId="126" fillId="0" borderId="451" xfId="2" applyNumberFormat="1" applyFont="1" applyFill="1" applyBorder="1" applyAlignment="1">
      <alignment horizontal="right" vertical="center"/>
    </xf>
    <xf numFmtId="168" fontId="130" fillId="0" borderId="451" xfId="2" applyNumberFormat="1" applyFont="1" applyFill="1" applyBorder="1" applyAlignment="1">
      <alignment horizontal="right" vertical="center"/>
    </xf>
    <xf numFmtId="168" fontId="130" fillId="0" borderId="667" xfId="2" applyNumberFormat="1" applyFont="1" applyFill="1" applyBorder="1" applyAlignment="1">
      <alignment horizontal="center" vertical="center"/>
    </xf>
    <xf numFmtId="0" fontId="79" fillId="0" borderId="666" xfId="13" applyFont="1" applyBorder="1" applyAlignment="1">
      <alignment horizontal="center" vertical="center"/>
    </xf>
    <xf numFmtId="168" fontId="124" fillId="0" borderId="451" xfId="2" applyNumberFormat="1" applyFont="1" applyFill="1" applyBorder="1" applyAlignment="1">
      <alignment horizontal="right" vertical="center"/>
    </xf>
    <xf numFmtId="0" fontId="131" fillId="10" borderId="666" xfId="13" applyFont="1" applyFill="1" applyBorder="1" applyAlignment="1">
      <alignment horizontal="center" vertical="center"/>
    </xf>
    <xf numFmtId="39" fontId="131" fillId="10" borderId="575" xfId="13" applyNumberFormat="1" applyFont="1" applyFill="1" applyBorder="1" applyAlignment="1">
      <alignment vertical="center"/>
    </xf>
    <xf numFmtId="0" fontId="132" fillId="10" borderId="580" xfId="13" applyFont="1" applyFill="1" applyBorder="1" applyAlignment="1">
      <alignment vertical="center"/>
    </xf>
    <xf numFmtId="0" fontId="133" fillId="10" borderId="580" xfId="13" applyFont="1" applyFill="1" applyBorder="1" applyAlignment="1">
      <alignment vertical="center"/>
    </xf>
    <xf numFmtId="0" fontId="133" fillId="10" borderId="580" xfId="13" applyFont="1" applyFill="1" applyBorder="1" applyAlignment="1">
      <alignment horizontal="center" vertical="center"/>
    </xf>
    <xf numFmtId="168" fontId="123" fillId="10" borderId="451" xfId="2" applyNumberFormat="1" applyFont="1" applyFill="1" applyBorder="1" applyAlignment="1">
      <alignment horizontal="center" vertical="center"/>
    </xf>
    <xf numFmtId="168" fontId="123" fillId="10" borderId="451" xfId="2" applyNumberFormat="1" applyFont="1" applyFill="1" applyBorder="1" applyAlignment="1">
      <alignment horizontal="right" vertical="center"/>
    </xf>
    <xf numFmtId="168" fontId="123" fillId="10" borderId="667" xfId="2" applyNumberFormat="1" applyFont="1" applyFill="1" applyBorder="1" applyAlignment="1">
      <alignment horizontal="center" vertical="center"/>
    </xf>
    <xf numFmtId="0" fontId="79" fillId="0" borderId="668" xfId="13" applyFont="1" applyBorder="1" applyAlignment="1">
      <alignment horizontal="center" vertical="center"/>
    </xf>
    <xf numFmtId="0" fontId="79" fillId="0" borderId="536" xfId="13" applyFont="1" applyBorder="1" applyAlignment="1">
      <alignment vertical="center"/>
    </xf>
    <xf numFmtId="0" fontId="79" fillId="0" borderId="0" xfId="13" applyFont="1" applyAlignment="1">
      <alignment vertical="center"/>
    </xf>
    <xf numFmtId="168" fontId="79" fillId="0" borderId="535" xfId="2" applyNumberFormat="1" applyFont="1" applyFill="1" applyBorder="1" applyAlignment="1">
      <alignment horizontal="center" vertical="center"/>
    </xf>
    <xf numFmtId="168" fontId="124" fillId="0" borderId="536" xfId="2" applyNumberFormat="1" applyFont="1" applyFill="1" applyBorder="1" applyAlignment="1">
      <alignment horizontal="center" vertical="center"/>
    </xf>
    <xf numFmtId="168" fontId="124" fillId="0" borderId="69" xfId="2" applyNumberFormat="1" applyFont="1" applyFill="1" applyBorder="1" applyAlignment="1">
      <alignment horizontal="center" vertical="center"/>
    </xf>
    <xf numFmtId="0" fontId="79" fillId="0" borderId="182" xfId="13" applyFont="1" applyBorder="1" applyAlignment="1">
      <alignment horizontal="center" vertical="center"/>
    </xf>
    <xf numFmtId="0" fontId="79" fillId="0" borderId="182" xfId="13" applyFont="1" applyBorder="1" applyAlignment="1">
      <alignment vertical="center"/>
    </xf>
    <xf numFmtId="0" fontId="124" fillId="0" borderId="182" xfId="13" applyFont="1" applyBorder="1" applyAlignment="1">
      <alignment horizontal="center" vertical="center"/>
    </xf>
    <xf numFmtId="0" fontId="77" fillId="0" borderId="0" xfId="37" applyFont="1" applyAlignment="1">
      <alignment horizontal="center" vertical="center"/>
    </xf>
    <xf numFmtId="0" fontId="77" fillId="0" borderId="0" xfId="37" applyFont="1" applyAlignment="1">
      <alignment vertical="center"/>
    </xf>
    <xf numFmtId="0" fontId="77" fillId="0" borderId="0" xfId="37" applyFont="1" applyAlignment="1">
      <alignment horizontal="right" vertical="center"/>
    </xf>
    <xf numFmtId="0" fontId="77" fillId="0" borderId="0" xfId="37" applyFont="1" applyAlignment="1">
      <alignment horizontal="left" vertical="center"/>
    </xf>
    <xf numFmtId="0" fontId="134" fillId="11" borderId="66" xfId="37" applyFont="1" applyFill="1" applyBorder="1" applyAlignment="1">
      <alignment horizontal="center" vertical="center"/>
    </xf>
    <xf numFmtId="0" fontId="134" fillId="11" borderId="67" xfId="37" applyFont="1" applyFill="1" applyBorder="1" applyAlignment="1">
      <alignment horizontal="center" vertical="center"/>
    </xf>
    <xf numFmtId="0" fontId="134" fillId="11" borderId="72" xfId="37" applyFont="1" applyFill="1" applyBorder="1" applyAlignment="1">
      <alignment horizontal="center" vertical="center"/>
    </xf>
    <xf numFmtId="0" fontId="134" fillId="3" borderId="66" xfId="37" applyFont="1" applyFill="1" applyBorder="1" applyAlignment="1">
      <alignment horizontal="center"/>
    </xf>
    <xf numFmtId="0" fontId="134" fillId="3" borderId="67" xfId="37" applyFont="1" applyFill="1" applyBorder="1" applyAlignment="1">
      <alignment horizontal="center"/>
    </xf>
    <xf numFmtId="0" fontId="134" fillId="3" borderId="72" xfId="37" applyFont="1" applyFill="1" applyBorder="1" applyAlignment="1">
      <alignment horizontal="center"/>
    </xf>
    <xf numFmtId="0" fontId="135" fillId="12" borderId="669" xfId="37" applyFont="1" applyFill="1" applyBorder="1" applyAlignment="1">
      <alignment horizontal="center" vertical="center"/>
    </xf>
    <xf numFmtId="0" fontId="135" fillId="12" borderId="657" xfId="37" applyFont="1" applyFill="1" applyBorder="1" applyAlignment="1">
      <alignment horizontal="center" vertical="center"/>
    </xf>
    <xf numFmtId="0" fontId="135" fillId="12" borderId="670" xfId="37" applyFont="1" applyFill="1" applyBorder="1" applyAlignment="1">
      <alignment horizontal="center" vertical="center"/>
    </xf>
    <xf numFmtId="0" fontId="136" fillId="0" borderId="0" xfId="37" applyFont="1" applyAlignment="1">
      <alignment vertical="center"/>
    </xf>
    <xf numFmtId="0" fontId="70" fillId="0" borderId="671" xfId="37" applyFont="1" applyBorder="1" applyAlignment="1">
      <alignment horizontal="center" vertical="center" wrapText="1"/>
    </xf>
    <xf numFmtId="0" fontId="70" fillId="0" borderId="672" xfId="37" applyFont="1" applyBorder="1" applyAlignment="1">
      <alignment horizontal="center" vertical="center" wrapText="1"/>
    </xf>
    <xf numFmtId="0" fontId="70" fillId="0" borderId="672" xfId="37" applyFont="1" applyBorder="1" applyAlignment="1">
      <alignment horizontal="center" vertical="center"/>
    </xf>
    <xf numFmtId="2" fontId="70" fillId="0" borderId="672" xfId="37" applyNumberFormat="1" applyFont="1" applyBorder="1" applyAlignment="1">
      <alignment horizontal="center" vertical="center"/>
    </xf>
    <xf numFmtId="0" fontId="70" fillId="0" borderId="672" xfId="37" applyFont="1" applyBorder="1" applyAlignment="1">
      <alignment horizontal="center" vertical="center"/>
    </xf>
    <xf numFmtId="0" fontId="70" fillId="0" borderId="673" xfId="37" applyFont="1" applyBorder="1" applyAlignment="1">
      <alignment horizontal="center" vertical="center"/>
    </xf>
    <xf numFmtId="0" fontId="70" fillId="0" borderId="0" xfId="37" applyFont="1" applyAlignment="1">
      <alignment horizontal="center" vertical="center"/>
    </xf>
    <xf numFmtId="0" fontId="70" fillId="0" borderId="0" xfId="37" applyFont="1" applyAlignment="1">
      <alignment vertical="center"/>
    </xf>
    <xf numFmtId="0" fontId="85" fillId="0" borderId="0" xfId="37" applyFont="1" applyAlignment="1">
      <alignment vertical="center"/>
    </xf>
    <xf numFmtId="0" fontId="70" fillId="0" borderId="674" xfId="37" applyFont="1" applyBorder="1" applyAlignment="1">
      <alignment horizontal="center" vertical="center" wrapText="1"/>
    </xf>
    <xf numFmtId="0" fontId="72" fillId="0" borderId="326" xfId="37" applyFont="1" applyBorder="1" applyAlignment="1">
      <alignment horizontal="center" vertical="center" wrapText="1"/>
    </xf>
    <xf numFmtId="2" fontId="72" fillId="0" borderId="326" xfId="37" applyNumberFormat="1" applyFont="1" applyBorder="1" applyAlignment="1">
      <alignment horizontal="center" vertical="center" wrapText="1"/>
    </xf>
    <xf numFmtId="0" fontId="72" fillId="0" borderId="326" xfId="37" applyFont="1" applyBorder="1" applyAlignment="1">
      <alignment horizontal="center" vertical="center" wrapText="1"/>
    </xf>
    <xf numFmtId="0" fontId="123" fillId="0" borderId="326" xfId="37" applyFont="1" applyBorder="1" applyAlignment="1">
      <alignment horizontal="center" vertical="center" wrapText="1"/>
    </xf>
    <xf numFmtId="0" fontId="72" fillId="0" borderId="542" xfId="37" applyFont="1" applyBorder="1" applyAlignment="1">
      <alignment horizontal="center" vertical="center" wrapText="1"/>
    </xf>
    <xf numFmtId="2" fontId="72" fillId="0" borderId="0" xfId="37" applyNumberFormat="1" applyFont="1" applyAlignment="1">
      <alignment horizontal="center" vertical="center" wrapText="1"/>
    </xf>
    <xf numFmtId="0" fontId="72" fillId="0" borderId="0" xfId="37" applyFont="1" applyAlignment="1">
      <alignment horizontal="center" vertical="center"/>
    </xf>
    <xf numFmtId="0" fontId="77" fillId="0" borderId="674" xfId="37" applyFont="1" applyBorder="1" applyAlignment="1">
      <alignment horizontal="center" vertical="center"/>
    </xf>
    <xf numFmtId="2" fontId="77" fillId="0" borderId="326" xfId="37" applyNumberFormat="1" applyFont="1" applyBorder="1" applyAlignment="1">
      <alignment horizontal="center" vertical="center"/>
    </xf>
    <xf numFmtId="2" fontId="77" fillId="0" borderId="326" xfId="37" applyNumberFormat="1" applyFont="1" applyBorder="1" applyAlignment="1">
      <alignment vertical="center"/>
    </xf>
    <xf numFmtId="41" fontId="77" fillId="0" borderId="326" xfId="37" applyNumberFormat="1" applyFont="1" applyBorder="1" applyAlignment="1">
      <alignment horizontal="center" vertical="center"/>
    </xf>
    <xf numFmtId="0" fontId="77" fillId="0" borderId="326" xfId="37" applyFont="1" applyBorder="1" applyAlignment="1">
      <alignment horizontal="right" vertical="center"/>
    </xf>
    <xf numFmtId="0" fontId="77" fillId="0" borderId="326" xfId="37" applyFont="1" applyBorder="1" applyAlignment="1">
      <alignment horizontal="center" vertical="center"/>
    </xf>
    <xf numFmtId="0" fontId="77" fillId="0" borderId="326" xfId="37" applyFont="1" applyBorder="1" applyAlignment="1">
      <alignment horizontal="left" vertical="center"/>
    </xf>
    <xf numFmtId="1" fontId="77" fillId="0" borderId="326" xfId="37" applyNumberFormat="1" applyFont="1" applyBorder="1" applyAlignment="1">
      <alignment horizontal="center" vertical="center"/>
    </xf>
    <xf numFmtId="2" fontId="77" fillId="0" borderId="542" xfId="37" applyNumberFormat="1" applyFont="1" applyBorder="1" applyAlignment="1">
      <alignment vertical="center"/>
    </xf>
    <xf numFmtId="0" fontId="72" fillId="0" borderId="674" xfId="37" applyFont="1" applyBorder="1" applyAlignment="1">
      <alignment horizontal="center" vertical="center"/>
    </xf>
    <xf numFmtId="0" fontId="72" fillId="0" borderId="326" xfId="37" applyFont="1" applyBorder="1" applyAlignment="1">
      <alignment horizontal="center" vertical="center"/>
    </xf>
    <xf numFmtId="2" fontId="72" fillId="0" borderId="326" xfId="37" applyNumberFormat="1" applyFont="1" applyBorder="1" applyAlignment="1">
      <alignment vertical="center"/>
    </xf>
    <xf numFmtId="2" fontId="72" fillId="0" borderId="542" xfId="37" applyNumberFormat="1" applyFont="1" applyBorder="1" applyAlignment="1">
      <alignment vertical="center"/>
    </xf>
    <xf numFmtId="0" fontId="72" fillId="0" borderId="0" xfId="37" applyFont="1" applyAlignment="1">
      <alignment vertical="center"/>
    </xf>
    <xf numFmtId="2" fontId="72" fillId="0" borderId="0" xfId="37" applyNumberFormat="1" applyFont="1" applyAlignment="1">
      <alignment vertical="center"/>
    </xf>
    <xf numFmtId="0" fontId="72" fillId="0" borderId="73" xfId="37" applyFont="1" applyBorder="1" applyAlignment="1">
      <alignment horizontal="center" vertical="center"/>
    </xf>
    <xf numFmtId="2" fontId="72" fillId="0" borderId="675" xfId="37" applyNumberFormat="1" applyFont="1" applyBorder="1" applyAlignment="1">
      <alignment vertical="center"/>
    </xf>
    <xf numFmtId="0" fontId="135" fillId="12" borderId="676" xfId="37" applyFont="1" applyFill="1" applyBorder="1" applyAlignment="1">
      <alignment horizontal="center" vertical="center"/>
    </xf>
    <xf numFmtId="0" fontId="135" fillId="12" borderId="677" xfId="37" applyFont="1" applyFill="1" applyBorder="1" applyAlignment="1">
      <alignment horizontal="center" vertical="center"/>
    </xf>
    <xf numFmtId="0" fontId="135" fillId="12" borderId="678" xfId="37" applyFont="1" applyFill="1" applyBorder="1" applyAlignment="1">
      <alignment horizontal="center" vertical="center"/>
    </xf>
    <xf numFmtId="0" fontId="77" fillId="0" borderId="73" xfId="37" applyFont="1" applyBorder="1" applyAlignment="1">
      <alignment horizontal="center" vertical="center"/>
    </xf>
    <xf numFmtId="0" fontId="77" fillId="0" borderId="675" xfId="37" applyFont="1" applyBorder="1" applyAlignment="1">
      <alignment vertical="center"/>
    </xf>
    <xf numFmtId="0" fontId="77" fillId="0" borderId="75" xfId="37" applyFont="1" applyBorder="1" applyAlignment="1">
      <alignment horizontal="center" vertical="center"/>
    </xf>
    <xf numFmtId="0" fontId="77" fillId="0" borderId="76" xfId="37" applyFont="1" applyBorder="1" applyAlignment="1">
      <alignment horizontal="center" vertical="center"/>
    </xf>
    <xf numFmtId="2" fontId="77" fillId="0" borderId="76" xfId="37" applyNumberFormat="1" applyFont="1" applyBorder="1" applyAlignment="1">
      <alignment vertical="center"/>
    </xf>
    <xf numFmtId="0" fontId="77" fillId="0" borderId="76" xfId="37" applyFont="1" applyBorder="1" applyAlignment="1">
      <alignment vertical="center"/>
    </xf>
    <xf numFmtId="0" fontId="77" fillId="0" borderId="76" xfId="37" applyFont="1" applyBorder="1" applyAlignment="1">
      <alignment horizontal="right" vertical="center"/>
    </xf>
    <xf numFmtId="0" fontId="77" fillId="0" borderId="76" xfId="37" applyFont="1" applyBorder="1" applyAlignment="1">
      <alignment horizontal="left" vertical="center"/>
    </xf>
    <xf numFmtId="0" fontId="77" fillId="0" borderId="77" xfId="37" applyFont="1" applyBorder="1" applyAlignment="1">
      <alignment vertical="center"/>
    </xf>
    <xf numFmtId="39" fontId="134" fillId="11" borderId="66" xfId="37" applyNumberFormat="1" applyFont="1" applyFill="1" applyBorder="1" applyAlignment="1">
      <alignment horizontal="center" vertical="center"/>
    </xf>
    <xf numFmtId="0" fontId="2" fillId="0" borderId="67" xfId="37" applyBorder="1"/>
    <xf numFmtId="0" fontId="2" fillId="0" borderId="0" xfId="37"/>
    <xf numFmtId="2" fontId="135" fillId="12" borderId="676" xfId="37" applyNumberFormat="1" applyFont="1" applyFill="1" applyBorder="1" applyAlignment="1">
      <alignment horizontal="center" vertical="center"/>
    </xf>
    <xf numFmtId="0" fontId="70" fillId="0" borderId="0" xfId="37" applyFont="1" applyAlignment="1">
      <alignment vertical="center" wrapText="1"/>
    </xf>
    <xf numFmtId="0" fontId="70" fillId="0" borderId="679" xfId="37" applyFont="1" applyBorder="1" applyAlignment="1">
      <alignment horizontal="center" vertical="center" wrapText="1"/>
    </xf>
    <xf numFmtId="0" fontId="70" fillId="0" borderId="680" xfId="37" applyFont="1" applyBorder="1" applyAlignment="1">
      <alignment horizontal="center" vertical="center" wrapText="1"/>
    </xf>
    <xf numFmtId="0" fontId="70" fillId="0" borderId="681" xfId="37" applyFont="1" applyBorder="1" applyAlignment="1">
      <alignment horizontal="center" vertical="center" wrapText="1"/>
    </xf>
    <xf numFmtId="0" fontId="70" fillId="0" borderId="682" xfId="37" applyFont="1" applyBorder="1" applyAlignment="1">
      <alignment horizontal="center" vertical="center"/>
    </xf>
    <xf numFmtId="0" fontId="70" fillId="0" borderId="680" xfId="37" applyFont="1" applyBorder="1" applyAlignment="1">
      <alignment horizontal="center" vertical="center"/>
    </xf>
    <xf numFmtId="0" fontId="70" fillId="0" borderId="681" xfId="37" applyFont="1" applyBorder="1" applyAlignment="1">
      <alignment horizontal="center" vertical="center"/>
    </xf>
    <xf numFmtId="0" fontId="70" fillId="0" borderId="683" xfId="37" applyFont="1" applyBorder="1" applyAlignment="1">
      <alignment horizontal="center" vertical="center"/>
    </xf>
    <xf numFmtId="0" fontId="77" fillId="0" borderId="675" xfId="37" applyFont="1" applyBorder="1" applyAlignment="1">
      <alignment horizontal="center" vertical="center"/>
    </xf>
    <xf numFmtId="0" fontId="70" fillId="0" borderId="674" xfId="37" applyFont="1" applyBorder="1" applyAlignment="1">
      <alignment horizontal="center" vertical="center" wrapText="1"/>
    </xf>
    <xf numFmtId="0" fontId="72" fillId="0" borderId="327" xfId="37" applyFont="1" applyBorder="1" applyAlignment="1">
      <alignment horizontal="center" vertical="center" wrapText="1"/>
    </xf>
    <xf numFmtId="0" fontId="72" fillId="0" borderId="328" xfId="37" applyFont="1" applyBorder="1" applyAlignment="1">
      <alignment horizontal="center" vertical="center" wrapText="1"/>
    </xf>
    <xf numFmtId="0" fontId="72" fillId="0" borderId="329" xfId="37" applyFont="1" applyBorder="1" applyAlignment="1">
      <alignment horizontal="center" vertical="center" wrapText="1"/>
    </xf>
    <xf numFmtId="0" fontId="77" fillId="0" borderId="287" xfId="37" applyFont="1" applyBorder="1" applyAlignment="1">
      <alignment horizontal="center"/>
    </xf>
    <xf numFmtId="0" fontId="2" fillId="0" borderId="674" xfId="37" applyBorder="1" applyAlignment="1">
      <alignment horizontal="center"/>
    </xf>
    <xf numFmtId="0" fontId="2" fillId="0" borderId="326" xfId="37" applyBorder="1"/>
    <xf numFmtId="43" fontId="2" fillId="0" borderId="326" xfId="1" applyBorder="1"/>
    <xf numFmtId="0" fontId="72" fillId="0" borderId="326" xfId="37" applyFont="1" applyBorder="1" applyAlignment="1">
      <alignment horizontal="center" vertical="center"/>
    </xf>
    <xf numFmtId="2" fontId="65" fillId="0" borderId="0" xfId="37" applyNumberFormat="1" applyFont="1" applyAlignment="1">
      <alignment vertical="center"/>
    </xf>
    <xf numFmtId="0" fontId="77" fillId="0" borderId="326" xfId="37" applyFont="1" applyBorder="1"/>
    <xf numFmtId="2" fontId="77" fillId="6" borderId="326" xfId="37" applyNumberFormat="1" applyFont="1" applyFill="1" applyBorder="1" applyAlignment="1">
      <alignment vertical="center"/>
    </xf>
    <xf numFmtId="43" fontId="77" fillId="0" borderId="326" xfId="1" applyFont="1" applyBorder="1"/>
    <xf numFmtId="0" fontId="72" fillId="0" borderId="287" xfId="37" applyFont="1" applyBorder="1" applyAlignment="1">
      <alignment horizontal="center" vertical="center"/>
    </xf>
    <xf numFmtId="0" fontId="72" fillId="0" borderId="328" xfId="37" applyFont="1" applyBorder="1" applyAlignment="1">
      <alignment horizontal="center" vertical="center"/>
    </xf>
    <xf numFmtId="0" fontId="72" fillId="0" borderId="329" xfId="37" applyFont="1" applyBorder="1" applyAlignment="1">
      <alignment horizontal="center" vertical="center"/>
    </xf>
    <xf numFmtId="2" fontId="72" fillId="13" borderId="326" xfId="37" applyNumberFormat="1" applyFont="1" applyFill="1" applyBorder="1" applyAlignment="1">
      <alignment vertical="center"/>
    </xf>
    <xf numFmtId="0" fontId="72" fillId="0" borderId="327" xfId="37" applyFont="1" applyBorder="1" applyAlignment="1">
      <alignment horizontal="center" vertical="center"/>
    </xf>
    <xf numFmtId="2" fontId="72" fillId="13" borderId="542" xfId="37" applyNumberFormat="1" applyFont="1" applyFill="1" applyBorder="1" applyAlignment="1">
      <alignment vertical="center"/>
    </xf>
    <xf numFmtId="0" fontId="2" fillId="0" borderId="674" xfId="37" applyBorder="1"/>
    <xf numFmtId="0" fontId="2" fillId="0" borderId="542" xfId="37" applyBorder="1"/>
    <xf numFmtId="0" fontId="2" fillId="0" borderId="287" xfId="37" applyBorder="1"/>
    <xf numFmtId="0" fontId="2" fillId="0" borderId="328" xfId="37" applyBorder="1"/>
    <xf numFmtId="0" fontId="2" fillId="0" borderId="329" xfId="37" applyBorder="1"/>
    <xf numFmtId="0" fontId="2" fillId="0" borderId="327" xfId="37" applyBorder="1"/>
    <xf numFmtId="0" fontId="77" fillId="0" borderId="327" xfId="37" applyFont="1" applyBorder="1" applyAlignment="1">
      <alignment horizontal="right" vertical="center"/>
    </xf>
    <xf numFmtId="0" fontId="77" fillId="0" borderId="328" xfId="37" applyFont="1" applyBorder="1" applyAlignment="1">
      <alignment horizontal="center" vertical="center"/>
    </xf>
    <xf numFmtId="0" fontId="77" fillId="0" borderId="328" xfId="37" applyFont="1" applyBorder="1" applyAlignment="1">
      <alignment horizontal="left" vertical="center"/>
    </xf>
    <xf numFmtId="1" fontId="77" fillId="0" borderId="329" xfId="37" applyNumberFormat="1" applyFont="1" applyBorder="1" applyAlignment="1">
      <alignment horizontal="center" vertical="center"/>
    </xf>
    <xf numFmtId="0" fontId="72" fillId="0" borderId="672" xfId="37" applyFont="1" applyBorder="1" applyAlignment="1">
      <alignment horizontal="center" vertical="center" wrapText="1"/>
    </xf>
    <xf numFmtId="2" fontId="137" fillId="13" borderId="326" xfId="37" applyNumberFormat="1" applyFont="1" applyFill="1" applyBorder="1" applyAlignment="1">
      <alignment vertical="center"/>
    </xf>
    <xf numFmtId="0" fontId="137" fillId="0" borderId="326" xfId="37" applyFont="1" applyBorder="1" applyAlignment="1">
      <alignment horizontal="center" vertical="center"/>
    </xf>
    <xf numFmtId="2" fontId="137" fillId="0" borderId="326" xfId="37" applyNumberFormat="1" applyFont="1" applyBorder="1" applyAlignment="1">
      <alignment vertical="center"/>
    </xf>
    <xf numFmtId="0" fontId="137" fillId="0" borderId="326" xfId="37" applyFont="1" applyBorder="1" applyAlignment="1">
      <alignment horizontal="right" vertical="center"/>
    </xf>
    <xf numFmtId="0" fontId="137" fillId="0" borderId="326" xfId="37" applyFont="1" applyBorder="1" applyAlignment="1">
      <alignment horizontal="left" vertical="center"/>
    </xf>
    <xf numFmtId="1" fontId="137" fillId="0" borderId="326" xfId="37" applyNumberFormat="1" applyFont="1" applyBorder="1" applyAlignment="1">
      <alignment horizontal="center" vertical="center"/>
    </xf>
    <xf numFmtId="2" fontId="137" fillId="13" borderId="542" xfId="37" applyNumberFormat="1" applyFont="1" applyFill="1" applyBorder="1" applyAlignment="1">
      <alignment vertical="center"/>
    </xf>
    <xf numFmtId="0" fontId="77" fillId="0" borderId="539" xfId="37" applyFont="1" applyBorder="1" applyAlignment="1">
      <alignment horizontal="center" vertical="center"/>
    </xf>
    <xf numFmtId="2" fontId="77" fillId="0" borderId="323" xfId="37" applyNumberFormat="1" applyFont="1" applyBorder="1" applyAlignment="1">
      <alignment horizontal="center" vertical="center"/>
    </xf>
    <xf numFmtId="2" fontId="77" fillId="0" borderId="323" xfId="37" applyNumberFormat="1" applyFont="1" applyBorder="1" applyAlignment="1">
      <alignment vertical="center"/>
    </xf>
    <xf numFmtId="0" fontId="77" fillId="0" borderId="323" xfId="37" applyFont="1" applyBorder="1" applyAlignment="1">
      <alignment horizontal="center" vertical="center"/>
    </xf>
    <xf numFmtId="0" fontId="77" fillId="0" borderId="323" xfId="37" applyFont="1" applyBorder="1" applyAlignment="1">
      <alignment horizontal="right" vertical="center"/>
    </xf>
    <xf numFmtId="0" fontId="77" fillId="0" borderId="323" xfId="37" applyFont="1" applyBorder="1" applyAlignment="1">
      <alignment horizontal="left" vertical="center"/>
    </xf>
    <xf numFmtId="1" fontId="77" fillId="0" borderId="323" xfId="37" applyNumberFormat="1" applyFont="1" applyBorder="1" applyAlignment="1">
      <alignment horizontal="center" vertical="center"/>
    </xf>
    <xf numFmtId="2" fontId="77" fillId="0" borderId="540" xfId="37" applyNumberFormat="1" applyFont="1" applyBorder="1" applyAlignment="1">
      <alignment vertical="center"/>
    </xf>
    <xf numFmtId="0" fontId="72" fillId="0" borderId="684" xfId="37" applyFont="1" applyBorder="1" applyAlignment="1">
      <alignment horizontal="center" vertical="center"/>
    </xf>
    <xf numFmtId="0" fontId="72" fillId="0" borderId="685" xfId="37" applyFont="1" applyBorder="1" applyAlignment="1">
      <alignment horizontal="center" vertical="center"/>
    </xf>
    <xf numFmtId="0" fontId="72" fillId="0" borderId="685" xfId="37" applyFont="1" applyBorder="1" applyAlignment="1">
      <alignment horizontal="center" vertical="center"/>
    </xf>
    <xf numFmtId="2" fontId="72" fillId="0" borderId="685" xfId="37" applyNumberFormat="1" applyFont="1" applyBorder="1" applyAlignment="1">
      <alignment vertical="center"/>
    </xf>
    <xf numFmtId="2" fontId="72" fillId="0" borderId="686" xfId="37" applyNumberFormat="1" applyFont="1" applyBorder="1" applyAlignment="1">
      <alignment vertical="center"/>
    </xf>
    <xf numFmtId="0" fontId="2" fillId="0" borderId="66" xfId="37" applyBorder="1"/>
    <xf numFmtId="0" fontId="70" fillId="0" borderId="73" xfId="37" applyFont="1" applyBorder="1" applyAlignment="1">
      <alignment horizontal="center" vertical="center" wrapText="1"/>
    </xf>
    <xf numFmtId="0" fontId="70" fillId="0" borderId="687" xfId="37" applyFont="1" applyBorder="1" applyAlignment="1">
      <alignment horizontal="center" vertical="center" wrapText="1"/>
    </xf>
    <xf numFmtId="0" fontId="70" fillId="0" borderId="682" xfId="37" applyFont="1" applyBorder="1" applyAlignment="1">
      <alignment horizontal="center" vertical="center" wrapText="1"/>
    </xf>
    <xf numFmtId="0" fontId="70" fillId="0" borderId="681" xfId="37" applyFont="1" applyBorder="1" applyAlignment="1">
      <alignment vertical="center"/>
    </xf>
    <xf numFmtId="0" fontId="70" fillId="0" borderId="298" xfId="37" applyFont="1" applyBorder="1" applyAlignment="1">
      <alignment horizontal="center" vertical="center" wrapText="1"/>
    </xf>
    <xf numFmtId="16" fontId="77" fillId="0" borderId="73" xfId="37" applyNumberFormat="1" applyFont="1" applyBorder="1" applyAlignment="1">
      <alignment vertical="center"/>
    </xf>
    <xf numFmtId="0" fontId="77" fillId="0" borderId="287" xfId="37" applyFont="1" applyBorder="1" applyAlignment="1">
      <alignment horizontal="left"/>
    </xf>
    <xf numFmtId="2" fontId="2" fillId="0" borderId="326" xfId="37" applyNumberFormat="1" applyBorder="1"/>
    <xf numFmtId="0" fontId="70" fillId="0" borderId="674" xfId="37" applyFont="1" applyBorder="1" applyAlignment="1">
      <alignment vertical="center" wrapText="1"/>
    </xf>
    <xf numFmtId="0" fontId="70" fillId="0" borderId="681" xfId="37" applyFont="1" applyBorder="1" applyAlignment="1">
      <alignment vertical="center" wrapText="1"/>
    </xf>
    <xf numFmtId="0" fontId="65" fillId="0" borderId="73" xfId="37" applyFont="1" applyBorder="1" applyAlignment="1">
      <alignment horizontal="left" vertical="center"/>
    </xf>
    <xf numFmtId="0" fontId="77" fillId="0" borderId="73" xfId="37" applyFont="1" applyBorder="1" applyAlignment="1">
      <alignment horizontal="left" vertical="center"/>
    </xf>
    <xf numFmtId="2" fontId="135" fillId="0" borderId="676" xfId="37" applyNumberFormat="1" applyFont="1" applyBorder="1" applyAlignment="1">
      <alignment horizontal="center" vertical="center"/>
    </xf>
    <xf numFmtId="0" fontId="135" fillId="0" borderId="677" xfId="37" applyFont="1" applyBorder="1" applyAlignment="1">
      <alignment horizontal="center" vertical="center"/>
    </xf>
    <xf numFmtId="0" fontId="135" fillId="0" borderId="678" xfId="37" applyFont="1" applyBorder="1" applyAlignment="1">
      <alignment horizontal="center" vertical="center"/>
    </xf>
    <xf numFmtId="0" fontId="2" fillId="0" borderId="674" xfId="37" applyFont="1" applyBorder="1" applyAlignment="1">
      <alignment horizontal="center"/>
    </xf>
    <xf numFmtId="0" fontId="2" fillId="0" borderId="73" xfId="37" applyBorder="1"/>
    <xf numFmtId="0" fontId="2" fillId="0" borderId="688" xfId="37" applyBorder="1"/>
    <xf numFmtId="0" fontId="2" fillId="0" borderId="689" xfId="37" applyBorder="1"/>
    <xf numFmtId="0" fontId="2" fillId="0" borderId="690" xfId="37" applyBorder="1"/>
    <xf numFmtId="0" fontId="0" fillId="0" borderId="674" xfId="37" applyFont="1" applyBorder="1"/>
  </cellXfs>
  <cellStyles count="38">
    <cellStyle name="Comma" xfId="1" builtinId="3"/>
    <cellStyle name="Comma [0]" xfId="2" builtinId="6"/>
    <cellStyle name="Comma [0] 2" xfId="3"/>
    <cellStyle name="Comma [0] 2 2" xfId="4"/>
    <cellStyle name="Comma [0] 2 3" xfId="31"/>
    <cellStyle name="Comma [0] 3" xfId="5"/>
    <cellStyle name="Comma [0] 4" xfId="22"/>
    <cellStyle name="Comma 10 3" xfId="36"/>
    <cellStyle name="Comma 2" xfId="6"/>
    <cellStyle name="Comma 2 2" xfId="27"/>
    <cellStyle name="Comma 3" xfId="7"/>
    <cellStyle name="Comma 3 2" xfId="32"/>
    <cellStyle name="Comma 4" xfId="8"/>
    <cellStyle name="Comma 5" xfId="9"/>
    <cellStyle name="Comma 5 2" xfId="26"/>
    <cellStyle name="Normal" xfId="0" builtinId="0"/>
    <cellStyle name="Normal 10" xfId="37"/>
    <cellStyle name="Normal 2" xfId="10"/>
    <cellStyle name="Normal 2 2" xfId="11"/>
    <cellStyle name="Normal 2 2 2" xfId="12"/>
    <cellStyle name="Normal 2 2 4" xfId="30"/>
    <cellStyle name="Normal 2 3 2" xfId="35"/>
    <cellStyle name="Normal 2_RAB MIRI Langsir" xfId="13"/>
    <cellStyle name="Normal 3" xfId="14"/>
    <cellStyle name="Normal 3 2" xfId="23"/>
    <cellStyle name="Normal 3 3" xfId="33"/>
    <cellStyle name="Normal 4" xfId="15"/>
    <cellStyle name="Normal 4 2" xfId="16"/>
    <cellStyle name="Normal 5" xfId="17"/>
    <cellStyle name="Normal 5 2" xfId="25"/>
    <cellStyle name="Normal 6" xfId="18"/>
    <cellStyle name="Normal_Contoh RAB Jalan ~ AN-03  Wates - Toyan - Karang Nongko (RSSP - ADB) 2" xfId="29"/>
    <cellStyle name="Normal_ESKA03" xfId="19"/>
    <cellStyle name="Normal_ESKA03 2" xfId="20"/>
    <cellStyle name="Normal_RAB Embung Flotim Suja 2" xfId="28"/>
    <cellStyle name="Percent" xfId="21" builtinId="5"/>
    <cellStyle name="Percent 2" xfId="24"/>
    <cellStyle name="Percent 2 2" xfId="3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" name="Text Box 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" name="Text Box 3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7" name="Text Box 4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" name="Text Box 5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9" name="Text Box 5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" name="Text Box 5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" name="Text Box 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2" name="Text Box 5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3" name="Text Box 6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" name="Text Box 8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5" name="Text Box 10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6" name="Text Box 10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" name="Text Box 10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" name="Text Box 10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9" name="Text Box 11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0" name="Text Box 11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" name="Text Box 14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" name="Text Box 15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3" name="Text Box 16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" name="Text Box 1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" name="Text Box 1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6" name="Text Box 16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7" name="Text Box 16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8" name="Text Box 19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" name="Text Box 21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0" name="Text Box 21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" name="Text Box 21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" name="Text Box 21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3" name="Text Box 21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4" name="Text Box 21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5" name="Text Box 24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" name="Text Box 26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7" name="Text Box 26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8" name="Text Box 26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" name="Text Box 26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40" name="Text Box 26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41" name="Text Box 27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42" name="Text Box 27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3" name="Text Box 27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" name="Text Box 30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" name="Text Box 31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6" name="Text Box 31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47" name="Text Box 32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8" name="Text Box 32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" name="Text Box 32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0" name="Text Box 32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1" name="Text Box 32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2" name="Text Box 3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3" name="Text Box 37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4" name="Text Box 37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5" name="Text Box 37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6" name="Text Box 37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7" name="Text Box 38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8" name="Text Box 38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9" name="Text Box 40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0" name="Text Box 42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61" name="Text Box 42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2" name="Text Box 42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3" name="Text Box 43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64" name="Text Box 43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65" name="Text Box 43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6" name="Text Box 4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7" name="Text Box 47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68" name="Text Box 48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69" name="Text Box 48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70" name="Text Box 48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71" name="Text Box 48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72" name="Text Box 48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73" name="Text Box 51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74" name="Text Box 53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75" name="Text Box 53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76" name="Text Box 53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77" name="Text Box 53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78" name="Text Box 53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79" name="Text Box 53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0" name="Text Box 53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1" name="Text Box 54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82" name="Text Box 54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3" name="Text Box 54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4" name="Text Box 54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85" name="Text Box 54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86" name="Text Box 54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7" name="Text Box 54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88" name="Text Box 54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89" name="Text Box 54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90" name="Text Box 54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91" name="Text Box 55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92" name="Text Box 55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93" name="Text Box 55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94" name="Text Box 55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95" name="Text Box 55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96" name="Text Box 55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97" name="Text Box 5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98" name="Text Box 55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99" name="Text Box 55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00" name="Text Box 55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1" name="Text Box 56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2" name="Text Box 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03" name="Text Box 56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4" name="Text Box 56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5" name="Text Box 56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06" name="Text Box 56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07" name="Text Box 56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8" name="Text Box 56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09" name="Text Box 56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10" name="Text Box 56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1" name="Text Box 57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2" name="Text Box 57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13" name="Text Box 57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14" name="Text Box 57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15" name="Text Box 57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6" name="Text Box 57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7" name="Text Box 60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8" name="Text Box 61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19" name="Text Box 62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20" name="Text Box 62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21" name="Text Box 62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22" name="Text Box 62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23" name="Text Box 63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24" name="Text Box 63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25" name="Text Box 65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26" name="Text Box 67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27" name="Text Box 67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28" name="Text Box 67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29" name="Text Box 68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30" name="Text Box 68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31" name="Text Box 68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32" name="Text Box 71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33" name="Text Box 72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34" name="Text Box 73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35" name="Text Box 73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36" name="Text Box 73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37" name="Text Box 73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38" name="Text Box 73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39" name="Text Box 76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0" name="Text Box 78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41" name="Text Box 78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2" name="Text Box 78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3" name="Text Box 78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44" name="Text Box 78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45" name="Text Box 79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6" name="Text Box 81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7" name="Text Box 83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48" name="Text Box 83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49" name="Text Box 83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50" name="Text Box 83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51" name="Text Box 84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52" name="Text Box 84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53" name="Text Box 84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54" name="Text Box 84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55" name="Text Box 84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56" name="Text Box 84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57" name="Text Box 84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58" name="Text Box 84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59" name="Text Box 84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60" name="Text Box 84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61" name="Text Box 85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62" name="Text Box 85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63" name="Text Box 85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64" name="Text Box 85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65" name="Text Box 85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66" name="Text Box 85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67" name="Text Box 8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68" name="Text Box 85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69" name="Text Box 85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0" name="Text Box 85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1" name="Text Box 86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72" name="Text Box 86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73" name="Text Box 86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4" name="Text Box 86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5" name="Text Box 86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76" name="Text Box 86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7" name="Text Box 86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78" name="Text Box 86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79" name="Text Box 86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80" name="Text Box 86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1" name="Text Box 87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2" name="Text Box 87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83" name="Text Box 87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4" name="Text Box 87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5" name="Text Box 87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86" name="Text Box 87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87" name="Text Box 87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8" name="Text Box 87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89" name="Text Box 87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90" name="Text Box 87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91" name="Text Box 88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92" name="Text Box 88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93" name="Text Box 88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94" name="Text Box 88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95" name="Text Box 88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96" name="Text Box 88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197" name="Text Box 88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98" name="Text Box 88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199" name="Text Box 88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00" name="Text Box 88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01" name="Text Box 89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02" name="Text Box 89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03" name="Text Box 89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04" name="Text Box 89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05" name="Text Box 89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06" name="Text Box 89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07" name="Text Box 89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08" name="Text Box 89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09" name="Text Box 89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0" name="Text Box 89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11" name="Text Box 90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2" name="Text Box 90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3" name="Text Box 90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14" name="Text Box 90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15" name="Text Box 90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6" name="Text Box 90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7" name="Text Box 90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18" name="Text Box 90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19" name="Text Box 90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0" name="Text Box 90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21" name="Text Box 91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22" name="Text Box 91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23" name="Text Box 91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4" name="Text Box 91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5" name="Text Box 94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6" name="Text Box 95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7" name="Text Box 96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28" name="Text Box 96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29" name="Text Box 96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30" name="Text Box 96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31" name="Text Box 96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32" name="Text Box 96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33" name="Text Box 99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34" name="Text Box 101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35" name="Text Box 101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36" name="Text Box 101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37" name="Text Box 101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38" name="Text Box 102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39" name="Text Box 102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0" name="Text Box 105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1" name="Text Box 106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42" name="Text Box 106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3" name="Text Box 107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4" name="Text Box 107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45" name="Text Box 107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46" name="Text Box 107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7" name="Text Box 110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48" name="Text Box 111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49" name="Text Box 112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0" name="Text Box 112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1" name="Text Box 112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52" name="Text Box 112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53" name="Text Box 112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4" name="Text Box 11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5" name="Text Box 117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56" name="Text Box 117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7" name="Text Box 117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58" name="Text Box 117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59" name="Text Box 117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60" name="Text Box 117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61" name="Text Box 118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62" name="Text Box 118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63" name="Text Box 118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64" name="Text Box 118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65" name="Text Box 118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66" name="Text Box 118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67" name="Text Box 118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68" name="Text Box 118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69" name="Text Box 118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70" name="Text Box 118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71" name="Text Box 119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72" name="Text Box 119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73" name="Text Box 119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74" name="Text Box 119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75" name="Text Box 119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76" name="Text Box 119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77" name="Text Box 119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78" name="Text Box 119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79" name="Text Box 119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80" name="Text Box 119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81" name="Text Box 120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82" name="Text Box 120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83" name="Text Box 120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84" name="Text Box 120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85" name="Text Box 120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86" name="Text Box 120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87" name="Text Box 120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88" name="Text Box 120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89" name="Text Box 120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0" name="Text Box 120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91" name="Text Box 121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2" name="Text Box 121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3" name="Text Box 121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94" name="Text Box 121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95" name="Text Box 121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6" name="Text Box 121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7" name="Text Box 121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298" name="Text Box 121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299" name="Text Box 121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00" name="Text Box 121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01" name="Text Box 122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02" name="Text Box 122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03" name="Text Box 122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04" name="Text Box 122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05" name="Text Box 122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06" name="Text Box 122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07" name="Text Box 122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08" name="Text Box 122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09" name="Text Box 122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0" name="Text Box 122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1" name="Text Box 123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12" name="Text Box 123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3" name="Text Box 123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4" name="Text Box 123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15" name="Text Box 123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16" name="Text Box 123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7" name="Text Box 123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18" name="Text Box 123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19" name="Text Box 123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0" name="Text Box 123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1" name="Text Box 124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22" name="Text Box 124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23" name="Text Box 124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4" name="Text Box 124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5" name="Text Box 124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26" name="Text Box 124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7" name="Text Box 124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28" name="Text Box 124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29" name="Text Box 124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30" name="Text Box 124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31" name="Text Box 125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32" name="Text Box 125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33" name="Text Box 125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34" name="Text Box 125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35" name="Text Box 125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36" name="Text Box 125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37" name="Text Box 125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38" name="Text Box 125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39" name="Text Box 125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40" name="Text Box 125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41" name="Text Box 126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42" name="Text Box 12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43" name="Text Box 126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44" name="Text Box 126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45" name="Text Box 126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46" name="Text Box 126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47" name="Text Box 126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48" name="Text Box 126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49" name="Text Box 126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50" name="Text Box 126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51" name="Text Box 127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52" name="Text Box 127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53" name="Text Box 127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54" name="Text Box 127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55" name="Text Box 127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56" name="Text Box 127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57" name="Text Box 127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58" name="Text Box 127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59" name="Text Box 127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0" name="Text Box 127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61" name="Text Box 128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2" name="Text Box 128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3" name="Text Box 128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64" name="Text Box 128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65" name="Text Box 128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66" name="Text Box 128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7" name="Text Box 128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8" name="Text Box 131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69" name="Text Box 132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70" name="Text Box 133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71" name="Text Box 133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72" name="Text Box 133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73" name="Text Box 133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74" name="Text Box 134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75" name="Text Box 134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76" name="Text Box 137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77" name="Text Box 138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78" name="Text Box 138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79" name="Text Box 139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80" name="Text Box 139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81" name="Text Box 139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82" name="Text Box 139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83" name="Text Box 142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84" name="Text Box 143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85" name="Text Box 144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86" name="Text Box 144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87" name="Text Box 144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88" name="Text Box 144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89" name="Text Box 144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0" name="Text Box 147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1" name="Text Box 149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92" name="Text Box 149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3" name="Text Box 149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4" name="Text Box 149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95" name="Text Box 150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96" name="Text Box 1501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7" name="Text Box 152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398" name="Text Box 154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399" name="Text Box 154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00" name="Text Box 154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01" name="Text Box 155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02" name="Text Box 155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03" name="Text Box 1552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04" name="Text Box 1553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05" name="Text Box 1554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06" name="Text Box 1555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07" name="Text Box 15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08" name="Text Box 1557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09" name="Text Box 155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10" name="Text Box 155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11" name="Text Box 1560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12" name="Text Box 1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13" name="Text Box 15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14" name="Text Box 1563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15" name="Text Box 156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16" name="Text Box 156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17" name="Text Box 1566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18" name="Text Box 1569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19" name="Text Box 157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0" name="Text Box 157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1" name="Text Box 157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2" name="Text Box 157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3" name="Text Box 157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4" name="Text Box 157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5" name="Text Box 157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6" name="Text Box 157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7" name="Text Box 157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8" name="Text Box 157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29" name="Text Box 158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30" name="Text Box 158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31" name="Text Box 158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32" name="Text Box 158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33" name="Text Box 1584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34" name="Text Box 1585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35" name="Text Box 1590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36" name="Text Box 1592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37" name="Text Box 1593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38" name="Text Box 1594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39" name="Text Box 1595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40" name="Text Box 1596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41" name="Text Box 1597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2" name="Text Box 159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3" name="Text Box 159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44" name="Text Box 1600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5" name="Text Box 160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6" name="Text Box 160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47" name="Text Box 1603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8" name="Text Box 160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49" name="Text Box 160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50" name="Text Box 1606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1" name="Text Box 160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2" name="Text Box 160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53" name="Text Box 1609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4" name="Text Box 161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5" name="Text Box 161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56" name="Text Box 1560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7" name="Text Box 1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8" name="Text Box 15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59" name="Text Box 155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60" name="Text Box 1552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61" name="Text Box 1553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62" name="Text Box 1554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63" name="Text Box 1555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64" name="Text Box 15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65" name="Text Box 1557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66" name="Text Box 155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67" name="Text Box 155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68" name="Text Box 1560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69" name="Text Box 1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70" name="Text Box 15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71" name="Text Box 1563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72" name="Text Box 156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73" name="Text Box 156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74" name="Text Box 1566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75" name="Text Box 1569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76" name="Text Box 157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77" name="Text Box 157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78" name="Text Box 158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79" name="Text Box 1584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80" name="Text Box 1585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81" name="Text Box 1590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82" name="Text Box 1593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66675</xdr:colOff>
      <xdr:row>0</xdr:row>
      <xdr:rowOff>152400</xdr:rowOff>
    </xdr:to>
    <xdr:sp macro="" textlink="">
      <xdr:nvSpPr>
        <xdr:cNvPr id="483" name="Text Box 1594"/>
        <xdr:cNvSpPr txBox="1">
          <a:spLocks noChangeArrowheads="1"/>
        </xdr:cNvSpPr>
      </xdr:nvSpPr>
      <xdr:spPr bwMode="auto">
        <a:xfrm>
          <a:off x="6419850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84" name="Text Box 1609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85" name="Text Box 161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86" name="Text Box 161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87" name="Text Box 1560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88" name="Text Box 1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89" name="Text Box 15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490" name="Text Box 1566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1" name="Text Box 155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2" name="Text Box 155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3" name="Text Box 1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4" name="Text Box 15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5" name="Text Box 15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6" name="Text Box 15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7" name="Text Box 161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498" name="Text Box 161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499" name="Text Box 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00" name="Text Box 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01" name="Text Box 3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02" name="Text Box 5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03" name="Text Box 54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04" name="Text Box 5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05" name="Text Box 56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06" name="Text Box 5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07" name="Text Box 6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08" name="Text Box 8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09" name="Text Box 10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10" name="Text Box 107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11" name="Text Box 10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12" name="Text Box 109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13" name="Text Box 112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14" name="Text Box 11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15" name="Text Box 14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16" name="Text Box 15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17" name="Text Box 160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18" name="Text Box 161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19" name="Text Box 162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20" name="Text Box 165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21" name="Text Box 16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22" name="Text Box 19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23" name="Text Box 210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24" name="Text Box 213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25" name="Text Box 214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26" name="Text Box 215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27" name="Text Box 218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28" name="Text Box 219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29" name="Text Box 24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30" name="Text Box 263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2</xdr:col>
      <xdr:colOff>0</xdr:colOff>
      <xdr:row>0</xdr:row>
      <xdr:rowOff>0</xdr:rowOff>
    </xdr:from>
    <xdr:ext cx="27765" cy="306865"/>
    <xdr:sp macro="" textlink="">
      <xdr:nvSpPr>
        <xdr:cNvPr id="531" name="Text Box 266"/>
        <xdr:cNvSpPr txBox="1">
          <a:spLocks noChangeArrowheads="1"/>
        </xdr:cNvSpPr>
      </xdr:nvSpPr>
      <xdr:spPr bwMode="auto">
        <a:xfrm>
          <a:off x="2867025" y="0"/>
          <a:ext cx="27765" cy="306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32" name="Text Box 26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33" name="Text Box 26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66675</xdr:colOff>
      <xdr:row>0</xdr:row>
      <xdr:rowOff>152400</xdr:rowOff>
    </xdr:to>
    <xdr:sp macro="" textlink="">
      <xdr:nvSpPr>
        <xdr:cNvPr id="534" name="Text Box 1606"/>
        <xdr:cNvSpPr txBox="1">
          <a:spLocks noChangeArrowheads="1"/>
        </xdr:cNvSpPr>
      </xdr:nvSpPr>
      <xdr:spPr bwMode="auto">
        <a:xfrm>
          <a:off x="307657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35" name="Text Box 1607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66675</xdr:colOff>
      <xdr:row>0</xdr:row>
      <xdr:rowOff>152400</xdr:rowOff>
    </xdr:to>
    <xdr:sp macro="" textlink="">
      <xdr:nvSpPr>
        <xdr:cNvPr id="536" name="Text Box 1608"/>
        <xdr:cNvSpPr txBox="1">
          <a:spLocks noChangeArrowheads="1"/>
        </xdr:cNvSpPr>
      </xdr:nvSpPr>
      <xdr:spPr bwMode="auto">
        <a:xfrm>
          <a:off x="2867025" y="0"/>
          <a:ext cx="666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orage\extSdCard\WhatsApp\Media\WhatsApp%20Documents\AHSP%20Spec2010rev4%20EBH2016-2.xls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@PROJECT%202018\3.%20DKS%202018\TALUD%20PUSKESMAS%20JUWANGI\DINDING%20PENGAMAN%20JUWANGI%20LELANG\RAB%20DINDING%20PENGAMAN%20JUWANGI%20(%202M%20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AB/RAB%20DINAS%20PERTANIAN%20KRA_HPS-REVISI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SANKA%20KARYA.cv/2021/10.%20Puskesmas%20KRA%202021/Master%20RAB%20%20-%20Cop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SANKA%20KARYA.cv/2022/RAB/MASTER%20RAB%202022-DPU%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ASANKA%20KARYA.cv/2022/28.%20Dinas%20Pertanian/RAB/RAB%20DINAS%20PERTANIAN%20KRA_RAB-REVIS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-Basic Price"/>
      <sheetName val="DATA UMUM"/>
      <sheetName val="UMK"/>
      <sheetName val="Disclaimer-"/>
      <sheetName val="harga aspal pertamina"/>
      <sheetName val="Ketentuan"/>
      <sheetName val="Bhn Royalti"/>
      <sheetName val="Informasi"/>
      <sheetName val="BOQ perBPT"/>
      <sheetName val="HKra2016"/>
      <sheetName val="HSD Des2014"/>
      <sheetName val="swakelola"/>
      <sheetName val="Sheet2"/>
      <sheetName val="4-Analisa Quarry"/>
      <sheetName val="Agg Halus &amp; Kasar"/>
      <sheetName val="Agg A"/>
      <sheetName val="Agg B &amp; S"/>
      <sheetName val="Agg C"/>
      <sheetName val="HSD Alat"/>
      <sheetName val="5-ALAT(1)"/>
      <sheetName val="5-ALAT (2)"/>
      <sheetName val=".."/>
      <sheetName val="Rekap"/>
      <sheetName val="BOQ"/>
      <sheetName val="MANAGEMENT"/>
      <sheetName val="AnK"/>
      <sheetName val="D1a"/>
      <sheetName val="D1b"/>
      <sheetName val="D2"/>
      <sheetName val="D2 Uditch"/>
      <sheetName val="D2 (DS)"/>
      <sheetName val="D3"/>
      <sheetName val="D4"/>
      <sheetName val="D5"/>
      <sheetName val="D5 dinas 2015"/>
      <sheetName val="D6"/>
      <sheetName val="D6 ASBT"/>
      <sheetName val="D7(1)"/>
      <sheetName val="D7(2)"/>
      <sheetName val="D7(3)"/>
      <sheetName val="D8(1)"/>
      <sheetName val="D8(2)"/>
      <sheetName val="D9 (X)"/>
      <sheetName val="D10"/>
      <sheetName val="D10.1"/>
      <sheetName val="D10.2"/>
      <sheetName val="D10.3"/>
      <sheetName val="D10.4"/>
      <sheetName val="D10.5"/>
      <sheetName val="D Tambahan"/>
      <sheetName val="CPHMA-WC rz"/>
      <sheetName val="CPHMA-WC"/>
      <sheetName val="CPHMA-BC"/>
      <sheetName val="cphma-wc-non-zag"/>
      <sheetName val="cphma-bc-non-zag"/>
      <sheetName val="AC-WC Asb (H)"/>
      <sheetName val="Sheet1"/>
      <sheetName val="HPS 95 vs 10"/>
      <sheetName val="CTRB"/>
      <sheetName val="CMRFB"/>
      <sheetName val="D10 LS-Rutin (X)"/>
      <sheetName val="D10 Kuantitas ( X )"/>
      <sheetName val="x"/>
      <sheetName val="MAJOR (X)"/>
      <sheetName val="% (X)"/>
      <sheetName val="Peta Quarry (X)"/>
      <sheetName val="Mobilisasi (X)"/>
      <sheetName val="Perhitungan Mobilisasi Alat (X)"/>
      <sheetName val="Lalu Lintas (X)"/>
      <sheetName val="Jembatan Sementara (X)"/>
      <sheetName val="Analisa K3 (X)"/>
      <sheetName val="Rekap Basic Price (x)"/>
      <sheetName val="4-formulir harga bahan (X)"/>
      <sheetName val="Compatibility Report"/>
      <sheetName val="Sheet3"/>
    </sheetNames>
    <sheetDataSet>
      <sheetData sheetId="0" refreshError="1">
        <row r="77">
          <cell r="G77">
            <v>210750</v>
          </cell>
        </row>
        <row r="99">
          <cell r="G99">
            <v>10250</v>
          </cell>
        </row>
        <row r="100">
          <cell r="G100">
            <v>9500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mus"/>
      <sheetName val="wil 2018"/>
      <sheetName val="COVER "/>
      <sheetName val="Rekab"/>
      <sheetName val="RAB"/>
      <sheetName val="TALUD"/>
      <sheetName val="sat.pekerjaan"/>
      <sheetName val="daftar upah tenaga kerja"/>
      <sheetName val="daftar harga bahan"/>
      <sheetName val="daftar sewa alat"/>
      <sheetName val="abk 2-14 (Tanah)"/>
      <sheetName val="abk 7-14 ( Beton )"/>
      <sheetName val="BRONJONG"/>
      <sheetName val="UDITCH"/>
      <sheetName val="abk 1-14 ( Persiapan )"/>
      <sheetName val="SULING2"/>
      <sheetName val="PAVING"/>
      <sheetName val="abk 3-14 ( Pondasi )"/>
      <sheetName val="abk 4-14 ( Dinding )"/>
      <sheetName val="abk 5-14 ( Plester )"/>
      <sheetName val="abk 8-14 ( Atap )"/>
      <sheetName val="abk 9-14 ( Plafond )"/>
      <sheetName val="FLOORING"/>
      <sheetName val="PARTISI"/>
      <sheetName val="abk 6-14 ( Kayu )"/>
      <sheetName val="abk 12-14 (Kunci)"/>
      <sheetName val="AKSESORIES"/>
      <sheetName val="ASPAL"/>
      <sheetName val="abk 10-14 (Sanitasi) "/>
      <sheetName val="abk 11-14 (Alumunium)"/>
      <sheetName val="abk 13-14 (Lantai)"/>
      <sheetName val="abk 14-14 (Cat)"/>
      <sheetName val="PINTU &amp; JENDELA"/>
      <sheetName val="ELEKTRIKAL"/>
      <sheetName val="D5"/>
      <sheetName val="D6"/>
      <sheetName val="TA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6">
          <cell r="G16">
            <v>66000</v>
          </cell>
        </row>
      </sheetData>
      <sheetData sheetId="8">
        <row r="29">
          <cell r="H29">
            <v>210000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3">
          <cell r="G3" t="str">
            <v>URAIAN  PEKERJAAN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I"/>
      <sheetName val="REKAPITULASI RAB"/>
      <sheetName val="HPS"/>
      <sheetName val="terbilang"/>
      <sheetName val="tempelet"/>
      <sheetName val="B.VOL RAB"/>
      <sheetName val="back up kusen alumunium"/>
      <sheetName val="Upah &amp; bahan dinper"/>
      <sheetName val="Rekap"/>
      <sheetName val="AHSP DINPER"/>
      <sheetName val="REKAP ANALISA"/>
      <sheetName val="TABEL HITUNG BESI 1"/>
      <sheetName val="TABEL HITUNG BESI 2"/>
      <sheetName val="AHSP SUMUR"/>
      <sheetName val="HARGA 2021"/>
      <sheetName val="Usulan 2021"/>
      <sheetName val="Upah &amp; Bahan"/>
      <sheetName val="AHSP 2008"/>
      <sheetName val="Daftar Analys"/>
      <sheetName val="analisa pintu jendela"/>
      <sheetName val="Sheet2"/>
      <sheetName val="Usulan 2022"/>
      <sheetName val="K3"/>
      <sheetName val="AHSP 2002"/>
      <sheetName val="AHSP HTG"/>
      <sheetName val="AHSP PASAR"/>
    </sheetNames>
    <sheetDataSet>
      <sheetData sheetId="0" refreshError="1"/>
      <sheetData sheetId="1" refreshError="1"/>
      <sheetData sheetId="2" refreshError="1">
        <row r="26">
          <cell r="M26">
            <v>43812473.060000002</v>
          </cell>
        </row>
        <row r="33">
          <cell r="M33">
            <v>114157019.97</v>
          </cell>
        </row>
        <row r="38">
          <cell r="M38">
            <v>45747811.549999997</v>
          </cell>
        </row>
        <row r="135">
          <cell r="M135">
            <v>1670051823.0199993</v>
          </cell>
        </row>
        <row r="151">
          <cell r="M151">
            <v>427086385.24000001</v>
          </cell>
        </row>
        <row r="169">
          <cell r="M169">
            <v>677806837.46000004</v>
          </cell>
        </row>
        <row r="183">
          <cell r="M183">
            <v>292942794.96999997</v>
          </cell>
        </row>
        <row r="190">
          <cell r="M190">
            <v>551859626.79000008</v>
          </cell>
        </row>
        <row r="208">
          <cell r="M208">
            <v>453420476.76000005</v>
          </cell>
        </row>
        <row r="219">
          <cell r="M219">
            <v>166372798.08999997</v>
          </cell>
        </row>
        <row r="222">
          <cell r="M222">
            <v>112832000</v>
          </cell>
        </row>
        <row r="268">
          <cell r="M268">
            <v>144794794.86999997</v>
          </cell>
        </row>
        <row r="318">
          <cell r="M318">
            <v>429967794.01000005</v>
          </cell>
        </row>
        <row r="319">
          <cell r="M319">
            <v>5130852639.9899988</v>
          </cell>
        </row>
        <row r="324">
          <cell r="M324">
            <v>143537669.85800001</v>
          </cell>
        </row>
      </sheetData>
      <sheetData sheetId="3" refreshError="1"/>
      <sheetData sheetId="4" refreshError="1"/>
      <sheetData sheetId="5" refreshError="1">
        <row r="15">
          <cell r="Q15">
            <v>1</v>
          </cell>
        </row>
        <row r="17">
          <cell r="Q17">
            <v>205.8</v>
          </cell>
        </row>
        <row r="20">
          <cell r="Q20">
            <v>767.55000000000007</v>
          </cell>
        </row>
        <row r="22">
          <cell r="Q22">
            <v>1</v>
          </cell>
        </row>
        <row r="23">
          <cell r="Q23">
            <v>1</v>
          </cell>
        </row>
        <row r="26">
          <cell r="Q26">
            <v>125.12000000000002</v>
          </cell>
        </row>
        <row r="30">
          <cell r="Q30">
            <v>415</v>
          </cell>
        </row>
        <row r="33">
          <cell r="Q33">
            <v>162.036</v>
          </cell>
        </row>
        <row r="35">
          <cell r="Q35">
            <v>631.13400000000001</v>
          </cell>
        </row>
        <row r="36">
          <cell r="Q36">
            <v>26.52</v>
          </cell>
        </row>
        <row r="42">
          <cell r="Q42">
            <v>9.9200000000000017</v>
          </cell>
        </row>
        <row r="43">
          <cell r="Q43">
            <v>44.044000000000004</v>
          </cell>
        </row>
        <row r="45">
          <cell r="Q45">
            <v>7.68</v>
          </cell>
        </row>
        <row r="52">
          <cell r="Q52">
            <v>8.2999999999999989</v>
          </cell>
        </row>
        <row r="56">
          <cell r="Q56">
            <v>41.471999999999994</v>
          </cell>
        </row>
        <row r="58">
          <cell r="Q58">
            <v>3622.2814623302602</v>
          </cell>
        </row>
        <row r="61">
          <cell r="Q61">
            <v>138.24</v>
          </cell>
        </row>
        <row r="65">
          <cell r="Q65">
            <v>0.76800000000000013</v>
          </cell>
        </row>
        <row r="67">
          <cell r="Q67">
            <v>73.353172532374217</v>
          </cell>
        </row>
        <row r="70">
          <cell r="Q70">
            <v>3.84</v>
          </cell>
        </row>
        <row r="75">
          <cell r="Q75">
            <v>24.736000000000008</v>
          </cell>
        </row>
        <row r="77">
          <cell r="Q77">
            <v>4504.2409055814333</v>
          </cell>
        </row>
        <row r="81">
          <cell r="Q81">
            <v>247.36000000000004</v>
          </cell>
        </row>
        <row r="85">
          <cell r="Q85">
            <v>13.343999999999998</v>
          </cell>
        </row>
        <row r="87">
          <cell r="Q87">
            <v>2070.8000451047028</v>
          </cell>
        </row>
        <row r="90">
          <cell r="Q90">
            <v>133.43999999999997</v>
          </cell>
        </row>
        <row r="93">
          <cell r="Q93">
            <v>2.4750000000000001</v>
          </cell>
        </row>
        <row r="95">
          <cell r="Q95">
            <v>547.33738272710912</v>
          </cell>
        </row>
        <row r="97">
          <cell r="Q97">
            <v>33</v>
          </cell>
        </row>
        <row r="102">
          <cell r="Q102">
            <v>14.400000000000002</v>
          </cell>
        </row>
        <row r="104">
          <cell r="Q104">
            <v>1991.5889437187145</v>
          </cell>
        </row>
        <row r="106">
          <cell r="Q106">
            <v>57.600000000000009</v>
          </cell>
        </row>
        <row r="110">
          <cell r="Q110">
            <v>38.400000000000006</v>
          </cell>
        </row>
        <row r="112">
          <cell r="Q112">
            <v>5309.0542372417713</v>
          </cell>
        </row>
        <row r="115">
          <cell r="Q115">
            <v>153.60000000000002</v>
          </cell>
        </row>
        <row r="118">
          <cell r="Q118">
            <v>1.44</v>
          </cell>
        </row>
        <row r="120">
          <cell r="Q120">
            <v>173.56765340332495</v>
          </cell>
        </row>
        <row r="122">
          <cell r="Q122">
            <v>9.6</v>
          </cell>
        </row>
        <row r="126">
          <cell r="Q126">
            <v>212.79999999999998</v>
          </cell>
        </row>
        <row r="127">
          <cell r="Q127">
            <v>132</v>
          </cell>
        </row>
        <row r="130">
          <cell r="Q130">
            <v>0.128</v>
          </cell>
        </row>
        <row r="132">
          <cell r="Q132">
            <v>11.632337419335084</v>
          </cell>
        </row>
        <row r="134">
          <cell r="Q134">
            <v>2.048</v>
          </cell>
        </row>
        <row r="140">
          <cell r="Q140">
            <v>35.824499999999993</v>
          </cell>
        </row>
        <row r="142">
          <cell r="Q142">
            <v>9036.6563445005468</v>
          </cell>
        </row>
        <row r="144">
          <cell r="Q144">
            <v>471.37499999999989</v>
          </cell>
        </row>
        <row r="148">
          <cell r="Q148">
            <v>14.512000000000004</v>
          </cell>
        </row>
        <row r="150">
          <cell r="Q150">
            <v>2074.4589900004985</v>
          </cell>
        </row>
        <row r="152">
          <cell r="Q152">
            <v>181.4</v>
          </cell>
        </row>
        <row r="156">
          <cell r="Q156">
            <v>10.17</v>
          </cell>
        </row>
        <row r="158">
          <cell r="Q158">
            <v>2361.0873008388248</v>
          </cell>
        </row>
        <row r="160">
          <cell r="Q160">
            <v>135.6</v>
          </cell>
        </row>
        <row r="164">
          <cell r="Q164">
            <v>2.88</v>
          </cell>
        </row>
        <row r="166">
          <cell r="Q166">
            <v>607.11686437667709</v>
          </cell>
        </row>
        <row r="168">
          <cell r="Q168">
            <v>38.4</v>
          </cell>
        </row>
        <row r="172">
          <cell r="Q172">
            <v>5.7059999999999986</v>
          </cell>
        </row>
        <row r="174">
          <cell r="Q174">
            <v>1272.2671760379098</v>
          </cell>
        </row>
        <row r="176">
          <cell r="Q176">
            <v>95.09999999999998</v>
          </cell>
        </row>
        <row r="181">
          <cell r="Q181">
            <v>74.461199999999977</v>
          </cell>
        </row>
        <row r="183">
          <cell r="Q183">
            <v>6158.315468184197</v>
          </cell>
        </row>
        <row r="187">
          <cell r="Q187">
            <v>732.87119999999982</v>
          </cell>
        </row>
        <row r="191">
          <cell r="Q191">
            <v>1.7711999999999999</v>
          </cell>
        </row>
        <row r="194">
          <cell r="Q194">
            <v>210.41193788536071</v>
          </cell>
        </row>
        <row r="197">
          <cell r="Q197">
            <v>18.216000000000001</v>
          </cell>
        </row>
        <row r="201">
          <cell r="Q201">
            <v>9.516</v>
          </cell>
        </row>
        <row r="203">
          <cell r="Q203">
            <v>1212.5413331559116</v>
          </cell>
        </row>
        <row r="207">
          <cell r="Q207">
            <v>108.73599999999999</v>
          </cell>
        </row>
        <row r="210">
          <cell r="Q210">
            <v>9.3940000000000001</v>
          </cell>
        </row>
        <row r="212">
          <cell r="Q212">
            <v>595.16096804676351</v>
          </cell>
        </row>
        <row r="214">
          <cell r="Q214">
            <v>285.63399999999996</v>
          </cell>
        </row>
        <row r="219">
          <cell r="Q219">
            <v>11.52</v>
          </cell>
        </row>
        <row r="221">
          <cell r="Q221">
            <v>1930.3790949339673</v>
          </cell>
        </row>
        <row r="224">
          <cell r="Q224">
            <v>57.599999999999994</v>
          </cell>
        </row>
        <row r="228">
          <cell r="Q228">
            <v>152</v>
          </cell>
        </row>
        <row r="229">
          <cell r="Q229">
            <v>132</v>
          </cell>
        </row>
        <row r="233">
          <cell r="Q233">
            <v>549.26</v>
          </cell>
        </row>
        <row r="262">
          <cell r="Q262">
            <v>247.13599999999997</v>
          </cell>
        </row>
        <row r="280">
          <cell r="Q280">
            <v>1098.52</v>
          </cell>
        </row>
        <row r="281">
          <cell r="Q281">
            <v>1206.2</v>
          </cell>
        </row>
        <row r="284">
          <cell r="Q284">
            <v>1098.52</v>
          </cell>
        </row>
        <row r="288">
          <cell r="Q288">
            <v>407.23250000000002</v>
          </cell>
        </row>
        <row r="313">
          <cell r="Q313">
            <v>236.99750000000009</v>
          </cell>
        </row>
        <row r="330">
          <cell r="Q330">
            <v>814.46500000000003</v>
          </cell>
        </row>
        <row r="331">
          <cell r="Q331">
            <v>1006.24</v>
          </cell>
        </row>
        <row r="334">
          <cell r="Q334">
            <v>754.95699999999999</v>
          </cell>
        </row>
        <row r="340">
          <cell r="Q340">
            <v>67.116</v>
          </cell>
        </row>
        <row r="341">
          <cell r="Q341">
            <v>742.51</v>
          </cell>
        </row>
        <row r="348">
          <cell r="Q348">
            <v>80.600000000000009</v>
          </cell>
        </row>
        <row r="353">
          <cell r="Q353">
            <v>67.824000000000012</v>
          </cell>
        </row>
        <row r="359">
          <cell r="Q359">
            <v>183.52999999999997</v>
          </cell>
        </row>
        <row r="361">
          <cell r="Q361">
            <v>18.840000000000003</v>
          </cell>
        </row>
        <row r="365">
          <cell r="Q365">
            <v>614.89999999999964</v>
          </cell>
        </row>
        <row r="368">
          <cell r="Q368">
            <v>175.4</v>
          </cell>
        </row>
        <row r="374">
          <cell r="Q374">
            <v>61.06</v>
          </cell>
        </row>
        <row r="375">
          <cell r="Q375">
            <v>724.55499999999995</v>
          </cell>
        </row>
        <row r="381">
          <cell r="Q381">
            <v>59.508000000000017</v>
          </cell>
        </row>
        <row r="386">
          <cell r="Q386">
            <v>16.53</v>
          </cell>
        </row>
        <row r="390">
          <cell r="Q390">
            <v>643.69999999999959</v>
          </cell>
        </row>
        <row r="395">
          <cell r="Q395">
            <v>785.32499999999993</v>
          </cell>
        </row>
        <row r="399">
          <cell r="Q399">
            <v>753.75</v>
          </cell>
        </row>
        <row r="405">
          <cell r="Q405">
            <v>39.9</v>
          </cell>
        </row>
        <row r="407">
          <cell r="Q407">
            <v>459.6999999999997</v>
          </cell>
        </row>
        <row r="409">
          <cell r="Q409">
            <v>25.4</v>
          </cell>
        </row>
        <row r="412">
          <cell r="Q412">
            <v>831.65</v>
          </cell>
        </row>
        <row r="415">
          <cell r="Q415">
            <v>829.65</v>
          </cell>
        </row>
        <row r="419">
          <cell r="Q419">
            <v>427.89999999999981</v>
          </cell>
        </row>
        <row r="420">
          <cell r="Q420">
            <v>68.399999999999991</v>
          </cell>
        </row>
        <row r="430">
          <cell r="Q430">
            <v>74.400000000000006</v>
          </cell>
        </row>
        <row r="432">
          <cell r="Q432">
            <v>117.80000000000001</v>
          </cell>
        </row>
        <row r="437">
          <cell r="Q437">
            <v>560.6</v>
          </cell>
        </row>
        <row r="438">
          <cell r="Q438">
            <v>21.84</v>
          </cell>
        </row>
        <row r="439">
          <cell r="Q439">
            <v>16.695000000000004</v>
          </cell>
        </row>
        <row r="440">
          <cell r="Q440">
            <v>112.04</v>
          </cell>
        </row>
        <row r="441">
          <cell r="Q441">
            <v>23.64</v>
          </cell>
        </row>
        <row r="474">
          <cell r="Q474">
            <v>576.6</v>
          </cell>
        </row>
        <row r="475">
          <cell r="Q475">
            <v>48.1</v>
          </cell>
        </row>
        <row r="476">
          <cell r="Q476">
            <v>14.840000000000003</v>
          </cell>
        </row>
        <row r="477">
          <cell r="Q477">
            <v>104.04</v>
          </cell>
        </row>
        <row r="478">
          <cell r="Q478">
            <v>23.88</v>
          </cell>
        </row>
        <row r="509">
          <cell r="Q509">
            <v>1114.2919999999999</v>
          </cell>
        </row>
        <row r="519">
          <cell r="Q519">
            <v>353.28000000000003</v>
          </cell>
        </row>
        <row r="525">
          <cell r="Q525">
            <v>753.75</v>
          </cell>
        </row>
        <row r="531">
          <cell r="Q531">
            <v>816.87500000000023</v>
          </cell>
        </row>
        <row r="542">
          <cell r="Q542">
            <v>564.16000000000008</v>
          </cell>
        </row>
        <row r="549">
          <cell r="Q549">
            <v>829.65</v>
          </cell>
        </row>
        <row r="550">
          <cell r="Q550">
            <v>153.20949999999999</v>
          </cell>
        </row>
        <row r="555">
          <cell r="Q555">
            <v>176.3</v>
          </cell>
        </row>
        <row r="560">
          <cell r="Q560">
            <v>29</v>
          </cell>
        </row>
        <row r="561">
          <cell r="Q561">
            <v>37</v>
          </cell>
        </row>
        <row r="562">
          <cell r="Q562">
            <v>53</v>
          </cell>
        </row>
        <row r="563">
          <cell r="Q563">
            <v>4</v>
          </cell>
        </row>
        <row r="565">
          <cell r="Q565">
            <v>14.8</v>
          </cell>
        </row>
        <row r="566">
          <cell r="Q566">
            <v>15.8</v>
          </cell>
        </row>
        <row r="567">
          <cell r="Q567">
            <v>17.8</v>
          </cell>
        </row>
        <row r="569">
          <cell r="Q569">
            <v>32</v>
          </cell>
        </row>
        <row r="571">
          <cell r="Q571">
            <v>8</v>
          </cell>
        </row>
        <row r="572">
          <cell r="Q572">
            <v>4</v>
          </cell>
        </row>
        <row r="573">
          <cell r="Q573">
            <v>10</v>
          </cell>
        </row>
        <row r="574">
          <cell r="Q574">
            <v>1</v>
          </cell>
        </row>
        <row r="575">
          <cell r="Q575">
            <v>8</v>
          </cell>
        </row>
        <row r="576">
          <cell r="Q576">
            <v>1</v>
          </cell>
        </row>
        <row r="583">
          <cell r="Q583">
            <v>18</v>
          </cell>
        </row>
        <row r="584">
          <cell r="Q584">
            <v>27.8</v>
          </cell>
        </row>
        <row r="585">
          <cell r="Q585">
            <v>53</v>
          </cell>
        </row>
        <row r="586">
          <cell r="Q586">
            <v>4</v>
          </cell>
        </row>
        <row r="588">
          <cell r="Q588">
            <v>4</v>
          </cell>
        </row>
        <row r="589">
          <cell r="Q589">
            <v>12</v>
          </cell>
        </row>
        <row r="590">
          <cell r="Q590">
            <v>24</v>
          </cell>
        </row>
        <row r="592">
          <cell r="Q592">
            <v>24</v>
          </cell>
        </row>
        <row r="594">
          <cell r="Q594">
            <v>102</v>
          </cell>
        </row>
        <row r="596">
          <cell r="Q596">
            <v>7</v>
          </cell>
        </row>
        <row r="597">
          <cell r="Q597">
            <v>4</v>
          </cell>
        </row>
        <row r="598">
          <cell r="Q598">
            <v>9</v>
          </cell>
        </row>
        <row r="599">
          <cell r="Q599">
            <v>7</v>
          </cell>
        </row>
        <row r="600">
          <cell r="Q600">
            <v>2</v>
          </cell>
        </row>
        <row r="601">
          <cell r="Q601">
            <v>12</v>
          </cell>
        </row>
        <row r="606">
          <cell r="Q606">
            <v>44000</v>
          </cell>
        </row>
        <row r="607">
          <cell r="Q607">
            <v>61.3</v>
          </cell>
        </row>
        <row r="608">
          <cell r="Q608">
            <v>3.2</v>
          </cell>
        </row>
        <row r="609">
          <cell r="Q609">
            <v>142</v>
          </cell>
        </row>
        <row r="610">
          <cell r="Q610">
            <v>42</v>
          </cell>
        </row>
        <row r="611">
          <cell r="Q611">
            <v>13</v>
          </cell>
        </row>
        <row r="612">
          <cell r="Q612">
            <v>6</v>
          </cell>
        </row>
        <row r="613">
          <cell r="Q613">
            <v>12</v>
          </cell>
        </row>
        <row r="615">
          <cell r="Q615">
            <v>28</v>
          </cell>
        </row>
        <row r="616">
          <cell r="Q616">
            <v>11</v>
          </cell>
        </row>
        <row r="617">
          <cell r="Q617">
            <v>42</v>
          </cell>
        </row>
        <row r="618">
          <cell r="Q618">
            <v>13</v>
          </cell>
        </row>
        <row r="619">
          <cell r="Q619">
            <v>6</v>
          </cell>
        </row>
        <row r="620">
          <cell r="Q620">
            <v>12</v>
          </cell>
        </row>
        <row r="621">
          <cell r="Q621">
            <v>12</v>
          </cell>
        </row>
        <row r="622">
          <cell r="Q622">
            <v>122</v>
          </cell>
        </row>
        <row r="623">
          <cell r="Q623">
            <v>8</v>
          </cell>
        </row>
        <row r="624">
          <cell r="Q624">
            <v>55</v>
          </cell>
        </row>
        <row r="625">
          <cell r="Q625">
            <v>13</v>
          </cell>
        </row>
        <row r="626">
          <cell r="Q626">
            <v>1</v>
          </cell>
        </row>
        <row r="627">
          <cell r="Q627">
            <v>10</v>
          </cell>
        </row>
        <row r="631">
          <cell r="Q631">
            <v>7.6</v>
          </cell>
        </row>
        <row r="632">
          <cell r="Q632">
            <v>12</v>
          </cell>
        </row>
        <row r="633">
          <cell r="Q633">
            <v>42</v>
          </cell>
        </row>
        <row r="634">
          <cell r="Q634">
            <v>12</v>
          </cell>
        </row>
        <row r="637">
          <cell r="Q637">
            <v>28</v>
          </cell>
        </row>
        <row r="638">
          <cell r="Q638">
            <v>12</v>
          </cell>
        </row>
        <row r="639">
          <cell r="Q639">
            <v>42</v>
          </cell>
        </row>
        <row r="640">
          <cell r="Q640">
            <v>12</v>
          </cell>
        </row>
        <row r="641">
          <cell r="Q641">
            <v>4</v>
          </cell>
        </row>
        <row r="642">
          <cell r="Q642">
            <v>8</v>
          </cell>
        </row>
        <row r="643">
          <cell r="Q643">
            <v>12</v>
          </cell>
        </row>
        <row r="644">
          <cell r="Q644">
            <v>116</v>
          </cell>
        </row>
        <row r="645">
          <cell r="Q645">
            <v>55</v>
          </cell>
        </row>
        <row r="646">
          <cell r="Q646">
            <v>9</v>
          </cell>
        </row>
        <row r="647">
          <cell r="Q647">
            <v>12</v>
          </cell>
        </row>
        <row r="648">
          <cell r="Q648">
            <v>1</v>
          </cell>
        </row>
        <row r="649">
          <cell r="Q649">
            <v>1</v>
          </cell>
        </row>
        <row r="650">
          <cell r="Q650">
            <v>1</v>
          </cell>
        </row>
      </sheetData>
      <sheetData sheetId="6" refreshError="1"/>
      <sheetData sheetId="7" refreshError="1"/>
      <sheetData sheetId="8" refreshError="1">
        <row r="12"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K12">
            <v>0</v>
          </cell>
        </row>
        <row r="13">
          <cell r="B13">
            <v>1</v>
          </cell>
          <cell r="D13" t="str">
            <v>Administrasi dan dokumentasi</v>
          </cell>
          <cell r="E13" t="str">
            <v>An. Dihitung</v>
          </cell>
          <cell r="F13">
            <v>0</v>
          </cell>
          <cell r="G13">
            <v>283912.5</v>
          </cell>
          <cell r="H13">
            <v>0</v>
          </cell>
          <cell r="I13">
            <v>85500</v>
          </cell>
          <cell r="J13">
            <v>0</v>
          </cell>
          <cell r="K13" t="str">
            <v>ls</v>
          </cell>
        </row>
        <row r="14">
          <cell r="B14">
            <v>2</v>
          </cell>
          <cell r="D14" t="str">
            <v>Pembersihan lapangan dan perataan</v>
          </cell>
          <cell r="E14" t="str">
            <v>A.2.2.1.9.</v>
          </cell>
          <cell r="F14">
            <v>0</v>
          </cell>
          <cell r="G14">
            <v>14577</v>
          </cell>
          <cell r="H14">
            <v>0</v>
          </cell>
          <cell r="I14">
            <v>0</v>
          </cell>
          <cell r="J14">
            <v>0</v>
          </cell>
          <cell r="K14" t="str">
            <v>m2</v>
          </cell>
        </row>
        <row r="15">
          <cell r="B15">
            <v>3</v>
          </cell>
          <cell r="D15" t="str">
            <v xml:space="preserve">Pengukuran dan pemasangan bouwplank  </v>
          </cell>
          <cell r="E15" t="str">
            <v>A.2.2.1.4.</v>
          </cell>
          <cell r="F15">
            <v>0</v>
          </cell>
          <cell r="G15">
            <v>59256.07</v>
          </cell>
          <cell r="H15">
            <v>0</v>
          </cell>
          <cell r="I15">
            <v>19145</v>
          </cell>
          <cell r="J15">
            <v>0</v>
          </cell>
          <cell r="K15" t="str">
            <v>m'</v>
          </cell>
        </row>
        <row r="16">
          <cell r="B16">
            <v>4</v>
          </cell>
          <cell r="D16" t="str">
            <v>Bongkaran dinding tembok bata merah</v>
          </cell>
          <cell r="E16" t="str">
            <v>A.2.2.1.14.</v>
          </cell>
          <cell r="F16">
            <v>0</v>
          </cell>
          <cell r="G16">
            <v>676869.44</v>
          </cell>
          <cell r="H16">
            <v>0</v>
          </cell>
          <cell r="I16">
            <v>676869.44</v>
          </cell>
          <cell r="J16">
            <v>0</v>
          </cell>
          <cell r="K16" t="str">
            <v>m3</v>
          </cell>
        </row>
        <row r="17">
          <cell r="B17">
            <v>5</v>
          </cell>
          <cell r="D17" t="str">
            <v>Bongkaran beton bertulang</v>
          </cell>
          <cell r="E17" t="str">
            <v>A.2.2.1.13.</v>
          </cell>
          <cell r="F17">
            <v>0</v>
          </cell>
          <cell r="G17">
            <v>1353738.87</v>
          </cell>
          <cell r="H17">
            <v>0</v>
          </cell>
          <cell r="I17">
            <v>1353738.87</v>
          </cell>
          <cell r="J17">
            <v>0</v>
          </cell>
          <cell r="K17" t="str">
            <v>m3</v>
          </cell>
        </row>
        <row r="18">
          <cell r="B18">
            <v>6</v>
          </cell>
          <cell r="D18" t="str">
            <v xml:space="preserve">Menggali tanah biasa sedalam 1 m' </v>
          </cell>
          <cell r="E18" t="str">
            <v>A.2.3.1.1.</v>
          </cell>
          <cell r="F18">
            <v>0</v>
          </cell>
          <cell r="G18">
            <v>74919</v>
          </cell>
          <cell r="I18">
            <v>74919</v>
          </cell>
          <cell r="K18" t="str">
            <v>m3</v>
          </cell>
        </row>
        <row r="19">
          <cell r="B19">
            <v>7</v>
          </cell>
          <cell r="D19" t="str">
            <v>Menggali tanah biasa sedalam 2 m'</v>
          </cell>
          <cell r="E19" t="str">
            <v>A.2.3.1.2.</v>
          </cell>
          <cell r="F19">
            <v>0</v>
          </cell>
          <cell r="G19">
            <v>91377.45</v>
          </cell>
          <cell r="I19">
            <v>91377.45</v>
          </cell>
          <cell r="K19" t="str">
            <v>m3</v>
          </cell>
        </row>
        <row r="20">
          <cell r="B20">
            <v>8</v>
          </cell>
          <cell r="D20" t="str">
            <v>Menggali tanah biasa sedalam 3 meter</v>
          </cell>
          <cell r="E20" t="str">
            <v>A.2.3.1.3.</v>
          </cell>
          <cell r="F20">
            <v>0</v>
          </cell>
          <cell r="G20">
            <v>108032.52</v>
          </cell>
          <cell r="I20">
            <v>108032.52</v>
          </cell>
          <cell r="K20" t="str">
            <v>m3</v>
          </cell>
        </row>
        <row r="21">
          <cell r="B21">
            <v>9</v>
          </cell>
          <cell r="D21" t="str">
            <v>Menggali tanah keras  sedalam 1 meter</v>
          </cell>
          <cell r="E21" t="str">
            <v>A.2.3.1.4.</v>
          </cell>
          <cell r="F21">
            <v>0</v>
          </cell>
          <cell r="G21">
            <v>99760.92</v>
          </cell>
          <cell r="I21">
            <v>99760.92</v>
          </cell>
          <cell r="K21" t="str">
            <v>m3</v>
          </cell>
        </row>
        <row r="22">
          <cell r="B22">
            <v>10</v>
          </cell>
          <cell r="D22" t="str">
            <v>Menggali tanah cadas sedalam 1 meter</v>
          </cell>
          <cell r="E22" t="str">
            <v>A.2.3.1.5.</v>
          </cell>
          <cell r="F22">
            <v>0</v>
          </cell>
          <cell r="G22">
            <v>150821.1</v>
          </cell>
          <cell r="I22">
            <v>150821.1</v>
          </cell>
          <cell r="K22" t="str">
            <v>m3</v>
          </cell>
        </row>
        <row r="23">
          <cell r="B23">
            <v>11</v>
          </cell>
          <cell r="D23" t="str">
            <v>Menggali tanah lumpur sedalam 1 meter</v>
          </cell>
          <cell r="E23" t="str">
            <v>A.2.3.1.6.</v>
          </cell>
          <cell r="F23">
            <v>0</v>
          </cell>
          <cell r="G23">
            <v>120361.95</v>
          </cell>
          <cell r="I23">
            <v>120361.95</v>
          </cell>
          <cell r="K23" t="str">
            <v>m3</v>
          </cell>
        </row>
        <row r="24">
          <cell r="B24">
            <v>12</v>
          </cell>
          <cell r="D24" t="str">
            <v>Mengerjakan stripping tebing 1 meter</v>
          </cell>
          <cell r="E24" t="str">
            <v>A.2.3.1.7.</v>
          </cell>
          <cell r="F24">
            <v>0</v>
          </cell>
          <cell r="G24">
            <v>5322.3</v>
          </cell>
          <cell r="I24">
            <v>5322.3</v>
          </cell>
          <cell r="K24" t="str">
            <v>m2</v>
          </cell>
        </row>
        <row r="25">
          <cell r="B25">
            <v>13</v>
          </cell>
          <cell r="D25" t="str">
            <v>(K3) Membuang tanah sejauh 30 meter</v>
          </cell>
          <cell r="E25" t="str">
            <v>A.2.3.1.8.</v>
          </cell>
          <cell r="F25">
            <v>0</v>
          </cell>
          <cell r="G25">
            <v>32866.050000000003</v>
          </cell>
          <cell r="I25">
            <v>32866.050000000003</v>
          </cell>
          <cell r="K25" t="str">
            <v>m3</v>
          </cell>
        </row>
        <row r="26">
          <cell r="B26">
            <v>14</v>
          </cell>
          <cell r="D26" t="str">
            <v>Pengurugan kembali galian tanah</v>
          </cell>
          <cell r="E26" t="str">
            <v>A.2.3.1.9.</v>
          </cell>
          <cell r="F26">
            <v>0</v>
          </cell>
          <cell r="G26">
            <v>53223</v>
          </cell>
          <cell r="I26">
            <v>53223</v>
          </cell>
          <cell r="K26" t="str">
            <v>m3</v>
          </cell>
        </row>
        <row r="27">
          <cell r="B27">
            <v>15</v>
          </cell>
          <cell r="D27" t="str">
            <v>(K3) Memadatkan tanah ( per 20 cm )</v>
          </cell>
          <cell r="E27" t="str">
            <v>A.2.3.1.10.</v>
          </cell>
          <cell r="F27">
            <v>0</v>
          </cell>
          <cell r="G27">
            <v>53223</v>
          </cell>
          <cell r="I27">
            <v>53223</v>
          </cell>
          <cell r="K27" t="str">
            <v>m3</v>
          </cell>
        </row>
        <row r="28">
          <cell r="B28">
            <v>16</v>
          </cell>
          <cell r="D28" t="str">
            <v>Urug tanah padat</v>
          </cell>
          <cell r="E28" t="str">
            <v>An. Dihitung</v>
          </cell>
          <cell r="F28">
            <v>0</v>
          </cell>
          <cell r="G28">
            <v>84207.6</v>
          </cell>
          <cell r="H28">
            <v>0</v>
          </cell>
          <cell r="I28">
            <v>26520</v>
          </cell>
          <cell r="J28">
            <v>0</v>
          </cell>
          <cell r="K28" t="str">
            <v>m3</v>
          </cell>
        </row>
        <row r="29">
          <cell r="B29">
            <v>17</v>
          </cell>
          <cell r="D29" t="str">
            <v>Mengurug pasir urug</v>
          </cell>
          <cell r="E29" t="str">
            <v>A.2.3.1.11.</v>
          </cell>
          <cell r="F29">
            <v>0</v>
          </cell>
          <cell r="G29">
            <v>237435.6</v>
          </cell>
          <cell r="I29">
            <v>26520</v>
          </cell>
          <cell r="K29" t="str">
            <v>m3</v>
          </cell>
        </row>
        <row r="30">
          <cell r="B30">
            <v>18</v>
          </cell>
          <cell r="D30" t="str">
            <v>Memasang Lapisan pudel campuran 1 Kp : 3 PP : 7 TL</v>
          </cell>
          <cell r="E30" t="str">
            <v>A.2.3.1.12.</v>
          </cell>
          <cell r="F30">
            <v>0</v>
          </cell>
          <cell r="G30">
            <v>324637.7</v>
          </cell>
          <cell r="I30">
            <v>114000</v>
          </cell>
          <cell r="K30" t="str">
            <v>m3</v>
          </cell>
        </row>
        <row r="31">
          <cell r="B31">
            <v>19</v>
          </cell>
          <cell r="D31" t="str">
            <v>Memasang Lapisan pudel campuran 1 Kp : 5 TL</v>
          </cell>
          <cell r="E31" t="str">
            <v>T.6.13.2008</v>
          </cell>
          <cell r="F31">
            <v>0</v>
          </cell>
          <cell r="G31">
            <v>258290.88</v>
          </cell>
          <cell r="I31">
            <v>114000</v>
          </cell>
          <cell r="K31" t="str">
            <v>m3</v>
          </cell>
        </row>
        <row r="32">
          <cell r="B32">
            <v>20</v>
          </cell>
          <cell r="D32" t="str">
            <v>Memasang lapisan ijuk tebal 10 cm untuk bidang resapan</v>
          </cell>
          <cell r="E32" t="str">
            <v>A.2.3.1.13.</v>
          </cell>
          <cell r="F32">
            <v>0</v>
          </cell>
          <cell r="G32">
            <v>114954.9</v>
          </cell>
          <cell r="I32">
            <v>14130</v>
          </cell>
          <cell r="K32" t="str">
            <v>m2</v>
          </cell>
        </row>
        <row r="33">
          <cell r="B33">
            <v>21</v>
          </cell>
          <cell r="D33" t="str">
            <v>Urugan tanah mendatangkan dan dipadatkan</v>
          </cell>
          <cell r="E33" t="str">
            <v>A.2.3.1.10.+bahan</v>
          </cell>
          <cell r="F33">
            <v>0</v>
          </cell>
          <cell r="G33">
            <v>100223</v>
          </cell>
          <cell r="H33">
            <v>0</v>
          </cell>
          <cell r="I33">
            <v>53223</v>
          </cell>
          <cell r="J33">
            <v>0</v>
          </cell>
          <cell r="K33" t="str">
            <v>m3</v>
          </cell>
        </row>
        <row r="34">
          <cell r="B34">
            <v>22</v>
          </cell>
          <cell r="D34" t="str">
            <v>Mengurug sirtu padat (lokal)</v>
          </cell>
          <cell r="E34" t="str">
            <v>A.2.3.1.14.</v>
          </cell>
          <cell r="F34">
            <v>0</v>
          </cell>
          <cell r="G34">
            <v>250351.5</v>
          </cell>
          <cell r="I34">
            <v>23550</v>
          </cell>
          <cell r="K34" t="str">
            <v>m3</v>
          </cell>
        </row>
        <row r="35">
          <cell r="B35">
            <v>23</v>
          </cell>
          <cell r="D35" t="str">
            <v>Memasang pondasi batu belah, campuran 1 PC : 3 PP</v>
          </cell>
          <cell r="E35" t="str">
            <v>A.3.2.1.1.</v>
          </cell>
          <cell r="F35">
            <v>0</v>
          </cell>
          <cell r="G35">
            <v>1031548.75</v>
          </cell>
          <cell r="I35">
            <v>207225</v>
          </cell>
          <cell r="K35" t="str">
            <v>m3</v>
          </cell>
        </row>
        <row r="36">
          <cell r="B36">
            <v>24</v>
          </cell>
          <cell r="D36" t="str">
            <v>Memasang pondasi batu belah, campuran 1 PC : 4 PP</v>
          </cell>
          <cell r="E36" t="str">
            <v>A.3.2.1.2.</v>
          </cell>
          <cell r="F36">
            <v>0</v>
          </cell>
          <cell r="G36">
            <v>988552.25</v>
          </cell>
          <cell r="I36">
            <v>207225</v>
          </cell>
          <cell r="K36" t="str">
            <v>m3</v>
          </cell>
        </row>
        <row r="37">
          <cell r="B37">
            <v>25</v>
          </cell>
          <cell r="D37" t="str">
            <v>Memasang pondasi batu belah, campuran 1 PC : 5 PP</v>
          </cell>
          <cell r="E37" t="str">
            <v>A.3.2.1.3.</v>
          </cell>
          <cell r="F37">
            <v>0</v>
          </cell>
          <cell r="G37">
            <v>958720.25</v>
          </cell>
          <cell r="I37">
            <v>207225</v>
          </cell>
          <cell r="K37" t="str">
            <v>m3</v>
          </cell>
        </row>
        <row r="38">
          <cell r="B38">
            <v>26</v>
          </cell>
          <cell r="D38" t="str">
            <v>Memasang pondasi batu belah, campuran 1 PC : 6 PP</v>
          </cell>
          <cell r="E38" t="str">
            <v>A.3.2.1.4.</v>
          </cell>
          <cell r="F38">
            <v>0</v>
          </cell>
          <cell r="G38">
            <v>937758.75</v>
          </cell>
          <cell r="I38">
            <v>207225</v>
          </cell>
          <cell r="K38" t="str">
            <v>m3</v>
          </cell>
        </row>
        <row r="39">
          <cell r="B39">
            <v>27</v>
          </cell>
          <cell r="D39" t="str">
            <v>Memasang pondasi batu belah, campuran 1 PC : 8 PP</v>
          </cell>
          <cell r="E39" t="str">
            <v>A.3.2.1.5.</v>
          </cell>
          <cell r="F39">
            <v>0</v>
          </cell>
          <cell r="G39">
            <v>909000.25</v>
          </cell>
          <cell r="I39">
            <v>207225</v>
          </cell>
          <cell r="K39" t="str">
            <v>m3</v>
          </cell>
        </row>
        <row r="40">
          <cell r="B40">
            <v>28</v>
          </cell>
          <cell r="D40" t="str">
            <v>Memasang pondasi batu belah, campuran 1 KP : 1 SM : 2 PP</v>
          </cell>
          <cell r="E40" t="str">
            <v>A.3.2.1.6.</v>
          </cell>
          <cell r="F40">
            <v>0</v>
          </cell>
          <cell r="G40" t="e">
            <v>#REF!</v>
          </cell>
          <cell r="I40">
            <v>207225</v>
          </cell>
          <cell r="K40" t="str">
            <v>m3</v>
          </cell>
        </row>
        <row r="41">
          <cell r="B41">
            <v>29</v>
          </cell>
          <cell r="D41" t="str">
            <v>Memasang pondasi bt belah, camp 1 PC : 3 KP : 10 PP</v>
          </cell>
          <cell r="E41" t="str">
            <v>A.3.2.1.7</v>
          </cell>
          <cell r="F41">
            <v>0</v>
          </cell>
          <cell r="G41">
            <v>885851.07000000007</v>
          </cell>
          <cell r="I41">
            <v>207225</v>
          </cell>
          <cell r="K41" t="str">
            <v>m3</v>
          </cell>
        </row>
        <row r="42">
          <cell r="B42">
            <v>30</v>
          </cell>
          <cell r="D42" t="str">
            <v>Memasang pondasi batu belah, campuran 1/4  PC : 1 KP : 4 PP</v>
          </cell>
          <cell r="E42" t="str">
            <v>A.3.2.1.8.</v>
          </cell>
          <cell r="F42">
            <v>0</v>
          </cell>
          <cell r="G42">
            <v>862751.61</v>
          </cell>
          <cell r="I42">
            <v>207225</v>
          </cell>
          <cell r="K42" t="str">
            <v>m3</v>
          </cell>
        </row>
        <row r="43">
          <cell r="B43">
            <v>31</v>
          </cell>
          <cell r="D43" t="str">
            <v>(K3) Memasang batu kosong ( anstamping )</v>
          </cell>
          <cell r="E43" t="str">
            <v>A.3.2.1.9.</v>
          </cell>
          <cell r="F43">
            <v>0</v>
          </cell>
          <cell r="G43">
            <v>582913.89</v>
          </cell>
          <cell r="I43">
            <v>107757</v>
          </cell>
          <cell r="K43" t="str">
            <v>m3</v>
          </cell>
        </row>
        <row r="44">
          <cell r="B44">
            <v>32</v>
          </cell>
          <cell r="D44" t="str">
            <v>Memasang pondasi siklop,</v>
          </cell>
          <cell r="E44" t="str">
            <v>A.3.2.1.10.</v>
          </cell>
          <cell r="F44">
            <v>0</v>
          </cell>
          <cell r="G44">
            <v>2770511.4</v>
          </cell>
          <cell r="I44">
            <v>387600</v>
          </cell>
          <cell r="K44" t="str">
            <v>m3</v>
          </cell>
        </row>
        <row r="45">
          <cell r="B45">
            <v>33</v>
          </cell>
          <cell r="D45" t="str">
            <v>Memasang pondasi sumuran, diameter 100 cm</v>
          </cell>
          <cell r="E45" t="str">
            <v>A.3.2.1.11.</v>
          </cell>
          <cell r="F45">
            <v>0</v>
          </cell>
          <cell r="G45">
            <v>964526.19</v>
          </cell>
          <cell r="I45">
            <v>292833</v>
          </cell>
          <cell r="K45" t="str">
            <v>m3</v>
          </cell>
        </row>
        <row r="46">
          <cell r="B46">
            <v>34</v>
          </cell>
          <cell r="D46" t="str">
            <v>Membuat dinding bata merah tebal 1 bata , camp 1 PC : 2 PP</v>
          </cell>
          <cell r="E46" t="str">
            <v>A.4.4.1.1.</v>
          </cell>
          <cell r="F46">
            <v>0</v>
          </cell>
          <cell r="G46">
            <v>284567.90000000002</v>
          </cell>
          <cell r="I46">
            <v>73230</v>
          </cell>
          <cell r="K46" t="str">
            <v>m2</v>
          </cell>
        </row>
        <row r="47">
          <cell r="B47">
            <v>35</v>
          </cell>
          <cell r="D47" t="str">
            <v>Membuat dinding bata merah tebal 1 bata , camp 1 PC : 3 PP</v>
          </cell>
          <cell r="E47" t="str">
            <v>A.4.4.1.2.</v>
          </cell>
          <cell r="F47">
            <v>0</v>
          </cell>
          <cell r="G47">
            <v>273369.59999999998</v>
          </cell>
          <cell r="I47">
            <v>73230</v>
          </cell>
          <cell r="K47" t="str">
            <v>m2</v>
          </cell>
        </row>
        <row r="48">
          <cell r="B48">
            <v>36</v>
          </cell>
          <cell r="D48" t="str">
            <v>Membuat dinding bata merah tebal 1 bata , camp 1 PC : 4 PP</v>
          </cell>
          <cell r="E48" t="str">
            <v>A.4.4.1.3.</v>
          </cell>
          <cell r="F48">
            <v>0</v>
          </cell>
          <cell r="G48">
            <v>265256.2</v>
          </cell>
          <cell r="I48">
            <v>73230</v>
          </cell>
          <cell r="K48" t="str">
            <v>m2</v>
          </cell>
        </row>
        <row r="49">
          <cell r="B49">
            <v>37</v>
          </cell>
          <cell r="D49" t="str">
            <v>Membuat dinding bata merah tebal 1 bata , camp 1 PC : 5 PP</v>
          </cell>
          <cell r="E49" t="str">
            <v>A.4.4.1.4.</v>
          </cell>
          <cell r="F49">
            <v>0</v>
          </cell>
          <cell r="G49">
            <v>261900.1</v>
          </cell>
          <cell r="I49">
            <v>73230</v>
          </cell>
          <cell r="K49" t="str">
            <v>m2</v>
          </cell>
        </row>
        <row r="50">
          <cell r="B50">
            <v>38</v>
          </cell>
          <cell r="D50" t="str">
            <v>Membuat dinding bata merah tebal 1 bata , camp 1 PC : 6 PP</v>
          </cell>
          <cell r="E50" t="str">
            <v>A.4.4.1.5.</v>
          </cell>
          <cell r="F50">
            <v>0</v>
          </cell>
          <cell r="G50">
            <v>262532.90000000002</v>
          </cell>
          <cell r="I50">
            <v>73230</v>
          </cell>
          <cell r="K50" t="str">
            <v>m2</v>
          </cell>
        </row>
        <row r="51">
          <cell r="B51">
            <v>39</v>
          </cell>
          <cell r="D51" t="str">
            <v>Membuat dinding bata merah  tebal 1 bata , camp 1 PC : 3 KP : 10 PP</v>
          </cell>
          <cell r="E51" t="str">
            <v>A.4.4.1.6</v>
          </cell>
          <cell r="F51">
            <v>0</v>
          </cell>
          <cell r="G51">
            <v>250923.28</v>
          </cell>
          <cell r="I51">
            <v>73230</v>
          </cell>
          <cell r="K51" t="str">
            <v>m2</v>
          </cell>
        </row>
        <row r="52">
          <cell r="B52">
            <v>40</v>
          </cell>
          <cell r="D52" t="str">
            <v>Membuat dinding bata merah tebal 1/2 bata , camp 1 PC : 2 PP</v>
          </cell>
          <cell r="E52" t="str">
            <v>A.4.4.1.7.</v>
          </cell>
          <cell r="F52">
            <v>0</v>
          </cell>
          <cell r="G52">
            <v>137922.15</v>
          </cell>
          <cell r="I52">
            <v>36615</v>
          </cell>
          <cell r="K52" t="str">
            <v>m2</v>
          </cell>
        </row>
        <row r="53">
          <cell r="B53">
            <v>41</v>
          </cell>
          <cell r="D53" t="str">
            <v>Membuat dinding bata merah tebal 1/2 bata , camp 1 PC : 3 PP</v>
          </cell>
          <cell r="E53" t="str">
            <v>A.4.4.1.8.</v>
          </cell>
          <cell r="F53">
            <v>0</v>
          </cell>
          <cell r="G53">
            <v>132276.67000000001</v>
          </cell>
          <cell r="I53">
            <v>36615</v>
          </cell>
          <cell r="K53" t="str">
            <v>m2</v>
          </cell>
        </row>
        <row r="54">
          <cell r="B54">
            <v>42</v>
          </cell>
          <cell r="D54" t="str">
            <v>Membuat dinding bata merah tebal 1/2 bata , camp 1 PC : 4 PP</v>
          </cell>
          <cell r="E54" t="str">
            <v>A.4.4.1.9.</v>
          </cell>
          <cell r="F54">
            <v>0</v>
          </cell>
          <cell r="G54">
            <v>129232.45</v>
          </cell>
          <cell r="I54">
            <v>36615</v>
          </cell>
          <cell r="K54" t="str">
            <v>m2</v>
          </cell>
        </row>
        <row r="55">
          <cell r="B55">
            <v>43</v>
          </cell>
          <cell r="D55" t="str">
            <v>Membuat dinding bata merah tebal 1/2 bata , camp 1 PC : 5 PP</v>
          </cell>
          <cell r="E55" t="str">
            <v>A.4.4.1.10.</v>
          </cell>
          <cell r="F55">
            <v>0</v>
          </cell>
          <cell r="G55">
            <v>127329.53</v>
          </cell>
          <cell r="I55">
            <v>36615</v>
          </cell>
          <cell r="K55" t="str">
            <v>m2</v>
          </cell>
        </row>
        <row r="56">
          <cell r="B56">
            <v>44</v>
          </cell>
          <cell r="D56" t="str">
            <v>Membuat dinding bata merah tebal 1/2 bata , camp 1 PC : 6 PP</v>
          </cell>
          <cell r="E56" t="str">
            <v>A.4.4.1.11.</v>
          </cell>
          <cell r="F56">
            <v>0</v>
          </cell>
          <cell r="G56">
            <v>126615.37</v>
          </cell>
          <cell r="I56">
            <v>36615</v>
          </cell>
          <cell r="K56" t="str">
            <v>m2</v>
          </cell>
        </row>
        <row r="57">
          <cell r="B57">
            <v>45</v>
          </cell>
          <cell r="D57" t="str">
            <v>Membuat dinding bt. merah t: 1/2bata, camp 1PC:8PP</v>
          </cell>
          <cell r="E57" t="str">
            <v>A.4.4.1.12.</v>
          </cell>
          <cell r="F57">
            <v>0</v>
          </cell>
          <cell r="G57">
            <v>124429.95</v>
          </cell>
          <cell r="I57">
            <v>36615</v>
          </cell>
          <cell r="K57" t="str">
            <v>m2</v>
          </cell>
        </row>
        <row r="58">
          <cell r="B58">
            <v>46</v>
          </cell>
          <cell r="D58" t="str">
            <v>Membuat dinding bt merah tebal 1/2 bt camp 1 PC : 3 KP : 10 PP</v>
          </cell>
          <cell r="E58" t="str">
            <v>A.4.4.1.13</v>
          </cell>
          <cell r="F58">
            <v>0</v>
          </cell>
          <cell r="G58">
            <v>126158.85</v>
          </cell>
          <cell r="I58">
            <v>36615</v>
          </cell>
          <cell r="K58" t="str">
            <v>m2</v>
          </cell>
        </row>
        <row r="59">
          <cell r="B59">
            <v>47</v>
          </cell>
          <cell r="D59" t="str">
            <v>Membuat dinding bata merah tebal 1/2 bata , camp 1 KP : 1 SM : 1 PP</v>
          </cell>
          <cell r="E59" t="str">
            <v>A.4.4.1.14.</v>
          </cell>
          <cell r="F59">
            <v>0</v>
          </cell>
          <cell r="G59">
            <v>0</v>
          </cell>
          <cell r="I59">
            <v>0</v>
          </cell>
          <cell r="K59" t="str">
            <v>m2</v>
          </cell>
        </row>
        <row r="60">
          <cell r="B60">
            <v>48</v>
          </cell>
          <cell r="D60" t="str">
            <v>Memasang dinding bt merah tebal 1/2 bata , camp 1 KP : 1 SM : 2 PP</v>
          </cell>
          <cell r="E60" t="str">
            <v>A.4.4.1.15.</v>
          </cell>
          <cell r="F60">
            <v>0</v>
          </cell>
          <cell r="G60">
            <v>0</v>
          </cell>
          <cell r="I60">
            <v>0</v>
          </cell>
          <cell r="K60" t="str">
            <v>m2</v>
          </cell>
        </row>
        <row r="61">
          <cell r="B61">
            <v>49</v>
          </cell>
          <cell r="D61" t="str">
            <v>Memasang dinding HB/CB 20 , camp 1 PC : 3 PP (batako 40x20 cm)</v>
          </cell>
          <cell r="E61" t="str">
            <v>A.4.4.1.16.</v>
          </cell>
          <cell r="F61">
            <v>0</v>
          </cell>
          <cell r="G61">
            <v>353221.05</v>
          </cell>
          <cell r="I61">
            <v>45981</v>
          </cell>
          <cell r="K61" t="str">
            <v>m2</v>
          </cell>
        </row>
        <row r="62">
          <cell r="B62">
            <v>50</v>
          </cell>
          <cell r="D62" t="str">
            <v>Memasang dinding HB/CB 20 , camp 1 PC : 4 PP (batako 40x20 cm)</v>
          </cell>
          <cell r="E62" t="str">
            <v>A.4.4.1.17.</v>
          </cell>
          <cell r="F62">
            <v>0</v>
          </cell>
          <cell r="G62">
            <v>357433.69</v>
          </cell>
          <cell r="I62">
            <v>45981</v>
          </cell>
          <cell r="K62" t="str">
            <v>m2</v>
          </cell>
        </row>
        <row r="63">
          <cell r="B63">
            <v>51</v>
          </cell>
          <cell r="D63" t="str">
            <v>Memasang dinding HB/CB 15 , camp 1 PC : 3 PP</v>
          </cell>
          <cell r="E63" t="str">
            <v>A.4.4.1.18.</v>
          </cell>
          <cell r="F63">
            <v>0</v>
          </cell>
          <cell r="G63">
            <v>235437.76</v>
          </cell>
          <cell r="I63">
            <v>40344</v>
          </cell>
          <cell r="K63" t="str">
            <v>m2</v>
          </cell>
        </row>
        <row r="64">
          <cell r="B64">
            <v>52</v>
          </cell>
          <cell r="D64" t="str">
            <v>Memasang dinding HB/CB 15 , camp 1 PC : 4 PP</v>
          </cell>
          <cell r="E64" t="str">
            <v>A.4.4.1.19.</v>
          </cell>
          <cell r="F64">
            <v>0</v>
          </cell>
          <cell r="G64">
            <v>238321.52</v>
          </cell>
          <cell r="I64">
            <v>40344</v>
          </cell>
          <cell r="K64" t="str">
            <v>m2</v>
          </cell>
        </row>
        <row r="65">
          <cell r="B65">
            <v>53</v>
          </cell>
          <cell r="D65" t="str">
            <v>Memasang dinding HB/CB 10 , camp 1 PC : 3 PP</v>
          </cell>
          <cell r="E65" t="str">
            <v>A.4.4.1.20.</v>
          </cell>
          <cell r="F65">
            <v>0</v>
          </cell>
          <cell r="G65">
            <v>219250.51</v>
          </cell>
          <cell r="I65">
            <v>36615</v>
          </cell>
          <cell r="K65" t="str">
            <v>m2</v>
          </cell>
        </row>
        <row r="66">
          <cell r="B66">
            <v>54</v>
          </cell>
          <cell r="D66" t="str">
            <v>Memasang dinding HB 10 , camp 1 PC : 4 PP</v>
          </cell>
          <cell r="E66" t="str">
            <v>A.4.4.1.21.</v>
          </cell>
          <cell r="F66">
            <v>0</v>
          </cell>
          <cell r="G66">
            <v>221921.83000000002</v>
          </cell>
          <cell r="I66">
            <v>36615</v>
          </cell>
          <cell r="K66" t="str">
            <v>m2</v>
          </cell>
        </row>
        <row r="67">
          <cell r="B67">
            <v>55</v>
          </cell>
          <cell r="C67">
            <v>0</v>
          </cell>
          <cell r="D67" t="str">
            <v>Memasang dinding terawang ( roster ), camp.  1 PC : 3 PP</v>
          </cell>
          <cell r="E67" t="str">
            <v>A.4.4.1.22.</v>
          </cell>
          <cell r="F67">
            <v>0</v>
          </cell>
          <cell r="G67">
            <v>601798.44999999995</v>
          </cell>
          <cell r="H67">
            <v>0</v>
          </cell>
          <cell r="I67">
            <v>36615</v>
          </cell>
          <cell r="J67">
            <v>0</v>
          </cell>
          <cell r="K67" t="str">
            <v>m2</v>
          </cell>
        </row>
        <row r="68">
          <cell r="B68">
            <v>56</v>
          </cell>
          <cell r="D68" t="str">
            <v>Memasang dinding terawang ( roster ) camp  1 PC : 4 PP</v>
          </cell>
          <cell r="E68" t="str">
            <v>A.4.4.1.23.</v>
          </cell>
          <cell r="F68">
            <v>0</v>
          </cell>
          <cell r="G68">
            <v>601798.44999999995</v>
          </cell>
          <cell r="I68">
            <v>36615</v>
          </cell>
          <cell r="K68" t="str">
            <v>m2</v>
          </cell>
        </row>
        <row r="69">
          <cell r="B69">
            <v>57</v>
          </cell>
          <cell r="D69" t="str">
            <v>Memasang dinding bata berongga ekspose ukuran , camp. 1 PC : 3 PP</v>
          </cell>
          <cell r="E69" t="str">
            <v>A.4.4.1.24.</v>
          </cell>
          <cell r="F69">
            <v>0</v>
          </cell>
          <cell r="G69">
            <v>201416.85</v>
          </cell>
          <cell r="I69">
            <v>41445</v>
          </cell>
          <cell r="K69" t="str">
            <v>m2</v>
          </cell>
        </row>
        <row r="70">
          <cell r="B70">
            <v>58</v>
          </cell>
          <cell r="D70" t="str">
            <v>Memasang dinding terawang (roster) tanah/genting</v>
          </cell>
          <cell r="E70" t="str">
            <v>A.2.2.1.23.a.</v>
          </cell>
          <cell r="F70">
            <v>0</v>
          </cell>
          <cell r="G70">
            <v>348678.45</v>
          </cell>
          <cell r="H70">
            <v>0</v>
          </cell>
          <cell r="I70">
            <v>36615</v>
          </cell>
          <cell r="J70">
            <v>0</v>
          </cell>
          <cell r="K70" t="str">
            <v>m2</v>
          </cell>
        </row>
        <row r="71">
          <cell r="B71">
            <v>59</v>
          </cell>
          <cell r="D71" t="str">
            <v>Memasang glass blok</v>
          </cell>
          <cell r="E71" t="str">
            <v>An. Dihitung</v>
          </cell>
          <cell r="F71">
            <v>0</v>
          </cell>
          <cell r="G71">
            <v>724403.45</v>
          </cell>
          <cell r="H71">
            <v>0</v>
          </cell>
          <cell r="I71">
            <v>36615</v>
          </cell>
          <cell r="J71">
            <v>0</v>
          </cell>
          <cell r="K71" t="str">
            <v>m2</v>
          </cell>
        </row>
        <row r="72">
          <cell r="B72">
            <v>60</v>
          </cell>
          <cell r="D72" t="str">
            <v>Memasang plesteran 1 PC : 1 PP, tebal 15 mm</v>
          </cell>
          <cell r="E72" t="str">
            <v>A.4.4.2.1.</v>
          </cell>
          <cell r="F72">
            <v>0</v>
          </cell>
          <cell r="G72">
            <v>72376.27</v>
          </cell>
          <cell r="I72">
            <v>41445</v>
          </cell>
          <cell r="K72" t="str">
            <v>m2</v>
          </cell>
        </row>
        <row r="73">
          <cell r="B73">
            <v>61</v>
          </cell>
          <cell r="D73" t="str">
            <v>Memasang plesteran 1 PC : 2 PP, tebal 15 mm</v>
          </cell>
          <cell r="E73" t="str">
            <v>A.4.4.2.2.</v>
          </cell>
          <cell r="F73">
            <v>0</v>
          </cell>
          <cell r="G73">
            <v>66346.59</v>
          </cell>
          <cell r="I73">
            <v>41445</v>
          </cell>
          <cell r="K73" t="str">
            <v>m2</v>
          </cell>
        </row>
        <row r="74">
          <cell r="B74">
            <v>62</v>
          </cell>
          <cell r="D74" t="str">
            <v>Memasang plesteran 1 PC : 3 PP, tebal 15 mm</v>
          </cell>
          <cell r="E74" t="str">
            <v>A.4.4.2.3.</v>
          </cell>
          <cell r="F74">
            <v>0</v>
          </cell>
          <cell r="G74">
            <v>63874.61</v>
          </cell>
          <cell r="I74">
            <v>41445</v>
          </cell>
          <cell r="K74" t="str">
            <v>m2</v>
          </cell>
        </row>
        <row r="75">
          <cell r="B75">
            <v>63</v>
          </cell>
          <cell r="D75" t="str">
            <v>Memasang plesteran 1 PC : 4 PP, tebal 15 mm</v>
          </cell>
          <cell r="E75" t="str">
            <v>A.4.4.2.4.</v>
          </cell>
          <cell r="F75">
            <v>0</v>
          </cell>
          <cell r="G75">
            <v>62074.29</v>
          </cell>
          <cell r="I75">
            <v>41445</v>
          </cell>
          <cell r="K75" t="str">
            <v>m2</v>
          </cell>
        </row>
        <row r="76">
          <cell r="B76">
            <v>64</v>
          </cell>
          <cell r="D76" t="str">
            <v>Memasang plesteran 1 PC : 5 PP, tebal 15 mm</v>
          </cell>
          <cell r="E76" t="str">
            <v>A.4.4.2.5.</v>
          </cell>
          <cell r="F76">
            <v>0</v>
          </cell>
          <cell r="G76">
            <v>61207.350000000006</v>
          </cell>
          <cell r="I76">
            <v>41445</v>
          </cell>
          <cell r="K76" t="str">
            <v>m2</v>
          </cell>
        </row>
        <row r="77">
          <cell r="B77">
            <v>65</v>
          </cell>
          <cell r="D77" t="str">
            <v>Memasang plesteran 1 PC : 6 PP, tebal 15 mm</v>
          </cell>
          <cell r="E77" t="str">
            <v>A.4.4.2.6.</v>
          </cell>
          <cell r="F77">
            <v>0</v>
          </cell>
          <cell r="G77">
            <v>60448.45</v>
          </cell>
          <cell r="I77">
            <v>41445</v>
          </cell>
          <cell r="K77" t="str">
            <v>m2</v>
          </cell>
        </row>
        <row r="78">
          <cell r="B78">
            <v>66</v>
          </cell>
          <cell r="D78" t="str">
            <v>Memasang plesteran 1 PC : 7 PP, tebal 15 mm</v>
          </cell>
          <cell r="E78" t="str">
            <v>A.4.4.2.7.</v>
          </cell>
          <cell r="F78">
            <v>0</v>
          </cell>
          <cell r="G78">
            <v>60080.07</v>
          </cell>
          <cell r="I78">
            <v>41445</v>
          </cell>
          <cell r="K78" t="str">
            <v>m2</v>
          </cell>
        </row>
        <row r="79">
          <cell r="B79">
            <v>67</v>
          </cell>
          <cell r="D79" t="str">
            <v>Memasang plesteran 1 PC : 8 PP, tebal 15 mm</v>
          </cell>
          <cell r="E79" t="str">
            <v>A.4.4.2.8.</v>
          </cell>
          <cell r="F79">
            <v>0</v>
          </cell>
          <cell r="G79">
            <v>59711.689999999995</v>
          </cell>
          <cell r="I79">
            <v>41445</v>
          </cell>
          <cell r="K79" t="str">
            <v>m2</v>
          </cell>
        </row>
        <row r="80">
          <cell r="B80">
            <v>68</v>
          </cell>
          <cell r="D80" t="str">
            <v>Memasang plesteran 1 PC : 1/2 KP : 3 PP, tebal 15 mm</v>
          </cell>
          <cell r="E80" t="str">
            <v>A.4.4.2.9.</v>
          </cell>
          <cell r="F80">
            <v>0</v>
          </cell>
          <cell r="G80">
            <v>62021.18</v>
          </cell>
          <cell r="I80">
            <v>43938</v>
          </cell>
          <cell r="K80" t="str">
            <v>m2</v>
          </cell>
        </row>
        <row r="81">
          <cell r="B81">
            <v>69</v>
          </cell>
          <cell r="D81" t="str">
            <v>Memasang plesteran 1 PC : 2 KP : 8 PP, tebal 15 mm</v>
          </cell>
          <cell r="E81" t="str">
            <v>A.4.4.2.10.</v>
          </cell>
          <cell r="F81">
            <v>0</v>
          </cell>
          <cell r="G81">
            <v>60848.24</v>
          </cell>
          <cell r="I81">
            <v>43938</v>
          </cell>
          <cell r="K81" t="str">
            <v>m2</v>
          </cell>
        </row>
        <row r="82">
          <cell r="B82">
            <v>70</v>
          </cell>
          <cell r="D82" t="str">
            <v>Memasang plesteran 1 SM : 1 KP : 1 PP, tebal 15 mm</v>
          </cell>
          <cell r="E82" t="str">
            <v>A.4.4.2.11.</v>
          </cell>
          <cell r="F82">
            <v>0</v>
          </cell>
          <cell r="G82">
            <v>0</v>
          </cell>
          <cell r="I82">
            <v>0</v>
          </cell>
          <cell r="K82" t="str">
            <v>m2</v>
          </cell>
        </row>
        <row r="83">
          <cell r="B83">
            <v>71</v>
          </cell>
          <cell r="D83" t="str">
            <v>Memasang plesteran 1 SM : 1 KP : 2 PP, tebal 15 mm</v>
          </cell>
          <cell r="E83" t="str">
            <v>A.4.4.2.12.</v>
          </cell>
          <cell r="F83">
            <v>0</v>
          </cell>
          <cell r="G83">
            <v>0</v>
          </cell>
          <cell r="I83">
            <v>0</v>
          </cell>
          <cell r="K83" t="str">
            <v>m2</v>
          </cell>
        </row>
        <row r="84">
          <cell r="B84">
            <v>72</v>
          </cell>
          <cell r="D84" t="str">
            <v>Memasang plesteran 1 PC :  2 PP, tebal 20 mm</v>
          </cell>
          <cell r="E84" t="str">
            <v>A.4.4.2.13.</v>
          </cell>
          <cell r="F84">
            <v>0</v>
          </cell>
          <cell r="G84">
            <v>88752.909999999989</v>
          </cell>
          <cell r="I84">
            <v>55434</v>
          </cell>
          <cell r="K84" t="str">
            <v>m2</v>
          </cell>
        </row>
        <row r="85">
          <cell r="B85">
            <v>73</v>
          </cell>
          <cell r="D85" t="str">
            <v>Memasang plesteran 1 PC :  3 PP, tebal 20 mm</v>
          </cell>
          <cell r="E85" t="str">
            <v>A.4.4.2.14.</v>
          </cell>
          <cell r="F85">
            <v>0</v>
          </cell>
          <cell r="G85">
            <v>71046.039999999994</v>
          </cell>
          <cell r="I85">
            <v>42681</v>
          </cell>
          <cell r="K85" t="str">
            <v>m2</v>
          </cell>
        </row>
        <row r="86">
          <cell r="B86">
            <v>74</v>
          </cell>
          <cell r="D86" t="str">
            <v>Memasang plesteran 1 PC :  4 PP, tebal 20 mm</v>
          </cell>
          <cell r="E86" t="str">
            <v>A.4.4.2.15.</v>
          </cell>
          <cell r="F86">
            <v>0</v>
          </cell>
          <cell r="G86">
            <v>82962.34</v>
          </cell>
          <cell r="I86">
            <v>55434</v>
          </cell>
          <cell r="K86" t="str">
            <v>m2</v>
          </cell>
        </row>
        <row r="87">
          <cell r="B87">
            <v>75</v>
          </cell>
          <cell r="D87" t="str">
            <v>Memasang plesteran 1 PC :  5 PP, tebal 20 mm</v>
          </cell>
          <cell r="E87" t="str">
            <v>A.4.4.2.16.</v>
          </cell>
          <cell r="F87">
            <v>0</v>
          </cell>
          <cell r="G87">
            <v>81900.59</v>
          </cell>
          <cell r="I87">
            <v>55434</v>
          </cell>
          <cell r="K87" t="str">
            <v>m2</v>
          </cell>
        </row>
        <row r="88">
          <cell r="B88">
            <v>76</v>
          </cell>
          <cell r="D88" t="str">
            <v>Memasang plesteran 1 PC :  6 PP, tebal 20 mm</v>
          </cell>
          <cell r="E88" t="str">
            <v>A.4.4.2.17.</v>
          </cell>
          <cell r="F88">
            <v>0</v>
          </cell>
          <cell r="G88">
            <v>80794.55</v>
          </cell>
          <cell r="I88">
            <v>55434</v>
          </cell>
          <cell r="K88" t="str">
            <v>m2</v>
          </cell>
        </row>
        <row r="89">
          <cell r="B89">
            <v>77</v>
          </cell>
          <cell r="D89" t="str">
            <v>Memasang plesteran 1 SM :  1 KP : 2 PP, tebal 20 mm</v>
          </cell>
          <cell r="E89" t="str">
            <v>A.4.4.2.18.</v>
          </cell>
          <cell r="F89">
            <v>0</v>
          </cell>
          <cell r="G89">
            <v>0</v>
          </cell>
          <cell r="I89">
            <v>0</v>
          </cell>
          <cell r="K89" t="str">
            <v>m2</v>
          </cell>
        </row>
        <row r="90">
          <cell r="B90">
            <v>78</v>
          </cell>
          <cell r="D90" t="str">
            <v>Memasang Berapen 1 PC :  5 PP, tebal 15 mm</v>
          </cell>
          <cell r="E90" t="str">
            <v>A.4.4.2.19.</v>
          </cell>
          <cell r="F90">
            <v>0</v>
          </cell>
          <cell r="G90">
            <v>37894.320000000007</v>
          </cell>
          <cell r="I90">
            <v>20814</v>
          </cell>
          <cell r="K90" t="str">
            <v>m2</v>
          </cell>
        </row>
        <row r="91">
          <cell r="B91">
            <v>79</v>
          </cell>
          <cell r="D91" t="str">
            <v>Memasang Plesteran Skoning 1 PC :  3 PP, tebal 10 mm</v>
          </cell>
          <cell r="E91" t="str">
            <v>A.4.4.2.20.</v>
          </cell>
          <cell r="F91">
            <v>0</v>
          </cell>
          <cell r="G91">
            <v>56136.14</v>
          </cell>
          <cell r="I91">
            <v>45828</v>
          </cell>
          <cell r="K91" t="str">
            <v>m'</v>
          </cell>
        </row>
        <row r="92">
          <cell r="B92">
            <v>80</v>
          </cell>
          <cell r="D92" t="str">
            <v>Memasang Plesteran Granit  1 PC :  2 Granit, tebal 10 mm</v>
          </cell>
          <cell r="E92" t="str">
            <v>A.4.4.2.21.</v>
          </cell>
          <cell r="F92">
            <v>0</v>
          </cell>
          <cell r="G92">
            <v>17389862.670000002</v>
          </cell>
          <cell r="I92">
            <v>62259</v>
          </cell>
          <cell r="K92" t="str">
            <v>m2</v>
          </cell>
        </row>
        <row r="93">
          <cell r="B93">
            <v>81</v>
          </cell>
          <cell r="D93" t="str">
            <v>Memasang Plesteran Teraso,  1 PC :  2 Batu Teraso, tebal 10 mm</v>
          </cell>
          <cell r="E93" t="str">
            <v>A.4.4.2.22.</v>
          </cell>
          <cell r="F93">
            <v>0</v>
          </cell>
          <cell r="G93">
            <v>83912.67</v>
          </cell>
          <cell r="I93">
            <v>62259</v>
          </cell>
          <cell r="K93" t="str">
            <v>m2</v>
          </cell>
        </row>
        <row r="94">
          <cell r="B94">
            <v>82</v>
          </cell>
          <cell r="D94" t="str">
            <v>Memasang Plesteran Ciprat 1 PC : 2 PP</v>
          </cell>
          <cell r="E94" t="str">
            <v>A.4.4.2.23.</v>
          </cell>
          <cell r="F94">
            <v>0</v>
          </cell>
          <cell r="G94">
            <v>48927.87</v>
          </cell>
          <cell r="I94">
            <v>36615</v>
          </cell>
          <cell r="K94" t="str">
            <v>m2</v>
          </cell>
        </row>
        <row r="95">
          <cell r="B95">
            <v>83</v>
          </cell>
          <cell r="D95" t="str">
            <v>Memasang finishing siar pasangan dinding bata merah ( = 20 M' )</v>
          </cell>
          <cell r="E95" t="str">
            <v>A.4.4.2.24.</v>
          </cell>
          <cell r="F95">
            <v>0</v>
          </cell>
          <cell r="G95">
            <v>27734.269999999997</v>
          </cell>
          <cell r="I95">
            <v>20814</v>
          </cell>
          <cell r="K95" t="str">
            <v>m2</v>
          </cell>
        </row>
        <row r="96">
          <cell r="B96">
            <v>84</v>
          </cell>
          <cell r="D96" t="str">
            <v>Memasang finishing siar pasangan dinding conblock ekspose ( = 8 M' )</v>
          </cell>
          <cell r="E96" t="str">
            <v>A.4.4.2.25.</v>
          </cell>
          <cell r="F96">
            <v>0</v>
          </cell>
          <cell r="G96">
            <v>13200.66</v>
          </cell>
          <cell r="I96">
            <v>9762</v>
          </cell>
          <cell r="K96" t="str">
            <v>m2</v>
          </cell>
        </row>
        <row r="97">
          <cell r="B97">
            <v>85</v>
          </cell>
          <cell r="D97" t="str">
            <v>Memasang finishing siar pasangan batu kali adukan 1 PC : 2 PP</v>
          </cell>
          <cell r="E97" t="str">
            <v>A.4.4.2.26.</v>
          </cell>
          <cell r="F97">
            <v>0</v>
          </cell>
          <cell r="G97">
            <v>58819.89</v>
          </cell>
          <cell r="I97">
            <v>41445</v>
          </cell>
          <cell r="K97" t="str">
            <v>m2</v>
          </cell>
        </row>
        <row r="98">
          <cell r="B98">
            <v>86</v>
          </cell>
          <cell r="D98" t="str">
            <v>Memasang acian</v>
          </cell>
          <cell r="E98" t="str">
            <v>A.4.4.2.27.</v>
          </cell>
          <cell r="F98">
            <v>0</v>
          </cell>
          <cell r="G98">
            <v>35628.9</v>
          </cell>
          <cell r="I98">
            <v>27630</v>
          </cell>
          <cell r="K98" t="str">
            <v>m2</v>
          </cell>
        </row>
        <row r="99">
          <cell r="B99">
            <v>87</v>
          </cell>
          <cell r="D99" t="str">
            <v>Sponengan</v>
          </cell>
          <cell r="E99" t="str">
            <v>ls</v>
          </cell>
          <cell r="F99">
            <v>0</v>
          </cell>
          <cell r="G99">
            <v>15000</v>
          </cell>
          <cell r="H99">
            <v>0</v>
          </cell>
          <cell r="I99">
            <v>10000</v>
          </cell>
          <cell r="J99">
            <v>0</v>
          </cell>
          <cell r="K99" t="str">
            <v>m'</v>
          </cell>
        </row>
        <row r="100">
          <cell r="B100">
            <v>88</v>
          </cell>
          <cell r="D100" t="str">
            <v xml:space="preserve">Pasang kusen pintu dan kusen jendela, kayu kelas I </v>
          </cell>
          <cell r="E100" t="str">
            <v>A.4.6.1.1.</v>
          </cell>
          <cell r="F100">
            <v>0</v>
          </cell>
          <cell r="G100">
            <v>0</v>
          </cell>
          <cell r="I100">
            <v>0</v>
          </cell>
          <cell r="K100" t="str">
            <v>m3</v>
          </cell>
        </row>
        <row r="101">
          <cell r="B101">
            <v>89</v>
          </cell>
          <cell r="D101" t="str">
            <v>Pasang kusen pintu dan jendela kayu bangkiray</v>
          </cell>
          <cell r="E101" t="str">
            <v>A.4.6.1.1a.</v>
          </cell>
          <cell r="F101">
            <v>0</v>
          </cell>
          <cell r="G101">
            <v>24053293</v>
          </cell>
          <cell r="I101">
            <v>2762550</v>
          </cell>
          <cell r="K101" t="str">
            <v>m3</v>
          </cell>
        </row>
        <row r="102">
          <cell r="B102">
            <v>90</v>
          </cell>
          <cell r="D102" t="str">
            <v xml:space="preserve">Pasang kusen pintu dan jendela kayu kamper </v>
          </cell>
          <cell r="E102" t="str">
            <v>A.4.6.1.1b.</v>
          </cell>
          <cell r="F102">
            <v>0</v>
          </cell>
          <cell r="G102">
            <v>20420004</v>
          </cell>
          <cell r="I102">
            <v>2762550</v>
          </cell>
          <cell r="K102" t="str">
            <v>m3</v>
          </cell>
        </row>
        <row r="103">
          <cell r="B103">
            <v>91</v>
          </cell>
          <cell r="C103">
            <v>0</v>
          </cell>
          <cell r="D103" t="str">
            <v xml:space="preserve">Pasang kusen pintu dan kusen jendela, kayu kelas II atau III </v>
          </cell>
          <cell r="E103" t="str">
            <v>A.4.6.1.2.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 t="str">
            <v>m3</v>
          </cell>
        </row>
        <row r="104">
          <cell r="B104">
            <v>92</v>
          </cell>
          <cell r="D104" t="str">
            <v>Pasang kusen pintu dan jendela kayu jati hutan</v>
          </cell>
          <cell r="E104" t="str">
            <v>A.4.6.1.2a.</v>
          </cell>
          <cell r="F104">
            <v>0</v>
          </cell>
          <cell r="G104">
            <v>46317061.5</v>
          </cell>
          <cell r="I104">
            <v>2367900</v>
          </cell>
          <cell r="K104" t="str">
            <v>m3</v>
          </cell>
        </row>
        <row r="105">
          <cell r="B105">
            <v>93</v>
          </cell>
          <cell r="D105" t="str">
            <v>Pasang kusen pintu dan jendela, kayu jati lokal</v>
          </cell>
          <cell r="E105" t="str">
            <v>A.4.6.1.2b.</v>
          </cell>
          <cell r="F105">
            <v>0</v>
          </cell>
          <cell r="G105">
            <v>34424941.5</v>
          </cell>
          <cell r="I105">
            <v>2367900</v>
          </cell>
          <cell r="K105" t="str">
            <v>m3</v>
          </cell>
        </row>
        <row r="106">
          <cell r="B106">
            <v>94</v>
          </cell>
          <cell r="D106" t="str">
            <v>Pasang kusen pintu dan jendela, kayu kruing</v>
          </cell>
          <cell r="E106" t="str">
            <v>A.4.6.1.2c.</v>
          </cell>
          <cell r="F106">
            <v>0</v>
          </cell>
          <cell r="G106">
            <v>16588117.5</v>
          </cell>
          <cell r="I106">
            <v>2367900</v>
          </cell>
          <cell r="K106" t="str">
            <v>m3</v>
          </cell>
        </row>
        <row r="107">
          <cell r="B107">
            <v>95</v>
          </cell>
          <cell r="D107" t="str">
            <v xml:space="preserve">Pasang pintu klamp standar, kayu kelas II </v>
          </cell>
          <cell r="E107" t="str">
            <v>A.4.6.1.3.</v>
          </cell>
          <cell r="F107">
            <v>0</v>
          </cell>
          <cell r="G107">
            <v>0</v>
          </cell>
          <cell r="I107">
            <v>0</v>
          </cell>
          <cell r="K107" t="str">
            <v>m2</v>
          </cell>
        </row>
        <row r="108">
          <cell r="B108">
            <v>96</v>
          </cell>
          <cell r="D108" t="str">
            <v xml:space="preserve">Membuat dan memasang pintu klamp sederhana, kayu kelas III </v>
          </cell>
          <cell r="E108" t="str">
            <v>A.4.6.1.4.</v>
          </cell>
          <cell r="F108">
            <v>0</v>
          </cell>
          <cell r="G108">
            <v>0</v>
          </cell>
          <cell r="I108">
            <v>0</v>
          </cell>
          <cell r="K108" t="str">
            <v>m2</v>
          </cell>
        </row>
        <row r="109">
          <cell r="B109">
            <v>97</v>
          </cell>
          <cell r="D109" t="str">
            <v>Membuat dan memasang pintu panil , kayu jati lokal</v>
          </cell>
          <cell r="E109" t="str">
            <v>A.4.6.1.5c.</v>
          </cell>
          <cell r="F109">
            <v>0</v>
          </cell>
          <cell r="G109">
            <v>1511160.3</v>
          </cell>
          <cell r="I109">
            <v>394650</v>
          </cell>
          <cell r="K109" t="str">
            <v>m2</v>
          </cell>
        </row>
        <row r="110">
          <cell r="B110">
            <v>98</v>
          </cell>
          <cell r="D110" t="str">
            <v>Membuat dan memasang pintu panil , kayu jati hutan</v>
          </cell>
          <cell r="E110" t="str">
            <v>A.4.6.1.5b.</v>
          </cell>
          <cell r="F110">
            <v>0</v>
          </cell>
          <cell r="G110">
            <v>1907564.3</v>
          </cell>
          <cell r="I110">
            <v>394650</v>
          </cell>
          <cell r="K110" t="str">
            <v>m2</v>
          </cell>
        </row>
        <row r="111">
          <cell r="B111">
            <v>99</v>
          </cell>
          <cell r="D111" t="str">
            <v xml:space="preserve">Membuat dan memasang daun pintu panel kayu kamper </v>
          </cell>
          <cell r="E111" t="str">
            <v>A.4.6.1.5a.</v>
          </cell>
          <cell r="F111">
            <v>0</v>
          </cell>
          <cell r="G111">
            <v>1147842.7</v>
          </cell>
          <cell r="I111">
            <v>394650</v>
          </cell>
          <cell r="K111" t="str">
            <v>m2</v>
          </cell>
        </row>
        <row r="112">
          <cell r="B112">
            <v>100</v>
          </cell>
          <cell r="D112" t="str">
            <v>Membuat dan memasang pintu dan jendela kaca , kayu jati lokal</v>
          </cell>
          <cell r="E112" t="str">
            <v>A.4.6.1.6c.</v>
          </cell>
          <cell r="F112">
            <v>0</v>
          </cell>
          <cell r="G112">
            <v>995887.08</v>
          </cell>
          <cell r="I112">
            <v>315720</v>
          </cell>
          <cell r="K112" t="str">
            <v>m2</v>
          </cell>
        </row>
        <row r="113">
          <cell r="B113">
            <v>101</v>
          </cell>
          <cell r="D113" t="str">
            <v>Membuat dan memasang pintu dan jendela kaca , kayu jati hutan</v>
          </cell>
          <cell r="E113" t="str">
            <v>A.4.6.1.6b.</v>
          </cell>
          <cell r="F113">
            <v>0</v>
          </cell>
          <cell r="G113">
            <v>1233729.48</v>
          </cell>
          <cell r="I113">
            <v>315720</v>
          </cell>
          <cell r="K113" t="str">
            <v>m2</v>
          </cell>
        </row>
        <row r="114">
          <cell r="B114">
            <v>102</v>
          </cell>
          <cell r="D114" t="str">
            <v xml:space="preserve">Membuat dan memasang pintu dan jendela kaca kayu kamper </v>
          </cell>
          <cell r="E114" t="str">
            <v>A.4.6.1.6a.</v>
          </cell>
          <cell r="F114">
            <v>0</v>
          </cell>
          <cell r="G114">
            <v>777896.52</v>
          </cell>
          <cell r="I114">
            <v>315720</v>
          </cell>
          <cell r="K114" t="str">
            <v>m2</v>
          </cell>
        </row>
        <row r="115">
          <cell r="B115">
            <v>103</v>
          </cell>
          <cell r="D115" t="str">
            <v>Membuat dan memasang pintu dan jendela jalusi, kayu kamper</v>
          </cell>
          <cell r="E115" t="str">
            <v>A.4.6.1.7.</v>
          </cell>
          <cell r="F115">
            <v>0</v>
          </cell>
          <cell r="G115">
            <v>1194037.1000000001</v>
          </cell>
          <cell r="I115">
            <v>394650</v>
          </cell>
          <cell r="K115" t="str">
            <v>m2</v>
          </cell>
        </row>
        <row r="116">
          <cell r="B116">
            <v>104</v>
          </cell>
          <cell r="D116" t="str">
            <v>Membuat daun pintu kayu lapis ( plywood) rangkap, rangka tertutup ky BK</v>
          </cell>
          <cell r="E116" t="str">
            <v>A.4.6.1.8.</v>
          </cell>
          <cell r="F116">
            <v>0</v>
          </cell>
          <cell r="G116">
            <v>922972.7</v>
          </cell>
          <cell r="I116">
            <v>276255</v>
          </cell>
          <cell r="K116" t="str">
            <v>m2</v>
          </cell>
        </row>
        <row r="117">
          <cell r="B117">
            <v>105</v>
          </cell>
          <cell r="D117" t="str">
            <v>Membuat pintu  plywood rangkap, rangka ekspose kayu BK</v>
          </cell>
          <cell r="E117" t="str">
            <v>A.4.6.1.9.</v>
          </cell>
          <cell r="F117">
            <v>0</v>
          </cell>
          <cell r="G117">
            <v>979954.53</v>
          </cell>
          <cell r="I117">
            <v>315720</v>
          </cell>
          <cell r="K117" t="str">
            <v>m2</v>
          </cell>
        </row>
        <row r="118">
          <cell r="B118">
            <v>106</v>
          </cell>
          <cell r="D118" t="str">
            <v>Memasang jalusi kusen, kayu jati hutan</v>
          </cell>
          <cell r="E118" t="str">
            <v>A.4.6.1.10.</v>
          </cell>
          <cell r="F118">
            <v>0</v>
          </cell>
          <cell r="G118">
            <v>2510204.6</v>
          </cell>
          <cell r="I118">
            <v>289630</v>
          </cell>
          <cell r="K118" t="str">
            <v>m2</v>
          </cell>
        </row>
        <row r="119">
          <cell r="B119">
            <v>107</v>
          </cell>
          <cell r="D119" t="str">
            <v>Memasang teakwood rangkap, rangka expose kayu BK</v>
          </cell>
          <cell r="E119" t="str">
            <v>A.4.6.1.11.</v>
          </cell>
          <cell r="F119">
            <v>0</v>
          </cell>
          <cell r="G119">
            <v>1023028.55</v>
          </cell>
          <cell r="I119">
            <v>315720</v>
          </cell>
          <cell r="K119" t="str">
            <v>m2</v>
          </cell>
        </row>
        <row r="120">
          <cell r="B120">
            <v>108</v>
          </cell>
          <cell r="D120" t="str">
            <v>Memasang teakwood rangkap lapis formika, rangka expose kayu BK</v>
          </cell>
          <cell r="E120" t="str">
            <v>A.4.6.1.12.</v>
          </cell>
          <cell r="F120">
            <v>0</v>
          </cell>
          <cell r="G120">
            <v>1152499.43</v>
          </cell>
          <cell r="I120">
            <v>335496</v>
          </cell>
          <cell r="K120" t="str">
            <v>m2</v>
          </cell>
        </row>
        <row r="121">
          <cell r="B121">
            <v>109</v>
          </cell>
          <cell r="C121">
            <v>0</v>
          </cell>
          <cell r="D121" t="str">
            <v xml:space="preserve">Memasang konstruksi kuda-kuda , kayu kelas I, II dan III </v>
          </cell>
          <cell r="E121" t="str">
            <v>A.4.6.1.13.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 t="str">
            <v>m3</v>
          </cell>
        </row>
        <row r="122">
          <cell r="B122">
            <v>110</v>
          </cell>
          <cell r="D122" t="str">
            <v>Memasang konstruksi kuda-kuda konvensional kayu bangkiray</v>
          </cell>
          <cell r="E122" t="str">
            <v>A.4.6.1.13a.</v>
          </cell>
          <cell r="F122">
            <v>0</v>
          </cell>
          <cell r="G122">
            <v>22977420</v>
          </cell>
          <cell r="I122">
            <v>1578600</v>
          </cell>
          <cell r="K122" t="str">
            <v>m3</v>
          </cell>
        </row>
        <row r="123">
          <cell r="B123">
            <v>111</v>
          </cell>
          <cell r="D123" t="str">
            <v>Memasang konstruksi kuda-kuda konvensional kayu kruing</v>
          </cell>
          <cell r="E123" t="str">
            <v>A.4.6.1.13b.</v>
          </cell>
          <cell r="F123">
            <v>0</v>
          </cell>
          <cell r="G123">
            <v>14802209</v>
          </cell>
          <cell r="I123">
            <v>1578600</v>
          </cell>
          <cell r="K123" t="str">
            <v>m3</v>
          </cell>
        </row>
        <row r="124">
          <cell r="B124">
            <v>112</v>
          </cell>
          <cell r="D124" t="str">
            <v>Memasang konstruksi kuda-kuda konvensional Kayu Jati hutan</v>
          </cell>
          <cell r="E124" t="str">
            <v>A.4.6.1.13c.</v>
          </cell>
          <cell r="F124">
            <v>0</v>
          </cell>
          <cell r="G124">
            <v>42053741</v>
          </cell>
          <cell r="I124">
            <v>1578600</v>
          </cell>
          <cell r="K124" t="str">
            <v>m3</v>
          </cell>
        </row>
        <row r="125">
          <cell r="B125">
            <v>113</v>
          </cell>
          <cell r="D125" t="str">
            <v>Memasang konstruksi kuda-kuda konvensional, Kayu lama</v>
          </cell>
          <cell r="E125" t="str">
            <v>A.4.6.1.13d.</v>
          </cell>
          <cell r="F125">
            <v>0</v>
          </cell>
          <cell r="G125">
            <v>2086319</v>
          </cell>
          <cell r="I125">
            <v>1578600</v>
          </cell>
          <cell r="K125" t="str">
            <v>m3</v>
          </cell>
        </row>
        <row r="126">
          <cell r="B126">
            <v>114</v>
          </cell>
          <cell r="D126" t="str">
            <v>Memasang konstruksi kuda-kuda ekspose, kayu jati hutan</v>
          </cell>
          <cell r="E126" t="str">
            <v>A.4.6.1.14.</v>
          </cell>
          <cell r="F126">
            <v>0</v>
          </cell>
          <cell r="G126">
            <v>46891220.149999999</v>
          </cell>
          <cell r="I126">
            <v>2644155</v>
          </cell>
          <cell r="K126" t="str">
            <v>m3</v>
          </cell>
        </row>
        <row r="127">
          <cell r="B127">
            <v>115</v>
          </cell>
          <cell r="C127">
            <v>0</v>
          </cell>
          <cell r="D127" t="str">
            <v xml:space="preserve">Memasang konstruksi gording, kayu kelas II </v>
          </cell>
          <cell r="E127" t="str">
            <v>A.4.6.1.15.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 t="str">
            <v>m3</v>
          </cell>
        </row>
        <row r="128">
          <cell r="B128">
            <v>116</v>
          </cell>
          <cell r="D128" t="str">
            <v xml:space="preserve">Memasang konstruksi gording, kayu bangkiray </v>
          </cell>
          <cell r="E128" t="str">
            <v>A.4.6.1.15a.</v>
          </cell>
          <cell r="F128">
            <v>0</v>
          </cell>
          <cell r="G128">
            <v>24131551.149999999</v>
          </cell>
          <cell r="I128">
            <v>2644155</v>
          </cell>
          <cell r="K128" t="str">
            <v>m3</v>
          </cell>
        </row>
        <row r="129">
          <cell r="B129">
            <v>117</v>
          </cell>
          <cell r="D129" t="str">
            <v>Memasang konstruksi gording, kayu kruing</v>
          </cell>
          <cell r="E129" t="str">
            <v>A.4.6.1.15b.</v>
          </cell>
          <cell r="F129">
            <v>0</v>
          </cell>
          <cell r="G129">
            <v>15956340.15</v>
          </cell>
          <cell r="I129">
            <v>2644155</v>
          </cell>
          <cell r="K129" t="str">
            <v>m3</v>
          </cell>
        </row>
        <row r="130">
          <cell r="B130">
            <v>118</v>
          </cell>
          <cell r="C130">
            <v>0</v>
          </cell>
          <cell r="D130" t="str">
            <v>Memasang rangka atap (usuk/reng) genteng kayu kelas II</v>
          </cell>
          <cell r="E130" t="str">
            <v>A.4.6.1.16.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 t="str">
            <v>m2</v>
          </cell>
        </row>
        <row r="131">
          <cell r="B131">
            <v>119</v>
          </cell>
          <cell r="D131" t="str">
            <v>Memasang rangka atap (usuk/reng) genteng kayu bangkiray</v>
          </cell>
          <cell r="E131" t="str">
            <v>A.4.6.1.16a.</v>
          </cell>
          <cell r="F131">
            <v>0</v>
          </cell>
          <cell r="G131">
            <v>0</v>
          </cell>
          <cell r="I131">
            <v>0</v>
          </cell>
          <cell r="K131" t="str">
            <v>m2</v>
          </cell>
        </row>
        <row r="132">
          <cell r="B132">
            <v>120</v>
          </cell>
          <cell r="D132" t="str">
            <v>Memasang rangka atap (usuk/reng) genteng kayu kruing</v>
          </cell>
          <cell r="E132" t="str">
            <v>A.4.6.1.16b.</v>
          </cell>
          <cell r="F132">
            <v>0</v>
          </cell>
          <cell r="G132">
            <v>0</v>
          </cell>
          <cell r="I132">
            <v>0</v>
          </cell>
          <cell r="K132" t="str">
            <v>m2</v>
          </cell>
        </row>
        <row r="133">
          <cell r="B133">
            <v>121</v>
          </cell>
          <cell r="D133" t="str">
            <v>Memasang rangka atap (usuk lama/reng baru) kayu kruing</v>
          </cell>
          <cell r="E133" t="str">
            <v>K.6.16.2008.c</v>
          </cell>
          <cell r="F133">
            <v>0</v>
          </cell>
          <cell r="G133">
            <v>68051.990000000005</v>
          </cell>
          <cell r="I133">
            <v>19145</v>
          </cell>
          <cell r="K133" t="str">
            <v>m2</v>
          </cell>
        </row>
        <row r="134">
          <cell r="B134">
            <v>122</v>
          </cell>
          <cell r="D134" t="str">
            <v>Memasang rk. atap (usuk lama/reng baru) genteng ky. kruing</v>
          </cell>
          <cell r="E134" t="str">
            <v>An. Dihitung</v>
          </cell>
          <cell r="F134">
            <v>0</v>
          </cell>
          <cell r="G134">
            <v>68051.990000000005</v>
          </cell>
          <cell r="H134">
            <v>0</v>
          </cell>
          <cell r="I134">
            <v>19145</v>
          </cell>
          <cell r="J134">
            <v>0</v>
          </cell>
          <cell r="K134" t="str">
            <v>m2</v>
          </cell>
        </row>
        <row r="135">
          <cell r="B135">
            <v>123</v>
          </cell>
          <cell r="C135">
            <v>0</v>
          </cell>
          <cell r="D135" t="str">
            <v xml:space="preserve">Memasang rangka atap genteng beton, kayu kelas II </v>
          </cell>
          <cell r="E135" t="str">
            <v>A.4.6.1.17.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 t="str">
            <v>m2</v>
          </cell>
        </row>
        <row r="136">
          <cell r="B136">
            <v>124</v>
          </cell>
          <cell r="D136" t="str">
            <v>Memasang rangka atap genteng beton, kayu kruing</v>
          </cell>
          <cell r="E136" t="str">
            <v>A.4.6.1.17a.</v>
          </cell>
          <cell r="F136">
            <v>0</v>
          </cell>
          <cell r="G136">
            <v>0</v>
          </cell>
          <cell r="I136">
            <v>0</v>
          </cell>
          <cell r="K136" t="str">
            <v>m2</v>
          </cell>
        </row>
        <row r="137">
          <cell r="B137">
            <v>125</v>
          </cell>
          <cell r="C137">
            <v>0</v>
          </cell>
          <cell r="D137" t="str">
            <v xml:space="preserve">Memasang rangka atap sirap, kayu kelas II </v>
          </cell>
          <cell r="E137" t="str">
            <v>A.4.6.1.18.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 t="str">
            <v>m2</v>
          </cell>
        </row>
        <row r="138">
          <cell r="B138">
            <v>126</v>
          </cell>
          <cell r="D138" t="str">
            <v>Memasang rangka atap sirap, kayu kruing</v>
          </cell>
          <cell r="E138" t="str">
            <v>A.4.6.1.18a.</v>
          </cell>
          <cell r="F138">
            <v>0</v>
          </cell>
          <cell r="G138">
            <v>188894.19</v>
          </cell>
          <cell r="I138">
            <v>22974</v>
          </cell>
          <cell r="K138" t="str">
            <v>m2</v>
          </cell>
        </row>
        <row r="139">
          <cell r="B139">
            <v>127</v>
          </cell>
          <cell r="C139">
            <v>0</v>
          </cell>
          <cell r="D139" t="str">
            <v>Memasang langit-langit ( 50 x 100 ) cm kayu kelas II atau III</v>
          </cell>
          <cell r="E139" t="str">
            <v>A.4.6.1.19.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 t="str">
            <v>m2</v>
          </cell>
        </row>
        <row r="140">
          <cell r="B140">
            <v>128</v>
          </cell>
          <cell r="D140" t="str">
            <v>Memasang langit-langit (50x100) cm kayu kruing</v>
          </cell>
          <cell r="E140" t="str">
            <v>A.4.6.1.19a.</v>
          </cell>
          <cell r="F140">
            <v>0</v>
          </cell>
          <cell r="G140">
            <v>238172.36</v>
          </cell>
          <cell r="I140">
            <v>49830</v>
          </cell>
          <cell r="K140" t="str">
            <v>m2</v>
          </cell>
        </row>
        <row r="141">
          <cell r="B141">
            <v>129</v>
          </cell>
          <cell r="C141">
            <v>0</v>
          </cell>
          <cell r="D141" t="str">
            <v xml:space="preserve">Memasang langit-langit ( 60 x 60 ) cm kayu kelas II atau III </v>
          </cell>
          <cell r="E141" t="str">
            <v>A.4.6.1.20.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 t="str">
            <v>m2</v>
          </cell>
        </row>
        <row r="142">
          <cell r="B142">
            <v>130</v>
          </cell>
          <cell r="D142" t="str">
            <v>Memasang langit-langit ( 60 x 60 ) cm kayu kruing</v>
          </cell>
          <cell r="E142" t="str">
            <v>A.4.6.1.20a.</v>
          </cell>
          <cell r="F142">
            <v>0</v>
          </cell>
          <cell r="G142">
            <v>247977.37</v>
          </cell>
          <cell r="I142">
            <v>48450</v>
          </cell>
          <cell r="K142" t="str">
            <v>m2</v>
          </cell>
        </row>
        <row r="143">
          <cell r="B143">
            <v>131</v>
          </cell>
          <cell r="C143">
            <v>0</v>
          </cell>
          <cell r="D143" t="str">
            <v>Memasang lisplank ukuran ( 3 x 20 ) cm, kayu klas I / II</v>
          </cell>
          <cell r="E143" t="str">
            <v>A.4.6.1.21.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 t="str">
            <v>m'</v>
          </cell>
        </row>
        <row r="144">
          <cell r="B144">
            <v>132</v>
          </cell>
          <cell r="D144" t="str">
            <v>Memasang lisplank ukuran (2x20) cm, kayu kruing</v>
          </cell>
          <cell r="E144" t="str">
            <v>Dihitung</v>
          </cell>
          <cell r="F144">
            <v>0</v>
          </cell>
          <cell r="G144">
            <v>89528.77</v>
          </cell>
          <cell r="I144">
            <v>29305</v>
          </cell>
          <cell r="K144" t="str">
            <v>m'</v>
          </cell>
        </row>
        <row r="145">
          <cell r="B145">
            <v>133</v>
          </cell>
          <cell r="D145" t="str">
            <v>Memasang lisplank ukuran (2x20) cm, kayu kamper</v>
          </cell>
          <cell r="E145" t="str">
            <v>Dihitung</v>
          </cell>
          <cell r="F145">
            <v>0</v>
          </cell>
          <cell r="G145">
            <v>111335.95999999999</v>
          </cell>
          <cell r="I145">
            <v>29305</v>
          </cell>
          <cell r="K145" t="str">
            <v>m'</v>
          </cell>
        </row>
        <row r="146">
          <cell r="B146">
            <v>134</v>
          </cell>
          <cell r="D146" t="str">
            <v>Memasang lisplank woodplank</v>
          </cell>
          <cell r="E146" t="str">
            <v>An. Dihitung</v>
          </cell>
          <cell r="F146">
            <v>0</v>
          </cell>
          <cell r="G146">
            <v>67946.899999999994</v>
          </cell>
          <cell r="H146">
            <v>0</v>
          </cell>
          <cell r="I146">
            <v>29305</v>
          </cell>
          <cell r="J146">
            <v>0</v>
          </cell>
          <cell r="K146" t="str">
            <v>m'</v>
          </cell>
        </row>
        <row r="147">
          <cell r="B147">
            <v>135</v>
          </cell>
          <cell r="C147">
            <v>0</v>
          </cell>
          <cell r="D147" t="str">
            <v xml:space="preserve">Memasang lisplank ukuran (3x30) cm, kayu kelas I atau II </v>
          </cell>
          <cell r="E147" t="str">
            <v>A.4.6.1.22.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 t="str">
            <v>m'</v>
          </cell>
        </row>
        <row r="148">
          <cell r="B148">
            <v>136</v>
          </cell>
          <cell r="D148" t="str">
            <v xml:space="preserve">Memasang lisplank ukuran ( 3 x 30 ) cm, kayu bangkiray </v>
          </cell>
          <cell r="E148" t="str">
            <v>A.4.6.1.22a.</v>
          </cell>
          <cell r="F148">
            <v>0</v>
          </cell>
          <cell r="G148">
            <v>257030.03000000003</v>
          </cell>
          <cell r="I148">
            <v>29305</v>
          </cell>
          <cell r="K148" t="str">
            <v>m'</v>
          </cell>
        </row>
        <row r="149">
          <cell r="B149">
            <v>137</v>
          </cell>
          <cell r="D149" t="str">
            <v xml:space="preserve">Memasang lisplank ukuran ( 3 x 30 ) cm, kayu kamper </v>
          </cell>
          <cell r="E149" t="str">
            <v>A.4.6.1.22b.</v>
          </cell>
          <cell r="F149">
            <v>0</v>
          </cell>
          <cell r="G149">
            <v>221357.72999999998</v>
          </cell>
          <cell r="I149">
            <v>29305</v>
          </cell>
          <cell r="K149" t="str">
            <v>m'</v>
          </cell>
        </row>
        <row r="150">
          <cell r="B150">
            <v>138</v>
          </cell>
          <cell r="D150" t="str">
            <v>Memasang rangka dinding pemisah ( 60 x 120 ) cm kayu kruing ( kelas II atau III )</v>
          </cell>
          <cell r="E150" t="str">
            <v>A.4.6.1.23.</v>
          </cell>
          <cell r="F150">
            <v>0</v>
          </cell>
          <cell r="G150">
            <v>393501.03</v>
          </cell>
          <cell r="I150">
            <v>59241</v>
          </cell>
          <cell r="K150" t="str">
            <v>m2</v>
          </cell>
        </row>
        <row r="151">
          <cell r="B151">
            <v>139</v>
          </cell>
          <cell r="D151" t="str">
            <v xml:space="preserve">Memasang dinding pemisah teakwood rangkap, rangka kayu kelas II </v>
          </cell>
          <cell r="E151" t="str">
            <v>A.4.6.1.24.</v>
          </cell>
          <cell r="F151">
            <v>0</v>
          </cell>
          <cell r="G151">
            <v>527130.31000000006</v>
          </cell>
          <cell r="I151">
            <v>59241</v>
          </cell>
          <cell r="K151" t="str">
            <v>m2</v>
          </cell>
        </row>
        <row r="152">
          <cell r="B152">
            <v>140</v>
          </cell>
          <cell r="D152" t="str">
            <v>Memasang dinding pemisah plywood rangkap, rangka kayu kruing (kelas II )</v>
          </cell>
          <cell r="E152" t="str">
            <v>A.4.6.1.25.</v>
          </cell>
          <cell r="F152">
            <v>0</v>
          </cell>
          <cell r="G152">
            <v>498845.28</v>
          </cell>
          <cell r="I152">
            <v>78930</v>
          </cell>
          <cell r="K152" t="str">
            <v>m2</v>
          </cell>
        </row>
        <row r="153">
          <cell r="B153">
            <v>141</v>
          </cell>
          <cell r="D153" t="str">
            <v>Memasang dinding lambriziring dari papan kayu jati hutan ( kelas I )</v>
          </cell>
          <cell r="E153" t="str">
            <v>A.4.6.1.26.</v>
          </cell>
          <cell r="F153">
            <v>0</v>
          </cell>
          <cell r="G153">
            <v>526713.34</v>
          </cell>
          <cell r="I153">
            <v>236790</v>
          </cell>
          <cell r="K153" t="str">
            <v>m2</v>
          </cell>
        </row>
        <row r="154">
          <cell r="B154">
            <v>142</v>
          </cell>
          <cell r="D154" t="str">
            <v xml:space="preserve">Memasang dinding lambriziring dari plywood ukuran ( 120 x 240 ) cm </v>
          </cell>
          <cell r="E154" t="str">
            <v>A.4.6.1.27.</v>
          </cell>
          <cell r="F154">
            <v>0</v>
          </cell>
          <cell r="G154">
            <v>69995.03</v>
          </cell>
          <cell r="I154">
            <v>9892.5</v>
          </cell>
          <cell r="K154" t="str">
            <v>m2</v>
          </cell>
        </row>
        <row r="155">
          <cell r="B155">
            <v>143</v>
          </cell>
          <cell r="D155" t="str">
            <v>Memasang dinding dinding bilik (gedeg bambu), rangka kayu kruing</v>
          </cell>
          <cell r="E155" t="str">
            <v>A.4.6.1.28.</v>
          </cell>
          <cell r="F155">
            <v>0</v>
          </cell>
          <cell r="G155">
            <v>194941.71999999997</v>
          </cell>
          <cell r="I155">
            <v>14065</v>
          </cell>
          <cell r="K155" t="str">
            <v>m2</v>
          </cell>
        </row>
        <row r="156">
          <cell r="B156">
            <v>144</v>
          </cell>
          <cell r="D156" t="str">
            <v xml:space="preserve">Membuat beton mutu f'c = 7,4 Mpa </v>
          </cell>
          <cell r="E156" t="str">
            <v>A.4.1.1.1.</v>
          </cell>
          <cell r="F156">
            <v>0</v>
          </cell>
          <cell r="G156">
            <v>936761.60000000009</v>
          </cell>
          <cell r="I156">
            <v>174909</v>
          </cell>
          <cell r="K156" t="str">
            <v>m3</v>
          </cell>
        </row>
        <row r="157">
          <cell r="B157">
            <v>145</v>
          </cell>
          <cell r="D157" t="str">
            <v xml:space="preserve">Membuat beton mutu f'c = 9,8 Mpa </v>
          </cell>
          <cell r="E157" t="str">
            <v>A.4.1.1.2.</v>
          </cell>
          <cell r="F157">
            <v>0</v>
          </cell>
          <cell r="G157">
            <v>970641.57000000007</v>
          </cell>
          <cell r="I157">
            <v>174909</v>
          </cell>
          <cell r="K157" t="str">
            <v>m3</v>
          </cell>
        </row>
        <row r="158">
          <cell r="B158">
            <v>146</v>
          </cell>
          <cell r="D158" t="str">
            <v xml:space="preserve">Membuat beton mutu f'c =12,2  Mpa </v>
          </cell>
          <cell r="E158" t="str">
            <v>A.4.1.1.3.</v>
          </cell>
          <cell r="F158">
            <v>0</v>
          </cell>
          <cell r="G158">
            <v>997065.94</v>
          </cell>
          <cell r="I158">
            <v>174909</v>
          </cell>
          <cell r="K158" t="str">
            <v>m3</v>
          </cell>
        </row>
        <row r="159">
          <cell r="B159">
            <v>147</v>
          </cell>
          <cell r="D159" t="str">
            <v>Membuat lantai kerja beton mutu f'c = 7,4 Mpa slump (3-6) cm, w/c = 0,87</v>
          </cell>
          <cell r="E159" t="str">
            <v>A.4.1.1.4.</v>
          </cell>
          <cell r="F159">
            <v>0</v>
          </cell>
          <cell r="G159">
            <v>869870.47</v>
          </cell>
          <cell r="I159">
            <v>127140</v>
          </cell>
          <cell r="K159" t="str">
            <v>m3</v>
          </cell>
        </row>
        <row r="160">
          <cell r="B160">
            <v>148</v>
          </cell>
          <cell r="D160" t="str">
            <v>Membuat beton mutu f'c = 14,5 Mpa, slump (120+20)mm</v>
          </cell>
          <cell r="E160" t="str">
            <v>A.4.1.1.5.</v>
          </cell>
          <cell r="F160">
            <v>0</v>
          </cell>
          <cell r="G160">
            <v>1028419.8600000001</v>
          </cell>
          <cell r="H160">
            <v>0</v>
          </cell>
          <cell r="I160">
            <v>174909</v>
          </cell>
          <cell r="K160" t="str">
            <v>m3</v>
          </cell>
        </row>
        <row r="161">
          <cell r="B161">
            <v>149</v>
          </cell>
          <cell r="D161" t="str">
            <v xml:space="preserve">Membuat beton mutu f'c = 16,9 Mpa </v>
          </cell>
          <cell r="E161" t="str">
            <v>A.4.1.1.6.</v>
          </cell>
          <cell r="F161">
            <v>0</v>
          </cell>
          <cell r="G161">
            <v>1058259.3199999998</v>
          </cell>
          <cell r="I161">
            <v>174909</v>
          </cell>
          <cell r="K161" t="str">
            <v>m3</v>
          </cell>
        </row>
        <row r="162">
          <cell r="B162">
            <v>150</v>
          </cell>
          <cell r="D162" t="str">
            <v xml:space="preserve">Membuat beton mutu f'c = 19,3 Mpa </v>
          </cell>
          <cell r="E162" t="str">
            <v>A.4.1.1.7.</v>
          </cell>
          <cell r="F162">
            <v>0</v>
          </cell>
          <cell r="G162">
            <v>1080846.47</v>
          </cell>
          <cell r="H162">
            <v>0</v>
          </cell>
          <cell r="I162">
            <v>174909</v>
          </cell>
          <cell r="K162" t="str">
            <v>m3</v>
          </cell>
        </row>
        <row r="163">
          <cell r="B163">
            <v>151</v>
          </cell>
          <cell r="D163" t="str">
            <v xml:space="preserve">Membuat beton mutu f'c = 21,7 Mpa </v>
          </cell>
          <cell r="E163" t="str">
            <v>A.4.1.1.8.</v>
          </cell>
          <cell r="F163">
            <v>0</v>
          </cell>
          <cell r="G163">
            <v>1095522.72</v>
          </cell>
          <cell r="H163">
            <v>0</v>
          </cell>
          <cell r="I163">
            <v>174909</v>
          </cell>
          <cell r="K163" t="str">
            <v>m3</v>
          </cell>
        </row>
        <row r="164">
          <cell r="B164">
            <v>152</v>
          </cell>
          <cell r="D164" t="str">
            <v xml:space="preserve">Membuat beton mutu f'c = 24,0 Mpa </v>
          </cell>
          <cell r="E164" t="str">
            <v>A.4.1.1.9.</v>
          </cell>
          <cell r="F164">
            <v>0</v>
          </cell>
          <cell r="G164">
            <v>1120911.25</v>
          </cell>
          <cell r="I164">
            <v>174909</v>
          </cell>
          <cell r="K164" t="str">
            <v>m3</v>
          </cell>
        </row>
        <row r="165">
          <cell r="B165">
            <v>153</v>
          </cell>
          <cell r="D165" t="str">
            <v>Membuat beton mutu f'c = 26,4 Mpa</v>
          </cell>
          <cell r="E165" t="str">
            <v>A.4.1.1.10.</v>
          </cell>
          <cell r="F165">
            <v>0</v>
          </cell>
          <cell r="G165">
            <v>1128709.74</v>
          </cell>
          <cell r="H165">
            <v>0</v>
          </cell>
          <cell r="I165">
            <v>174909</v>
          </cell>
          <cell r="K165" t="str">
            <v>m3</v>
          </cell>
        </row>
        <row r="166">
          <cell r="B166">
            <v>154</v>
          </cell>
          <cell r="D166" t="str">
            <v xml:space="preserve">Membuat beton mutu f'c = 28,8 Mpa </v>
          </cell>
          <cell r="E166" t="str">
            <v>A.4.1.1.11.</v>
          </cell>
          <cell r="F166">
            <v>0</v>
          </cell>
          <cell r="G166">
            <v>1212253.8400000001</v>
          </cell>
          <cell r="I166">
            <v>222495</v>
          </cell>
          <cell r="K166" t="str">
            <v>m3</v>
          </cell>
        </row>
        <row r="167">
          <cell r="B167">
            <v>155</v>
          </cell>
          <cell r="D167" t="str">
            <v>Membuat beton mutu f'c = 31,2 Mpa ( K 350 ), slump ( 120 + 20 )mm</v>
          </cell>
          <cell r="E167" t="str">
            <v>A.4.1.1.12.</v>
          </cell>
          <cell r="F167">
            <v>0</v>
          </cell>
          <cell r="G167">
            <v>1222546.69</v>
          </cell>
          <cell r="I167">
            <v>222495</v>
          </cell>
          <cell r="K167" t="str">
            <v>m3</v>
          </cell>
        </row>
        <row r="168">
          <cell r="B168">
            <v>156</v>
          </cell>
          <cell r="D168" t="str">
            <v>Membuat beton kedap air dengan strorox - 100</v>
          </cell>
          <cell r="E168" t="str">
            <v>A.4.1.1.13.</v>
          </cell>
          <cell r="F168">
            <v>0</v>
          </cell>
          <cell r="G168">
            <v>1235784.95</v>
          </cell>
          <cell r="I168">
            <v>222495</v>
          </cell>
          <cell r="K168" t="str">
            <v>m3</v>
          </cell>
        </row>
        <row r="169">
          <cell r="B169">
            <v>157</v>
          </cell>
          <cell r="D169" t="str">
            <v>Membuat PVC  Waterstop lebar 150 mm</v>
          </cell>
          <cell r="E169" t="str">
            <v>A.4.1.1.14.</v>
          </cell>
          <cell r="F169">
            <v>0</v>
          </cell>
          <cell r="G169">
            <v>80556.570000000007</v>
          </cell>
          <cell r="I169">
            <v>8289</v>
          </cell>
          <cell r="K169" t="str">
            <v>m'</v>
          </cell>
        </row>
        <row r="170">
          <cell r="B170">
            <v>158</v>
          </cell>
          <cell r="D170" t="str">
            <v>Membuat PVC  Waterstop lebar 200 mm</v>
          </cell>
          <cell r="E170" t="str">
            <v>A.4.1.1.15.</v>
          </cell>
          <cell r="F170">
            <v>0</v>
          </cell>
          <cell r="G170">
            <v>105951.06</v>
          </cell>
          <cell r="I170">
            <v>9762</v>
          </cell>
          <cell r="K170" t="str">
            <v>m'</v>
          </cell>
        </row>
        <row r="171">
          <cell r="B171">
            <v>159</v>
          </cell>
          <cell r="D171" t="str">
            <v>Membuat PVC  Waterstop lebar 230 mm - 320 mm</v>
          </cell>
          <cell r="E171" t="str">
            <v>A.4.1.1.16.</v>
          </cell>
          <cell r="F171">
            <v>0</v>
          </cell>
          <cell r="G171">
            <v>0</v>
          </cell>
          <cell r="I171">
            <v>0</v>
          </cell>
          <cell r="K171" t="str">
            <v>m</v>
          </cell>
        </row>
        <row r="172">
          <cell r="B172">
            <v>160</v>
          </cell>
          <cell r="D172" t="str">
            <v>Pembesian 10 kg dengan besi polos atau besi ulir</v>
          </cell>
          <cell r="E172" t="str">
            <v>A.4.1.1.17.</v>
          </cell>
          <cell r="F172">
            <v>0</v>
          </cell>
          <cell r="G172">
            <v>155567.1</v>
          </cell>
          <cell r="I172">
            <v>13095</v>
          </cell>
          <cell r="K172" t="str">
            <v>10 kg</v>
          </cell>
        </row>
        <row r="173">
          <cell r="B173">
            <v>161</v>
          </cell>
          <cell r="D173" t="str">
            <v>Pembesian 1 kg dengan besi polos atau besi ulir</v>
          </cell>
          <cell r="E173" t="str">
            <v>A.4.1.1.17.</v>
          </cell>
          <cell r="F173">
            <v>0</v>
          </cell>
          <cell r="G173">
            <v>15556.71</v>
          </cell>
          <cell r="I173">
            <v>1309.5</v>
          </cell>
          <cell r="K173" t="str">
            <v>kg</v>
          </cell>
        </row>
        <row r="174">
          <cell r="B174">
            <v>162</v>
          </cell>
          <cell r="D174" t="str">
            <v>Memasang 10 kg kabel presstressed polos / strands</v>
          </cell>
          <cell r="E174" t="str">
            <v>A.4.1.1.18.</v>
          </cell>
          <cell r="F174">
            <v>0</v>
          </cell>
          <cell r="G174">
            <v>149912.58000000002</v>
          </cell>
          <cell r="I174">
            <v>9366</v>
          </cell>
          <cell r="K174" t="str">
            <v>kg</v>
          </cell>
        </row>
        <row r="175">
          <cell r="B175">
            <v>163</v>
          </cell>
          <cell r="D175" t="str">
            <v>Memasang 10 kg jaring kawat baja / wire mesh</v>
          </cell>
          <cell r="E175" t="str">
            <v>A.4.1.1.19.</v>
          </cell>
          <cell r="F175">
            <v>0</v>
          </cell>
          <cell r="G175">
            <v>156467.15</v>
          </cell>
          <cell r="I175">
            <v>4591.5</v>
          </cell>
          <cell r="K175" t="str">
            <v>kg</v>
          </cell>
        </row>
        <row r="176">
          <cell r="B176">
            <v>164</v>
          </cell>
          <cell r="D176" t="str">
            <v>(K3) Memasang bekisting untuk pondasi ( 2x pakai )</v>
          </cell>
          <cell r="E176" t="str">
            <v>A.4.1.1.20.</v>
          </cell>
          <cell r="F176">
            <v>0</v>
          </cell>
          <cell r="G176">
            <v>126659.44</v>
          </cell>
          <cell r="I176">
            <v>73138</v>
          </cell>
          <cell r="K176" t="str">
            <v>m2</v>
          </cell>
        </row>
        <row r="177">
          <cell r="B177">
            <v>165</v>
          </cell>
          <cell r="D177" t="str">
            <v>(K3) Memasang bekisting untuk sloof ( 2x pakai )</v>
          </cell>
          <cell r="E177" t="str">
            <v>A.4.1.1.21.</v>
          </cell>
          <cell r="F177">
            <v>0</v>
          </cell>
          <cell r="G177">
            <v>131329.17000000001</v>
          </cell>
          <cell r="I177">
            <v>73138</v>
          </cell>
          <cell r="K177" t="str">
            <v>m2</v>
          </cell>
        </row>
        <row r="178">
          <cell r="B178">
            <v>166</v>
          </cell>
          <cell r="D178" t="str">
            <v>Memasang bekisting</v>
          </cell>
          <cell r="E178" t="str">
            <v>A.4.1.1.20.</v>
          </cell>
          <cell r="F178">
            <v>0</v>
          </cell>
          <cell r="G178">
            <v>164017.24</v>
          </cell>
          <cell r="I178">
            <v>73138</v>
          </cell>
          <cell r="K178" t="str">
            <v>m2</v>
          </cell>
        </row>
        <row r="179">
          <cell r="B179">
            <v>167</v>
          </cell>
          <cell r="D179" t="str">
            <v>(K3) Memasang bekisting untuk kolom ( 2x pakai )</v>
          </cell>
          <cell r="E179" t="str">
            <v>A.4.1.1.22.</v>
          </cell>
          <cell r="F179">
            <v>0</v>
          </cell>
          <cell r="G179">
            <v>214893.8</v>
          </cell>
          <cell r="I179">
            <v>92829</v>
          </cell>
          <cell r="K179" t="str">
            <v>m2</v>
          </cell>
        </row>
        <row r="180">
          <cell r="B180">
            <v>168</v>
          </cell>
          <cell r="D180" t="str">
            <v>(K3) Memasang bekisting untuk balok ( 2x Pakai )</v>
          </cell>
          <cell r="E180" t="str">
            <v>A.4.1.1.23.</v>
          </cell>
          <cell r="F180">
            <v>0</v>
          </cell>
          <cell r="G180">
            <v>219227.91</v>
          </cell>
          <cell r="I180">
            <v>92829</v>
          </cell>
          <cell r="K180" t="str">
            <v>m2</v>
          </cell>
        </row>
        <row r="181">
          <cell r="B181">
            <v>169</v>
          </cell>
          <cell r="D181" t="str">
            <v>(K3) Memasang bekisting untuk lantai ( 2x pakai )</v>
          </cell>
          <cell r="E181" t="str">
            <v>A.4.1.1.24</v>
          </cell>
          <cell r="F181">
            <v>0</v>
          </cell>
          <cell r="G181">
            <v>239753.8</v>
          </cell>
          <cell r="I181">
            <v>92829</v>
          </cell>
          <cell r="K181" t="str">
            <v>m2</v>
          </cell>
        </row>
        <row r="182">
          <cell r="B182">
            <v>170</v>
          </cell>
          <cell r="D182" t="str">
            <v>Memasang bekisting  (asumsi bahan kayu 3 x pakai)</v>
          </cell>
          <cell r="E182" t="str">
            <v>An. Dihitung</v>
          </cell>
          <cell r="F182">
            <v>0</v>
          </cell>
          <cell r="G182">
            <v>114206.84</v>
          </cell>
          <cell r="H182">
            <v>0</v>
          </cell>
          <cell r="I182">
            <v>73138</v>
          </cell>
          <cell r="J182">
            <v>0</v>
          </cell>
          <cell r="K182" t="str">
            <v>m2</v>
          </cell>
        </row>
        <row r="183">
          <cell r="B183">
            <v>171</v>
          </cell>
          <cell r="D183" t="str">
            <v>(K3) Memasang bekisting untuk dinding</v>
          </cell>
          <cell r="E183" t="str">
            <v>A.4.1.1.25.</v>
          </cell>
          <cell r="F183">
            <v>0</v>
          </cell>
          <cell r="G183">
            <v>348931.57</v>
          </cell>
          <cell r="I183">
            <v>92829</v>
          </cell>
          <cell r="K183" t="str">
            <v>m2</v>
          </cell>
        </row>
        <row r="184">
          <cell r="B184">
            <v>172</v>
          </cell>
          <cell r="D184" t="str">
            <v>(K3) Memasang bekisting untuk tangga</v>
          </cell>
          <cell r="E184" t="str">
            <v>A.4.1.1.26.</v>
          </cell>
          <cell r="F184">
            <v>0</v>
          </cell>
          <cell r="G184">
            <v>290092.46999999997</v>
          </cell>
          <cell r="I184">
            <v>92829</v>
          </cell>
          <cell r="K184" t="str">
            <v>m2</v>
          </cell>
        </row>
        <row r="185">
          <cell r="B185">
            <v>173</v>
          </cell>
          <cell r="D185" t="str">
            <v>Memasang jembatan untuk pengecoran beton</v>
          </cell>
          <cell r="E185" t="str">
            <v>A.4.1.1.27.</v>
          </cell>
          <cell r="F185">
            <v>0</v>
          </cell>
          <cell r="G185">
            <v>88072.43</v>
          </cell>
          <cell r="I185">
            <v>18601</v>
          </cell>
          <cell r="K185" t="str">
            <v>m2</v>
          </cell>
        </row>
        <row r="186">
          <cell r="B186">
            <v>174</v>
          </cell>
          <cell r="D186" t="str">
            <v>Membuat pondasi beton bertulang ( 150 kg besi + bekisting )</v>
          </cell>
          <cell r="E186" t="str">
            <v>Bt.6.28.2008</v>
          </cell>
          <cell r="F186">
            <v>0</v>
          </cell>
          <cell r="G186">
            <v>4195596.21</v>
          </cell>
          <cell r="I186">
            <v>736232</v>
          </cell>
          <cell r="K186" t="str">
            <v>m3</v>
          </cell>
        </row>
        <row r="187">
          <cell r="B187">
            <v>175</v>
          </cell>
          <cell r="D187" t="str">
            <v>Membuat pondasi beton K.225 (150 kg besi + bekisting)</v>
          </cell>
          <cell r="E187" t="str">
            <v>Bt.6.28.2008.a</v>
          </cell>
          <cell r="F187">
            <v>0</v>
          </cell>
          <cell r="G187">
            <v>3983851.16</v>
          </cell>
          <cell r="I187">
            <v>736232</v>
          </cell>
          <cell r="K187" t="str">
            <v>m3</v>
          </cell>
        </row>
        <row r="188">
          <cell r="B188">
            <v>176</v>
          </cell>
          <cell r="D188" t="str">
            <v>Membuat pondasi beton K.175 (150 kg besi + bekisting)</v>
          </cell>
          <cell r="E188" t="str">
            <v>Bt.6.28.2008.b</v>
          </cell>
          <cell r="F188">
            <v>0</v>
          </cell>
          <cell r="G188">
            <v>3931147.96</v>
          </cell>
          <cell r="I188">
            <v>736232</v>
          </cell>
          <cell r="K188" t="str">
            <v>m3</v>
          </cell>
        </row>
        <row r="189">
          <cell r="B189">
            <v>177</v>
          </cell>
          <cell r="D189" t="str">
            <v>Membuat sloof beton bertulang ( 200 kg besi + bekisting )</v>
          </cell>
          <cell r="E189" t="str">
            <v>Bt.6.29.2008</v>
          </cell>
          <cell r="F189">
            <v>0</v>
          </cell>
          <cell r="G189">
            <v>5145227.87</v>
          </cell>
          <cell r="I189">
            <v>827949</v>
          </cell>
          <cell r="K189" t="str">
            <v>m3</v>
          </cell>
        </row>
        <row r="190">
          <cell r="B190">
            <v>178</v>
          </cell>
          <cell r="D190" t="str">
            <v>Membuat sloof beton K.225 ( 150 kg besi + bekisting )</v>
          </cell>
          <cell r="E190" t="str">
            <v>Bt.6.29.2008.a</v>
          </cell>
          <cell r="F190">
            <v>0</v>
          </cell>
          <cell r="G190">
            <v>4164077.12</v>
          </cell>
          <cell r="I190">
            <v>827949</v>
          </cell>
          <cell r="K190" t="str">
            <v>m3</v>
          </cell>
        </row>
        <row r="191">
          <cell r="B191">
            <v>179</v>
          </cell>
          <cell r="D191" t="str">
            <v>Membuat sloof beton K.175 ( 150 kg besi + bekisting )</v>
          </cell>
          <cell r="E191" t="str">
            <v>Bt.6.29.2008.b</v>
          </cell>
          <cell r="F191">
            <v>0</v>
          </cell>
          <cell r="G191">
            <v>4111373.92</v>
          </cell>
          <cell r="I191">
            <v>827949</v>
          </cell>
          <cell r="K191" t="str">
            <v>m3</v>
          </cell>
        </row>
        <row r="192">
          <cell r="B192">
            <v>180</v>
          </cell>
          <cell r="D192" t="str">
            <v>Membuat kolom beton bertulang ( 300 kg besi + bekisting )</v>
          </cell>
          <cell r="E192" t="str">
            <v>Bt.6.30.2008</v>
          </cell>
          <cell r="F192">
            <v>0</v>
          </cell>
          <cell r="G192">
            <v>8277022.8700000001</v>
          </cell>
          <cell r="I192">
            <v>1030599</v>
          </cell>
          <cell r="K192" t="str">
            <v>m3</v>
          </cell>
        </row>
        <row r="193">
          <cell r="B193">
            <v>181</v>
          </cell>
          <cell r="D193" t="str">
            <v>Membuat kolom beton K.225 ( 300 kg besi + bekisting )</v>
          </cell>
          <cell r="E193" t="str">
            <v>Bt.6.30.2008.a</v>
          </cell>
          <cell r="F193">
            <v>0</v>
          </cell>
          <cell r="G193">
            <v>7015319.4800000004</v>
          </cell>
          <cell r="I193">
            <v>1030599</v>
          </cell>
          <cell r="K193" t="str">
            <v>m3</v>
          </cell>
        </row>
        <row r="194">
          <cell r="B194">
            <v>182</v>
          </cell>
          <cell r="D194" t="str">
            <v>Membuat kolom beton K.225 (200 kg besi + bekisting)</v>
          </cell>
          <cell r="E194" t="str">
            <v>Bt.6.30.2008.b</v>
          </cell>
          <cell r="F194">
            <v>0</v>
          </cell>
          <cell r="G194">
            <v>5650844.4800000004</v>
          </cell>
          <cell r="I194">
            <v>1030599</v>
          </cell>
          <cell r="K194" t="str">
            <v>m3</v>
          </cell>
        </row>
        <row r="195">
          <cell r="B195">
            <v>183</v>
          </cell>
          <cell r="D195" t="str">
            <v>Membuat kolom beton K.225 (150 kg besi + bekisting)</v>
          </cell>
          <cell r="E195" t="str">
            <v>Bt.6.30.2008.c</v>
          </cell>
          <cell r="F195">
            <v>0</v>
          </cell>
          <cell r="G195">
            <v>4968606.9800000004</v>
          </cell>
          <cell r="I195">
            <v>1030599</v>
          </cell>
          <cell r="K195" t="str">
            <v>m3</v>
          </cell>
        </row>
        <row r="196">
          <cell r="B196">
            <v>184</v>
          </cell>
          <cell r="D196" t="str">
            <v>Membuat kolom beton K.175 (150 kg besi + bekisting)</v>
          </cell>
          <cell r="E196" t="str">
            <v>Bt.6.30.2008.d</v>
          </cell>
          <cell r="F196">
            <v>0</v>
          </cell>
          <cell r="G196">
            <v>4915903.78</v>
          </cell>
          <cell r="I196">
            <v>1030599</v>
          </cell>
          <cell r="K196" t="str">
            <v>m3</v>
          </cell>
        </row>
        <row r="197">
          <cell r="B197">
            <v>185</v>
          </cell>
          <cell r="D197" t="str">
            <v>Membuat balok beton bertulang ( 200 kg besi + bekisting )</v>
          </cell>
          <cell r="E197" t="str">
            <v>Bt.6.31.2008</v>
          </cell>
          <cell r="F197">
            <v>0</v>
          </cell>
          <cell r="G197">
            <v>6362718.1200000001</v>
          </cell>
          <cell r="I197">
            <v>900084</v>
          </cell>
          <cell r="K197" t="str">
            <v>m3</v>
          </cell>
        </row>
        <row r="198">
          <cell r="B198">
            <v>186</v>
          </cell>
          <cell r="D198" t="str">
            <v>Membuat balok beton K.225 ( 200 kg besi + bekisting )</v>
          </cell>
          <cell r="E198" t="str">
            <v>Bt.6.31.2008.a</v>
          </cell>
          <cell r="F198">
            <v>0</v>
          </cell>
          <cell r="G198">
            <v>5327805.74</v>
          </cell>
          <cell r="I198">
            <v>900084</v>
          </cell>
          <cell r="K198" t="str">
            <v>m3</v>
          </cell>
        </row>
        <row r="199">
          <cell r="B199">
            <v>187</v>
          </cell>
          <cell r="D199" t="str">
            <v>Membuat balok beton K.225 ( 150 kg besi + bekisting )</v>
          </cell>
          <cell r="E199" t="str">
            <v>Bt.6.31.2008.b</v>
          </cell>
          <cell r="F199">
            <v>0</v>
          </cell>
          <cell r="G199">
            <v>4645568.24</v>
          </cell>
          <cell r="I199">
            <v>900084</v>
          </cell>
          <cell r="K199" t="str">
            <v>m3</v>
          </cell>
        </row>
        <row r="200">
          <cell r="B200">
            <v>188</v>
          </cell>
          <cell r="D200" t="str">
            <v>Membuat balok beton K.175 ( 150 kg besi + bekisting )</v>
          </cell>
          <cell r="E200" t="str">
            <v>Bt.6.31.2008.c</v>
          </cell>
          <cell r="F200">
            <v>0</v>
          </cell>
          <cell r="G200">
            <v>4592865.04</v>
          </cell>
          <cell r="I200">
            <v>900084</v>
          </cell>
          <cell r="K200" t="str">
            <v>m3</v>
          </cell>
        </row>
        <row r="201">
          <cell r="B201">
            <v>189</v>
          </cell>
          <cell r="D201" t="str">
            <v>Membuat plat beton bertulang ( 150 kg besi + bekisting )</v>
          </cell>
          <cell r="E201" t="str">
            <v>Bt.6.32.2008</v>
          </cell>
          <cell r="F201">
            <v>0</v>
          </cell>
          <cell r="G201">
            <v>5616907.9500000002</v>
          </cell>
          <cell r="I201">
            <v>736520</v>
          </cell>
          <cell r="K201" t="str">
            <v>m3</v>
          </cell>
        </row>
        <row r="202">
          <cell r="B202">
            <v>190</v>
          </cell>
          <cell r="D202" t="str">
            <v>Membuat plat beton K.225 ( 150 kg besi + bekisting )</v>
          </cell>
          <cell r="E202" t="str">
            <v>Bt.6.32.2008.a</v>
          </cell>
          <cell r="F202">
            <v>0</v>
          </cell>
          <cell r="G202">
            <v>4482419.96</v>
          </cell>
          <cell r="I202">
            <v>736520</v>
          </cell>
          <cell r="K202" t="str">
            <v>m3</v>
          </cell>
        </row>
        <row r="203">
          <cell r="B203">
            <v>191</v>
          </cell>
          <cell r="D203" t="str">
            <v>Membuat plat beton K.175 ( 150 kg besi + bekisting )</v>
          </cell>
          <cell r="E203" t="str">
            <v>Bt.6.32.2008.b</v>
          </cell>
          <cell r="F203">
            <v>0</v>
          </cell>
          <cell r="G203">
            <v>4429716.76</v>
          </cell>
          <cell r="I203">
            <v>736520</v>
          </cell>
          <cell r="K203" t="str">
            <v>m3</v>
          </cell>
        </row>
        <row r="204">
          <cell r="B204">
            <v>192</v>
          </cell>
          <cell r="D204" t="str">
            <v>Membuat plat beton K.225 ( 125 kg besi + bekisting )</v>
          </cell>
          <cell r="E204" t="str">
            <v>Bt.6.32.2008.c</v>
          </cell>
          <cell r="F204">
            <v>0</v>
          </cell>
          <cell r="G204">
            <v>4147798.71</v>
          </cell>
          <cell r="I204">
            <v>736520</v>
          </cell>
          <cell r="K204" t="str">
            <v>m3</v>
          </cell>
        </row>
        <row r="205">
          <cell r="B205">
            <v>193</v>
          </cell>
          <cell r="D205" t="str">
            <v>Membuat dinding beton bertulang ( 150 kg besi + bekisting )</v>
          </cell>
          <cell r="E205" t="str">
            <v>Bt.6.33.2008</v>
          </cell>
          <cell r="F205">
            <v>0</v>
          </cell>
          <cell r="G205">
            <v>5473242.0099999998</v>
          </cell>
          <cell r="I205">
            <v>736232</v>
          </cell>
          <cell r="K205" t="str">
            <v>m2</v>
          </cell>
        </row>
        <row r="206">
          <cell r="B206">
            <v>194</v>
          </cell>
          <cell r="D206" t="str">
            <v>Membuat dinding beton K.175 ( 150 kg besi + bekisting )</v>
          </cell>
          <cell r="E206" t="str">
            <v>Bt.6.33.2008.a</v>
          </cell>
          <cell r="F206">
            <v>0</v>
          </cell>
          <cell r="G206">
            <v>4385942.82</v>
          </cell>
          <cell r="I206">
            <v>736232</v>
          </cell>
          <cell r="K206" t="str">
            <v>m3</v>
          </cell>
        </row>
        <row r="207">
          <cell r="B207">
            <v>195</v>
          </cell>
          <cell r="D207" t="str">
            <v>Membuat dinding beton bertulang ( 200 kg besi + bekisting )</v>
          </cell>
          <cell r="E207" t="str">
            <v>Bt.6.34.2008</v>
          </cell>
          <cell r="F207">
            <v>0</v>
          </cell>
          <cell r="G207">
            <v>5981693.4199999999</v>
          </cell>
          <cell r="I207">
            <v>827949</v>
          </cell>
          <cell r="K207" t="str">
            <v>m3</v>
          </cell>
        </row>
        <row r="208">
          <cell r="B208">
            <v>196</v>
          </cell>
          <cell r="D208" t="str">
            <v>Membuat kolom praktis beton bertulang ( 11 x 11 ) cm</v>
          </cell>
          <cell r="E208" t="str">
            <v>Bt.6.35.2008</v>
          </cell>
          <cell r="F208">
            <v>0</v>
          </cell>
          <cell r="G208">
            <v>78910.73</v>
          </cell>
          <cell r="I208">
            <v>22069</v>
          </cell>
          <cell r="K208" t="str">
            <v>m3</v>
          </cell>
        </row>
        <row r="209">
          <cell r="B209">
            <v>197</v>
          </cell>
          <cell r="D209" t="str">
            <v>Membuat kolom praktis beton bertulang 11/11 cm</v>
          </cell>
          <cell r="E209" t="str">
            <v>A.4.1.1.35.</v>
          </cell>
          <cell r="F209">
            <v>0</v>
          </cell>
          <cell r="G209">
            <v>124202.82</v>
          </cell>
          <cell r="I209">
            <v>22069</v>
          </cell>
          <cell r="K209" t="str">
            <v>m'</v>
          </cell>
        </row>
        <row r="210">
          <cell r="B210">
            <v>198</v>
          </cell>
          <cell r="D210" t="str">
            <v>Membuat ring balok beton bertulang ( 10 x 15 ) cm</v>
          </cell>
          <cell r="E210" t="str">
            <v>A.4.1.1.36.</v>
          </cell>
          <cell r="F210">
            <v>0</v>
          </cell>
          <cell r="G210">
            <v>109791.37</v>
          </cell>
          <cell r="I210">
            <v>36436.5</v>
          </cell>
          <cell r="K210" t="str">
            <v>m'</v>
          </cell>
        </row>
        <row r="211">
          <cell r="B211">
            <v>199</v>
          </cell>
          <cell r="D211" t="str">
            <v>Membuat ring balok beton bertulang 10/15 cm</v>
          </cell>
          <cell r="E211" t="str">
            <v>Bt.6.36.2008.a</v>
          </cell>
          <cell r="F211">
            <v>0</v>
          </cell>
          <cell r="G211">
            <v>100207.84</v>
          </cell>
          <cell r="I211">
            <v>36436.5</v>
          </cell>
          <cell r="K211" t="str">
            <v>m'</v>
          </cell>
        </row>
        <row r="212">
          <cell r="B212">
            <v>200</v>
          </cell>
          <cell r="D212" t="str">
            <v>Memasang langit-langit asbes semen, tebal 4 mm, 5 mm, 6 mm</v>
          </cell>
          <cell r="E212" t="str">
            <v>A.4.5.1.1.</v>
          </cell>
          <cell r="F212">
            <v>0</v>
          </cell>
          <cell r="G212">
            <v>31476.15</v>
          </cell>
          <cell r="I212">
            <v>10025</v>
          </cell>
          <cell r="K212" t="str">
            <v>m2</v>
          </cell>
        </row>
        <row r="213">
          <cell r="B213">
            <v>201</v>
          </cell>
          <cell r="D213" t="str">
            <v>Memasang langit-langit harplek</v>
          </cell>
          <cell r="E213" t="str">
            <v>A.4.5.1.1a.</v>
          </cell>
          <cell r="F213">
            <v>0</v>
          </cell>
          <cell r="G213">
            <v>36945.35</v>
          </cell>
          <cell r="I213">
            <v>10025</v>
          </cell>
          <cell r="K213" t="str">
            <v>m2</v>
          </cell>
        </row>
        <row r="214">
          <cell r="B214">
            <v>202</v>
          </cell>
          <cell r="D214" t="str">
            <v>Memasang langit-langit akustik ukuran ( 30 x 30 ) cm</v>
          </cell>
          <cell r="E214" t="str">
            <v>A.4.5.1.2.</v>
          </cell>
          <cell r="F214">
            <v>0</v>
          </cell>
          <cell r="G214">
            <v>27260.12</v>
          </cell>
          <cell r="I214">
            <v>22974</v>
          </cell>
          <cell r="K214" t="str">
            <v>m2</v>
          </cell>
        </row>
        <row r="215">
          <cell r="B215">
            <v>203</v>
          </cell>
          <cell r="D215" t="str">
            <v>Memasang langit-langit akustik ukuran ( 30 x 60 ) cm</v>
          </cell>
          <cell r="E215" t="str">
            <v>A.4.5.1.3.</v>
          </cell>
          <cell r="F215">
            <v>0</v>
          </cell>
          <cell r="G215">
            <v>37023.32</v>
          </cell>
          <cell r="I215">
            <v>31614</v>
          </cell>
          <cell r="K215" t="str">
            <v>m2</v>
          </cell>
        </row>
        <row r="216">
          <cell r="B216">
            <v>204</v>
          </cell>
          <cell r="D216" t="str">
            <v>Memasang langit-langit akustik ukuran ( 60 x 120 ) cm</v>
          </cell>
          <cell r="E216" t="str">
            <v>A.4.5.1.4.</v>
          </cell>
          <cell r="F216">
            <v>0</v>
          </cell>
          <cell r="G216">
            <v>92428.35</v>
          </cell>
          <cell r="I216">
            <v>19145</v>
          </cell>
          <cell r="K216" t="str">
            <v>m2</v>
          </cell>
        </row>
        <row r="217">
          <cell r="B217">
            <v>205</v>
          </cell>
          <cell r="D217" t="str">
            <v>Memasang langit-langit tripleks uk ( 120 x 240 ) cm, tebal 3 mm, 4 mm dan 6 mm</v>
          </cell>
          <cell r="E217" t="str">
            <v>A.4.5.1.5.</v>
          </cell>
          <cell r="F217">
            <v>0</v>
          </cell>
          <cell r="G217">
            <v>51737.05</v>
          </cell>
          <cell r="I217">
            <v>19145</v>
          </cell>
          <cell r="K217" t="str">
            <v>m2</v>
          </cell>
        </row>
        <row r="218">
          <cell r="B218">
            <v>206</v>
          </cell>
          <cell r="D218" t="str">
            <v>Memasang langit-langit lambriziring kayu jati lokal, tebal 9 mm.</v>
          </cell>
          <cell r="E218" t="str">
            <v>A.4.5.1.6.</v>
          </cell>
          <cell r="F218">
            <v>0</v>
          </cell>
          <cell r="G218">
            <v>558095.69999999995</v>
          </cell>
          <cell r="I218">
            <v>153160</v>
          </cell>
          <cell r="K218" t="str">
            <v>m2</v>
          </cell>
        </row>
        <row r="219">
          <cell r="B219">
            <v>207</v>
          </cell>
          <cell r="D219" t="str">
            <v>Memasang langit-langit gypsum board uk. (120x240), tb. 9 mm.</v>
          </cell>
          <cell r="E219" t="str">
            <v>A.4.5.1.7.</v>
          </cell>
          <cell r="F219">
            <v>0</v>
          </cell>
          <cell r="G219">
            <v>54537.19</v>
          </cell>
          <cell r="I219">
            <v>14065</v>
          </cell>
          <cell r="K219" t="str">
            <v>m2</v>
          </cell>
        </row>
        <row r="220">
          <cell r="B220">
            <v>208</v>
          </cell>
          <cell r="D220" t="str">
            <v>Memasang langit-langit GRC ukuran ( 120 x 240 ) , tb. 5 mm.</v>
          </cell>
          <cell r="E220" t="str">
            <v>L.6.7.2008.a</v>
          </cell>
          <cell r="F220">
            <v>0</v>
          </cell>
          <cell r="G220">
            <v>57378.01</v>
          </cell>
          <cell r="I220">
            <v>14065</v>
          </cell>
          <cell r="K220" t="str">
            <v>m2</v>
          </cell>
        </row>
        <row r="221">
          <cell r="B221">
            <v>209</v>
          </cell>
          <cell r="D221" t="str">
            <v>Memasang list plafond gypsum profil</v>
          </cell>
          <cell r="E221" t="str">
            <v>Dihitung</v>
          </cell>
          <cell r="F221">
            <v>0</v>
          </cell>
          <cell r="G221">
            <v>20777.310000000001</v>
          </cell>
          <cell r="I221">
            <v>11487</v>
          </cell>
          <cell r="K221" t="str">
            <v>m'</v>
          </cell>
        </row>
        <row r="222">
          <cell r="B222">
            <v>210</v>
          </cell>
          <cell r="D222" t="str">
            <v>Memasang langit-langit akustik ukuran ( 60 x 120 ) cm + rangka alluminium</v>
          </cell>
          <cell r="E222" t="str">
            <v>A.4.5.1.8.</v>
          </cell>
          <cell r="F222">
            <v>0</v>
          </cell>
          <cell r="G222">
            <v>216276.35</v>
          </cell>
          <cell r="I222">
            <v>95725</v>
          </cell>
          <cell r="K222" t="str">
            <v>m2</v>
          </cell>
        </row>
        <row r="223">
          <cell r="B223">
            <v>211</v>
          </cell>
          <cell r="D223" t="str">
            <v>Memasang list langit-langit kayu profil</v>
          </cell>
          <cell r="E223" t="str">
            <v>A.4.5.1.9.</v>
          </cell>
          <cell r="F223">
            <v>0</v>
          </cell>
          <cell r="G223">
            <v>21329.88</v>
          </cell>
          <cell r="I223">
            <v>9616</v>
          </cell>
          <cell r="K223" t="str">
            <v>m'</v>
          </cell>
        </row>
        <row r="224">
          <cell r="B224">
            <v>212</v>
          </cell>
          <cell r="D224" t="str">
            <v>Memasang 1 m2 rangka plafond galvanis ukuran (60x80) cm dgn ramset</v>
          </cell>
          <cell r="E224" t="str">
            <v>Dihitung</v>
          </cell>
          <cell r="F224">
            <v>0</v>
          </cell>
          <cell r="G224">
            <v>98106.6</v>
          </cell>
          <cell r="I224">
            <v>48330</v>
          </cell>
          <cell r="K224" t="str">
            <v>m2</v>
          </cell>
        </row>
        <row r="225">
          <cell r="B225">
            <v>213</v>
          </cell>
          <cell r="D225" t="str">
            <v>Memasang rk. plafond besi hollow uk. (60x80) cm</v>
          </cell>
          <cell r="E225" t="str">
            <v>A.4.2.1.20.</v>
          </cell>
          <cell r="F225">
            <v>0</v>
          </cell>
          <cell r="G225">
            <v>96452.28</v>
          </cell>
          <cell r="H225">
            <v>0</v>
          </cell>
          <cell r="I225">
            <v>46656</v>
          </cell>
          <cell r="J225">
            <v>0</v>
          </cell>
          <cell r="K225" t="str">
            <v>m2</v>
          </cell>
        </row>
        <row r="226">
          <cell r="B226">
            <v>214</v>
          </cell>
          <cell r="D226" t="str">
            <v>Memasang besi profil</v>
          </cell>
          <cell r="E226" t="str">
            <v>A.4.2.1.1.</v>
          </cell>
          <cell r="F226">
            <v>0</v>
          </cell>
          <cell r="G226">
            <v>32133.81</v>
          </cell>
          <cell r="I226">
            <v>11187</v>
          </cell>
          <cell r="K226" t="str">
            <v>kg</v>
          </cell>
        </row>
        <row r="227">
          <cell r="B227">
            <v>215</v>
          </cell>
          <cell r="D227" t="str">
            <v>Memasang rangka kuda - kuda baja IWF</v>
          </cell>
          <cell r="E227" t="str">
            <v>A.4.2.1.2.</v>
          </cell>
          <cell r="F227">
            <v>0</v>
          </cell>
          <cell r="G227">
            <v>32393.71</v>
          </cell>
          <cell r="I227">
            <v>11187</v>
          </cell>
          <cell r="K227" t="str">
            <v>kg</v>
          </cell>
        </row>
        <row r="228">
          <cell r="B228">
            <v>216</v>
          </cell>
          <cell r="D228" t="str">
            <v>Mengerjakan 100 kg pekerjaan perakitan</v>
          </cell>
          <cell r="E228" t="str">
            <v>A.4.2.1.3.</v>
          </cell>
          <cell r="F228">
            <v>0</v>
          </cell>
          <cell r="G228">
            <v>77496.53</v>
          </cell>
          <cell r="I228">
            <v>17781</v>
          </cell>
          <cell r="K228" t="str">
            <v>kg</v>
          </cell>
        </row>
        <row r="229">
          <cell r="B229">
            <v>217</v>
          </cell>
          <cell r="D229" t="str">
            <v>Membuat pintu besi plat baja t: 2 mm rangkap, rk. baja siku</v>
          </cell>
          <cell r="E229" t="str">
            <v>A.4.2.1.4.</v>
          </cell>
          <cell r="F229">
            <v>0</v>
          </cell>
          <cell r="G229">
            <v>1043825.0700000001</v>
          </cell>
          <cell r="I229">
            <v>195729</v>
          </cell>
          <cell r="K229" t="str">
            <v>m2</v>
          </cell>
        </row>
        <row r="230">
          <cell r="B230">
            <v>218</v>
          </cell>
          <cell r="D230" t="str">
            <v>Mengerjakan 10 cm pengelasan dengan las listrik</v>
          </cell>
          <cell r="E230" t="str">
            <v>A.4.2.1.5.</v>
          </cell>
          <cell r="F230">
            <v>0</v>
          </cell>
          <cell r="G230">
            <v>33273.980000000003</v>
          </cell>
          <cell r="I230">
            <v>5526</v>
          </cell>
          <cell r="K230" t="str">
            <v>cm</v>
          </cell>
        </row>
        <row r="231">
          <cell r="B231">
            <v>219</v>
          </cell>
          <cell r="D231" t="str">
            <v xml:space="preserve">Membuat rangka jendela besi scuare tube </v>
          </cell>
          <cell r="E231" t="str">
            <v>A.4.2.1.6.</v>
          </cell>
          <cell r="F231">
            <v>0</v>
          </cell>
          <cell r="G231">
            <v>543698.37</v>
          </cell>
          <cell r="I231">
            <v>121149</v>
          </cell>
          <cell r="K231" t="str">
            <v>m2</v>
          </cell>
        </row>
        <row r="232">
          <cell r="B232">
            <v>220</v>
          </cell>
          <cell r="D232" t="str">
            <v xml:space="preserve">Memasang pintu rolling door besi </v>
          </cell>
          <cell r="E232" t="str">
            <v>A.4.2.1.7.</v>
          </cell>
          <cell r="F232">
            <v>0</v>
          </cell>
          <cell r="G232">
            <v>807997.46</v>
          </cell>
          <cell r="I232">
            <v>219042</v>
          </cell>
          <cell r="K232" t="str">
            <v>m2</v>
          </cell>
        </row>
        <row r="233">
          <cell r="B233">
            <v>221</v>
          </cell>
          <cell r="D233" t="str">
            <v>Memasang pintu lipat (folding door) bahan besi</v>
          </cell>
          <cell r="E233" t="str">
            <v>A.4.2.1.8.</v>
          </cell>
          <cell r="F233">
            <v>0</v>
          </cell>
          <cell r="G233">
            <v>1678092.94</v>
          </cell>
          <cell r="I233">
            <v>82038</v>
          </cell>
          <cell r="K233" t="str">
            <v>m2</v>
          </cell>
        </row>
        <row r="234">
          <cell r="B234">
            <v>222</v>
          </cell>
          <cell r="D234" t="str">
            <v>Memasang sunscreen alluminium</v>
          </cell>
          <cell r="E234" t="str">
            <v>A.4.2.1.9.</v>
          </cell>
          <cell r="F234">
            <v>0</v>
          </cell>
          <cell r="G234">
            <v>462698.83999999997</v>
          </cell>
          <cell r="I234">
            <v>84468</v>
          </cell>
          <cell r="K234" t="str">
            <v>m2</v>
          </cell>
        </row>
        <row r="235">
          <cell r="B235">
            <v>223</v>
          </cell>
          <cell r="D235" t="str">
            <v>Memasang rolling door alluminium</v>
          </cell>
          <cell r="E235" t="str">
            <v>A.4.2.1.10.</v>
          </cell>
          <cell r="F235">
            <v>0</v>
          </cell>
          <cell r="G235">
            <v>771168.5</v>
          </cell>
          <cell r="I235">
            <v>186450</v>
          </cell>
          <cell r="K235" t="str">
            <v>m2</v>
          </cell>
        </row>
        <row r="236">
          <cell r="B236">
            <v>224</v>
          </cell>
          <cell r="D236" t="str">
            <v xml:space="preserve">Memasang kusen pintu/jendela alluminium </v>
          </cell>
          <cell r="E236" t="str">
            <v>A.4.2.1.11.</v>
          </cell>
          <cell r="F236">
            <v>0</v>
          </cell>
          <cell r="G236">
            <v>139524.49</v>
          </cell>
          <cell r="I236">
            <v>8013</v>
          </cell>
          <cell r="K236" t="str">
            <v>m'</v>
          </cell>
        </row>
        <row r="237">
          <cell r="B237">
            <v>225</v>
          </cell>
          <cell r="D237" t="str">
            <v>Memasang pintu alluminium strip lebar 8 cm</v>
          </cell>
          <cell r="E237" t="str">
            <v>A.4.2.1.12.</v>
          </cell>
          <cell r="F237">
            <v>0</v>
          </cell>
          <cell r="G237">
            <v>759680.81</v>
          </cell>
          <cell r="I237">
            <v>15843.9</v>
          </cell>
          <cell r="K237" t="str">
            <v>m2</v>
          </cell>
        </row>
        <row r="238">
          <cell r="B238">
            <v>226</v>
          </cell>
          <cell r="D238" t="str">
            <v>Memasang pintu kaca es rangka alluminium coklat</v>
          </cell>
          <cell r="E238" t="str">
            <v>An. Dihitung</v>
          </cell>
          <cell r="F238">
            <v>0</v>
          </cell>
          <cell r="G238">
            <v>841200.82000000007</v>
          </cell>
          <cell r="I238">
            <v>15961.5</v>
          </cell>
          <cell r="K238" t="str">
            <v>m2</v>
          </cell>
        </row>
        <row r="239">
          <cell r="B239">
            <v>227</v>
          </cell>
          <cell r="D239" t="str">
            <v>Memasang jendela &amp; boven kaca rangka aluminium coklat</v>
          </cell>
          <cell r="E239" t="str">
            <v>An. Dihitung</v>
          </cell>
          <cell r="F239">
            <v>0</v>
          </cell>
          <cell r="G239">
            <v>849404.62</v>
          </cell>
          <cell r="I239">
            <v>15961.5</v>
          </cell>
          <cell r="K239" t="str">
            <v>m2</v>
          </cell>
        </row>
        <row r="240">
          <cell r="B240">
            <v>228</v>
          </cell>
          <cell r="D240" t="str">
            <v>Memasang pintu multiplex rangka alluminium coklat</v>
          </cell>
          <cell r="E240" t="str">
            <v>Dihitung</v>
          </cell>
          <cell r="F240">
            <v>0</v>
          </cell>
          <cell r="G240">
            <v>772960.12</v>
          </cell>
          <cell r="I240">
            <v>15961.5</v>
          </cell>
          <cell r="K240" t="str">
            <v>m2</v>
          </cell>
        </row>
        <row r="241">
          <cell r="B241">
            <v>229</v>
          </cell>
          <cell r="D241" t="str">
            <v>Memasang venetions blinds dan vertical blinds</v>
          </cell>
          <cell r="E241" t="str">
            <v>A.4.2.1.14.</v>
          </cell>
          <cell r="F241">
            <v>0</v>
          </cell>
          <cell r="G241">
            <v>695290.13</v>
          </cell>
          <cell r="I241">
            <v>65301</v>
          </cell>
          <cell r="K241" t="str">
            <v>m2</v>
          </cell>
        </row>
        <row r="242">
          <cell r="B242">
            <v>230</v>
          </cell>
          <cell r="D242" t="str">
            <v>Memasang teralis besi strip ( 2 x 3 ) mm</v>
          </cell>
          <cell r="E242" t="str">
            <v>A.4.2.1.15.</v>
          </cell>
          <cell r="F242">
            <v>0</v>
          </cell>
          <cell r="G242">
            <v>558320.55999999994</v>
          </cell>
          <cell r="I242">
            <v>311328</v>
          </cell>
          <cell r="K242" t="str">
            <v>m2</v>
          </cell>
        </row>
        <row r="243">
          <cell r="B243">
            <v>231</v>
          </cell>
          <cell r="D243" t="str">
            <v>Memasang kawat nyamuk</v>
          </cell>
          <cell r="E243" t="str">
            <v>A.4.2.1.16.</v>
          </cell>
          <cell r="F243">
            <v>0</v>
          </cell>
          <cell r="G243">
            <v>116788.22</v>
          </cell>
          <cell r="I243">
            <v>18645</v>
          </cell>
          <cell r="K243" t="str">
            <v>m2</v>
          </cell>
        </row>
        <row r="244">
          <cell r="B244">
            <v>232</v>
          </cell>
          <cell r="D244" t="str">
            <v>Memasang jendela nako dan tralis</v>
          </cell>
          <cell r="E244" t="str">
            <v>A.4.2.1.17.</v>
          </cell>
          <cell r="F244">
            <v>0</v>
          </cell>
          <cell r="G244">
            <v>276631.90999999997</v>
          </cell>
          <cell r="I244">
            <v>36507</v>
          </cell>
          <cell r="K244" t="str">
            <v>m2</v>
          </cell>
        </row>
        <row r="245">
          <cell r="B245">
            <v>233</v>
          </cell>
          <cell r="D245" t="str">
            <v>Membuat pintu besi plat baja tebal 2 mm, rangka baja siku</v>
          </cell>
          <cell r="E245" t="str">
            <v>An. Dihitung</v>
          </cell>
          <cell r="F245">
            <v>0</v>
          </cell>
          <cell r="G245">
            <v>799280.64000000001</v>
          </cell>
          <cell r="H245">
            <v>0</v>
          </cell>
          <cell r="I245">
            <v>195729</v>
          </cell>
          <cell r="J245">
            <v>0</v>
          </cell>
          <cell r="K245" t="str">
            <v>m2</v>
          </cell>
        </row>
        <row r="246">
          <cell r="B246">
            <v>234</v>
          </cell>
          <cell r="D246" t="str">
            <v>Memasang pintu PVC</v>
          </cell>
          <cell r="E246" t="str">
            <v>An. Dihitung</v>
          </cell>
          <cell r="F246">
            <v>0</v>
          </cell>
          <cell r="G246">
            <v>307348.7</v>
          </cell>
          <cell r="H246">
            <v>0</v>
          </cell>
          <cell r="I246">
            <v>9990</v>
          </cell>
          <cell r="J246">
            <v>0</v>
          </cell>
          <cell r="K246" t="str">
            <v>set</v>
          </cell>
        </row>
        <row r="247">
          <cell r="B247">
            <v>235</v>
          </cell>
          <cell r="D247" t="str">
            <v>Memasang pintu KM/WC PVC</v>
          </cell>
          <cell r="E247" t="str">
            <v>An. Dihitung</v>
          </cell>
          <cell r="F247">
            <v>0</v>
          </cell>
          <cell r="G247">
            <v>736748.7</v>
          </cell>
          <cell r="H247">
            <v>0</v>
          </cell>
          <cell r="I247">
            <v>9990</v>
          </cell>
          <cell r="J247">
            <v>0</v>
          </cell>
          <cell r="K247" t="str">
            <v>set</v>
          </cell>
        </row>
        <row r="248">
          <cell r="B248">
            <v>236</v>
          </cell>
          <cell r="D248" t="str">
            <v>Memasang talang datar / jurai seng bjls 28 lebar 90 cm</v>
          </cell>
          <cell r="E248" t="str">
            <v>A.4.2.1.18.</v>
          </cell>
          <cell r="F248">
            <v>0</v>
          </cell>
          <cell r="G248">
            <v>111713.43000000001</v>
          </cell>
          <cell r="I248">
            <v>37507</v>
          </cell>
          <cell r="K248" t="str">
            <v>m'</v>
          </cell>
        </row>
        <row r="249">
          <cell r="B249">
            <v>237</v>
          </cell>
          <cell r="D249" t="str">
            <v>Memasang talang 1/2 lingkaran D -15 cm seng plat BJLS 30 lebar 45 cm</v>
          </cell>
          <cell r="E249" t="str">
            <v>A.4.2.1.19.</v>
          </cell>
          <cell r="F249">
            <v>0</v>
          </cell>
          <cell r="G249">
            <v>86355.73</v>
          </cell>
          <cell r="I249">
            <v>42501</v>
          </cell>
          <cell r="K249" t="str">
            <v>m'</v>
          </cell>
        </row>
        <row r="250">
          <cell r="B250">
            <v>238</v>
          </cell>
          <cell r="D250" t="str">
            <v xml:space="preserve">Memasang lantai ubin PC abu-abu ukuran ( 40 x 40 ) cm </v>
          </cell>
          <cell r="E250" t="str">
            <v>A.4.4.3.1.</v>
          </cell>
          <cell r="F250">
            <v>0</v>
          </cell>
          <cell r="G250">
            <v>65132.07</v>
          </cell>
          <cell r="I250">
            <v>34629</v>
          </cell>
          <cell r="K250" t="str">
            <v>m2</v>
          </cell>
        </row>
        <row r="251">
          <cell r="B251">
            <v>239</v>
          </cell>
          <cell r="D251" t="str">
            <v xml:space="preserve">Memasang lantai ubin PC abu-abu ukuran ( 30 x 30 ) cm </v>
          </cell>
          <cell r="E251" t="str">
            <v>A.4.4.3.2.</v>
          </cell>
          <cell r="F251">
            <v>0</v>
          </cell>
          <cell r="G251">
            <v>502670.33</v>
          </cell>
          <cell r="I251">
            <v>34629</v>
          </cell>
          <cell r="K251" t="str">
            <v>m2</v>
          </cell>
        </row>
        <row r="252">
          <cell r="B252">
            <v>240</v>
          </cell>
          <cell r="D252" t="str">
            <v xml:space="preserve">Memasang lantai ubin PC abu-abu ukuran ( 20 x 20 ) cm </v>
          </cell>
          <cell r="E252" t="str">
            <v>A.4.4.3.3.</v>
          </cell>
          <cell r="F252">
            <v>0</v>
          </cell>
          <cell r="G252">
            <v>814698.36</v>
          </cell>
          <cell r="I252">
            <v>37392</v>
          </cell>
          <cell r="K252" t="str">
            <v>m2</v>
          </cell>
        </row>
        <row r="253">
          <cell r="B253">
            <v>241</v>
          </cell>
          <cell r="D253" t="str">
            <v xml:space="preserve">Memasang lantai ubin warna ( 40 x 40 ) cm </v>
          </cell>
          <cell r="E253" t="str">
            <v>A.4.4.3.4.</v>
          </cell>
          <cell r="F253">
            <v>0</v>
          </cell>
          <cell r="G253">
            <v>74827.47</v>
          </cell>
          <cell r="I253">
            <v>34629</v>
          </cell>
          <cell r="K253" t="str">
            <v>m2</v>
          </cell>
        </row>
        <row r="254">
          <cell r="B254">
            <v>242</v>
          </cell>
          <cell r="D254" t="str">
            <v xml:space="preserve">Memasang lantai ubin warna ( 30 x 30 ) cm </v>
          </cell>
          <cell r="E254" t="str">
            <v>A.4.4.3.5.</v>
          </cell>
          <cell r="F254">
            <v>0</v>
          </cell>
          <cell r="G254">
            <v>76556.37</v>
          </cell>
          <cell r="I254">
            <v>35919</v>
          </cell>
          <cell r="K254" t="str">
            <v>m2</v>
          </cell>
        </row>
        <row r="255">
          <cell r="B255">
            <v>243</v>
          </cell>
          <cell r="D255" t="str">
            <v xml:space="preserve">Memasang lantai ubin warna ( 20 x 20 ) cm </v>
          </cell>
          <cell r="E255" t="str">
            <v>A.4.4.3.6.</v>
          </cell>
          <cell r="F255">
            <v>0</v>
          </cell>
          <cell r="G255">
            <v>85226.86</v>
          </cell>
          <cell r="I255">
            <v>37392</v>
          </cell>
          <cell r="K255" t="str">
            <v>m2</v>
          </cell>
        </row>
        <row r="256">
          <cell r="B256">
            <v>244</v>
          </cell>
          <cell r="D256" t="str">
            <v xml:space="preserve">Memasang lantai ubin  teraso ( 40 x 40 ) cm </v>
          </cell>
          <cell r="E256" t="str">
            <v>A.4.4.3.7.</v>
          </cell>
          <cell r="F256">
            <v>0</v>
          </cell>
          <cell r="G256">
            <v>86138.77</v>
          </cell>
          <cell r="I256">
            <v>34629</v>
          </cell>
          <cell r="K256" t="str">
            <v>m2</v>
          </cell>
        </row>
        <row r="257">
          <cell r="B257">
            <v>245</v>
          </cell>
          <cell r="D257" t="str">
            <v xml:space="preserve">Memasang lantai ubin  teraso ( 30 x 30 ) cm </v>
          </cell>
          <cell r="E257" t="str">
            <v>A.4.4.3.8.</v>
          </cell>
          <cell r="F257">
            <v>0</v>
          </cell>
          <cell r="G257">
            <v>91099.47</v>
          </cell>
          <cell r="I257">
            <v>35919</v>
          </cell>
          <cell r="K257" t="str">
            <v>m2</v>
          </cell>
        </row>
        <row r="258">
          <cell r="B258">
            <v>246</v>
          </cell>
          <cell r="D258" t="str">
            <v xml:space="preserve">Memasang lantai  granit tile warna muda( 40 x 40 ) cm </v>
          </cell>
          <cell r="E258" t="str">
            <v>A.4.4.3.9.</v>
          </cell>
          <cell r="F258">
            <v>0</v>
          </cell>
          <cell r="G258">
            <v>470131.98</v>
          </cell>
          <cell r="I258">
            <v>69258</v>
          </cell>
          <cell r="K258" t="str">
            <v>m2</v>
          </cell>
        </row>
        <row r="259">
          <cell r="B259">
            <v>247</v>
          </cell>
          <cell r="D259" t="str">
            <v xml:space="preserve">Memasang lantai ubin  granit ( 30 x 30 ) cm </v>
          </cell>
          <cell r="E259" t="str">
            <v>A.4.4.3.10.</v>
          </cell>
          <cell r="F259">
            <v>0</v>
          </cell>
          <cell r="G259">
            <v>376246.71</v>
          </cell>
          <cell r="I259">
            <v>69258</v>
          </cell>
          <cell r="K259" t="str">
            <v>m2</v>
          </cell>
        </row>
        <row r="260">
          <cell r="B260">
            <v>248</v>
          </cell>
          <cell r="D260" t="str">
            <v>Memasang lantai granit tile unpolished ( 60 x 60 ) cm</v>
          </cell>
          <cell r="E260" t="str">
            <v>An.Dihitung</v>
          </cell>
          <cell r="F260">
            <v>0</v>
          </cell>
          <cell r="G260">
            <v>364414.98</v>
          </cell>
          <cell r="I260">
            <v>69258</v>
          </cell>
          <cell r="K260" t="str">
            <v>m2</v>
          </cell>
        </row>
        <row r="261">
          <cell r="B261">
            <v>249</v>
          </cell>
          <cell r="D261" t="str">
            <v>Memasang lantai ubin  granit ( 60 x 60 ) cm, import</v>
          </cell>
          <cell r="E261" t="str">
            <v>TL.6.10.2008.b</v>
          </cell>
          <cell r="F261">
            <v>0</v>
          </cell>
          <cell r="G261">
            <v>0</v>
          </cell>
          <cell r="I261">
            <v>0</v>
          </cell>
          <cell r="K261" t="str">
            <v>m2</v>
          </cell>
        </row>
        <row r="262">
          <cell r="B262">
            <v>250</v>
          </cell>
          <cell r="D262" t="str">
            <v xml:space="preserve">Memasang lantai ubin teralux ukuran ( 40 x 40 ) cm </v>
          </cell>
          <cell r="E262" t="str">
            <v>A.4.4.3.11.</v>
          </cell>
          <cell r="F262">
            <v>0</v>
          </cell>
          <cell r="G262">
            <v>86138.77</v>
          </cell>
          <cell r="I262">
            <v>34629</v>
          </cell>
          <cell r="K262" t="str">
            <v>m2</v>
          </cell>
        </row>
        <row r="263">
          <cell r="B263">
            <v>251</v>
          </cell>
          <cell r="D263" t="str">
            <v xml:space="preserve">Memasang lantai ubin teralux ukuran ( 30 x 30 ) cm </v>
          </cell>
          <cell r="E263" t="str">
            <v>A.4.4.3.12.</v>
          </cell>
          <cell r="F263">
            <v>0</v>
          </cell>
          <cell r="G263">
            <v>91099.47</v>
          </cell>
          <cell r="I263">
            <v>35919</v>
          </cell>
          <cell r="K263" t="str">
            <v>m2</v>
          </cell>
        </row>
        <row r="264">
          <cell r="B264">
            <v>252</v>
          </cell>
          <cell r="D264" t="str">
            <v xml:space="preserve">Memasang lantai ubin teralux marmer ukuran ( 60 x 60 ) cm </v>
          </cell>
          <cell r="E264" t="str">
            <v>A.4.4.3.13.</v>
          </cell>
          <cell r="F264">
            <v>0</v>
          </cell>
          <cell r="G264">
            <v>248724.09</v>
          </cell>
          <cell r="I264">
            <v>33156</v>
          </cell>
          <cell r="K264" t="str">
            <v>m2</v>
          </cell>
        </row>
        <row r="265">
          <cell r="B265">
            <v>253</v>
          </cell>
          <cell r="D265" t="str">
            <v xml:space="preserve">Memasang lantai ubin teralux marmer ukuran ( 40 x 40 ) cm </v>
          </cell>
          <cell r="E265" t="str">
            <v>A.4.4.3.14.</v>
          </cell>
          <cell r="F265">
            <v>0</v>
          </cell>
          <cell r="G265">
            <v>215598.8</v>
          </cell>
          <cell r="I265">
            <v>34629</v>
          </cell>
          <cell r="K265" t="str">
            <v>m2</v>
          </cell>
        </row>
        <row r="266">
          <cell r="B266">
            <v>254</v>
          </cell>
          <cell r="D266" t="str">
            <v xml:space="preserve">Memasang lantai ubin teralux marmer ukuran ( 30 x 30 ) cm </v>
          </cell>
          <cell r="E266" t="str">
            <v>A.4.4.3.15.</v>
          </cell>
          <cell r="F266">
            <v>0</v>
          </cell>
          <cell r="G266">
            <v>198549.15000000002</v>
          </cell>
          <cell r="I266">
            <v>35919</v>
          </cell>
          <cell r="K266" t="str">
            <v>m2</v>
          </cell>
        </row>
        <row r="267">
          <cell r="B267">
            <v>255</v>
          </cell>
          <cell r="D267" t="str">
            <v>Memasang plint ubin PC abu-abu ukuran ( 15 x 20 ) cm</v>
          </cell>
          <cell r="E267" t="str">
            <v>A.4.4.3.16.</v>
          </cell>
          <cell r="F267">
            <v>0</v>
          </cell>
          <cell r="G267">
            <v>22378.52</v>
          </cell>
          <cell r="I267">
            <v>16824</v>
          </cell>
          <cell r="K267" t="str">
            <v>m'</v>
          </cell>
        </row>
        <row r="268">
          <cell r="B268">
            <v>256</v>
          </cell>
          <cell r="D268" t="str">
            <v>Memasang plint ubin PC abu-abu ukuran ( 10 x 30 ) cm</v>
          </cell>
          <cell r="E268" t="str">
            <v>A.4.4.3.17.</v>
          </cell>
          <cell r="F268">
            <v>0</v>
          </cell>
          <cell r="G268">
            <v>21540.06</v>
          </cell>
          <cell r="I268">
            <v>16824</v>
          </cell>
          <cell r="K268" t="str">
            <v>m'</v>
          </cell>
        </row>
        <row r="269">
          <cell r="B269">
            <v>257</v>
          </cell>
          <cell r="D269" t="str">
            <v>Memasang plint ubin PC abu-abu ukuran ( 10 x 40 ) cm</v>
          </cell>
          <cell r="E269" t="str">
            <v>A.4.4.3.18.</v>
          </cell>
          <cell r="F269">
            <v>0</v>
          </cell>
          <cell r="G269">
            <v>21540.06</v>
          </cell>
          <cell r="I269">
            <v>16824</v>
          </cell>
          <cell r="K269" t="str">
            <v>m'</v>
          </cell>
        </row>
        <row r="270">
          <cell r="B270">
            <v>258</v>
          </cell>
          <cell r="D270" t="str">
            <v>Memasang plint ubin PC warna ukuran ( 10 x 20 ) cm</v>
          </cell>
          <cell r="E270" t="str">
            <v>A.4.4.3.19.</v>
          </cell>
          <cell r="F270">
            <v>0</v>
          </cell>
          <cell r="G270">
            <v>49931.31</v>
          </cell>
          <cell r="I270">
            <v>16824</v>
          </cell>
          <cell r="K270" t="str">
            <v>m'</v>
          </cell>
        </row>
        <row r="271">
          <cell r="B271">
            <v>259</v>
          </cell>
          <cell r="D271" t="str">
            <v>Memasang plint ubin PC warna ukuran ( 10 x 30 ) cm</v>
          </cell>
          <cell r="E271" t="str">
            <v>A.4.4.3.20.</v>
          </cell>
          <cell r="F271">
            <v>0</v>
          </cell>
          <cell r="G271">
            <v>23020.36</v>
          </cell>
          <cell r="I271">
            <v>16824</v>
          </cell>
          <cell r="K271" t="str">
            <v>m'</v>
          </cell>
        </row>
        <row r="272">
          <cell r="B272">
            <v>260</v>
          </cell>
          <cell r="D272" t="str">
            <v>Memasang plint ubin PC warna ukuran ( 10 x 40 ) cm</v>
          </cell>
          <cell r="E272" t="str">
            <v>A.4.4.3.21.</v>
          </cell>
          <cell r="F272">
            <v>0</v>
          </cell>
          <cell r="G272">
            <v>23020.36</v>
          </cell>
          <cell r="I272">
            <v>16824</v>
          </cell>
          <cell r="K272" t="str">
            <v>m'</v>
          </cell>
        </row>
        <row r="273">
          <cell r="B273">
            <v>261</v>
          </cell>
          <cell r="D273" t="str">
            <v>Memasang plint ubin teraso ukuran ( 10 x 30 ) cm</v>
          </cell>
          <cell r="E273" t="str">
            <v>A.4.4.3.22.</v>
          </cell>
          <cell r="F273">
            <v>0</v>
          </cell>
          <cell r="G273">
            <v>50543.770000000004</v>
          </cell>
          <cell r="I273">
            <v>16824</v>
          </cell>
          <cell r="K273" t="str">
            <v>m'</v>
          </cell>
        </row>
        <row r="274">
          <cell r="B274">
            <v>262</v>
          </cell>
          <cell r="D274" t="str">
            <v>Memasang plint ubin teraso ukuran ( 10 x 40 ) cm</v>
          </cell>
          <cell r="E274" t="str">
            <v>A.4.4.3.23.</v>
          </cell>
          <cell r="F274">
            <v>0</v>
          </cell>
          <cell r="G274">
            <v>43682.41</v>
          </cell>
          <cell r="I274">
            <v>16824</v>
          </cell>
          <cell r="K274" t="str">
            <v>m'</v>
          </cell>
        </row>
        <row r="275">
          <cell r="B275">
            <v>263</v>
          </cell>
          <cell r="D275" t="str">
            <v>Memasang plint ubin granit ukuran ( 10 x 40 ) cm</v>
          </cell>
          <cell r="E275" t="str">
            <v>A.4.4.3.24.</v>
          </cell>
          <cell r="F275">
            <v>0</v>
          </cell>
          <cell r="G275">
            <v>109860.86</v>
          </cell>
          <cell r="I275">
            <v>16824</v>
          </cell>
          <cell r="K275" t="str">
            <v>m'</v>
          </cell>
        </row>
        <row r="276">
          <cell r="B276">
            <v>264</v>
          </cell>
          <cell r="D276" t="str">
            <v>Memasang plint ubin granit ukuran ( 10 x 30 ) cm</v>
          </cell>
          <cell r="E276" t="str">
            <v>A.4.4.3.25.</v>
          </cell>
          <cell r="F276">
            <v>0</v>
          </cell>
          <cell r="G276">
            <v>114765.06</v>
          </cell>
          <cell r="I276">
            <v>16824</v>
          </cell>
          <cell r="K276" t="str">
            <v>m'</v>
          </cell>
        </row>
        <row r="277">
          <cell r="B277">
            <v>265</v>
          </cell>
          <cell r="D277" t="str">
            <v>Memasang plint ubin teralux kerang ukuran ( 10 x 40 ) cm</v>
          </cell>
          <cell r="E277" t="str">
            <v>A.4.4.3.26.</v>
          </cell>
          <cell r="F277">
            <v>0</v>
          </cell>
          <cell r="G277">
            <v>23020.36</v>
          </cell>
          <cell r="I277">
            <v>16824</v>
          </cell>
          <cell r="K277" t="str">
            <v>m'</v>
          </cell>
        </row>
        <row r="278">
          <cell r="B278">
            <v>266</v>
          </cell>
          <cell r="D278" t="str">
            <v>Memasang plint ubin teralux kerang uk. ( 10 x 30 ) cm</v>
          </cell>
          <cell r="E278" t="str">
            <v>A.4.4.3.27.</v>
          </cell>
          <cell r="F278">
            <v>0</v>
          </cell>
          <cell r="G278">
            <v>23020.36</v>
          </cell>
          <cell r="I278">
            <v>16824</v>
          </cell>
          <cell r="K278" t="str">
            <v>m'</v>
          </cell>
        </row>
        <row r="279">
          <cell r="B279">
            <v>267</v>
          </cell>
          <cell r="D279" t="str">
            <v>Memasang plint ubin teralux marmer uk. (10 x 60) cm</v>
          </cell>
          <cell r="E279" t="str">
            <v>A.4.4.3.28.</v>
          </cell>
          <cell r="F279">
            <v>0</v>
          </cell>
          <cell r="G279">
            <v>23020.36</v>
          </cell>
          <cell r="I279">
            <v>16824</v>
          </cell>
          <cell r="K279" t="str">
            <v>m'</v>
          </cell>
        </row>
        <row r="280">
          <cell r="B280">
            <v>268</v>
          </cell>
          <cell r="D280" t="str">
            <v>Memasang plint ubin teralux marmer ukuran (10 x 40) cm</v>
          </cell>
          <cell r="E280" t="str">
            <v>A.4.4.3.29.</v>
          </cell>
          <cell r="F280">
            <v>0</v>
          </cell>
          <cell r="G280">
            <v>23020.36</v>
          </cell>
          <cell r="I280">
            <v>16824</v>
          </cell>
          <cell r="K280" t="str">
            <v>m'</v>
          </cell>
        </row>
        <row r="281">
          <cell r="B281">
            <v>269</v>
          </cell>
          <cell r="D281" t="str">
            <v>Memasang plint ubin teralux marmer ukuran ( 10 x 30 ) cm</v>
          </cell>
          <cell r="E281" t="str">
            <v>A.4.4.3.30.</v>
          </cell>
          <cell r="F281">
            <v>0</v>
          </cell>
          <cell r="G281">
            <v>23020.36</v>
          </cell>
          <cell r="I281">
            <v>16824</v>
          </cell>
          <cell r="K281" t="str">
            <v>m'</v>
          </cell>
        </row>
        <row r="282">
          <cell r="B282">
            <v>270</v>
          </cell>
          <cell r="D282" t="str">
            <v>Memasang lantai teraso cor di tempat tebal 3 cm</v>
          </cell>
          <cell r="E282" t="str">
            <v>A.4.4.3.31.</v>
          </cell>
          <cell r="F282">
            <v>0</v>
          </cell>
          <cell r="G282">
            <v>57815.32</v>
          </cell>
          <cell r="I282">
            <v>49734</v>
          </cell>
          <cell r="K282" t="str">
            <v>m2</v>
          </cell>
        </row>
        <row r="283">
          <cell r="B283">
            <v>271</v>
          </cell>
          <cell r="D283" t="str">
            <v>Memasang lantai keramik artistik ukuran ( 10 x 20 ) cm</v>
          </cell>
          <cell r="E283" t="str">
            <v>A.4.4.3.32.</v>
          </cell>
          <cell r="F283">
            <v>0</v>
          </cell>
          <cell r="G283">
            <v>177532.04</v>
          </cell>
          <cell r="I283">
            <v>96705</v>
          </cell>
          <cell r="K283" t="str">
            <v>m2</v>
          </cell>
        </row>
        <row r="284">
          <cell r="B284">
            <v>272</v>
          </cell>
          <cell r="D284" t="str">
            <v>Memasang lantai keramik artistik ukuran ( 10 x 10 ) cm atau ( 5 x20 ) cm</v>
          </cell>
          <cell r="E284" t="str">
            <v>A.4.4.3.33.</v>
          </cell>
          <cell r="F284">
            <v>0</v>
          </cell>
          <cell r="G284">
            <v>184803.59</v>
          </cell>
          <cell r="I284">
            <v>96705</v>
          </cell>
          <cell r="K284" t="str">
            <v>m2</v>
          </cell>
        </row>
        <row r="285">
          <cell r="B285">
            <v>273</v>
          </cell>
          <cell r="D285" t="str">
            <v>Memasang lantai keramik ukuran ( 33 x 33 ) cm</v>
          </cell>
          <cell r="E285" t="str">
            <v>A.4.4.3.34.</v>
          </cell>
          <cell r="F285">
            <v>0</v>
          </cell>
          <cell r="G285">
            <v>0</v>
          </cell>
          <cell r="I285">
            <v>0</v>
          </cell>
          <cell r="K285" t="str">
            <v>m2</v>
          </cell>
        </row>
        <row r="286">
          <cell r="B286">
            <v>274</v>
          </cell>
          <cell r="D286" t="str">
            <v>Memasang lantai keramik ukuran 30/30 cm dof</v>
          </cell>
          <cell r="E286" t="str">
            <v>A.4.4.3.35.</v>
          </cell>
          <cell r="F286">
            <v>0</v>
          </cell>
          <cell r="G286">
            <v>0</v>
          </cell>
          <cell r="I286">
            <v>0</v>
          </cell>
          <cell r="K286" t="str">
            <v>m2</v>
          </cell>
        </row>
        <row r="287">
          <cell r="B287">
            <v>275</v>
          </cell>
          <cell r="D287" t="str">
            <v>Memasang lantai keramik uk. (30x30) cm</v>
          </cell>
          <cell r="E287" t="str">
            <v>A.4.4.3.35.</v>
          </cell>
          <cell r="F287">
            <v>0</v>
          </cell>
          <cell r="G287">
            <v>0</v>
          </cell>
          <cell r="I287">
            <v>0</v>
          </cell>
          <cell r="K287" t="str">
            <v>m2</v>
          </cell>
        </row>
        <row r="288">
          <cell r="B288">
            <v>276</v>
          </cell>
          <cell r="D288" t="str">
            <v>Memasang lantai keramik uk. (20x20) cm</v>
          </cell>
          <cell r="E288" t="str">
            <v>A.4.4.3.36.</v>
          </cell>
          <cell r="F288">
            <v>0</v>
          </cell>
          <cell r="G288">
            <v>0</v>
          </cell>
          <cell r="I288">
            <v>0</v>
          </cell>
          <cell r="K288" t="str">
            <v>m2</v>
          </cell>
        </row>
        <row r="289">
          <cell r="B289">
            <v>277</v>
          </cell>
          <cell r="D289" t="str">
            <v>Memasang lantai keramik ukuran ( 10 x 33 ) cm, variasi / border</v>
          </cell>
          <cell r="E289" t="str">
            <v>A.4.4.3.37.</v>
          </cell>
          <cell r="F289">
            <v>0</v>
          </cell>
          <cell r="G289">
            <v>260634.5</v>
          </cell>
          <cell r="I289">
            <v>145149</v>
          </cell>
          <cell r="K289" t="str">
            <v>m2</v>
          </cell>
        </row>
        <row r="290">
          <cell r="B290">
            <v>278</v>
          </cell>
          <cell r="D290" t="str">
            <v>Memasang lantai mosaik ukuran ( 30 x 30 ) cm, campuran spesi 1 PC : 3 PP</v>
          </cell>
          <cell r="E290" t="str">
            <v>A.4.4.3.38.</v>
          </cell>
          <cell r="F290">
            <v>0</v>
          </cell>
          <cell r="G290">
            <v>171799.55</v>
          </cell>
          <cell r="I290">
            <v>96705</v>
          </cell>
          <cell r="K290" t="str">
            <v>m2</v>
          </cell>
        </row>
        <row r="291">
          <cell r="B291">
            <v>279</v>
          </cell>
          <cell r="D291" t="str">
            <v>Memasang plint keramik ukuran ( 10 x 10 ) cm</v>
          </cell>
          <cell r="E291" t="str">
            <v>A.4.4.3.40.</v>
          </cell>
          <cell r="F291">
            <v>0</v>
          </cell>
          <cell r="G291">
            <v>25032.89</v>
          </cell>
          <cell r="I291">
            <v>19320</v>
          </cell>
          <cell r="K291" t="str">
            <v>m'</v>
          </cell>
        </row>
        <row r="292">
          <cell r="B292">
            <v>280</v>
          </cell>
          <cell r="D292" t="str">
            <v>Memasang plint keramik ukuran ( 5 x 20 ) cm</v>
          </cell>
          <cell r="E292" t="str">
            <v>A.4.4.3.41.</v>
          </cell>
          <cell r="F292">
            <v>0</v>
          </cell>
          <cell r="G292">
            <v>23238.34</v>
          </cell>
          <cell r="I292">
            <v>19320</v>
          </cell>
          <cell r="K292" t="str">
            <v>m'</v>
          </cell>
        </row>
        <row r="293">
          <cell r="B293">
            <v>281</v>
          </cell>
          <cell r="D293" t="str">
            <v>Memasang plint internal cove artistik ukuran( 5 x  5 x 20 ) cm</v>
          </cell>
          <cell r="E293" t="str">
            <v>A.4.4.3.42.</v>
          </cell>
          <cell r="F293">
            <v>0</v>
          </cell>
          <cell r="G293">
            <v>162074.76999999999</v>
          </cell>
          <cell r="I293">
            <v>139881</v>
          </cell>
          <cell r="K293" t="str">
            <v>m'</v>
          </cell>
        </row>
        <row r="294">
          <cell r="B294">
            <v>282</v>
          </cell>
          <cell r="D294" t="str">
            <v>Memasang lantai marmer ukuran ( 100 x 100 ) cm</v>
          </cell>
          <cell r="E294" t="str">
            <v>A.4.4.3.43.</v>
          </cell>
          <cell r="F294">
            <v>0</v>
          </cell>
          <cell r="G294">
            <v>496860.10000000003</v>
          </cell>
          <cell r="I294">
            <v>96705</v>
          </cell>
          <cell r="K294" t="str">
            <v>m2</v>
          </cell>
        </row>
        <row r="295">
          <cell r="B295">
            <v>283</v>
          </cell>
          <cell r="D295" t="str">
            <v>Memasang lantai karpet</v>
          </cell>
          <cell r="E295" t="str">
            <v>A.4.4.3.44.</v>
          </cell>
          <cell r="F295">
            <v>0</v>
          </cell>
          <cell r="G295">
            <v>129887.85</v>
          </cell>
          <cell r="I295">
            <v>32590</v>
          </cell>
          <cell r="K295" t="str">
            <v>m2</v>
          </cell>
        </row>
        <row r="296">
          <cell r="B296">
            <v>284</v>
          </cell>
          <cell r="D296" t="str">
            <v>Memasang underlayer / rubber corrugated</v>
          </cell>
          <cell r="E296" t="str">
            <v>A.4.4.3.45.</v>
          </cell>
          <cell r="F296">
            <v>0</v>
          </cell>
          <cell r="G296">
            <v>51391.270000000004</v>
          </cell>
          <cell r="I296">
            <v>22974</v>
          </cell>
          <cell r="K296" t="str">
            <v>m2</v>
          </cell>
        </row>
        <row r="297">
          <cell r="B297">
            <v>285</v>
          </cell>
          <cell r="D297" t="str">
            <v>Memasang lantai parquet kayu jati hutan</v>
          </cell>
          <cell r="E297" t="str">
            <v>A.4.4.3.46.</v>
          </cell>
          <cell r="F297">
            <v>0</v>
          </cell>
          <cell r="G297">
            <v>707758.55</v>
          </cell>
          <cell r="I297">
            <v>98455</v>
          </cell>
          <cell r="K297" t="str">
            <v>m2</v>
          </cell>
        </row>
        <row r="298">
          <cell r="B298">
            <v>286</v>
          </cell>
          <cell r="D298" t="str">
            <v>Memasang lantai kayu (gymfloor)</v>
          </cell>
          <cell r="E298" t="str">
            <v>A.4.4.3.47.</v>
          </cell>
          <cell r="F298">
            <v>0</v>
          </cell>
          <cell r="G298">
            <v>555886.55000000005</v>
          </cell>
          <cell r="I298">
            <v>98455</v>
          </cell>
          <cell r="K298" t="str">
            <v>m2</v>
          </cell>
        </row>
        <row r="299">
          <cell r="B299">
            <v>287</v>
          </cell>
          <cell r="D299" t="str">
            <v>Memasang dinding porselen ukuran ( 11 x 11 ) cm</v>
          </cell>
          <cell r="E299" t="str">
            <v>A.4.4.3.48.</v>
          </cell>
          <cell r="F299">
            <v>0</v>
          </cell>
          <cell r="G299">
            <v>181884.79999999999</v>
          </cell>
          <cell r="I299">
            <v>138150</v>
          </cell>
          <cell r="K299" t="str">
            <v>m2</v>
          </cell>
        </row>
        <row r="300">
          <cell r="B300">
            <v>288</v>
          </cell>
          <cell r="D300" t="str">
            <v>Memasang dinding porselen ukuran ( 10 x 20 ) cm</v>
          </cell>
          <cell r="E300" t="str">
            <v>A.4.4.3.49.</v>
          </cell>
          <cell r="F300">
            <v>0</v>
          </cell>
          <cell r="G300">
            <v>202631.6</v>
          </cell>
          <cell r="I300">
            <v>124335</v>
          </cell>
          <cell r="K300" t="str">
            <v>m2</v>
          </cell>
        </row>
        <row r="301">
          <cell r="B301">
            <v>289</v>
          </cell>
          <cell r="D301" t="str">
            <v>Memasang dinding porselen ukuran ( 20 x 20 ) cm</v>
          </cell>
          <cell r="E301" t="str">
            <v>A.4.4.3.50.</v>
          </cell>
          <cell r="F301">
            <v>0</v>
          </cell>
          <cell r="G301">
            <v>189542.81</v>
          </cell>
          <cell r="I301">
            <v>124335</v>
          </cell>
          <cell r="K301" t="str">
            <v>m2</v>
          </cell>
        </row>
        <row r="302">
          <cell r="B302">
            <v>290</v>
          </cell>
          <cell r="D302" t="str">
            <v>Memasang dinding keramik artistik ukuran ( 10 x 20 ) cm</v>
          </cell>
          <cell r="E302" t="str">
            <v>A.4.4.3.51.</v>
          </cell>
          <cell r="F302">
            <v>0</v>
          </cell>
          <cell r="G302">
            <v>202631.6</v>
          </cell>
          <cell r="I302">
            <v>124335</v>
          </cell>
          <cell r="K302" t="str">
            <v>m2</v>
          </cell>
        </row>
        <row r="303">
          <cell r="B303">
            <v>291</v>
          </cell>
          <cell r="D303" t="str">
            <v>Memasang dinding keramik artistik ukuran ( 5 x 20 ) cm</v>
          </cell>
          <cell r="E303" t="str">
            <v>A.4.4.3.52.</v>
          </cell>
          <cell r="F303">
            <v>0</v>
          </cell>
          <cell r="G303">
            <v>205055.45</v>
          </cell>
          <cell r="I303">
            <v>124335</v>
          </cell>
          <cell r="K303" t="str">
            <v>m2</v>
          </cell>
        </row>
        <row r="304">
          <cell r="B304">
            <v>292</v>
          </cell>
          <cell r="D304" t="str">
            <v>Memasang dinding keramik  ukuran ( 10 x 20 ) cm</v>
          </cell>
          <cell r="E304" t="str">
            <v>A.4.4.3.53.</v>
          </cell>
          <cell r="F304">
            <v>0</v>
          </cell>
          <cell r="G304">
            <v>202631.6</v>
          </cell>
          <cell r="I304">
            <v>124335</v>
          </cell>
          <cell r="K304" t="str">
            <v>m2</v>
          </cell>
        </row>
        <row r="305">
          <cell r="B305">
            <v>293</v>
          </cell>
          <cell r="D305" t="str">
            <v>Memasang dinding keramik uk. (20x20) cm</v>
          </cell>
          <cell r="E305" t="str">
            <v>A.4.4.3.54.</v>
          </cell>
          <cell r="F305">
            <v>0</v>
          </cell>
          <cell r="G305">
            <v>0</v>
          </cell>
          <cell r="I305">
            <v>0</v>
          </cell>
          <cell r="K305" t="str">
            <v>m2</v>
          </cell>
        </row>
        <row r="306">
          <cell r="B306">
            <v>294</v>
          </cell>
          <cell r="D306" t="str">
            <v>Memasang dinding marmer  ukuran (100 x 100) cm</v>
          </cell>
          <cell r="E306" t="str">
            <v>A.4.4.3.55.</v>
          </cell>
          <cell r="F306">
            <v>0</v>
          </cell>
          <cell r="G306">
            <v>4145991.4699999997</v>
          </cell>
          <cell r="I306">
            <v>179595</v>
          </cell>
          <cell r="K306" t="str">
            <v>m2</v>
          </cell>
        </row>
        <row r="307">
          <cell r="B307">
            <v>295</v>
          </cell>
          <cell r="D307" t="str">
            <v>Memasang dinding bata pelapis  ukuran ( 3 x 7 x 24 ) cm</v>
          </cell>
          <cell r="E307" t="str">
            <v>A.4.4.3.56.</v>
          </cell>
          <cell r="F307">
            <v>0</v>
          </cell>
          <cell r="G307">
            <v>224477.89</v>
          </cell>
          <cell r="I307">
            <v>138150</v>
          </cell>
          <cell r="K307" t="str">
            <v>m2</v>
          </cell>
        </row>
        <row r="308">
          <cell r="B308">
            <v>296</v>
          </cell>
          <cell r="D308" t="str">
            <v>Memasang dinding batu paras</v>
          </cell>
          <cell r="E308" t="str">
            <v>A.4.4.3.57.</v>
          </cell>
          <cell r="F308">
            <v>0</v>
          </cell>
          <cell r="G308">
            <v>279285.15000000002</v>
          </cell>
          <cell r="I308">
            <v>96705</v>
          </cell>
          <cell r="K308" t="str">
            <v>m2</v>
          </cell>
        </row>
        <row r="309">
          <cell r="B309">
            <v>297</v>
          </cell>
          <cell r="D309" t="str">
            <v>Memasang dinding batu tempel hitam/lempeng</v>
          </cell>
          <cell r="E309" t="str">
            <v>A.4.4.3.58.</v>
          </cell>
          <cell r="F309">
            <v>0</v>
          </cell>
          <cell r="G309">
            <v>250696.15</v>
          </cell>
          <cell r="I309">
            <v>96705</v>
          </cell>
          <cell r="K309" t="str">
            <v>m2</v>
          </cell>
        </row>
        <row r="310">
          <cell r="B310">
            <v>298</v>
          </cell>
          <cell r="D310" t="str">
            <v>Pasang batu lempeng tdk beraturan tanpa nat</v>
          </cell>
          <cell r="E310" t="str">
            <v>A.4.4.3.58a.</v>
          </cell>
          <cell r="F310">
            <v>0</v>
          </cell>
          <cell r="G310">
            <v>250696.15</v>
          </cell>
          <cell r="I310">
            <v>96705</v>
          </cell>
          <cell r="K310" t="str">
            <v>m2</v>
          </cell>
        </row>
        <row r="311">
          <cell r="B311">
            <v>299</v>
          </cell>
          <cell r="D311" t="str">
            <v xml:space="preserve">Pasang batu andesit </v>
          </cell>
          <cell r="E311" t="str">
            <v>A.4.4.3.58b.</v>
          </cell>
          <cell r="F311">
            <v>0</v>
          </cell>
          <cell r="G311">
            <v>388669.15</v>
          </cell>
          <cell r="I311">
            <v>96705</v>
          </cell>
          <cell r="K311" t="str">
            <v>m2</v>
          </cell>
        </row>
        <row r="312">
          <cell r="B312">
            <v>300</v>
          </cell>
          <cell r="D312" t="str">
            <v>Memasang lantai vinyl ukuran ( 30 x 30 ) cm KL I</v>
          </cell>
          <cell r="E312" t="str">
            <v>A.4.4.3.59.</v>
          </cell>
          <cell r="F312">
            <v>0</v>
          </cell>
          <cell r="G312">
            <v>57083.08</v>
          </cell>
          <cell r="I312">
            <v>28011</v>
          </cell>
          <cell r="K312" t="str">
            <v>m2</v>
          </cell>
        </row>
        <row r="313">
          <cell r="B313">
            <v>301</v>
          </cell>
          <cell r="D313" t="str">
            <v>Memasang wallpaper, lebar 50 cm</v>
          </cell>
          <cell r="E313" t="str">
            <v>A.4.4.3.60.</v>
          </cell>
          <cell r="F313">
            <v>0</v>
          </cell>
          <cell r="G313">
            <v>214667.23</v>
          </cell>
          <cell r="I313">
            <v>46956</v>
          </cell>
          <cell r="K313" t="str">
            <v>m'</v>
          </cell>
        </row>
        <row r="314">
          <cell r="B314">
            <v>302</v>
          </cell>
          <cell r="D314" t="str">
            <v>Memasang floor hardener (finising lantai dgn trowel)</v>
          </cell>
          <cell r="E314" t="str">
            <v>A.4.4.3.61.</v>
          </cell>
          <cell r="F314">
            <v>0</v>
          </cell>
          <cell r="G314">
            <v>45622.62</v>
          </cell>
          <cell r="I314">
            <v>22374</v>
          </cell>
          <cell r="K314" t="str">
            <v>m2</v>
          </cell>
        </row>
        <row r="315">
          <cell r="B315">
            <v>303</v>
          </cell>
          <cell r="D315" t="str">
            <v>Memasang plint vinil karet ukuran ( 15 x 30 ) cm dengan perekat</v>
          </cell>
          <cell r="E315" t="str">
            <v>A.4.4.3.62.</v>
          </cell>
          <cell r="F315">
            <v>0</v>
          </cell>
          <cell r="G315">
            <v>22667.8</v>
          </cell>
          <cell r="I315">
            <v>14916</v>
          </cell>
          <cell r="K315" t="str">
            <v>m2</v>
          </cell>
        </row>
        <row r="316">
          <cell r="B316">
            <v>304</v>
          </cell>
          <cell r="D316" t="str">
            <v>Memasang plint kayu kamper ukuran ( 2 x 10 ) cm</v>
          </cell>
          <cell r="E316" t="str">
            <v>A.4.4.3.63.</v>
          </cell>
          <cell r="F316">
            <v>0</v>
          </cell>
          <cell r="G316">
            <v>79452.56</v>
          </cell>
          <cell r="I316">
            <v>22974</v>
          </cell>
          <cell r="K316" t="str">
            <v>m2</v>
          </cell>
        </row>
        <row r="317">
          <cell r="B317">
            <v>305</v>
          </cell>
          <cell r="D317" t="str">
            <v>Memasang lantai keramik uk. (40x40) cm</v>
          </cell>
          <cell r="E317" t="str">
            <v>An. Dihitung</v>
          </cell>
          <cell r="F317">
            <v>0</v>
          </cell>
          <cell r="G317">
            <v>184333.51</v>
          </cell>
          <cell r="H317">
            <v>0</v>
          </cell>
          <cell r="I317">
            <v>69258</v>
          </cell>
          <cell r="J317">
            <v>0</v>
          </cell>
          <cell r="K317" t="str">
            <v>m2</v>
          </cell>
        </row>
        <row r="318">
          <cell r="B318">
            <v>306</v>
          </cell>
          <cell r="D318" t="str">
            <v>Memasang lantai keramik uk. (60x60) cm</v>
          </cell>
          <cell r="E318" t="str">
            <v>An. Dihitung</v>
          </cell>
          <cell r="F318">
            <v>0</v>
          </cell>
          <cell r="G318">
            <v>177669.35</v>
          </cell>
          <cell r="H318">
            <v>0</v>
          </cell>
          <cell r="I318">
            <v>69258</v>
          </cell>
          <cell r="J318">
            <v>0</v>
          </cell>
          <cell r="K318" t="str">
            <v>m2</v>
          </cell>
        </row>
        <row r="319">
          <cell r="B319">
            <v>307</v>
          </cell>
          <cell r="D319" t="str">
            <v>Memasang lantai keramik uk. (60x60) cm, exterior texture</v>
          </cell>
          <cell r="E319" t="str">
            <v>An. Dihitung</v>
          </cell>
          <cell r="F319">
            <v>0</v>
          </cell>
          <cell r="G319">
            <v>214188.22</v>
          </cell>
          <cell r="H319">
            <v>0</v>
          </cell>
          <cell r="I319">
            <v>69258</v>
          </cell>
          <cell r="J319">
            <v>0</v>
          </cell>
          <cell r="K319" t="str">
            <v>m2</v>
          </cell>
        </row>
        <row r="320">
          <cell r="B320">
            <v>308</v>
          </cell>
          <cell r="D320" t="str">
            <v>Memasang dinding keramik  uk. (30x60) cm</v>
          </cell>
          <cell r="E320" t="str">
            <v>An. Dihitung</v>
          </cell>
          <cell r="F320">
            <v>0</v>
          </cell>
          <cell r="G320">
            <v>229082.90999999997</v>
          </cell>
          <cell r="H320">
            <v>0</v>
          </cell>
          <cell r="I320">
            <v>77970</v>
          </cell>
          <cell r="J320">
            <v>0</v>
          </cell>
          <cell r="K320" t="str">
            <v>m2</v>
          </cell>
        </row>
        <row r="321">
          <cell r="B321">
            <v>309</v>
          </cell>
          <cell r="D321" t="str">
            <v>Memasang plint keramik uk. (10 x 60) cm</v>
          </cell>
          <cell r="E321" t="str">
            <v>A.4.4.3.28.a.</v>
          </cell>
          <cell r="F321">
            <v>0</v>
          </cell>
          <cell r="G321">
            <v>40248.339999999997</v>
          </cell>
          <cell r="H321">
            <v>0</v>
          </cell>
          <cell r="I321">
            <v>19320</v>
          </cell>
          <cell r="J321">
            <v>0</v>
          </cell>
          <cell r="K321" t="str">
            <v>m'</v>
          </cell>
        </row>
        <row r="322">
          <cell r="B322">
            <v>310</v>
          </cell>
          <cell r="D322" t="str">
            <v>Memasang plint keramik uk. (10 x 30) cm</v>
          </cell>
          <cell r="E322" t="str">
            <v>A.4.4.3.27.a.</v>
          </cell>
          <cell r="F322">
            <v>0</v>
          </cell>
          <cell r="G322">
            <v>48577.57</v>
          </cell>
          <cell r="H322">
            <v>0</v>
          </cell>
          <cell r="I322">
            <v>19320</v>
          </cell>
          <cell r="J322">
            <v>0</v>
          </cell>
          <cell r="K322" t="str">
            <v>m'</v>
          </cell>
        </row>
        <row r="323">
          <cell r="B323">
            <v>311</v>
          </cell>
          <cell r="D323" t="str">
            <v>Memasang plint keramik uk. (10x20) cm</v>
          </cell>
          <cell r="E323" t="str">
            <v>A.4.4.3.39.</v>
          </cell>
          <cell r="F323">
            <v>0</v>
          </cell>
          <cell r="G323">
            <v>55771.72</v>
          </cell>
          <cell r="I323">
            <v>19320</v>
          </cell>
          <cell r="K323" t="str">
            <v>m'</v>
          </cell>
        </row>
        <row r="324">
          <cell r="B324">
            <v>312</v>
          </cell>
          <cell r="D324" t="str">
            <v>Memasang plint keramik uk. (10x40) cm</v>
          </cell>
          <cell r="E324" t="str">
            <v>A.4.4.3.39a.</v>
          </cell>
          <cell r="F324">
            <v>0</v>
          </cell>
          <cell r="G324">
            <v>44093.17</v>
          </cell>
          <cell r="H324">
            <v>0</v>
          </cell>
          <cell r="I324">
            <v>19320</v>
          </cell>
          <cell r="J324">
            <v>0</v>
          </cell>
          <cell r="K324" t="str">
            <v>m'</v>
          </cell>
        </row>
        <row r="325">
          <cell r="B325">
            <v>313</v>
          </cell>
          <cell r="D325" t="str">
            <v>Memasang plint keramik uk. (10x60) cm</v>
          </cell>
          <cell r="E325" t="str">
            <v>A.4.4.3.39b.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 t="str">
            <v>m'</v>
          </cell>
        </row>
        <row r="326">
          <cell r="B326">
            <v>314</v>
          </cell>
          <cell r="D326" t="str">
            <v>Memasang 1 m' "step nose" uk. (10x40) cm</v>
          </cell>
          <cell r="E326" t="str">
            <v>An. Dihitung</v>
          </cell>
          <cell r="F326">
            <v>0</v>
          </cell>
          <cell r="G326">
            <v>44798.740000000005</v>
          </cell>
          <cell r="H326">
            <v>0</v>
          </cell>
          <cell r="I326">
            <v>19320</v>
          </cell>
          <cell r="J326">
            <v>0</v>
          </cell>
          <cell r="K326" t="str">
            <v>m'</v>
          </cell>
        </row>
        <row r="327">
          <cell r="B327">
            <v>315</v>
          </cell>
          <cell r="D327" t="str">
            <v>Memasang hospital plint</v>
          </cell>
          <cell r="E327" t="str">
            <v>A.4.4.3.25.</v>
          </cell>
          <cell r="F327">
            <v>0</v>
          </cell>
          <cell r="G327">
            <v>107983.93</v>
          </cell>
          <cell r="H327">
            <v>0</v>
          </cell>
          <cell r="I327">
            <v>16824</v>
          </cell>
          <cell r="J327">
            <v>0</v>
          </cell>
          <cell r="K327" t="str">
            <v>m'</v>
          </cell>
        </row>
        <row r="328">
          <cell r="B328">
            <v>316</v>
          </cell>
          <cell r="D328" t="str">
            <v>Pasang genteng Magas Kebumen</v>
          </cell>
          <cell r="E328" t="str">
            <v>A.4.5.2.1.</v>
          </cell>
          <cell r="F328">
            <v>0</v>
          </cell>
          <cell r="G328">
            <v>117114.33</v>
          </cell>
          <cell r="I328">
            <v>21141</v>
          </cell>
          <cell r="K328" t="str">
            <v>m2</v>
          </cell>
        </row>
        <row r="329">
          <cell r="B329">
            <v>317</v>
          </cell>
          <cell r="D329" t="str">
            <v>Pasang genteng Kodok Kebumen</v>
          </cell>
          <cell r="E329" t="str">
            <v>At.8.6.2.2002</v>
          </cell>
          <cell r="F329">
            <v>0</v>
          </cell>
          <cell r="G329">
            <v>113919.82</v>
          </cell>
          <cell r="I329">
            <v>20814</v>
          </cell>
          <cell r="K329" t="str">
            <v>m2</v>
          </cell>
        </row>
        <row r="330">
          <cell r="B330">
            <v>318</v>
          </cell>
          <cell r="D330" t="str">
            <v>Pasang genteng keramik</v>
          </cell>
          <cell r="E330" t="str">
            <v>A.4.5.2.2.</v>
          </cell>
          <cell r="F330">
            <v>0</v>
          </cell>
          <cell r="G330">
            <v>201127.57</v>
          </cell>
          <cell r="I330">
            <v>21189</v>
          </cell>
          <cell r="K330" t="str">
            <v>m2</v>
          </cell>
        </row>
        <row r="331">
          <cell r="B331">
            <v>319</v>
          </cell>
          <cell r="D331" t="str">
            <v>Pasang genteng bubung Magas Kebumen</v>
          </cell>
          <cell r="E331" t="str">
            <v>A.4.5.2.4.</v>
          </cell>
          <cell r="F331">
            <v>0</v>
          </cell>
          <cell r="G331">
            <v>134802.22</v>
          </cell>
          <cell r="I331">
            <v>54694</v>
          </cell>
          <cell r="K331" t="str">
            <v>m'</v>
          </cell>
        </row>
        <row r="332">
          <cell r="B332">
            <v>320</v>
          </cell>
          <cell r="D332" t="str">
            <v>Pasang genteng bubung keramik</v>
          </cell>
          <cell r="E332" t="str">
            <v>A.4.5.2.5.</v>
          </cell>
          <cell r="F332">
            <v>0</v>
          </cell>
          <cell r="G332">
            <v>169267.22</v>
          </cell>
          <cell r="I332">
            <v>54694</v>
          </cell>
          <cell r="K332" t="str">
            <v>m'</v>
          </cell>
        </row>
        <row r="333">
          <cell r="B333">
            <v>321</v>
          </cell>
          <cell r="D333" t="str">
            <v>Pasang genteng bubung Kodok Kebumen</v>
          </cell>
          <cell r="E333" t="str">
            <v>At.8.6.5.2002</v>
          </cell>
          <cell r="F333">
            <v>0</v>
          </cell>
          <cell r="G333">
            <v>80562.22</v>
          </cell>
          <cell r="I333">
            <v>53694</v>
          </cell>
          <cell r="K333" t="str">
            <v>m'</v>
          </cell>
        </row>
        <row r="334">
          <cell r="B334">
            <v>322</v>
          </cell>
          <cell r="D334" t="str">
            <v>Pasang atap asbes gelombang (2,00x0,92 m') x 5 mm</v>
          </cell>
          <cell r="E334" t="str">
            <v>A.4.5.2.10.</v>
          </cell>
          <cell r="F334">
            <v>0</v>
          </cell>
          <cell r="G334">
            <v>108560.23</v>
          </cell>
          <cell r="I334">
            <v>19691</v>
          </cell>
          <cell r="K334" t="str">
            <v>m2</v>
          </cell>
        </row>
        <row r="335">
          <cell r="B335">
            <v>323</v>
          </cell>
          <cell r="D335" t="str">
            <v>Pasang atap asbes gelombang ( 3,00 x 1,08 m' ) x 6 mm</v>
          </cell>
          <cell r="E335" t="str">
            <v>A.4.5.2.17.</v>
          </cell>
          <cell r="F335">
            <v>0</v>
          </cell>
          <cell r="G335">
            <v>59235.729999999996</v>
          </cell>
          <cell r="I335">
            <v>19691</v>
          </cell>
          <cell r="K335" t="str">
            <v>m2</v>
          </cell>
        </row>
        <row r="336">
          <cell r="B336">
            <v>324</v>
          </cell>
          <cell r="D336" t="str">
            <v>Pasang bubung stel gelombang 0,92 m</v>
          </cell>
          <cell r="E336" t="str">
            <v>A.4.5.2.22.</v>
          </cell>
          <cell r="F336">
            <v>0</v>
          </cell>
          <cell r="G336">
            <v>114172.94</v>
          </cell>
          <cell r="I336">
            <v>20278</v>
          </cell>
          <cell r="K336" t="str">
            <v>m'</v>
          </cell>
        </row>
        <row r="337">
          <cell r="B337">
            <v>325</v>
          </cell>
          <cell r="D337" t="str">
            <v>Pasang bubung stil gelombang</v>
          </cell>
          <cell r="E337" t="str">
            <v>A.4.5.2.22.</v>
          </cell>
          <cell r="F337">
            <v>0</v>
          </cell>
          <cell r="G337">
            <v>0</v>
          </cell>
          <cell r="I337">
            <v>0</v>
          </cell>
          <cell r="K337" t="str">
            <v>m'</v>
          </cell>
        </row>
        <row r="338">
          <cell r="B338">
            <v>326</v>
          </cell>
          <cell r="D338" t="str">
            <v>Pasang atap sirap</v>
          </cell>
          <cell r="E338" t="str">
            <v>At.8.6.33.2002</v>
          </cell>
          <cell r="F338">
            <v>0</v>
          </cell>
          <cell r="G338">
            <v>0</v>
          </cell>
          <cell r="I338">
            <v>0</v>
          </cell>
          <cell r="K338" t="str">
            <v>m2</v>
          </cell>
        </row>
        <row r="339">
          <cell r="B339">
            <v>327</v>
          </cell>
          <cell r="D339" t="str">
            <v>Pasang atap sirap kayu</v>
          </cell>
          <cell r="E339" t="str">
            <v>Dihitung</v>
          </cell>
          <cell r="F339">
            <v>0</v>
          </cell>
          <cell r="G339">
            <v>118117.77</v>
          </cell>
          <cell r="I339">
            <v>38129</v>
          </cell>
          <cell r="K339" t="str">
            <v>m2</v>
          </cell>
        </row>
        <row r="340">
          <cell r="B340">
            <v>328</v>
          </cell>
          <cell r="D340" t="str">
            <v>Pasang genteng bubung sirap</v>
          </cell>
          <cell r="E340" t="str">
            <v>At.8.6.37.2002</v>
          </cell>
          <cell r="F340">
            <v>0</v>
          </cell>
          <cell r="G340">
            <v>0</v>
          </cell>
          <cell r="I340">
            <v>0</v>
          </cell>
          <cell r="K340" t="str">
            <v>m'</v>
          </cell>
        </row>
        <row r="341">
          <cell r="B341">
            <v>329</v>
          </cell>
          <cell r="D341" t="str">
            <v>Pasang atap bubung sirap kayu</v>
          </cell>
          <cell r="E341" t="str">
            <v>Dihitung</v>
          </cell>
          <cell r="F341">
            <v>0</v>
          </cell>
          <cell r="G341">
            <v>69053.740000000005</v>
          </cell>
          <cell r="I341">
            <v>36609.5</v>
          </cell>
          <cell r="K341" t="str">
            <v>m'</v>
          </cell>
        </row>
        <row r="342">
          <cell r="B342">
            <v>330</v>
          </cell>
          <cell r="D342" t="str">
            <v>Pasang penutup atap galvalum</v>
          </cell>
          <cell r="E342" t="str">
            <v>A.4.5.2.17.</v>
          </cell>
          <cell r="F342">
            <v>0</v>
          </cell>
          <cell r="G342">
            <v>95361.83</v>
          </cell>
          <cell r="I342">
            <v>19691</v>
          </cell>
          <cell r="K342" t="str">
            <v>m2</v>
          </cell>
        </row>
        <row r="343">
          <cell r="B343">
            <v>331</v>
          </cell>
          <cell r="D343" t="str">
            <v>Pasang bubungan galvalum</v>
          </cell>
          <cell r="E343" t="str">
            <v>A.4.5.2.39a.</v>
          </cell>
          <cell r="F343">
            <v>0</v>
          </cell>
          <cell r="G343">
            <v>65685.77</v>
          </cell>
          <cell r="I343">
            <v>20459</v>
          </cell>
          <cell r="K343" t="str">
            <v>m'</v>
          </cell>
        </row>
        <row r="344">
          <cell r="B344">
            <v>332</v>
          </cell>
          <cell r="D344" t="str">
            <v>Pasang atap seng gelombang</v>
          </cell>
          <cell r="E344">
            <v>69053.740000000005</v>
          </cell>
          <cell r="F344">
            <v>0</v>
          </cell>
          <cell r="G344">
            <v>88273.34</v>
          </cell>
          <cell r="I344">
            <v>16878</v>
          </cell>
          <cell r="K344" t="str">
            <v>m2</v>
          </cell>
        </row>
        <row r="345">
          <cell r="B345">
            <v>333</v>
          </cell>
          <cell r="D345" t="str">
            <v>Pasang atap nok seng</v>
          </cell>
          <cell r="E345" t="str">
            <v>A.4.5.2.40.</v>
          </cell>
          <cell r="F345">
            <v>0</v>
          </cell>
          <cell r="G345">
            <v>49651.07</v>
          </cell>
          <cell r="I345">
            <v>20459</v>
          </cell>
          <cell r="K345" t="str">
            <v>m'</v>
          </cell>
        </row>
        <row r="346">
          <cell r="B346">
            <v>334</v>
          </cell>
          <cell r="D346" t="str">
            <v>Pasang genteng metal (multiroof)</v>
          </cell>
          <cell r="E346" t="str">
            <v>Dihitung</v>
          </cell>
          <cell r="F346">
            <v>0</v>
          </cell>
          <cell r="G346">
            <v>158632.79</v>
          </cell>
          <cell r="H346">
            <v>0</v>
          </cell>
          <cell r="I346">
            <v>26483</v>
          </cell>
          <cell r="J346">
            <v>0</v>
          </cell>
          <cell r="K346" t="str">
            <v>m2</v>
          </cell>
        </row>
        <row r="347">
          <cell r="B347">
            <v>335</v>
          </cell>
          <cell r="D347" t="str">
            <v>Pasang genteng bubungan metal (multiroof)</v>
          </cell>
          <cell r="E347" t="str">
            <v>Dihitung</v>
          </cell>
          <cell r="F347">
            <v>0</v>
          </cell>
          <cell r="G347">
            <v>81082.92</v>
          </cell>
          <cell r="H347">
            <v>0</v>
          </cell>
          <cell r="I347">
            <v>19154.8</v>
          </cell>
          <cell r="J347">
            <v>0</v>
          </cell>
          <cell r="K347" t="str">
            <v>m'</v>
          </cell>
        </row>
        <row r="348">
          <cell r="B348">
            <v>336</v>
          </cell>
          <cell r="D348" t="str">
            <v>Memasang atap onduline</v>
          </cell>
          <cell r="E348" t="str">
            <v>An. Dihitung</v>
          </cell>
          <cell r="F348">
            <v>0</v>
          </cell>
          <cell r="G348">
            <v>187737.07</v>
          </cell>
          <cell r="H348">
            <v>0</v>
          </cell>
          <cell r="I348">
            <v>19691</v>
          </cell>
          <cell r="J348">
            <v>0</v>
          </cell>
          <cell r="K348" t="str">
            <v>m2</v>
          </cell>
        </row>
        <row r="349">
          <cell r="B349">
            <v>337</v>
          </cell>
          <cell r="D349" t="str">
            <v>Memasang kerpus onduline</v>
          </cell>
          <cell r="E349" t="str">
            <v>An. Dihitung</v>
          </cell>
          <cell r="F349">
            <v>0</v>
          </cell>
          <cell r="G349">
            <v>208200.24</v>
          </cell>
          <cell r="H349">
            <v>0</v>
          </cell>
          <cell r="I349">
            <v>20278</v>
          </cell>
          <cell r="J349">
            <v>0</v>
          </cell>
          <cell r="K349" t="str">
            <v>m'</v>
          </cell>
        </row>
        <row r="350">
          <cell r="B350">
            <v>338</v>
          </cell>
          <cell r="D350" t="str">
            <v>Pasang aluminium foil/sisalation</v>
          </cell>
          <cell r="E350" t="str">
            <v>A.4.5.2.43.</v>
          </cell>
          <cell r="F350">
            <v>0</v>
          </cell>
          <cell r="G350">
            <v>32290.880000000001</v>
          </cell>
          <cell r="I350">
            <v>18601</v>
          </cell>
          <cell r="K350" t="str">
            <v>m2</v>
          </cell>
        </row>
        <row r="351">
          <cell r="B351">
            <v>339</v>
          </cell>
          <cell r="D351" t="str">
            <v xml:space="preserve">Memasang kloset duduk/monoblok </v>
          </cell>
          <cell r="E351" t="str">
            <v>A.5.1.1.1.</v>
          </cell>
          <cell r="F351">
            <v>0</v>
          </cell>
          <cell r="G351">
            <v>3019054.9</v>
          </cell>
          <cell r="I351">
            <v>392730</v>
          </cell>
          <cell r="K351" t="str">
            <v>bh</v>
          </cell>
        </row>
        <row r="352">
          <cell r="B352">
            <v>340</v>
          </cell>
          <cell r="D352" t="str">
            <v xml:space="preserve">Memasang kloset jongklok porselin </v>
          </cell>
          <cell r="E352" t="str">
            <v>A.5.1.1.2.</v>
          </cell>
          <cell r="F352">
            <v>0</v>
          </cell>
          <cell r="G352">
            <v>422642.6</v>
          </cell>
          <cell r="H352">
            <v>0</v>
          </cell>
          <cell r="I352">
            <v>244320</v>
          </cell>
          <cell r="J352">
            <v>0</v>
          </cell>
          <cell r="K352" t="str">
            <v>bh</v>
          </cell>
        </row>
        <row r="353">
          <cell r="B353">
            <v>341</v>
          </cell>
          <cell r="D353" t="str">
            <v>Memasang urinoir</v>
          </cell>
          <cell r="E353" t="str">
            <v>A.5.1.1.4.</v>
          </cell>
          <cell r="F353">
            <v>0</v>
          </cell>
          <cell r="G353">
            <v>2696688.5</v>
          </cell>
          <cell r="I353">
            <v>186450</v>
          </cell>
          <cell r="K353" t="str">
            <v>bh</v>
          </cell>
        </row>
        <row r="354">
          <cell r="B354">
            <v>342</v>
          </cell>
          <cell r="D354" t="str">
            <v>Memasang wastafel</v>
          </cell>
          <cell r="E354" t="str">
            <v>A.5.1.1.5.</v>
          </cell>
          <cell r="F354">
            <v>0</v>
          </cell>
          <cell r="G354">
            <v>882527.74</v>
          </cell>
          <cell r="I354">
            <v>248370</v>
          </cell>
          <cell r="K354" t="str">
            <v>bh</v>
          </cell>
        </row>
        <row r="355">
          <cell r="B355">
            <v>343</v>
          </cell>
          <cell r="D355" t="str">
            <v>Memasang bathcuip porselin</v>
          </cell>
          <cell r="E355" t="str">
            <v>A.5.1.1.6.</v>
          </cell>
          <cell r="F355">
            <v>0</v>
          </cell>
          <cell r="G355">
            <v>9445809.5600000005</v>
          </cell>
          <cell r="I355">
            <v>79123.5</v>
          </cell>
          <cell r="K355" t="str">
            <v>bh</v>
          </cell>
        </row>
        <row r="356">
          <cell r="B356">
            <v>344</v>
          </cell>
          <cell r="D356" t="str">
            <v>Memasang bak fiberglass, vol. 0,5 m3 air</v>
          </cell>
          <cell r="E356" t="str">
            <v>Sn.11.6.11.2002</v>
          </cell>
          <cell r="F356">
            <v>0</v>
          </cell>
          <cell r="G356">
            <v>1014988.6</v>
          </cell>
          <cell r="I356">
            <v>113100</v>
          </cell>
          <cell r="K356" t="str">
            <v>bh</v>
          </cell>
        </row>
        <row r="357">
          <cell r="B357">
            <v>345</v>
          </cell>
          <cell r="D357" t="str">
            <v>Memasang bak fiberglass, vol. 1,0 m3 air</v>
          </cell>
          <cell r="E357" t="str">
            <v>A.5.1.1.7.</v>
          </cell>
          <cell r="F357">
            <v>0</v>
          </cell>
          <cell r="G357">
            <v>0</v>
          </cell>
          <cell r="I357">
            <v>0</v>
          </cell>
          <cell r="K357" t="str">
            <v>bh</v>
          </cell>
        </row>
        <row r="358">
          <cell r="B358">
            <v>346</v>
          </cell>
          <cell r="D358" t="str">
            <v>Memasang bak fiberglass, vol. 1,0 m3 air</v>
          </cell>
          <cell r="E358" t="str">
            <v>Dihitung</v>
          </cell>
          <cell r="F358">
            <v>0</v>
          </cell>
          <cell r="G358">
            <v>1607289.4</v>
          </cell>
          <cell r="I358">
            <v>113100</v>
          </cell>
          <cell r="K358" t="str">
            <v>bh</v>
          </cell>
        </row>
        <row r="359">
          <cell r="B359">
            <v>347</v>
          </cell>
          <cell r="D359" t="str">
            <v>Memasang floor drain</v>
          </cell>
          <cell r="E359" t="str">
            <v>A.5.1.1.14.</v>
          </cell>
          <cell r="F359">
            <v>0</v>
          </cell>
          <cell r="G359">
            <v>103903.5</v>
          </cell>
          <cell r="I359">
            <v>10950</v>
          </cell>
          <cell r="K359" t="str">
            <v>bh</v>
          </cell>
        </row>
        <row r="360">
          <cell r="B360">
            <v>348</v>
          </cell>
          <cell r="D360" t="str">
            <v>Memasang bak kontrol pas. Batu bata + tutup beton ( 45 x 45 x 50 cm)</v>
          </cell>
          <cell r="E360" t="str">
            <v>A.5.1.1.16.</v>
          </cell>
          <cell r="F360">
            <v>0</v>
          </cell>
          <cell r="G360">
            <v>691331.74</v>
          </cell>
          <cell r="I360">
            <v>376098</v>
          </cell>
          <cell r="K360" t="str">
            <v>bh</v>
          </cell>
        </row>
        <row r="361">
          <cell r="B361">
            <v>349</v>
          </cell>
          <cell r="D361" t="str">
            <v>Memasang bak kontrol pas. Batu bata ( 60 x 60 x 65 cm)</v>
          </cell>
          <cell r="E361" t="str">
            <v>A.5.1.1.17.</v>
          </cell>
          <cell r="F361">
            <v>0</v>
          </cell>
          <cell r="G361">
            <v>835333.29</v>
          </cell>
          <cell r="I361">
            <v>376098</v>
          </cell>
          <cell r="K361" t="str">
            <v>bh</v>
          </cell>
        </row>
        <row r="362">
          <cell r="B362">
            <v>350</v>
          </cell>
          <cell r="D362" t="str">
            <v>Memasang pipa galvanis diameter 3/4"</v>
          </cell>
          <cell r="E362" t="str">
            <v>A.5.1.1.20.</v>
          </cell>
          <cell r="F362">
            <v>0</v>
          </cell>
          <cell r="G362">
            <v>39881.46</v>
          </cell>
          <cell r="I362">
            <v>15660</v>
          </cell>
          <cell r="K362" t="str">
            <v>m'</v>
          </cell>
        </row>
        <row r="363">
          <cell r="B363">
            <v>351</v>
          </cell>
          <cell r="D363" t="str">
            <v>Memasang pipa galvanis diameter 1,5"</v>
          </cell>
          <cell r="E363" t="str">
            <v>A.5.1.1.22.</v>
          </cell>
          <cell r="F363">
            <v>0</v>
          </cell>
          <cell r="G363">
            <v>72902.320000000007</v>
          </cell>
          <cell r="I363">
            <v>27057</v>
          </cell>
          <cell r="K363" t="str">
            <v>m'</v>
          </cell>
        </row>
        <row r="364">
          <cell r="B364">
            <v>352</v>
          </cell>
          <cell r="D364" t="str">
            <v>Memasang pipa PVC tipe AW diameter 1/2"</v>
          </cell>
          <cell r="E364" t="str">
            <v>A.5.1.1.25.</v>
          </cell>
          <cell r="F364">
            <v>0</v>
          </cell>
          <cell r="G364">
            <v>21127.33</v>
          </cell>
          <cell r="I364">
            <v>9048</v>
          </cell>
          <cell r="K364" t="str">
            <v>m'</v>
          </cell>
        </row>
        <row r="365">
          <cell r="B365">
            <v>353</v>
          </cell>
          <cell r="D365" t="str">
            <v>Memasang pipa PVC tipe AW diameter 3/4"</v>
          </cell>
          <cell r="E365" t="str">
            <v>A.5.1.1.26.</v>
          </cell>
          <cell r="F365">
            <v>0</v>
          </cell>
          <cell r="G365">
            <v>23710.79</v>
          </cell>
          <cell r="H365">
            <v>0</v>
          </cell>
          <cell r="I365">
            <v>9048</v>
          </cell>
          <cell r="J365">
            <v>0</v>
          </cell>
          <cell r="K365" t="str">
            <v>m'</v>
          </cell>
        </row>
        <row r="366">
          <cell r="B366">
            <v>354</v>
          </cell>
          <cell r="D366" t="str">
            <v>Memasang pipa PVC tipe AW diameter 1"</v>
          </cell>
          <cell r="E366" t="str">
            <v>A.5.1.1.27.</v>
          </cell>
          <cell r="F366">
            <v>0</v>
          </cell>
          <cell r="G366">
            <v>26600.77</v>
          </cell>
          <cell r="H366">
            <v>0</v>
          </cell>
          <cell r="I366">
            <v>9048</v>
          </cell>
          <cell r="J366">
            <v>0</v>
          </cell>
          <cell r="K366" t="str">
            <v>m'</v>
          </cell>
        </row>
        <row r="367">
          <cell r="B367">
            <v>355</v>
          </cell>
          <cell r="D367" t="str">
            <v>Memasang pipa PVC tipe AW diameter 1 1/2"</v>
          </cell>
          <cell r="E367" t="str">
            <v>A.5.1.1.28.</v>
          </cell>
          <cell r="F367">
            <v>0</v>
          </cell>
          <cell r="G367">
            <v>49446.82</v>
          </cell>
          <cell r="H367">
            <v>0</v>
          </cell>
          <cell r="I367">
            <v>13572</v>
          </cell>
          <cell r="J367">
            <v>0</v>
          </cell>
          <cell r="K367" t="str">
            <v>m'</v>
          </cell>
        </row>
        <row r="368">
          <cell r="B368">
            <v>356</v>
          </cell>
          <cell r="D368" t="str">
            <v>Memasang pipa PVC tipe AW diameter 2"</v>
          </cell>
          <cell r="E368" t="str">
            <v>A.5.1.1.29.</v>
          </cell>
          <cell r="F368">
            <v>0</v>
          </cell>
          <cell r="G368">
            <v>77952.490000000005</v>
          </cell>
          <cell r="H368">
            <v>0</v>
          </cell>
          <cell r="I368">
            <v>13572</v>
          </cell>
          <cell r="J368">
            <v>0</v>
          </cell>
          <cell r="K368" t="str">
            <v>m'</v>
          </cell>
        </row>
        <row r="369">
          <cell r="B369">
            <v>357</v>
          </cell>
          <cell r="D369" t="str">
            <v>Memasang pipa PVC tipe AW diameter 2,5"</v>
          </cell>
          <cell r="E369" t="str">
            <v>A.5.1.1.30.</v>
          </cell>
          <cell r="F369">
            <v>0</v>
          </cell>
          <cell r="G369">
            <v>92927.81</v>
          </cell>
          <cell r="H369">
            <v>0</v>
          </cell>
          <cell r="I369">
            <v>20314.5</v>
          </cell>
          <cell r="J369">
            <v>0</v>
          </cell>
          <cell r="K369" t="str">
            <v>m'</v>
          </cell>
        </row>
        <row r="370">
          <cell r="B370">
            <v>358</v>
          </cell>
          <cell r="D370" t="str">
            <v>Memasang pipa PVC tipe AW diameter 3"</v>
          </cell>
          <cell r="E370" t="str">
            <v>A.5.1.1.31.</v>
          </cell>
          <cell r="F370">
            <v>0</v>
          </cell>
          <cell r="G370">
            <v>102511.34</v>
          </cell>
          <cell r="H370">
            <v>0</v>
          </cell>
          <cell r="I370">
            <v>20193</v>
          </cell>
          <cell r="J370">
            <v>0</v>
          </cell>
          <cell r="K370" t="str">
            <v>m'</v>
          </cell>
        </row>
        <row r="371">
          <cell r="B371">
            <v>359</v>
          </cell>
          <cell r="D371" t="str">
            <v>Memasang pipa PVC tipe AW diameter 4"</v>
          </cell>
          <cell r="E371" t="str">
            <v>A.5.1.1.32.</v>
          </cell>
          <cell r="F371">
            <v>0</v>
          </cell>
          <cell r="G371">
            <v>167016.26</v>
          </cell>
          <cell r="H371">
            <v>0</v>
          </cell>
          <cell r="I371">
            <v>20314.5</v>
          </cell>
          <cell r="J371">
            <v>0</v>
          </cell>
          <cell r="K371" t="str">
            <v>m'</v>
          </cell>
        </row>
        <row r="372">
          <cell r="B372">
            <v>360</v>
          </cell>
          <cell r="D372" t="str">
            <v>Memasang bak cuci piring stainlessteel</v>
          </cell>
          <cell r="E372" t="str">
            <v>A.5.1.1.12.</v>
          </cell>
          <cell r="F372">
            <v>0</v>
          </cell>
          <cell r="G372">
            <v>1106496</v>
          </cell>
          <cell r="I372">
            <v>32850</v>
          </cell>
          <cell r="K372" t="str">
            <v>bh</v>
          </cell>
        </row>
        <row r="373">
          <cell r="B373">
            <v>361</v>
          </cell>
          <cell r="D373" t="str">
            <v>Memasang kran diameter 1/2" atau 3/4"</v>
          </cell>
          <cell r="E373" t="str">
            <v>A.5.1.1.19.</v>
          </cell>
          <cell r="F373">
            <v>0</v>
          </cell>
          <cell r="G373">
            <v>104041.93</v>
          </cell>
          <cell r="H373">
            <v>0</v>
          </cell>
          <cell r="I373">
            <v>39930</v>
          </cell>
          <cell r="J373">
            <v>0</v>
          </cell>
          <cell r="K373" t="str">
            <v>bh</v>
          </cell>
        </row>
        <row r="374">
          <cell r="B374">
            <v>362</v>
          </cell>
          <cell r="D374" t="str">
            <v>Pasang stop kran bahan kuningan ukuran 3/4 "</v>
          </cell>
          <cell r="E374" t="str">
            <v>An. Dihitung</v>
          </cell>
          <cell r="F374">
            <v>0</v>
          </cell>
          <cell r="G374">
            <v>132317.35</v>
          </cell>
          <cell r="H374">
            <v>0</v>
          </cell>
          <cell r="I374">
            <v>18195</v>
          </cell>
          <cell r="J374">
            <v>0</v>
          </cell>
          <cell r="K374" t="str">
            <v>bh</v>
          </cell>
        </row>
        <row r="375">
          <cell r="B375">
            <v>363</v>
          </cell>
          <cell r="D375" t="str">
            <v>Pasang avour stainless</v>
          </cell>
          <cell r="E375" t="str">
            <v>An. Dihitung</v>
          </cell>
          <cell r="F375">
            <v>0</v>
          </cell>
          <cell r="G375">
            <v>116398.48</v>
          </cell>
          <cell r="H375">
            <v>0</v>
          </cell>
          <cell r="I375">
            <v>21307.5</v>
          </cell>
          <cell r="J375">
            <v>0</v>
          </cell>
          <cell r="K375" t="str">
            <v>bh</v>
          </cell>
        </row>
        <row r="376">
          <cell r="B376">
            <v>364</v>
          </cell>
          <cell r="D376" t="str">
            <v>Pasang Jet shower</v>
          </cell>
          <cell r="E376" t="str">
            <v>An. Dihitung</v>
          </cell>
          <cell r="F376">
            <v>0</v>
          </cell>
          <cell r="G376">
            <v>175884.5</v>
          </cell>
          <cell r="H376">
            <v>0</v>
          </cell>
          <cell r="I376">
            <v>10950</v>
          </cell>
          <cell r="J376">
            <v>0</v>
          </cell>
          <cell r="K376" t="str">
            <v>bh</v>
          </cell>
        </row>
        <row r="377">
          <cell r="B377">
            <v>365</v>
          </cell>
          <cell r="D377" t="str">
            <v>Pasang shower komplit</v>
          </cell>
          <cell r="E377" t="str">
            <v>An. Dihitung</v>
          </cell>
          <cell r="F377">
            <v>0</v>
          </cell>
          <cell r="G377">
            <v>1052764.5</v>
          </cell>
          <cell r="H377">
            <v>0</v>
          </cell>
          <cell r="I377">
            <v>10950</v>
          </cell>
          <cell r="J377">
            <v>0</v>
          </cell>
          <cell r="K377" t="str">
            <v>bh</v>
          </cell>
        </row>
        <row r="378">
          <cell r="B378">
            <v>366</v>
          </cell>
          <cell r="D378" t="str">
            <v>Pasang tempat sabun tanam keramik</v>
          </cell>
          <cell r="E378" t="str">
            <v>Dihitung</v>
          </cell>
          <cell r="F378">
            <v>0</v>
          </cell>
          <cell r="G378">
            <v>50000</v>
          </cell>
          <cell r="H378">
            <v>0</v>
          </cell>
          <cell r="I378">
            <v>0</v>
          </cell>
          <cell r="J378">
            <v>0</v>
          </cell>
          <cell r="K378" t="str">
            <v>bh</v>
          </cell>
        </row>
        <row r="379">
          <cell r="B379">
            <v>367</v>
          </cell>
          <cell r="D379" t="str">
            <v>Memasang saluran U.20 cm</v>
          </cell>
          <cell r="E379" t="str">
            <v>A.5.1.1.35b.</v>
          </cell>
          <cell r="F379">
            <v>0</v>
          </cell>
          <cell r="G379">
            <v>190490.88</v>
          </cell>
          <cell r="H379">
            <v>0</v>
          </cell>
          <cell r="I379">
            <v>99000</v>
          </cell>
          <cell r="J379">
            <v>0</v>
          </cell>
          <cell r="K379" t="str">
            <v>m'</v>
          </cell>
        </row>
        <row r="380">
          <cell r="B380">
            <v>368</v>
          </cell>
          <cell r="D380" t="str">
            <v>Memasang pipa beton diameter 15-20 cm</v>
          </cell>
          <cell r="E380" t="str">
            <v>A.5.1.1.35.</v>
          </cell>
          <cell r="F380">
            <v>0</v>
          </cell>
          <cell r="G380">
            <v>98126.400000000009</v>
          </cell>
          <cell r="H380">
            <v>0</v>
          </cell>
          <cell r="I380">
            <v>19341</v>
          </cell>
          <cell r="J380">
            <v>0</v>
          </cell>
          <cell r="K380" t="str">
            <v>m'</v>
          </cell>
        </row>
        <row r="381">
          <cell r="B381">
            <v>369</v>
          </cell>
          <cell r="D381" t="str">
            <v xml:space="preserve">Grill besi beton </v>
          </cell>
          <cell r="E381" t="str">
            <v>Harga Satuan</v>
          </cell>
          <cell r="F381">
            <v>0</v>
          </cell>
          <cell r="G381">
            <v>385000</v>
          </cell>
          <cell r="H381">
            <v>0</v>
          </cell>
          <cell r="I381">
            <v>0</v>
          </cell>
          <cell r="J381">
            <v>0</v>
          </cell>
          <cell r="K381" t="str">
            <v>m2</v>
          </cell>
        </row>
        <row r="382">
          <cell r="B382">
            <v>370</v>
          </cell>
          <cell r="D382" t="str">
            <v>Pasang talang U PVC</v>
          </cell>
          <cell r="E382" t="str">
            <v>Harga Satuan</v>
          </cell>
          <cell r="F382">
            <v>0</v>
          </cell>
          <cell r="G382">
            <v>22000</v>
          </cell>
          <cell r="H382">
            <v>0</v>
          </cell>
          <cell r="I382">
            <v>0</v>
          </cell>
          <cell r="J382">
            <v>0</v>
          </cell>
          <cell r="K382" t="str">
            <v>m'</v>
          </cell>
        </row>
        <row r="383">
          <cell r="B383">
            <v>371</v>
          </cell>
          <cell r="D383" t="str">
            <v>Tandon air stainless 1 m3</v>
          </cell>
          <cell r="E383" t="str">
            <v>Harga Satuan</v>
          </cell>
          <cell r="F383">
            <v>0</v>
          </cell>
          <cell r="G383">
            <v>3500000</v>
          </cell>
          <cell r="H383">
            <v>0</v>
          </cell>
          <cell r="I383">
            <v>500000</v>
          </cell>
          <cell r="J383">
            <v>0</v>
          </cell>
          <cell r="K383" t="str">
            <v>bh</v>
          </cell>
        </row>
        <row r="384">
          <cell r="B384">
            <v>372</v>
          </cell>
          <cell r="D384" t="str">
            <v>Memasang kunci tanam stainlis</v>
          </cell>
          <cell r="E384" t="str">
            <v>A.4.6.2.2.</v>
          </cell>
          <cell r="F384">
            <v>0</v>
          </cell>
          <cell r="G384">
            <v>178822.5</v>
          </cell>
          <cell r="I384">
            <v>48250</v>
          </cell>
          <cell r="K384" t="str">
            <v>bh</v>
          </cell>
        </row>
        <row r="385">
          <cell r="B385">
            <v>373</v>
          </cell>
          <cell r="D385" t="str">
            <v>Memasang engsel pintu, biasa</v>
          </cell>
          <cell r="E385" t="str">
            <v>A.4.6.2.5.</v>
          </cell>
          <cell r="F385">
            <v>0</v>
          </cell>
          <cell r="G385">
            <v>31179.07</v>
          </cell>
          <cell r="H385">
            <v>0</v>
          </cell>
          <cell r="I385">
            <v>16592.099999999999</v>
          </cell>
          <cell r="J385">
            <v>0</v>
          </cell>
          <cell r="K385" t="str">
            <v>bh</v>
          </cell>
        </row>
        <row r="386">
          <cell r="B386">
            <v>374</v>
          </cell>
          <cell r="D386" t="str">
            <v>Memasang engsel pintu, sedang</v>
          </cell>
          <cell r="E386" t="str">
            <v>Kc.12.6.5.2002.a</v>
          </cell>
          <cell r="F386">
            <v>0</v>
          </cell>
          <cell r="G386">
            <v>37954.160000000003</v>
          </cell>
          <cell r="H386">
            <v>0</v>
          </cell>
          <cell r="I386">
            <v>16587.75</v>
          </cell>
          <cell r="J386">
            <v>0</v>
          </cell>
          <cell r="K386" t="str">
            <v>bh</v>
          </cell>
        </row>
        <row r="387">
          <cell r="B387">
            <v>375</v>
          </cell>
          <cell r="D387" t="str">
            <v>Memasang engsel pintu, super</v>
          </cell>
          <cell r="E387" t="str">
            <v>Kc.12.6.5.2002.b</v>
          </cell>
          <cell r="F387">
            <v>0</v>
          </cell>
          <cell r="G387">
            <v>44734.16</v>
          </cell>
          <cell r="H387">
            <v>0</v>
          </cell>
          <cell r="I387">
            <v>16587.75</v>
          </cell>
          <cell r="J387">
            <v>0</v>
          </cell>
          <cell r="K387" t="str">
            <v>bh</v>
          </cell>
        </row>
        <row r="388">
          <cell r="B388">
            <v>376</v>
          </cell>
          <cell r="D388" t="str">
            <v xml:space="preserve">Memasang engsel jendela kupu-kupu, biasa </v>
          </cell>
          <cell r="E388" t="str">
            <v>A.4.6.2.6.</v>
          </cell>
          <cell r="F388">
            <v>0</v>
          </cell>
          <cell r="G388">
            <v>24926.11</v>
          </cell>
          <cell r="H388">
            <v>0</v>
          </cell>
          <cell r="I388">
            <v>11058.5</v>
          </cell>
          <cell r="J388">
            <v>0</v>
          </cell>
          <cell r="K388" t="str">
            <v>bh</v>
          </cell>
        </row>
        <row r="389">
          <cell r="B389">
            <v>377</v>
          </cell>
          <cell r="D389" t="str">
            <v>Memasang hak angin, biasa</v>
          </cell>
          <cell r="E389" t="str">
            <v>A.4.6.2.7.</v>
          </cell>
          <cell r="F389">
            <v>0</v>
          </cell>
          <cell r="G389">
            <v>25332.91</v>
          </cell>
          <cell r="H389">
            <v>0</v>
          </cell>
          <cell r="I389">
            <v>17218.5</v>
          </cell>
          <cell r="J389">
            <v>0</v>
          </cell>
          <cell r="K389" t="str">
            <v>bh</v>
          </cell>
        </row>
        <row r="390">
          <cell r="B390">
            <v>378</v>
          </cell>
          <cell r="D390" t="str">
            <v>Memasang hak angin, sedang</v>
          </cell>
          <cell r="E390" t="str">
            <v>Kc.12.6.9.2002.a</v>
          </cell>
          <cell r="F390">
            <v>0</v>
          </cell>
          <cell r="G390">
            <v>30044.16</v>
          </cell>
          <cell r="H390">
            <v>0</v>
          </cell>
          <cell r="I390">
            <v>16587.75</v>
          </cell>
          <cell r="J390">
            <v>0</v>
          </cell>
          <cell r="K390" t="str">
            <v>bh</v>
          </cell>
        </row>
        <row r="391">
          <cell r="B391">
            <v>379</v>
          </cell>
          <cell r="D391" t="str">
            <v>Memasang hak angin, super</v>
          </cell>
          <cell r="E391" t="str">
            <v>Kc.12.6.9.2002.b</v>
          </cell>
          <cell r="F391">
            <v>0</v>
          </cell>
          <cell r="G391">
            <v>36598.160000000003</v>
          </cell>
          <cell r="H391">
            <v>0</v>
          </cell>
          <cell r="I391">
            <v>16587.75</v>
          </cell>
          <cell r="J391">
            <v>0</v>
          </cell>
          <cell r="K391" t="str">
            <v>bh</v>
          </cell>
        </row>
        <row r="392">
          <cell r="B392">
            <v>380</v>
          </cell>
          <cell r="D392" t="str">
            <v>Memasang kunci selot, biasa</v>
          </cell>
          <cell r="E392" t="str">
            <v>A.4.6.2.11.</v>
          </cell>
          <cell r="F392">
            <v>0</v>
          </cell>
          <cell r="G392">
            <v>175282.21</v>
          </cell>
          <cell r="H392">
            <v>0</v>
          </cell>
          <cell r="I392">
            <v>22117</v>
          </cell>
          <cell r="J392">
            <v>0</v>
          </cell>
          <cell r="K392" t="str">
            <v>bh</v>
          </cell>
        </row>
        <row r="393">
          <cell r="B393">
            <v>381</v>
          </cell>
          <cell r="D393" t="str">
            <v>Memasang handel jendela</v>
          </cell>
          <cell r="E393" t="str">
            <v>An. Dihitung</v>
          </cell>
          <cell r="F393">
            <v>0</v>
          </cell>
          <cell r="G393">
            <v>24487.1</v>
          </cell>
          <cell r="H393">
            <v>0</v>
          </cell>
          <cell r="I393">
            <v>10070</v>
          </cell>
          <cell r="J393">
            <v>0</v>
          </cell>
          <cell r="K393" t="str">
            <v>bh</v>
          </cell>
        </row>
        <row r="394">
          <cell r="B394">
            <v>382</v>
          </cell>
          <cell r="D394" t="str">
            <v>Memasang grendel, biasa</v>
          </cell>
          <cell r="E394" t="str">
            <v>An. Dihitung</v>
          </cell>
          <cell r="F394">
            <v>0</v>
          </cell>
          <cell r="G394">
            <v>19176.099999999999</v>
          </cell>
          <cell r="H394">
            <v>0</v>
          </cell>
          <cell r="I394">
            <v>10070</v>
          </cell>
          <cell r="J394">
            <v>0</v>
          </cell>
          <cell r="K394" t="str">
            <v>bh</v>
          </cell>
        </row>
        <row r="395">
          <cell r="B395">
            <v>383</v>
          </cell>
          <cell r="D395" t="str">
            <v>Memasang grendel, sedang</v>
          </cell>
          <cell r="E395" t="str">
            <v>An. Dihitung</v>
          </cell>
          <cell r="F395">
            <v>0</v>
          </cell>
          <cell r="G395">
            <v>22001.1</v>
          </cell>
          <cell r="H395">
            <v>0</v>
          </cell>
          <cell r="I395">
            <v>10070</v>
          </cell>
          <cell r="J395">
            <v>0</v>
          </cell>
          <cell r="K395" t="str">
            <v>bh</v>
          </cell>
        </row>
        <row r="396">
          <cell r="B396">
            <v>384</v>
          </cell>
          <cell r="D396" t="str">
            <v>Memasang grendel, super</v>
          </cell>
          <cell r="E396" t="str">
            <v>An. Dihitung</v>
          </cell>
          <cell r="F396">
            <v>0</v>
          </cell>
          <cell r="G396">
            <v>24487.1</v>
          </cell>
          <cell r="H396">
            <v>0</v>
          </cell>
          <cell r="I396">
            <v>10070</v>
          </cell>
          <cell r="J396">
            <v>0</v>
          </cell>
          <cell r="K396" t="str">
            <v>bh</v>
          </cell>
        </row>
        <row r="397">
          <cell r="B397">
            <v>385</v>
          </cell>
          <cell r="D397" t="str">
            <v>Memasang pegangan pintu / door holder</v>
          </cell>
          <cell r="E397" t="str">
            <v>A.4.6.2.12.</v>
          </cell>
          <cell r="F397">
            <v>0</v>
          </cell>
          <cell r="G397">
            <v>121042.20999999999</v>
          </cell>
          <cell r="I397">
            <v>22117</v>
          </cell>
          <cell r="K397" t="str">
            <v>bh</v>
          </cell>
        </row>
        <row r="398">
          <cell r="B398">
            <v>386</v>
          </cell>
          <cell r="D398" t="str">
            <v>Pasang kaca tebal 3 mm</v>
          </cell>
          <cell r="E398" t="str">
            <v>A.4.6.2.16.</v>
          </cell>
          <cell r="F398">
            <v>0</v>
          </cell>
          <cell r="G398">
            <v>138416.07</v>
          </cell>
          <cell r="I398">
            <v>16592.099999999999</v>
          </cell>
          <cell r="K398" t="str">
            <v>m2</v>
          </cell>
        </row>
        <row r="399">
          <cell r="B399">
            <v>387</v>
          </cell>
          <cell r="D399" t="str">
            <v>Pasang kaca tebal 5 mm</v>
          </cell>
          <cell r="E399" t="str">
            <v>A.4.6.2.17.</v>
          </cell>
          <cell r="F399">
            <v>0</v>
          </cell>
          <cell r="G399">
            <v>168248.07</v>
          </cell>
          <cell r="H399">
            <v>0</v>
          </cell>
          <cell r="I399">
            <v>16592.099999999999</v>
          </cell>
          <cell r="J399">
            <v>0</v>
          </cell>
          <cell r="K399" t="str">
            <v>m2</v>
          </cell>
        </row>
        <row r="400">
          <cell r="B400">
            <v>388</v>
          </cell>
          <cell r="D400" t="str">
            <v>Pasang kaca tebal 8 mm</v>
          </cell>
          <cell r="E400" t="str">
            <v>A.4.6.2.18.</v>
          </cell>
          <cell r="F400">
            <v>0</v>
          </cell>
          <cell r="G400">
            <v>368768.49</v>
          </cell>
          <cell r="I400">
            <v>18803.8</v>
          </cell>
          <cell r="K400" t="str">
            <v>m2</v>
          </cell>
        </row>
        <row r="401">
          <cell r="B401">
            <v>389</v>
          </cell>
          <cell r="D401" t="str">
            <v>Pasang kaca rayban tebal 5 mm</v>
          </cell>
          <cell r="E401" t="str">
            <v>A.4.6.2.17a.</v>
          </cell>
          <cell r="F401">
            <v>0</v>
          </cell>
          <cell r="G401">
            <v>152089.07</v>
          </cell>
          <cell r="H401">
            <v>0</v>
          </cell>
          <cell r="I401">
            <v>16592.099999999999</v>
          </cell>
          <cell r="J401">
            <v>0</v>
          </cell>
          <cell r="K401" t="str">
            <v>m2</v>
          </cell>
        </row>
        <row r="402">
          <cell r="B402">
            <v>390</v>
          </cell>
          <cell r="D402" t="str">
            <v>Pasang kaca es tebal 5 mm</v>
          </cell>
          <cell r="E402" t="str">
            <v>A.4.6.2.17b.</v>
          </cell>
          <cell r="F402">
            <v>0</v>
          </cell>
          <cell r="G402">
            <v>160790.07</v>
          </cell>
          <cell r="H402">
            <v>0</v>
          </cell>
          <cell r="I402">
            <v>16592.099999999999</v>
          </cell>
          <cell r="J402">
            <v>0</v>
          </cell>
          <cell r="K402" t="str">
            <v>m2</v>
          </cell>
        </row>
        <row r="403">
          <cell r="B403">
            <v>391</v>
          </cell>
          <cell r="D403" t="str">
            <v>Kaca tempered 12 mm</v>
          </cell>
          <cell r="E403" t="str">
            <v>Daftar harga</v>
          </cell>
          <cell r="F403">
            <v>0</v>
          </cell>
          <cell r="G403">
            <v>982000</v>
          </cell>
          <cell r="H403">
            <v>0</v>
          </cell>
          <cell r="I403">
            <v>0</v>
          </cell>
          <cell r="J403">
            <v>0</v>
          </cell>
          <cell r="K403" t="str">
            <v>m2</v>
          </cell>
        </row>
        <row r="404">
          <cell r="B404">
            <v>392</v>
          </cell>
          <cell r="D404" t="str">
            <v>Kaca tempered 12 mm + komplit</v>
          </cell>
          <cell r="E404" t="str">
            <v>Daftar harga</v>
          </cell>
          <cell r="F404">
            <v>0</v>
          </cell>
          <cell r="G404">
            <v>9353000</v>
          </cell>
          <cell r="H404">
            <v>0</v>
          </cell>
          <cell r="I404">
            <v>0</v>
          </cell>
          <cell r="J404">
            <v>0</v>
          </cell>
          <cell r="K404" t="str">
            <v>ls</v>
          </cell>
        </row>
        <row r="405">
          <cell r="B405">
            <v>393</v>
          </cell>
          <cell r="D405" t="str">
            <v>Pengecatan bidang kayu lama</v>
          </cell>
          <cell r="E405" t="str">
            <v>An.Rev.SNI 14.6.7.2002</v>
          </cell>
          <cell r="F405">
            <v>0</v>
          </cell>
          <cell r="G405">
            <v>43174.479999999996</v>
          </cell>
          <cell r="H405">
            <v>0</v>
          </cell>
          <cell r="I405">
            <v>13447.5</v>
          </cell>
          <cell r="J405">
            <v>0</v>
          </cell>
          <cell r="K405" t="str">
            <v>m2</v>
          </cell>
        </row>
        <row r="406">
          <cell r="B406">
            <v>394</v>
          </cell>
          <cell r="D406" t="str">
            <v>Pengecatan bidang kayu baru</v>
          </cell>
          <cell r="E406" t="str">
            <v>A..4.7.1.5.</v>
          </cell>
          <cell r="F406">
            <v>0</v>
          </cell>
          <cell r="G406">
            <v>67814.69</v>
          </cell>
          <cell r="H406">
            <v>0</v>
          </cell>
          <cell r="I406">
            <v>15765</v>
          </cell>
          <cell r="J406">
            <v>0</v>
          </cell>
          <cell r="K406" t="str">
            <v>m2</v>
          </cell>
        </row>
        <row r="407">
          <cell r="B407">
            <v>395</v>
          </cell>
          <cell r="D407" t="str">
            <v>Pelaburan bidang kayu dengan politur</v>
          </cell>
          <cell r="E407" t="str">
            <v>A.4.7.1.7.</v>
          </cell>
          <cell r="F407">
            <v>0</v>
          </cell>
          <cell r="G407">
            <v>78108.990000000005</v>
          </cell>
          <cell r="I407">
            <v>10977</v>
          </cell>
          <cell r="K407" t="str">
            <v>m2</v>
          </cell>
        </row>
        <row r="408">
          <cell r="B408">
            <v>396</v>
          </cell>
          <cell r="D408" t="str">
            <v>Pelaburan bidang kayu dengan cat residu dan ter</v>
          </cell>
          <cell r="E408" t="str">
            <v>A.4.7.1.8.</v>
          </cell>
          <cell r="F408">
            <v>0</v>
          </cell>
          <cell r="G408">
            <v>3414.86</v>
          </cell>
          <cell r="I408">
            <v>1377</v>
          </cell>
          <cell r="K408" t="str">
            <v>m2</v>
          </cell>
        </row>
        <row r="409">
          <cell r="B409">
            <v>397</v>
          </cell>
          <cell r="D409" t="str">
            <v>Pelaburan bidang kayu dengan vernis</v>
          </cell>
          <cell r="E409" t="str">
            <v>A.4.7.1.9.</v>
          </cell>
          <cell r="F409">
            <v>0</v>
          </cell>
          <cell r="G409">
            <v>64875.56</v>
          </cell>
          <cell r="H409">
            <v>0</v>
          </cell>
          <cell r="I409">
            <v>29397</v>
          </cell>
          <cell r="J409">
            <v>0</v>
          </cell>
          <cell r="K409" t="str">
            <v>m2</v>
          </cell>
        </row>
        <row r="410">
          <cell r="B410">
            <v>398</v>
          </cell>
          <cell r="C410">
            <v>0</v>
          </cell>
          <cell r="D410" t="str">
            <v>Pengecatan tembok baru</v>
          </cell>
          <cell r="E410" t="str">
            <v>A.4.7.1.10.</v>
          </cell>
          <cell r="F410">
            <v>0</v>
          </cell>
          <cell r="G410">
            <v>23161.379999999997</v>
          </cell>
          <cell r="H410">
            <v>0</v>
          </cell>
          <cell r="I410">
            <v>8056.8</v>
          </cell>
          <cell r="J410">
            <v>0</v>
          </cell>
          <cell r="K410" t="str">
            <v>m2</v>
          </cell>
        </row>
        <row r="411">
          <cell r="B411">
            <v>399</v>
          </cell>
          <cell r="D411" t="str">
            <v>Pengecatan dinding exterior</v>
          </cell>
          <cell r="E411" t="str">
            <v>A.4.7.1.10a.</v>
          </cell>
          <cell r="F411">
            <v>0</v>
          </cell>
          <cell r="G411">
            <v>49961.03</v>
          </cell>
          <cell r="H411">
            <v>0</v>
          </cell>
          <cell r="I411">
            <v>8013.3</v>
          </cell>
          <cell r="J411">
            <v>0</v>
          </cell>
          <cell r="K411" t="str">
            <v>m2</v>
          </cell>
        </row>
        <row r="412">
          <cell r="B412">
            <v>400</v>
          </cell>
          <cell r="D412" t="str">
            <v>Pengecatan  tembok lama</v>
          </cell>
          <cell r="E412" t="str">
            <v>A.4.7.1.11.</v>
          </cell>
          <cell r="F412">
            <v>0</v>
          </cell>
          <cell r="G412">
            <v>17415.79</v>
          </cell>
          <cell r="H412">
            <v>0</v>
          </cell>
          <cell r="I412">
            <v>6712.2</v>
          </cell>
          <cell r="J412">
            <v>0</v>
          </cell>
          <cell r="K412" t="str">
            <v>m2</v>
          </cell>
        </row>
        <row r="413">
          <cell r="B413">
            <v>401</v>
          </cell>
          <cell r="D413" t="str">
            <v>Pengecatan permukaan baja dengan meni besi</v>
          </cell>
          <cell r="E413" t="str">
            <v>A.4.7.1.16.</v>
          </cell>
          <cell r="F413">
            <v>0</v>
          </cell>
          <cell r="G413">
            <v>27465.22</v>
          </cell>
          <cell r="H413">
            <v>0</v>
          </cell>
          <cell r="I413">
            <v>21247.5</v>
          </cell>
          <cell r="J413">
            <v>0</v>
          </cell>
          <cell r="K413" t="str">
            <v>m2</v>
          </cell>
        </row>
        <row r="414">
          <cell r="B414">
            <v>402</v>
          </cell>
          <cell r="D414" t="str">
            <v>Coating batu alam</v>
          </cell>
          <cell r="E414" t="str">
            <v>Daftar harga</v>
          </cell>
          <cell r="F414">
            <v>0</v>
          </cell>
          <cell r="G414">
            <v>35000</v>
          </cell>
          <cell r="H414">
            <v>0</v>
          </cell>
          <cell r="I414">
            <v>0</v>
          </cell>
          <cell r="J414">
            <v>0</v>
          </cell>
          <cell r="K414" t="str">
            <v>m2</v>
          </cell>
        </row>
        <row r="415">
          <cell r="B415">
            <v>403</v>
          </cell>
          <cell r="D415" t="str">
            <v xml:space="preserve">Waterproofing atap dak </v>
          </cell>
          <cell r="E415" t="str">
            <v>Daftar harga</v>
          </cell>
          <cell r="F415">
            <v>0</v>
          </cell>
          <cell r="G415">
            <v>52000</v>
          </cell>
          <cell r="H415">
            <v>0</v>
          </cell>
          <cell r="I415">
            <v>0</v>
          </cell>
          <cell r="J415">
            <v>0</v>
          </cell>
          <cell r="K415" t="str">
            <v>m2</v>
          </cell>
        </row>
        <row r="416">
          <cell r="B416">
            <v>404</v>
          </cell>
          <cell r="D416" t="str">
            <v>Plat expose compound</v>
          </cell>
          <cell r="E416" t="str">
            <v>An. Dihitung</v>
          </cell>
          <cell r="F416">
            <v>0</v>
          </cell>
          <cell r="G416">
            <v>14478.69</v>
          </cell>
          <cell r="H416">
            <v>0</v>
          </cell>
          <cell r="I416">
            <v>0</v>
          </cell>
          <cell r="J416">
            <v>0</v>
          </cell>
          <cell r="K416" t="str">
            <v>m2</v>
          </cell>
        </row>
        <row r="417">
          <cell r="B417">
            <v>405</v>
          </cell>
          <cell r="D417" t="str">
            <v>(K3) Memasang 1 buah titik lampu</v>
          </cell>
          <cell r="E417" t="str">
            <v>A.8.4.6.1.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 t="str">
            <v>ttk</v>
          </cell>
        </row>
        <row r="418">
          <cell r="B418">
            <v>406</v>
          </cell>
          <cell r="D418" t="str">
            <v>Memasang lampu SL 20 watt</v>
          </cell>
          <cell r="E418" t="str">
            <v>An. Dihitung</v>
          </cell>
          <cell r="F418">
            <v>0</v>
          </cell>
          <cell r="G418">
            <v>60251.6</v>
          </cell>
          <cell r="H418">
            <v>0</v>
          </cell>
          <cell r="I418">
            <v>9420</v>
          </cell>
          <cell r="J418">
            <v>0</v>
          </cell>
          <cell r="K418" t="str">
            <v>bh</v>
          </cell>
        </row>
        <row r="419">
          <cell r="B419">
            <v>407</v>
          </cell>
          <cell r="D419" t="str">
            <v>Memasang lampu SL 18 watt</v>
          </cell>
          <cell r="E419" t="str">
            <v>An. Dihitung</v>
          </cell>
          <cell r="F419">
            <v>0</v>
          </cell>
          <cell r="G419">
            <v>56748.6</v>
          </cell>
          <cell r="H419">
            <v>0</v>
          </cell>
          <cell r="I419">
            <v>9420</v>
          </cell>
          <cell r="J419">
            <v>0</v>
          </cell>
          <cell r="K419" t="str">
            <v>bh</v>
          </cell>
        </row>
        <row r="420">
          <cell r="B420">
            <v>408</v>
          </cell>
          <cell r="D420" t="str">
            <v>Sparingan Instalasi Listrik (Pipa 5/8", kabel NYM 2x2,5, T dus, Over Dus, dll</v>
          </cell>
          <cell r="E420" t="str">
            <v>Harga Satuan</v>
          </cell>
          <cell r="F420">
            <v>0</v>
          </cell>
          <cell r="G420">
            <v>5000000</v>
          </cell>
          <cell r="H420">
            <v>0</v>
          </cell>
          <cell r="I420">
            <v>0</v>
          </cell>
          <cell r="J420">
            <v>0</v>
          </cell>
          <cell r="K420" t="str">
            <v>ls</v>
          </cell>
        </row>
        <row r="421">
          <cell r="B421">
            <v>409</v>
          </cell>
          <cell r="D421" t="str">
            <v>Memasang saklar ganda</v>
          </cell>
          <cell r="E421" t="str">
            <v>An. Dihitung</v>
          </cell>
          <cell r="F421">
            <v>0</v>
          </cell>
          <cell r="G421">
            <v>52059.1</v>
          </cell>
          <cell r="H421">
            <v>0</v>
          </cell>
          <cell r="I421">
            <v>9570</v>
          </cell>
          <cell r="J421">
            <v>0</v>
          </cell>
          <cell r="K421" t="str">
            <v>bh</v>
          </cell>
        </row>
        <row r="422">
          <cell r="B422">
            <v>410</v>
          </cell>
          <cell r="D422" t="str">
            <v>Memasang saklar tunggal</v>
          </cell>
          <cell r="E422" t="str">
            <v>An. Dihitung</v>
          </cell>
          <cell r="F422">
            <v>0</v>
          </cell>
          <cell r="G422">
            <v>45448.6</v>
          </cell>
          <cell r="H422">
            <v>0</v>
          </cell>
          <cell r="I422">
            <v>9570</v>
          </cell>
          <cell r="J422">
            <v>0</v>
          </cell>
          <cell r="K422" t="str">
            <v>bh</v>
          </cell>
        </row>
        <row r="423">
          <cell r="B423">
            <v>411</v>
          </cell>
          <cell r="D423" t="str">
            <v>Memasang stop kontak</v>
          </cell>
          <cell r="E423" t="str">
            <v>An. Dihitung</v>
          </cell>
          <cell r="F423">
            <v>0</v>
          </cell>
          <cell r="G423">
            <v>55166.6</v>
          </cell>
          <cell r="H423">
            <v>0</v>
          </cell>
          <cell r="I423">
            <v>9570</v>
          </cell>
          <cell r="J423">
            <v>0</v>
          </cell>
          <cell r="K423" t="str">
            <v>bh</v>
          </cell>
        </row>
        <row r="424">
          <cell r="B424">
            <v>412</v>
          </cell>
          <cell r="D424" t="str">
            <v>Memasang lampu downlight ukuran 4"</v>
          </cell>
          <cell r="E424" t="str">
            <v>An. Dihitung</v>
          </cell>
          <cell r="F424">
            <v>0</v>
          </cell>
          <cell r="G424">
            <v>50364.1</v>
          </cell>
          <cell r="H424">
            <v>0</v>
          </cell>
          <cell r="I424">
            <v>9570</v>
          </cell>
          <cell r="J424">
            <v>0</v>
          </cell>
          <cell r="K424" t="str">
            <v>bh</v>
          </cell>
        </row>
        <row r="425">
          <cell r="B425">
            <v>413</v>
          </cell>
          <cell r="D425" t="str">
            <v>Memasang lampu downlight SL 18 Watt</v>
          </cell>
          <cell r="E425" t="str">
            <v>Harga Satuan</v>
          </cell>
          <cell r="F425">
            <v>0</v>
          </cell>
          <cell r="G425">
            <v>86300</v>
          </cell>
          <cell r="H425">
            <v>0</v>
          </cell>
          <cell r="I425">
            <v>0</v>
          </cell>
          <cell r="J425">
            <v>0</v>
          </cell>
          <cell r="K425" t="str">
            <v>bh</v>
          </cell>
        </row>
        <row r="426">
          <cell r="B426">
            <v>414</v>
          </cell>
          <cell r="D426" t="str">
            <v>Memasang downlight ukuran 4" dg lampu SL 18 watt</v>
          </cell>
          <cell r="E426" t="str">
            <v>Harga Satuan</v>
          </cell>
          <cell r="F426">
            <v>0</v>
          </cell>
          <cell r="G426">
            <v>86300</v>
          </cell>
          <cell r="H426">
            <v>0</v>
          </cell>
          <cell r="I426">
            <v>0</v>
          </cell>
          <cell r="J426">
            <v>0</v>
          </cell>
          <cell r="K426" t="str">
            <v>bh</v>
          </cell>
        </row>
        <row r="427">
          <cell r="B427">
            <v>415</v>
          </cell>
          <cell r="D427" t="str">
            <v>Pasang kabel pembagi kabel 3x2,5 mm</v>
          </cell>
          <cell r="E427" t="str">
            <v>Harga Satuan</v>
          </cell>
          <cell r="F427">
            <v>0</v>
          </cell>
          <cell r="G427">
            <v>25000</v>
          </cell>
          <cell r="H427">
            <v>0</v>
          </cell>
          <cell r="I427">
            <v>0</v>
          </cell>
          <cell r="J427">
            <v>0</v>
          </cell>
          <cell r="K427" t="str">
            <v>m'</v>
          </cell>
        </row>
        <row r="428">
          <cell r="B428">
            <v>416</v>
          </cell>
          <cell r="D428" t="str">
            <v>(K3) Memasang 1 buah MCB</v>
          </cell>
          <cell r="E428" t="str">
            <v>A.8.4.6.2.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 t="str">
            <v>bh</v>
          </cell>
        </row>
        <row r="429">
          <cell r="B429">
            <v>417</v>
          </cell>
          <cell r="D429" t="str">
            <v xml:space="preserve">Pasang Box MCB </v>
          </cell>
          <cell r="E429" t="str">
            <v>An. Dihitung</v>
          </cell>
          <cell r="F429">
            <v>0</v>
          </cell>
          <cell r="G429">
            <v>62082.2</v>
          </cell>
          <cell r="H429">
            <v>0</v>
          </cell>
          <cell r="I429">
            <v>32940</v>
          </cell>
          <cell r="J429">
            <v>0</v>
          </cell>
          <cell r="K429" t="str">
            <v>bh</v>
          </cell>
        </row>
        <row r="430">
          <cell r="B430">
            <v>418</v>
          </cell>
          <cell r="D430" t="str">
            <v>Pasang listrik baru 23000 watt</v>
          </cell>
          <cell r="E430" t="str">
            <v>Harga Satuan</v>
          </cell>
          <cell r="F430">
            <v>0</v>
          </cell>
          <cell r="G430">
            <v>38500000</v>
          </cell>
          <cell r="H430">
            <v>0</v>
          </cell>
          <cell r="I430">
            <v>0</v>
          </cell>
          <cell r="J430">
            <v>0</v>
          </cell>
          <cell r="K430" t="str">
            <v>ls</v>
          </cell>
        </row>
        <row r="431">
          <cell r="B431">
            <v>419</v>
          </cell>
          <cell r="D431" t="str">
            <v>Pasang listrik baru 2200 watt</v>
          </cell>
          <cell r="E431" t="str">
            <v>Harga Satuan</v>
          </cell>
          <cell r="F431">
            <v>0</v>
          </cell>
          <cell r="G431">
            <v>3500000</v>
          </cell>
          <cell r="H431">
            <v>0</v>
          </cell>
          <cell r="I431">
            <v>0</v>
          </cell>
          <cell r="J431">
            <v>0</v>
          </cell>
          <cell r="K431" t="str">
            <v>ls</v>
          </cell>
        </row>
        <row r="432">
          <cell r="B432">
            <v>420</v>
          </cell>
          <cell r="D432" t="str">
            <v>Instalasi jaringan AC</v>
          </cell>
          <cell r="E432" t="str">
            <v>Harga Satuan</v>
          </cell>
          <cell r="F432">
            <v>0</v>
          </cell>
          <cell r="G432">
            <v>110000</v>
          </cell>
          <cell r="H432">
            <v>0</v>
          </cell>
          <cell r="I432">
            <v>0</v>
          </cell>
          <cell r="J432">
            <v>0</v>
          </cell>
          <cell r="K432" t="str">
            <v>m'</v>
          </cell>
        </row>
        <row r="433">
          <cell r="B433">
            <v>421</v>
          </cell>
          <cell r="D433" t="str">
            <v>Sparingan Instalasi Listrik (Pipa 5/8", kabel NYM 2x2,5, T dus, Over Dus, dll</v>
          </cell>
          <cell r="E433" t="str">
            <v>Harga Satuan</v>
          </cell>
          <cell r="F433">
            <v>0</v>
          </cell>
          <cell r="G433">
            <v>5750000</v>
          </cell>
          <cell r="H433">
            <v>0</v>
          </cell>
          <cell r="I433">
            <v>0</v>
          </cell>
          <cell r="J433">
            <v>0</v>
          </cell>
          <cell r="K433" t="str">
            <v>ls</v>
          </cell>
        </row>
        <row r="434">
          <cell r="B434">
            <v>422</v>
          </cell>
          <cell r="D434" t="str">
            <v>Memasang paving block natural tebal 6 cm</v>
          </cell>
          <cell r="E434" t="str">
            <v>A.4.4.3.64.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 t="str">
            <v>m2</v>
          </cell>
        </row>
        <row r="435">
          <cell r="B435">
            <v>423</v>
          </cell>
          <cell r="D435" t="str">
            <v>Memasang paving block berwarna tebal 6 cm</v>
          </cell>
          <cell r="E435" t="str">
            <v>A.4.4.3.66.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 t="str">
            <v>m2</v>
          </cell>
        </row>
        <row r="436">
          <cell r="B436">
            <v>424</v>
          </cell>
          <cell r="D436" t="str">
            <v>Memasang paving block natural tebal 8 cm</v>
          </cell>
          <cell r="E436" t="str">
            <v>A.4.4.3.65.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 t="str">
            <v>m2</v>
          </cell>
        </row>
        <row r="437">
          <cell r="B437">
            <v>425</v>
          </cell>
          <cell r="D437" t="str">
            <v>Memasang paving block berwarna tebal 8 cm</v>
          </cell>
          <cell r="E437" t="str">
            <v>A.4.4.3.67.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 t="str">
            <v>m2</v>
          </cell>
        </row>
        <row r="438">
          <cell r="B438">
            <v>426</v>
          </cell>
          <cell r="D438" t="str">
            <v>Memasang paving tb. 8 cm, K.250, polos</v>
          </cell>
          <cell r="E438" t="str">
            <v>An. Dihitung</v>
          </cell>
          <cell r="F438">
            <v>0</v>
          </cell>
          <cell r="G438">
            <v>204546.95</v>
          </cell>
          <cell r="H438">
            <v>0</v>
          </cell>
          <cell r="I438">
            <v>33015</v>
          </cell>
          <cell r="J438">
            <v>0</v>
          </cell>
          <cell r="K438" t="str">
            <v>m2</v>
          </cell>
        </row>
        <row r="439">
          <cell r="B439">
            <v>427</v>
          </cell>
          <cell r="D439" t="str">
            <v>Memasang paving tb. 8 cm, K.250, warna</v>
          </cell>
          <cell r="E439" t="str">
            <v>An. Dihitung</v>
          </cell>
          <cell r="F439">
            <v>0</v>
          </cell>
          <cell r="G439">
            <v>211100.95</v>
          </cell>
          <cell r="H439">
            <v>0</v>
          </cell>
          <cell r="I439">
            <v>33015</v>
          </cell>
          <cell r="J439">
            <v>0</v>
          </cell>
          <cell r="K439" t="str">
            <v>m2</v>
          </cell>
        </row>
        <row r="440">
          <cell r="B440">
            <v>428</v>
          </cell>
          <cell r="D440" t="str">
            <v>Memasang paving tb. 8 cm, K.175, polos</v>
          </cell>
          <cell r="E440" t="str">
            <v>An. Dihitung</v>
          </cell>
          <cell r="F440">
            <v>0</v>
          </cell>
          <cell r="G440">
            <v>171889.95</v>
          </cell>
          <cell r="H440">
            <v>0</v>
          </cell>
          <cell r="I440">
            <v>33015</v>
          </cell>
          <cell r="J440">
            <v>0</v>
          </cell>
          <cell r="K440" t="str">
            <v>m2</v>
          </cell>
        </row>
        <row r="441">
          <cell r="B441">
            <v>429</v>
          </cell>
          <cell r="D441" t="str">
            <v>Memasang paving tb. 8 cm, K.175, warna</v>
          </cell>
          <cell r="E441" t="str">
            <v>An. Dihitung</v>
          </cell>
          <cell r="F441">
            <v>0</v>
          </cell>
          <cell r="G441">
            <v>178443.95</v>
          </cell>
          <cell r="H441">
            <v>0</v>
          </cell>
          <cell r="I441">
            <v>33015</v>
          </cell>
          <cell r="J441">
            <v>0</v>
          </cell>
          <cell r="K441" t="str">
            <v>m2</v>
          </cell>
        </row>
        <row r="442">
          <cell r="B442">
            <v>430</v>
          </cell>
          <cell r="D442" t="str">
            <v>Memasang paving Holland (10,5x21x6cm), K.225</v>
          </cell>
          <cell r="E442" t="str">
            <v>An. Dihitung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 t="str">
            <v>m2</v>
          </cell>
        </row>
        <row r="443">
          <cell r="B443">
            <v>431</v>
          </cell>
          <cell r="D443" t="str">
            <v>Pemboran Pilot Hole Ø 4"</v>
          </cell>
          <cell r="E443" t="str">
            <v>An. Dihitung 3</v>
          </cell>
          <cell r="F443">
            <v>0</v>
          </cell>
          <cell r="G443">
            <v>230779.9</v>
          </cell>
          <cell r="H443">
            <v>0</v>
          </cell>
          <cell r="I443">
            <v>0</v>
          </cell>
          <cell r="J443">
            <v>0</v>
          </cell>
          <cell r="K443" t="str">
            <v>m'</v>
          </cell>
        </row>
        <row r="444">
          <cell r="B444">
            <v>432</v>
          </cell>
          <cell r="D444" t="str">
            <v>Pemboran reaming Ø 8"</v>
          </cell>
          <cell r="E444" t="str">
            <v>An. Dihitung 5</v>
          </cell>
          <cell r="F444">
            <v>0</v>
          </cell>
          <cell r="G444">
            <v>166584.6</v>
          </cell>
          <cell r="H444">
            <v>0</v>
          </cell>
          <cell r="I444" t="str">
            <v>( tanah padas )</v>
          </cell>
          <cell r="J444">
            <v>0</v>
          </cell>
          <cell r="K444" t="str">
            <v>m'</v>
          </cell>
        </row>
        <row r="445">
          <cell r="B445">
            <v>433</v>
          </cell>
          <cell r="D445" t="str">
            <v>Pemboran reaming Ø 8"</v>
          </cell>
          <cell r="E445" t="str">
            <v>An. Dihitung 5</v>
          </cell>
          <cell r="F445">
            <v>0</v>
          </cell>
          <cell r="G445">
            <v>235732.9245283019</v>
          </cell>
          <cell r="H445">
            <v>0</v>
          </cell>
          <cell r="I445" t="str">
            <v>( tanah sulit )</v>
          </cell>
          <cell r="J445">
            <v>0</v>
          </cell>
          <cell r="K445" t="str">
            <v>m'</v>
          </cell>
        </row>
        <row r="446">
          <cell r="B446">
            <v>434</v>
          </cell>
          <cell r="D446" t="str">
            <v>Pemasangan Pipa Casing dan Screen pipa PVC Ø 4"</v>
          </cell>
          <cell r="E446" t="str">
            <v>An. Dihitung 6</v>
          </cell>
          <cell r="F446">
            <v>0</v>
          </cell>
          <cell r="G446">
            <v>114552.2245</v>
          </cell>
          <cell r="H446">
            <v>0</v>
          </cell>
          <cell r="I446">
            <v>0</v>
          </cell>
          <cell r="J446">
            <v>0</v>
          </cell>
          <cell r="K446" t="str">
            <v>m'</v>
          </cell>
        </row>
        <row r="447">
          <cell r="B447">
            <v>435</v>
          </cell>
          <cell r="D447" t="str">
            <v>Pemasangan Pipa Casing dan Screen pipa PVC Ø 6"</v>
          </cell>
          <cell r="E447" t="str">
            <v>An. Dihitung 6</v>
          </cell>
          <cell r="F447">
            <v>0</v>
          </cell>
          <cell r="G447">
            <v>170961.82449999999</v>
          </cell>
          <cell r="H447">
            <v>0</v>
          </cell>
          <cell r="I447">
            <v>0</v>
          </cell>
          <cell r="J447">
            <v>0</v>
          </cell>
          <cell r="K447" t="str">
            <v>m'</v>
          </cell>
        </row>
        <row r="448">
          <cell r="B448">
            <v>436</v>
          </cell>
          <cell r="D448" t="str">
            <v>Gravel Pack</v>
          </cell>
          <cell r="E448" t="str">
            <v>An. Dihitung 7</v>
          </cell>
          <cell r="F448">
            <v>0</v>
          </cell>
          <cell r="G448">
            <v>23705.14</v>
          </cell>
          <cell r="H448">
            <v>0</v>
          </cell>
          <cell r="I448">
            <v>0</v>
          </cell>
          <cell r="J448">
            <v>0</v>
          </cell>
          <cell r="K448" t="str">
            <v>m'</v>
          </cell>
        </row>
        <row r="449">
          <cell r="B449">
            <v>437</v>
          </cell>
          <cell r="D449" t="str">
            <v>Electric Well Logging</v>
          </cell>
          <cell r="E449" t="str">
            <v>An. Dihitung 4</v>
          </cell>
          <cell r="F449">
            <v>0</v>
          </cell>
          <cell r="G449">
            <v>38256.15</v>
          </cell>
          <cell r="H449">
            <v>0</v>
          </cell>
          <cell r="I449">
            <v>0</v>
          </cell>
          <cell r="J449">
            <v>0</v>
          </cell>
          <cell r="K449" t="str">
            <v>m'</v>
          </cell>
        </row>
        <row r="450">
          <cell r="B450">
            <v>438</v>
          </cell>
          <cell r="D450" t="str">
            <v>Pumping Test</v>
          </cell>
          <cell r="E450" t="str">
            <v>An. Dihitung 8</v>
          </cell>
          <cell r="F450">
            <v>0</v>
          </cell>
          <cell r="G450">
            <v>123339.5</v>
          </cell>
          <cell r="H450">
            <v>0</v>
          </cell>
          <cell r="I450">
            <v>0</v>
          </cell>
          <cell r="J450">
            <v>0</v>
          </cell>
          <cell r="K450" t="str">
            <v>jam</v>
          </cell>
        </row>
        <row r="451">
          <cell r="B451">
            <v>439</v>
          </cell>
          <cell r="D451" t="str">
            <v>Penyempurnaan Sumur/Developing  ( Water jetting dan Air Jetting )</v>
          </cell>
          <cell r="E451" t="str">
            <v>An. Dihitung 9</v>
          </cell>
          <cell r="F451">
            <v>0</v>
          </cell>
          <cell r="G451">
            <v>1217970.5</v>
          </cell>
          <cell r="H451">
            <v>0</v>
          </cell>
          <cell r="I451">
            <v>0</v>
          </cell>
          <cell r="J451">
            <v>0</v>
          </cell>
          <cell r="K451" t="str">
            <v>jam</v>
          </cell>
        </row>
        <row r="452">
          <cell r="B452">
            <v>440</v>
          </cell>
          <cell r="D452" t="str">
            <v>Accessories Perpipaan di Reservoir</v>
          </cell>
          <cell r="E452" t="str">
            <v>An. Dihitung 10</v>
          </cell>
          <cell r="F452">
            <v>0</v>
          </cell>
          <cell r="G452">
            <v>5026757.09</v>
          </cell>
          <cell r="H452">
            <v>0</v>
          </cell>
          <cell r="I452">
            <v>0</v>
          </cell>
          <cell r="J452">
            <v>0</v>
          </cell>
          <cell r="K452" t="str">
            <v>ls</v>
          </cell>
        </row>
        <row r="453">
          <cell r="B453">
            <v>441</v>
          </cell>
          <cell r="D453" t="str">
            <v>Tutup Pengaman Panel dari Tralis Besi</v>
          </cell>
          <cell r="E453" t="str">
            <v>An. Dihitung 11</v>
          </cell>
          <cell r="F453">
            <v>0</v>
          </cell>
          <cell r="G453">
            <v>1626458.72</v>
          </cell>
          <cell r="H453">
            <v>0</v>
          </cell>
          <cell r="I453">
            <v>0</v>
          </cell>
          <cell r="J453">
            <v>0</v>
          </cell>
          <cell r="K453" t="str">
            <v>ls</v>
          </cell>
        </row>
        <row r="454">
          <cell r="B454">
            <v>442</v>
          </cell>
          <cell r="D454" t="str">
            <v>Tutup Manhole</v>
          </cell>
          <cell r="E454" t="str">
            <v>An. Dihitung 12</v>
          </cell>
          <cell r="F454">
            <v>0</v>
          </cell>
          <cell r="G454">
            <v>957611.72</v>
          </cell>
          <cell r="H454">
            <v>0</v>
          </cell>
          <cell r="I454">
            <v>0</v>
          </cell>
          <cell r="J454">
            <v>0</v>
          </cell>
          <cell r="K454" t="str">
            <v>unit</v>
          </cell>
        </row>
        <row r="455">
          <cell r="B455">
            <v>443</v>
          </cell>
          <cell r="D455" t="str">
            <v>Perlengkapan Whell Head Cover</v>
          </cell>
          <cell r="E455" t="str">
            <v>An. Dihitung 13</v>
          </cell>
          <cell r="F455">
            <v>0</v>
          </cell>
          <cell r="G455">
            <v>3304685</v>
          </cell>
          <cell r="H455">
            <v>0</v>
          </cell>
          <cell r="I455">
            <v>0</v>
          </cell>
          <cell r="J455">
            <v>0</v>
          </cell>
          <cell r="K455" t="str">
            <v>unit</v>
          </cell>
        </row>
        <row r="456">
          <cell r="B456">
            <v>444</v>
          </cell>
          <cell r="D456" t="str">
            <v>Penyambungan Daya PLN 3500 watt</v>
          </cell>
          <cell r="E456" t="str">
            <v>An. Dihitung 14</v>
          </cell>
          <cell r="F456">
            <v>0</v>
          </cell>
          <cell r="G456">
            <v>6740450</v>
          </cell>
          <cell r="H456">
            <v>0</v>
          </cell>
          <cell r="I456">
            <v>0</v>
          </cell>
          <cell r="J456">
            <v>0</v>
          </cell>
          <cell r="K456" t="str">
            <v>unit</v>
          </cell>
        </row>
        <row r="457">
          <cell r="B457">
            <v>445</v>
          </cell>
          <cell r="D457" t="str">
            <v>Pembuatan Kran Umum</v>
          </cell>
          <cell r="E457" t="str">
            <v>An. Dihitung 15</v>
          </cell>
          <cell r="F457">
            <v>0</v>
          </cell>
          <cell r="G457">
            <v>2089674.72</v>
          </cell>
          <cell r="H457">
            <v>0</v>
          </cell>
          <cell r="I457">
            <v>0</v>
          </cell>
          <cell r="J457">
            <v>0</v>
          </cell>
          <cell r="K457" t="str">
            <v>unit</v>
          </cell>
        </row>
        <row r="458">
          <cell r="B458">
            <v>446</v>
          </cell>
          <cell r="D458" t="str">
            <v>Memasang pipa PVC S. 12.5 Ø 2", distribusi</v>
          </cell>
          <cell r="E458" t="str">
            <v>An. Dihitung 19</v>
          </cell>
          <cell r="F458">
            <v>0</v>
          </cell>
          <cell r="G458">
            <v>63765.030000000006</v>
          </cell>
          <cell r="H458">
            <v>0</v>
          </cell>
          <cell r="I458">
            <v>0</v>
          </cell>
          <cell r="J458">
            <v>0</v>
          </cell>
          <cell r="K458" t="str">
            <v>m'</v>
          </cell>
        </row>
        <row r="459">
          <cell r="B459">
            <v>447</v>
          </cell>
          <cell r="D459" t="str">
            <v>Memasang pipa PVC S. 12.50 Ø 2"</v>
          </cell>
          <cell r="E459" t="str">
            <v>An. Dihitung 17</v>
          </cell>
          <cell r="F459">
            <v>0</v>
          </cell>
          <cell r="G459">
            <v>58450.270000000004</v>
          </cell>
          <cell r="H459">
            <v>0</v>
          </cell>
          <cell r="I459">
            <v>0</v>
          </cell>
          <cell r="J459">
            <v>0</v>
          </cell>
          <cell r="K459" t="str">
            <v>m'</v>
          </cell>
        </row>
        <row r="460">
          <cell r="B460">
            <v>448</v>
          </cell>
          <cell r="D460" t="str">
            <v>Pemasangan Pompa Submersible &amp; Pipa GI Med. 1,5"</v>
          </cell>
          <cell r="E460" t="str">
            <v>An. Dihitung 18</v>
          </cell>
          <cell r="F460">
            <v>0</v>
          </cell>
          <cell r="G460">
            <v>36287803</v>
          </cell>
          <cell r="H460">
            <v>0</v>
          </cell>
          <cell r="I460">
            <v>0</v>
          </cell>
          <cell r="J460">
            <v>0</v>
          </cell>
          <cell r="K460" t="str">
            <v>unit</v>
          </cell>
        </row>
        <row r="461">
          <cell r="B461">
            <v>449</v>
          </cell>
          <cell r="D461" t="str">
            <v xml:space="preserve">Memasang Jaringan SR </v>
          </cell>
          <cell r="E461" t="str">
            <v>An. Dihitung 16</v>
          </cell>
          <cell r="F461">
            <v>0</v>
          </cell>
          <cell r="G461">
            <v>1273329.01</v>
          </cell>
          <cell r="H461">
            <v>0</v>
          </cell>
          <cell r="I461">
            <v>0</v>
          </cell>
          <cell r="J461">
            <v>0</v>
          </cell>
          <cell r="K461" t="str">
            <v>unit</v>
          </cell>
        </row>
        <row r="462">
          <cell r="B462">
            <v>450</v>
          </cell>
          <cell r="D462" t="str">
            <v>Pemasangan tiang listrik komplit</v>
          </cell>
          <cell r="E462" t="str">
            <v>Harga Satuan</v>
          </cell>
          <cell r="F462">
            <v>0</v>
          </cell>
          <cell r="G462">
            <v>4500000</v>
          </cell>
          <cell r="H462">
            <v>0</v>
          </cell>
          <cell r="I462">
            <v>0</v>
          </cell>
          <cell r="J462">
            <v>0</v>
          </cell>
          <cell r="K462" t="str">
            <v>titik</v>
          </cell>
        </row>
        <row r="463">
          <cell r="B463">
            <v>451</v>
          </cell>
          <cell r="D463" t="str">
            <v>Pasang sekru seng</v>
          </cell>
          <cell r="E463" t="str">
            <v>Dihitung</v>
          </cell>
          <cell r="F463">
            <v>0</v>
          </cell>
          <cell r="G463">
            <v>20000</v>
          </cell>
          <cell r="H463">
            <v>0</v>
          </cell>
          <cell r="I463">
            <v>0</v>
          </cell>
          <cell r="J463">
            <v>0</v>
          </cell>
          <cell r="K463" t="str">
            <v>m'</v>
          </cell>
        </row>
        <row r="464">
          <cell r="B464">
            <v>452</v>
          </cell>
          <cell r="D464" t="str">
            <v>Pemasangan Reyling tangga "stainlees" tinggi 1 m'</v>
          </cell>
          <cell r="E464" t="str">
            <v>Harga Satuan</v>
          </cell>
          <cell r="F464">
            <v>0</v>
          </cell>
          <cell r="G464">
            <v>695000</v>
          </cell>
          <cell r="H464">
            <v>0</v>
          </cell>
          <cell r="I464">
            <v>0</v>
          </cell>
          <cell r="J464">
            <v>0</v>
          </cell>
          <cell r="K464" t="str">
            <v>m'</v>
          </cell>
        </row>
        <row r="465">
          <cell r="B465">
            <v>453</v>
          </cell>
          <cell r="D465" t="str">
            <v>Pemasangan pagar besi dan cat</v>
          </cell>
          <cell r="E465" t="str">
            <v>Harga Satuan</v>
          </cell>
          <cell r="F465">
            <v>0</v>
          </cell>
          <cell r="G465">
            <v>660000</v>
          </cell>
          <cell r="H465">
            <v>0</v>
          </cell>
          <cell r="I465">
            <v>0</v>
          </cell>
          <cell r="J465">
            <v>0</v>
          </cell>
          <cell r="K465" t="str">
            <v>m2</v>
          </cell>
        </row>
        <row r="466">
          <cell r="B466">
            <v>454</v>
          </cell>
          <cell r="D466" t="str">
            <v>Pemasangan pintu besi dan cat</v>
          </cell>
          <cell r="E466" t="str">
            <v>Harga Satuan</v>
          </cell>
          <cell r="F466">
            <v>0</v>
          </cell>
          <cell r="G466">
            <v>825000</v>
          </cell>
          <cell r="H466">
            <v>0</v>
          </cell>
          <cell r="I466">
            <v>0</v>
          </cell>
          <cell r="J466">
            <v>0</v>
          </cell>
          <cell r="K466" t="str">
            <v>m2</v>
          </cell>
        </row>
        <row r="467">
          <cell r="B467">
            <v>455</v>
          </cell>
          <cell r="D467" t="str">
            <v>Pemasangan pagar besi hollow</v>
          </cell>
          <cell r="E467" t="str">
            <v>Harga Satuan</v>
          </cell>
          <cell r="F467">
            <v>0</v>
          </cell>
          <cell r="G467">
            <v>440000</v>
          </cell>
          <cell r="H467">
            <v>0</v>
          </cell>
          <cell r="I467">
            <v>0</v>
          </cell>
          <cell r="J467">
            <v>0</v>
          </cell>
          <cell r="K467" t="str">
            <v>m2</v>
          </cell>
        </row>
        <row r="468">
          <cell r="B468">
            <v>456</v>
          </cell>
          <cell r="D468" t="str">
            <v>Pemasangan pintu pagar besi hollow</v>
          </cell>
          <cell r="E468" t="str">
            <v>Harga Satuan</v>
          </cell>
          <cell r="F468">
            <v>0</v>
          </cell>
          <cell r="G468">
            <v>440000</v>
          </cell>
          <cell r="H468">
            <v>0</v>
          </cell>
          <cell r="I468">
            <v>0</v>
          </cell>
          <cell r="J468">
            <v>0</v>
          </cell>
          <cell r="K468" t="str">
            <v>m2</v>
          </cell>
        </row>
        <row r="469">
          <cell r="B469">
            <v>457</v>
          </cell>
          <cell r="D469" t="str">
            <v>Pemasangan pagar besi stainless bulat</v>
          </cell>
          <cell r="E469" t="str">
            <v>Harga Satuan</v>
          </cell>
          <cell r="F469">
            <v>0</v>
          </cell>
          <cell r="G469">
            <v>695000</v>
          </cell>
          <cell r="H469">
            <v>0</v>
          </cell>
          <cell r="I469">
            <v>0</v>
          </cell>
          <cell r="J469">
            <v>0</v>
          </cell>
          <cell r="K469" t="str">
            <v>m2</v>
          </cell>
        </row>
        <row r="470">
          <cell r="B470">
            <v>458</v>
          </cell>
          <cell r="D470" t="str">
            <v>Pemasangan pagar besi stainless kotak</v>
          </cell>
          <cell r="E470" t="str">
            <v>Harga Satuan</v>
          </cell>
          <cell r="F470">
            <v>0</v>
          </cell>
          <cell r="G470">
            <v>715000</v>
          </cell>
          <cell r="H470">
            <v>0</v>
          </cell>
          <cell r="I470">
            <v>0</v>
          </cell>
          <cell r="J470">
            <v>0</v>
          </cell>
          <cell r="K470" t="str">
            <v>m2</v>
          </cell>
        </row>
        <row r="471">
          <cell r="B471">
            <v>459</v>
          </cell>
          <cell r="D471" t="str">
            <v>Pemasangan pagar besi stainless &amp; plat</v>
          </cell>
          <cell r="E471" t="str">
            <v>Harga Satuan</v>
          </cell>
          <cell r="F471">
            <v>0</v>
          </cell>
          <cell r="G471">
            <v>935000</v>
          </cell>
          <cell r="H471">
            <v>0</v>
          </cell>
          <cell r="I471">
            <v>0</v>
          </cell>
          <cell r="J471">
            <v>0</v>
          </cell>
          <cell r="K471" t="str">
            <v>m2</v>
          </cell>
        </row>
        <row r="472">
          <cell r="B472">
            <v>460</v>
          </cell>
          <cell r="D472" t="str">
            <v>Pemasangan pintu pagar besi stainless</v>
          </cell>
          <cell r="E472" t="str">
            <v>Harga Satuan</v>
          </cell>
          <cell r="F472">
            <v>0</v>
          </cell>
          <cell r="G472">
            <v>935000</v>
          </cell>
          <cell r="H472">
            <v>0</v>
          </cell>
          <cell r="I472">
            <v>0</v>
          </cell>
          <cell r="J472">
            <v>0</v>
          </cell>
          <cell r="K472" t="str">
            <v>m2</v>
          </cell>
        </row>
        <row r="473">
          <cell r="B473">
            <v>461</v>
          </cell>
          <cell r="D473" t="str">
            <v>Sewa brak direksi keet</v>
          </cell>
          <cell r="E473" t="str">
            <v>Dihitung</v>
          </cell>
          <cell r="F473">
            <v>0</v>
          </cell>
          <cell r="G473">
            <v>3000000</v>
          </cell>
          <cell r="H473">
            <v>0</v>
          </cell>
          <cell r="I473">
            <v>0</v>
          </cell>
          <cell r="J473">
            <v>0</v>
          </cell>
          <cell r="K473" t="str">
            <v>ls</v>
          </cell>
        </row>
        <row r="474">
          <cell r="B474">
            <v>462</v>
          </cell>
          <cell r="D474" t="str">
            <v>Papan Nama Proyek</v>
          </cell>
          <cell r="E474" t="str">
            <v>Daftar harga</v>
          </cell>
          <cell r="F474">
            <v>0</v>
          </cell>
          <cell r="G474">
            <v>350000</v>
          </cell>
          <cell r="H474">
            <v>0</v>
          </cell>
          <cell r="I474">
            <v>0</v>
          </cell>
          <cell r="J474">
            <v>0</v>
          </cell>
          <cell r="K474" t="str">
            <v>ls</v>
          </cell>
        </row>
        <row r="475">
          <cell r="B475">
            <v>463</v>
          </cell>
          <cell r="D475" t="str">
            <v>Marmer Prasasti</v>
          </cell>
          <cell r="E475" t="str">
            <v>Daftar harga</v>
          </cell>
          <cell r="F475">
            <v>0</v>
          </cell>
          <cell r="G475">
            <v>275000</v>
          </cell>
          <cell r="H475">
            <v>0</v>
          </cell>
          <cell r="I475">
            <v>0</v>
          </cell>
          <cell r="J475">
            <v>0</v>
          </cell>
          <cell r="K475" t="str">
            <v>ls</v>
          </cell>
        </row>
        <row r="476">
          <cell r="B476">
            <v>464</v>
          </cell>
          <cell r="D476" t="str">
            <v>Penebangan pohon</v>
          </cell>
          <cell r="E476" t="str">
            <v>Harga Satuan</v>
          </cell>
          <cell r="F476">
            <v>0</v>
          </cell>
          <cell r="G476">
            <v>220000</v>
          </cell>
          <cell r="H476">
            <v>0</v>
          </cell>
          <cell r="I476">
            <v>0</v>
          </cell>
          <cell r="J476">
            <v>0</v>
          </cell>
          <cell r="K476" t="str">
            <v>bh</v>
          </cell>
        </row>
        <row r="477">
          <cell r="B477">
            <v>465</v>
          </cell>
          <cell r="D477" t="str">
            <v>Memasang dinding keramik uk. (20x25) cm</v>
          </cell>
          <cell r="E477" t="str">
            <v>An.Dihitung</v>
          </cell>
          <cell r="F477">
            <v>0</v>
          </cell>
          <cell r="G477">
            <v>183686.25</v>
          </cell>
          <cell r="H477">
            <v>0</v>
          </cell>
          <cell r="I477">
            <v>77970</v>
          </cell>
          <cell r="J477">
            <v>0</v>
          </cell>
          <cell r="K477" t="str">
            <v>m2</v>
          </cell>
        </row>
        <row r="478">
          <cell r="B478">
            <v>466</v>
          </cell>
          <cell r="D478" t="str">
            <v>Memasang rangka atap (usuk /reng) genteng kayu bangkiray</v>
          </cell>
          <cell r="E478" t="str">
            <v>An.Dihitung</v>
          </cell>
          <cell r="F478">
            <v>0</v>
          </cell>
          <cell r="G478">
            <v>275230.37</v>
          </cell>
          <cell r="H478">
            <v>0</v>
          </cell>
          <cell r="I478">
            <v>19145</v>
          </cell>
          <cell r="J478">
            <v>0</v>
          </cell>
          <cell r="K478" t="str">
            <v>m2</v>
          </cell>
        </row>
        <row r="479">
          <cell r="B479">
            <v>467</v>
          </cell>
          <cell r="D479" t="str">
            <v>Memasang rangka atap (usuk/reng) genteng kayu kruing</v>
          </cell>
          <cell r="E479" t="str">
            <v>An.Dihitung</v>
          </cell>
          <cell r="F479">
            <v>0</v>
          </cell>
          <cell r="G479">
            <v>177871.04</v>
          </cell>
          <cell r="H479">
            <v>0</v>
          </cell>
          <cell r="I479">
            <v>19145</v>
          </cell>
          <cell r="J479">
            <v>0</v>
          </cell>
          <cell r="K479" t="str">
            <v>m2</v>
          </cell>
        </row>
        <row r="480">
          <cell r="B480">
            <v>468</v>
          </cell>
          <cell r="D480" t="str">
            <v xml:space="preserve">Memasang paving </v>
          </cell>
          <cell r="E480" t="str">
            <v>An.Dihitung</v>
          </cell>
          <cell r="F480">
            <v>0</v>
          </cell>
          <cell r="G480">
            <v>146799.49</v>
          </cell>
          <cell r="H480">
            <v>0</v>
          </cell>
          <cell r="I480">
            <v>34894.050000000003</v>
          </cell>
          <cell r="J480">
            <v>0</v>
          </cell>
          <cell r="K480" t="str">
            <v>m2</v>
          </cell>
        </row>
        <row r="481">
          <cell r="B481">
            <v>469</v>
          </cell>
          <cell r="D481" t="str">
            <v>Memasang 1 m2 rangka plafond galvanis ukuran (60x80) cm (tanpa ramset)</v>
          </cell>
          <cell r="E481" t="str">
            <v>Dihitung</v>
          </cell>
          <cell r="F481">
            <v>0</v>
          </cell>
          <cell r="G481">
            <v>96089.55</v>
          </cell>
          <cell r="H481">
            <v>0</v>
          </cell>
          <cell r="I481">
            <v>48330</v>
          </cell>
          <cell r="J481">
            <v>0</v>
          </cell>
          <cell r="K481" t="str">
            <v>m2</v>
          </cell>
        </row>
        <row r="482">
          <cell r="B482">
            <v>470</v>
          </cell>
          <cell r="D482" t="str">
            <v>Memasang lantai granit tile polished ( 60 x 60 ) cm</v>
          </cell>
          <cell r="E482" t="str">
            <v>An.Dihitung</v>
          </cell>
          <cell r="F482">
            <v>0</v>
          </cell>
          <cell r="G482">
            <v>334478.09999999998</v>
          </cell>
          <cell r="H482">
            <v>0</v>
          </cell>
          <cell r="I482">
            <v>69258</v>
          </cell>
          <cell r="J482">
            <v>0</v>
          </cell>
          <cell r="K482" t="str">
            <v>m2</v>
          </cell>
        </row>
        <row r="483">
          <cell r="B483">
            <v>471</v>
          </cell>
          <cell r="D483" t="str">
            <v>Instalasi titik lampu (kabel 2x1,5 mm)</v>
          </cell>
          <cell r="E483" t="str">
            <v>An. Dihitung</v>
          </cell>
          <cell r="F483">
            <v>0</v>
          </cell>
          <cell r="G483">
            <v>158414.70000000001</v>
          </cell>
          <cell r="H483">
            <v>0</v>
          </cell>
          <cell r="I483">
            <v>19890</v>
          </cell>
          <cell r="J483">
            <v>0</v>
          </cell>
          <cell r="K483" t="str">
            <v>ttk</v>
          </cell>
        </row>
        <row r="484">
          <cell r="B484">
            <v>472</v>
          </cell>
          <cell r="D484" t="str">
            <v>Instalasi titik stop kontak (kabel 3x2,5 mm)</v>
          </cell>
          <cell r="E484" t="str">
            <v>An. Dihitung</v>
          </cell>
          <cell r="F484">
            <v>0</v>
          </cell>
          <cell r="G484">
            <v>171974.7</v>
          </cell>
          <cell r="H484">
            <v>0</v>
          </cell>
          <cell r="I484">
            <v>19890</v>
          </cell>
          <cell r="J484">
            <v>0</v>
          </cell>
          <cell r="K484" t="str">
            <v>ttk</v>
          </cell>
        </row>
        <row r="485">
          <cell r="B485">
            <v>473</v>
          </cell>
          <cell r="D485" t="str">
            <v>Memasang lantai keramik ukuran ( 33 x 33 ) cm</v>
          </cell>
          <cell r="E485" t="str">
            <v>An.Dihitung</v>
          </cell>
          <cell r="F485">
            <v>0</v>
          </cell>
          <cell r="G485">
            <v>223153.53</v>
          </cell>
          <cell r="H485">
            <v>0</v>
          </cell>
          <cell r="I485">
            <v>69258</v>
          </cell>
          <cell r="J485">
            <v>0</v>
          </cell>
          <cell r="K485" t="str">
            <v>m2</v>
          </cell>
        </row>
        <row r="486">
          <cell r="B486">
            <v>474</v>
          </cell>
          <cell r="D486" t="str">
            <v>Memasang lantai keramik ukuran 30/30 cm dof</v>
          </cell>
          <cell r="E486" t="str">
            <v>An.Dihitung</v>
          </cell>
          <cell r="F486">
            <v>0</v>
          </cell>
          <cell r="G486">
            <v>178147.89</v>
          </cell>
          <cell r="H486">
            <v>0</v>
          </cell>
          <cell r="I486">
            <v>69258</v>
          </cell>
          <cell r="J486">
            <v>0</v>
          </cell>
          <cell r="K486" t="str">
            <v>m2</v>
          </cell>
        </row>
        <row r="487">
          <cell r="B487">
            <v>475</v>
          </cell>
          <cell r="D487" t="str">
            <v>Memasang lantai keramik uk. (30x30) cm</v>
          </cell>
          <cell r="E487" t="str">
            <v>An. Dihitung</v>
          </cell>
          <cell r="F487">
            <v>0</v>
          </cell>
          <cell r="G487">
            <v>167469.39000000001</v>
          </cell>
          <cell r="H487">
            <v>0</v>
          </cell>
          <cell r="I487">
            <v>69258</v>
          </cell>
          <cell r="J487">
            <v>0</v>
          </cell>
          <cell r="K487" t="str">
            <v>m2</v>
          </cell>
        </row>
        <row r="488">
          <cell r="B488">
            <v>476</v>
          </cell>
          <cell r="D488" t="str">
            <v>Memasang lantai keramik uk. (20x20) cm</v>
          </cell>
          <cell r="E488" t="str">
            <v>An. Dihitung</v>
          </cell>
          <cell r="F488">
            <v>0</v>
          </cell>
          <cell r="G488">
            <v>175130.79</v>
          </cell>
          <cell r="H488">
            <v>0</v>
          </cell>
          <cell r="I488">
            <v>69258</v>
          </cell>
          <cell r="J488">
            <v>0</v>
          </cell>
          <cell r="K488" t="str">
            <v>m2</v>
          </cell>
        </row>
        <row r="489">
          <cell r="B489">
            <v>477</v>
          </cell>
          <cell r="D489" t="str">
            <v>Memasang lantai keramik uk. (40x40) cm tekstur warna</v>
          </cell>
          <cell r="E489" t="str">
            <v>An. Dihitung</v>
          </cell>
          <cell r="F489">
            <v>0</v>
          </cell>
          <cell r="G489">
            <v>196826.34</v>
          </cell>
          <cell r="H489">
            <v>0</v>
          </cell>
          <cell r="I489">
            <v>69258</v>
          </cell>
          <cell r="J489">
            <v>0</v>
          </cell>
          <cell r="K489" t="str">
            <v>m2</v>
          </cell>
        </row>
        <row r="490">
          <cell r="B490">
            <v>478</v>
          </cell>
          <cell r="D490" t="str">
            <v>Memasang dinding keramik interluk  uk. (30x60) cm</v>
          </cell>
          <cell r="E490" t="str">
            <v>An. Dihitung</v>
          </cell>
          <cell r="F490">
            <v>0</v>
          </cell>
          <cell r="G490">
            <v>375899.25</v>
          </cell>
          <cell r="H490">
            <v>0</v>
          </cell>
          <cell r="I490">
            <v>77970</v>
          </cell>
          <cell r="J490">
            <v>0</v>
          </cell>
          <cell r="K490" t="str">
            <v>m2</v>
          </cell>
        </row>
        <row r="491">
          <cell r="B491">
            <v>479</v>
          </cell>
          <cell r="D491" t="str">
            <v>Pasang genteng glasur jatiwangi</v>
          </cell>
          <cell r="E491" t="str">
            <v>Dihitung</v>
          </cell>
          <cell r="F491">
            <v>0</v>
          </cell>
          <cell r="G491">
            <v>145983.57</v>
          </cell>
          <cell r="H491">
            <v>0</v>
          </cell>
          <cell r="I491">
            <v>21189</v>
          </cell>
          <cell r="J491">
            <v>0</v>
          </cell>
          <cell r="K491" t="str">
            <v>m2</v>
          </cell>
        </row>
        <row r="492">
          <cell r="B492">
            <v>480</v>
          </cell>
          <cell r="D492" t="str">
            <v>Pasang genteng bubung glasur jatiwangi</v>
          </cell>
          <cell r="E492" t="str">
            <v>Dihitung</v>
          </cell>
          <cell r="F492">
            <v>0</v>
          </cell>
          <cell r="G492">
            <v>161357.22</v>
          </cell>
          <cell r="H492">
            <v>0</v>
          </cell>
          <cell r="I492">
            <v>54694</v>
          </cell>
          <cell r="J492">
            <v>0</v>
          </cell>
          <cell r="K492" t="str">
            <v>m'</v>
          </cell>
        </row>
        <row r="493">
          <cell r="B493">
            <v>481</v>
          </cell>
          <cell r="D493" t="str">
            <v>Pasang genteng glasur morando kebumen</v>
          </cell>
          <cell r="E493" t="str">
            <v>Dihitung</v>
          </cell>
          <cell r="F493">
            <v>0</v>
          </cell>
          <cell r="G493">
            <v>198867.57</v>
          </cell>
          <cell r="H493">
            <v>0</v>
          </cell>
          <cell r="I493">
            <v>21189</v>
          </cell>
          <cell r="J493">
            <v>0</v>
          </cell>
          <cell r="K493" t="str">
            <v>m2</v>
          </cell>
        </row>
        <row r="494">
          <cell r="B494">
            <v>482</v>
          </cell>
          <cell r="D494" t="str">
            <v>Pasang genteng bubung glasur morando kebumen</v>
          </cell>
          <cell r="E494" t="str">
            <v>Dihitung</v>
          </cell>
          <cell r="F494">
            <v>0</v>
          </cell>
          <cell r="G494">
            <v>147232.22</v>
          </cell>
          <cell r="H494">
            <v>0</v>
          </cell>
          <cell r="I494">
            <v>54694</v>
          </cell>
          <cell r="J494">
            <v>0</v>
          </cell>
          <cell r="K494" t="str">
            <v>m'</v>
          </cell>
        </row>
        <row r="495">
          <cell r="B495">
            <v>483</v>
          </cell>
          <cell r="D495" t="str">
            <v xml:space="preserve">Pasang 1 buah  MCB </v>
          </cell>
          <cell r="E495" t="str">
            <v>Dihitung</v>
          </cell>
          <cell r="F495">
            <v>0</v>
          </cell>
          <cell r="G495">
            <v>398325</v>
          </cell>
          <cell r="H495">
            <v>0</v>
          </cell>
          <cell r="I495">
            <v>87000</v>
          </cell>
          <cell r="J495">
            <v>0</v>
          </cell>
          <cell r="K495" t="str">
            <v>bh</v>
          </cell>
        </row>
        <row r="496">
          <cell r="B496">
            <v>484</v>
          </cell>
          <cell r="D496" t="str">
            <v>Pasang jet pam</v>
          </cell>
          <cell r="E496" t="str">
            <v>Daftar harga</v>
          </cell>
          <cell r="F496">
            <v>0</v>
          </cell>
          <cell r="G496">
            <v>2500000</v>
          </cell>
          <cell r="H496">
            <v>0</v>
          </cell>
          <cell r="I496">
            <v>0</v>
          </cell>
          <cell r="J496">
            <v>0</v>
          </cell>
          <cell r="K496" t="str">
            <v>bh</v>
          </cell>
        </row>
        <row r="497">
          <cell r="B497">
            <v>485</v>
          </cell>
          <cell r="D497" t="str">
            <v>Pemasangan PDAM baru</v>
          </cell>
          <cell r="E497" t="str">
            <v>Daftar harga</v>
          </cell>
          <cell r="F497">
            <v>0</v>
          </cell>
          <cell r="G497">
            <v>1750000</v>
          </cell>
          <cell r="H497">
            <v>0</v>
          </cell>
          <cell r="I497">
            <v>0</v>
          </cell>
          <cell r="J497">
            <v>0</v>
          </cell>
          <cell r="K497" t="str">
            <v>unit</v>
          </cell>
        </row>
        <row r="498">
          <cell r="B498">
            <v>486</v>
          </cell>
          <cell r="D498" t="str">
            <v>Pasang instalasi penangkal petir 1 split lengkap</v>
          </cell>
          <cell r="E498" t="str">
            <v>Daftar harga</v>
          </cell>
          <cell r="F498">
            <v>0</v>
          </cell>
          <cell r="G498">
            <v>8600000</v>
          </cell>
          <cell r="H498">
            <v>0</v>
          </cell>
          <cell r="I498">
            <v>0</v>
          </cell>
          <cell r="J498">
            <v>0</v>
          </cell>
          <cell r="K498" t="str">
            <v>unit</v>
          </cell>
        </row>
        <row r="499">
          <cell r="B499">
            <v>487</v>
          </cell>
          <cell r="D499" t="str">
            <v>Pasang Drop ceilling plafond</v>
          </cell>
          <cell r="E499" t="str">
            <v>Daftar harga</v>
          </cell>
          <cell r="F499">
            <v>0</v>
          </cell>
          <cell r="G499">
            <v>50000</v>
          </cell>
          <cell r="H499">
            <v>0</v>
          </cell>
          <cell r="I499">
            <v>0</v>
          </cell>
          <cell r="J499">
            <v>0</v>
          </cell>
          <cell r="K499" t="str">
            <v>m'</v>
          </cell>
        </row>
        <row r="500">
          <cell r="B500">
            <v>488</v>
          </cell>
          <cell r="D500" t="str">
            <v xml:space="preserve">Pasang usuk  reng  baja ringan jarak mak gording 1,5 m </v>
          </cell>
          <cell r="E500" t="str">
            <v>Daftar harga</v>
          </cell>
          <cell r="F500">
            <v>0</v>
          </cell>
          <cell r="G500">
            <v>130000</v>
          </cell>
          <cell r="H500">
            <v>0</v>
          </cell>
          <cell r="I500">
            <v>0</v>
          </cell>
          <cell r="J500">
            <v>0</v>
          </cell>
          <cell r="K500" t="str">
            <v>m2</v>
          </cell>
        </row>
        <row r="501">
          <cell r="B501">
            <v>489</v>
          </cell>
          <cell r="D501" t="str">
            <v>Pas. rangka atap baja ringan  (bentang kurang  8 m limasan)</v>
          </cell>
          <cell r="E501" t="str">
            <v>Daftar harga</v>
          </cell>
          <cell r="F501">
            <v>0</v>
          </cell>
          <cell r="G501">
            <v>230000</v>
          </cell>
          <cell r="H501">
            <v>0</v>
          </cell>
          <cell r="I501">
            <v>0</v>
          </cell>
          <cell r="J501">
            <v>0</v>
          </cell>
          <cell r="K501" t="str">
            <v>m2</v>
          </cell>
        </row>
        <row r="502">
          <cell r="B502">
            <v>490</v>
          </cell>
          <cell r="D502" t="str">
            <v>Pas. rangka atap baja ringan (bentang  kurang 8 m pelana)</v>
          </cell>
          <cell r="E502" t="str">
            <v>Daftar harga</v>
          </cell>
          <cell r="F502">
            <v>0</v>
          </cell>
          <cell r="G502">
            <v>190000</v>
          </cell>
          <cell r="H502">
            <v>0</v>
          </cell>
          <cell r="I502">
            <v>0</v>
          </cell>
          <cell r="J502">
            <v>0</v>
          </cell>
          <cell r="K502" t="str">
            <v>m2</v>
          </cell>
        </row>
        <row r="503">
          <cell r="B503">
            <v>491</v>
          </cell>
          <cell r="D503" t="str">
            <v>Pas. rangka atap baja ringan, (9 - 11 m limasan)</v>
          </cell>
          <cell r="E503" t="str">
            <v>Daftar harga</v>
          </cell>
          <cell r="F503">
            <v>0</v>
          </cell>
          <cell r="G503">
            <v>235000</v>
          </cell>
          <cell r="H503">
            <v>0</v>
          </cell>
          <cell r="I503">
            <v>0</v>
          </cell>
          <cell r="J503">
            <v>0</v>
          </cell>
          <cell r="K503" t="str">
            <v>m2</v>
          </cell>
        </row>
        <row r="504">
          <cell r="B504">
            <v>492</v>
          </cell>
          <cell r="D504" t="str">
            <v>Pas. rangka atap baja ringan, (9 - 11 m pelana)</v>
          </cell>
          <cell r="E504" t="str">
            <v>Daftar harga</v>
          </cell>
          <cell r="F504">
            <v>0</v>
          </cell>
          <cell r="G504">
            <v>215000</v>
          </cell>
          <cell r="H504">
            <v>0</v>
          </cell>
          <cell r="I504">
            <v>0</v>
          </cell>
          <cell r="J504">
            <v>0</v>
          </cell>
          <cell r="K504" t="str">
            <v>m2</v>
          </cell>
        </row>
        <row r="505">
          <cell r="B505">
            <v>493</v>
          </cell>
          <cell r="D505" t="str">
            <v>Pas. rangka atap baja ringan pelapis anti karat 270 , (12-14 m limasan)</v>
          </cell>
          <cell r="E505" t="str">
            <v>Daftar harga</v>
          </cell>
          <cell r="F505">
            <v>0</v>
          </cell>
          <cell r="G505">
            <v>265000</v>
          </cell>
          <cell r="H505">
            <v>0</v>
          </cell>
          <cell r="I505">
            <v>0</v>
          </cell>
          <cell r="J505">
            <v>0</v>
          </cell>
          <cell r="K505" t="str">
            <v>m2</v>
          </cell>
        </row>
        <row r="506">
          <cell r="B506">
            <v>494</v>
          </cell>
          <cell r="D506" t="str">
            <v>Pas. rangka atap baja ringan pelapis anti karat 270 ( 12-14 m pelana)</v>
          </cell>
          <cell r="E506" t="str">
            <v>Daftar harga</v>
          </cell>
          <cell r="F506">
            <v>0</v>
          </cell>
          <cell r="G506">
            <v>245000</v>
          </cell>
          <cell r="H506">
            <v>0</v>
          </cell>
          <cell r="I506">
            <v>0</v>
          </cell>
          <cell r="J506">
            <v>0</v>
          </cell>
          <cell r="K506" t="str">
            <v>m2</v>
          </cell>
        </row>
        <row r="507">
          <cell r="B507">
            <v>495</v>
          </cell>
          <cell r="D507" t="str">
            <v>Pas. rangka atap baja ringan pelapis anti karat 270 ( 15-18 m limasan)</v>
          </cell>
          <cell r="E507" t="str">
            <v>Daftar harga</v>
          </cell>
          <cell r="F507">
            <v>0</v>
          </cell>
          <cell r="G507">
            <v>275000</v>
          </cell>
          <cell r="H507">
            <v>0</v>
          </cell>
          <cell r="I507">
            <v>0</v>
          </cell>
          <cell r="J507">
            <v>0</v>
          </cell>
          <cell r="K507" t="str">
            <v>m2</v>
          </cell>
        </row>
        <row r="508">
          <cell r="B508">
            <v>496</v>
          </cell>
          <cell r="D508" t="str">
            <v>Pas. rangka atap baja ringan pelapis anti karat 270 (15-18 m pelana)</v>
          </cell>
          <cell r="E508" t="str">
            <v>Daftar harga</v>
          </cell>
          <cell r="F508">
            <v>0</v>
          </cell>
          <cell r="G508">
            <v>250000</v>
          </cell>
          <cell r="H508">
            <v>0</v>
          </cell>
          <cell r="I508">
            <v>0</v>
          </cell>
          <cell r="J508">
            <v>0</v>
          </cell>
          <cell r="K508" t="str">
            <v>m2</v>
          </cell>
        </row>
        <row r="509">
          <cell r="B509">
            <v>497</v>
          </cell>
          <cell r="D509" t="str">
            <v>Membuat 1 m2 dinding bata ringan 20x60 tebal 10 cmdengan mortal siap pakai</v>
          </cell>
          <cell r="E509" t="str">
            <v>Dihitung</v>
          </cell>
          <cell r="F509">
            <v>0</v>
          </cell>
          <cell r="G509">
            <v>153788.48000000001</v>
          </cell>
          <cell r="H509">
            <v>0</v>
          </cell>
          <cell r="I509">
            <v>32646</v>
          </cell>
          <cell r="J509">
            <v>0</v>
          </cell>
          <cell r="K509" t="str">
            <v>m2</v>
          </cell>
        </row>
        <row r="510">
          <cell r="B510">
            <v>498</v>
          </cell>
          <cell r="D510" t="str">
            <v>Plesteran dinding bata ringan dengan mortal siap pakai</v>
          </cell>
          <cell r="E510" t="str">
            <v>Dihitung</v>
          </cell>
          <cell r="F510">
            <v>0</v>
          </cell>
          <cell r="G510">
            <v>64935.45</v>
          </cell>
          <cell r="H510">
            <v>0</v>
          </cell>
          <cell r="I510">
            <v>32460</v>
          </cell>
          <cell r="J510">
            <v>0</v>
          </cell>
          <cell r="K510" t="str">
            <v>m2</v>
          </cell>
        </row>
        <row r="511">
          <cell r="B511">
            <v>499</v>
          </cell>
          <cell r="D511" t="str">
            <v>Acian dinding bata ringan dengan mortal siap pakai</v>
          </cell>
          <cell r="E511" t="str">
            <v>Dihitung</v>
          </cell>
          <cell r="F511">
            <v>0</v>
          </cell>
          <cell r="G511">
            <v>35649.81</v>
          </cell>
          <cell r="H511">
            <v>0</v>
          </cell>
          <cell r="I511">
            <v>23548.5</v>
          </cell>
          <cell r="J511">
            <v>0</v>
          </cell>
          <cell r="K511" t="str">
            <v>m2</v>
          </cell>
        </row>
        <row r="512">
          <cell r="B512">
            <v>500</v>
          </cell>
          <cell r="D512" t="str">
            <v>Pekerjaan persiapan dan mobilisasi</v>
          </cell>
          <cell r="E512" t="str">
            <v>Dihitung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 t="str">
            <v>ls</v>
          </cell>
        </row>
        <row r="513">
          <cell r="B513">
            <v>501</v>
          </cell>
          <cell r="D513" t="str">
            <v>Pek. Dinding Partisi Gypsum 9 mm Double</v>
          </cell>
          <cell r="E513" t="str">
            <v>Dihitung</v>
          </cell>
          <cell r="F513">
            <v>0</v>
          </cell>
          <cell r="G513">
            <v>170000</v>
          </cell>
          <cell r="H513">
            <v>0</v>
          </cell>
          <cell r="I513">
            <v>0</v>
          </cell>
          <cell r="J513">
            <v>0</v>
          </cell>
          <cell r="K513" t="str">
            <v>m2</v>
          </cell>
        </row>
        <row r="514">
          <cell r="B514">
            <v>502</v>
          </cell>
          <cell r="D514" t="str">
            <v>Penyelenggaraan K3</v>
          </cell>
          <cell r="E514" t="str">
            <v>Dihitung</v>
          </cell>
          <cell r="F514">
            <v>0</v>
          </cell>
          <cell r="G514">
            <v>8772500</v>
          </cell>
          <cell r="H514">
            <v>0</v>
          </cell>
          <cell r="I514">
            <v>0</v>
          </cell>
          <cell r="J514">
            <v>0</v>
          </cell>
          <cell r="K514" t="str">
            <v>ls</v>
          </cell>
        </row>
        <row r="515">
          <cell r="B515">
            <v>503</v>
          </cell>
          <cell r="D515" t="str">
            <v>Uji laboratorium kualitas air</v>
          </cell>
          <cell r="E515" t="str">
            <v>Dihitung</v>
          </cell>
          <cell r="F515">
            <v>0</v>
          </cell>
          <cell r="G515">
            <v>550000</v>
          </cell>
          <cell r="H515">
            <v>0</v>
          </cell>
          <cell r="I515">
            <v>0</v>
          </cell>
          <cell r="J515">
            <v>0</v>
          </cell>
          <cell r="K515" t="str">
            <v>ls</v>
          </cell>
        </row>
        <row r="516">
          <cell r="B516">
            <v>504</v>
          </cell>
          <cell r="D516" t="str">
            <v>Pemboran reaming Ø 12"</v>
          </cell>
          <cell r="E516" t="str">
            <v xml:space="preserve">An. Dihitung </v>
          </cell>
          <cell r="F516">
            <v>0</v>
          </cell>
          <cell r="G516">
            <v>183866.06666666668</v>
          </cell>
          <cell r="H516">
            <v>0</v>
          </cell>
          <cell r="I516" t="str">
            <v>( tanah padas )</v>
          </cell>
          <cell r="J516">
            <v>0</v>
          </cell>
          <cell r="K516" t="str">
            <v>m'</v>
          </cell>
        </row>
        <row r="517">
          <cell r="B517">
            <v>505</v>
          </cell>
          <cell r="D517" t="str">
            <v>Pemboran reaming Ø 12"</v>
          </cell>
          <cell r="E517" t="str">
            <v xml:space="preserve">An. Dihitung </v>
          </cell>
          <cell r="F517">
            <v>0</v>
          </cell>
          <cell r="G517">
            <v>260187.83018867925</v>
          </cell>
          <cell r="H517">
            <v>0</v>
          </cell>
          <cell r="I517" t="str">
            <v>( tanah sulit )</v>
          </cell>
          <cell r="J517">
            <v>0</v>
          </cell>
          <cell r="K517" t="str">
            <v>m'</v>
          </cell>
        </row>
        <row r="518">
          <cell r="B518">
            <v>506</v>
          </cell>
          <cell r="D518" t="str">
            <v>Membuat tutup Whell Head Cover ( Besi ukuran 0,80x1,00 m2)</v>
          </cell>
          <cell r="E518" t="str">
            <v>An. Dihitung</v>
          </cell>
          <cell r="F518">
            <v>0</v>
          </cell>
          <cell r="G518">
            <v>482276.19999999995</v>
          </cell>
          <cell r="H518">
            <v>0</v>
          </cell>
          <cell r="I518">
            <v>0</v>
          </cell>
          <cell r="J518">
            <v>0</v>
          </cell>
          <cell r="K518" t="str">
            <v>unit</v>
          </cell>
        </row>
        <row r="519">
          <cell r="B519">
            <v>507</v>
          </cell>
          <cell r="D519" t="str">
            <v>Pemasangan Pompa Submersible &amp; Pipa PVC S.12.50 Ø 1 1/2"</v>
          </cell>
          <cell r="E519" t="str">
            <v xml:space="preserve">An. Dihitung </v>
          </cell>
          <cell r="F519">
            <v>0</v>
          </cell>
          <cell r="G519">
            <v>29369943</v>
          </cell>
          <cell r="H519">
            <v>0</v>
          </cell>
          <cell r="I519">
            <v>0</v>
          </cell>
          <cell r="J519">
            <v>0</v>
          </cell>
          <cell r="K519" t="str">
            <v>unit</v>
          </cell>
        </row>
        <row r="520">
          <cell r="B520">
            <v>508</v>
          </cell>
          <cell r="D520" t="str">
            <v>Penyempurnaan Sumur ( Developing )</v>
          </cell>
          <cell r="E520" t="str">
            <v xml:space="preserve">An. Dihitung </v>
          </cell>
          <cell r="F520">
            <v>0</v>
          </cell>
          <cell r="G520">
            <v>650461.9</v>
          </cell>
          <cell r="H520">
            <v>0</v>
          </cell>
          <cell r="I520">
            <v>0</v>
          </cell>
          <cell r="J520">
            <v>0</v>
          </cell>
          <cell r="K520" t="str">
            <v>jam</v>
          </cell>
        </row>
        <row r="521">
          <cell r="B521">
            <v>509</v>
          </cell>
          <cell r="D521" t="str">
            <v>galian strauss pile</v>
          </cell>
          <cell r="E521" t="str">
            <v>Daftar harga</v>
          </cell>
          <cell r="F521">
            <v>0</v>
          </cell>
          <cell r="G521">
            <v>100000</v>
          </cell>
          <cell r="H521">
            <v>0</v>
          </cell>
          <cell r="I521">
            <v>0</v>
          </cell>
          <cell r="J521">
            <v>0</v>
          </cell>
          <cell r="K521" t="str">
            <v>m'</v>
          </cell>
        </row>
        <row r="522">
          <cell r="B522">
            <v>510</v>
          </cell>
          <cell r="D522" t="str">
            <v>Pembuatan Kantor Direksi dan Peralatan</v>
          </cell>
          <cell r="E522" t="str">
            <v>Dihitung</v>
          </cell>
          <cell r="F522">
            <v>0</v>
          </cell>
          <cell r="G522">
            <v>1014045.05</v>
          </cell>
          <cell r="H522">
            <v>0</v>
          </cell>
          <cell r="I522">
            <v>0</v>
          </cell>
          <cell r="J522">
            <v>0</v>
          </cell>
          <cell r="K522" t="str">
            <v>m2</v>
          </cell>
        </row>
        <row r="523">
          <cell r="B523">
            <v>511</v>
          </cell>
          <cell r="D523" t="str">
            <v xml:space="preserve">Gudang Semen dan Barak Kerja </v>
          </cell>
          <cell r="E523" t="str">
            <v>Dihitung</v>
          </cell>
          <cell r="F523">
            <v>0</v>
          </cell>
          <cell r="G523">
            <v>732025.3</v>
          </cell>
          <cell r="H523">
            <v>0</v>
          </cell>
          <cell r="I523">
            <v>0</v>
          </cell>
          <cell r="J523">
            <v>0</v>
          </cell>
          <cell r="K523" t="str">
            <v>m2</v>
          </cell>
        </row>
        <row r="524">
          <cell r="B524">
            <v>512</v>
          </cell>
          <cell r="D524" t="str">
            <v>Pek. Dinding Partisi Gypsum 9 mm Double</v>
          </cell>
          <cell r="E524" t="str">
            <v>Daftar harga</v>
          </cell>
          <cell r="F524">
            <v>0</v>
          </cell>
          <cell r="G524">
            <v>170000</v>
          </cell>
          <cell r="H524">
            <v>0</v>
          </cell>
          <cell r="I524">
            <v>0</v>
          </cell>
          <cell r="J524">
            <v>0</v>
          </cell>
          <cell r="K524" t="str">
            <v>m2</v>
          </cell>
        </row>
        <row r="525">
          <cell r="B525">
            <v>513</v>
          </cell>
          <cell r="D525" t="str">
            <v>Pek. Ornamen GRC kolom D50 cm, t; 350 cm</v>
          </cell>
          <cell r="E525" t="str">
            <v>Daftar harga</v>
          </cell>
          <cell r="F525">
            <v>0</v>
          </cell>
          <cell r="G525">
            <v>3623400</v>
          </cell>
          <cell r="H525">
            <v>0</v>
          </cell>
          <cell r="I525">
            <v>0</v>
          </cell>
          <cell r="J525">
            <v>0</v>
          </cell>
          <cell r="K525" t="str">
            <v>bh</v>
          </cell>
        </row>
        <row r="526">
          <cell r="B526">
            <v>514</v>
          </cell>
          <cell r="D526" t="str">
            <v>Pek. Ornamen GRC Topi-topi</v>
          </cell>
          <cell r="E526" t="str">
            <v>Daftar harga</v>
          </cell>
          <cell r="F526">
            <v>0</v>
          </cell>
          <cell r="G526">
            <v>217250</v>
          </cell>
          <cell r="H526">
            <v>0</v>
          </cell>
          <cell r="I526">
            <v>0</v>
          </cell>
          <cell r="J526">
            <v>0</v>
          </cell>
          <cell r="K526" t="str">
            <v>m'</v>
          </cell>
        </row>
        <row r="527">
          <cell r="B527">
            <v>515</v>
          </cell>
          <cell r="D527" t="str">
            <v>Pek. Ornamen GRC Konsul</v>
          </cell>
          <cell r="E527" t="str">
            <v>Daftar harga</v>
          </cell>
          <cell r="F527">
            <v>0</v>
          </cell>
          <cell r="G527">
            <v>77000</v>
          </cell>
          <cell r="H527">
            <v>0</v>
          </cell>
          <cell r="I527">
            <v>0</v>
          </cell>
          <cell r="J527">
            <v>0</v>
          </cell>
          <cell r="K527" t="str">
            <v>bh</v>
          </cell>
        </row>
        <row r="528">
          <cell r="B528">
            <v>516</v>
          </cell>
          <cell r="D528" t="str">
            <v>Pek. Ornamen GRC 1/2 lingkaran</v>
          </cell>
          <cell r="E528" t="str">
            <v>Daftar harga</v>
          </cell>
          <cell r="F528">
            <v>0</v>
          </cell>
          <cell r="G528">
            <v>389400</v>
          </cell>
          <cell r="H528">
            <v>0</v>
          </cell>
          <cell r="I528">
            <v>0</v>
          </cell>
          <cell r="J528">
            <v>0</v>
          </cell>
          <cell r="K528" t="str">
            <v>bh</v>
          </cell>
        </row>
        <row r="529">
          <cell r="B529">
            <v>517</v>
          </cell>
          <cell r="D529" t="str">
            <v xml:space="preserve">Pek. GRC Lisplang </v>
          </cell>
          <cell r="E529" t="str">
            <v>Daftar harga</v>
          </cell>
          <cell r="F529">
            <v>0</v>
          </cell>
          <cell r="G529">
            <v>660000</v>
          </cell>
          <cell r="H529">
            <v>0</v>
          </cell>
          <cell r="I529">
            <v>0</v>
          </cell>
          <cell r="J529">
            <v>0</v>
          </cell>
          <cell r="K529" t="str">
            <v>m2</v>
          </cell>
        </row>
        <row r="530">
          <cell r="B530">
            <v>518</v>
          </cell>
          <cell r="D530" t="str">
            <v>Pek. Ornamen GRC Jendela dan pintu</v>
          </cell>
          <cell r="E530" t="str">
            <v>Daftar harga</v>
          </cell>
          <cell r="F530">
            <v>0</v>
          </cell>
          <cell r="G530">
            <v>395120</v>
          </cell>
          <cell r="H530">
            <v>0</v>
          </cell>
          <cell r="I530">
            <v>0</v>
          </cell>
          <cell r="J530">
            <v>0</v>
          </cell>
          <cell r="K530" t="str">
            <v>m'</v>
          </cell>
        </row>
        <row r="531">
          <cell r="B531">
            <v>519</v>
          </cell>
          <cell r="D531" t="str">
            <v>Ornamen pilar GRC diameter 120 cm</v>
          </cell>
          <cell r="E531" t="str">
            <v>Daftar harga</v>
          </cell>
          <cell r="F531">
            <v>0</v>
          </cell>
          <cell r="G531">
            <v>1045000</v>
          </cell>
          <cell r="H531">
            <v>0</v>
          </cell>
          <cell r="I531">
            <v>0</v>
          </cell>
          <cell r="J531">
            <v>0</v>
          </cell>
          <cell r="K531" t="str">
            <v>m'</v>
          </cell>
        </row>
        <row r="532">
          <cell r="B532">
            <v>520</v>
          </cell>
          <cell r="D532" t="str">
            <v>Ornamen mahkota pilar GRC diameter 120 cm</v>
          </cell>
          <cell r="E532" t="str">
            <v>Daftar harga</v>
          </cell>
          <cell r="F532">
            <v>0</v>
          </cell>
          <cell r="G532">
            <v>1760000</v>
          </cell>
          <cell r="H532">
            <v>0</v>
          </cell>
          <cell r="I532">
            <v>0</v>
          </cell>
          <cell r="J532">
            <v>0</v>
          </cell>
          <cell r="K532" t="str">
            <v>bh</v>
          </cell>
        </row>
        <row r="533">
          <cell r="B533">
            <v>521</v>
          </cell>
          <cell r="D533" t="str">
            <v>Ornamen kaki pilar GRC kotak</v>
          </cell>
          <cell r="E533" t="str">
            <v>Daftar harga</v>
          </cell>
          <cell r="F533">
            <v>0</v>
          </cell>
          <cell r="G533">
            <v>1045000</v>
          </cell>
          <cell r="H533">
            <v>0</v>
          </cell>
          <cell r="I533">
            <v>0</v>
          </cell>
          <cell r="J533">
            <v>0</v>
          </cell>
          <cell r="K533" t="str">
            <v>bh</v>
          </cell>
        </row>
        <row r="534">
          <cell r="B534">
            <v>522</v>
          </cell>
          <cell r="D534" t="str">
            <v>Ornamen cincin pilar GRC diameter 120 cm</v>
          </cell>
          <cell r="E534" t="str">
            <v>Daftar harga</v>
          </cell>
          <cell r="F534">
            <v>0</v>
          </cell>
          <cell r="G534">
            <v>715000</v>
          </cell>
          <cell r="H534">
            <v>0</v>
          </cell>
          <cell r="I534">
            <v>0</v>
          </cell>
          <cell r="J534">
            <v>0</v>
          </cell>
          <cell r="K534" t="str">
            <v>bh</v>
          </cell>
        </row>
        <row r="535">
          <cell r="B535">
            <v>523</v>
          </cell>
          <cell r="D535" t="str">
            <v>Lisplang GRC polos lebar 120 cm</v>
          </cell>
          <cell r="E535" t="str">
            <v>Daftar harga</v>
          </cell>
          <cell r="F535">
            <v>0</v>
          </cell>
          <cell r="G535">
            <v>770000</v>
          </cell>
          <cell r="H535">
            <v>0</v>
          </cell>
          <cell r="I535">
            <v>0</v>
          </cell>
          <cell r="J535">
            <v>0</v>
          </cell>
          <cell r="K535" t="str">
            <v>m'</v>
          </cell>
        </row>
        <row r="536">
          <cell r="B536">
            <v>524</v>
          </cell>
          <cell r="D536" t="str">
            <v>Ornamen pagar klasik</v>
          </cell>
          <cell r="E536" t="str">
            <v>Daftar harga</v>
          </cell>
          <cell r="F536">
            <v>0</v>
          </cell>
          <cell r="G536">
            <v>962500</v>
          </cell>
          <cell r="H536">
            <v>0</v>
          </cell>
          <cell r="I536">
            <v>0</v>
          </cell>
          <cell r="J536">
            <v>0</v>
          </cell>
          <cell r="K536" t="str">
            <v>m'</v>
          </cell>
        </row>
        <row r="537">
          <cell r="B537">
            <v>525</v>
          </cell>
          <cell r="D537" t="str">
            <v>Pemasangan pintu type P1 (290 x 180 cm - UPVC )</v>
          </cell>
          <cell r="E537" t="str">
            <v>Daftar harga</v>
          </cell>
          <cell r="F537">
            <v>0</v>
          </cell>
          <cell r="G537">
            <v>8365500</v>
          </cell>
          <cell r="H537">
            <v>0</v>
          </cell>
          <cell r="I537">
            <v>0</v>
          </cell>
          <cell r="J537">
            <v>0</v>
          </cell>
          <cell r="K537" t="str">
            <v>unit</v>
          </cell>
        </row>
        <row r="538">
          <cell r="B538">
            <v>526</v>
          </cell>
          <cell r="D538" t="str">
            <v>Pemasangan pintu type P2 (290 x 100 cm - UPVC )</v>
          </cell>
          <cell r="E538" t="str">
            <v>Daftar harga</v>
          </cell>
          <cell r="F538">
            <v>0</v>
          </cell>
          <cell r="G538">
            <v>5133700</v>
          </cell>
          <cell r="H538">
            <v>0</v>
          </cell>
          <cell r="I538">
            <v>0</v>
          </cell>
          <cell r="J538">
            <v>0</v>
          </cell>
          <cell r="K538" t="str">
            <v>unit</v>
          </cell>
        </row>
        <row r="539">
          <cell r="B539">
            <v>527</v>
          </cell>
          <cell r="D539" t="str">
            <v>Pemasangan pintu type P3 (225 x 90 cm - UPVC )</v>
          </cell>
          <cell r="E539" t="str">
            <v>Daftar harga</v>
          </cell>
          <cell r="F539">
            <v>0</v>
          </cell>
          <cell r="G539">
            <v>3886850</v>
          </cell>
          <cell r="H539">
            <v>0</v>
          </cell>
          <cell r="I539">
            <v>0</v>
          </cell>
          <cell r="J539">
            <v>0</v>
          </cell>
          <cell r="K539" t="str">
            <v>unit</v>
          </cell>
        </row>
        <row r="540">
          <cell r="B540">
            <v>528</v>
          </cell>
          <cell r="D540" t="str">
            <v>Pemasangan pintu type P4 (225 x80 cm - UPVC )</v>
          </cell>
          <cell r="E540" t="str">
            <v>Daftar harga</v>
          </cell>
          <cell r="F540">
            <v>0</v>
          </cell>
          <cell r="G540">
            <v>3743666.3</v>
          </cell>
          <cell r="H540">
            <v>0</v>
          </cell>
          <cell r="I540">
            <v>0</v>
          </cell>
          <cell r="J540">
            <v>0</v>
          </cell>
          <cell r="K540" t="str">
            <v>unit</v>
          </cell>
        </row>
        <row r="541">
          <cell r="B541">
            <v>529</v>
          </cell>
          <cell r="D541" t="str">
            <v>Pemasangan jendela type J1 (235 x 105 cm - UPVC )</v>
          </cell>
          <cell r="E541" t="str">
            <v>Daftar harga</v>
          </cell>
          <cell r="F541">
            <v>0</v>
          </cell>
          <cell r="G541">
            <v>6908825</v>
          </cell>
          <cell r="H541">
            <v>0</v>
          </cell>
          <cell r="I541">
            <v>0</v>
          </cell>
          <cell r="J541">
            <v>0</v>
          </cell>
          <cell r="K541" t="str">
            <v>unit</v>
          </cell>
        </row>
        <row r="542">
          <cell r="B542">
            <v>530</v>
          </cell>
          <cell r="D542" t="str">
            <v>Pemasangan jendela type J2 (235 x 65 cm - UPVC )</v>
          </cell>
          <cell r="E542" t="str">
            <v>Daftar harga</v>
          </cell>
          <cell r="F542">
            <v>0</v>
          </cell>
          <cell r="G542">
            <v>4243250</v>
          </cell>
          <cell r="H542">
            <v>0</v>
          </cell>
          <cell r="I542">
            <v>0</v>
          </cell>
          <cell r="J542">
            <v>0</v>
          </cell>
          <cell r="K542" t="str">
            <v>unit</v>
          </cell>
        </row>
        <row r="543">
          <cell r="B543">
            <v>531</v>
          </cell>
          <cell r="D543" t="str">
            <v>Pemasangan jendela type J3 (140 x 100 cm - UPVC )</v>
          </cell>
          <cell r="E543" t="str">
            <v>Daftar harga</v>
          </cell>
          <cell r="F543">
            <v>0</v>
          </cell>
          <cell r="G543">
            <v>2727450</v>
          </cell>
          <cell r="H543">
            <v>0</v>
          </cell>
          <cell r="I543">
            <v>0</v>
          </cell>
          <cell r="J543">
            <v>0</v>
          </cell>
          <cell r="K543" t="str">
            <v>unit</v>
          </cell>
        </row>
        <row r="544">
          <cell r="B544">
            <v>532</v>
          </cell>
          <cell r="D544" t="str">
            <v>Pemasangan Boven type BV1 (60 x 65 cm - UPVC )</v>
          </cell>
          <cell r="E544" t="str">
            <v>Daftar harga</v>
          </cell>
          <cell r="F544">
            <v>0</v>
          </cell>
          <cell r="G544">
            <v>1586310</v>
          </cell>
          <cell r="H544">
            <v>0</v>
          </cell>
          <cell r="I544">
            <v>0</v>
          </cell>
          <cell r="J544">
            <v>0</v>
          </cell>
          <cell r="K544" t="str">
            <v>unit</v>
          </cell>
        </row>
        <row r="545">
          <cell r="B545">
            <v>533</v>
          </cell>
          <cell r="D545" t="str">
            <v>Pemasangan Partisi  type PK1 (290 x 170 cm - UPVC )</v>
          </cell>
          <cell r="E545" t="str">
            <v>Daftar harga</v>
          </cell>
          <cell r="F545">
            <v>0</v>
          </cell>
          <cell r="G545">
            <v>5428133.7000000002</v>
          </cell>
          <cell r="H545">
            <v>0</v>
          </cell>
          <cell r="I545">
            <v>0</v>
          </cell>
          <cell r="J545">
            <v>0</v>
          </cell>
          <cell r="K545" t="str">
            <v>unit</v>
          </cell>
        </row>
        <row r="546">
          <cell r="B546">
            <v>534</v>
          </cell>
          <cell r="D546" t="str">
            <v>Pemasangan Partisi  type PK2 (290 x 80 cm - UPVC )</v>
          </cell>
          <cell r="E546" t="str">
            <v>Daftar harga</v>
          </cell>
          <cell r="F546">
            <v>0</v>
          </cell>
          <cell r="G546">
            <v>3283866.3</v>
          </cell>
          <cell r="H546">
            <v>0</v>
          </cell>
          <cell r="I546">
            <v>0</v>
          </cell>
          <cell r="J546">
            <v>0</v>
          </cell>
          <cell r="K546" t="str">
            <v>unit</v>
          </cell>
        </row>
        <row r="547">
          <cell r="B547">
            <v>535</v>
          </cell>
          <cell r="D547" t="str">
            <v>Pemasangan Partisi  type PK3 (370 x 290 cm - UPVC )</v>
          </cell>
          <cell r="E547" t="str">
            <v>Daftar harga</v>
          </cell>
          <cell r="F547">
            <v>0</v>
          </cell>
          <cell r="G547">
            <v>11266566.300000001</v>
          </cell>
          <cell r="H547">
            <v>0</v>
          </cell>
          <cell r="I547">
            <v>0</v>
          </cell>
          <cell r="J547">
            <v>0</v>
          </cell>
          <cell r="K547" t="str">
            <v>unit</v>
          </cell>
        </row>
        <row r="548">
          <cell r="B548">
            <v>536</v>
          </cell>
          <cell r="D548" t="str">
            <v>Memasang plint pvc ukuran ( 2 x 10 ) cm</v>
          </cell>
          <cell r="E548" t="str">
            <v>Dihitung</v>
          </cell>
          <cell r="F548">
            <v>0</v>
          </cell>
          <cell r="G548">
            <v>74395.25</v>
          </cell>
          <cell r="H548">
            <v>0</v>
          </cell>
          <cell r="I548">
            <v>0</v>
          </cell>
          <cell r="J548">
            <v>0</v>
          </cell>
          <cell r="K548" t="str">
            <v>m'</v>
          </cell>
        </row>
        <row r="549">
          <cell r="B549">
            <v>537</v>
          </cell>
          <cell r="D549" t="str">
            <v>Memasang lantai granit tile motif pola</v>
          </cell>
          <cell r="E549" t="str">
            <v>Daftar harga</v>
          </cell>
          <cell r="F549">
            <v>0</v>
          </cell>
          <cell r="G549">
            <v>1045000</v>
          </cell>
          <cell r="H549">
            <v>0</v>
          </cell>
          <cell r="I549">
            <v>0</v>
          </cell>
          <cell r="J549">
            <v>0</v>
          </cell>
          <cell r="K549" t="str">
            <v>m2</v>
          </cell>
        </row>
        <row r="550">
          <cell r="B550">
            <v>538</v>
          </cell>
          <cell r="D550" t="str">
            <v>Memasang wall molding resin</v>
          </cell>
          <cell r="E550" t="str">
            <v>Daftar harga</v>
          </cell>
          <cell r="F550">
            <v>0</v>
          </cell>
          <cell r="G550">
            <v>165000</v>
          </cell>
          <cell r="H550">
            <v>0</v>
          </cell>
          <cell r="I550">
            <v>0</v>
          </cell>
          <cell r="J550">
            <v>0</v>
          </cell>
          <cell r="K550" t="str">
            <v>m'</v>
          </cell>
        </row>
        <row r="551">
          <cell r="B551">
            <v>539</v>
          </cell>
          <cell r="D551" t="str">
            <v>Memasang plafond pvc ex shunda plafond</v>
          </cell>
          <cell r="E551" t="str">
            <v>Dihitung</v>
          </cell>
          <cell r="F551">
            <v>0</v>
          </cell>
          <cell r="G551">
            <v>167121.35</v>
          </cell>
          <cell r="H551">
            <v>0</v>
          </cell>
          <cell r="I551">
            <v>0</v>
          </cell>
          <cell r="J551">
            <v>0</v>
          </cell>
          <cell r="K551" t="str">
            <v>m2</v>
          </cell>
        </row>
        <row r="552">
          <cell r="B552">
            <v>540</v>
          </cell>
          <cell r="D552" t="str">
            <v>Memasang list plafond pvc</v>
          </cell>
          <cell r="E552" t="str">
            <v>Dihitung</v>
          </cell>
          <cell r="F552">
            <v>0</v>
          </cell>
          <cell r="G552">
            <v>39473.160000000003</v>
          </cell>
          <cell r="H552">
            <v>0</v>
          </cell>
          <cell r="I552">
            <v>0</v>
          </cell>
          <cell r="J552">
            <v>0</v>
          </cell>
          <cell r="K552" t="str">
            <v>m'</v>
          </cell>
        </row>
        <row r="553">
          <cell r="B553">
            <v>541</v>
          </cell>
          <cell r="D553" t="str">
            <v>Memasang wall molding gypsum 4 cm</v>
          </cell>
          <cell r="E553" t="str">
            <v>Dihitung</v>
          </cell>
          <cell r="F553">
            <v>0</v>
          </cell>
          <cell r="G553">
            <v>19531.489999999998</v>
          </cell>
          <cell r="H553">
            <v>0</v>
          </cell>
          <cell r="I553">
            <v>0</v>
          </cell>
          <cell r="J553">
            <v>0</v>
          </cell>
          <cell r="K553" t="str">
            <v>m'</v>
          </cell>
        </row>
        <row r="554">
          <cell r="B554">
            <v>542</v>
          </cell>
          <cell r="D554" t="str">
            <v>Memasang wall molding gypsum 8 cm</v>
          </cell>
          <cell r="E554" t="str">
            <v>Dihitung</v>
          </cell>
          <cell r="F554">
            <v>0</v>
          </cell>
          <cell r="G554">
            <v>20836.64</v>
          </cell>
          <cell r="H554">
            <v>0</v>
          </cell>
          <cell r="I554">
            <v>0</v>
          </cell>
          <cell r="J554">
            <v>0</v>
          </cell>
          <cell r="K554" t="str">
            <v>m'</v>
          </cell>
        </row>
        <row r="555">
          <cell r="B555">
            <v>543</v>
          </cell>
          <cell r="D555" t="str">
            <v>Pengecatan plafond</v>
          </cell>
          <cell r="E555" t="str">
            <v>A.4.7.1.10.b</v>
          </cell>
          <cell r="F555">
            <v>0</v>
          </cell>
          <cell r="G555">
            <v>20901.379999999997</v>
          </cell>
          <cell r="H555">
            <v>0</v>
          </cell>
          <cell r="I555">
            <v>0</v>
          </cell>
          <cell r="J555">
            <v>0</v>
          </cell>
          <cell r="K555" t="str">
            <v>m2</v>
          </cell>
        </row>
        <row r="556">
          <cell r="B556">
            <v>544</v>
          </cell>
          <cell r="D556" t="str">
            <v>Memasang downlight LED 10 watt tipe inbow</v>
          </cell>
          <cell r="E556" t="str">
            <v>Harga Satuan</v>
          </cell>
          <cell r="F556">
            <v>0</v>
          </cell>
          <cell r="G556">
            <v>125900</v>
          </cell>
          <cell r="H556">
            <v>0</v>
          </cell>
          <cell r="I556">
            <v>0</v>
          </cell>
          <cell r="J556">
            <v>0</v>
          </cell>
          <cell r="K556" t="str">
            <v>bh</v>
          </cell>
        </row>
        <row r="557">
          <cell r="B557">
            <v>545</v>
          </cell>
          <cell r="D557" t="str">
            <v>Memasang downlight LED 17 watt tipe inbow</v>
          </cell>
          <cell r="E557" t="str">
            <v>Harga Satuan</v>
          </cell>
          <cell r="F557">
            <v>0</v>
          </cell>
          <cell r="G557">
            <v>149700</v>
          </cell>
          <cell r="H557">
            <v>0</v>
          </cell>
          <cell r="I557">
            <v>0</v>
          </cell>
          <cell r="J557">
            <v>0</v>
          </cell>
          <cell r="K557" t="str">
            <v>bh</v>
          </cell>
        </row>
        <row r="558">
          <cell r="B558">
            <v>546</v>
          </cell>
          <cell r="D558" t="str">
            <v>Memasang downlight LED 17 watt tipe outbow</v>
          </cell>
          <cell r="E558" t="str">
            <v>Harga Satuan</v>
          </cell>
          <cell r="F558">
            <v>0</v>
          </cell>
          <cell r="G558">
            <v>182500</v>
          </cell>
          <cell r="H558">
            <v>0</v>
          </cell>
          <cell r="I558">
            <v>0</v>
          </cell>
          <cell r="J558">
            <v>0</v>
          </cell>
          <cell r="K558" t="str">
            <v>bh</v>
          </cell>
        </row>
        <row r="559">
          <cell r="B559">
            <v>547</v>
          </cell>
          <cell r="D559" t="str">
            <v>Memasang lampu RM 1 x TL LED 16 watt tipe inbow</v>
          </cell>
          <cell r="E559" t="str">
            <v>Harga Satuan</v>
          </cell>
          <cell r="F559">
            <v>0</v>
          </cell>
          <cell r="G559">
            <v>247500</v>
          </cell>
          <cell r="H559">
            <v>0</v>
          </cell>
          <cell r="I559">
            <v>0</v>
          </cell>
          <cell r="J559">
            <v>0</v>
          </cell>
          <cell r="K559" t="str">
            <v>bh</v>
          </cell>
        </row>
        <row r="560">
          <cell r="B560">
            <v>548</v>
          </cell>
          <cell r="D560" t="str">
            <v>Memasang lampu RM 2 x TL LED 16 watt tipe inbow</v>
          </cell>
          <cell r="E560" t="str">
            <v>Harga Satuan</v>
          </cell>
          <cell r="F560">
            <v>0</v>
          </cell>
          <cell r="G560">
            <v>296500</v>
          </cell>
          <cell r="H560">
            <v>0</v>
          </cell>
          <cell r="I560">
            <v>0</v>
          </cell>
          <cell r="J560">
            <v>0</v>
          </cell>
          <cell r="K560" t="str">
            <v>bh</v>
          </cell>
        </row>
        <row r="561">
          <cell r="B561">
            <v>549</v>
          </cell>
          <cell r="D561" t="str">
            <v>Panel uk 50x70x25 lengkap dengan asesoris 3 phase</v>
          </cell>
          <cell r="E561" t="str">
            <v>Harga Satuan</v>
          </cell>
          <cell r="F561">
            <v>0</v>
          </cell>
          <cell r="G561">
            <v>5000000</v>
          </cell>
          <cell r="H561">
            <v>0</v>
          </cell>
          <cell r="I561">
            <v>0</v>
          </cell>
          <cell r="J561">
            <v>0</v>
          </cell>
          <cell r="K561" t="str">
            <v>bh</v>
          </cell>
        </row>
        <row r="562">
          <cell r="B562">
            <v>550</v>
          </cell>
          <cell r="D562" t="str">
            <v xml:space="preserve">Exhaust fan </v>
          </cell>
          <cell r="E562" t="str">
            <v>Harga Satuan</v>
          </cell>
          <cell r="F562">
            <v>0</v>
          </cell>
          <cell r="G562">
            <v>506200</v>
          </cell>
          <cell r="H562">
            <v>0</v>
          </cell>
          <cell r="I562">
            <v>0</v>
          </cell>
          <cell r="J562">
            <v>0</v>
          </cell>
          <cell r="K562" t="str">
            <v>bh</v>
          </cell>
        </row>
        <row r="563">
          <cell r="B563">
            <v>551</v>
          </cell>
          <cell r="D563" t="str">
            <v>Panel uk 40x60x25 lengkap dengan asesoris 3 phase</v>
          </cell>
          <cell r="E563" t="str">
            <v>Harga Satuan</v>
          </cell>
          <cell r="F563">
            <v>0</v>
          </cell>
          <cell r="G563">
            <v>4613728.4000000004</v>
          </cell>
          <cell r="H563">
            <v>0</v>
          </cell>
          <cell r="I563">
            <v>0</v>
          </cell>
          <cell r="J563">
            <v>0</v>
          </cell>
          <cell r="K563" t="str">
            <v>bh</v>
          </cell>
        </row>
        <row r="564">
          <cell r="B564">
            <v>552</v>
          </cell>
          <cell r="D564" t="str">
            <v>Pek. Pasang kanopi rangka besi hollow atap polycarbonate</v>
          </cell>
          <cell r="E564" t="str">
            <v>Harga Satuan</v>
          </cell>
          <cell r="F564">
            <v>0</v>
          </cell>
          <cell r="G564">
            <v>330698.90700000001</v>
          </cell>
          <cell r="H564">
            <v>0</v>
          </cell>
          <cell r="I564">
            <v>0</v>
          </cell>
          <cell r="J564">
            <v>0</v>
          </cell>
          <cell r="K564" t="str">
            <v>m2</v>
          </cell>
        </row>
        <row r="565">
          <cell r="B565">
            <v>553</v>
          </cell>
          <cell r="D565" t="str">
            <v>Pek. Pasang Vinyl Lantai</v>
          </cell>
          <cell r="E565" t="str">
            <v>An. Dihitung</v>
          </cell>
          <cell r="F565">
            <v>0</v>
          </cell>
          <cell r="G565">
            <v>768563.85</v>
          </cell>
          <cell r="H565">
            <v>0</v>
          </cell>
          <cell r="I565">
            <v>0</v>
          </cell>
          <cell r="J565">
            <v>0</v>
          </cell>
          <cell r="K565" t="str">
            <v>m2</v>
          </cell>
        </row>
        <row r="566">
          <cell r="B566">
            <v>554</v>
          </cell>
          <cell r="D566" t="str">
            <v>Pek. Pasang Vinyl Dinding</v>
          </cell>
          <cell r="E566" t="str">
            <v>An. Dihitung</v>
          </cell>
          <cell r="F566">
            <v>0</v>
          </cell>
          <cell r="G566">
            <v>553468.35</v>
          </cell>
          <cell r="H566">
            <v>0</v>
          </cell>
          <cell r="I566">
            <v>0</v>
          </cell>
          <cell r="J566">
            <v>0</v>
          </cell>
          <cell r="K566" t="str">
            <v>m2</v>
          </cell>
        </row>
        <row r="567">
          <cell r="B567">
            <v>555</v>
          </cell>
          <cell r="D567" t="str">
            <v>Pemasangan ACP  + rangka ex GOODSENSE aluskin 0,3mm alloy 3003 PE tebal 4mm</v>
          </cell>
          <cell r="E567" t="str">
            <v>Daftar harga</v>
          </cell>
          <cell r="F567">
            <v>0</v>
          </cell>
          <cell r="G567">
            <v>719500</v>
          </cell>
          <cell r="H567">
            <v>0</v>
          </cell>
          <cell r="I567">
            <v>0</v>
          </cell>
          <cell r="J567">
            <v>0</v>
          </cell>
          <cell r="K567" t="str">
            <v>m2</v>
          </cell>
        </row>
        <row r="568">
          <cell r="B568">
            <v>556</v>
          </cell>
          <cell r="D568" t="str">
            <v>Pek. Railing tangga stainles</v>
          </cell>
          <cell r="E568" t="str">
            <v>Daftar harga</v>
          </cell>
          <cell r="F568">
            <v>0</v>
          </cell>
          <cell r="G568">
            <v>750000</v>
          </cell>
          <cell r="H568">
            <v>0</v>
          </cell>
          <cell r="I568">
            <v>0</v>
          </cell>
          <cell r="J568">
            <v>0</v>
          </cell>
          <cell r="K568" t="str">
            <v>m2</v>
          </cell>
        </row>
        <row r="569">
          <cell r="B569">
            <v>557</v>
          </cell>
          <cell r="D569" t="str">
            <v>Pemasangan dumb waiter lift</v>
          </cell>
          <cell r="E569" t="str">
            <v>Daftar harga</v>
          </cell>
          <cell r="F569">
            <v>0</v>
          </cell>
          <cell r="G569">
            <v>15000000</v>
          </cell>
          <cell r="H569">
            <v>0</v>
          </cell>
          <cell r="I569">
            <v>0</v>
          </cell>
          <cell r="J569">
            <v>0</v>
          </cell>
          <cell r="K569" t="str">
            <v>bh</v>
          </cell>
        </row>
        <row r="570">
          <cell r="B570">
            <v>558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AHSP"/>
      <sheetName val="Upah &amp; Bahan"/>
      <sheetName val="HARGA 2021"/>
      <sheetName val="BUPATI 2021"/>
      <sheetName val="Usulan 2021"/>
      <sheetName val="Rekap"/>
      <sheetName val="RAB DED "/>
      <sheetName val="VOLUME DED"/>
      <sheetName val="Usul 2020"/>
      <sheetName val="harga sat 2018 NEW"/>
      <sheetName val="AHSP 2008"/>
      <sheetName val="Daftar Analys"/>
      <sheetName val="REKAPITULASI DED"/>
      <sheetName val="RAB Dinas"/>
      <sheetName val="AHSP 2002"/>
      <sheetName val="AHSP HTG"/>
      <sheetName val="AHSP PASAR"/>
    </sheetNames>
    <sheetDataSet>
      <sheetData sheetId="0">
        <row r="5">
          <cell r="D5" t="str">
            <v>PROGRAM</v>
          </cell>
          <cell r="E5" t="str">
            <v>:</v>
          </cell>
          <cell r="F5">
            <v>0</v>
          </cell>
        </row>
        <row r="6">
          <cell r="D6" t="str">
            <v>KEGIATAN</v>
          </cell>
          <cell r="E6" t="str">
            <v>:</v>
          </cell>
          <cell r="F6">
            <v>0</v>
          </cell>
        </row>
        <row r="7">
          <cell r="F7">
            <v>0</v>
          </cell>
        </row>
        <row r="8">
          <cell r="D8" t="str">
            <v>VOLUME</v>
          </cell>
          <cell r="E8" t="str">
            <v>:</v>
          </cell>
          <cell r="F8">
            <v>0</v>
          </cell>
        </row>
        <row r="9">
          <cell r="D9" t="str">
            <v>L O K A S I</v>
          </cell>
          <cell r="E9" t="str">
            <v>:</v>
          </cell>
          <cell r="F9">
            <v>0</v>
          </cell>
        </row>
        <row r="10">
          <cell r="D10" t="str">
            <v>KABUPATEN</v>
          </cell>
          <cell r="E10" t="str">
            <v>:</v>
          </cell>
          <cell r="F10">
            <v>0</v>
          </cell>
        </row>
        <row r="11">
          <cell r="D11" t="str">
            <v>SUMBER DANA</v>
          </cell>
          <cell r="E11" t="str">
            <v>:</v>
          </cell>
          <cell r="F11">
            <v>0</v>
          </cell>
        </row>
        <row r="12">
          <cell r="D12" t="str">
            <v>TAHUN ANGGARAN</v>
          </cell>
          <cell r="E12" t="str">
            <v>:</v>
          </cell>
          <cell r="F12">
            <v>2020</v>
          </cell>
        </row>
        <row r="121">
          <cell r="K121">
            <v>0</v>
          </cell>
        </row>
        <row r="122">
          <cell r="K122">
            <v>0</v>
          </cell>
        </row>
        <row r="127">
          <cell r="K127">
            <v>0</v>
          </cell>
        </row>
        <row r="128">
          <cell r="K128">
            <v>0</v>
          </cell>
        </row>
        <row r="129">
          <cell r="K129">
            <v>0</v>
          </cell>
        </row>
      </sheetData>
      <sheetData sheetId="1"/>
      <sheetData sheetId="2"/>
      <sheetData sheetId="3"/>
      <sheetData sheetId="4"/>
      <sheetData sheetId="5">
        <row r="18">
          <cell r="I18">
            <v>113000</v>
          </cell>
          <cell r="J18">
            <v>113000</v>
          </cell>
          <cell r="K18">
            <v>113000</v>
          </cell>
        </row>
        <row r="19">
          <cell r="J19">
            <v>82000</v>
          </cell>
          <cell r="K19">
            <v>82000</v>
          </cell>
        </row>
        <row r="20">
          <cell r="J20">
            <v>82000</v>
          </cell>
          <cell r="K20">
            <v>82000</v>
          </cell>
        </row>
        <row r="21">
          <cell r="J21">
            <v>82000</v>
          </cell>
          <cell r="K21">
            <v>82000</v>
          </cell>
        </row>
        <row r="22">
          <cell r="J22">
            <v>82000</v>
          </cell>
          <cell r="K22">
            <v>82000</v>
          </cell>
        </row>
        <row r="23">
          <cell r="I23">
            <v>161000</v>
          </cell>
          <cell r="J23">
            <v>161000</v>
          </cell>
          <cell r="K23">
            <v>161000</v>
          </cell>
        </row>
        <row r="24">
          <cell r="I24">
            <v>201000</v>
          </cell>
          <cell r="J24">
            <v>201000</v>
          </cell>
          <cell r="K24">
            <v>201000</v>
          </cell>
        </row>
        <row r="25">
          <cell r="I25">
            <v>96000</v>
          </cell>
          <cell r="J25">
            <v>96000</v>
          </cell>
          <cell r="K25">
            <v>96000</v>
          </cell>
        </row>
        <row r="26">
          <cell r="I26">
            <v>96000</v>
          </cell>
          <cell r="J26">
            <v>96000</v>
          </cell>
          <cell r="K26">
            <v>96000</v>
          </cell>
        </row>
        <row r="27">
          <cell r="I27">
            <v>96000</v>
          </cell>
          <cell r="J27">
            <v>96000</v>
          </cell>
          <cell r="K27">
            <v>96000</v>
          </cell>
        </row>
        <row r="28">
          <cell r="I28">
            <v>96000</v>
          </cell>
          <cell r="J28">
            <v>96000</v>
          </cell>
          <cell r="K28">
            <v>96000</v>
          </cell>
        </row>
        <row r="29">
          <cell r="I29">
            <v>96000</v>
          </cell>
          <cell r="J29">
            <v>96000</v>
          </cell>
          <cell r="K29">
            <v>96000</v>
          </cell>
        </row>
        <row r="30">
          <cell r="I30">
            <v>196000</v>
          </cell>
          <cell r="J30">
            <v>196000</v>
          </cell>
          <cell r="K30">
            <v>196000</v>
          </cell>
        </row>
        <row r="31">
          <cell r="I31">
            <v>86000</v>
          </cell>
          <cell r="J31">
            <v>86000</v>
          </cell>
          <cell r="K31">
            <v>86000</v>
          </cell>
        </row>
        <row r="32">
          <cell r="I32">
            <v>86000</v>
          </cell>
          <cell r="J32">
            <v>86000</v>
          </cell>
          <cell r="K32">
            <v>86000</v>
          </cell>
        </row>
        <row r="33">
          <cell r="I33">
            <v>86000</v>
          </cell>
          <cell r="J33">
            <v>86000</v>
          </cell>
          <cell r="K33">
            <v>86000</v>
          </cell>
        </row>
        <row r="34">
          <cell r="I34">
            <v>86000</v>
          </cell>
          <cell r="J34">
            <v>86000</v>
          </cell>
          <cell r="K34">
            <v>86000</v>
          </cell>
        </row>
        <row r="35">
          <cell r="I35">
            <v>86000</v>
          </cell>
          <cell r="J35">
            <v>86000</v>
          </cell>
          <cell r="K35">
            <v>86000</v>
          </cell>
        </row>
        <row r="36">
          <cell r="J36">
            <v>82000</v>
          </cell>
          <cell r="K36">
            <v>82000</v>
          </cell>
        </row>
        <row r="37">
          <cell r="I37">
            <v>86000</v>
          </cell>
          <cell r="J37">
            <v>86000</v>
          </cell>
          <cell r="K37">
            <v>86000</v>
          </cell>
        </row>
        <row r="38">
          <cell r="I38">
            <v>174000</v>
          </cell>
          <cell r="J38">
            <v>174000</v>
          </cell>
          <cell r="K38">
            <v>174000</v>
          </cell>
        </row>
        <row r="39">
          <cell r="J39">
            <v>82000</v>
          </cell>
          <cell r="K39">
            <v>82000</v>
          </cell>
        </row>
        <row r="40">
          <cell r="J40">
            <v>82000</v>
          </cell>
          <cell r="K40">
            <v>82000</v>
          </cell>
        </row>
        <row r="41">
          <cell r="J41">
            <v>82000</v>
          </cell>
          <cell r="K41">
            <v>82000</v>
          </cell>
        </row>
        <row r="42">
          <cell r="J42">
            <v>82000</v>
          </cell>
          <cell r="K42">
            <v>82000</v>
          </cell>
        </row>
        <row r="43">
          <cell r="J43">
            <v>82000</v>
          </cell>
          <cell r="K43">
            <v>82000</v>
          </cell>
        </row>
        <row r="44">
          <cell r="I44">
            <v>86000</v>
          </cell>
          <cell r="J44">
            <v>86000</v>
          </cell>
          <cell r="K44">
            <v>86000</v>
          </cell>
        </row>
        <row r="45">
          <cell r="I45">
            <v>86000</v>
          </cell>
          <cell r="J45">
            <v>86000</v>
          </cell>
          <cell r="K45">
            <v>86000</v>
          </cell>
        </row>
        <row r="46">
          <cell r="I46">
            <v>86000</v>
          </cell>
          <cell r="J46">
            <v>86000</v>
          </cell>
          <cell r="K46">
            <v>86000</v>
          </cell>
        </row>
        <row r="47">
          <cell r="I47">
            <v>86000</v>
          </cell>
        </row>
        <row r="48">
          <cell r="I48">
            <v>86000</v>
          </cell>
          <cell r="J48">
            <v>86000</v>
          </cell>
          <cell r="K48">
            <v>86000</v>
          </cell>
        </row>
        <row r="49">
          <cell r="I49">
            <v>88000</v>
          </cell>
          <cell r="J49">
            <v>88000</v>
          </cell>
          <cell r="K49">
            <v>88000</v>
          </cell>
        </row>
        <row r="50">
          <cell r="I50">
            <v>86000</v>
          </cell>
          <cell r="J50">
            <v>86000</v>
          </cell>
          <cell r="K50">
            <v>86000</v>
          </cell>
        </row>
        <row r="51">
          <cell r="I51">
            <v>86000</v>
          </cell>
          <cell r="J51">
            <v>86000</v>
          </cell>
          <cell r="K51">
            <v>86000</v>
          </cell>
        </row>
        <row r="52">
          <cell r="I52">
            <v>86000</v>
          </cell>
          <cell r="J52">
            <v>86000</v>
          </cell>
          <cell r="K52">
            <v>86000</v>
          </cell>
        </row>
        <row r="53">
          <cell r="I53">
            <v>86000</v>
          </cell>
          <cell r="J53">
            <v>86000</v>
          </cell>
          <cell r="K53">
            <v>86000</v>
          </cell>
        </row>
        <row r="64">
          <cell r="I64">
            <v>204000</v>
          </cell>
          <cell r="J64">
            <v>204000</v>
          </cell>
          <cell r="K64">
            <v>204000</v>
          </cell>
        </row>
        <row r="65">
          <cell r="I65">
            <v>45</v>
          </cell>
          <cell r="J65">
            <v>45</v>
          </cell>
          <cell r="K65">
            <v>45</v>
          </cell>
        </row>
        <row r="66">
          <cell r="I66">
            <v>14000</v>
          </cell>
          <cell r="J66">
            <v>14000</v>
          </cell>
          <cell r="K66">
            <v>14000</v>
          </cell>
        </row>
        <row r="67">
          <cell r="I67">
            <v>9000</v>
          </cell>
          <cell r="J67">
            <v>9000</v>
          </cell>
          <cell r="K67">
            <v>9000</v>
          </cell>
        </row>
        <row r="68">
          <cell r="I68">
            <v>5700</v>
          </cell>
          <cell r="J68">
            <v>5700</v>
          </cell>
          <cell r="K68">
            <v>5700</v>
          </cell>
        </row>
        <row r="70">
          <cell r="I70">
            <v>33000</v>
          </cell>
          <cell r="J70">
            <v>33000</v>
          </cell>
          <cell r="K70">
            <v>33000</v>
          </cell>
        </row>
        <row r="71">
          <cell r="I71">
            <v>122000</v>
          </cell>
          <cell r="J71">
            <v>122000</v>
          </cell>
          <cell r="K71">
            <v>122000</v>
          </cell>
        </row>
        <row r="72">
          <cell r="I72">
            <v>116000</v>
          </cell>
          <cell r="J72">
            <v>116000</v>
          </cell>
          <cell r="K72">
            <v>116000</v>
          </cell>
        </row>
        <row r="73">
          <cell r="I73">
            <v>0</v>
          </cell>
          <cell r="J73">
            <v>0</v>
          </cell>
          <cell r="K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</row>
        <row r="75">
          <cell r="I75">
            <v>110000</v>
          </cell>
          <cell r="J75">
            <v>110000</v>
          </cell>
          <cell r="K75">
            <v>110000</v>
          </cell>
        </row>
        <row r="76">
          <cell r="I76">
            <v>55000</v>
          </cell>
          <cell r="J76">
            <v>55000</v>
          </cell>
          <cell r="K76">
            <v>55000</v>
          </cell>
        </row>
        <row r="78">
          <cell r="I78">
            <v>315000</v>
          </cell>
          <cell r="J78">
            <v>315000</v>
          </cell>
          <cell r="K78">
            <v>315000</v>
          </cell>
        </row>
        <row r="79">
          <cell r="I79">
            <v>292000</v>
          </cell>
          <cell r="J79">
            <v>292000</v>
          </cell>
          <cell r="K79">
            <v>292000</v>
          </cell>
        </row>
        <row r="80">
          <cell r="I80">
            <v>105000</v>
          </cell>
          <cell r="J80">
            <v>105000</v>
          </cell>
          <cell r="K80">
            <v>105000</v>
          </cell>
        </row>
        <row r="81">
          <cell r="I81">
            <v>30000</v>
          </cell>
        </row>
        <row r="82">
          <cell r="G82" t="str">
            <v>lbr</v>
          </cell>
          <cell r="I82">
            <v>61000</v>
          </cell>
        </row>
        <row r="83">
          <cell r="G83" t="str">
            <v>lbr</v>
          </cell>
          <cell r="I83">
            <v>97000</v>
          </cell>
        </row>
        <row r="84">
          <cell r="I84">
            <v>113000</v>
          </cell>
          <cell r="J84">
            <v>113000</v>
          </cell>
          <cell r="K84">
            <v>113000</v>
          </cell>
        </row>
        <row r="85">
          <cell r="I85">
            <v>35000</v>
          </cell>
          <cell r="J85">
            <v>35000</v>
          </cell>
          <cell r="K85">
            <v>35000</v>
          </cell>
        </row>
        <row r="86">
          <cell r="I86">
            <v>186000</v>
          </cell>
          <cell r="J86">
            <v>186000</v>
          </cell>
          <cell r="K86">
            <v>186000</v>
          </cell>
        </row>
        <row r="87">
          <cell r="I87">
            <v>70000</v>
          </cell>
          <cell r="J87">
            <v>70000</v>
          </cell>
          <cell r="K87">
            <v>70000</v>
          </cell>
        </row>
        <row r="88">
          <cell r="I88">
            <v>520000</v>
          </cell>
          <cell r="J88">
            <v>520000</v>
          </cell>
          <cell r="K88">
            <v>520000</v>
          </cell>
        </row>
        <row r="89">
          <cell r="I89">
            <v>460000</v>
          </cell>
          <cell r="J89">
            <v>460000</v>
          </cell>
          <cell r="K89">
            <v>460000</v>
          </cell>
        </row>
        <row r="90">
          <cell r="I90">
            <v>810000</v>
          </cell>
          <cell r="J90">
            <v>810000</v>
          </cell>
          <cell r="K90">
            <v>810000</v>
          </cell>
        </row>
        <row r="91">
          <cell r="I91">
            <v>2046000</v>
          </cell>
          <cell r="J91">
            <v>2046000</v>
          </cell>
          <cell r="K91">
            <v>2046000</v>
          </cell>
        </row>
        <row r="92">
          <cell r="I92">
            <v>81000</v>
          </cell>
          <cell r="J92">
            <v>81000</v>
          </cell>
          <cell r="K92">
            <v>81000</v>
          </cell>
        </row>
        <row r="93">
          <cell r="I93">
            <v>14800</v>
          </cell>
          <cell r="J93">
            <v>14800</v>
          </cell>
          <cell r="K93">
            <v>14800</v>
          </cell>
        </row>
        <row r="94">
          <cell r="I94">
            <v>11000</v>
          </cell>
          <cell r="J94">
            <v>11000</v>
          </cell>
          <cell r="K94">
            <v>11000</v>
          </cell>
        </row>
        <row r="95">
          <cell r="I95">
            <v>20000</v>
          </cell>
          <cell r="J95">
            <v>20000</v>
          </cell>
          <cell r="K95">
            <v>20000</v>
          </cell>
        </row>
        <row r="96">
          <cell r="I96">
            <v>12000</v>
          </cell>
        </row>
        <row r="97">
          <cell r="I97">
            <v>3600</v>
          </cell>
          <cell r="J97">
            <v>3600</v>
          </cell>
          <cell r="K97">
            <v>3600</v>
          </cell>
        </row>
        <row r="98">
          <cell r="I98">
            <v>876000</v>
          </cell>
          <cell r="J98">
            <v>876000</v>
          </cell>
          <cell r="K98">
            <v>876000</v>
          </cell>
        </row>
        <row r="99">
          <cell r="I99">
            <v>204000</v>
          </cell>
          <cell r="J99">
            <v>204000</v>
          </cell>
          <cell r="K99">
            <v>204000</v>
          </cell>
        </row>
        <row r="100">
          <cell r="I100">
            <v>12800</v>
          </cell>
          <cell r="J100">
            <v>12800</v>
          </cell>
          <cell r="K100">
            <v>12800</v>
          </cell>
        </row>
        <row r="101">
          <cell r="I101">
            <v>800</v>
          </cell>
          <cell r="J101">
            <v>800</v>
          </cell>
          <cell r="K101">
            <v>800</v>
          </cell>
        </row>
        <row r="103">
          <cell r="I103">
            <v>291000</v>
          </cell>
          <cell r="J103">
            <v>291000</v>
          </cell>
          <cell r="K103">
            <v>291000</v>
          </cell>
        </row>
        <row r="104">
          <cell r="I104">
            <v>104000</v>
          </cell>
          <cell r="J104">
            <v>104000</v>
          </cell>
          <cell r="K104">
            <v>94000</v>
          </cell>
        </row>
        <row r="105">
          <cell r="I105">
            <v>285000</v>
          </cell>
          <cell r="J105">
            <v>280000</v>
          </cell>
          <cell r="K105">
            <v>275000</v>
          </cell>
        </row>
        <row r="106">
          <cell r="I106">
            <v>93000</v>
          </cell>
          <cell r="J106">
            <v>93000</v>
          </cell>
          <cell r="K106">
            <v>93000</v>
          </cell>
        </row>
        <row r="108">
          <cell r="I108">
            <v>155000</v>
          </cell>
          <cell r="J108">
            <v>155000</v>
          </cell>
          <cell r="K108">
            <v>155000</v>
          </cell>
        </row>
        <row r="109">
          <cell r="I109">
            <v>116000</v>
          </cell>
          <cell r="J109">
            <v>116000</v>
          </cell>
          <cell r="K109">
            <v>116000</v>
          </cell>
        </row>
        <row r="110">
          <cell r="I110">
            <v>270000</v>
          </cell>
          <cell r="J110">
            <v>275000</v>
          </cell>
          <cell r="K110">
            <v>280000</v>
          </cell>
        </row>
        <row r="111">
          <cell r="I111">
            <v>270000</v>
          </cell>
          <cell r="J111">
            <v>275000</v>
          </cell>
          <cell r="K111">
            <v>280000</v>
          </cell>
        </row>
        <row r="112">
          <cell r="I112">
            <v>270000</v>
          </cell>
          <cell r="J112">
            <v>275000</v>
          </cell>
          <cell r="K112">
            <v>280000</v>
          </cell>
        </row>
        <row r="113">
          <cell r="I113">
            <v>280000</v>
          </cell>
          <cell r="J113">
            <v>275000</v>
          </cell>
          <cell r="K113">
            <v>270000</v>
          </cell>
        </row>
        <row r="114">
          <cell r="I114">
            <v>270000</v>
          </cell>
          <cell r="J114">
            <v>275000</v>
          </cell>
          <cell r="K114">
            <v>280000</v>
          </cell>
        </row>
        <row r="115">
          <cell r="I115">
            <v>280000</v>
          </cell>
          <cell r="J115">
            <v>275000</v>
          </cell>
          <cell r="K115">
            <v>270000</v>
          </cell>
        </row>
        <row r="116">
          <cell r="I116">
            <v>280000</v>
          </cell>
          <cell r="J116">
            <v>275000</v>
          </cell>
          <cell r="K116">
            <v>270000</v>
          </cell>
        </row>
        <row r="117">
          <cell r="I117">
            <v>285000</v>
          </cell>
          <cell r="J117">
            <v>280000</v>
          </cell>
          <cell r="K117">
            <v>275000</v>
          </cell>
        </row>
        <row r="118">
          <cell r="I118">
            <v>285000</v>
          </cell>
          <cell r="J118">
            <v>280000</v>
          </cell>
          <cell r="K118">
            <v>275000</v>
          </cell>
        </row>
        <row r="119">
          <cell r="I119">
            <v>35000</v>
          </cell>
          <cell r="J119">
            <v>35000</v>
          </cell>
          <cell r="K119">
            <v>35000</v>
          </cell>
        </row>
        <row r="120">
          <cell r="I120">
            <v>58000</v>
          </cell>
        </row>
        <row r="121">
          <cell r="I121">
            <v>6500</v>
          </cell>
        </row>
        <row r="122">
          <cell r="I122">
            <v>2500</v>
          </cell>
        </row>
        <row r="123">
          <cell r="I123">
            <v>11000</v>
          </cell>
          <cell r="J123">
            <v>11000</v>
          </cell>
          <cell r="K123">
            <v>11000</v>
          </cell>
        </row>
        <row r="124">
          <cell r="I124">
            <v>5200</v>
          </cell>
          <cell r="J124">
            <v>5200</v>
          </cell>
          <cell r="K124">
            <v>5200</v>
          </cell>
        </row>
        <row r="125">
          <cell r="I125">
            <v>8600</v>
          </cell>
          <cell r="J125">
            <v>8600</v>
          </cell>
          <cell r="K125">
            <v>8600</v>
          </cell>
        </row>
        <row r="126">
          <cell r="I126">
            <v>9400</v>
          </cell>
          <cell r="J126">
            <v>9400</v>
          </cell>
          <cell r="K126">
            <v>9400</v>
          </cell>
        </row>
        <row r="127">
          <cell r="I127">
            <v>14100</v>
          </cell>
          <cell r="J127">
            <v>14100</v>
          </cell>
          <cell r="K127">
            <v>14100</v>
          </cell>
        </row>
        <row r="128">
          <cell r="I128">
            <v>15000</v>
          </cell>
          <cell r="J128">
            <v>15000</v>
          </cell>
          <cell r="K128">
            <v>15000</v>
          </cell>
        </row>
        <row r="129">
          <cell r="I129">
            <v>15000</v>
          </cell>
          <cell r="J129">
            <v>15000</v>
          </cell>
          <cell r="K129">
            <v>15000</v>
          </cell>
        </row>
        <row r="130">
          <cell r="I130">
            <v>270000</v>
          </cell>
          <cell r="J130">
            <v>270000</v>
          </cell>
          <cell r="K130">
            <v>270000</v>
          </cell>
        </row>
        <row r="131">
          <cell r="I131">
            <v>385000</v>
          </cell>
          <cell r="J131">
            <v>385000</v>
          </cell>
          <cell r="K131">
            <v>385000</v>
          </cell>
        </row>
        <row r="132">
          <cell r="I132">
            <v>414000</v>
          </cell>
          <cell r="J132">
            <v>414000</v>
          </cell>
          <cell r="K132">
            <v>414000</v>
          </cell>
        </row>
        <row r="133">
          <cell r="I133">
            <v>445000</v>
          </cell>
          <cell r="J133">
            <v>445000</v>
          </cell>
          <cell r="K133">
            <v>445000</v>
          </cell>
        </row>
        <row r="134">
          <cell r="I134">
            <v>578000</v>
          </cell>
          <cell r="J134">
            <v>578000</v>
          </cell>
          <cell r="K134">
            <v>578000</v>
          </cell>
        </row>
        <row r="135">
          <cell r="I135">
            <v>730000</v>
          </cell>
          <cell r="J135">
            <v>730000</v>
          </cell>
          <cell r="K135">
            <v>730000</v>
          </cell>
        </row>
        <row r="136">
          <cell r="I136">
            <v>770000</v>
          </cell>
          <cell r="J136">
            <v>770000</v>
          </cell>
          <cell r="K136">
            <v>770000</v>
          </cell>
        </row>
        <row r="137">
          <cell r="I137">
            <v>812000</v>
          </cell>
          <cell r="J137">
            <v>812000</v>
          </cell>
          <cell r="K137">
            <v>812000</v>
          </cell>
        </row>
        <row r="138">
          <cell r="I138">
            <v>1267000</v>
          </cell>
          <cell r="J138">
            <v>1267000</v>
          </cell>
          <cell r="K138">
            <v>1267000</v>
          </cell>
        </row>
        <row r="139">
          <cell r="I139">
            <v>1972000</v>
          </cell>
          <cell r="J139">
            <v>1972000</v>
          </cell>
          <cell r="K139">
            <v>1972000</v>
          </cell>
        </row>
        <row r="140">
          <cell r="I140">
            <v>32000</v>
          </cell>
          <cell r="J140">
            <v>32000</v>
          </cell>
          <cell r="K140">
            <v>32000</v>
          </cell>
        </row>
        <row r="141">
          <cell r="I141">
            <v>41000</v>
          </cell>
          <cell r="J141">
            <v>41000</v>
          </cell>
          <cell r="K141">
            <v>41000</v>
          </cell>
        </row>
        <row r="142">
          <cell r="I142">
            <v>41000</v>
          </cell>
          <cell r="J142">
            <v>41000</v>
          </cell>
          <cell r="K142">
            <v>41000</v>
          </cell>
        </row>
        <row r="143">
          <cell r="I143">
            <v>58000</v>
          </cell>
          <cell r="J143">
            <v>58000</v>
          </cell>
          <cell r="K143">
            <v>58000</v>
          </cell>
        </row>
        <row r="144">
          <cell r="I144">
            <v>61000</v>
          </cell>
          <cell r="J144">
            <v>61000</v>
          </cell>
          <cell r="K144">
            <v>61000</v>
          </cell>
        </row>
        <row r="145">
          <cell r="I145">
            <v>84000</v>
          </cell>
          <cell r="J145">
            <v>84000</v>
          </cell>
          <cell r="K145">
            <v>84000</v>
          </cell>
        </row>
        <row r="146">
          <cell r="I146">
            <v>96000</v>
          </cell>
          <cell r="J146">
            <v>96000</v>
          </cell>
          <cell r="K146">
            <v>96000</v>
          </cell>
        </row>
        <row r="147">
          <cell r="I147">
            <v>102000</v>
          </cell>
          <cell r="J147">
            <v>102000</v>
          </cell>
          <cell r="K147">
            <v>102000</v>
          </cell>
        </row>
        <row r="148">
          <cell r="I148">
            <v>149000</v>
          </cell>
          <cell r="J148">
            <v>149000</v>
          </cell>
          <cell r="K148">
            <v>149000</v>
          </cell>
        </row>
        <row r="149">
          <cell r="I149">
            <v>17400</v>
          </cell>
        </row>
        <row r="150">
          <cell r="I150">
            <v>157000</v>
          </cell>
        </row>
        <row r="151">
          <cell r="I151">
            <v>64000</v>
          </cell>
          <cell r="J151">
            <v>64000</v>
          </cell>
          <cell r="K151">
            <v>64000</v>
          </cell>
        </row>
        <row r="152">
          <cell r="I152">
            <v>64000</v>
          </cell>
          <cell r="J152">
            <v>64000</v>
          </cell>
          <cell r="K152">
            <v>64000</v>
          </cell>
        </row>
        <row r="153">
          <cell r="I153">
            <v>64000</v>
          </cell>
          <cell r="J153">
            <v>64000</v>
          </cell>
          <cell r="K153">
            <v>64000</v>
          </cell>
        </row>
        <row r="154">
          <cell r="I154">
            <v>29000</v>
          </cell>
          <cell r="J154">
            <v>29000</v>
          </cell>
          <cell r="K154">
            <v>29000</v>
          </cell>
        </row>
        <row r="155">
          <cell r="I155">
            <v>29000</v>
          </cell>
          <cell r="J155">
            <v>29000</v>
          </cell>
          <cell r="K155">
            <v>29000</v>
          </cell>
        </row>
        <row r="156">
          <cell r="I156">
            <v>29000</v>
          </cell>
          <cell r="J156">
            <v>29000</v>
          </cell>
          <cell r="K156">
            <v>29000</v>
          </cell>
        </row>
        <row r="157">
          <cell r="I157">
            <v>146000</v>
          </cell>
          <cell r="J157">
            <v>146000</v>
          </cell>
          <cell r="K157">
            <v>146000</v>
          </cell>
        </row>
        <row r="158">
          <cell r="I158">
            <v>460000</v>
          </cell>
          <cell r="J158">
            <v>460000</v>
          </cell>
          <cell r="K158">
            <v>460000</v>
          </cell>
        </row>
        <row r="159">
          <cell r="I159">
            <v>1169000</v>
          </cell>
          <cell r="J159">
            <v>1169000</v>
          </cell>
          <cell r="K159">
            <v>1169000</v>
          </cell>
        </row>
        <row r="160">
          <cell r="I160">
            <v>2000000</v>
          </cell>
          <cell r="J160">
            <v>2000000</v>
          </cell>
          <cell r="K160">
            <v>2000000</v>
          </cell>
        </row>
        <row r="161">
          <cell r="I161">
            <v>1169000</v>
          </cell>
          <cell r="J161">
            <v>1169000</v>
          </cell>
          <cell r="K161">
            <v>1169000</v>
          </cell>
        </row>
        <row r="162">
          <cell r="I162">
            <v>120000</v>
          </cell>
          <cell r="J162">
            <v>120000</v>
          </cell>
          <cell r="K162">
            <v>120000</v>
          </cell>
        </row>
        <row r="163">
          <cell r="I163">
            <v>175000</v>
          </cell>
          <cell r="J163">
            <v>175000</v>
          </cell>
          <cell r="K163">
            <v>175000</v>
          </cell>
        </row>
        <row r="164">
          <cell r="I164">
            <v>1219000</v>
          </cell>
        </row>
        <row r="165">
          <cell r="I165">
            <v>1056000</v>
          </cell>
        </row>
        <row r="166">
          <cell r="I166">
            <v>23000</v>
          </cell>
          <cell r="J166">
            <v>23000</v>
          </cell>
          <cell r="K166">
            <v>23000</v>
          </cell>
        </row>
        <row r="167">
          <cell r="I167">
            <v>35000</v>
          </cell>
          <cell r="J167">
            <v>35000</v>
          </cell>
          <cell r="K167">
            <v>35000</v>
          </cell>
        </row>
        <row r="168">
          <cell r="I168">
            <v>15000</v>
          </cell>
        </row>
        <row r="169">
          <cell r="I169">
            <v>406000</v>
          </cell>
        </row>
        <row r="170">
          <cell r="I170">
            <v>11000</v>
          </cell>
          <cell r="J170">
            <v>11000</v>
          </cell>
          <cell r="K170">
            <v>11000</v>
          </cell>
        </row>
        <row r="171">
          <cell r="I171">
            <v>20000</v>
          </cell>
          <cell r="J171">
            <v>20000</v>
          </cell>
          <cell r="K171">
            <v>20000</v>
          </cell>
        </row>
        <row r="172">
          <cell r="I172">
            <v>17000</v>
          </cell>
          <cell r="J172">
            <v>17000</v>
          </cell>
          <cell r="K172">
            <v>17000</v>
          </cell>
        </row>
        <row r="173">
          <cell r="I173">
            <v>11000</v>
          </cell>
          <cell r="J173">
            <v>11000</v>
          </cell>
          <cell r="K173">
            <v>11000</v>
          </cell>
        </row>
        <row r="174">
          <cell r="I174">
            <v>17000</v>
          </cell>
          <cell r="J174">
            <v>17000</v>
          </cell>
          <cell r="K174">
            <v>17000</v>
          </cell>
        </row>
        <row r="175">
          <cell r="I175">
            <v>23000</v>
          </cell>
          <cell r="J175">
            <v>23000</v>
          </cell>
          <cell r="K175">
            <v>23000</v>
          </cell>
        </row>
        <row r="176">
          <cell r="I176">
            <v>16000</v>
          </cell>
          <cell r="J176">
            <v>16000</v>
          </cell>
          <cell r="K176">
            <v>16000</v>
          </cell>
        </row>
        <row r="177">
          <cell r="I177">
            <v>700000</v>
          </cell>
          <cell r="J177">
            <v>700000</v>
          </cell>
          <cell r="K177">
            <v>700000</v>
          </cell>
        </row>
        <row r="178">
          <cell r="I178">
            <v>1160000</v>
          </cell>
          <cell r="J178">
            <v>1160000</v>
          </cell>
          <cell r="K178">
            <v>1160000</v>
          </cell>
        </row>
        <row r="179">
          <cell r="I179">
            <v>8600</v>
          </cell>
          <cell r="J179">
            <v>8600</v>
          </cell>
          <cell r="K179">
            <v>8600</v>
          </cell>
        </row>
        <row r="180">
          <cell r="I180">
            <v>76000</v>
          </cell>
          <cell r="J180">
            <v>76000</v>
          </cell>
          <cell r="K180">
            <v>76000</v>
          </cell>
        </row>
        <row r="181">
          <cell r="I181">
            <v>61000</v>
          </cell>
        </row>
        <row r="182">
          <cell r="I182">
            <v>81000</v>
          </cell>
          <cell r="J182">
            <v>81000</v>
          </cell>
          <cell r="K182">
            <v>81000</v>
          </cell>
        </row>
        <row r="183">
          <cell r="I183">
            <v>759000</v>
          </cell>
          <cell r="J183">
            <v>759000</v>
          </cell>
          <cell r="K183">
            <v>759000</v>
          </cell>
        </row>
        <row r="184">
          <cell r="I184">
            <v>935000</v>
          </cell>
          <cell r="J184">
            <v>935000</v>
          </cell>
          <cell r="K184">
            <v>935000</v>
          </cell>
        </row>
        <row r="185">
          <cell r="I185">
            <v>1169000</v>
          </cell>
          <cell r="J185">
            <v>1169000</v>
          </cell>
          <cell r="K185">
            <v>1169000</v>
          </cell>
        </row>
        <row r="186">
          <cell r="I186">
            <v>1403000</v>
          </cell>
          <cell r="J186">
            <v>1403000</v>
          </cell>
          <cell r="K186">
            <v>1403000</v>
          </cell>
        </row>
        <row r="187">
          <cell r="I187">
            <v>2100</v>
          </cell>
          <cell r="J187">
            <v>2100</v>
          </cell>
          <cell r="K187">
            <v>2100</v>
          </cell>
        </row>
        <row r="190">
          <cell r="I190">
            <v>8200</v>
          </cell>
          <cell r="J190">
            <v>8200</v>
          </cell>
          <cell r="K190">
            <v>8200</v>
          </cell>
        </row>
        <row r="191">
          <cell r="I191">
            <v>14100</v>
          </cell>
          <cell r="J191">
            <v>14100</v>
          </cell>
          <cell r="K191">
            <v>14100</v>
          </cell>
        </row>
        <row r="192">
          <cell r="I192">
            <v>11600</v>
          </cell>
          <cell r="J192">
            <v>11600</v>
          </cell>
          <cell r="K192">
            <v>11600</v>
          </cell>
        </row>
        <row r="193">
          <cell r="I193">
            <v>9400</v>
          </cell>
          <cell r="J193">
            <v>9400</v>
          </cell>
          <cell r="K193">
            <v>9400</v>
          </cell>
        </row>
        <row r="194">
          <cell r="I194">
            <v>18000</v>
          </cell>
          <cell r="J194">
            <v>18000</v>
          </cell>
          <cell r="K194">
            <v>18000</v>
          </cell>
        </row>
        <row r="196">
          <cell r="I196">
            <v>5700</v>
          </cell>
          <cell r="J196">
            <v>5700</v>
          </cell>
          <cell r="K196">
            <v>5700</v>
          </cell>
        </row>
        <row r="197">
          <cell r="I197">
            <v>6000</v>
          </cell>
          <cell r="J197">
            <v>6000</v>
          </cell>
          <cell r="K197">
            <v>6000</v>
          </cell>
        </row>
        <row r="198">
          <cell r="I198">
            <v>8600</v>
          </cell>
          <cell r="J198">
            <v>8600</v>
          </cell>
          <cell r="K198">
            <v>8600</v>
          </cell>
        </row>
        <row r="199">
          <cell r="I199">
            <v>13700</v>
          </cell>
          <cell r="J199">
            <v>13700</v>
          </cell>
          <cell r="K199">
            <v>13700</v>
          </cell>
        </row>
        <row r="200">
          <cell r="I200">
            <v>9400</v>
          </cell>
          <cell r="J200">
            <v>9400</v>
          </cell>
          <cell r="K200">
            <v>9400</v>
          </cell>
        </row>
        <row r="201">
          <cell r="I201">
            <v>8100</v>
          </cell>
        </row>
        <row r="202">
          <cell r="I202">
            <v>8200</v>
          </cell>
          <cell r="J202">
            <v>8200</v>
          </cell>
          <cell r="K202">
            <v>8200</v>
          </cell>
        </row>
        <row r="203">
          <cell r="I203">
            <v>3300</v>
          </cell>
          <cell r="J203">
            <v>3300</v>
          </cell>
          <cell r="K203">
            <v>3300</v>
          </cell>
        </row>
        <row r="204">
          <cell r="I204">
            <v>4800</v>
          </cell>
          <cell r="J204">
            <v>4800</v>
          </cell>
          <cell r="K204">
            <v>4800</v>
          </cell>
        </row>
        <row r="205">
          <cell r="I205">
            <v>4800</v>
          </cell>
          <cell r="J205">
            <v>4800</v>
          </cell>
          <cell r="K205">
            <v>4800</v>
          </cell>
        </row>
        <row r="206">
          <cell r="I206">
            <v>1200</v>
          </cell>
        </row>
        <row r="207">
          <cell r="I207">
            <v>75000</v>
          </cell>
        </row>
        <row r="208">
          <cell r="I208">
            <v>5040000</v>
          </cell>
        </row>
        <row r="209">
          <cell r="I209">
            <v>23300</v>
          </cell>
          <cell r="J209">
            <v>23300</v>
          </cell>
          <cell r="K209">
            <v>23300</v>
          </cell>
        </row>
        <row r="210">
          <cell r="I210">
            <v>35000</v>
          </cell>
          <cell r="J210">
            <v>35000</v>
          </cell>
          <cell r="K210">
            <v>35000</v>
          </cell>
        </row>
        <row r="211">
          <cell r="I211">
            <v>90000</v>
          </cell>
          <cell r="J211">
            <v>90000</v>
          </cell>
          <cell r="K211">
            <v>90000</v>
          </cell>
        </row>
        <row r="212">
          <cell r="I212">
            <v>285000</v>
          </cell>
          <cell r="J212">
            <v>285000</v>
          </cell>
          <cell r="K212">
            <v>285000</v>
          </cell>
        </row>
        <row r="213">
          <cell r="I213">
            <v>306000</v>
          </cell>
          <cell r="J213">
            <v>306000</v>
          </cell>
          <cell r="K213">
            <v>306000</v>
          </cell>
        </row>
        <row r="214">
          <cell r="I214">
            <v>190000</v>
          </cell>
          <cell r="J214">
            <v>137000</v>
          </cell>
          <cell r="K214">
            <v>137000</v>
          </cell>
        </row>
        <row r="215">
          <cell r="I215">
            <v>341000</v>
          </cell>
          <cell r="J215">
            <v>341000</v>
          </cell>
          <cell r="K215">
            <v>341000</v>
          </cell>
        </row>
        <row r="216">
          <cell r="I216">
            <v>257000</v>
          </cell>
          <cell r="J216">
            <v>257000</v>
          </cell>
          <cell r="K216">
            <v>257000</v>
          </cell>
        </row>
        <row r="217">
          <cell r="I217">
            <v>417000</v>
          </cell>
          <cell r="J217">
            <v>417000</v>
          </cell>
          <cell r="K217">
            <v>417000</v>
          </cell>
        </row>
        <row r="218">
          <cell r="I218">
            <v>514000</v>
          </cell>
          <cell r="J218">
            <v>514000</v>
          </cell>
          <cell r="K218">
            <v>514000</v>
          </cell>
        </row>
        <row r="219">
          <cell r="I219">
            <v>642000</v>
          </cell>
          <cell r="J219">
            <v>642000</v>
          </cell>
          <cell r="K219">
            <v>642000</v>
          </cell>
        </row>
        <row r="220">
          <cell r="I220">
            <v>1021000</v>
          </cell>
          <cell r="J220">
            <v>1021000</v>
          </cell>
          <cell r="K220">
            <v>1021000</v>
          </cell>
        </row>
        <row r="221">
          <cell r="I221">
            <v>466000</v>
          </cell>
          <cell r="J221">
            <v>466000</v>
          </cell>
          <cell r="K221">
            <v>466000</v>
          </cell>
        </row>
        <row r="222">
          <cell r="I222">
            <v>52000</v>
          </cell>
          <cell r="J222">
            <v>52000</v>
          </cell>
          <cell r="K222">
            <v>52000</v>
          </cell>
        </row>
        <row r="223">
          <cell r="I223">
            <v>6900</v>
          </cell>
          <cell r="J223">
            <v>6900</v>
          </cell>
          <cell r="K223">
            <v>6900</v>
          </cell>
        </row>
        <row r="224">
          <cell r="I224">
            <v>9400</v>
          </cell>
          <cell r="J224">
            <v>9400</v>
          </cell>
          <cell r="K224">
            <v>9400</v>
          </cell>
        </row>
        <row r="225">
          <cell r="I225">
            <v>11600</v>
          </cell>
          <cell r="J225">
            <v>11600</v>
          </cell>
          <cell r="K225">
            <v>11600</v>
          </cell>
        </row>
        <row r="226">
          <cell r="I226">
            <v>233000</v>
          </cell>
          <cell r="J226">
            <v>233000</v>
          </cell>
          <cell r="K226">
            <v>233000</v>
          </cell>
        </row>
        <row r="227">
          <cell r="I227">
            <v>233000</v>
          </cell>
          <cell r="J227">
            <v>233000</v>
          </cell>
          <cell r="K227">
            <v>233000</v>
          </cell>
        </row>
        <row r="228">
          <cell r="I228">
            <v>158000</v>
          </cell>
        </row>
        <row r="229">
          <cell r="I229">
            <v>85000</v>
          </cell>
          <cell r="J229">
            <v>85000</v>
          </cell>
          <cell r="K229">
            <v>85000</v>
          </cell>
        </row>
        <row r="230">
          <cell r="I230">
            <v>67000</v>
          </cell>
          <cell r="J230">
            <v>67000</v>
          </cell>
          <cell r="K230">
            <v>67000</v>
          </cell>
        </row>
        <row r="231">
          <cell r="I231">
            <v>5200</v>
          </cell>
          <cell r="J231">
            <v>5200</v>
          </cell>
          <cell r="K231">
            <v>5200</v>
          </cell>
        </row>
        <row r="232">
          <cell r="I232">
            <v>10000</v>
          </cell>
          <cell r="J232">
            <v>10000</v>
          </cell>
          <cell r="K232">
            <v>10000</v>
          </cell>
        </row>
        <row r="233">
          <cell r="I233">
            <v>15800</v>
          </cell>
          <cell r="J233">
            <v>15800</v>
          </cell>
          <cell r="K233">
            <v>15800</v>
          </cell>
        </row>
        <row r="234">
          <cell r="I234">
            <v>11600</v>
          </cell>
          <cell r="J234">
            <v>11600</v>
          </cell>
          <cell r="K234">
            <v>11600</v>
          </cell>
        </row>
        <row r="235">
          <cell r="I235">
            <v>20000</v>
          </cell>
          <cell r="J235">
            <v>20000</v>
          </cell>
          <cell r="K235">
            <v>20000</v>
          </cell>
        </row>
        <row r="236">
          <cell r="I236">
            <v>10000</v>
          </cell>
          <cell r="J236">
            <v>10000</v>
          </cell>
          <cell r="K236">
            <v>10000</v>
          </cell>
        </row>
        <row r="237">
          <cell r="I237">
            <v>21000</v>
          </cell>
          <cell r="J237">
            <v>21000</v>
          </cell>
          <cell r="K237">
            <v>21000</v>
          </cell>
        </row>
        <row r="238">
          <cell r="I238">
            <v>46000</v>
          </cell>
          <cell r="J238">
            <v>46000</v>
          </cell>
          <cell r="K238">
            <v>46000</v>
          </cell>
        </row>
        <row r="239">
          <cell r="I239">
            <v>569000</v>
          </cell>
        </row>
        <row r="240">
          <cell r="I240">
            <v>14600</v>
          </cell>
          <cell r="J240">
            <v>14600</v>
          </cell>
          <cell r="K240">
            <v>14600</v>
          </cell>
        </row>
        <row r="241">
          <cell r="I241">
            <v>162000</v>
          </cell>
        </row>
        <row r="242">
          <cell r="I242">
            <v>135000</v>
          </cell>
          <cell r="J242">
            <v>135000</v>
          </cell>
          <cell r="K242">
            <v>135000</v>
          </cell>
        </row>
        <row r="243">
          <cell r="I243">
            <v>5700</v>
          </cell>
          <cell r="J243">
            <v>5700</v>
          </cell>
          <cell r="K243">
            <v>5700</v>
          </cell>
        </row>
        <row r="244">
          <cell r="I244">
            <v>6900</v>
          </cell>
          <cell r="J244">
            <v>6900</v>
          </cell>
          <cell r="K244">
            <v>6900</v>
          </cell>
        </row>
        <row r="245">
          <cell r="I245">
            <v>1929000</v>
          </cell>
          <cell r="J245">
            <v>1929000</v>
          </cell>
          <cell r="K245">
            <v>1929000</v>
          </cell>
        </row>
        <row r="246">
          <cell r="I246">
            <v>935000</v>
          </cell>
          <cell r="J246">
            <v>935000</v>
          </cell>
          <cell r="K246">
            <v>935000</v>
          </cell>
        </row>
        <row r="247">
          <cell r="I247">
            <v>291000</v>
          </cell>
          <cell r="J247">
            <v>291000</v>
          </cell>
          <cell r="K247">
            <v>291000</v>
          </cell>
        </row>
        <row r="248">
          <cell r="I248">
            <v>93000</v>
          </cell>
          <cell r="J248">
            <v>93000</v>
          </cell>
          <cell r="K248">
            <v>93000</v>
          </cell>
        </row>
        <row r="249">
          <cell r="I249">
            <v>122000</v>
          </cell>
          <cell r="J249">
            <v>122000</v>
          </cell>
          <cell r="K249">
            <v>122000</v>
          </cell>
        </row>
        <row r="250">
          <cell r="I250">
            <v>221000</v>
          </cell>
          <cell r="J250">
            <v>221000</v>
          </cell>
          <cell r="K250">
            <v>221000</v>
          </cell>
        </row>
        <row r="251">
          <cell r="I251">
            <v>280000</v>
          </cell>
          <cell r="J251">
            <v>280000</v>
          </cell>
          <cell r="K251">
            <v>280000</v>
          </cell>
        </row>
        <row r="252">
          <cell r="I252">
            <v>116000</v>
          </cell>
          <cell r="J252">
            <v>116000</v>
          </cell>
          <cell r="K252">
            <v>116000</v>
          </cell>
        </row>
        <row r="253">
          <cell r="I253">
            <v>650000</v>
          </cell>
          <cell r="J253">
            <v>650000</v>
          </cell>
          <cell r="K253">
            <v>650000</v>
          </cell>
        </row>
        <row r="254">
          <cell r="I254">
            <v>93000</v>
          </cell>
          <cell r="J254">
            <v>93000</v>
          </cell>
          <cell r="K254">
            <v>93000</v>
          </cell>
        </row>
        <row r="255">
          <cell r="I255">
            <v>104000</v>
          </cell>
          <cell r="J255">
            <v>104000</v>
          </cell>
          <cell r="K255">
            <v>104000</v>
          </cell>
        </row>
        <row r="256">
          <cell r="I256">
            <v>9353000</v>
          </cell>
          <cell r="J256">
            <v>9353000</v>
          </cell>
          <cell r="K256">
            <v>9353000</v>
          </cell>
        </row>
        <row r="257">
          <cell r="I257">
            <v>252000</v>
          </cell>
        </row>
        <row r="258">
          <cell r="I258">
            <v>35000</v>
          </cell>
          <cell r="J258">
            <v>35000</v>
          </cell>
          <cell r="K258">
            <v>35000</v>
          </cell>
        </row>
        <row r="259">
          <cell r="I259">
            <v>230000</v>
          </cell>
        </row>
        <row r="260">
          <cell r="I260">
            <v>57000</v>
          </cell>
          <cell r="J260">
            <v>57000</v>
          </cell>
          <cell r="K260">
            <v>57000</v>
          </cell>
        </row>
        <row r="261">
          <cell r="I261">
            <v>99000</v>
          </cell>
          <cell r="J261">
            <v>99000</v>
          </cell>
          <cell r="K261">
            <v>99000</v>
          </cell>
        </row>
        <row r="262">
          <cell r="I262">
            <v>162000</v>
          </cell>
        </row>
        <row r="263">
          <cell r="I263">
            <v>1016000</v>
          </cell>
        </row>
        <row r="264">
          <cell r="I264">
            <v>25500</v>
          </cell>
          <cell r="J264">
            <v>25500</v>
          </cell>
          <cell r="K264">
            <v>25500</v>
          </cell>
        </row>
        <row r="265">
          <cell r="I265">
            <v>12500</v>
          </cell>
          <cell r="J265">
            <v>12500</v>
          </cell>
          <cell r="K265">
            <v>12500</v>
          </cell>
        </row>
        <row r="266">
          <cell r="I266">
            <v>19000</v>
          </cell>
          <cell r="J266">
            <v>19000</v>
          </cell>
          <cell r="K266">
            <v>19000</v>
          </cell>
        </row>
        <row r="267">
          <cell r="I267">
            <v>526000</v>
          </cell>
          <cell r="J267">
            <v>526000</v>
          </cell>
          <cell r="K267">
            <v>526000</v>
          </cell>
        </row>
        <row r="268">
          <cell r="I268">
            <v>25000</v>
          </cell>
        </row>
        <row r="269">
          <cell r="I269">
            <v>29000</v>
          </cell>
          <cell r="J269">
            <v>29000</v>
          </cell>
          <cell r="K269">
            <v>29000</v>
          </cell>
        </row>
        <row r="270">
          <cell r="I270">
            <v>16000</v>
          </cell>
        </row>
        <row r="271">
          <cell r="I271">
            <v>262000</v>
          </cell>
          <cell r="J271">
            <v>262000</v>
          </cell>
          <cell r="K271">
            <v>262000</v>
          </cell>
        </row>
        <row r="272">
          <cell r="I272">
            <v>1200</v>
          </cell>
          <cell r="J272">
            <v>1200</v>
          </cell>
          <cell r="K272">
            <v>1200</v>
          </cell>
        </row>
        <row r="273">
          <cell r="I273">
            <v>16807000</v>
          </cell>
          <cell r="J273">
            <v>16807000</v>
          </cell>
          <cell r="K273">
            <v>16807000</v>
          </cell>
        </row>
        <row r="274">
          <cell r="I274">
            <v>18269000</v>
          </cell>
          <cell r="J274">
            <v>18269000</v>
          </cell>
          <cell r="K274">
            <v>18269000</v>
          </cell>
        </row>
        <row r="275">
          <cell r="I275">
            <v>14000</v>
          </cell>
          <cell r="J275">
            <v>14000</v>
          </cell>
          <cell r="K275">
            <v>14000</v>
          </cell>
        </row>
        <row r="276">
          <cell r="I276">
            <v>1753000</v>
          </cell>
          <cell r="J276">
            <v>1753000</v>
          </cell>
          <cell r="K276">
            <v>1753000</v>
          </cell>
        </row>
        <row r="277">
          <cell r="I277">
            <v>4700</v>
          </cell>
          <cell r="J277">
            <v>4700</v>
          </cell>
          <cell r="K277">
            <v>4700</v>
          </cell>
        </row>
        <row r="278">
          <cell r="I278">
            <v>32154000</v>
          </cell>
          <cell r="J278">
            <v>32154000</v>
          </cell>
          <cell r="K278">
            <v>32154000</v>
          </cell>
        </row>
        <row r="279">
          <cell r="I279">
            <v>32154000</v>
          </cell>
          <cell r="J279">
            <v>32154000</v>
          </cell>
          <cell r="K279">
            <v>32154000</v>
          </cell>
        </row>
        <row r="280">
          <cell r="I280">
            <v>23384000</v>
          </cell>
          <cell r="J280">
            <v>23384000</v>
          </cell>
          <cell r="K280">
            <v>23384000</v>
          </cell>
        </row>
        <row r="281">
          <cell r="I281">
            <v>21922000</v>
          </cell>
          <cell r="J281">
            <v>21922000</v>
          </cell>
          <cell r="K281">
            <v>21922000</v>
          </cell>
        </row>
        <row r="282">
          <cell r="I282">
            <v>34799000</v>
          </cell>
          <cell r="J282">
            <v>34799000</v>
          </cell>
          <cell r="K282">
            <v>34799000</v>
          </cell>
        </row>
        <row r="283">
          <cell r="I283">
            <v>466000</v>
          </cell>
          <cell r="J283">
            <v>466000</v>
          </cell>
          <cell r="K283">
            <v>466000</v>
          </cell>
        </row>
        <row r="284">
          <cell r="I284">
            <v>13884000</v>
          </cell>
          <cell r="J284">
            <v>13884000</v>
          </cell>
          <cell r="K284">
            <v>13884000</v>
          </cell>
        </row>
        <row r="285">
          <cell r="I285">
            <v>15346000</v>
          </cell>
          <cell r="J285">
            <v>15346000</v>
          </cell>
          <cell r="K285">
            <v>15346000</v>
          </cell>
        </row>
        <row r="286">
          <cell r="I286">
            <v>1463000</v>
          </cell>
        </row>
        <row r="287">
          <cell r="I287">
            <v>10230000</v>
          </cell>
          <cell r="J287">
            <v>10230000</v>
          </cell>
          <cell r="K287">
            <v>10230000</v>
          </cell>
        </row>
        <row r="288">
          <cell r="I288">
            <v>10960000</v>
          </cell>
          <cell r="J288">
            <v>10960000</v>
          </cell>
          <cell r="K288">
            <v>10960000</v>
          </cell>
        </row>
        <row r="289">
          <cell r="I289">
            <v>8600</v>
          </cell>
          <cell r="J289">
            <v>8600</v>
          </cell>
          <cell r="K289">
            <v>8600</v>
          </cell>
        </row>
        <row r="290">
          <cell r="I290">
            <v>9500000</v>
          </cell>
          <cell r="J290">
            <v>9500000</v>
          </cell>
          <cell r="K290">
            <v>9500000</v>
          </cell>
        </row>
        <row r="291">
          <cell r="I291">
            <v>10230000</v>
          </cell>
          <cell r="J291">
            <v>10230000</v>
          </cell>
          <cell r="K291">
            <v>10230000</v>
          </cell>
        </row>
        <row r="292">
          <cell r="I292">
            <v>7307000</v>
          </cell>
          <cell r="J292">
            <v>7307000</v>
          </cell>
          <cell r="K292">
            <v>7307000</v>
          </cell>
        </row>
        <row r="293">
          <cell r="I293">
            <v>2191000</v>
          </cell>
          <cell r="J293">
            <v>2191000</v>
          </cell>
          <cell r="K293">
            <v>2191000</v>
          </cell>
        </row>
        <row r="294">
          <cell r="I294">
            <v>2557000</v>
          </cell>
          <cell r="J294">
            <v>2557000</v>
          </cell>
          <cell r="K294">
            <v>2557000</v>
          </cell>
        </row>
        <row r="295">
          <cell r="I295">
            <v>2922000</v>
          </cell>
          <cell r="J295">
            <v>2922000</v>
          </cell>
          <cell r="K295">
            <v>2922000</v>
          </cell>
        </row>
        <row r="296">
          <cell r="I296">
            <v>12000</v>
          </cell>
        </row>
        <row r="297">
          <cell r="I297">
            <v>181000</v>
          </cell>
          <cell r="J297">
            <v>181000</v>
          </cell>
          <cell r="K297">
            <v>181000</v>
          </cell>
        </row>
        <row r="298">
          <cell r="I298">
            <v>7200</v>
          </cell>
          <cell r="J298">
            <v>7200</v>
          </cell>
          <cell r="K298">
            <v>7200</v>
          </cell>
        </row>
        <row r="299">
          <cell r="I299">
            <v>14000</v>
          </cell>
        </row>
        <row r="300">
          <cell r="I300">
            <v>57000</v>
          </cell>
          <cell r="J300">
            <v>57000</v>
          </cell>
          <cell r="K300">
            <v>57000</v>
          </cell>
        </row>
        <row r="301">
          <cell r="I301">
            <v>63000</v>
          </cell>
          <cell r="J301">
            <v>63000</v>
          </cell>
          <cell r="K301">
            <v>63000</v>
          </cell>
        </row>
        <row r="302">
          <cell r="I302">
            <v>69000</v>
          </cell>
          <cell r="J302">
            <v>69000</v>
          </cell>
          <cell r="K302">
            <v>69000</v>
          </cell>
        </row>
        <row r="303">
          <cell r="I303">
            <v>51000</v>
          </cell>
          <cell r="J303">
            <v>51000</v>
          </cell>
          <cell r="K303">
            <v>51000</v>
          </cell>
        </row>
        <row r="304">
          <cell r="I304">
            <v>60000</v>
          </cell>
          <cell r="J304">
            <v>60000</v>
          </cell>
          <cell r="K304">
            <v>60000</v>
          </cell>
        </row>
        <row r="305">
          <cell r="I305">
            <v>102000</v>
          </cell>
          <cell r="J305">
            <v>102000</v>
          </cell>
          <cell r="K305">
            <v>102000</v>
          </cell>
        </row>
        <row r="306">
          <cell r="I306">
            <v>69000</v>
          </cell>
          <cell r="J306">
            <v>69000</v>
          </cell>
          <cell r="K306">
            <v>69000</v>
          </cell>
        </row>
        <row r="307">
          <cell r="I307">
            <v>87000</v>
          </cell>
          <cell r="J307">
            <v>87000</v>
          </cell>
          <cell r="K307">
            <v>87000</v>
          </cell>
        </row>
        <row r="308">
          <cell r="I308">
            <v>63000</v>
          </cell>
          <cell r="J308">
            <v>63000</v>
          </cell>
          <cell r="K308">
            <v>63000</v>
          </cell>
        </row>
        <row r="309">
          <cell r="I309">
            <v>76000</v>
          </cell>
          <cell r="J309">
            <v>76000</v>
          </cell>
          <cell r="K309">
            <v>76000</v>
          </cell>
        </row>
        <row r="310">
          <cell r="I310">
            <v>231000</v>
          </cell>
        </row>
        <row r="311">
          <cell r="I311">
            <v>338000</v>
          </cell>
          <cell r="J311">
            <v>338000</v>
          </cell>
          <cell r="K311">
            <v>338000</v>
          </cell>
        </row>
        <row r="312">
          <cell r="I312">
            <v>29000</v>
          </cell>
          <cell r="J312">
            <v>29000</v>
          </cell>
          <cell r="K312">
            <v>29000</v>
          </cell>
        </row>
        <row r="313">
          <cell r="I313">
            <v>72000</v>
          </cell>
          <cell r="J313">
            <v>72000</v>
          </cell>
          <cell r="K313">
            <v>72000</v>
          </cell>
        </row>
        <row r="314">
          <cell r="I314">
            <v>19000</v>
          </cell>
          <cell r="J314">
            <v>19000</v>
          </cell>
          <cell r="K314">
            <v>19000</v>
          </cell>
        </row>
        <row r="315">
          <cell r="I315">
            <v>32000</v>
          </cell>
          <cell r="J315">
            <v>32000</v>
          </cell>
          <cell r="K315">
            <v>32000</v>
          </cell>
        </row>
        <row r="316">
          <cell r="I316">
            <v>64000</v>
          </cell>
          <cell r="J316">
            <v>64000</v>
          </cell>
          <cell r="K316">
            <v>64000</v>
          </cell>
        </row>
        <row r="317">
          <cell r="I317">
            <v>23000</v>
          </cell>
          <cell r="J317">
            <v>23000</v>
          </cell>
          <cell r="K317">
            <v>23000</v>
          </cell>
        </row>
        <row r="318">
          <cell r="I318">
            <v>29500</v>
          </cell>
          <cell r="J318">
            <v>29500</v>
          </cell>
          <cell r="K318">
            <v>29500</v>
          </cell>
        </row>
        <row r="319">
          <cell r="I319">
            <v>73000</v>
          </cell>
          <cell r="J319">
            <v>73000</v>
          </cell>
          <cell r="K319">
            <v>73000</v>
          </cell>
        </row>
        <row r="320">
          <cell r="I320">
            <v>20000</v>
          </cell>
          <cell r="J320">
            <v>20000</v>
          </cell>
          <cell r="K320">
            <v>20000</v>
          </cell>
        </row>
        <row r="321">
          <cell r="I321">
            <v>35000</v>
          </cell>
          <cell r="J321">
            <v>35000</v>
          </cell>
          <cell r="K321">
            <v>35000</v>
          </cell>
        </row>
        <row r="322">
          <cell r="I322">
            <v>52000</v>
          </cell>
          <cell r="J322">
            <v>52000</v>
          </cell>
          <cell r="K322">
            <v>52000</v>
          </cell>
        </row>
        <row r="323">
          <cell r="I323">
            <v>46000</v>
          </cell>
          <cell r="J323">
            <v>46000</v>
          </cell>
          <cell r="K323">
            <v>46000</v>
          </cell>
        </row>
        <row r="324">
          <cell r="I324">
            <v>600</v>
          </cell>
        </row>
        <row r="325">
          <cell r="I325">
            <v>110000</v>
          </cell>
          <cell r="J325">
            <v>110000</v>
          </cell>
          <cell r="K325">
            <v>110000</v>
          </cell>
        </row>
        <row r="326">
          <cell r="I326">
            <v>81500</v>
          </cell>
          <cell r="J326">
            <v>81500</v>
          </cell>
          <cell r="K326">
            <v>81500</v>
          </cell>
        </row>
        <row r="327">
          <cell r="I327">
            <v>163000</v>
          </cell>
          <cell r="J327">
            <v>163000</v>
          </cell>
          <cell r="K327">
            <v>163000</v>
          </cell>
        </row>
        <row r="328">
          <cell r="I328">
            <v>116000</v>
          </cell>
          <cell r="J328">
            <v>116000</v>
          </cell>
          <cell r="K328">
            <v>116000</v>
          </cell>
        </row>
        <row r="329">
          <cell r="I329">
            <v>93000</v>
          </cell>
          <cell r="J329">
            <v>93000</v>
          </cell>
          <cell r="K329">
            <v>93000</v>
          </cell>
        </row>
        <row r="330">
          <cell r="I330">
            <v>76000</v>
          </cell>
          <cell r="J330">
            <v>76000</v>
          </cell>
          <cell r="K330">
            <v>76000</v>
          </cell>
        </row>
        <row r="331">
          <cell r="I331">
            <v>15500</v>
          </cell>
          <cell r="J331">
            <v>15500</v>
          </cell>
          <cell r="K331">
            <v>15500</v>
          </cell>
        </row>
        <row r="332">
          <cell r="I332">
            <v>40000</v>
          </cell>
          <cell r="J332">
            <v>40000</v>
          </cell>
          <cell r="K332">
            <v>40000</v>
          </cell>
        </row>
        <row r="333">
          <cell r="I333">
            <v>43500</v>
          </cell>
          <cell r="J333">
            <v>43500</v>
          </cell>
          <cell r="K333">
            <v>43500</v>
          </cell>
        </row>
        <row r="334">
          <cell r="I334">
            <v>58000</v>
          </cell>
          <cell r="J334">
            <v>58000</v>
          </cell>
          <cell r="K334">
            <v>58000</v>
          </cell>
        </row>
        <row r="335">
          <cell r="I335">
            <v>233000</v>
          </cell>
        </row>
        <row r="336">
          <cell r="I336">
            <v>14500</v>
          </cell>
          <cell r="J336">
            <v>14500</v>
          </cell>
          <cell r="K336">
            <v>14500</v>
          </cell>
        </row>
        <row r="337">
          <cell r="I337">
            <v>14000</v>
          </cell>
          <cell r="J337">
            <v>14000</v>
          </cell>
          <cell r="K337">
            <v>14000</v>
          </cell>
        </row>
        <row r="338">
          <cell r="I338">
            <v>64000</v>
          </cell>
          <cell r="J338">
            <v>64000</v>
          </cell>
          <cell r="K338">
            <v>64000</v>
          </cell>
        </row>
        <row r="339">
          <cell r="I339">
            <v>64000</v>
          </cell>
          <cell r="J339">
            <v>64000</v>
          </cell>
          <cell r="K339">
            <v>64000</v>
          </cell>
        </row>
        <row r="340">
          <cell r="I340">
            <v>14000</v>
          </cell>
          <cell r="J340">
            <v>14000</v>
          </cell>
          <cell r="K340">
            <v>14000</v>
          </cell>
        </row>
        <row r="341">
          <cell r="I341">
            <v>3215000</v>
          </cell>
          <cell r="J341">
            <v>3215000</v>
          </cell>
          <cell r="K341">
            <v>3215000</v>
          </cell>
        </row>
        <row r="342">
          <cell r="I342">
            <v>1607000</v>
          </cell>
          <cell r="J342">
            <v>1607000</v>
          </cell>
          <cell r="K342">
            <v>1607000</v>
          </cell>
        </row>
        <row r="343">
          <cell r="I343">
            <v>50000</v>
          </cell>
        </row>
        <row r="344">
          <cell r="I344">
            <v>256000</v>
          </cell>
        </row>
        <row r="345">
          <cell r="I345">
            <v>89000</v>
          </cell>
          <cell r="J345">
            <v>89000</v>
          </cell>
          <cell r="K345">
            <v>89000</v>
          </cell>
        </row>
        <row r="346">
          <cell r="I346">
            <v>108000</v>
          </cell>
          <cell r="J346">
            <v>108000</v>
          </cell>
          <cell r="K346">
            <v>108000</v>
          </cell>
        </row>
        <row r="347">
          <cell r="I347">
            <v>128000</v>
          </cell>
          <cell r="J347">
            <v>128000</v>
          </cell>
          <cell r="K347">
            <v>128000</v>
          </cell>
        </row>
        <row r="348">
          <cell r="I348">
            <v>257000</v>
          </cell>
          <cell r="J348">
            <v>257000</v>
          </cell>
          <cell r="K348">
            <v>257000</v>
          </cell>
        </row>
        <row r="349">
          <cell r="I349">
            <v>320000</v>
          </cell>
          <cell r="J349">
            <v>320000</v>
          </cell>
          <cell r="K349">
            <v>320000</v>
          </cell>
        </row>
        <row r="350">
          <cell r="I350">
            <v>5000</v>
          </cell>
        </row>
        <row r="351">
          <cell r="I351">
            <v>5796000</v>
          </cell>
        </row>
        <row r="352">
          <cell r="I352">
            <v>5426000</v>
          </cell>
        </row>
        <row r="353">
          <cell r="I353">
            <v>7900</v>
          </cell>
          <cell r="J353">
            <v>7900</v>
          </cell>
          <cell r="K353">
            <v>7900</v>
          </cell>
        </row>
        <row r="354">
          <cell r="I354">
            <v>10500</v>
          </cell>
          <cell r="J354">
            <v>10500</v>
          </cell>
          <cell r="K354">
            <v>10500</v>
          </cell>
        </row>
        <row r="355">
          <cell r="I355">
            <v>17000</v>
          </cell>
          <cell r="J355">
            <v>17000</v>
          </cell>
          <cell r="K355">
            <v>17000</v>
          </cell>
        </row>
        <row r="356">
          <cell r="I356">
            <v>12500</v>
          </cell>
          <cell r="J356">
            <v>12500</v>
          </cell>
          <cell r="K356">
            <v>12500</v>
          </cell>
        </row>
        <row r="357">
          <cell r="I357">
            <v>23000</v>
          </cell>
          <cell r="J357">
            <v>23000</v>
          </cell>
          <cell r="K357">
            <v>23000</v>
          </cell>
        </row>
        <row r="358">
          <cell r="I358">
            <v>10500</v>
          </cell>
          <cell r="J358">
            <v>10500</v>
          </cell>
          <cell r="K358">
            <v>10500</v>
          </cell>
        </row>
        <row r="359">
          <cell r="I359">
            <v>8500</v>
          </cell>
          <cell r="J359">
            <v>8500</v>
          </cell>
          <cell r="K359">
            <v>8500</v>
          </cell>
        </row>
        <row r="360">
          <cell r="I360">
            <v>8000</v>
          </cell>
        </row>
        <row r="361">
          <cell r="I361">
            <v>10000</v>
          </cell>
        </row>
        <row r="362">
          <cell r="I362">
            <v>76000</v>
          </cell>
          <cell r="J362">
            <v>76000</v>
          </cell>
          <cell r="K362">
            <v>76000</v>
          </cell>
        </row>
        <row r="363">
          <cell r="I363">
            <v>116000</v>
          </cell>
          <cell r="J363">
            <v>116000</v>
          </cell>
          <cell r="K363">
            <v>116000</v>
          </cell>
        </row>
        <row r="364">
          <cell r="I364">
            <v>128000</v>
          </cell>
          <cell r="J364">
            <v>128000</v>
          </cell>
          <cell r="K364">
            <v>128000</v>
          </cell>
        </row>
        <row r="365">
          <cell r="I365">
            <v>157000</v>
          </cell>
          <cell r="J365">
            <v>157000</v>
          </cell>
          <cell r="K365">
            <v>157000</v>
          </cell>
        </row>
        <row r="366">
          <cell r="I366">
            <v>192000</v>
          </cell>
          <cell r="J366">
            <v>192000</v>
          </cell>
          <cell r="K366">
            <v>192000</v>
          </cell>
        </row>
        <row r="367">
          <cell r="I367">
            <v>224000</v>
          </cell>
          <cell r="J367">
            <v>224000</v>
          </cell>
          <cell r="K367">
            <v>224000</v>
          </cell>
        </row>
        <row r="368">
          <cell r="I368">
            <v>23000</v>
          </cell>
          <cell r="J368">
            <v>23000</v>
          </cell>
          <cell r="K368">
            <v>23000</v>
          </cell>
        </row>
        <row r="369">
          <cell r="I369">
            <v>23000</v>
          </cell>
          <cell r="J369">
            <v>23000</v>
          </cell>
          <cell r="K369">
            <v>23000</v>
          </cell>
        </row>
        <row r="370">
          <cell r="I370">
            <v>700</v>
          </cell>
          <cell r="J370">
            <v>700</v>
          </cell>
          <cell r="K370">
            <v>700</v>
          </cell>
        </row>
        <row r="371">
          <cell r="I371">
            <v>17000</v>
          </cell>
          <cell r="J371">
            <v>17000</v>
          </cell>
          <cell r="K371">
            <v>17000</v>
          </cell>
        </row>
        <row r="372">
          <cell r="I372">
            <v>26000</v>
          </cell>
          <cell r="J372">
            <v>26000</v>
          </cell>
          <cell r="K372">
            <v>26000</v>
          </cell>
        </row>
        <row r="373">
          <cell r="I373">
            <v>100</v>
          </cell>
          <cell r="J373">
            <v>100</v>
          </cell>
          <cell r="K373">
            <v>100</v>
          </cell>
        </row>
        <row r="374">
          <cell r="I374">
            <v>5700</v>
          </cell>
          <cell r="J374">
            <v>5700</v>
          </cell>
          <cell r="K374">
            <v>5700</v>
          </cell>
        </row>
        <row r="375">
          <cell r="I375">
            <v>800</v>
          </cell>
          <cell r="J375">
            <v>800</v>
          </cell>
          <cell r="K375">
            <v>800</v>
          </cell>
        </row>
        <row r="376">
          <cell r="I376">
            <v>23000</v>
          </cell>
          <cell r="J376">
            <v>23000</v>
          </cell>
          <cell r="K376">
            <v>23000</v>
          </cell>
        </row>
        <row r="377">
          <cell r="I377">
            <v>17000</v>
          </cell>
          <cell r="J377">
            <v>17000</v>
          </cell>
          <cell r="K377">
            <v>17000</v>
          </cell>
        </row>
        <row r="378">
          <cell r="I378">
            <v>5260000</v>
          </cell>
          <cell r="J378">
            <v>5260000</v>
          </cell>
          <cell r="K378">
            <v>5260000</v>
          </cell>
        </row>
        <row r="379">
          <cell r="I379">
            <v>300000</v>
          </cell>
        </row>
        <row r="380">
          <cell r="I380">
            <v>52000</v>
          </cell>
        </row>
        <row r="382">
          <cell r="I382">
            <v>260000</v>
          </cell>
          <cell r="J382">
            <v>265000</v>
          </cell>
          <cell r="K382">
            <v>270000</v>
          </cell>
        </row>
        <row r="383">
          <cell r="I383">
            <v>260000</v>
          </cell>
          <cell r="J383">
            <v>265000</v>
          </cell>
          <cell r="K383">
            <v>270000</v>
          </cell>
        </row>
        <row r="384">
          <cell r="I384">
            <v>175000</v>
          </cell>
          <cell r="J384">
            <v>175000</v>
          </cell>
          <cell r="K384">
            <v>175000</v>
          </cell>
        </row>
        <row r="385">
          <cell r="I385">
            <v>229000</v>
          </cell>
          <cell r="J385">
            <v>234000</v>
          </cell>
          <cell r="K385">
            <v>239000</v>
          </cell>
        </row>
        <row r="386">
          <cell r="I386">
            <v>145000</v>
          </cell>
          <cell r="J386">
            <v>145000</v>
          </cell>
          <cell r="K386">
            <v>145000</v>
          </cell>
        </row>
        <row r="387">
          <cell r="I387">
            <v>163000</v>
          </cell>
          <cell r="J387">
            <v>163000</v>
          </cell>
          <cell r="K387">
            <v>163000</v>
          </cell>
        </row>
        <row r="388">
          <cell r="I388">
            <v>81500</v>
          </cell>
          <cell r="J388">
            <v>81500</v>
          </cell>
          <cell r="K388">
            <v>81500</v>
          </cell>
        </row>
        <row r="389">
          <cell r="I389">
            <v>81500</v>
          </cell>
          <cell r="J389">
            <v>81500</v>
          </cell>
          <cell r="K389">
            <v>81500</v>
          </cell>
        </row>
        <row r="390">
          <cell r="I390">
            <v>93000</v>
          </cell>
          <cell r="J390">
            <v>93000</v>
          </cell>
          <cell r="K390">
            <v>93000</v>
          </cell>
        </row>
        <row r="391">
          <cell r="I391">
            <v>81500</v>
          </cell>
          <cell r="J391">
            <v>81500</v>
          </cell>
          <cell r="K391">
            <v>81500</v>
          </cell>
        </row>
        <row r="392">
          <cell r="I392">
            <v>87500</v>
          </cell>
          <cell r="J392">
            <v>87500</v>
          </cell>
          <cell r="K392">
            <v>87500</v>
          </cell>
        </row>
        <row r="393">
          <cell r="I393">
            <v>99000</v>
          </cell>
          <cell r="J393">
            <v>99000</v>
          </cell>
          <cell r="K393">
            <v>99000</v>
          </cell>
        </row>
        <row r="394">
          <cell r="I394">
            <v>104500</v>
          </cell>
          <cell r="J394">
            <v>104500</v>
          </cell>
          <cell r="K394">
            <v>104500</v>
          </cell>
        </row>
        <row r="395">
          <cell r="I395">
            <v>87500</v>
          </cell>
          <cell r="J395">
            <v>87500</v>
          </cell>
          <cell r="K395">
            <v>87500</v>
          </cell>
        </row>
        <row r="396">
          <cell r="I396">
            <v>116500</v>
          </cell>
          <cell r="J396">
            <v>116500</v>
          </cell>
          <cell r="K396">
            <v>116500</v>
          </cell>
        </row>
        <row r="397">
          <cell r="I397">
            <v>89500</v>
          </cell>
          <cell r="J397">
            <v>89500</v>
          </cell>
          <cell r="K397">
            <v>89500</v>
          </cell>
        </row>
        <row r="398">
          <cell r="I398">
            <v>99000</v>
          </cell>
          <cell r="J398">
            <v>99000</v>
          </cell>
          <cell r="K398">
            <v>99000</v>
          </cell>
        </row>
        <row r="399">
          <cell r="I399">
            <v>128000</v>
          </cell>
          <cell r="J399">
            <v>128000</v>
          </cell>
          <cell r="K399">
            <v>128000</v>
          </cell>
        </row>
        <row r="400">
          <cell r="I400">
            <v>133500</v>
          </cell>
          <cell r="J400">
            <v>133500</v>
          </cell>
          <cell r="K400">
            <v>133500</v>
          </cell>
        </row>
        <row r="401">
          <cell r="I401">
            <v>145000</v>
          </cell>
          <cell r="J401">
            <v>145000</v>
          </cell>
          <cell r="K401">
            <v>145000</v>
          </cell>
        </row>
        <row r="402">
          <cell r="I402">
            <v>151000</v>
          </cell>
          <cell r="J402">
            <v>151000</v>
          </cell>
          <cell r="K402">
            <v>151000</v>
          </cell>
        </row>
        <row r="403">
          <cell r="I403">
            <v>50000</v>
          </cell>
          <cell r="J403">
            <v>50000</v>
          </cell>
          <cell r="K403">
            <v>50000</v>
          </cell>
        </row>
        <row r="404">
          <cell r="I404">
            <v>128000</v>
          </cell>
          <cell r="J404">
            <v>128000</v>
          </cell>
          <cell r="K404">
            <v>128000</v>
          </cell>
        </row>
        <row r="405">
          <cell r="I405">
            <v>1200</v>
          </cell>
          <cell r="J405">
            <v>1225</v>
          </cell>
          <cell r="K405">
            <v>1250</v>
          </cell>
        </row>
        <row r="406">
          <cell r="I406">
            <v>2800</v>
          </cell>
          <cell r="J406">
            <v>2800</v>
          </cell>
          <cell r="K406">
            <v>2800</v>
          </cell>
        </row>
        <row r="407">
          <cell r="I407">
            <v>14300</v>
          </cell>
          <cell r="J407">
            <v>14300</v>
          </cell>
          <cell r="K407">
            <v>14300</v>
          </cell>
        </row>
        <row r="408">
          <cell r="I408">
            <v>101000</v>
          </cell>
        </row>
        <row r="409">
          <cell r="I409">
            <v>262000</v>
          </cell>
          <cell r="J409">
            <v>262000</v>
          </cell>
          <cell r="K409">
            <v>262000</v>
          </cell>
        </row>
        <row r="410">
          <cell r="I410">
            <v>642000</v>
          </cell>
          <cell r="J410">
            <v>642000</v>
          </cell>
          <cell r="K410">
            <v>642000</v>
          </cell>
        </row>
        <row r="411">
          <cell r="I411">
            <v>409000</v>
          </cell>
          <cell r="J411">
            <v>409000</v>
          </cell>
          <cell r="K411">
            <v>409000</v>
          </cell>
        </row>
        <row r="412">
          <cell r="I412">
            <v>57000</v>
          </cell>
          <cell r="J412">
            <v>57000</v>
          </cell>
          <cell r="K412">
            <v>57000</v>
          </cell>
        </row>
        <row r="413">
          <cell r="I413">
            <v>76000</v>
          </cell>
          <cell r="J413">
            <v>76000</v>
          </cell>
          <cell r="K413">
            <v>76000</v>
          </cell>
        </row>
        <row r="414">
          <cell r="I414">
            <v>81000</v>
          </cell>
          <cell r="J414">
            <v>81000</v>
          </cell>
          <cell r="K414">
            <v>81000</v>
          </cell>
        </row>
        <row r="415">
          <cell r="I415">
            <v>104000</v>
          </cell>
          <cell r="J415">
            <v>104000</v>
          </cell>
          <cell r="K415">
            <v>104000</v>
          </cell>
        </row>
        <row r="416">
          <cell r="I416">
            <v>145000</v>
          </cell>
          <cell r="J416">
            <v>145000</v>
          </cell>
          <cell r="K416">
            <v>145000</v>
          </cell>
        </row>
        <row r="417">
          <cell r="I417">
            <v>175000</v>
          </cell>
          <cell r="J417">
            <v>175000</v>
          </cell>
          <cell r="K417">
            <v>175000</v>
          </cell>
        </row>
        <row r="418">
          <cell r="I418">
            <v>314000</v>
          </cell>
          <cell r="J418">
            <v>314000</v>
          </cell>
          <cell r="K418">
            <v>314000</v>
          </cell>
        </row>
        <row r="419">
          <cell r="I419">
            <v>151000</v>
          </cell>
          <cell r="J419">
            <v>151000</v>
          </cell>
          <cell r="K419">
            <v>151000</v>
          </cell>
        </row>
        <row r="420">
          <cell r="I420">
            <v>175000</v>
          </cell>
          <cell r="J420">
            <v>175000</v>
          </cell>
          <cell r="K420">
            <v>175000</v>
          </cell>
        </row>
        <row r="421">
          <cell r="I421">
            <v>262000</v>
          </cell>
          <cell r="J421">
            <v>262000</v>
          </cell>
          <cell r="K421">
            <v>262000</v>
          </cell>
        </row>
        <row r="422">
          <cell r="I422">
            <v>333000</v>
          </cell>
          <cell r="J422">
            <v>333000</v>
          </cell>
          <cell r="K422">
            <v>333000</v>
          </cell>
        </row>
        <row r="423">
          <cell r="I423">
            <v>525000</v>
          </cell>
          <cell r="J423">
            <v>525000</v>
          </cell>
          <cell r="K423">
            <v>525000</v>
          </cell>
        </row>
        <row r="424">
          <cell r="I424">
            <v>642000</v>
          </cell>
          <cell r="J424">
            <v>642000</v>
          </cell>
          <cell r="K424">
            <v>642000</v>
          </cell>
        </row>
        <row r="425">
          <cell r="I425">
            <v>759000</v>
          </cell>
          <cell r="J425">
            <v>759000</v>
          </cell>
          <cell r="K425">
            <v>759000</v>
          </cell>
        </row>
        <row r="426">
          <cell r="I426">
            <v>525000</v>
          </cell>
          <cell r="J426">
            <v>525000</v>
          </cell>
          <cell r="K426">
            <v>525000</v>
          </cell>
        </row>
        <row r="427">
          <cell r="I427">
            <v>642000</v>
          </cell>
          <cell r="J427">
            <v>642000</v>
          </cell>
          <cell r="K427">
            <v>642000</v>
          </cell>
        </row>
        <row r="428">
          <cell r="I428">
            <v>818000</v>
          </cell>
          <cell r="J428">
            <v>818000</v>
          </cell>
          <cell r="K428">
            <v>818000</v>
          </cell>
        </row>
        <row r="429">
          <cell r="I429">
            <v>24800</v>
          </cell>
          <cell r="J429">
            <v>24800</v>
          </cell>
          <cell r="K429">
            <v>24800</v>
          </cell>
        </row>
        <row r="430">
          <cell r="I430">
            <v>29000</v>
          </cell>
          <cell r="J430">
            <v>29000</v>
          </cell>
          <cell r="K430">
            <v>29000</v>
          </cell>
        </row>
        <row r="431">
          <cell r="I431">
            <v>37400</v>
          </cell>
          <cell r="J431">
            <v>37400</v>
          </cell>
          <cell r="K431">
            <v>37400</v>
          </cell>
        </row>
        <row r="432">
          <cell r="I432">
            <v>77900</v>
          </cell>
          <cell r="J432">
            <v>77900</v>
          </cell>
          <cell r="K432">
            <v>77900</v>
          </cell>
        </row>
        <row r="434">
          <cell r="I434">
            <v>159000</v>
          </cell>
          <cell r="J434">
            <v>159000</v>
          </cell>
          <cell r="K434">
            <v>159000</v>
          </cell>
        </row>
        <row r="435">
          <cell r="I435">
            <v>182000</v>
          </cell>
          <cell r="J435">
            <v>182000</v>
          </cell>
          <cell r="K435">
            <v>182000</v>
          </cell>
        </row>
        <row r="436">
          <cell r="I436">
            <v>308000</v>
          </cell>
          <cell r="J436">
            <v>308000</v>
          </cell>
          <cell r="K436">
            <v>308000</v>
          </cell>
        </row>
        <row r="437">
          <cell r="I437">
            <v>521000</v>
          </cell>
          <cell r="J437">
            <v>521000</v>
          </cell>
          <cell r="K437">
            <v>521000</v>
          </cell>
        </row>
        <row r="438">
          <cell r="I438">
            <v>808000</v>
          </cell>
          <cell r="J438">
            <v>808000</v>
          </cell>
          <cell r="K438">
            <v>808000</v>
          </cell>
        </row>
        <row r="439">
          <cell r="I439">
            <v>108000</v>
          </cell>
          <cell r="J439">
            <v>108000</v>
          </cell>
          <cell r="K439">
            <v>108000</v>
          </cell>
        </row>
        <row r="440">
          <cell r="I440">
            <v>165000</v>
          </cell>
          <cell r="J440">
            <v>165000</v>
          </cell>
          <cell r="K440">
            <v>165000</v>
          </cell>
        </row>
        <row r="441">
          <cell r="I441">
            <v>136000</v>
          </cell>
          <cell r="J441">
            <v>136000</v>
          </cell>
          <cell r="K441">
            <v>136000</v>
          </cell>
        </row>
        <row r="442">
          <cell r="I442">
            <v>411000</v>
          </cell>
          <cell r="J442">
            <v>411000</v>
          </cell>
          <cell r="K442">
            <v>411000</v>
          </cell>
        </row>
        <row r="443">
          <cell r="I443">
            <v>231000</v>
          </cell>
        </row>
        <row r="444">
          <cell r="I444">
            <v>20000</v>
          </cell>
          <cell r="J444">
            <v>20000</v>
          </cell>
          <cell r="K444">
            <v>20000</v>
          </cell>
        </row>
        <row r="445">
          <cell r="I445">
            <v>14000</v>
          </cell>
          <cell r="J445">
            <v>14000</v>
          </cell>
          <cell r="K445">
            <v>14000</v>
          </cell>
        </row>
        <row r="446">
          <cell r="I446">
            <v>23000</v>
          </cell>
          <cell r="J446">
            <v>23000</v>
          </cell>
          <cell r="K446">
            <v>23000</v>
          </cell>
        </row>
        <row r="447">
          <cell r="I447">
            <v>29000</v>
          </cell>
          <cell r="J447">
            <v>29000</v>
          </cell>
          <cell r="K447">
            <v>29000</v>
          </cell>
        </row>
        <row r="448">
          <cell r="I448">
            <v>35000</v>
          </cell>
          <cell r="J448">
            <v>35000</v>
          </cell>
          <cell r="K448">
            <v>35000</v>
          </cell>
        </row>
        <row r="449">
          <cell r="I449">
            <v>3000</v>
          </cell>
        </row>
        <row r="450">
          <cell r="I450">
            <v>3600</v>
          </cell>
          <cell r="J450">
            <v>3600</v>
          </cell>
          <cell r="K450">
            <v>3600</v>
          </cell>
        </row>
        <row r="451">
          <cell r="I451">
            <v>5200</v>
          </cell>
          <cell r="J451">
            <v>5200</v>
          </cell>
          <cell r="K451">
            <v>5200</v>
          </cell>
        </row>
        <row r="452">
          <cell r="I452">
            <v>5700</v>
          </cell>
          <cell r="J452">
            <v>5700</v>
          </cell>
          <cell r="K452">
            <v>5700</v>
          </cell>
        </row>
        <row r="453">
          <cell r="I453">
            <v>6500</v>
          </cell>
          <cell r="J453">
            <v>6500</v>
          </cell>
          <cell r="K453">
            <v>6500</v>
          </cell>
        </row>
        <row r="454">
          <cell r="I454">
            <v>7500</v>
          </cell>
          <cell r="J454">
            <v>7500</v>
          </cell>
          <cell r="K454">
            <v>7500</v>
          </cell>
        </row>
        <row r="455">
          <cell r="I455">
            <v>6900</v>
          </cell>
          <cell r="J455">
            <v>6900</v>
          </cell>
          <cell r="K455">
            <v>6900</v>
          </cell>
        </row>
        <row r="456">
          <cell r="I456">
            <v>4400</v>
          </cell>
          <cell r="J456">
            <v>4400</v>
          </cell>
          <cell r="K456">
            <v>4400</v>
          </cell>
        </row>
        <row r="457">
          <cell r="I457">
            <v>81000</v>
          </cell>
          <cell r="J457">
            <v>81000</v>
          </cell>
          <cell r="K457">
            <v>81000</v>
          </cell>
        </row>
        <row r="458">
          <cell r="I458">
            <v>93000</v>
          </cell>
          <cell r="J458">
            <v>93000</v>
          </cell>
          <cell r="K458">
            <v>93000</v>
          </cell>
        </row>
        <row r="459">
          <cell r="I459">
            <v>642000</v>
          </cell>
          <cell r="J459">
            <v>642000</v>
          </cell>
          <cell r="K459">
            <v>642000</v>
          </cell>
        </row>
        <row r="460">
          <cell r="I460">
            <v>20500000</v>
          </cell>
          <cell r="J460">
            <v>20500000</v>
          </cell>
          <cell r="K460">
            <v>20500000</v>
          </cell>
        </row>
        <row r="461">
          <cell r="I461">
            <v>31569000</v>
          </cell>
          <cell r="J461">
            <v>31569000</v>
          </cell>
          <cell r="K461">
            <v>31569000</v>
          </cell>
        </row>
        <row r="462">
          <cell r="I462">
            <v>27500</v>
          </cell>
        </row>
        <row r="463">
          <cell r="I463">
            <v>27500</v>
          </cell>
        </row>
        <row r="464">
          <cell r="I464">
            <v>8200</v>
          </cell>
          <cell r="J464">
            <v>8200</v>
          </cell>
          <cell r="K464">
            <v>8200</v>
          </cell>
        </row>
        <row r="465">
          <cell r="I465">
            <v>128000</v>
          </cell>
          <cell r="J465">
            <v>128000</v>
          </cell>
          <cell r="K465">
            <v>128000</v>
          </cell>
        </row>
        <row r="466">
          <cell r="I466">
            <v>1700</v>
          </cell>
          <cell r="J466">
            <v>1700</v>
          </cell>
          <cell r="K466">
            <v>1700</v>
          </cell>
        </row>
        <row r="467">
          <cell r="I467">
            <v>4700</v>
          </cell>
          <cell r="J467">
            <v>4700</v>
          </cell>
          <cell r="K467">
            <v>4700</v>
          </cell>
        </row>
        <row r="468">
          <cell r="I468">
            <v>41000</v>
          </cell>
          <cell r="J468">
            <v>41000</v>
          </cell>
          <cell r="K468">
            <v>41000</v>
          </cell>
        </row>
        <row r="469">
          <cell r="I469">
            <v>15000</v>
          </cell>
          <cell r="J469">
            <v>15000</v>
          </cell>
          <cell r="K469">
            <v>15000</v>
          </cell>
        </row>
        <row r="470">
          <cell r="I470">
            <v>44000</v>
          </cell>
          <cell r="J470">
            <v>44000</v>
          </cell>
          <cell r="K470">
            <v>44000</v>
          </cell>
        </row>
        <row r="471">
          <cell r="I471">
            <v>10000</v>
          </cell>
          <cell r="J471">
            <v>10000</v>
          </cell>
          <cell r="K471">
            <v>10000</v>
          </cell>
        </row>
        <row r="472">
          <cell r="I472">
            <v>42000</v>
          </cell>
          <cell r="J472">
            <v>42000</v>
          </cell>
          <cell r="K472">
            <v>42000</v>
          </cell>
        </row>
        <row r="473">
          <cell r="I473">
            <v>496000</v>
          </cell>
          <cell r="J473">
            <v>496000</v>
          </cell>
          <cell r="K473">
            <v>496000</v>
          </cell>
        </row>
        <row r="474">
          <cell r="I474">
            <v>72000</v>
          </cell>
          <cell r="J474">
            <v>72000</v>
          </cell>
          <cell r="K474">
            <v>72000</v>
          </cell>
        </row>
        <row r="475">
          <cell r="I475">
            <v>5700</v>
          </cell>
          <cell r="J475">
            <v>5700</v>
          </cell>
          <cell r="K475">
            <v>5700</v>
          </cell>
        </row>
        <row r="476">
          <cell r="I476">
            <v>71000</v>
          </cell>
        </row>
        <row r="477">
          <cell r="I477">
            <v>78000</v>
          </cell>
        </row>
        <row r="478">
          <cell r="I478">
            <v>24000</v>
          </cell>
        </row>
        <row r="479">
          <cell r="I479">
            <v>28000</v>
          </cell>
        </row>
        <row r="480">
          <cell r="I480">
            <v>150000</v>
          </cell>
        </row>
        <row r="481">
          <cell r="I481">
            <v>2800</v>
          </cell>
        </row>
        <row r="482">
          <cell r="I482">
            <v>1285000</v>
          </cell>
          <cell r="J482">
            <v>1285000</v>
          </cell>
          <cell r="K482">
            <v>1285000</v>
          </cell>
        </row>
        <row r="483">
          <cell r="I483">
            <v>87000</v>
          </cell>
          <cell r="J483">
            <v>87000</v>
          </cell>
          <cell r="K483">
            <v>87000</v>
          </cell>
        </row>
        <row r="484">
          <cell r="I484">
            <v>93000</v>
          </cell>
          <cell r="J484">
            <v>93000</v>
          </cell>
          <cell r="K484">
            <v>93000</v>
          </cell>
        </row>
        <row r="485">
          <cell r="I485">
            <v>76000</v>
          </cell>
          <cell r="J485">
            <v>76000</v>
          </cell>
          <cell r="K485">
            <v>76000</v>
          </cell>
        </row>
        <row r="486">
          <cell r="I486">
            <v>34000</v>
          </cell>
          <cell r="J486">
            <v>34000</v>
          </cell>
          <cell r="K486">
            <v>34000</v>
          </cell>
        </row>
        <row r="487">
          <cell r="I487">
            <v>57000</v>
          </cell>
          <cell r="J487">
            <v>57000</v>
          </cell>
          <cell r="K487">
            <v>57000</v>
          </cell>
        </row>
        <row r="488">
          <cell r="I488">
            <v>512000</v>
          </cell>
        </row>
        <row r="489">
          <cell r="I489">
            <v>291000</v>
          </cell>
          <cell r="J489">
            <v>291000</v>
          </cell>
          <cell r="K489">
            <v>291000</v>
          </cell>
        </row>
        <row r="490">
          <cell r="I490">
            <v>6500</v>
          </cell>
        </row>
        <row r="491">
          <cell r="I491">
            <v>81000</v>
          </cell>
          <cell r="J491">
            <v>81000</v>
          </cell>
          <cell r="K491">
            <v>81000</v>
          </cell>
        </row>
        <row r="492">
          <cell r="I492">
            <v>133000</v>
          </cell>
          <cell r="J492">
            <v>133000</v>
          </cell>
          <cell r="K492">
            <v>133000</v>
          </cell>
        </row>
        <row r="493">
          <cell r="I493">
            <v>233000</v>
          </cell>
          <cell r="J493">
            <v>233000</v>
          </cell>
          <cell r="K493">
            <v>233000</v>
          </cell>
        </row>
        <row r="494">
          <cell r="I494">
            <v>238000</v>
          </cell>
          <cell r="J494">
            <v>238000</v>
          </cell>
          <cell r="K494">
            <v>238000</v>
          </cell>
        </row>
        <row r="495">
          <cell r="I495">
            <v>4091000</v>
          </cell>
          <cell r="J495">
            <v>4091000</v>
          </cell>
          <cell r="K495">
            <v>4091000</v>
          </cell>
        </row>
        <row r="496">
          <cell r="I496">
            <v>7300</v>
          </cell>
        </row>
        <row r="497">
          <cell r="I497">
            <v>246000</v>
          </cell>
        </row>
        <row r="498">
          <cell r="I498">
            <v>17000</v>
          </cell>
          <cell r="J498">
            <v>17000</v>
          </cell>
          <cell r="K498">
            <v>17000</v>
          </cell>
        </row>
        <row r="499">
          <cell r="I499">
            <v>87500</v>
          </cell>
          <cell r="J499">
            <v>87500</v>
          </cell>
          <cell r="K499">
            <v>87500</v>
          </cell>
        </row>
        <row r="500">
          <cell r="I500">
            <v>76500</v>
          </cell>
        </row>
        <row r="501">
          <cell r="I501">
            <v>128000</v>
          </cell>
        </row>
        <row r="502">
          <cell r="I502">
            <v>233000</v>
          </cell>
          <cell r="J502">
            <v>233000</v>
          </cell>
          <cell r="K502">
            <v>233000</v>
          </cell>
        </row>
        <row r="503">
          <cell r="I503">
            <v>409000</v>
          </cell>
          <cell r="J503">
            <v>409000</v>
          </cell>
          <cell r="K503">
            <v>409000</v>
          </cell>
        </row>
        <row r="504">
          <cell r="I504">
            <v>52500</v>
          </cell>
          <cell r="J504">
            <v>52500</v>
          </cell>
          <cell r="K504">
            <v>52500</v>
          </cell>
        </row>
        <row r="505">
          <cell r="I505">
            <v>6500</v>
          </cell>
          <cell r="J505">
            <v>6500</v>
          </cell>
          <cell r="K505">
            <v>6500</v>
          </cell>
        </row>
        <row r="506">
          <cell r="I506">
            <v>46000</v>
          </cell>
          <cell r="J506">
            <v>46000</v>
          </cell>
          <cell r="K506">
            <v>46000</v>
          </cell>
        </row>
        <row r="507">
          <cell r="I507">
            <v>40000</v>
          </cell>
          <cell r="J507">
            <v>40000</v>
          </cell>
          <cell r="K507">
            <v>40000</v>
          </cell>
        </row>
        <row r="508">
          <cell r="I508">
            <v>46000</v>
          </cell>
          <cell r="J508">
            <v>46000</v>
          </cell>
          <cell r="K508">
            <v>46000</v>
          </cell>
        </row>
        <row r="510">
          <cell r="I510">
            <v>1753000</v>
          </cell>
          <cell r="J510">
            <v>1753000</v>
          </cell>
          <cell r="K510">
            <v>1753000</v>
          </cell>
        </row>
        <row r="511">
          <cell r="I511">
            <v>4384000</v>
          </cell>
          <cell r="J511">
            <v>4384000</v>
          </cell>
          <cell r="K511">
            <v>4384000</v>
          </cell>
        </row>
        <row r="512">
          <cell r="I512">
            <v>2845000</v>
          </cell>
        </row>
        <row r="513">
          <cell r="I513">
            <v>44500</v>
          </cell>
        </row>
        <row r="514">
          <cell r="I514">
            <v>52500</v>
          </cell>
        </row>
        <row r="515">
          <cell r="I515">
            <v>569000</v>
          </cell>
        </row>
        <row r="516">
          <cell r="I516">
            <v>128000</v>
          </cell>
          <cell r="J516">
            <v>128000</v>
          </cell>
          <cell r="K516">
            <v>128000</v>
          </cell>
        </row>
        <row r="517">
          <cell r="I517">
            <v>139000</v>
          </cell>
          <cell r="J517">
            <v>139000</v>
          </cell>
          <cell r="K517">
            <v>139000</v>
          </cell>
        </row>
        <row r="518">
          <cell r="I518">
            <v>24500</v>
          </cell>
          <cell r="J518">
            <v>24500</v>
          </cell>
          <cell r="K518">
            <v>24500</v>
          </cell>
        </row>
        <row r="519">
          <cell r="I519">
            <v>32500</v>
          </cell>
          <cell r="J519">
            <v>32500</v>
          </cell>
          <cell r="K519">
            <v>32500</v>
          </cell>
        </row>
        <row r="520">
          <cell r="I520">
            <v>30500</v>
          </cell>
          <cell r="J520">
            <v>30500</v>
          </cell>
          <cell r="K520">
            <v>30500</v>
          </cell>
        </row>
        <row r="521">
          <cell r="I521">
            <v>36500</v>
          </cell>
          <cell r="J521">
            <v>36500</v>
          </cell>
          <cell r="K521">
            <v>36500</v>
          </cell>
        </row>
        <row r="522">
          <cell r="I522">
            <v>4000</v>
          </cell>
          <cell r="J522">
            <v>4000</v>
          </cell>
          <cell r="K522">
            <v>4000</v>
          </cell>
        </row>
        <row r="523">
          <cell r="I523">
            <v>5726000</v>
          </cell>
          <cell r="J523">
            <v>5726000</v>
          </cell>
          <cell r="K523">
            <v>5726000</v>
          </cell>
        </row>
        <row r="524">
          <cell r="I524">
            <v>6203000</v>
          </cell>
          <cell r="J524">
            <v>6203000</v>
          </cell>
          <cell r="K524">
            <v>6203000</v>
          </cell>
        </row>
        <row r="525">
          <cell r="I525">
            <v>7033000</v>
          </cell>
          <cell r="J525">
            <v>7033000</v>
          </cell>
          <cell r="K525">
            <v>7033000</v>
          </cell>
        </row>
        <row r="526">
          <cell r="I526">
            <v>3951000</v>
          </cell>
          <cell r="J526">
            <v>3951000</v>
          </cell>
          <cell r="K526">
            <v>3951000</v>
          </cell>
        </row>
        <row r="527">
          <cell r="I527">
            <v>402000</v>
          </cell>
        </row>
        <row r="528">
          <cell r="I528">
            <v>60000</v>
          </cell>
        </row>
        <row r="529">
          <cell r="I529">
            <v>35737000</v>
          </cell>
          <cell r="J529">
            <v>35737000</v>
          </cell>
          <cell r="K529">
            <v>35737000</v>
          </cell>
        </row>
        <row r="530">
          <cell r="I530">
            <v>203000</v>
          </cell>
        </row>
        <row r="531">
          <cell r="I531">
            <v>69000</v>
          </cell>
          <cell r="J531">
            <v>69000</v>
          </cell>
          <cell r="K531">
            <v>69000</v>
          </cell>
        </row>
        <row r="532">
          <cell r="I532">
            <v>63000</v>
          </cell>
          <cell r="J532">
            <v>63000</v>
          </cell>
          <cell r="K532">
            <v>63000</v>
          </cell>
        </row>
        <row r="533">
          <cell r="I533">
            <v>81000</v>
          </cell>
          <cell r="J533">
            <v>81000</v>
          </cell>
          <cell r="K533">
            <v>81000</v>
          </cell>
        </row>
        <row r="534">
          <cell r="I534">
            <v>76000</v>
          </cell>
          <cell r="J534">
            <v>76000</v>
          </cell>
          <cell r="K534">
            <v>76000</v>
          </cell>
        </row>
        <row r="535">
          <cell r="I535">
            <v>2045000</v>
          </cell>
          <cell r="J535">
            <v>2045000</v>
          </cell>
          <cell r="K535">
            <v>2045000</v>
          </cell>
        </row>
        <row r="536">
          <cell r="I536">
            <v>175000</v>
          </cell>
          <cell r="J536">
            <v>175000</v>
          </cell>
          <cell r="K536">
            <v>175000</v>
          </cell>
        </row>
        <row r="537">
          <cell r="I537">
            <v>57000</v>
          </cell>
          <cell r="J537">
            <v>57000</v>
          </cell>
          <cell r="K537">
            <v>57000</v>
          </cell>
        </row>
        <row r="538">
          <cell r="I538">
            <v>701000</v>
          </cell>
          <cell r="J538">
            <v>701000</v>
          </cell>
          <cell r="K538">
            <v>701000</v>
          </cell>
        </row>
        <row r="539">
          <cell r="I539">
            <v>466000</v>
          </cell>
          <cell r="J539">
            <v>466000</v>
          </cell>
          <cell r="K539">
            <v>466000</v>
          </cell>
        </row>
        <row r="540">
          <cell r="I540">
            <v>116000</v>
          </cell>
          <cell r="J540">
            <v>116000</v>
          </cell>
          <cell r="K540">
            <v>116000</v>
          </cell>
        </row>
        <row r="542">
          <cell r="I542">
            <v>141000</v>
          </cell>
          <cell r="J542">
            <v>141000</v>
          </cell>
          <cell r="K542">
            <v>141000</v>
          </cell>
        </row>
        <row r="543">
          <cell r="I543">
            <v>61000</v>
          </cell>
          <cell r="J543">
            <v>61000</v>
          </cell>
          <cell r="K543">
            <v>61000</v>
          </cell>
        </row>
        <row r="544">
          <cell r="I544">
            <v>19000</v>
          </cell>
          <cell r="J544">
            <v>19000</v>
          </cell>
          <cell r="K544">
            <v>19000</v>
          </cell>
        </row>
        <row r="546">
          <cell r="I546">
            <v>22000</v>
          </cell>
          <cell r="J546">
            <v>22000</v>
          </cell>
          <cell r="K546">
            <v>22000</v>
          </cell>
        </row>
        <row r="547">
          <cell r="I547">
            <v>17000</v>
          </cell>
          <cell r="J547">
            <v>17000</v>
          </cell>
          <cell r="K547">
            <v>17000</v>
          </cell>
        </row>
        <row r="574">
          <cell r="I574">
            <v>787000</v>
          </cell>
          <cell r="J574">
            <v>787000</v>
          </cell>
          <cell r="K574">
            <v>787000</v>
          </cell>
        </row>
        <row r="575">
          <cell r="I575">
            <v>1039000</v>
          </cell>
          <cell r="J575">
            <v>1039000</v>
          </cell>
          <cell r="K575">
            <v>1039000</v>
          </cell>
        </row>
        <row r="576">
          <cell r="I576">
            <v>1315000</v>
          </cell>
          <cell r="J576">
            <v>1315000</v>
          </cell>
          <cell r="K576">
            <v>1315000</v>
          </cell>
        </row>
        <row r="577">
          <cell r="I577">
            <v>2484000</v>
          </cell>
          <cell r="J577">
            <v>2484000</v>
          </cell>
          <cell r="K577">
            <v>2484000</v>
          </cell>
        </row>
        <row r="578">
          <cell r="I578">
            <v>3079000</v>
          </cell>
          <cell r="J578">
            <v>3079000</v>
          </cell>
          <cell r="K578">
            <v>3079000</v>
          </cell>
        </row>
        <row r="579">
          <cell r="I579">
            <v>4013000</v>
          </cell>
          <cell r="J579">
            <v>4013000</v>
          </cell>
          <cell r="K579">
            <v>4013000</v>
          </cell>
        </row>
        <row r="580">
          <cell r="I580">
            <v>5336000</v>
          </cell>
          <cell r="J580">
            <v>5336000</v>
          </cell>
          <cell r="K580">
            <v>5336000</v>
          </cell>
        </row>
        <row r="581">
          <cell r="I581">
            <v>6343000</v>
          </cell>
          <cell r="J581">
            <v>6343000</v>
          </cell>
          <cell r="K581">
            <v>6343000</v>
          </cell>
        </row>
        <row r="582">
          <cell r="I582">
            <v>7006000</v>
          </cell>
          <cell r="J582">
            <v>7006000</v>
          </cell>
          <cell r="K582">
            <v>7006000</v>
          </cell>
        </row>
        <row r="583">
          <cell r="I583">
            <v>7828000</v>
          </cell>
          <cell r="J583">
            <v>7828000</v>
          </cell>
          <cell r="K583">
            <v>7828000</v>
          </cell>
        </row>
        <row r="584">
          <cell r="I584">
            <v>8751000</v>
          </cell>
          <cell r="J584">
            <v>8751000</v>
          </cell>
          <cell r="K584">
            <v>8751000</v>
          </cell>
        </row>
        <row r="587">
          <cell r="I587">
            <v>71000</v>
          </cell>
          <cell r="J587">
            <v>71000</v>
          </cell>
          <cell r="K587">
            <v>71000</v>
          </cell>
        </row>
        <row r="588">
          <cell r="I588">
            <v>1909000</v>
          </cell>
          <cell r="J588">
            <v>1909000</v>
          </cell>
          <cell r="K588">
            <v>1909000</v>
          </cell>
        </row>
        <row r="589">
          <cell r="I589">
            <v>22000</v>
          </cell>
          <cell r="J589">
            <v>22000</v>
          </cell>
          <cell r="K589">
            <v>22000</v>
          </cell>
        </row>
        <row r="590">
          <cell r="I590">
            <v>317000</v>
          </cell>
          <cell r="J590">
            <v>317000</v>
          </cell>
          <cell r="K590">
            <v>317000</v>
          </cell>
        </row>
        <row r="591">
          <cell r="I591">
            <v>49900</v>
          </cell>
          <cell r="J591">
            <v>49900</v>
          </cell>
          <cell r="K591">
            <v>49900</v>
          </cell>
        </row>
        <row r="592">
          <cell r="I592">
            <v>79400</v>
          </cell>
          <cell r="J592">
            <v>79400</v>
          </cell>
          <cell r="K592">
            <v>79400</v>
          </cell>
        </row>
        <row r="593">
          <cell r="I593">
            <v>23000</v>
          </cell>
          <cell r="J593">
            <v>23000</v>
          </cell>
          <cell r="K593">
            <v>23000</v>
          </cell>
        </row>
        <row r="594">
          <cell r="I594">
            <v>27700</v>
          </cell>
          <cell r="J594">
            <v>27700</v>
          </cell>
          <cell r="K594">
            <v>27700</v>
          </cell>
        </row>
        <row r="595">
          <cell r="I595">
            <v>28600</v>
          </cell>
          <cell r="J595">
            <v>28600</v>
          </cell>
          <cell r="K595">
            <v>28600</v>
          </cell>
        </row>
        <row r="596">
          <cell r="I596">
            <v>63400</v>
          </cell>
          <cell r="J596">
            <v>63400</v>
          </cell>
          <cell r="K596">
            <v>63400</v>
          </cell>
        </row>
        <row r="617">
          <cell r="I617">
            <v>1966000</v>
          </cell>
          <cell r="J617">
            <v>1966000</v>
          </cell>
          <cell r="K617">
            <v>1966000</v>
          </cell>
        </row>
        <row r="618">
          <cell r="I618">
            <v>1685000</v>
          </cell>
          <cell r="J618">
            <v>1685000</v>
          </cell>
          <cell r="K618">
            <v>1685000</v>
          </cell>
        </row>
        <row r="619">
          <cell r="I619">
            <v>861000</v>
          </cell>
          <cell r="J619">
            <v>861000</v>
          </cell>
          <cell r="K619">
            <v>861000</v>
          </cell>
        </row>
        <row r="620">
          <cell r="I620">
            <v>2247000</v>
          </cell>
          <cell r="J620">
            <v>2247000</v>
          </cell>
          <cell r="K620">
            <v>2247000</v>
          </cell>
        </row>
        <row r="621">
          <cell r="I621">
            <v>393000</v>
          </cell>
          <cell r="J621">
            <v>393000</v>
          </cell>
          <cell r="K621">
            <v>393000</v>
          </cell>
        </row>
        <row r="622">
          <cell r="I622">
            <v>121000</v>
          </cell>
          <cell r="J622">
            <v>121000</v>
          </cell>
          <cell r="K622">
            <v>121000</v>
          </cell>
        </row>
        <row r="623">
          <cell r="I623">
            <v>280000</v>
          </cell>
          <cell r="J623">
            <v>280000</v>
          </cell>
          <cell r="K623">
            <v>280000</v>
          </cell>
        </row>
        <row r="624">
          <cell r="I624">
            <v>112000</v>
          </cell>
          <cell r="J624">
            <v>112000</v>
          </cell>
          <cell r="K624">
            <v>112000</v>
          </cell>
        </row>
        <row r="625">
          <cell r="I625">
            <v>1123000</v>
          </cell>
          <cell r="J625">
            <v>1123000</v>
          </cell>
          <cell r="K625">
            <v>1123000</v>
          </cell>
        </row>
        <row r="626">
          <cell r="I626">
            <v>842000</v>
          </cell>
          <cell r="J626">
            <v>842000</v>
          </cell>
          <cell r="K626">
            <v>842000</v>
          </cell>
        </row>
        <row r="627">
          <cell r="I627">
            <v>7000</v>
          </cell>
          <cell r="J627">
            <v>7000</v>
          </cell>
          <cell r="K627">
            <v>7000</v>
          </cell>
        </row>
        <row r="628">
          <cell r="I628">
            <v>224000</v>
          </cell>
          <cell r="J628">
            <v>224000</v>
          </cell>
          <cell r="K628">
            <v>224000</v>
          </cell>
        </row>
        <row r="629">
          <cell r="I629">
            <v>112000</v>
          </cell>
          <cell r="J629">
            <v>112000</v>
          </cell>
          <cell r="K629">
            <v>112000</v>
          </cell>
        </row>
        <row r="630">
          <cell r="I630">
            <v>1123000</v>
          </cell>
          <cell r="J630">
            <v>1123000</v>
          </cell>
          <cell r="K630">
            <v>1123000</v>
          </cell>
        </row>
        <row r="631">
          <cell r="I631">
            <v>168000</v>
          </cell>
          <cell r="J631">
            <v>168000</v>
          </cell>
          <cell r="K631">
            <v>168000</v>
          </cell>
        </row>
        <row r="632">
          <cell r="I632">
            <v>618000</v>
          </cell>
          <cell r="J632">
            <v>618000</v>
          </cell>
          <cell r="K632">
            <v>618000</v>
          </cell>
        </row>
        <row r="633">
          <cell r="I633">
            <v>674000</v>
          </cell>
          <cell r="J633">
            <v>674000</v>
          </cell>
          <cell r="K633">
            <v>674000</v>
          </cell>
        </row>
        <row r="634">
          <cell r="I634">
            <v>1292000</v>
          </cell>
          <cell r="J634">
            <v>1292000</v>
          </cell>
          <cell r="K634">
            <v>1292000</v>
          </cell>
        </row>
        <row r="635">
          <cell r="I635">
            <v>393000</v>
          </cell>
          <cell r="J635">
            <v>393000</v>
          </cell>
          <cell r="K635">
            <v>393000</v>
          </cell>
        </row>
        <row r="636">
          <cell r="I636">
            <v>109000</v>
          </cell>
          <cell r="J636">
            <v>109000</v>
          </cell>
          <cell r="K636">
            <v>109000</v>
          </cell>
        </row>
        <row r="637">
          <cell r="I637">
            <v>3000</v>
          </cell>
          <cell r="J637">
            <v>3000</v>
          </cell>
          <cell r="K637">
            <v>3000</v>
          </cell>
        </row>
        <row r="638">
          <cell r="I638">
            <v>3000</v>
          </cell>
          <cell r="J638">
            <v>3000</v>
          </cell>
          <cell r="K638">
            <v>3000</v>
          </cell>
        </row>
        <row r="639">
          <cell r="I639">
            <v>280000</v>
          </cell>
          <cell r="J639">
            <v>280000</v>
          </cell>
          <cell r="K639">
            <v>280000</v>
          </cell>
        </row>
        <row r="640">
          <cell r="I640">
            <v>224000</v>
          </cell>
          <cell r="J640">
            <v>224000</v>
          </cell>
          <cell r="K640">
            <v>224000</v>
          </cell>
        </row>
        <row r="641">
          <cell r="I641">
            <v>5000</v>
          </cell>
          <cell r="J641">
            <v>5000</v>
          </cell>
          <cell r="K641">
            <v>5000</v>
          </cell>
        </row>
        <row r="642">
          <cell r="I642">
            <v>5600</v>
          </cell>
          <cell r="J642">
            <v>5600</v>
          </cell>
          <cell r="K642">
            <v>5600</v>
          </cell>
        </row>
        <row r="643">
          <cell r="I643">
            <v>1629000</v>
          </cell>
          <cell r="J643">
            <v>1629000</v>
          </cell>
          <cell r="K643">
            <v>1629000</v>
          </cell>
        </row>
        <row r="644">
          <cell r="I644">
            <v>1517000</v>
          </cell>
          <cell r="J644">
            <v>1517000</v>
          </cell>
          <cell r="K644">
            <v>1517000</v>
          </cell>
        </row>
        <row r="645">
          <cell r="I645">
            <v>5000</v>
          </cell>
          <cell r="J645">
            <v>5000</v>
          </cell>
          <cell r="K645">
            <v>5000</v>
          </cell>
        </row>
        <row r="646">
          <cell r="I646">
            <v>2247000</v>
          </cell>
          <cell r="J646">
            <v>2247000</v>
          </cell>
          <cell r="K646">
            <v>2247000</v>
          </cell>
        </row>
        <row r="647">
          <cell r="I647">
            <v>561000</v>
          </cell>
          <cell r="J647">
            <v>561000</v>
          </cell>
          <cell r="K647">
            <v>561000</v>
          </cell>
        </row>
        <row r="648">
          <cell r="I648">
            <v>1517000</v>
          </cell>
          <cell r="J648">
            <v>1517000</v>
          </cell>
          <cell r="K648">
            <v>1517000</v>
          </cell>
        </row>
        <row r="649">
          <cell r="I649">
            <v>618000</v>
          </cell>
          <cell r="J649">
            <v>618000</v>
          </cell>
          <cell r="K649">
            <v>618000</v>
          </cell>
        </row>
        <row r="650">
          <cell r="I650">
            <v>842000</v>
          </cell>
          <cell r="J650">
            <v>842000</v>
          </cell>
          <cell r="K650">
            <v>842000</v>
          </cell>
        </row>
        <row r="651">
          <cell r="I651">
            <v>233000</v>
          </cell>
          <cell r="J651">
            <v>233000</v>
          </cell>
          <cell r="K651">
            <v>233000</v>
          </cell>
        </row>
        <row r="652">
          <cell r="I652">
            <v>842000</v>
          </cell>
          <cell r="J652">
            <v>842000</v>
          </cell>
          <cell r="K652">
            <v>842000</v>
          </cell>
        </row>
        <row r="653">
          <cell r="I653">
            <v>280000</v>
          </cell>
          <cell r="J653">
            <v>280000</v>
          </cell>
          <cell r="K653">
            <v>280000</v>
          </cell>
        </row>
        <row r="654">
          <cell r="I654">
            <v>224000</v>
          </cell>
          <cell r="J654">
            <v>224000</v>
          </cell>
          <cell r="K654">
            <v>224000</v>
          </cell>
        </row>
        <row r="655">
          <cell r="I655">
            <v>842000</v>
          </cell>
          <cell r="J655">
            <v>842000</v>
          </cell>
          <cell r="K655">
            <v>842000</v>
          </cell>
        </row>
        <row r="656">
          <cell r="I656">
            <v>561000</v>
          </cell>
          <cell r="J656">
            <v>561000</v>
          </cell>
          <cell r="K656">
            <v>561000</v>
          </cell>
        </row>
        <row r="657">
          <cell r="I657">
            <v>280000</v>
          </cell>
          <cell r="J657">
            <v>280000</v>
          </cell>
          <cell r="K657">
            <v>280000</v>
          </cell>
        </row>
        <row r="658">
          <cell r="I658">
            <v>768000</v>
          </cell>
          <cell r="J658">
            <v>768000</v>
          </cell>
          <cell r="K658">
            <v>768000</v>
          </cell>
        </row>
        <row r="659">
          <cell r="I659">
            <v>960000</v>
          </cell>
          <cell r="J659">
            <v>960000</v>
          </cell>
          <cell r="K659">
            <v>960000</v>
          </cell>
        </row>
        <row r="660">
          <cell r="I660">
            <v>1019000</v>
          </cell>
          <cell r="J660">
            <v>1019000</v>
          </cell>
          <cell r="K660">
            <v>1019000</v>
          </cell>
        </row>
        <row r="661">
          <cell r="I661">
            <v>51000</v>
          </cell>
          <cell r="J661">
            <v>51000</v>
          </cell>
          <cell r="K661">
            <v>51000</v>
          </cell>
        </row>
        <row r="662">
          <cell r="I662">
            <v>109000</v>
          </cell>
          <cell r="J662">
            <v>109000</v>
          </cell>
          <cell r="K662">
            <v>109000</v>
          </cell>
        </row>
        <row r="663">
          <cell r="I663">
            <v>104000</v>
          </cell>
          <cell r="J663">
            <v>104000</v>
          </cell>
          <cell r="K663">
            <v>104000</v>
          </cell>
        </row>
        <row r="664">
          <cell r="I664">
            <v>7000</v>
          </cell>
          <cell r="J664">
            <v>7000</v>
          </cell>
          <cell r="K664">
            <v>7000</v>
          </cell>
        </row>
        <row r="665">
          <cell r="I665">
            <v>81000</v>
          </cell>
          <cell r="J665">
            <v>81000</v>
          </cell>
          <cell r="K665">
            <v>81000</v>
          </cell>
        </row>
        <row r="666">
          <cell r="I666">
            <v>824000</v>
          </cell>
          <cell r="J666">
            <v>824000</v>
          </cell>
          <cell r="K666">
            <v>824000</v>
          </cell>
        </row>
        <row r="667">
          <cell r="I667">
            <v>145000</v>
          </cell>
          <cell r="J667">
            <v>145000</v>
          </cell>
          <cell r="K667">
            <v>145000</v>
          </cell>
        </row>
        <row r="668">
          <cell r="I668">
            <v>646000</v>
          </cell>
          <cell r="J668">
            <v>646000</v>
          </cell>
          <cell r="K668">
            <v>646000</v>
          </cell>
        </row>
        <row r="669">
          <cell r="I669">
            <v>1130000</v>
          </cell>
          <cell r="J669">
            <v>1130000</v>
          </cell>
          <cell r="K669">
            <v>1130000</v>
          </cell>
        </row>
        <row r="670">
          <cell r="I670">
            <v>215000</v>
          </cell>
          <cell r="J670">
            <v>215000</v>
          </cell>
          <cell r="K670">
            <v>215000</v>
          </cell>
        </row>
        <row r="671">
          <cell r="I671">
            <v>861000</v>
          </cell>
          <cell r="J671">
            <v>861000</v>
          </cell>
          <cell r="K671">
            <v>861000</v>
          </cell>
        </row>
        <row r="672">
          <cell r="I672">
            <v>80000</v>
          </cell>
          <cell r="J672">
            <v>80000</v>
          </cell>
          <cell r="K672">
            <v>80000</v>
          </cell>
        </row>
        <row r="673">
          <cell r="I673">
            <v>376000</v>
          </cell>
          <cell r="J673">
            <v>376000</v>
          </cell>
          <cell r="K673">
            <v>376000</v>
          </cell>
        </row>
        <row r="674">
          <cell r="I674">
            <v>60000</v>
          </cell>
          <cell r="J674">
            <v>60000</v>
          </cell>
          <cell r="K674">
            <v>60000</v>
          </cell>
        </row>
        <row r="675">
          <cell r="I675">
            <v>8000</v>
          </cell>
          <cell r="J675">
            <v>8000</v>
          </cell>
          <cell r="K675">
            <v>8000</v>
          </cell>
        </row>
        <row r="676">
          <cell r="I676">
            <v>5000</v>
          </cell>
          <cell r="J676">
            <v>5000</v>
          </cell>
          <cell r="K676">
            <v>5000</v>
          </cell>
        </row>
        <row r="677">
          <cell r="I677">
            <v>526000</v>
          </cell>
          <cell r="J677">
            <v>526000</v>
          </cell>
          <cell r="K677">
            <v>526000</v>
          </cell>
        </row>
        <row r="678">
          <cell r="I678">
            <v>112000</v>
          </cell>
          <cell r="J678">
            <v>112000</v>
          </cell>
          <cell r="K678">
            <v>112000</v>
          </cell>
        </row>
        <row r="679">
          <cell r="I679">
            <v>84000</v>
          </cell>
          <cell r="J679">
            <v>84000</v>
          </cell>
          <cell r="K679">
            <v>84000</v>
          </cell>
        </row>
        <row r="680">
          <cell r="I680">
            <v>2416000</v>
          </cell>
          <cell r="J680">
            <v>2416000</v>
          </cell>
          <cell r="K680">
            <v>2416000</v>
          </cell>
        </row>
        <row r="681">
          <cell r="I681">
            <v>842000</v>
          </cell>
          <cell r="J681">
            <v>842000</v>
          </cell>
          <cell r="K681">
            <v>842000</v>
          </cell>
        </row>
        <row r="682">
          <cell r="I682">
            <v>1123000</v>
          </cell>
          <cell r="J682">
            <v>1123000</v>
          </cell>
          <cell r="K682">
            <v>1123000</v>
          </cell>
        </row>
        <row r="683">
          <cell r="I683">
            <v>1685000</v>
          </cell>
          <cell r="J683">
            <v>1685000</v>
          </cell>
          <cell r="K683">
            <v>1685000</v>
          </cell>
        </row>
        <row r="684">
          <cell r="I684">
            <v>2247000</v>
          </cell>
          <cell r="J684">
            <v>2247000</v>
          </cell>
          <cell r="K684">
            <v>2247000</v>
          </cell>
        </row>
        <row r="685">
          <cell r="I685">
            <v>2809000</v>
          </cell>
          <cell r="J685">
            <v>2809000</v>
          </cell>
          <cell r="K685">
            <v>2809000</v>
          </cell>
        </row>
        <row r="686">
          <cell r="I686">
            <v>1685000</v>
          </cell>
          <cell r="J686">
            <v>1685000</v>
          </cell>
          <cell r="K686">
            <v>1685000</v>
          </cell>
        </row>
        <row r="687">
          <cell r="I687">
            <v>2247000</v>
          </cell>
          <cell r="J687">
            <v>2247000</v>
          </cell>
          <cell r="K687">
            <v>2247000</v>
          </cell>
        </row>
        <row r="688">
          <cell r="I688">
            <v>2809000</v>
          </cell>
          <cell r="J688">
            <v>2809000</v>
          </cell>
          <cell r="K688">
            <v>2809000</v>
          </cell>
        </row>
        <row r="689">
          <cell r="I689">
            <v>1123000</v>
          </cell>
          <cell r="J689">
            <v>1123000</v>
          </cell>
          <cell r="K689">
            <v>1123000</v>
          </cell>
        </row>
        <row r="690">
          <cell r="I690">
            <v>1685000</v>
          </cell>
          <cell r="J690">
            <v>1685000</v>
          </cell>
          <cell r="K690">
            <v>1685000</v>
          </cell>
        </row>
        <row r="691">
          <cell r="I691">
            <v>2809000</v>
          </cell>
          <cell r="J691">
            <v>2809000</v>
          </cell>
          <cell r="K691">
            <v>2809000</v>
          </cell>
        </row>
        <row r="692">
          <cell r="I692">
            <v>3933000</v>
          </cell>
          <cell r="J692">
            <v>3933000</v>
          </cell>
          <cell r="K692">
            <v>3933000</v>
          </cell>
        </row>
        <row r="693">
          <cell r="I693">
            <v>1123000</v>
          </cell>
          <cell r="J693">
            <v>1123000</v>
          </cell>
          <cell r="K693">
            <v>1123000</v>
          </cell>
        </row>
        <row r="694">
          <cell r="I694">
            <v>2247000</v>
          </cell>
          <cell r="J694">
            <v>2247000</v>
          </cell>
          <cell r="K694">
            <v>2247000</v>
          </cell>
        </row>
        <row r="695">
          <cell r="I695">
            <v>1685000</v>
          </cell>
          <cell r="J695">
            <v>1685000</v>
          </cell>
          <cell r="K695">
            <v>1685000</v>
          </cell>
        </row>
        <row r="696">
          <cell r="I696">
            <v>5057000</v>
          </cell>
          <cell r="J696">
            <v>5057000</v>
          </cell>
          <cell r="K696">
            <v>5057000</v>
          </cell>
        </row>
        <row r="697">
          <cell r="I697">
            <v>1123000</v>
          </cell>
          <cell r="J697">
            <v>1123000</v>
          </cell>
          <cell r="K697">
            <v>1123000</v>
          </cell>
        </row>
        <row r="698">
          <cell r="I698">
            <v>561000</v>
          </cell>
          <cell r="J698">
            <v>561000</v>
          </cell>
          <cell r="K698">
            <v>561000</v>
          </cell>
        </row>
        <row r="699">
          <cell r="I699">
            <v>393000</v>
          </cell>
          <cell r="J699">
            <v>393000</v>
          </cell>
          <cell r="K699">
            <v>393000</v>
          </cell>
        </row>
        <row r="700">
          <cell r="I700">
            <v>108000</v>
          </cell>
          <cell r="J700">
            <v>108000</v>
          </cell>
          <cell r="K700">
            <v>108000</v>
          </cell>
        </row>
        <row r="701">
          <cell r="I701">
            <v>1180000</v>
          </cell>
          <cell r="J701">
            <v>1180000</v>
          </cell>
          <cell r="K701">
            <v>1180000</v>
          </cell>
        </row>
        <row r="702">
          <cell r="I702">
            <v>618000</v>
          </cell>
          <cell r="J702">
            <v>618000</v>
          </cell>
          <cell r="K702">
            <v>618000</v>
          </cell>
        </row>
        <row r="703">
          <cell r="I703">
            <v>1123000</v>
          </cell>
          <cell r="J703">
            <v>1123000</v>
          </cell>
          <cell r="K703">
            <v>1123000</v>
          </cell>
        </row>
        <row r="704">
          <cell r="I704">
            <v>561000</v>
          </cell>
          <cell r="J704">
            <v>561000</v>
          </cell>
          <cell r="K704">
            <v>561000</v>
          </cell>
        </row>
        <row r="705">
          <cell r="I705">
            <v>0</v>
          </cell>
          <cell r="J705">
            <v>0</v>
          </cell>
          <cell r="K705">
            <v>0</v>
          </cell>
        </row>
        <row r="706">
          <cell r="I706">
            <v>0</v>
          </cell>
          <cell r="J706">
            <v>0</v>
          </cell>
          <cell r="K706">
            <v>0</v>
          </cell>
        </row>
        <row r="707">
          <cell r="I707">
            <v>7305000</v>
          </cell>
          <cell r="J707">
            <v>7305000</v>
          </cell>
          <cell r="K707">
            <v>7305000</v>
          </cell>
        </row>
        <row r="708">
          <cell r="I708">
            <v>8670000</v>
          </cell>
          <cell r="J708">
            <v>8670000</v>
          </cell>
          <cell r="K708">
            <v>8670000</v>
          </cell>
        </row>
        <row r="709">
          <cell r="I709">
            <v>8207000</v>
          </cell>
          <cell r="J709">
            <v>8207000</v>
          </cell>
          <cell r="K709">
            <v>8207000</v>
          </cell>
        </row>
        <row r="710">
          <cell r="I710">
            <v>7866000</v>
          </cell>
          <cell r="J710">
            <v>7866000</v>
          </cell>
          <cell r="K710">
            <v>7866000</v>
          </cell>
        </row>
        <row r="711">
          <cell r="I711">
            <v>7216000</v>
          </cell>
          <cell r="J711">
            <v>7216000</v>
          </cell>
          <cell r="K711">
            <v>7216000</v>
          </cell>
        </row>
        <row r="712">
          <cell r="I712">
            <v>7808000</v>
          </cell>
          <cell r="J712">
            <v>7808000</v>
          </cell>
          <cell r="K712">
            <v>7808000</v>
          </cell>
        </row>
        <row r="713">
          <cell r="I713">
            <v>9552000</v>
          </cell>
          <cell r="J713">
            <v>9552000</v>
          </cell>
          <cell r="K713">
            <v>9552000</v>
          </cell>
        </row>
        <row r="714">
          <cell r="I714">
            <v>8078000</v>
          </cell>
          <cell r="J714">
            <v>8078000</v>
          </cell>
          <cell r="K714">
            <v>8078000</v>
          </cell>
        </row>
        <row r="715">
          <cell r="I715">
            <v>10986000</v>
          </cell>
          <cell r="J715">
            <v>10986000</v>
          </cell>
          <cell r="K715">
            <v>10986000</v>
          </cell>
        </row>
        <row r="716">
          <cell r="I716">
            <v>10114000</v>
          </cell>
          <cell r="J716">
            <v>10114000</v>
          </cell>
          <cell r="K716">
            <v>10114000</v>
          </cell>
        </row>
        <row r="717">
          <cell r="I717">
            <v>9659000</v>
          </cell>
          <cell r="J717">
            <v>9659000</v>
          </cell>
          <cell r="K717">
            <v>9659000</v>
          </cell>
        </row>
        <row r="718">
          <cell r="I718">
            <v>12332000</v>
          </cell>
          <cell r="J718">
            <v>12332000</v>
          </cell>
          <cell r="K718">
            <v>12332000</v>
          </cell>
        </row>
        <row r="719">
          <cell r="I719">
            <v>11800000</v>
          </cell>
          <cell r="J719">
            <v>11800000</v>
          </cell>
          <cell r="K719">
            <v>11800000</v>
          </cell>
        </row>
        <row r="720">
          <cell r="I720">
            <v>8401000</v>
          </cell>
          <cell r="J720">
            <v>8401000</v>
          </cell>
          <cell r="K720">
            <v>8401000</v>
          </cell>
        </row>
        <row r="721">
          <cell r="I721">
            <v>8611000</v>
          </cell>
          <cell r="J721">
            <v>8611000</v>
          </cell>
          <cell r="K721">
            <v>8611000</v>
          </cell>
        </row>
        <row r="722">
          <cell r="I722">
            <v>10878000</v>
          </cell>
          <cell r="J722">
            <v>10878000</v>
          </cell>
          <cell r="K722">
            <v>10878000</v>
          </cell>
        </row>
        <row r="723">
          <cell r="I723">
            <v>0</v>
          </cell>
          <cell r="J723">
            <v>0</v>
          </cell>
          <cell r="K723">
            <v>0</v>
          </cell>
        </row>
        <row r="724">
          <cell r="I724">
            <v>0</v>
          </cell>
          <cell r="J724">
            <v>0</v>
          </cell>
          <cell r="K724">
            <v>0</v>
          </cell>
        </row>
        <row r="725">
          <cell r="I725">
            <v>1404000</v>
          </cell>
          <cell r="J725">
            <v>1404000</v>
          </cell>
          <cell r="K725">
            <v>1404000</v>
          </cell>
        </row>
        <row r="726">
          <cell r="I726">
            <v>1685000</v>
          </cell>
          <cell r="J726">
            <v>1685000</v>
          </cell>
          <cell r="K726">
            <v>1685000</v>
          </cell>
        </row>
        <row r="727">
          <cell r="I727">
            <v>1966000</v>
          </cell>
          <cell r="J727">
            <v>1966000</v>
          </cell>
          <cell r="K727">
            <v>1966000</v>
          </cell>
        </row>
        <row r="730">
          <cell r="I730">
            <v>53569000</v>
          </cell>
          <cell r="J730">
            <v>53569000</v>
          </cell>
          <cell r="K730">
            <v>53569000</v>
          </cell>
        </row>
        <row r="733">
          <cell r="I733">
            <v>56192000</v>
          </cell>
          <cell r="J733">
            <v>56192000</v>
          </cell>
          <cell r="K733">
            <v>56192000</v>
          </cell>
        </row>
        <row r="734">
          <cell r="I734">
            <v>61812000</v>
          </cell>
          <cell r="J734">
            <v>61812000</v>
          </cell>
          <cell r="K734">
            <v>61812000</v>
          </cell>
        </row>
        <row r="735">
          <cell r="I735">
            <v>78670000</v>
          </cell>
          <cell r="J735">
            <v>78670000</v>
          </cell>
          <cell r="K735">
            <v>78670000</v>
          </cell>
        </row>
        <row r="736">
          <cell r="I736">
            <v>84289000</v>
          </cell>
          <cell r="J736">
            <v>84289000</v>
          </cell>
          <cell r="K736">
            <v>84289000</v>
          </cell>
        </row>
        <row r="739">
          <cell r="I739">
            <v>67431000</v>
          </cell>
          <cell r="J739">
            <v>67431000</v>
          </cell>
          <cell r="K739">
            <v>67431000</v>
          </cell>
        </row>
        <row r="740">
          <cell r="I740">
            <v>73050000</v>
          </cell>
          <cell r="J740">
            <v>73050000</v>
          </cell>
          <cell r="K740">
            <v>73050000</v>
          </cell>
        </row>
        <row r="741">
          <cell r="I741">
            <v>78670000</v>
          </cell>
          <cell r="J741">
            <v>78670000</v>
          </cell>
          <cell r="K741">
            <v>78670000</v>
          </cell>
        </row>
        <row r="742">
          <cell r="I742">
            <v>89908000</v>
          </cell>
          <cell r="J742">
            <v>89908000</v>
          </cell>
          <cell r="K742">
            <v>89908000</v>
          </cell>
        </row>
        <row r="746">
          <cell r="I746">
            <v>7404000</v>
          </cell>
          <cell r="J746">
            <v>7404000</v>
          </cell>
          <cell r="K746">
            <v>7404000</v>
          </cell>
        </row>
        <row r="747">
          <cell r="I747">
            <v>359000</v>
          </cell>
          <cell r="J747">
            <v>359000</v>
          </cell>
          <cell r="K747">
            <v>359000</v>
          </cell>
        </row>
        <row r="748">
          <cell r="I748">
            <v>150000</v>
          </cell>
          <cell r="J748">
            <v>150000</v>
          </cell>
          <cell r="K748">
            <v>150000</v>
          </cell>
        </row>
        <row r="749">
          <cell r="I749">
            <v>704000</v>
          </cell>
          <cell r="J749">
            <v>704000</v>
          </cell>
          <cell r="K749">
            <v>704000</v>
          </cell>
        </row>
        <row r="750">
          <cell r="I750">
            <v>240000</v>
          </cell>
          <cell r="J750">
            <v>240000</v>
          </cell>
          <cell r="K750">
            <v>240000</v>
          </cell>
        </row>
        <row r="751">
          <cell r="I751">
            <v>69000</v>
          </cell>
          <cell r="J751">
            <v>69000</v>
          </cell>
          <cell r="K751">
            <v>69000</v>
          </cell>
        </row>
        <row r="752">
          <cell r="I752">
            <v>531000</v>
          </cell>
          <cell r="J752">
            <v>531000</v>
          </cell>
          <cell r="K752">
            <v>531000</v>
          </cell>
        </row>
        <row r="753">
          <cell r="I753">
            <v>359000</v>
          </cell>
          <cell r="J753">
            <v>359000</v>
          </cell>
          <cell r="K753">
            <v>359000</v>
          </cell>
        </row>
        <row r="754">
          <cell r="I754">
            <v>678000</v>
          </cell>
          <cell r="J754">
            <v>678000</v>
          </cell>
          <cell r="K754">
            <v>678000</v>
          </cell>
        </row>
        <row r="755">
          <cell r="I755">
            <v>558000</v>
          </cell>
          <cell r="J755">
            <v>558000</v>
          </cell>
          <cell r="K755">
            <v>558000</v>
          </cell>
        </row>
        <row r="756">
          <cell r="I756">
            <v>605000</v>
          </cell>
          <cell r="J756">
            <v>605000</v>
          </cell>
          <cell r="K756">
            <v>605000</v>
          </cell>
        </row>
        <row r="757">
          <cell r="I757">
            <v>652000</v>
          </cell>
          <cell r="J757">
            <v>652000</v>
          </cell>
          <cell r="K757">
            <v>652000</v>
          </cell>
        </row>
        <row r="758">
          <cell r="I758">
            <v>623000</v>
          </cell>
          <cell r="J758">
            <v>623000</v>
          </cell>
          <cell r="K758">
            <v>623000</v>
          </cell>
        </row>
        <row r="759">
          <cell r="I759">
            <v>295000</v>
          </cell>
          <cell r="J759">
            <v>295000</v>
          </cell>
          <cell r="K759">
            <v>295000</v>
          </cell>
        </row>
        <row r="760">
          <cell r="I760">
            <v>460000</v>
          </cell>
          <cell r="J760">
            <v>460000</v>
          </cell>
          <cell r="K760">
            <v>460000</v>
          </cell>
        </row>
        <row r="761">
          <cell r="I761">
            <v>238000</v>
          </cell>
          <cell r="J761">
            <v>238000</v>
          </cell>
          <cell r="K761">
            <v>238000</v>
          </cell>
        </row>
        <row r="762">
          <cell r="I762">
            <v>393000</v>
          </cell>
          <cell r="J762">
            <v>393000</v>
          </cell>
          <cell r="K762">
            <v>393000</v>
          </cell>
        </row>
        <row r="763">
          <cell r="I763">
            <v>436000</v>
          </cell>
          <cell r="J763">
            <v>436000</v>
          </cell>
          <cell r="K763">
            <v>436000</v>
          </cell>
        </row>
        <row r="764">
          <cell r="I764">
            <v>360000</v>
          </cell>
          <cell r="J764">
            <v>360000</v>
          </cell>
          <cell r="K764">
            <v>360000</v>
          </cell>
        </row>
        <row r="765">
          <cell r="I765">
            <v>46000</v>
          </cell>
          <cell r="J765">
            <v>46000</v>
          </cell>
          <cell r="K765">
            <v>46000</v>
          </cell>
        </row>
        <row r="766">
          <cell r="I766">
            <v>1076000</v>
          </cell>
          <cell r="J766">
            <v>1076000</v>
          </cell>
          <cell r="K766">
            <v>1076000</v>
          </cell>
        </row>
        <row r="767">
          <cell r="I767">
            <v>51000</v>
          </cell>
          <cell r="J767">
            <v>51000</v>
          </cell>
          <cell r="K767">
            <v>51000</v>
          </cell>
        </row>
        <row r="768">
          <cell r="I768">
            <v>193000</v>
          </cell>
          <cell r="J768">
            <v>193000</v>
          </cell>
          <cell r="K768">
            <v>193000</v>
          </cell>
        </row>
        <row r="769">
          <cell r="I769">
            <v>115000</v>
          </cell>
          <cell r="J769">
            <v>115000</v>
          </cell>
          <cell r="K769">
            <v>115000</v>
          </cell>
        </row>
        <row r="770">
          <cell r="I770">
            <v>46000</v>
          </cell>
          <cell r="J770">
            <v>46000</v>
          </cell>
          <cell r="K770">
            <v>46000</v>
          </cell>
        </row>
        <row r="771">
          <cell r="I771">
            <v>59000</v>
          </cell>
          <cell r="J771">
            <v>59000</v>
          </cell>
          <cell r="K771">
            <v>59000</v>
          </cell>
        </row>
        <row r="772">
          <cell r="I772">
            <v>1252000</v>
          </cell>
          <cell r="J772">
            <v>1252000</v>
          </cell>
          <cell r="K772">
            <v>1252000</v>
          </cell>
        </row>
        <row r="773">
          <cell r="I773">
            <v>402000</v>
          </cell>
          <cell r="J773">
            <v>402000</v>
          </cell>
          <cell r="K773">
            <v>402000</v>
          </cell>
        </row>
        <row r="774">
          <cell r="I774">
            <v>606000</v>
          </cell>
          <cell r="J774">
            <v>606000</v>
          </cell>
          <cell r="K774">
            <v>606000</v>
          </cell>
        </row>
        <row r="775">
          <cell r="I775">
            <v>139000</v>
          </cell>
          <cell r="J775">
            <v>139000</v>
          </cell>
          <cell r="K775">
            <v>139000</v>
          </cell>
        </row>
        <row r="776">
          <cell r="I776">
            <v>601000</v>
          </cell>
          <cell r="J776">
            <v>601000</v>
          </cell>
          <cell r="K776">
            <v>601000</v>
          </cell>
        </row>
        <row r="777">
          <cell r="I777">
            <v>146000</v>
          </cell>
          <cell r="J777">
            <v>146000</v>
          </cell>
          <cell r="K777">
            <v>146000</v>
          </cell>
        </row>
        <row r="778">
          <cell r="I778">
            <v>2064000</v>
          </cell>
          <cell r="J778">
            <v>2064000</v>
          </cell>
          <cell r="K778">
            <v>2064000</v>
          </cell>
        </row>
        <row r="779">
          <cell r="I779">
            <v>106000</v>
          </cell>
          <cell r="J779">
            <v>106000</v>
          </cell>
          <cell r="K779">
            <v>106000</v>
          </cell>
        </row>
        <row r="780">
          <cell r="I780">
            <v>694000</v>
          </cell>
          <cell r="J780">
            <v>694000</v>
          </cell>
          <cell r="K780">
            <v>694000</v>
          </cell>
        </row>
        <row r="781">
          <cell r="I781">
            <v>252000</v>
          </cell>
          <cell r="J781">
            <v>252000</v>
          </cell>
          <cell r="K781">
            <v>252000</v>
          </cell>
        </row>
        <row r="782">
          <cell r="I782">
            <v>1625000</v>
          </cell>
          <cell r="J782">
            <v>1625000</v>
          </cell>
          <cell r="K782">
            <v>1625000</v>
          </cell>
        </row>
        <row r="783">
          <cell r="I783">
            <v>3461000</v>
          </cell>
          <cell r="J783">
            <v>3461000</v>
          </cell>
          <cell r="K783">
            <v>3461000</v>
          </cell>
        </row>
        <row r="784">
          <cell r="I784">
            <v>2055000</v>
          </cell>
          <cell r="J784">
            <v>2055000</v>
          </cell>
          <cell r="K784">
            <v>2055000</v>
          </cell>
        </row>
        <row r="785">
          <cell r="I785">
            <v>623000</v>
          </cell>
          <cell r="J785">
            <v>623000</v>
          </cell>
          <cell r="K785">
            <v>623000</v>
          </cell>
        </row>
        <row r="786">
          <cell r="I786">
            <v>416000</v>
          </cell>
          <cell r="J786">
            <v>416000</v>
          </cell>
          <cell r="K786">
            <v>416000</v>
          </cell>
        </row>
        <row r="787">
          <cell r="I787">
            <v>348000</v>
          </cell>
          <cell r="J787">
            <v>348000</v>
          </cell>
          <cell r="K787">
            <v>348000</v>
          </cell>
        </row>
        <row r="788">
          <cell r="I788">
            <v>531000</v>
          </cell>
          <cell r="J788">
            <v>531000</v>
          </cell>
          <cell r="K788">
            <v>531000</v>
          </cell>
        </row>
        <row r="789">
          <cell r="I789">
            <v>1024000</v>
          </cell>
          <cell r="J789">
            <v>1024000</v>
          </cell>
          <cell r="K789">
            <v>1024000</v>
          </cell>
        </row>
        <row r="790">
          <cell r="I790">
            <v>625000</v>
          </cell>
          <cell r="J790">
            <v>625000</v>
          </cell>
          <cell r="K790">
            <v>625000</v>
          </cell>
        </row>
        <row r="791">
          <cell r="I791">
            <v>573000</v>
          </cell>
          <cell r="J791">
            <v>573000</v>
          </cell>
          <cell r="K791">
            <v>573000</v>
          </cell>
        </row>
        <row r="792">
          <cell r="I792">
            <v>48000</v>
          </cell>
          <cell r="J792">
            <v>48000</v>
          </cell>
          <cell r="K792">
            <v>48000</v>
          </cell>
        </row>
        <row r="793">
          <cell r="I793">
            <v>48000</v>
          </cell>
          <cell r="J793">
            <v>48000</v>
          </cell>
          <cell r="K793">
            <v>48000</v>
          </cell>
        </row>
        <row r="794">
          <cell r="I794">
            <v>431000</v>
          </cell>
          <cell r="J794">
            <v>431000</v>
          </cell>
          <cell r="K794">
            <v>431000</v>
          </cell>
        </row>
        <row r="795">
          <cell r="I795">
            <v>2557000</v>
          </cell>
          <cell r="J795">
            <v>2557000</v>
          </cell>
          <cell r="K795">
            <v>2557000</v>
          </cell>
        </row>
        <row r="796">
          <cell r="I796">
            <v>858000</v>
          </cell>
          <cell r="J796">
            <v>858000</v>
          </cell>
          <cell r="K796">
            <v>858000</v>
          </cell>
        </row>
        <row r="797">
          <cell r="I797">
            <v>219000</v>
          </cell>
          <cell r="J797">
            <v>219000</v>
          </cell>
          <cell r="K797">
            <v>219000</v>
          </cell>
        </row>
        <row r="798">
          <cell r="I798">
            <v>205000</v>
          </cell>
          <cell r="J798">
            <v>205000</v>
          </cell>
          <cell r="K798">
            <v>205000</v>
          </cell>
        </row>
        <row r="799">
          <cell r="I799">
            <v>54000</v>
          </cell>
          <cell r="J799">
            <v>54000</v>
          </cell>
          <cell r="K799">
            <v>54000</v>
          </cell>
        </row>
        <row r="800">
          <cell r="I800">
            <v>69000</v>
          </cell>
          <cell r="J800">
            <v>69000</v>
          </cell>
          <cell r="K800">
            <v>69000</v>
          </cell>
        </row>
        <row r="801">
          <cell r="I801">
            <v>798000</v>
          </cell>
          <cell r="J801">
            <v>798000</v>
          </cell>
          <cell r="K801">
            <v>798000</v>
          </cell>
        </row>
        <row r="802">
          <cell r="I802">
            <v>414000</v>
          </cell>
          <cell r="J802">
            <v>414000</v>
          </cell>
          <cell r="K802">
            <v>414000</v>
          </cell>
        </row>
        <row r="803">
          <cell r="I803">
            <v>477000</v>
          </cell>
          <cell r="J803">
            <v>477000</v>
          </cell>
          <cell r="K803">
            <v>477000</v>
          </cell>
        </row>
        <row r="804">
          <cell r="I804">
            <v>494000</v>
          </cell>
          <cell r="J804">
            <v>494000</v>
          </cell>
          <cell r="K804">
            <v>494000</v>
          </cell>
        </row>
        <row r="805">
          <cell r="I805">
            <v>986000</v>
          </cell>
          <cell r="J805">
            <v>986000</v>
          </cell>
          <cell r="K805">
            <v>986000</v>
          </cell>
        </row>
        <row r="808">
          <cell r="I808">
            <v>21000</v>
          </cell>
          <cell r="J808">
            <v>21000</v>
          </cell>
          <cell r="K808">
            <v>21000</v>
          </cell>
        </row>
        <row r="809">
          <cell r="I809">
            <v>16000</v>
          </cell>
          <cell r="J809">
            <v>16000</v>
          </cell>
          <cell r="K809">
            <v>16000</v>
          </cell>
        </row>
        <row r="810">
          <cell r="I810">
            <v>13000</v>
          </cell>
          <cell r="J810">
            <v>13000</v>
          </cell>
          <cell r="K810">
            <v>13000</v>
          </cell>
        </row>
        <row r="811">
          <cell r="I811">
            <v>54000</v>
          </cell>
          <cell r="J811">
            <v>54000</v>
          </cell>
          <cell r="K811">
            <v>54000</v>
          </cell>
        </row>
        <row r="819">
          <cell r="I819">
            <v>108000</v>
          </cell>
          <cell r="J819">
            <v>108000</v>
          </cell>
          <cell r="K819">
            <v>108000</v>
          </cell>
        </row>
        <row r="822">
          <cell r="I822">
            <v>86000</v>
          </cell>
          <cell r="J822">
            <v>86000</v>
          </cell>
          <cell r="K822">
            <v>86000</v>
          </cell>
        </row>
        <row r="823">
          <cell r="I823">
            <v>21000</v>
          </cell>
          <cell r="J823">
            <v>21000</v>
          </cell>
          <cell r="K823">
            <v>21000</v>
          </cell>
        </row>
        <row r="824">
          <cell r="I824">
            <v>37000</v>
          </cell>
          <cell r="J824">
            <v>37000</v>
          </cell>
          <cell r="K824">
            <v>37000</v>
          </cell>
        </row>
        <row r="825">
          <cell r="I825">
            <v>51000</v>
          </cell>
          <cell r="J825">
            <v>51000</v>
          </cell>
          <cell r="K825">
            <v>51000</v>
          </cell>
        </row>
        <row r="826">
          <cell r="I826">
            <v>71000</v>
          </cell>
          <cell r="J826">
            <v>71000</v>
          </cell>
          <cell r="K826">
            <v>71000</v>
          </cell>
        </row>
        <row r="828">
          <cell r="I828">
            <v>81000</v>
          </cell>
          <cell r="J828">
            <v>81000</v>
          </cell>
          <cell r="K828">
            <v>81000</v>
          </cell>
        </row>
        <row r="830">
          <cell r="I830">
            <v>13000</v>
          </cell>
          <cell r="J830">
            <v>13000</v>
          </cell>
          <cell r="K830">
            <v>13000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 SUMUR"/>
      <sheetName val="RAB SUMUR"/>
      <sheetName val="AHSP SUMUR"/>
      <sheetName val="Upah &amp; Bahan"/>
      <sheetName val="Usulan 2021"/>
      <sheetName val="Rekap"/>
      <sheetName val="AHSP 2008"/>
      <sheetName val="Daftar Analys"/>
      <sheetName val="RAB DED "/>
      <sheetName val="VOLUME DED"/>
      <sheetName val="RAB Dinas"/>
      <sheetName val="AHSP 2002"/>
      <sheetName val="AHSP HTG"/>
      <sheetName val="AHSP PASAR"/>
    </sheetNames>
    <sheetDataSet>
      <sheetData sheetId="0"/>
      <sheetData sheetId="1">
        <row r="5">
          <cell r="D5" t="str">
            <v>PROGRAM</v>
          </cell>
          <cell r="E5" t="str">
            <v>:</v>
          </cell>
          <cell r="F5">
            <v>0</v>
          </cell>
        </row>
        <row r="6">
          <cell r="D6" t="str">
            <v>KEGIATAN</v>
          </cell>
          <cell r="E6" t="str">
            <v>:</v>
          </cell>
          <cell r="F6">
            <v>0</v>
          </cell>
        </row>
        <row r="7">
          <cell r="F7">
            <v>0</v>
          </cell>
        </row>
        <row r="8">
          <cell r="D8" t="str">
            <v>VOLUME</v>
          </cell>
          <cell r="E8" t="str">
            <v>:</v>
          </cell>
          <cell r="F8">
            <v>0</v>
          </cell>
        </row>
        <row r="9">
          <cell r="D9" t="str">
            <v>L O K A S I</v>
          </cell>
          <cell r="E9" t="str">
            <v>:</v>
          </cell>
          <cell r="F9">
            <v>0</v>
          </cell>
        </row>
        <row r="10">
          <cell r="D10" t="str">
            <v>KABUPATEN</v>
          </cell>
          <cell r="E10" t="str">
            <v>:</v>
          </cell>
          <cell r="F10">
            <v>0</v>
          </cell>
        </row>
        <row r="11">
          <cell r="D11" t="str">
            <v>SUMBER DANA</v>
          </cell>
          <cell r="E11" t="str">
            <v>:</v>
          </cell>
          <cell r="F11">
            <v>0</v>
          </cell>
        </row>
        <row r="12">
          <cell r="D12" t="str">
            <v>TAHUN ANGGARAN</v>
          </cell>
          <cell r="E12" t="str">
            <v>:</v>
          </cell>
          <cell r="F12">
            <v>2020</v>
          </cell>
        </row>
        <row r="121">
          <cell r="K121" t="str">
            <v>KEPALA DINAS PEKERJAAN UMUM DAN PERUMAHAN RAKYAT</v>
          </cell>
        </row>
        <row r="122">
          <cell r="K122" t="str">
            <v>KABUPATEN KARANGANYAR</v>
          </cell>
        </row>
        <row r="127">
          <cell r="K127" t="str">
            <v>EDHY SRIYATNO, ST, MT</v>
          </cell>
        </row>
        <row r="128">
          <cell r="K128" t="str">
            <v>NIP. 19600323 198703 1 007</v>
          </cell>
        </row>
        <row r="129">
          <cell r="K129">
            <v>0</v>
          </cell>
        </row>
      </sheetData>
      <sheetData sheetId="2"/>
      <sheetData sheetId="3"/>
      <sheetData sheetId="4">
        <row r="18">
          <cell r="I18">
            <v>119000</v>
          </cell>
          <cell r="J18">
            <v>119000</v>
          </cell>
          <cell r="K18">
            <v>119000</v>
          </cell>
        </row>
        <row r="19">
          <cell r="I19">
            <v>85500</v>
          </cell>
          <cell r="J19">
            <v>85500</v>
          </cell>
          <cell r="K19">
            <v>85500</v>
          </cell>
        </row>
        <row r="20">
          <cell r="I20">
            <v>85500</v>
          </cell>
          <cell r="J20">
            <v>85500</v>
          </cell>
          <cell r="K20">
            <v>85500</v>
          </cell>
        </row>
        <row r="21">
          <cell r="I21">
            <v>86800</v>
          </cell>
          <cell r="J21">
            <v>86800</v>
          </cell>
          <cell r="K21">
            <v>86800</v>
          </cell>
        </row>
        <row r="22">
          <cell r="I22">
            <v>85500</v>
          </cell>
          <cell r="J22">
            <v>85500</v>
          </cell>
          <cell r="K22">
            <v>85500</v>
          </cell>
        </row>
        <row r="23">
          <cell r="I23">
            <v>169000</v>
          </cell>
          <cell r="J23">
            <v>169000</v>
          </cell>
          <cell r="K23">
            <v>169000</v>
          </cell>
        </row>
        <row r="24">
          <cell r="I24">
            <v>211000</v>
          </cell>
          <cell r="J24">
            <v>211000</v>
          </cell>
          <cell r="K24">
            <v>211000</v>
          </cell>
        </row>
        <row r="25">
          <cell r="I25">
            <v>96000</v>
          </cell>
          <cell r="J25">
            <v>96000</v>
          </cell>
          <cell r="K25">
            <v>96000</v>
          </cell>
        </row>
        <row r="26">
          <cell r="I26">
            <v>96000</v>
          </cell>
          <cell r="J26">
            <v>96000</v>
          </cell>
          <cell r="K26">
            <v>96000</v>
          </cell>
        </row>
        <row r="27">
          <cell r="I27">
            <v>96000</v>
          </cell>
          <cell r="J27">
            <v>96000</v>
          </cell>
          <cell r="K27">
            <v>96000</v>
          </cell>
        </row>
        <row r="28">
          <cell r="I28">
            <v>96000</v>
          </cell>
          <cell r="J28">
            <v>96000</v>
          </cell>
          <cell r="K28">
            <v>96000</v>
          </cell>
        </row>
        <row r="29">
          <cell r="I29">
            <v>96000</v>
          </cell>
          <cell r="J29">
            <v>96000</v>
          </cell>
          <cell r="K29">
            <v>96000</v>
          </cell>
        </row>
        <row r="30">
          <cell r="I30">
            <v>206000</v>
          </cell>
          <cell r="J30">
            <v>206000</v>
          </cell>
          <cell r="K30">
            <v>206000</v>
          </cell>
        </row>
        <row r="31">
          <cell r="I31">
            <v>87000</v>
          </cell>
          <cell r="J31">
            <v>87000</v>
          </cell>
          <cell r="K31">
            <v>87000</v>
          </cell>
        </row>
        <row r="32">
          <cell r="I32">
            <v>87000</v>
          </cell>
          <cell r="J32">
            <v>87000</v>
          </cell>
          <cell r="K32">
            <v>87000</v>
          </cell>
        </row>
        <row r="33">
          <cell r="I33">
            <v>87000</v>
          </cell>
          <cell r="J33">
            <v>87000</v>
          </cell>
          <cell r="K33">
            <v>87000</v>
          </cell>
        </row>
        <row r="34">
          <cell r="I34">
            <v>87000</v>
          </cell>
          <cell r="J34">
            <v>87000</v>
          </cell>
          <cell r="K34">
            <v>87000</v>
          </cell>
        </row>
        <row r="35">
          <cell r="I35">
            <v>87000</v>
          </cell>
          <cell r="J35">
            <v>87000</v>
          </cell>
          <cell r="K35">
            <v>87000</v>
          </cell>
        </row>
        <row r="36">
          <cell r="I36">
            <v>85500</v>
          </cell>
          <cell r="J36">
            <v>85500</v>
          </cell>
          <cell r="K36">
            <v>85500</v>
          </cell>
        </row>
        <row r="37">
          <cell r="I37">
            <v>87000</v>
          </cell>
          <cell r="J37">
            <v>87000</v>
          </cell>
          <cell r="K37">
            <v>87000</v>
          </cell>
        </row>
        <row r="38">
          <cell r="I38">
            <v>182000</v>
          </cell>
          <cell r="J38">
            <v>182000</v>
          </cell>
          <cell r="K38">
            <v>182000</v>
          </cell>
        </row>
        <row r="39">
          <cell r="I39">
            <v>85500</v>
          </cell>
          <cell r="J39">
            <v>85500</v>
          </cell>
          <cell r="K39">
            <v>85500</v>
          </cell>
        </row>
        <row r="40">
          <cell r="I40">
            <v>85500</v>
          </cell>
          <cell r="J40">
            <v>85500</v>
          </cell>
          <cell r="K40">
            <v>85500</v>
          </cell>
        </row>
        <row r="41">
          <cell r="I41">
            <v>85500</v>
          </cell>
          <cell r="J41">
            <v>85500</v>
          </cell>
          <cell r="K41">
            <v>85500</v>
          </cell>
        </row>
        <row r="42">
          <cell r="I42">
            <v>85500</v>
          </cell>
          <cell r="J42">
            <v>85500</v>
          </cell>
          <cell r="K42">
            <v>85500</v>
          </cell>
        </row>
        <row r="43">
          <cell r="I43">
            <v>86800</v>
          </cell>
          <cell r="J43">
            <v>86800</v>
          </cell>
          <cell r="K43">
            <v>86800</v>
          </cell>
        </row>
        <row r="44">
          <cell r="I44">
            <v>87000</v>
          </cell>
          <cell r="J44">
            <v>87000</v>
          </cell>
          <cell r="K44">
            <v>87000</v>
          </cell>
        </row>
        <row r="45">
          <cell r="I45">
            <v>87000</v>
          </cell>
          <cell r="J45">
            <v>87000</v>
          </cell>
          <cell r="K45">
            <v>87000</v>
          </cell>
        </row>
        <row r="46">
          <cell r="I46">
            <v>87000</v>
          </cell>
          <cell r="J46">
            <v>87000</v>
          </cell>
          <cell r="K46">
            <v>87000</v>
          </cell>
        </row>
        <row r="47">
          <cell r="I47">
            <v>87000</v>
          </cell>
        </row>
        <row r="48">
          <cell r="I48">
            <v>87000</v>
          </cell>
          <cell r="J48">
            <v>87000</v>
          </cell>
          <cell r="K48">
            <v>87000</v>
          </cell>
        </row>
        <row r="49">
          <cell r="I49">
            <v>92000</v>
          </cell>
          <cell r="J49">
            <v>92000</v>
          </cell>
          <cell r="K49">
            <v>92000</v>
          </cell>
        </row>
        <row r="50">
          <cell r="I50">
            <v>87000</v>
          </cell>
          <cell r="J50">
            <v>87000</v>
          </cell>
          <cell r="K50">
            <v>87000</v>
          </cell>
        </row>
        <row r="51">
          <cell r="I51">
            <v>87000</v>
          </cell>
          <cell r="J51">
            <v>87000</v>
          </cell>
          <cell r="K51">
            <v>87000</v>
          </cell>
        </row>
        <row r="52">
          <cell r="I52">
            <v>87000</v>
          </cell>
          <cell r="J52">
            <v>87000</v>
          </cell>
          <cell r="K52">
            <v>87000</v>
          </cell>
        </row>
        <row r="53">
          <cell r="I53">
            <v>87000</v>
          </cell>
          <cell r="J53">
            <v>87000</v>
          </cell>
          <cell r="K53">
            <v>87000</v>
          </cell>
        </row>
        <row r="64">
          <cell r="I64">
            <v>204100</v>
          </cell>
          <cell r="J64">
            <v>204100</v>
          </cell>
          <cell r="K64">
            <v>204100</v>
          </cell>
        </row>
        <row r="65">
          <cell r="I65">
            <v>47</v>
          </cell>
          <cell r="J65">
            <v>47</v>
          </cell>
          <cell r="K65">
            <v>47</v>
          </cell>
        </row>
        <row r="66">
          <cell r="I66">
            <v>14600</v>
          </cell>
          <cell r="J66">
            <v>14600</v>
          </cell>
          <cell r="K66">
            <v>14600</v>
          </cell>
        </row>
        <row r="67">
          <cell r="I67">
            <v>9400</v>
          </cell>
          <cell r="J67">
            <v>9400</v>
          </cell>
          <cell r="K67">
            <v>9400</v>
          </cell>
        </row>
        <row r="68">
          <cell r="I68">
            <v>5700</v>
          </cell>
          <cell r="J68">
            <v>5700</v>
          </cell>
          <cell r="K68">
            <v>5700</v>
          </cell>
        </row>
        <row r="70">
          <cell r="I70">
            <v>33400</v>
          </cell>
          <cell r="J70">
            <v>33400</v>
          </cell>
          <cell r="K70">
            <v>33400</v>
          </cell>
        </row>
        <row r="71">
          <cell r="I71">
            <v>122700</v>
          </cell>
          <cell r="J71">
            <v>122700</v>
          </cell>
          <cell r="K71">
            <v>122700</v>
          </cell>
        </row>
        <row r="72">
          <cell r="I72">
            <v>116800</v>
          </cell>
          <cell r="J72">
            <v>116800</v>
          </cell>
          <cell r="K72">
            <v>116800</v>
          </cell>
        </row>
        <row r="73">
          <cell r="I73">
            <v>9730</v>
          </cell>
          <cell r="J73">
            <v>9730</v>
          </cell>
          <cell r="K73">
            <v>9730</v>
          </cell>
        </row>
        <row r="74">
          <cell r="I74">
            <v>0</v>
          </cell>
          <cell r="J74">
            <v>0</v>
          </cell>
          <cell r="K74">
            <v>0</v>
          </cell>
        </row>
        <row r="75">
          <cell r="I75">
            <v>110000</v>
          </cell>
          <cell r="J75">
            <v>110000</v>
          </cell>
          <cell r="K75">
            <v>110000</v>
          </cell>
        </row>
        <row r="76">
          <cell r="I76">
            <v>55000</v>
          </cell>
          <cell r="J76">
            <v>55000</v>
          </cell>
          <cell r="K76">
            <v>55000</v>
          </cell>
        </row>
        <row r="78">
          <cell r="I78">
            <v>315000</v>
          </cell>
          <cell r="J78">
            <v>315000</v>
          </cell>
          <cell r="K78">
            <v>315000</v>
          </cell>
        </row>
        <row r="79">
          <cell r="I79">
            <v>292000</v>
          </cell>
          <cell r="J79">
            <v>292000</v>
          </cell>
          <cell r="K79">
            <v>292000</v>
          </cell>
        </row>
        <row r="80">
          <cell r="I80">
            <v>105000</v>
          </cell>
          <cell r="J80">
            <v>105000</v>
          </cell>
          <cell r="K80">
            <v>105000</v>
          </cell>
        </row>
        <row r="81">
          <cell r="I81">
            <v>30000</v>
          </cell>
        </row>
        <row r="82">
          <cell r="G82" t="str">
            <v>lbr</v>
          </cell>
          <cell r="I82">
            <v>61000</v>
          </cell>
        </row>
        <row r="83">
          <cell r="G83" t="str">
            <v>lbr</v>
          </cell>
          <cell r="I83">
            <v>97000</v>
          </cell>
        </row>
        <row r="84">
          <cell r="I84">
            <v>116000</v>
          </cell>
          <cell r="J84">
            <v>116000</v>
          </cell>
          <cell r="K84">
            <v>116000</v>
          </cell>
        </row>
        <row r="85">
          <cell r="I85">
            <v>35000</v>
          </cell>
          <cell r="J85">
            <v>35000</v>
          </cell>
          <cell r="K85">
            <v>35000</v>
          </cell>
        </row>
        <row r="86">
          <cell r="I86">
            <v>186000</v>
          </cell>
          <cell r="J86">
            <v>186000</v>
          </cell>
          <cell r="K86">
            <v>186000</v>
          </cell>
        </row>
        <row r="87">
          <cell r="I87">
            <v>70100</v>
          </cell>
          <cell r="J87">
            <v>70100</v>
          </cell>
          <cell r="K87">
            <v>70100</v>
          </cell>
        </row>
        <row r="88">
          <cell r="I88">
            <v>526000</v>
          </cell>
          <cell r="J88">
            <v>526000</v>
          </cell>
          <cell r="K88">
            <v>526000</v>
          </cell>
        </row>
        <row r="89">
          <cell r="I89">
            <v>467000</v>
          </cell>
          <cell r="J89">
            <v>467000</v>
          </cell>
          <cell r="K89">
            <v>467000</v>
          </cell>
        </row>
        <row r="90">
          <cell r="I90">
            <v>818000</v>
          </cell>
          <cell r="J90">
            <v>818000</v>
          </cell>
          <cell r="K90">
            <v>818000</v>
          </cell>
        </row>
        <row r="91">
          <cell r="I91">
            <v>2046000</v>
          </cell>
          <cell r="J91">
            <v>2046000</v>
          </cell>
          <cell r="K91">
            <v>2046000</v>
          </cell>
        </row>
        <row r="92">
          <cell r="I92">
            <v>81700</v>
          </cell>
          <cell r="J92">
            <v>81700</v>
          </cell>
          <cell r="K92">
            <v>81700</v>
          </cell>
        </row>
        <row r="93">
          <cell r="I93">
            <v>15200</v>
          </cell>
          <cell r="J93">
            <v>15200</v>
          </cell>
          <cell r="K93">
            <v>15200</v>
          </cell>
        </row>
        <row r="94">
          <cell r="I94">
            <v>11000</v>
          </cell>
          <cell r="J94">
            <v>11000</v>
          </cell>
          <cell r="K94">
            <v>11000</v>
          </cell>
        </row>
        <row r="95">
          <cell r="I95">
            <v>20000</v>
          </cell>
          <cell r="J95">
            <v>20000</v>
          </cell>
          <cell r="K95">
            <v>20000</v>
          </cell>
        </row>
        <row r="96">
          <cell r="I96">
            <v>12000</v>
          </cell>
        </row>
        <row r="97">
          <cell r="I97">
            <v>3600</v>
          </cell>
          <cell r="J97">
            <v>3600</v>
          </cell>
          <cell r="K97">
            <v>3600</v>
          </cell>
        </row>
        <row r="98">
          <cell r="I98">
            <v>876000</v>
          </cell>
          <cell r="J98">
            <v>876000</v>
          </cell>
          <cell r="K98">
            <v>876000</v>
          </cell>
        </row>
        <row r="99">
          <cell r="I99">
            <v>204000</v>
          </cell>
          <cell r="J99">
            <v>204000</v>
          </cell>
          <cell r="K99">
            <v>204000</v>
          </cell>
        </row>
        <row r="100">
          <cell r="I100">
            <v>12800</v>
          </cell>
          <cell r="J100">
            <v>12800</v>
          </cell>
          <cell r="K100">
            <v>12800</v>
          </cell>
        </row>
        <row r="101">
          <cell r="I101">
            <v>810</v>
          </cell>
          <cell r="J101">
            <v>810</v>
          </cell>
          <cell r="K101">
            <v>810</v>
          </cell>
        </row>
        <row r="103">
          <cell r="I103">
            <v>291000</v>
          </cell>
          <cell r="J103">
            <v>291000</v>
          </cell>
          <cell r="K103">
            <v>291000</v>
          </cell>
        </row>
        <row r="104">
          <cell r="I104">
            <v>104000</v>
          </cell>
          <cell r="J104">
            <v>104000</v>
          </cell>
          <cell r="K104">
            <v>104000</v>
          </cell>
        </row>
        <row r="105">
          <cell r="I105">
            <v>285000</v>
          </cell>
          <cell r="J105">
            <v>285000</v>
          </cell>
          <cell r="K105">
            <v>285000</v>
          </cell>
        </row>
        <row r="106">
          <cell r="I106">
            <v>93000</v>
          </cell>
          <cell r="J106">
            <v>93000</v>
          </cell>
          <cell r="K106">
            <v>93000</v>
          </cell>
        </row>
        <row r="108">
          <cell r="I108">
            <v>155000</v>
          </cell>
          <cell r="J108">
            <v>155000</v>
          </cell>
          <cell r="K108">
            <v>155000</v>
          </cell>
        </row>
        <row r="109">
          <cell r="I109">
            <v>116000</v>
          </cell>
          <cell r="J109">
            <v>116000</v>
          </cell>
          <cell r="K109">
            <v>116000</v>
          </cell>
        </row>
        <row r="110">
          <cell r="I110">
            <v>280000</v>
          </cell>
          <cell r="J110">
            <v>280000</v>
          </cell>
          <cell r="K110">
            <v>280000</v>
          </cell>
        </row>
        <row r="111">
          <cell r="I111">
            <v>280000</v>
          </cell>
          <cell r="J111">
            <v>280000</v>
          </cell>
          <cell r="K111">
            <v>280000</v>
          </cell>
        </row>
        <row r="112">
          <cell r="I112">
            <v>280000</v>
          </cell>
          <cell r="J112">
            <v>280000</v>
          </cell>
          <cell r="K112">
            <v>280000</v>
          </cell>
        </row>
        <row r="113">
          <cell r="I113">
            <v>280000</v>
          </cell>
          <cell r="J113">
            <v>280000</v>
          </cell>
          <cell r="K113">
            <v>280000</v>
          </cell>
        </row>
        <row r="114">
          <cell r="I114">
            <v>280000</v>
          </cell>
          <cell r="J114">
            <v>280000</v>
          </cell>
          <cell r="K114">
            <v>280000</v>
          </cell>
        </row>
        <row r="115">
          <cell r="I115">
            <v>280000</v>
          </cell>
          <cell r="J115">
            <v>280000</v>
          </cell>
          <cell r="K115">
            <v>280000</v>
          </cell>
        </row>
        <row r="116">
          <cell r="I116">
            <v>280000</v>
          </cell>
          <cell r="J116">
            <v>280000</v>
          </cell>
          <cell r="K116">
            <v>280000</v>
          </cell>
        </row>
        <row r="117">
          <cell r="I117">
            <v>280000</v>
          </cell>
          <cell r="J117">
            <v>280000</v>
          </cell>
          <cell r="K117">
            <v>280000</v>
          </cell>
        </row>
        <row r="118">
          <cell r="I118">
            <v>280000</v>
          </cell>
          <cell r="J118">
            <v>280000</v>
          </cell>
          <cell r="K118">
            <v>280000</v>
          </cell>
        </row>
        <row r="119">
          <cell r="I119">
            <v>35000</v>
          </cell>
          <cell r="J119">
            <v>35000</v>
          </cell>
          <cell r="K119">
            <v>35000</v>
          </cell>
        </row>
        <row r="120">
          <cell r="I120">
            <v>58100</v>
          </cell>
        </row>
        <row r="121">
          <cell r="I121">
            <v>6500</v>
          </cell>
        </row>
        <row r="122">
          <cell r="I122">
            <v>2500</v>
          </cell>
        </row>
        <row r="123">
          <cell r="I123">
            <v>11500</v>
          </cell>
          <cell r="J123">
            <v>11500</v>
          </cell>
          <cell r="K123">
            <v>11500</v>
          </cell>
        </row>
        <row r="124">
          <cell r="I124">
            <v>5200</v>
          </cell>
          <cell r="J124">
            <v>5200</v>
          </cell>
          <cell r="K124">
            <v>5200</v>
          </cell>
        </row>
        <row r="125">
          <cell r="I125">
            <v>8600</v>
          </cell>
          <cell r="J125">
            <v>8600</v>
          </cell>
          <cell r="K125">
            <v>8600</v>
          </cell>
        </row>
        <row r="126">
          <cell r="I126">
            <v>9400</v>
          </cell>
          <cell r="J126">
            <v>9400</v>
          </cell>
          <cell r="K126">
            <v>9400</v>
          </cell>
        </row>
        <row r="127">
          <cell r="I127">
            <v>14100</v>
          </cell>
          <cell r="J127">
            <v>14100</v>
          </cell>
          <cell r="K127">
            <v>14100</v>
          </cell>
        </row>
        <row r="128">
          <cell r="I128">
            <v>15000</v>
          </cell>
          <cell r="J128">
            <v>15000</v>
          </cell>
          <cell r="K128">
            <v>15000</v>
          </cell>
        </row>
        <row r="129">
          <cell r="I129">
            <v>15000</v>
          </cell>
          <cell r="J129">
            <v>15000</v>
          </cell>
          <cell r="K129">
            <v>15000</v>
          </cell>
        </row>
        <row r="130">
          <cell r="I130">
            <v>270000</v>
          </cell>
          <cell r="J130">
            <v>270000</v>
          </cell>
          <cell r="K130">
            <v>270000</v>
          </cell>
        </row>
        <row r="131">
          <cell r="I131">
            <v>385000</v>
          </cell>
          <cell r="J131">
            <v>385000</v>
          </cell>
          <cell r="K131">
            <v>385000</v>
          </cell>
        </row>
        <row r="132">
          <cell r="I132">
            <v>414000</v>
          </cell>
          <cell r="J132">
            <v>414000</v>
          </cell>
          <cell r="K132">
            <v>414000</v>
          </cell>
        </row>
        <row r="133">
          <cell r="I133">
            <v>445000</v>
          </cell>
          <cell r="J133">
            <v>445000</v>
          </cell>
          <cell r="K133">
            <v>445000</v>
          </cell>
        </row>
        <row r="134">
          <cell r="I134">
            <v>578000</v>
          </cell>
          <cell r="J134">
            <v>578000</v>
          </cell>
          <cell r="K134">
            <v>578000</v>
          </cell>
        </row>
        <row r="135">
          <cell r="I135">
            <v>730000</v>
          </cell>
          <cell r="J135">
            <v>730000</v>
          </cell>
          <cell r="K135">
            <v>730000</v>
          </cell>
        </row>
        <row r="136">
          <cell r="I136">
            <v>770000</v>
          </cell>
          <cell r="J136">
            <v>770000</v>
          </cell>
          <cell r="K136">
            <v>770000</v>
          </cell>
        </row>
        <row r="137">
          <cell r="I137">
            <v>812000</v>
          </cell>
          <cell r="J137">
            <v>812000</v>
          </cell>
          <cell r="K137">
            <v>812000</v>
          </cell>
        </row>
        <row r="138">
          <cell r="I138">
            <v>1267000</v>
          </cell>
          <cell r="J138">
            <v>1267000</v>
          </cell>
          <cell r="K138">
            <v>1267000</v>
          </cell>
        </row>
        <row r="139">
          <cell r="I139">
            <v>1972000</v>
          </cell>
          <cell r="J139">
            <v>1972000</v>
          </cell>
          <cell r="K139">
            <v>1972000</v>
          </cell>
        </row>
        <row r="140">
          <cell r="I140">
            <v>32000</v>
          </cell>
          <cell r="J140">
            <v>32000</v>
          </cell>
          <cell r="K140">
            <v>32000</v>
          </cell>
        </row>
        <row r="141">
          <cell r="I141">
            <v>41000</v>
          </cell>
          <cell r="J141">
            <v>41000</v>
          </cell>
          <cell r="K141">
            <v>41000</v>
          </cell>
        </row>
        <row r="142">
          <cell r="I142">
            <v>41000</v>
          </cell>
          <cell r="J142">
            <v>41000</v>
          </cell>
          <cell r="K142">
            <v>41000</v>
          </cell>
        </row>
        <row r="143">
          <cell r="I143">
            <v>58000</v>
          </cell>
          <cell r="J143">
            <v>58000</v>
          </cell>
          <cell r="K143">
            <v>58000</v>
          </cell>
        </row>
        <row r="144">
          <cell r="I144">
            <v>61000</v>
          </cell>
          <cell r="J144">
            <v>61000</v>
          </cell>
          <cell r="K144">
            <v>61000</v>
          </cell>
        </row>
        <row r="145">
          <cell r="I145">
            <v>84000</v>
          </cell>
          <cell r="J145">
            <v>84000</v>
          </cell>
          <cell r="K145">
            <v>84000</v>
          </cell>
        </row>
        <row r="146">
          <cell r="I146">
            <v>96000</v>
          </cell>
          <cell r="J146">
            <v>96000</v>
          </cell>
          <cell r="K146">
            <v>96000</v>
          </cell>
        </row>
        <row r="147">
          <cell r="I147">
            <v>102000</v>
          </cell>
          <cell r="J147">
            <v>102000</v>
          </cell>
          <cell r="K147">
            <v>102000</v>
          </cell>
        </row>
        <row r="148">
          <cell r="I148">
            <v>149000</v>
          </cell>
          <cell r="J148">
            <v>149000</v>
          </cell>
          <cell r="K148">
            <v>149000</v>
          </cell>
        </row>
        <row r="149">
          <cell r="I149">
            <v>17400</v>
          </cell>
        </row>
        <row r="150">
          <cell r="I150">
            <v>157000</v>
          </cell>
        </row>
        <row r="151">
          <cell r="I151">
            <v>64000</v>
          </cell>
          <cell r="J151">
            <v>64000</v>
          </cell>
          <cell r="K151">
            <v>64000</v>
          </cell>
        </row>
        <row r="152">
          <cell r="I152">
            <v>64000</v>
          </cell>
          <cell r="J152">
            <v>64000</v>
          </cell>
          <cell r="K152">
            <v>64000</v>
          </cell>
        </row>
        <row r="153">
          <cell r="I153">
            <v>64000</v>
          </cell>
          <cell r="J153">
            <v>64000</v>
          </cell>
          <cell r="K153">
            <v>64000</v>
          </cell>
        </row>
        <row r="154">
          <cell r="I154">
            <v>29000</v>
          </cell>
          <cell r="J154">
            <v>29000</v>
          </cell>
          <cell r="K154">
            <v>29000</v>
          </cell>
        </row>
        <row r="155">
          <cell r="I155">
            <v>29000</v>
          </cell>
          <cell r="J155">
            <v>29000</v>
          </cell>
          <cell r="K155">
            <v>29000</v>
          </cell>
        </row>
        <row r="156">
          <cell r="I156">
            <v>29000</v>
          </cell>
          <cell r="J156">
            <v>29000</v>
          </cell>
          <cell r="K156">
            <v>29000</v>
          </cell>
        </row>
        <row r="157">
          <cell r="I157">
            <v>146000</v>
          </cell>
          <cell r="J157">
            <v>146000</v>
          </cell>
          <cell r="K157">
            <v>146000</v>
          </cell>
        </row>
        <row r="158">
          <cell r="I158">
            <v>500000</v>
          </cell>
          <cell r="J158">
            <v>500000</v>
          </cell>
          <cell r="K158">
            <v>500000</v>
          </cell>
        </row>
        <row r="159">
          <cell r="I159">
            <v>1300000</v>
          </cell>
          <cell r="J159">
            <v>1300000</v>
          </cell>
          <cell r="K159">
            <v>1300000</v>
          </cell>
        </row>
        <row r="160">
          <cell r="I160">
            <v>2150000</v>
          </cell>
          <cell r="J160">
            <v>2150000</v>
          </cell>
          <cell r="K160">
            <v>2150000</v>
          </cell>
        </row>
        <row r="161">
          <cell r="I161">
            <v>1169000</v>
          </cell>
          <cell r="J161">
            <v>1169000</v>
          </cell>
          <cell r="K161">
            <v>1169000</v>
          </cell>
        </row>
        <row r="162">
          <cell r="I162">
            <v>120000</v>
          </cell>
          <cell r="J162">
            <v>120000</v>
          </cell>
          <cell r="K162">
            <v>120000</v>
          </cell>
        </row>
        <row r="163">
          <cell r="I163">
            <v>175000</v>
          </cell>
          <cell r="J163">
            <v>175000</v>
          </cell>
          <cell r="K163">
            <v>175000</v>
          </cell>
        </row>
        <row r="164">
          <cell r="I164">
            <v>1219000</v>
          </cell>
        </row>
        <row r="165">
          <cell r="I165">
            <v>1056000</v>
          </cell>
        </row>
        <row r="166">
          <cell r="I166">
            <v>23300</v>
          </cell>
          <cell r="J166">
            <v>23300</v>
          </cell>
          <cell r="K166">
            <v>23300</v>
          </cell>
        </row>
        <row r="167">
          <cell r="I167">
            <v>35000</v>
          </cell>
          <cell r="J167">
            <v>35000</v>
          </cell>
          <cell r="K167">
            <v>35000</v>
          </cell>
        </row>
        <row r="168">
          <cell r="I168">
            <v>15800</v>
          </cell>
        </row>
        <row r="169">
          <cell r="I169">
            <v>406000</v>
          </cell>
        </row>
        <row r="170">
          <cell r="I170">
            <v>11000</v>
          </cell>
          <cell r="J170">
            <v>11000</v>
          </cell>
          <cell r="K170">
            <v>11000</v>
          </cell>
        </row>
        <row r="171">
          <cell r="I171">
            <v>20000</v>
          </cell>
          <cell r="J171">
            <v>20000</v>
          </cell>
          <cell r="K171">
            <v>20000</v>
          </cell>
        </row>
        <row r="172">
          <cell r="I172">
            <v>17000</v>
          </cell>
          <cell r="J172">
            <v>17000</v>
          </cell>
          <cell r="K172">
            <v>17000</v>
          </cell>
        </row>
        <row r="173">
          <cell r="I173">
            <v>11000</v>
          </cell>
          <cell r="J173">
            <v>11000</v>
          </cell>
          <cell r="K173">
            <v>11000</v>
          </cell>
        </row>
        <row r="174">
          <cell r="I174">
            <v>17000</v>
          </cell>
          <cell r="J174">
            <v>17000</v>
          </cell>
          <cell r="K174">
            <v>17000</v>
          </cell>
        </row>
        <row r="175">
          <cell r="I175">
            <v>23000</v>
          </cell>
          <cell r="J175">
            <v>23000</v>
          </cell>
          <cell r="K175">
            <v>23000</v>
          </cell>
        </row>
        <row r="176">
          <cell r="I176">
            <v>16000</v>
          </cell>
          <cell r="J176">
            <v>16000</v>
          </cell>
          <cell r="K176">
            <v>16000</v>
          </cell>
        </row>
        <row r="177">
          <cell r="I177">
            <v>701000</v>
          </cell>
          <cell r="J177">
            <v>701000</v>
          </cell>
          <cell r="K177">
            <v>701000</v>
          </cell>
        </row>
        <row r="178">
          <cell r="I178">
            <v>1169000</v>
          </cell>
          <cell r="J178">
            <v>1169000</v>
          </cell>
          <cell r="K178">
            <v>1169000</v>
          </cell>
        </row>
        <row r="179">
          <cell r="I179">
            <v>8600</v>
          </cell>
          <cell r="J179">
            <v>8600</v>
          </cell>
          <cell r="K179">
            <v>8600</v>
          </cell>
        </row>
        <row r="180">
          <cell r="I180">
            <v>76000</v>
          </cell>
          <cell r="J180">
            <v>76000</v>
          </cell>
          <cell r="K180">
            <v>76000</v>
          </cell>
        </row>
        <row r="181">
          <cell r="I181">
            <v>61000</v>
          </cell>
        </row>
        <row r="182">
          <cell r="I182">
            <v>81000</v>
          </cell>
          <cell r="J182">
            <v>81000</v>
          </cell>
          <cell r="K182">
            <v>81000</v>
          </cell>
        </row>
        <row r="183">
          <cell r="I183">
            <v>759000</v>
          </cell>
          <cell r="J183">
            <v>759000</v>
          </cell>
          <cell r="K183">
            <v>759000</v>
          </cell>
        </row>
        <row r="184">
          <cell r="I184">
            <v>935000</v>
          </cell>
          <cell r="J184">
            <v>935000</v>
          </cell>
          <cell r="K184">
            <v>935000</v>
          </cell>
        </row>
        <row r="185">
          <cell r="I185">
            <v>1169000</v>
          </cell>
          <cell r="J185">
            <v>1169000</v>
          </cell>
          <cell r="K185">
            <v>1169000</v>
          </cell>
        </row>
        <row r="186">
          <cell r="I186">
            <v>1403000</v>
          </cell>
          <cell r="J186">
            <v>1403000</v>
          </cell>
          <cell r="K186">
            <v>1403000</v>
          </cell>
        </row>
        <row r="187">
          <cell r="I187">
            <v>2100</v>
          </cell>
          <cell r="J187">
            <v>2100</v>
          </cell>
          <cell r="K187">
            <v>2100</v>
          </cell>
        </row>
        <row r="190">
          <cell r="I190">
            <v>8200</v>
          </cell>
          <cell r="J190">
            <v>8200</v>
          </cell>
          <cell r="K190">
            <v>8200</v>
          </cell>
        </row>
        <row r="191">
          <cell r="I191">
            <v>14100</v>
          </cell>
          <cell r="J191">
            <v>14100</v>
          </cell>
          <cell r="K191">
            <v>14100</v>
          </cell>
        </row>
        <row r="192">
          <cell r="I192">
            <v>11600</v>
          </cell>
          <cell r="J192">
            <v>11600</v>
          </cell>
          <cell r="K192">
            <v>11600</v>
          </cell>
        </row>
        <row r="193">
          <cell r="I193">
            <v>9400</v>
          </cell>
          <cell r="J193">
            <v>9400</v>
          </cell>
          <cell r="K193">
            <v>9400</v>
          </cell>
        </row>
        <row r="194">
          <cell r="I194">
            <v>19500</v>
          </cell>
          <cell r="J194">
            <v>19500</v>
          </cell>
          <cell r="K194">
            <v>19500</v>
          </cell>
        </row>
        <row r="196">
          <cell r="I196">
            <v>5700</v>
          </cell>
          <cell r="J196">
            <v>5700</v>
          </cell>
          <cell r="K196">
            <v>5700</v>
          </cell>
        </row>
        <row r="197">
          <cell r="I197">
            <v>6000</v>
          </cell>
          <cell r="J197">
            <v>6000</v>
          </cell>
          <cell r="K197">
            <v>6000</v>
          </cell>
        </row>
        <row r="198">
          <cell r="I198">
            <v>8600</v>
          </cell>
          <cell r="J198">
            <v>8600</v>
          </cell>
          <cell r="K198">
            <v>8600</v>
          </cell>
        </row>
        <row r="199">
          <cell r="I199">
            <v>14100</v>
          </cell>
          <cell r="J199">
            <v>14100</v>
          </cell>
          <cell r="K199">
            <v>14100</v>
          </cell>
        </row>
        <row r="200">
          <cell r="I200">
            <v>9400</v>
          </cell>
          <cell r="J200">
            <v>9400</v>
          </cell>
          <cell r="K200">
            <v>9400</v>
          </cell>
        </row>
        <row r="201">
          <cell r="I201">
            <v>8100</v>
          </cell>
        </row>
        <row r="202">
          <cell r="I202">
            <v>8200</v>
          </cell>
          <cell r="J202">
            <v>8200</v>
          </cell>
          <cell r="K202">
            <v>8200</v>
          </cell>
        </row>
        <row r="203">
          <cell r="I203">
            <v>3300</v>
          </cell>
          <cell r="J203">
            <v>3300</v>
          </cell>
          <cell r="K203">
            <v>3300</v>
          </cell>
        </row>
        <row r="204">
          <cell r="I204">
            <v>4800</v>
          </cell>
          <cell r="J204">
            <v>4800</v>
          </cell>
          <cell r="K204">
            <v>4800</v>
          </cell>
        </row>
        <row r="205">
          <cell r="I205">
            <v>4800</v>
          </cell>
          <cell r="J205">
            <v>4800</v>
          </cell>
          <cell r="K205">
            <v>4800</v>
          </cell>
        </row>
        <row r="206">
          <cell r="I206">
            <v>1200</v>
          </cell>
        </row>
        <row r="207">
          <cell r="I207">
            <v>75000</v>
          </cell>
        </row>
        <row r="208">
          <cell r="I208">
            <v>5040000</v>
          </cell>
        </row>
        <row r="209">
          <cell r="I209">
            <v>23300</v>
          </cell>
          <cell r="J209">
            <v>23300</v>
          </cell>
          <cell r="K209">
            <v>23300</v>
          </cell>
        </row>
        <row r="210">
          <cell r="I210">
            <v>35000</v>
          </cell>
          <cell r="J210">
            <v>35000</v>
          </cell>
          <cell r="K210">
            <v>35000</v>
          </cell>
        </row>
        <row r="211">
          <cell r="I211">
            <v>93000</v>
          </cell>
          <cell r="J211">
            <v>93000</v>
          </cell>
          <cell r="K211">
            <v>93000</v>
          </cell>
        </row>
        <row r="212">
          <cell r="I212">
            <v>285000</v>
          </cell>
          <cell r="J212">
            <v>285000</v>
          </cell>
          <cell r="K212">
            <v>285000</v>
          </cell>
        </row>
        <row r="213">
          <cell r="I213">
            <v>306000</v>
          </cell>
          <cell r="J213">
            <v>306000</v>
          </cell>
          <cell r="K213">
            <v>306000</v>
          </cell>
        </row>
        <row r="214">
          <cell r="I214">
            <v>137000</v>
          </cell>
          <cell r="J214">
            <v>137000</v>
          </cell>
          <cell r="K214">
            <v>137000</v>
          </cell>
        </row>
        <row r="215">
          <cell r="I215">
            <v>341000</v>
          </cell>
          <cell r="J215">
            <v>341000</v>
          </cell>
          <cell r="K215">
            <v>341000</v>
          </cell>
        </row>
        <row r="216">
          <cell r="I216">
            <v>257000</v>
          </cell>
          <cell r="J216">
            <v>257000</v>
          </cell>
          <cell r="K216">
            <v>257000</v>
          </cell>
        </row>
        <row r="217">
          <cell r="I217">
            <v>417000</v>
          </cell>
          <cell r="J217">
            <v>417000</v>
          </cell>
          <cell r="K217">
            <v>417000</v>
          </cell>
        </row>
        <row r="218">
          <cell r="I218">
            <v>514000</v>
          </cell>
          <cell r="J218">
            <v>514000</v>
          </cell>
          <cell r="K218">
            <v>514000</v>
          </cell>
        </row>
        <row r="219">
          <cell r="I219">
            <v>642000</v>
          </cell>
          <cell r="J219">
            <v>642000</v>
          </cell>
          <cell r="K219">
            <v>642000</v>
          </cell>
        </row>
        <row r="220">
          <cell r="I220">
            <v>1021000</v>
          </cell>
          <cell r="J220">
            <v>1021000</v>
          </cell>
          <cell r="K220">
            <v>1021000</v>
          </cell>
        </row>
        <row r="221">
          <cell r="I221">
            <v>466000</v>
          </cell>
          <cell r="J221">
            <v>466000</v>
          </cell>
          <cell r="K221">
            <v>466000</v>
          </cell>
        </row>
        <row r="222">
          <cell r="I222">
            <v>52000</v>
          </cell>
          <cell r="J222">
            <v>52000</v>
          </cell>
          <cell r="K222">
            <v>52000</v>
          </cell>
        </row>
        <row r="223">
          <cell r="I223">
            <v>6900</v>
          </cell>
          <cell r="J223">
            <v>6900</v>
          </cell>
          <cell r="K223">
            <v>6900</v>
          </cell>
        </row>
        <row r="224">
          <cell r="I224">
            <v>9400</v>
          </cell>
          <cell r="J224">
            <v>9400</v>
          </cell>
          <cell r="K224">
            <v>9400</v>
          </cell>
        </row>
        <row r="225">
          <cell r="I225">
            <v>11600</v>
          </cell>
          <cell r="J225">
            <v>11600</v>
          </cell>
          <cell r="K225">
            <v>11600</v>
          </cell>
        </row>
        <row r="226">
          <cell r="I226">
            <v>233000</v>
          </cell>
          <cell r="J226">
            <v>233000</v>
          </cell>
          <cell r="K226">
            <v>233000</v>
          </cell>
        </row>
        <row r="227">
          <cell r="I227">
            <v>233000</v>
          </cell>
          <cell r="J227">
            <v>233000</v>
          </cell>
          <cell r="K227">
            <v>233000</v>
          </cell>
        </row>
        <row r="228">
          <cell r="I228">
            <v>158000</v>
          </cell>
        </row>
        <row r="229">
          <cell r="I229">
            <v>87000</v>
          </cell>
          <cell r="J229">
            <v>87000</v>
          </cell>
          <cell r="K229">
            <v>87000</v>
          </cell>
        </row>
        <row r="230">
          <cell r="I230">
            <v>69000</v>
          </cell>
          <cell r="J230">
            <v>69000</v>
          </cell>
          <cell r="K230">
            <v>69000</v>
          </cell>
        </row>
        <row r="231">
          <cell r="I231">
            <v>5200</v>
          </cell>
          <cell r="J231">
            <v>5200</v>
          </cell>
          <cell r="K231">
            <v>5200</v>
          </cell>
        </row>
        <row r="232">
          <cell r="I232">
            <v>10000</v>
          </cell>
          <cell r="J232">
            <v>10000</v>
          </cell>
          <cell r="K232">
            <v>10000</v>
          </cell>
        </row>
        <row r="233">
          <cell r="I233">
            <v>15800</v>
          </cell>
          <cell r="J233">
            <v>15800</v>
          </cell>
          <cell r="K233">
            <v>15800</v>
          </cell>
        </row>
        <row r="234">
          <cell r="I234">
            <v>11600</v>
          </cell>
          <cell r="J234">
            <v>11600</v>
          </cell>
          <cell r="K234">
            <v>11600</v>
          </cell>
        </row>
        <row r="235">
          <cell r="I235">
            <v>20400</v>
          </cell>
          <cell r="J235">
            <v>20400</v>
          </cell>
          <cell r="K235">
            <v>20400</v>
          </cell>
        </row>
        <row r="236">
          <cell r="I236">
            <v>10500</v>
          </cell>
          <cell r="J236">
            <v>10500</v>
          </cell>
          <cell r="K236">
            <v>10500</v>
          </cell>
        </row>
        <row r="237">
          <cell r="I237">
            <v>21300</v>
          </cell>
          <cell r="J237">
            <v>21300</v>
          </cell>
          <cell r="K237">
            <v>21300</v>
          </cell>
        </row>
        <row r="238">
          <cell r="I238">
            <v>46700</v>
          </cell>
          <cell r="J238">
            <v>46700</v>
          </cell>
          <cell r="K238">
            <v>46700</v>
          </cell>
        </row>
        <row r="239">
          <cell r="I239">
            <v>569000</v>
          </cell>
        </row>
        <row r="240">
          <cell r="I240">
            <v>14600</v>
          </cell>
          <cell r="J240">
            <v>14600</v>
          </cell>
          <cell r="K240">
            <v>14600</v>
          </cell>
        </row>
        <row r="241">
          <cell r="I241">
            <v>162000</v>
          </cell>
        </row>
        <row r="242">
          <cell r="I242">
            <v>139000</v>
          </cell>
          <cell r="J242">
            <v>139000</v>
          </cell>
          <cell r="K242">
            <v>139000</v>
          </cell>
        </row>
        <row r="243">
          <cell r="I243">
            <v>5700</v>
          </cell>
          <cell r="J243">
            <v>5700</v>
          </cell>
          <cell r="K243">
            <v>5700</v>
          </cell>
        </row>
        <row r="244">
          <cell r="I244">
            <v>6900</v>
          </cell>
          <cell r="J244">
            <v>6900</v>
          </cell>
          <cell r="K244">
            <v>6900</v>
          </cell>
        </row>
        <row r="245">
          <cell r="I245">
            <v>1929600</v>
          </cell>
          <cell r="J245">
            <v>1929600</v>
          </cell>
          <cell r="K245">
            <v>1929600</v>
          </cell>
        </row>
        <row r="246">
          <cell r="I246">
            <v>935000</v>
          </cell>
          <cell r="J246">
            <v>935000</v>
          </cell>
          <cell r="K246">
            <v>935000</v>
          </cell>
        </row>
        <row r="247">
          <cell r="I247">
            <v>291000</v>
          </cell>
          <cell r="J247">
            <v>291000</v>
          </cell>
          <cell r="K247">
            <v>291000</v>
          </cell>
        </row>
        <row r="248">
          <cell r="I248">
            <v>93000</v>
          </cell>
          <cell r="J248">
            <v>93000</v>
          </cell>
          <cell r="K248">
            <v>93000</v>
          </cell>
        </row>
        <row r="249">
          <cell r="I249">
            <v>122000</v>
          </cell>
          <cell r="J249">
            <v>122000</v>
          </cell>
          <cell r="K249">
            <v>122000</v>
          </cell>
        </row>
        <row r="250">
          <cell r="I250">
            <v>221000</v>
          </cell>
          <cell r="J250">
            <v>221000</v>
          </cell>
          <cell r="K250">
            <v>221000</v>
          </cell>
        </row>
        <row r="251">
          <cell r="I251">
            <v>280000</v>
          </cell>
          <cell r="J251">
            <v>280000</v>
          </cell>
          <cell r="K251">
            <v>280000</v>
          </cell>
        </row>
        <row r="252">
          <cell r="I252">
            <v>116000</v>
          </cell>
          <cell r="J252">
            <v>116000</v>
          </cell>
          <cell r="K252">
            <v>116000</v>
          </cell>
        </row>
        <row r="253">
          <cell r="I253">
            <v>982000</v>
          </cell>
          <cell r="J253">
            <v>982000</v>
          </cell>
          <cell r="K253">
            <v>982000</v>
          </cell>
        </row>
        <row r="254">
          <cell r="I254">
            <v>93000</v>
          </cell>
          <cell r="J254">
            <v>93000</v>
          </cell>
          <cell r="K254">
            <v>93000</v>
          </cell>
        </row>
        <row r="255">
          <cell r="I255">
            <v>104000</v>
          </cell>
          <cell r="J255">
            <v>104000</v>
          </cell>
          <cell r="K255">
            <v>104000</v>
          </cell>
        </row>
        <row r="256">
          <cell r="I256">
            <v>9353000</v>
          </cell>
          <cell r="J256">
            <v>9353000</v>
          </cell>
          <cell r="K256">
            <v>9353000</v>
          </cell>
        </row>
        <row r="257">
          <cell r="I257">
            <v>252000</v>
          </cell>
        </row>
        <row r="258">
          <cell r="I258">
            <v>35000</v>
          </cell>
          <cell r="J258">
            <v>35000</v>
          </cell>
          <cell r="K258">
            <v>35000</v>
          </cell>
        </row>
        <row r="259">
          <cell r="I259">
            <v>230000</v>
          </cell>
        </row>
        <row r="260">
          <cell r="I260">
            <v>57000</v>
          </cell>
          <cell r="J260">
            <v>57000</v>
          </cell>
          <cell r="K260">
            <v>57000</v>
          </cell>
        </row>
        <row r="261">
          <cell r="I261">
            <v>99000</v>
          </cell>
          <cell r="J261">
            <v>99000</v>
          </cell>
          <cell r="K261">
            <v>99000</v>
          </cell>
        </row>
        <row r="262">
          <cell r="I262">
            <v>162000</v>
          </cell>
        </row>
        <row r="263">
          <cell r="I263">
            <v>1016000</v>
          </cell>
        </row>
        <row r="264">
          <cell r="I264">
            <v>25500</v>
          </cell>
          <cell r="J264">
            <v>25500</v>
          </cell>
          <cell r="K264">
            <v>25500</v>
          </cell>
        </row>
        <row r="265">
          <cell r="I265">
            <v>12800</v>
          </cell>
          <cell r="J265">
            <v>12800</v>
          </cell>
          <cell r="K265">
            <v>12800</v>
          </cell>
        </row>
        <row r="266">
          <cell r="I266">
            <v>19100</v>
          </cell>
          <cell r="J266">
            <v>19100</v>
          </cell>
          <cell r="K266">
            <v>19100</v>
          </cell>
        </row>
        <row r="267">
          <cell r="I267">
            <v>526000</v>
          </cell>
          <cell r="J267">
            <v>526000</v>
          </cell>
          <cell r="K267">
            <v>526000</v>
          </cell>
        </row>
        <row r="268">
          <cell r="I268">
            <v>25000</v>
          </cell>
        </row>
        <row r="269">
          <cell r="I269">
            <v>29000</v>
          </cell>
          <cell r="J269">
            <v>29000</v>
          </cell>
          <cell r="K269">
            <v>29000</v>
          </cell>
        </row>
        <row r="270">
          <cell r="I270">
            <v>16000</v>
          </cell>
        </row>
        <row r="271">
          <cell r="I271">
            <v>262000</v>
          </cell>
          <cell r="J271">
            <v>262000</v>
          </cell>
          <cell r="K271">
            <v>262000</v>
          </cell>
        </row>
        <row r="272">
          <cell r="I272">
            <v>1200</v>
          </cell>
          <cell r="J272">
            <v>1200</v>
          </cell>
          <cell r="K272">
            <v>1200</v>
          </cell>
        </row>
        <row r="273">
          <cell r="I273">
            <v>16807000</v>
          </cell>
          <cell r="J273">
            <v>16807000</v>
          </cell>
          <cell r="K273">
            <v>16807000</v>
          </cell>
        </row>
        <row r="274">
          <cell r="I274">
            <v>18269000</v>
          </cell>
          <cell r="J274">
            <v>18269000</v>
          </cell>
          <cell r="K274">
            <v>18269000</v>
          </cell>
        </row>
        <row r="275">
          <cell r="I275">
            <v>14000</v>
          </cell>
          <cell r="J275">
            <v>14000</v>
          </cell>
          <cell r="K275">
            <v>14000</v>
          </cell>
        </row>
        <row r="276">
          <cell r="I276">
            <v>1753000</v>
          </cell>
          <cell r="J276">
            <v>1753000</v>
          </cell>
          <cell r="K276">
            <v>1753000</v>
          </cell>
        </row>
        <row r="277">
          <cell r="I277">
            <v>4700</v>
          </cell>
          <cell r="J277">
            <v>4700</v>
          </cell>
          <cell r="K277">
            <v>4700</v>
          </cell>
        </row>
        <row r="278">
          <cell r="I278">
            <v>32154000</v>
          </cell>
          <cell r="J278">
            <v>32154000</v>
          </cell>
          <cell r="K278">
            <v>32154000</v>
          </cell>
        </row>
        <row r="279">
          <cell r="I279">
            <v>32154000</v>
          </cell>
          <cell r="J279">
            <v>32154000</v>
          </cell>
          <cell r="K279">
            <v>32154000</v>
          </cell>
        </row>
        <row r="280">
          <cell r="I280">
            <v>23384000</v>
          </cell>
          <cell r="J280">
            <v>23384000</v>
          </cell>
          <cell r="K280">
            <v>23384000</v>
          </cell>
        </row>
        <row r="281">
          <cell r="I281">
            <v>21922000</v>
          </cell>
          <cell r="J281">
            <v>21922000</v>
          </cell>
          <cell r="K281">
            <v>21922000</v>
          </cell>
        </row>
        <row r="282">
          <cell r="I282">
            <v>34799000</v>
          </cell>
          <cell r="J282">
            <v>34799000</v>
          </cell>
          <cell r="K282">
            <v>34799000</v>
          </cell>
        </row>
        <row r="283">
          <cell r="I283">
            <v>466000</v>
          </cell>
          <cell r="J283">
            <v>466000</v>
          </cell>
          <cell r="K283">
            <v>466000</v>
          </cell>
        </row>
        <row r="284">
          <cell r="I284">
            <v>13884000</v>
          </cell>
          <cell r="J284">
            <v>13884000</v>
          </cell>
          <cell r="K284">
            <v>13884000</v>
          </cell>
        </row>
        <row r="285">
          <cell r="I285">
            <v>15346000</v>
          </cell>
          <cell r="J285">
            <v>15346000</v>
          </cell>
          <cell r="K285">
            <v>15346000</v>
          </cell>
        </row>
        <row r="286">
          <cell r="I286">
            <v>1463000</v>
          </cell>
        </row>
        <row r="287">
          <cell r="I287">
            <v>10230000</v>
          </cell>
          <cell r="J287">
            <v>10230000</v>
          </cell>
          <cell r="K287">
            <v>10230000</v>
          </cell>
        </row>
        <row r="288">
          <cell r="I288">
            <v>10960000</v>
          </cell>
          <cell r="J288">
            <v>10960000</v>
          </cell>
          <cell r="K288">
            <v>10960000</v>
          </cell>
        </row>
        <row r="289">
          <cell r="I289">
            <v>8600</v>
          </cell>
          <cell r="J289">
            <v>8600</v>
          </cell>
          <cell r="K289">
            <v>8600</v>
          </cell>
        </row>
        <row r="290">
          <cell r="I290">
            <v>9500000</v>
          </cell>
          <cell r="J290">
            <v>9500000</v>
          </cell>
          <cell r="K290">
            <v>9500000</v>
          </cell>
        </row>
        <row r="291">
          <cell r="I291">
            <v>10230000</v>
          </cell>
          <cell r="J291">
            <v>10230000</v>
          </cell>
          <cell r="K291">
            <v>10230000</v>
          </cell>
        </row>
        <row r="292">
          <cell r="I292">
            <v>7307000</v>
          </cell>
          <cell r="J292">
            <v>7307000</v>
          </cell>
          <cell r="K292">
            <v>7307000</v>
          </cell>
        </row>
        <row r="293">
          <cell r="I293">
            <v>2191000</v>
          </cell>
          <cell r="J293">
            <v>2191000</v>
          </cell>
          <cell r="K293">
            <v>2191000</v>
          </cell>
        </row>
        <row r="294">
          <cell r="I294">
            <v>2557000</v>
          </cell>
          <cell r="J294">
            <v>2557000</v>
          </cell>
          <cell r="K294">
            <v>2557000</v>
          </cell>
        </row>
        <row r="295">
          <cell r="I295">
            <v>2922000</v>
          </cell>
          <cell r="J295">
            <v>2922000</v>
          </cell>
          <cell r="K295">
            <v>2922000</v>
          </cell>
        </row>
        <row r="296">
          <cell r="I296">
            <v>12000</v>
          </cell>
        </row>
        <row r="297">
          <cell r="I297">
            <v>181000</v>
          </cell>
          <cell r="J297">
            <v>181000</v>
          </cell>
          <cell r="K297">
            <v>181000</v>
          </cell>
        </row>
        <row r="298">
          <cell r="I298">
            <v>7200</v>
          </cell>
          <cell r="J298">
            <v>7200</v>
          </cell>
          <cell r="K298">
            <v>7200</v>
          </cell>
        </row>
        <row r="299">
          <cell r="I299">
            <v>14100</v>
          </cell>
        </row>
        <row r="300">
          <cell r="I300">
            <v>57000</v>
          </cell>
          <cell r="J300">
            <v>57000</v>
          </cell>
          <cell r="K300">
            <v>57000</v>
          </cell>
        </row>
        <row r="301">
          <cell r="I301">
            <v>63000</v>
          </cell>
          <cell r="J301">
            <v>63000</v>
          </cell>
          <cell r="K301">
            <v>63000</v>
          </cell>
        </row>
        <row r="302">
          <cell r="I302">
            <v>69000</v>
          </cell>
          <cell r="J302">
            <v>69000</v>
          </cell>
          <cell r="K302">
            <v>69000</v>
          </cell>
        </row>
        <row r="303">
          <cell r="I303">
            <v>51000</v>
          </cell>
          <cell r="J303">
            <v>51000</v>
          </cell>
          <cell r="K303">
            <v>51000</v>
          </cell>
        </row>
        <row r="304">
          <cell r="I304">
            <v>60000</v>
          </cell>
          <cell r="J304">
            <v>60000</v>
          </cell>
          <cell r="K304">
            <v>60000</v>
          </cell>
        </row>
        <row r="305">
          <cell r="I305">
            <v>102000</v>
          </cell>
          <cell r="J305">
            <v>102000</v>
          </cell>
          <cell r="K305">
            <v>102000</v>
          </cell>
        </row>
        <row r="306">
          <cell r="I306">
            <v>69000</v>
          </cell>
          <cell r="J306">
            <v>69000</v>
          </cell>
          <cell r="K306">
            <v>69000</v>
          </cell>
        </row>
        <row r="307">
          <cell r="I307">
            <v>87000</v>
          </cell>
          <cell r="J307">
            <v>87000</v>
          </cell>
          <cell r="K307">
            <v>87000</v>
          </cell>
        </row>
        <row r="308">
          <cell r="I308">
            <v>63000</v>
          </cell>
          <cell r="J308">
            <v>63000</v>
          </cell>
          <cell r="K308">
            <v>63000</v>
          </cell>
        </row>
        <row r="309">
          <cell r="I309">
            <v>76000</v>
          </cell>
          <cell r="J309">
            <v>76000</v>
          </cell>
          <cell r="K309">
            <v>76000</v>
          </cell>
        </row>
        <row r="310">
          <cell r="I310">
            <v>231000</v>
          </cell>
        </row>
        <row r="311">
          <cell r="I311">
            <v>338000</v>
          </cell>
          <cell r="J311">
            <v>338000</v>
          </cell>
          <cell r="K311">
            <v>338000</v>
          </cell>
        </row>
        <row r="312">
          <cell r="I312">
            <v>29000</v>
          </cell>
          <cell r="J312">
            <v>29000</v>
          </cell>
          <cell r="K312">
            <v>29000</v>
          </cell>
        </row>
        <row r="313">
          <cell r="I313">
            <v>72000</v>
          </cell>
          <cell r="J313">
            <v>72000</v>
          </cell>
          <cell r="K313">
            <v>72000</v>
          </cell>
        </row>
        <row r="314">
          <cell r="I314">
            <v>19000</v>
          </cell>
          <cell r="J314">
            <v>19000</v>
          </cell>
          <cell r="K314">
            <v>19000</v>
          </cell>
        </row>
        <row r="315">
          <cell r="I315">
            <v>32000</v>
          </cell>
          <cell r="J315">
            <v>32000</v>
          </cell>
          <cell r="K315">
            <v>32000</v>
          </cell>
        </row>
        <row r="316">
          <cell r="I316">
            <v>64000</v>
          </cell>
          <cell r="J316">
            <v>64000</v>
          </cell>
          <cell r="K316">
            <v>64000</v>
          </cell>
        </row>
        <row r="317">
          <cell r="I317">
            <v>23000</v>
          </cell>
          <cell r="J317">
            <v>23000</v>
          </cell>
          <cell r="K317">
            <v>23000</v>
          </cell>
        </row>
        <row r="318">
          <cell r="I318">
            <v>29800</v>
          </cell>
          <cell r="J318">
            <v>29800</v>
          </cell>
          <cell r="K318">
            <v>29800</v>
          </cell>
        </row>
        <row r="319">
          <cell r="I319">
            <v>73000</v>
          </cell>
          <cell r="J319">
            <v>73000</v>
          </cell>
          <cell r="K319">
            <v>73000</v>
          </cell>
        </row>
        <row r="320">
          <cell r="I320">
            <v>20000</v>
          </cell>
          <cell r="J320">
            <v>20000</v>
          </cell>
          <cell r="K320">
            <v>20000</v>
          </cell>
        </row>
        <row r="321">
          <cell r="I321">
            <v>35000</v>
          </cell>
          <cell r="J321">
            <v>35000</v>
          </cell>
          <cell r="K321">
            <v>35000</v>
          </cell>
        </row>
        <row r="322">
          <cell r="I322">
            <v>52000</v>
          </cell>
          <cell r="J322">
            <v>52000</v>
          </cell>
          <cell r="K322">
            <v>52000</v>
          </cell>
        </row>
        <row r="323">
          <cell r="I323">
            <v>46000</v>
          </cell>
          <cell r="J323">
            <v>46000</v>
          </cell>
          <cell r="K323">
            <v>46000</v>
          </cell>
        </row>
        <row r="324">
          <cell r="I324">
            <v>650</v>
          </cell>
        </row>
        <row r="325">
          <cell r="I325">
            <v>110000</v>
          </cell>
          <cell r="J325">
            <v>110000</v>
          </cell>
          <cell r="K325">
            <v>110000</v>
          </cell>
        </row>
        <row r="326">
          <cell r="I326">
            <v>81700</v>
          </cell>
          <cell r="J326">
            <v>81700</v>
          </cell>
          <cell r="K326">
            <v>81700</v>
          </cell>
        </row>
        <row r="327">
          <cell r="I327">
            <v>163000</v>
          </cell>
          <cell r="J327">
            <v>163000</v>
          </cell>
          <cell r="K327">
            <v>163000</v>
          </cell>
        </row>
        <row r="328">
          <cell r="I328">
            <v>116000</v>
          </cell>
          <cell r="J328">
            <v>116000</v>
          </cell>
          <cell r="K328">
            <v>116000</v>
          </cell>
        </row>
        <row r="329">
          <cell r="I329">
            <v>93000</v>
          </cell>
          <cell r="J329">
            <v>93000</v>
          </cell>
          <cell r="K329">
            <v>93000</v>
          </cell>
        </row>
        <row r="330">
          <cell r="I330">
            <v>76000</v>
          </cell>
          <cell r="J330">
            <v>76000</v>
          </cell>
          <cell r="K330">
            <v>76000</v>
          </cell>
        </row>
        <row r="331">
          <cell r="I331">
            <v>15800</v>
          </cell>
          <cell r="J331">
            <v>15800</v>
          </cell>
          <cell r="K331">
            <v>15800</v>
          </cell>
        </row>
        <row r="332">
          <cell r="I332">
            <v>40800</v>
          </cell>
          <cell r="J332">
            <v>40800</v>
          </cell>
          <cell r="K332">
            <v>40800</v>
          </cell>
        </row>
        <row r="333">
          <cell r="I333">
            <v>43900</v>
          </cell>
          <cell r="J333">
            <v>43900</v>
          </cell>
          <cell r="K333">
            <v>43900</v>
          </cell>
        </row>
        <row r="334">
          <cell r="I334">
            <v>58000</v>
          </cell>
          <cell r="J334">
            <v>58000</v>
          </cell>
          <cell r="K334">
            <v>58000</v>
          </cell>
        </row>
        <row r="335">
          <cell r="I335">
            <v>233700</v>
          </cell>
        </row>
        <row r="336">
          <cell r="I336">
            <v>14600</v>
          </cell>
          <cell r="J336">
            <v>14600</v>
          </cell>
          <cell r="K336">
            <v>14600</v>
          </cell>
        </row>
        <row r="337">
          <cell r="I337">
            <v>14100</v>
          </cell>
          <cell r="J337">
            <v>14100</v>
          </cell>
          <cell r="K337">
            <v>14100</v>
          </cell>
        </row>
        <row r="338">
          <cell r="I338">
            <v>64300</v>
          </cell>
          <cell r="J338">
            <v>64300</v>
          </cell>
          <cell r="K338">
            <v>64300</v>
          </cell>
        </row>
        <row r="339">
          <cell r="I339">
            <v>64300</v>
          </cell>
          <cell r="J339">
            <v>64300</v>
          </cell>
          <cell r="K339">
            <v>64300</v>
          </cell>
        </row>
        <row r="340">
          <cell r="I340">
            <v>14100</v>
          </cell>
          <cell r="J340">
            <v>14100</v>
          </cell>
          <cell r="K340">
            <v>14100</v>
          </cell>
        </row>
        <row r="341">
          <cell r="I341">
            <v>3215000</v>
          </cell>
          <cell r="J341">
            <v>3215000</v>
          </cell>
          <cell r="K341">
            <v>3215000</v>
          </cell>
        </row>
        <row r="342">
          <cell r="I342">
            <v>1607000</v>
          </cell>
          <cell r="J342">
            <v>1607000</v>
          </cell>
          <cell r="K342">
            <v>1607000</v>
          </cell>
        </row>
        <row r="343">
          <cell r="I343">
            <v>52800</v>
          </cell>
        </row>
        <row r="344">
          <cell r="I344">
            <v>256000</v>
          </cell>
        </row>
        <row r="345">
          <cell r="I345">
            <v>89000</v>
          </cell>
          <cell r="J345">
            <v>89000</v>
          </cell>
          <cell r="K345">
            <v>89000</v>
          </cell>
        </row>
        <row r="346">
          <cell r="I346">
            <v>108000</v>
          </cell>
          <cell r="J346">
            <v>108000</v>
          </cell>
          <cell r="K346">
            <v>108000</v>
          </cell>
        </row>
        <row r="347">
          <cell r="I347">
            <v>128000</v>
          </cell>
          <cell r="J347">
            <v>128000</v>
          </cell>
          <cell r="K347">
            <v>128000</v>
          </cell>
        </row>
        <row r="348">
          <cell r="I348">
            <v>257000</v>
          </cell>
          <cell r="J348">
            <v>257000</v>
          </cell>
          <cell r="K348">
            <v>257000</v>
          </cell>
        </row>
        <row r="349">
          <cell r="I349">
            <v>320000</v>
          </cell>
          <cell r="J349">
            <v>320000</v>
          </cell>
          <cell r="K349">
            <v>320000</v>
          </cell>
        </row>
        <row r="350">
          <cell r="I350">
            <v>8000</v>
          </cell>
        </row>
        <row r="351">
          <cell r="I351">
            <v>5796000</v>
          </cell>
        </row>
        <row r="352">
          <cell r="I352">
            <v>5426000</v>
          </cell>
        </row>
        <row r="353">
          <cell r="I353">
            <v>7900</v>
          </cell>
          <cell r="J353">
            <v>7900</v>
          </cell>
          <cell r="K353">
            <v>7900</v>
          </cell>
        </row>
        <row r="354">
          <cell r="I354">
            <v>10600</v>
          </cell>
          <cell r="J354">
            <v>10600</v>
          </cell>
          <cell r="K354">
            <v>10600</v>
          </cell>
        </row>
        <row r="355">
          <cell r="I355">
            <v>17000</v>
          </cell>
          <cell r="J355">
            <v>17000</v>
          </cell>
          <cell r="K355">
            <v>17000</v>
          </cell>
        </row>
        <row r="356">
          <cell r="I356">
            <v>10500</v>
          </cell>
          <cell r="J356">
            <v>10500</v>
          </cell>
          <cell r="K356">
            <v>10500</v>
          </cell>
        </row>
        <row r="357">
          <cell r="I357">
            <v>23000</v>
          </cell>
          <cell r="J357">
            <v>23000</v>
          </cell>
          <cell r="K357">
            <v>23000</v>
          </cell>
        </row>
        <row r="358">
          <cell r="I358">
            <v>11000</v>
          </cell>
          <cell r="J358">
            <v>11000</v>
          </cell>
          <cell r="K358">
            <v>11000</v>
          </cell>
        </row>
        <row r="359">
          <cell r="I359">
            <v>9000</v>
          </cell>
          <cell r="J359">
            <v>9000</v>
          </cell>
          <cell r="K359">
            <v>9000</v>
          </cell>
        </row>
        <row r="360">
          <cell r="I360">
            <v>8500</v>
          </cell>
        </row>
        <row r="361">
          <cell r="I361">
            <v>10100</v>
          </cell>
        </row>
        <row r="362">
          <cell r="I362">
            <v>76000</v>
          </cell>
          <cell r="J362">
            <v>76000</v>
          </cell>
          <cell r="K362">
            <v>76000</v>
          </cell>
        </row>
        <row r="363">
          <cell r="I363">
            <v>116000</v>
          </cell>
          <cell r="J363">
            <v>116000</v>
          </cell>
          <cell r="K363">
            <v>116000</v>
          </cell>
        </row>
        <row r="364">
          <cell r="I364">
            <v>128000</v>
          </cell>
          <cell r="J364">
            <v>128000</v>
          </cell>
          <cell r="K364">
            <v>128000</v>
          </cell>
        </row>
        <row r="365">
          <cell r="I365">
            <v>157000</v>
          </cell>
          <cell r="J365">
            <v>157000</v>
          </cell>
          <cell r="K365">
            <v>157000</v>
          </cell>
        </row>
        <row r="366">
          <cell r="I366">
            <v>192000</v>
          </cell>
          <cell r="J366">
            <v>192000</v>
          </cell>
          <cell r="K366">
            <v>192000</v>
          </cell>
        </row>
        <row r="367">
          <cell r="I367">
            <v>224000</v>
          </cell>
          <cell r="J367">
            <v>224000</v>
          </cell>
          <cell r="K367">
            <v>224000</v>
          </cell>
        </row>
        <row r="368">
          <cell r="I368">
            <v>23000</v>
          </cell>
          <cell r="J368">
            <v>23000</v>
          </cell>
          <cell r="K368">
            <v>23000</v>
          </cell>
        </row>
        <row r="369">
          <cell r="I369">
            <v>23000</v>
          </cell>
          <cell r="J369">
            <v>23000</v>
          </cell>
          <cell r="K369">
            <v>23000</v>
          </cell>
        </row>
        <row r="370">
          <cell r="I370">
            <v>700</v>
          </cell>
          <cell r="J370">
            <v>700</v>
          </cell>
          <cell r="K370">
            <v>700</v>
          </cell>
        </row>
        <row r="371">
          <cell r="I371">
            <v>17000</v>
          </cell>
          <cell r="J371">
            <v>17000</v>
          </cell>
          <cell r="K371">
            <v>17000</v>
          </cell>
        </row>
        <row r="372">
          <cell r="I372">
            <v>26000</v>
          </cell>
          <cell r="J372">
            <v>26000</v>
          </cell>
          <cell r="K372">
            <v>26000</v>
          </cell>
        </row>
        <row r="373">
          <cell r="I373">
            <v>100</v>
          </cell>
          <cell r="J373">
            <v>100</v>
          </cell>
          <cell r="K373">
            <v>100</v>
          </cell>
        </row>
        <row r="374">
          <cell r="I374">
            <v>5700</v>
          </cell>
          <cell r="J374">
            <v>5700</v>
          </cell>
          <cell r="K374">
            <v>5700</v>
          </cell>
        </row>
        <row r="375">
          <cell r="I375">
            <v>800</v>
          </cell>
          <cell r="J375">
            <v>800</v>
          </cell>
          <cell r="K375">
            <v>800</v>
          </cell>
        </row>
        <row r="376">
          <cell r="I376">
            <v>23000</v>
          </cell>
          <cell r="J376">
            <v>23000</v>
          </cell>
          <cell r="K376">
            <v>23000</v>
          </cell>
        </row>
        <row r="377">
          <cell r="I377">
            <v>17000</v>
          </cell>
          <cell r="J377">
            <v>17000</v>
          </cell>
          <cell r="K377">
            <v>17000</v>
          </cell>
        </row>
        <row r="378">
          <cell r="I378">
            <v>5260000</v>
          </cell>
          <cell r="J378">
            <v>5260000</v>
          </cell>
          <cell r="K378">
            <v>5260000</v>
          </cell>
        </row>
        <row r="379">
          <cell r="I379">
            <v>308000</v>
          </cell>
        </row>
        <row r="380">
          <cell r="I380">
            <v>52000</v>
          </cell>
        </row>
        <row r="382">
          <cell r="I382">
            <v>270000</v>
          </cell>
          <cell r="J382">
            <v>270000</v>
          </cell>
          <cell r="K382">
            <v>270000</v>
          </cell>
        </row>
        <row r="383">
          <cell r="I383">
            <v>270000</v>
          </cell>
          <cell r="J383">
            <v>270000</v>
          </cell>
          <cell r="K383">
            <v>270000</v>
          </cell>
        </row>
        <row r="384">
          <cell r="I384">
            <v>175000</v>
          </cell>
          <cell r="J384">
            <v>175000</v>
          </cell>
          <cell r="K384">
            <v>175000</v>
          </cell>
        </row>
        <row r="385">
          <cell r="I385">
            <v>239000</v>
          </cell>
          <cell r="J385">
            <v>239000</v>
          </cell>
          <cell r="K385">
            <v>239000</v>
          </cell>
        </row>
        <row r="386">
          <cell r="I386">
            <v>145000</v>
          </cell>
          <cell r="J386">
            <v>145000</v>
          </cell>
          <cell r="K386">
            <v>145000</v>
          </cell>
        </row>
        <row r="387">
          <cell r="I387">
            <v>163000</v>
          </cell>
          <cell r="J387">
            <v>163000</v>
          </cell>
          <cell r="K387">
            <v>163000</v>
          </cell>
        </row>
        <row r="388">
          <cell r="I388">
            <v>81700</v>
          </cell>
          <cell r="J388">
            <v>81700</v>
          </cell>
          <cell r="K388">
            <v>81700</v>
          </cell>
        </row>
        <row r="389">
          <cell r="I389">
            <v>81700</v>
          </cell>
          <cell r="J389">
            <v>81700</v>
          </cell>
          <cell r="K389">
            <v>81700</v>
          </cell>
        </row>
        <row r="390">
          <cell r="I390">
            <v>93300</v>
          </cell>
          <cell r="J390">
            <v>93300</v>
          </cell>
          <cell r="K390">
            <v>93300</v>
          </cell>
        </row>
        <row r="391">
          <cell r="I391">
            <v>81700</v>
          </cell>
          <cell r="J391">
            <v>81700</v>
          </cell>
          <cell r="K391">
            <v>81700</v>
          </cell>
        </row>
        <row r="392">
          <cell r="I392">
            <v>87500</v>
          </cell>
          <cell r="J392">
            <v>87500</v>
          </cell>
          <cell r="K392">
            <v>87500</v>
          </cell>
        </row>
        <row r="393">
          <cell r="I393">
            <v>99100</v>
          </cell>
          <cell r="J393">
            <v>99100</v>
          </cell>
          <cell r="K393">
            <v>99100</v>
          </cell>
        </row>
        <row r="394">
          <cell r="I394">
            <v>104900</v>
          </cell>
          <cell r="J394">
            <v>104900</v>
          </cell>
          <cell r="K394">
            <v>104900</v>
          </cell>
        </row>
        <row r="395">
          <cell r="I395">
            <v>87500</v>
          </cell>
          <cell r="J395">
            <v>87500</v>
          </cell>
          <cell r="K395">
            <v>87500</v>
          </cell>
        </row>
        <row r="396">
          <cell r="I396">
            <v>116500</v>
          </cell>
          <cell r="J396">
            <v>116500</v>
          </cell>
          <cell r="K396">
            <v>116500</v>
          </cell>
        </row>
        <row r="397">
          <cell r="I397">
            <v>89500</v>
          </cell>
          <cell r="J397">
            <v>89500</v>
          </cell>
          <cell r="K397">
            <v>89500</v>
          </cell>
        </row>
        <row r="398">
          <cell r="I398">
            <v>99100</v>
          </cell>
          <cell r="J398">
            <v>99100</v>
          </cell>
          <cell r="K398">
            <v>99100</v>
          </cell>
        </row>
        <row r="399">
          <cell r="I399">
            <v>128000</v>
          </cell>
          <cell r="J399">
            <v>128000</v>
          </cell>
          <cell r="K399">
            <v>128000</v>
          </cell>
        </row>
        <row r="400">
          <cell r="I400">
            <v>133800</v>
          </cell>
          <cell r="J400">
            <v>133800</v>
          </cell>
          <cell r="K400">
            <v>133800</v>
          </cell>
        </row>
        <row r="401">
          <cell r="I401">
            <v>145300</v>
          </cell>
          <cell r="J401">
            <v>145300</v>
          </cell>
          <cell r="K401">
            <v>145300</v>
          </cell>
        </row>
        <row r="402">
          <cell r="I402">
            <v>151100</v>
          </cell>
          <cell r="J402">
            <v>151100</v>
          </cell>
          <cell r="K402">
            <v>151100</v>
          </cell>
        </row>
        <row r="403">
          <cell r="I403">
            <v>51000</v>
          </cell>
          <cell r="J403">
            <v>51000</v>
          </cell>
          <cell r="K403">
            <v>51000</v>
          </cell>
        </row>
        <row r="404">
          <cell r="I404">
            <v>128000</v>
          </cell>
          <cell r="J404">
            <v>128000</v>
          </cell>
          <cell r="K404">
            <v>128000</v>
          </cell>
        </row>
        <row r="405">
          <cell r="I405">
            <v>1200</v>
          </cell>
          <cell r="J405">
            <v>1225</v>
          </cell>
          <cell r="K405">
            <v>1250</v>
          </cell>
        </row>
        <row r="406">
          <cell r="I406">
            <v>2800</v>
          </cell>
          <cell r="J406">
            <v>2800</v>
          </cell>
          <cell r="K406">
            <v>2800</v>
          </cell>
        </row>
        <row r="407">
          <cell r="I407">
            <v>14300</v>
          </cell>
          <cell r="J407">
            <v>14300</v>
          </cell>
          <cell r="K407">
            <v>14300</v>
          </cell>
        </row>
        <row r="408">
          <cell r="I408">
            <v>101000</v>
          </cell>
        </row>
        <row r="409">
          <cell r="I409">
            <v>262000</v>
          </cell>
          <cell r="J409">
            <v>262000</v>
          </cell>
          <cell r="K409">
            <v>262000</v>
          </cell>
        </row>
        <row r="410">
          <cell r="I410">
            <v>642000</v>
          </cell>
          <cell r="J410">
            <v>642000</v>
          </cell>
          <cell r="K410">
            <v>642000</v>
          </cell>
        </row>
        <row r="411">
          <cell r="I411">
            <v>409000</v>
          </cell>
          <cell r="J411">
            <v>409000</v>
          </cell>
          <cell r="K411">
            <v>409000</v>
          </cell>
        </row>
        <row r="412">
          <cell r="I412">
            <v>57000</v>
          </cell>
          <cell r="J412">
            <v>57000</v>
          </cell>
          <cell r="K412">
            <v>57000</v>
          </cell>
        </row>
        <row r="413">
          <cell r="I413">
            <v>76000</v>
          </cell>
          <cell r="J413">
            <v>76000</v>
          </cell>
          <cell r="K413">
            <v>76000</v>
          </cell>
        </row>
        <row r="414">
          <cell r="I414">
            <v>81000</v>
          </cell>
          <cell r="J414">
            <v>81000</v>
          </cell>
          <cell r="K414">
            <v>81000</v>
          </cell>
        </row>
        <row r="415">
          <cell r="I415">
            <v>104000</v>
          </cell>
          <cell r="J415">
            <v>104000</v>
          </cell>
          <cell r="K415">
            <v>104000</v>
          </cell>
        </row>
        <row r="416">
          <cell r="I416">
            <v>145000</v>
          </cell>
          <cell r="J416">
            <v>145000</v>
          </cell>
          <cell r="K416">
            <v>145000</v>
          </cell>
        </row>
        <row r="417">
          <cell r="I417">
            <v>175000</v>
          </cell>
          <cell r="J417">
            <v>175000</v>
          </cell>
          <cell r="K417">
            <v>175000</v>
          </cell>
        </row>
        <row r="418">
          <cell r="I418">
            <v>314000</v>
          </cell>
          <cell r="J418">
            <v>314000</v>
          </cell>
          <cell r="K418">
            <v>314000</v>
          </cell>
        </row>
        <row r="419">
          <cell r="I419">
            <v>151000</v>
          </cell>
          <cell r="J419">
            <v>151000</v>
          </cell>
          <cell r="K419">
            <v>151000</v>
          </cell>
        </row>
        <row r="420">
          <cell r="I420">
            <v>175000</v>
          </cell>
          <cell r="J420">
            <v>175000</v>
          </cell>
          <cell r="K420">
            <v>175000</v>
          </cell>
        </row>
        <row r="421">
          <cell r="I421">
            <v>262000</v>
          </cell>
          <cell r="J421">
            <v>262000</v>
          </cell>
          <cell r="K421">
            <v>262000</v>
          </cell>
        </row>
        <row r="422">
          <cell r="I422">
            <v>333000</v>
          </cell>
          <cell r="J422">
            <v>333000</v>
          </cell>
          <cell r="K422">
            <v>333000</v>
          </cell>
        </row>
        <row r="423">
          <cell r="I423">
            <v>525000</v>
          </cell>
          <cell r="J423">
            <v>525000</v>
          </cell>
          <cell r="K423">
            <v>525000</v>
          </cell>
        </row>
        <row r="424">
          <cell r="I424">
            <v>642000</v>
          </cell>
          <cell r="J424">
            <v>642000</v>
          </cell>
          <cell r="K424">
            <v>642000</v>
          </cell>
        </row>
        <row r="425">
          <cell r="I425">
            <v>759000</v>
          </cell>
          <cell r="J425">
            <v>759000</v>
          </cell>
          <cell r="K425">
            <v>759000</v>
          </cell>
        </row>
        <row r="426">
          <cell r="I426">
            <v>525000</v>
          </cell>
          <cell r="J426">
            <v>525000</v>
          </cell>
          <cell r="K426">
            <v>525000</v>
          </cell>
        </row>
        <row r="427">
          <cell r="I427">
            <v>642000</v>
          </cell>
          <cell r="J427">
            <v>642000</v>
          </cell>
          <cell r="K427">
            <v>642000</v>
          </cell>
        </row>
        <row r="428">
          <cell r="I428">
            <v>818000</v>
          </cell>
          <cell r="J428">
            <v>818000</v>
          </cell>
          <cell r="K428">
            <v>818000</v>
          </cell>
        </row>
        <row r="429">
          <cell r="I429">
            <v>24900</v>
          </cell>
          <cell r="J429">
            <v>24900</v>
          </cell>
          <cell r="K429">
            <v>24900</v>
          </cell>
        </row>
        <row r="430">
          <cell r="I430">
            <v>30800</v>
          </cell>
          <cell r="J430">
            <v>30800</v>
          </cell>
          <cell r="K430">
            <v>30800</v>
          </cell>
        </row>
        <row r="431">
          <cell r="I431">
            <v>37400</v>
          </cell>
          <cell r="J431">
            <v>37400</v>
          </cell>
          <cell r="K431">
            <v>37400</v>
          </cell>
        </row>
        <row r="432">
          <cell r="I432">
            <v>77900</v>
          </cell>
          <cell r="J432">
            <v>77900</v>
          </cell>
          <cell r="K432">
            <v>77900</v>
          </cell>
        </row>
        <row r="434">
          <cell r="I434">
            <v>159800</v>
          </cell>
          <cell r="J434">
            <v>159800</v>
          </cell>
          <cell r="K434">
            <v>159800</v>
          </cell>
        </row>
        <row r="435">
          <cell r="I435">
            <v>182000</v>
          </cell>
          <cell r="J435">
            <v>182000</v>
          </cell>
          <cell r="K435">
            <v>182000</v>
          </cell>
        </row>
        <row r="436">
          <cell r="I436">
            <v>329000</v>
          </cell>
          <cell r="J436">
            <v>329000</v>
          </cell>
          <cell r="K436">
            <v>329000</v>
          </cell>
        </row>
        <row r="437">
          <cell r="I437">
            <v>521000</v>
          </cell>
          <cell r="J437">
            <v>521000</v>
          </cell>
          <cell r="K437">
            <v>521000</v>
          </cell>
        </row>
        <row r="438">
          <cell r="I438">
            <v>808000</v>
          </cell>
          <cell r="J438">
            <v>808000</v>
          </cell>
          <cell r="K438">
            <v>808000</v>
          </cell>
        </row>
        <row r="439">
          <cell r="I439">
            <v>149500</v>
          </cell>
          <cell r="J439">
            <v>149500</v>
          </cell>
          <cell r="K439">
            <v>149500</v>
          </cell>
        </row>
        <row r="440">
          <cell r="I440">
            <v>166000</v>
          </cell>
          <cell r="J440">
            <v>166000</v>
          </cell>
          <cell r="K440">
            <v>166000</v>
          </cell>
        </row>
        <row r="441">
          <cell r="I441">
            <v>136000</v>
          </cell>
          <cell r="J441">
            <v>136000</v>
          </cell>
          <cell r="K441">
            <v>136000</v>
          </cell>
        </row>
        <row r="442">
          <cell r="I442">
            <v>411000</v>
          </cell>
          <cell r="J442">
            <v>411000</v>
          </cell>
          <cell r="K442">
            <v>411000</v>
          </cell>
        </row>
        <row r="443">
          <cell r="I443">
            <v>231000</v>
          </cell>
        </row>
        <row r="444">
          <cell r="I444">
            <v>20000</v>
          </cell>
          <cell r="J444">
            <v>20000</v>
          </cell>
          <cell r="K444">
            <v>20000</v>
          </cell>
        </row>
        <row r="445">
          <cell r="I445">
            <v>14000</v>
          </cell>
          <cell r="J445">
            <v>14000</v>
          </cell>
          <cell r="K445">
            <v>14000</v>
          </cell>
        </row>
        <row r="446">
          <cell r="I446">
            <v>23000</v>
          </cell>
          <cell r="J446">
            <v>23000</v>
          </cell>
          <cell r="K446">
            <v>23000</v>
          </cell>
        </row>
        <row r="447">
          <cell r="I447">
            <v>29000</v>
          </cell>
          <cell r="J447">
            <v>29000</v>
          </cell>
          <cell r="K447">
            <v>29000</v>
          </cell>
        </row>
        <row r="448">
          <cell r="I448">
            <v>35000</v>
          </cell>
          <cell r="J448">
            <v>35000</v>
          </cell>
          <cell r="K448">
            <v>35000</v>
          </cell>
        </row>
        <row r="449">
          <cell r="I449">
            <v>3000</v>
          </cell>
        </row>
        <row r="450">
          <cell r="I450">
            <v>3600</v>
          </cell>
          <cell r="J450">
            <v>3600</v>
          </cell>
          <cell r="K450">
            <v>3600</v>
          </cell>
        </row>
        <row r="451">
          <cell r="I451">
            <v>5200</v>
          </cell>
          <cell r="J451">
            <v>5200</v>
          </cell>
          <cell r="K451">
            <v>5200</v>
          </cell>
        </row>
        <row r="452">
          <cell r="I452">
            <v>5700</v>
          </cell>
          <cell r="J452">
            <v>5700</v>
          </cell>
          <cell r="K452">
            <v>5700</v>
          </cell>
        </row>
        <row r="453">
          <cell r="I453">
            <v>6500</v>
          </cell>
          <cell r="J453">
            <v>6500</v>
          </cell>
          <cell r="K453">
            <v>6500</v>
          </cell>
        </row>
        <row r="454">
          <cell r="I454">
            <v>7500</v>
          </cell>
          <cell r="J454">
            <v>7500</v>
          </cell>
          <cell r="K454">
            <v>7500</v>
          </cell>
        </row>
        <row r="455">
          <cell r="I455">
            <v>6900</v>
          </cell>
          <cell r="J455">
            <v>6900</v>
          </cell>
          <cell r="K455">
            <v>6900</v>
          </cell>
        </row>
        <row r="456">
          <cell r="I456">
            <v>4400</v>
          </cell>
          <cell r="J456">
            <v>4400</v>
          </cell>
          <cell r="K456">
            <v>4400</v>
          </cell>
        </row>
        <row r="457">
          <cell r="I457">
            <v>81000</v>
          </cell>
          <cell r="J457">
            <v>81000</v>
          </cell>
          <cell r="K457">
            <v>81000</v>
          </cell>
        </row>
        <row r="458">
          <cell r="I458">
            <v>93000</v>
          </cell>
          <cell r="J458">
            <v>93000</v>
          </cell>
          <cell r="K458">
            <v>93000</v>
          </cell>
        </row>
        <row r="459">
          <cell r="I459">
            <v>642000</v>
          </cell>
          <cell r="J459">
            <v>642000</v>
          </cell>
          <cell r="K459">
            <v>642000</v>
          </cell>
        </row>
        <row r="460">
          <cell r="I460">
            <v>20500000</v>
          </cell>
          <cell r="J460">
            <v>20500000</v>
          </cell>
          <cell r="K460">
            <v>20500000</v>
          </cell>
        </row>
        <row r="461">
          <cell r="I461">
            <v>31569000</v>
          </cell>
          <cell r="J461">
            <v>31569000</v>
          </cell>
          <cell r="K461">
            <v>31569000</v>
          </cell>
        </row>
        <row r="462">
          <cell r="I462">
            <v>27700</v>
          </cell>
        </row>
        <row r="463">
          <cell r="I463">
            <v>27700</v>
          </cell>
        </row>
        <row r="464">
          <cell r="I464">
            <v>8200</v>
          </cell>
          <cell r="J464">
            <v>8200</v>
          </cell>
          <cell r="K464">
            <v>8200</v>
          </cell>
        </row>
        <row r="465">
          <cell r="I465">
            <v>128000</v>
          </cell>
          <cell r="J465">
            <v>128000</v>
          </cell>
          <cell r="K465">
            <v>128000</v>
          </cell>
        </row>
        <row r="466">
          <cell r="I466">
            <v>1700</v>
          </cell>
          <cell r="J466">
            <v>1700</v>
          </cell>
          <cell r="K466">
            <v>1700</v>
          </cell>
        </row>
        <row r="467">
          <cell r="I467">
            <v>4700</v>
          </cell>
          <cell r="J467">
            <v>4700</v>
          </cell>
          <cell r="K467">
            <v>4700</v>
          </cell>
        </row>
        <row r="468">
          <cell r="I468">
            <v>41400</v>
          </cell>
          <cell r="J468">
            <v>41400</v>
          </cell>
          <cell r="K468">
            <v>41400</v>
          </cell>
        </row>
        <row r="469">
          <cell r="I469">
            <v>15800</v>
          </cell>
          <cell r="J469">
            <v>15800</v>
          </cell>
          <cell r="K469">
            <v>15800</v>
          </cell>
        </row>
        <row r="470">
          <cell r="I470">
            <v>44300</v>
          </cell>
          <cell r="J470">
            <v>44300</v>
          </cell>
          <cell r="K470">
            <v>44300</v>
          </cell>
        </row>
        <row r="471">
          <cell r="I471">
            <v>10000</v>
          </cell>
          <cell r="J471">
            <v>10000</v>
          </cell>
          <cell r="K471">
            <v>10000</v>
          </cell>
        </row>
        <row r="472">
          <cell r="I472">
            <v>42000</v>
          </cell>
          <cell r="J472">
            <v>42000</v>
          </cell>
          <cell r="K472">
            <v>42000</v>
          </cell>
        </row>
        <row r="473">
          <cell r="I473">
            <v>496000</v>
          </cell>
          <cell r="J473">
            <v>496000</v>
          </cell>
          <cell r="K473">
            <v>496000</v>
          </cell>
        </row>
        <row r="474">
          <cell r="I474">
            <v>72000</v>
          </cell>
          <cell r="J474">
            <v>72000</v>
          </cell>
          <cell r="K474">
            <v>72000</v>
          </cell>
        </row>
        <row r="475">
          <cell r="I475">
            <v>5700</v>
          </cell>
          <cell r="J475">
            <v>5700</v>
          </cell>
          <cell r="K475">
            <v>5700</v>
          </cell>
        </row>
        <row r="476">
          <cell r="I476">
            <v>71000</v>
          </cell>
        </row>
        <row r="477">
          <cell r="I477">
            <v>78000</v>
          </cell>
        </row>
        <row r="478">
          <cell r="I478">
            <v>24000</v>
          </cell>
        </row>
        <row r="479">
          <cell r="I479">
            <v>28000</v>
          </cell>
        </row>
        <row r="480">
          <cell r="I480">
            <v>150000</v>
          </cell>
        </row>
        <row r="481">
          <cell r="I481">
            <v>2800</v>
          </cell>
        </row>
        <row r="482">
          <cell r="I482">
            <v>1285000</v>
          </cell>
          <cell r="J482">
            <v>1285000</v>
          </cell>
          <cell r="K482">
            <v>1285000</v>
          </cell>
        </row>
        <row r="483">
          <cell r="I483">
            <v>87000</v>
          </cell>
          <cell r="J483">
            <v>87000</v>
          </cell>
          <cell r="K483">
            <v>87000</v>
          </cell>
        </row>
        <row r="484">
          <cell r="I484">
            <v>93000</v>
          </cell>
          <cell r="J484">
            <v>93000</v>
          </cell>
          <cell r="K484">
            <v>93000</v>
          </cell>
        </row>
        <row r="485">
          <cell r="I485">
            <v>76000</v>
          </cell>
          <cell r="J485">
            <v>76000</v>
          </cell>
          <cell r="K485">
            <v>76000</v>
          </cell>
        </row>
        <row r="486">
          <cell r="I486">
            <v>34000</v>
          </cell>
          <cell r="J486">
            <v>34000</v>
          </cell>
          <cell r="K486">
            <v>34000</v>
          </cell>
        </row>
        <row r="487">
          <cell r="I487">
            <v>57000</v>
          </cell>
          <cell r="J487">
            <v>57000</v>
          </cell>
          <cell r="K487">
            <v>57000</v>
          </cell>
        </row>
        <row r="488">
          <cell r="I488">
            <v>512000</v>
          </cell>
        </row>
        <row r="489">
          <cell r="I489">
            <v>291000</v>
          </cell>
          <cell r="J489">
            <v>291000</v>
          </cell>
          <cell r="K489">
            <v>291000</v>
          </cell>
        </row>
        <row r="490">
          <cell r="I490">
            <v>6500</v>
          </cell>
        </row>
        <row r="491">
          <cell r="I491">
            <v>81000</v>
          </cell>
          <cell r="J491">
            <v>81000</v>
          </cell>
          <cell r="K491">
            <v>81000</v>
          </cell>
        </row>
        <row r="492">
          <cell r="I492">
            <v>133000</v>
          </cell>
          <cell r="J492">
            <v>133000</v>
          </cell>
          <cell r="K492">
            <v>133000</v>
          </cell>
        </row>
        <row r="493">
          <cell r="I493">
            <v>233000</v>
          </cell>
          <cell r="J493">
            <v>233000</v>
          </cell>
          <cell r="K493">
            <v>233000</v>
          </cell>
        </row>
        <row r="494">
          <cell r="I494">
            <v>238000</v>
          </cell>
          <cell r="J494">
            <v>238000</v>
          </cell>
          <cell r="K494">
            <v>238000</v>
          </cell>
        </row>
        <row r="495">
          <cell r="I495">
            <v>4296000</v>
          </cell>
          <cell r="J495">
            <v>4296000</v>
          </cell>
          <cell r="K495">
            <v>4296000</v>
          </cell>
        </row>
        <row r="496">
          <cell r="I496">
            <v>7300</v>
          </cell>
        </row>
        <row r="497">
          <cell r="I497">
            <v>246000</v>
          </cell>
        </row>
        <row r="498">
          <cell r="I498">
            <v>16200</v>
          </cell>
          <cell r="J498">
            <v>16200</v>
          </cell>
          <cell r="K498">
            <v>16200</v>
          </cell>
        </row>
        <row r="499">
          <cell r="I499">
            <v>87500</v>
          </cell>
          <cell r="J499">
            <v>87500</v>
          </cell>
          <cell r="K499">
            <v>87500</v>
          </cell>
        </row>
        <row r="500">
          <cell r="I500">
            <v>76800</v>
          </cell>
        </row>
        <row r="501">
          <cell r="I501">
            <v>128000</v>
          </cell>
        </row>
        <row r="502">
          <cell r="I502">
            <v>233000</v>
          </cell>
          <cell r="J502">
            <v>233000</v>
          </cell>
          <cell r="K502">
            <v>233000</v>
          </cell>
        </row>
        <row r="503">
          <cell r="I503">
            <v>409200</v>
          </cell>
          <cell r="J503">
            <v>409200</v>
          </cell>
          <cell r="K503">
            <v>409200</v>
          </cell>
        </row>
        <row r="504">
          <cell r="I504">
            <v>52600</v>
          </cell>
          <cell r="J504">
            <v>52600</v>
          </cell>
          <cell r="K504">
            <v>52600</v>
          </cell>
        </row>
        <row r="505">
          <cell r="I505">
            <v>6500</v>
          </cell>
          <cell r="J505">
            <v>6500</v>
          </cell>
          <cell r="K505">
            <v>6500</v>
          </cell>
        </row>
        <row r="506">
          <cell r="I506">
            <v>46000</v>
          </cell>
          <cell r="J506">
            <v>46000</v>
          </cell>
          <cell r="K506">
            <v>46000</v>
          </cell>
        </row>
        <row r="507">
          <cell r="I507">
            <v>40000</v>
          </cell>
          <cell r="J507">
            <v>40000</v>
          </cell>
          <cell r="K507">
            <v>40000</v>
          </cell>
        </row>
        <row r="508">
          <cell r="I508">
            <v>47000</v>
          </cell>
          <cell r="J508">
            <v>47000</v>
          </cell>
          <cell r="K508">
            <v>47000</v>
          </cell>
        </row>
        <row r="510">
          <cell r="I510">
            <v>1753500</v>
          </cell>
          <cell r="J510">
            <v>1753500</v>
          </cell>
          <cell r="K510">
            <v>1753500</v>
          </cell>
        </row>
        <row r="511">
          <cell r="I511">
            <v>4384500</v>
          </cell>
          <cell r="J511">
            <v>4384500</v>
          </cell>
          <cell r="K511">
            <v>4384500</v>
          </cell>
        </row>
        <row r="512">
          <cell r="I512">
            <v>2845500</v>
          </cell>
        </row>
        <row r="513">
          <cell r="I513">
            <v>44700</v>
          </cell>
        </row>
        <row r="514">
          <cell r="I514">
            <v>52800</v>
          </cell>
        </row>
        <row r="515">
          <cell r="I515">
            <v>569100</v>
          </cell>
        </row>
        <row r="516">
          <cell r="I516">
            <v>128000</v>
          </cell>
          <cell r="J516">
            <v>128000</v>
          </cell>
          <cell r="K516">
            <v>128000</v>
          </cell>
        </row>
        <row r="517">
          <cell r="I517">
            <v>139500</v>
          </cell>
          <cell r="J517">
            <v>139500</v>
          </cell>
          <cell r="K517">
            <v>139500</v>
          </cell>
        </row>
        <row r="518">
          <cell r="I518">
            <v>24900</v>
          </cell>
          <cell r="J518">
            <v>24900</v>
          </cell>
          <cell r="K518">
            <v>24900</v>
          </cell>
        </row>
        <row r="519">
          <cell r="I519">
            <v>32600</v>
          </cell>
          <cell r="J519">
            <v>32600</v>
          </cell>
          <cell r="K519">
            <v>32600</v>
          </cell>
        </row>
        <row r="520">
          <cell r="I520">
            <v>30800</v>
          </cell>
          <cell r="J520">
            <v>30800</v>
          </cell>
          <cell r="K520">
            <v>30800</v>
          </cell>
        </row>
        <row r="521">
          <cell r="I521">
            <v>36500</v>
          </cell>
          <cell r="J521">
            <v>36500</v>
          </cell>
          <cell r="K521">
            <v>36500</v>
          </cell>
        </row>
        <row r="522">
          <cell r="I522">
            <v>4000</v>
          </cell>
          <cell r="J522">
            <v>4000</v>
          </cell>
          <cell r="K522">
            <v>4000</v>
          </cell>
        </row>
        <row r="523">
          <cell r="I523">
            <v>6203600</v>
          </cell>
          <cell r="J523">
            <v>6203600</v>
          </cell>
          <cell r="K523">
            <v>6203600</v>
          </cell>
        </row>
        <row r="524">
          <cell r="I524">
            <v>7033700</v>
          </cell>
          <cell r="J524">
            <v>7033700</v>
          </cell>
          <cell r="K524">
            <v>7033700</v>
          </cell>
        </row>
        <row r="525">
          <cell r="I525">
            <v>5726000</v>
          </cell>
          <cell r="J525">
            <v>5726000</v>
          </cell>
          <cell r="K525">
            <v>5726000</v>
          </cell>
        </row>
        <row r="526">
          <cell r="I526">
            <v>3951200</v>
          </cell>
          <cell r="J526">
            <v>3951200</v>
          </cell>
          <cell r="K526">
            <v>3951200</v>
          </cell>
        </row>
        <row r="527">
          <cell r="I527">
            <v>402400</v>
          </cell>
        </row>
        <row r="528">
          <cell r="I528">
            <v>60900</v>
          </cell>
        </row>
        <row r="529">
          <cell r="I529">
            <v>35737100</v>
          </cell>
          <cell r="J529">
            <v>35737100</v>
          </cell>
          <cell r="K529">
            <v>35737100</v>
          </cell>
        </row>
        <row r="530">
          <cell r="I530">
            <v>203200</v>
          </cell>
        </row>
        <row r="531">
          <cell r="I531">
            <v>69200</v>
          </cell>
          <cell r="J531">
            <v>69200</v>
          </cell>
          <cell r="K531">
            <v>69200</v>
          </cell>
        </row>
        <row r="532">
          <cell r="I532">
            <v>63400</v>
          </cell>
          <cell r="J532">
            <v>63400</v>
          </cell>
          <cell r="K532">
            <v>63400</v>
          </cell>
        </row>
        <row r="533">
          <cell r="I533">
            <v>81700</v>
          </cell>
          <cell r="J533">
            <v>81700</v>
          </cell>
          <cell r="K533">
            <v>81700</v>
          </cell>
        </row>
        <row r="534">
          <cell r="I534">
            <v>76000</v>
          </cell>
          <cell r="J534">
            <v>76000</v>
          </cell>
          <cell r="K534">
            <v>76000</v>
          </cell>
        </row>
        <row r="535">
          <cell r="I535">
            <v>2045300</v>
          </cell>
          <cell r="J535">
            <v>2045300</v>
          </cell>
          <cell r="K535">
            <v>2045300</v>
          </cell>
        </row>
        <row r="536">
          <cell r="I536">
            <v>175200</v>
          </cell>
          <cell r="J536">
            <v>175200</v>
          </cell>
          <cell r="K536">
            <v>175200</v>
          </cell>
        </row>
        <row r="537">
          <cell r="I537">
            <v>57700</v>
          </cell>
          <cell r="J537">
            <v>57700</v>
          </cell>
          <cell r="K537">
            <v>57700</v>
          </cell>
        </row>
        <row r="538">
          <cell r="I538">
            <v>701000</v>
          </cell>
          <cell r="J538">
            <v>701000</v>
          </cell>
          <cell r="K538">
            <v>701000</v>
          </cell>
        </row>
        <row r="539">
          <cell r="I539">
            <v>466900</v>
          </cell>
          <cell r="J539">
            <v>466900</v>
          </cell>
          <cell r="K539">
            <v>466900</v>
          </cell>
        </row>
        <row r="540">
          <cell r="I540">
            <v>116500</v>
          </cell>
          <cell r="J540">
            <v>116500</v>
          </cell>
          <cell r="K540">
            <v>116500</v>
          </cell>
        </row>
        <row r="542">
          <cell r="I542">
            <v>146000</v>
          </cell>
          <cell r="J542">
            <v>146000</v>
          </cell>
          <cell r="K542">
            <v>146000</v>
          </cell>
        </row>
        <row r="543">
          <cell r="I543">
            <v>63000</v>
          </cell>
          <cell r="J543">
            <v>63000</v>
          </cell>
          <cell r="K543">
            <v>63000</v>
          </cell>
        </row>
        <row r="544">
          <cell r="I544">
            <v>22000</v>
          </cell>
          <cell r="J544">
            <v>22000</v>
          </cell>
          <cell r="K544">
            <v>22000</v>
          </cell>
        </row>
        <row r="545">
          <cell r="I545">
            <v>20000</v>
          </cell>
          <cell r="J545">
            <v>20000</v>
          </cell>
          <cell r="K545">
            <v>20000</v>
          </cell>
        </row>
        <row r="546">
          <cell r="I546">
            <v>18000</v>
          </cell>
          <cell r="J546">
            <v>18000</v>
          </cell>
          <cell r="K546">
            <v>18000</v>
          </cell>
        </row>
        <row r="573">
          <cell r="I573">
            <v>0</v>
          </cell>
          <cell r="J573">
            <v>0</v>
          </cell>
          <cell r="K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</row>
        <row r="586">
          <cell r="I586">
            <v>71100</v>
          </cell>
          <cell r="J586">
            <v>71100</v>
          </cell>
          <cell r="K586">
            <v>71100</v>
          </cell>
        </row>
        <row r="587">
          <cell r="I587">
            <v>1909400</v>
          </cell>
          <cell r="J587">
            <v>1909400</v>
          </cell>
          <cell r="K587">
            <v>1909400</v>
          </cell>
        </row>
        <row r="588">
          <cell r="I588">
            <v>47800</v>
          </cell>
          <cell r="J588">
            <v>30000</v>
          </cell>
          <cell r="K588">
            <v>30000</v>
          </cell>
        </row>
        <row r="589">
          <cell r="I589">
            <v>317800</v>
          </cell>
          <cell r="J589">
            <v>317800</v>
          </cell>
          <cell r="K589">
            <v>317800</v>
          </cell>
        </row>
        <row r="590">
          <cell r="I590">
            <v>49900</v>
          </cell>
          <cell r="J590">
            <v>49900</v>
          </cell>
          <cell r="K590">
            <v>49900</v>
          </cell>
        </row>
        <row r="591">
          <cell r="I591">
            <v>79400</v>
          </cell>
          <cell r="J591">
            <v>79400</v>
          </cell>
          <cell r="K591">
            <v>79400</v>
          </cell>
        </row>
        <row r="592">
          <cell r="I592">
            <v>23000</v>
          </cell>
          <cell r="J592">
            <v>23000</v>
          </cell>
          <cell r="K592">
            <v>23000</v>
          </cell>
        </row>
        <row r="593">
          <cell r="I593">
            <v>27700</v>
          </cell>
          <cell r="J593">
            <v>27700</v>
          </cell>
          <cell r="K593">
            <v>27700</v>
          </cell>
        </row>
        <row r="594">
          <cell r="I594">
            <v>28600</v>
          </cell>
          <cell r="J594">
            <v>28600</v>
          </cell>
          <cell r="K594">
            <v>28600</v>
          </cell>
        </row>
        <row r="595">
          <cell r="I595">
            <v>63400</v>
          </cell>
          <cell r="J595">
            <v>63400</v>
          </cell>
          <cell r="K595">
            <v>63400</v>
          </cell>
        </row>
        <row r="626">
          <cell r="I626">
            <v>1966000</v>
          </cell>
          <cell r="J626">
            <v>1966000</v>
          </cell>
          <cell r="K626">
            <v>1966000</v>
          </cell>
        </row>
        <row r="627">
          <cell r="I627">
            <v>1685000</v>
          </cell>
          <cell r="J627">
            <v>1685000</v>
          </cell>
          <cell r="K627">
            <v>1685000</v>
          </cell>
        </row>
        <row r="628">
          <cell r="I628">
            <v>861000</v>
          </cell>
          <cell r="J628">
            <v>861000</v>
          </cell>
          <cell r="K628">
            <v>861000</v>
          </cell>
        </row>
        <row r="629">
          <cell r="I629">
            <v>2247000</v>
          </cell>
          <cell r="J629">
            <v>2247000</v>
          </cell>
          <cell r="K629">
            <v>2247000</v>
          </cell>
        </row>
        <row r="630">
          <cell r="I630">
            <v>393000</v>
          </cell>
          <cell r="J630">
            <v>393000</v>
          </cell>
          <cell r="K630">
            <v>393000</v>
          </cell>
        </row>
        <row r="631">
          <cell r="I631">
            <v>121000</v>
          </cell>
          <cell r="J631">
            <v>121000</v>
          </cell>
          <cell r="K631">
            <v>121000</v>
          </cell>
        </row>
        <row r="632">
          <cell r="I632">
            <v>280000</v>
          </cell>
          <cell r="J632">
            <v>280000</v>
          </cell>
          <cell r="K632">
            <v>280000</v>
          </cell>
        </row>
        <row r="633">
          <cell r="I633">
            <v>112000</v>
          </cell>
          <cell r="J633">
            <v>112000</v>
          </cell>
          <cell r="K633">
            <v>112000</v>
          </cell>
        </row>
        <row r="634">
          <cell r="I634">
            <v>1123000</v>
          </cell>
          <cell r="J634">
            <v>1123000</v>
          </cell>
          <cell r="K634">
            <v>1123000</v>
          </cell>
        </row>
        <row r="635">
          <cell r="I635">
            <v>842000</v>
          </cell>
          <cell r="J635">
            <v>842000</v>
          </cell>
          <cell r="K635">
            <v>842000</v>
          </cell>
        </row>
        <row r="636">
          <cell r="I636">
            <v>7000</v>
          </cell>
          <cell r="J636">
            <v>7000</v>
          </cell>
          <cell r="K636">
            <v>7000</v>
          </cell>
        </row>
        <row r="637">
          <cell r="I637">
            <v>224000</v>
          </cell>
          <cell r="J637">
            <v>224000</v>
          </cell>
          <cell r="K637">
            <v>224000</v>
          </cell>
        </row>
        <row r="638">
          <cell r="I638">
            <v>112000</v>
          </cell>
          <cell r="J638">
            <v>112000</v>
          </cell>
          <cell r="K638">
            <v>112000</v>
          </cell>
        </row>
        <row r="639">
          <cell r="I639">
            <v>1123000</v>
          </cell>
          <cell r="J639">
            <v>1123000</v>
          </cell>
          <cell r="K639">
            <v>1123000</v>
          </cell>
        </row>
        <row r="640">
          <cell r="I640">
            <v>168000</v>
          </cell>
          <cell r="J640">
            <v>168000</v>
          </cell>
          <cell r="K640">
            <v>168000</v>
          </cell>
        </row>
        <row r="641">
          <cell r="I641">
            <v>618000</v>
          </cell>
          <cell r="J641">
            <v>618000</v>
          </cell>
          <cell r="K641">
            <v>618000</v>
          </cell>
        </row>
        <row r="642">
          <cell r="I642">
            <v>674000</v>
          </cell>
          <cell r="J642">
            <v>674000</v>
          </cell>
          <cell r="K642">
            <v>674000</v>
          </cell>
        </row>
        <row r="643">
          <cell r="I643">
            <v>1292000</v>
          </cell>
          <cell r="J643">
            <v>1292000</v>
          </cell>
          <cell r="K643">
            <v>1292000</v>
          </cell>
        </row>
        <row r="644">
          <cell r="I644">
            <v>393000</v>
          </cell>
          <cell r="J644">
            <v>393000</v>
          </cell>
          <cell r="K644">
            <v>393000</v>
          </cell>
        </row>
        <row r="645">
          <cell r="I645">
            <v>109000</v>
          </cell>
          <cell r="J645">
            <v>109000</v>
          </cell>
          <cell r="K645">
            <v>109000</v>
          </cell>
        </row>
        <row r="646">
          <cell r="I646">
            <v>3000</v>
          </cell>
          <cell r="J646">
            <v>3000</v>
          </cell>
          <cell r="K646">
            <v>3000</v>
          </cell>
        </row>
        <row r="647">
          <cell r="I647">
            <v>3000</v>
          </cell>
          <cell r="J647">
            <v>3000</v>
          </cell>
          <cell r="K647">
            <v>3000</v>
          </cell>
        </row>
        <row r="648">
          <cell r="I648">
            <v>280000</v>
          </cell>
          <cell r="J648">
            <v>280000</v>
          </cell>
          <cell r="K648">
            <v>280000</v>
          </cell>
        </row>
        <row r="649">
          <cell r="I649">
            <v>224000</v>
          </cell>
          <cell r="J649">
            <v>224000</v>
          </cell>
          <cell r="K649">
            <v>224000</v>
          </cell>
        </row>
        <row r="650">
          <cell r="I650">
            <v>5000</v>
          </cell>
          <cell r="J650">
            <v>5000</v>
          </cell>
          <cell r="K650">
            <v>5000</v>
          </cell>
        </row>
        <row r="651">
          <cell r="I651">
            <v>5600</v>
          </cell>
          <cell r="J651">
            <v>5600</v>
          </cell>
          <cell r="K651">
            <v>5600</v>
          </cell>
        </row>
        <row r="652">
          <cell r="I652">
            <v>1629000</v>
          </cell>
          <cell r="J652">
            <v>1629000</v>
          </cell>
          <cell r="K652">
            <v>1629000</v>
          </cell>
        </row>
        <row r="653">
          <cell r="I653">
            <v>1517000</v>
          </cell>
          <cell r="J653">
            <v>1517000</v>
          </cell>
          <cell r="K653">
            <v>1517000</v>
          </cell>
        </row>
        <row r="654">
          <cell r="I654">
            <v>5000</v>
          </cell>
          <cell r="J654">
            <v>5000</v>
          </cell>
          <cell r="K654">
            <v>5000</v>
          </cell>
        </row>
        <row r="655">
          <cell r="I655">
            <v>2247000</v>
          </cell>
          <cell r="J655">
            <v>2247000</v>
          </cell>
          <cell r="K655">
            <v>2247000</v>
          </cell>
        </row>
        <row r="656">
          <cell r="I656">
            <v>561000</v>
          </cell>
          <cell r="J656">
            <v>561000</v>
          </cell>
          <cell r="K656">
            <v>561000</v>
          </cell>
        </row>
        <row r="657">
          <cell r="I657">
            <v>1517000</v>
          </cell>
          <cell r="J657">
            <v>1517000</v>
          </cell>
          <cell r="K657">
            <v>1517000</v>
          </cell>
        </row>
        <row r="658">
          <cell r="I658">
            <v>618000</v>
          </cell>
          <cell r="J658">
            <v>618000</v>
          </cell>
          <cell r="K658">
            <v>618000</v>
          </cell>
        </row>
        <row r="659">
          <cell r="I659">
            <v>842000</v>
          </cell>
          <cell r="J659">
            <v>842000</v>
          </cell>
          <cell r="K659">
            <v>842000</v>
          </cell>
        </row>
        <row r="660">
          <cell r="I660">
            <v>233000</v>
          </cell>
          <cell r="J660">
            <v>233000</v>
          </cell>
          <cell r="K660">
            <v>233000</v>
          </cell>
        </row>
        <row r="661">
          <cell r="I661">
            <v>842000</v>
          </cell>
          <cell r="J661">
            <v>842000</v>
          </cell>
          <cell r="K661">
            <v>842000</v>
          </cell>
        </row>
        <row r="662">
          <cell r="I662">
            <v>280000</v>
          </cell>
          <cell r="J662">
            <v>280000</v>
          </cell>
          <cell r="K662">
            <v>280000</v>
          </cell>
        </row>
        <row r="663">
          <cell r="I663">
            <v>224000</v>
          </cell>
          <cell r="J663">
            <v>224000</v>
          </cell>
          <cell r="K663">
            <v>224000</v>
          </cell>
        </row>
        <row r="664">
          <cell r="I664">
            <v>842000</v>
          </cell>
          <cell r="J664">
            <v>842000</v>
          </cell>
          <cell r="K664">
            <v>842000</v>
          </cell>
        </row>
        <row r="665">
          <cell r="I665">
            <v>561000</v>
          </cell>
          <cell r="J665">
            <v>561000</v>
          </cell>
          <cell r="K665">
            <v>561000</v>
          </cell>
        </row>
        <row r="666">
          <cell r="I666">
            <v>280000</v>
          </cell>
          <cell r="J666">
            <v>280000</v>
          </cell>
          <cell r="K666">
            <v>280000</v>
          </cell>
        </row>
        <row r="667">
          <cell r="I667">
            <v>768000</v>
          </cell>
          <cell r="J667">
            <v>768000</v>
          </cell>
          <cell r="K667">
            <v>768000</v>
          </cell>
        </row>
        <row r="668">
          <cell r="I668">
            <v>960000</v>
          </cell>
          <cell r="J668">
            <v>960000</v>
          </cell>
          <cell r="K668">
            <v>960000</v>
          </cell>
        </row>
        <row r="669">
          <cell r="I669">
            <v>1019000</v>
          </cell>
          <cell r="J669">
            <v>1019000</v>
          </cell>
          <cell r="K669">
            <v>1019000</v>
          </cell>
        </row>
        <row r="670">
          <cell r="I670">
            <v>51000</v>
          </cell>
          <cell r="J670">
            <v>51000</v>
          </cell>
          <cell r="K670">
            <v>51000</v>
          </cell>
        </row>
        <row r="671">
          <cell r="I671">
            <v>109000</v>
          </cell>
          <cell r="J671">
            <v>109000</v>
          </cell>
          <cell r="K671">
            <v>109000</v>
          </cell>
        </row>
        <row r="672">
          <cell r="I672">
            <v>104000</v>
          </cell>
          <cell r="J672">
            <v>104000</v>
          </cell>
          <cell r="K672">
            <v>104000</v>
          </cell>
        </row>
        <row r="673">
          <cell r="I673">
            <v>7000</v>
          </cell>
          <cell r="J673">
            <v>7000</v>
          </cell>
          <cell r="K673">
            <v>7000</v>
          </cell>
        </row>
        <row r="674">
          <cell r="I674">
            <v>81000</v>
          </cell>
          <cell r="J674">
            <v>81000</v>
          </cell>
          <cell r="K674">
            <v>81000</v>
          </cell>
        </row>
        <row r="675">
          <cell r="I675">
            <v>824000</v>
          </cell>
          <cell r="J675">
            <v>824000</v>
          </cell>
          <cell r="K675">
            <v>824000</v>
          </cell>
        </row>
        <row r="676">
          <cell r="I676">
            <v>145000</v>
          </cell>
          <cell r="J676">
            <v>145000</v>
          </cell>
          <cell r="K676">
            <v>145000</v>
          </cell>
        </row>
        <row r="677">
          <cell r="I677">
            <v>646000</v>
          </cell>
          <cell r="J677">
            <v>646000</v>
          </cell>
          <cell r="K677">
            <v>646000</v>
          </cell>
        </row>
        <row r="678">
          <cell r="I678">
            <v>1130000</v>
          </cell>
          <cell r="J678">
            <v>1130000</v>
          </cell>
          <cell r="K678">
            <v>1130000</v>
          </cell>
        </row>
        <row r="679">
          <cell r="I679">
            <v>215000</v>
          </cell>
          <cell r="J679">
            <v>215000</v>
          </cell>
          <cell r="K679">
            <v>215000</v>
          </cell>
        </row>
        <row r="680">
          <cell r="I680">
            <v>861000</v>
          </cell>
          <cell r="J680">
            <v>861000</v>
          </cell>
          <cell r="K680">
            <v>861000</v>
          </cell>
        </row>
        <row r="681">
          <cell r="I681">
            <v>80000</v>
          </cell>
          <cell r="J681">
            <v>80000</v>
          </cell>
          <cell r="K681">
            <v>80000</v>
          </cell>
        </row>
        <row r="682">
          <cell r="I682">
            <v>376000</v>
          </cell>
          <cell r="J682">
            <v>376000</v>
          </cell>
          <cell r="K682">
            <v>376000</v>
          </cell>
        </row>
        <row r="683">
          <cell r="I683">
            <v>60000</v>
          </cell>
          <cell r="J683">
            <v>60000</v>
          </cell>
          <cell r="K683">
            <v>60000</v>
          </cell>
        </row>
        <row r="684">
          <cell r="I684">
            <v>8000</v>
          </cell>
          <cell r="J684">
            <v>8000</v>
          </cell>
          <cell r="K684">
            <v>8000</v>
          </cell>
        </row>
        <row r="685">
          <cell r="I685">
            <v>5000</v>
          </cell>
          <cell r="J685">
            <v>5000</v>
          </cell>
          <cell r="K685">
            <v>5000</v>
          </cell>
        </row>
        <row r="686">
          <cell r="I686">
            <v>526000</v>
          </cell>
          <cell r="J686">
            <v>526000</v>
          </cell>
          <cell r="K686">
            <v>526000</v>
          </cell>
        </row>
        <row r="687">
          <cell r="I687">
            <v>112000</v>
          </cell>
          <cell r="J687">
            <v>112000</v>
          </cell>
          <cell r="K687">
            <v>112000</v>
          </cell>
        </row>
        <row r="688">
          <cell r="I688">
            <v>84000</v>
          </cell>
          <cell r="J688">
            <v>84000</v>
          </cell>
          <cell r="K688">
            <v>84000</v>
          </cell>
        </row>
        <row r="689">
          <cell r="I689">
            <v>2416000</v>
          </cell>
          <cell r="J689">
            <v>2416000</v>
          </cell>
          <cell r="K689">
            <v>2416000</v>
          </cell>
        </row>
        <row r="690">
          <cell r="I690">
            <v>842000</v>
          </cell>
          <cell r="J690">
            <v>842000</v>
          </cell>
          <cell r="K690">
            <v>842000</v>
          </cell>
        </row>
        <row r="691">
          <cell r="I691">
            <v>1123000</v>
          </cell>
          <cell r="J691">
            <v>1123000</v>
          </cell>
          <cell r="K691">
            <v>1123000</v>
          </cell>
        </row>
        <row r="692">
          <cell r="I692">
            <v>1685000</v>
          </cell>
          <cell r="J692">
            <v>1685000</v>
          </cell>
          <cell r="K692">
            <v>1685000</v>
          </cell>
        </row>
        <row r="693">
          <cell r="I693">
            <v>2247000</v>
          </cell>
          <cell r="J693">
            <v>2247000</v>
          </cell>
          <cell r="K693">
            <v>2247000</v>
          </cell>
        </row>
        <row r="694">
          <cell r="I694">
            <v>2809000</v>
          </cell>
          <cell r="J694">
            <v>2809000</v>
          </cell>
          <cell r="K694">
            <v>2809000</v>
          </cell>
        </row>
        <row r="695">
          <cell r="I695">
            <v>1685000</v>
          </cell>
          <cell r="J695">
            <v>1685000</v>
          </cell>
          <cell r="K695">
            <v>1685000</v>
          </cell>
        </row>
        <row r="696">
          <cell r="I696">
            <v>2247000</v>
          </cell>
          <cell r="J696">
            <v>2247000</v>
          </cell>
          <cell r="K696">
            <v>2247000</v>
          </cell>
        </row>
        <row r="697">
          <cell r="I697">
            <v>2809000</v>
          </cell>
          <cell r="J697">
            <v>2809000</v>
          </cell>
          <cell r="K697">
            <v>2809000</v>
          </cell>
        </row>
        <row r="698">
          <cell r="I698">
            <v>1123000</v>
          </cell>
          <cell r="J698">
            <v>1123000</v>
          </cell>
          <cell r="K698">
            <v>1123000</v>
          </cell>
        </row>
        <row r="699">
          <cell r="I699">
            <v>1685000</v>
          </cell>
          <cell r="J699">
            <v>1685000</v>
          </cell>
          <cell r="K699">
            <v>1685000</v>
          </cell>
        </row>
        <row r="700">
          <cell r="I700">
            <v>2809000</v>
          </cell>
          <cell r="J700">
            <v>2809000</v>
          </cell>
          <cell r="K700">
            <v>2809000</v>
          </cell>
        </row>
        <row r="701">
          <cell r="I701">
            <v>3933000</v>
          </cell>
          <cell r="J701">
            <v>3933000</v>
          </cell>
          <cell r="K701">
            <v>3933000</v>
          </cell>
        </row>
        <row r="702">
          <cell r="I702">
            <v>1123000</v>
          </cell>
          <cell r="J702">
            <v>1123000</v>
          </cell>
          <cell r="K702">
            <v>1123000</v>
          </cell>
        </row>
        <row r="703">
          <cell r="I703">
            <v>2247000</v>
          </cell>
          <cell r="J703">
            <v>2247000</v>
          </cell>
          <cell r="K703">
            <v>2247000</v>
          </cell>
        </row>
        <row r="704">
          <cell r="I704">
            <v>1685000</v>
          </cell>
          <cell r="J704">
            <v>1685000</v>
          </cell>
          <cell r="K704">
            <v>1685000</v>
          </cell>
        </row>
        <row r="705">
          <cell r="I705">
            <v>5057000</v>
          </cell>
          <cell r="J705">
            <v>5057000</v>
          </cell>
          <cell r="K705">
            <v>5057000</v>
          </cell>
        </row>
        <row r="706">
          <cell r="I706">
            <v>1123000</v>
          </cell>
          <cell r="J706">
            <v>1123000</v>
          </cell>
          <cell r="K706">
            <v>1123000</v>
          </cell>
        </row>
        <row r="707">
          <cell r="I707">
            <v>561000</v>
          </cell>
          <cell r="J707">
            <v>561000</v>
          </cell>
          <cell r="K707">
            <v>561000</v>
          </cell>
        </row>
        <row r="708">
          <cell r="I708">
            <v>393000</v>
          </cell>
          <cell r="J708">
            <v>393000</v>
          </cell>
          <cell r="K708">
            <v>393000</v>
          </cell>
        </row>
        <row r="709">
          <cell r="I709">
            <v>108000</v>
          </cell>
          <cell r="J709">
            <v>108000</v>
          </cell>
          <cell r="K709">
            <v>108000</v>
          </cell>
        </row>
        <row r="710">
          <cell r="I710">
            <v>1180000</v>
          </cell>
          <cell r="J710">
            <v>1180000</v>
          </cell>
          <cell r="K710">
            <v>1180000</v>
          </cell>
        </row>
        <row r="711">
          <cell r="I711">
            <v>618000</v>
          </cell>
          <cell r="J711">
            <v>618000</v>
          </cell>
          <cell r="K711">
            <v>618000</v>
          </cell>
        </row>
        <row r="712">
          <cell r="I712">
            <v>1123000</v>
          </cell>
          <cell r="J712">
            <v>1123000</v>
          </cell>
          <cell r="K712">
            <v>1123000</v>
          </cell>
        </row>
        <row r="713">
          <cell r="I713">
            <v>561000</v>
          </cell>
          <cell r="J713">
            <v>561000</v>
          </cell>
          <cell r="K713">
            <v>561000</v>
          </cell>
        </row>
        <row r="714">
          <cell r="I714">
            <v>0</v>
          </cell>
          <cell r="J714">
            <v>0</v>
          </cell>
          <cell r="K714">
            <v>0</v>
          </cell>
        </row>
        <row r="715">
          <cell r="I715">
            <v>0</v>
          </cell>
          <cell r="J715">
            <v>0</v>
          </cell>
          <cell r="K715">
            <v>0</v>
          </cell>
        </row>
        <row r="716">
          <cell r="I716">
            <v>7305000</v>
          </cell>
          <cell r="J716">
            <v>7305000</v>
          </cell>
          <cell r="K716">
            <v>7305000</v>
          </cell>
        </row>
        <row r="717">
          <cell r="I717">
            <v>8670000</v>
          </cell>
          <cell r="J717">
            <v>8670000</v>
          </cell>
          <cell r="K717">
            <v>8670000</v>
          </cell>
        </row>
        <row r="718">
          <cell r="I718">
            <v>8207000</v>
          </cell>
          <cell r="J718">
            <v>8207000</v>
          </cell>
          <cell r="K718">
            <v>8207000</v>
          </cell>
        </row>
        <row r="719">
          <cell r="I719">
            <v>7866000</v>
          </cell>
          <cell r="J719">
            <v>7866000</v>
          </cell>
          <cell r="K719">
            <v>7866000</v>
          </cell>
        </row>
        <row r="720">
          <cell r="I720">
            <v>7216000</v>
          </cell>
          <cell r="J720">
            <v>7216000</v>
          </cell>
          <cell r="K720">
            <v>7216000</v>
          </cell>
        </row>
        <row r="721">
          <cell r="I721">
            <v>7808000</v>
          </cell>
          <cell r="J721">
            <v>7808000</v>
          </cell>
          <cell r="K721">
            <v>7808000</v>
          </cell>
        </row>
        <row r="722">
          <cell r="I722">
            <v>9552000</v>
          </cell>
          <cell r="J722">
            <v>9552000</v>
          </cell>
          <cell r="K722">
            <v>9552000</v>
          </cell>
        </row>
        <row r="723">
          <cell r="I723">
            <v>8078000</v>
          </cell>
          <cell r="J723">
            <v>8078000</v>
          </cell>
          <cell r="K723">
            <v>8078000</v>
          </cell>
        </row>
        <row r="724">
          <cell r="I724">
            <v>10986000</v>
          </cell>
          <cell r="J724">
            <v>10986000</v>
          </cell>
          <cell r="K724">
            <v>10986000</v>
          </cell>
        </row>
        <row r="725">
          <cell r="I725">
            <v>10114000</v>
          </cell>
          <cell r="J725">
            <v>10114000</v>
          </cell>
          <cell r="K725">
            <v>10114000</v>
          </cell>
        </row>
        <row r="726">
          <cell r="I726">
            <v>9659000</v>
          </cell>
          <cell r="J726">
            <v>9659000</v>
          </cell>
          <cell r="K726">
            <v>9659000</v>
          </cell>
        </row>
        <row r="727">
          <cell r="I727">
            <v>12332000</v>
          </cell>
          <cell r="J727">
            <v>12332000</v>
          </cell>
          <cell r="K727">
            <v>12332000</v>
          </cell>
        </row>
        <row r="728">
          <cell r="I728">
            <v>11800000</v>
          </cell>
          <cell r="J728">
            <v>11800000</v>
          </cell>
          <cell r="K728">
            <v>11800000</v>
          </cell>
        </row>
        <row r="729">
          <cell r="I729">
            <v>8401000</v>
          </cell>
          <cell r="J729">
            <v>8401000</v>
          </cell>
          <cell r="K729">
            <v>8401000</v>
          </cell>
        </row>
        <row r="730">
          <cell r="I730">
            <v>8611000</v>
          </cell>
          <cell r="J730">
            <v>8611000</v>
          </cell>
          <cell r="K730">
            <v>8611000</v>
          </cell>
        </row>
        <row r="731">
          <cell r="I731">
            <v>10878000</v>
          </cell>
          <cell r="J731">
            <v>10878000</v>
          </cell>
          <cell r="K731">
            <v>10878000</v>
          </cell>
        </row>
        <row r="732">
          <cell r="I732">
            <v>0</v>
          </cell>
          <cell r="J732">
            <v>0</v>
          </cell>
          <cell r="K732">
            <v>0</v>
          </cell>
        </row>
        <row r="733">
          <cell r="I733">
            <v>0</v>
          </cell>
          <cell r="J733">
            <v>0</v>
          </cell>
          <cell r="K733">
            <v>0</v>
          </cell>
        </row>
        <row r="734">
          <cell r="I734">
            <v>1404000</v>
          </cell>
          <cell r="J734">
            <v>1404000</v>
          </cell>
          <cell r="K734">
            <v>1404000</v>
          </cell>
        </row>
        <row r="735">
          <cell r="I735">
            <v>1685000</v>
          </cell>
          <cell r="J735">
            <v>1685000</v>
          </cell>
          <cell r="K735">
            <v>1685000</v>
          </cell>
        </row>
        <row r="736">
          <cell r="I736">
            <v>1966000</v>
          </cell>
          <cell r="J736">
            <v>1966000</v>
          </cell>
          <cell r="K736">
            <v>1966000</v>
          </cell>
        </row>
        <row r="739">
          <cell r="I739">
            <v>53569000</v>
          </cell>
          <cell r="J739">
            <v>53569000</v>
          </cell>
          <cell r="K739">
            <v>53569000</v>
          </cell>
        </row>
        <row r="742">
          <cell r="I742">
            <v>56192000</v>
          </cell>
          <cell r="J742">
            <v>56192000</v>
          </cell>
          <cell r="K742">
            <v>56192000</v>
          </cell>
        </row>
        <row r="743">
          <cell r="I743">
            <v>61812000</v>
          </cell>
          <cell r="J743">
            <v>61812000</v>
          </cell>
          <cell r="K743">
            <v>61812000</v>
          </cell>
        </row>
        <row r="744">
          <cell r="I744">
            <v>78670000</v>
          </cell>
          <cell r="J744">
            <v>78670000</v>
          </cell>
          <cell r="K744">
            <v>78670000</v>
          </cell>
        </row>
        <row r="745">
          <cell r="I745">
            <v>84289000</v>
          </cell>
          <cell r="J745">
            <v>84289000</v>
          </cell>
          <cell r="K745">
            <v>84289000</v>
          </cell>
        </row>
        <row r="748">
          <cell r="I748">
            <v>67431000</v>
          </cell>
          <cell r="J748">
            <v>67431000</v>
          </cell>
          <cell r="K748">
            <v>67431000</v>
          </cell>
        </row>
        <row r="749">
          <cell r="I749">
            <v>73050000</v>
          </cell>
          <cell r="J749">
            <v>73050000</v>
          </cell>
          <cell r="K749">
            <v>73050000</v>
          </cell>
        </row>
        <row r="750">
          <cell r="I750">
            <v>78670000</v>
          </cell>
          <cell r="J750">
            <v>78670000</v>
          </cell>
          <cell r="K750">
            <v>78670000</v>
          </cell>
        </row>
        <row r="751">
          <cell r="I751">
            <v>89908000</v>
          </cell>
          <cell r="J751">
            <v>89908000</v>
          </cell>
          <cell r="K751">
            <v>89908000</v>
          </cell>
        </row>
        <row r="755">
          <cell r="I755">
            <v>7404000</v>
          </cell>
          <cell r="J755">
            <v>7404000</v>
          </cell>
          <cell r="K755">
            <v>7404000</v>
          </cell>
        </row>
        <row r="756">
          <cell r="I756">
            <v>359000</v>
          </cell>
          <cell r="J756">
            <v>359000</v>
          </cell>
          <cell r="K756">
            <v>359000</v>
          </cell>
        </row>
        <row r="757">
          <cell r="I757">
            <v>150000</v>
          </cell>
          <cell r="J757">
            <v>150000</v>
          </cell>
          <cell r="K757">
            <v>150000</v>
          </cell>
        </row>
        <row r="758">
          <cell r="I758">
            <v>704000</v>
          </cell>
          <cell r="J758">
            <v>704000</v>
          </cell>
          <cell r="K758">
            <v>704000</v>
          </cell>
        </row>
        <row r="759">
          <cell r="I759">
            <v>240000</v>
          </cell>
          <cell r="J759">
            <v>240000</v>
          </cell>
          <cell r="K759">
            <v>240000</v>
          </cell>
        </row>
        <row r="760">
          <cell r="I760">
            <v>69000</v>
          </cell>
          <cell r="J760">
            <v>69000</v>
          </cell>
          <cell r="K760">
            <v>69000</v>
          </cell>
        </row>
        <row r="761">
          <cell r="I761">
            <v>531000</v>
          </cell>
          <cell r="J761">
            <v>531000</v>
          </cell>
          <cell r="K761">
            <v>531000</v>
          </cell>
        </row>
        <row r="762">
          <cell r="I762">
            <v>359000</v>
          </cell>
          <cell r="J762">
            <v>359000</v>
          </cell>
          <cell r="K762">
            <v>359000</v>
          </cell>
        </row>
        <row r="763">
          <cell r="I763">
            <v>678000</v>
          </cell>
          <cell r="J763">
            <v>678000</v>
          </cell>
          <cell r="K763">
            <v>678000</v>
          </cell>
        </row>
        <row r="764">
          <cell r="I764">
            <v>558000</v>
          </cell>
          <cell r="J764">
            <v>558000</v>
          </cell>
          <cell r="K764">
            <v>558000</v>
          </cell>
        </row>
        <row r="765">
          <cell r="I765">
            <v>605000</v>
          </cell>
          <cell r="J765">
            <v>605000</v>
          </cell>
          <cell r="K765">
            <v>605000</v>
          </cell>
        </row>
        <row r="766">
          <cell r="I766">
            <v>652000</v>
          </cell>
          <cell r="J766">
            <v>652000</v>
          </cell>
          <cell r="K766">
            <v>652000</v>
          </cell>
        </row>
        <row r="767">
          <cell r="I767">
            <v>623000</v>
          </cell>
          <cell r="J767">
            <v>623000</v>
          </cell>
          <cell r="K767">
            <v>623000</v>
          </cell>
        </row>
        <row r="768">
          <cell r="I768">
            <v>295000</v>
          </cell>
          <cell r="J768">
            <v>295000</v>
          </cell>
          <cell r="K768">
            <v>295000</v>
          </cell>
        </row>
        <row r="769">
          <cell r="I769">
            <v>460000</v>
          </cell>
          <cell r="J769">
            <v>460000</v>
          </cell>
          <cell r="K769">
            <v>460000</v>
          </cell>
        </row>
        <row r="770">
          <cell r="I770">
            <v>238000</v>
          </cell>
          <cell r="J770">
            <v>238000</v>
          </cell>
          <cell r="K770">
            <v>238000</v>
          </cell>
        </row>
        <row r="771">
          <cell r="I771">
            <v>393000</v>
          </cell>
          <cell r="J771">
            <v>393000</v>
          </cell>
          <cell r="K771">
            <v>393000</v>
          </cell>
        </row>
        <row r="772">
          <cell r="I772">
            <v>436000</v>
          </cell>
          <cell r="J772">
            <v>436000</v>
          </cell>
          <cell r="K772">
            <v>436000</v>
          </cell>
        </row>
        <row r="773">
          <cell r="I773">
            <v>360000</v>
          </cell>
          <cell r="J773">
            <v>360000</v>
          </cell>
          <cell r="K773">
            <v>360000</v>
          </cell>
        </row>
        <row r="774">
          <cell r="I774">
            <v>46000</v>
          </cell>
          <cell r="J774">
            <v>46000</v>
          </cell>
          <cell r="K774">
            <v>46000</v>
          </cell>
        </row>
        <row r="775">
          <cell r="I775">
            <v>1076000</v>
          </cell>
          <cell r="J775">
            <v>1076000</v>
          </cell>
          <cell r="K775">
            <v>1076000</v>
          </cell>
        </row>
        <row r="776">
          <cell r="I776">
            <v>51000</v>
          </cell>
          <cell r="J776">
            <v>51000</v>
          </cell>
          <cell r="K776">
            <v>51000</v>
          </cell>
        </row>
        <row r="777">
          <cell r="I777">
            <v>193000</v>
          </cell>
          <cell r="J777">
            <v>193000</v>
          </cell>
          <cell r="K777">
            <v>193000</v>
          </cell>
        </row>
        <row r="778">
          <cell r="I778">
            <v>115000</v>
          </cell>
          <cell r="J778">
            <v>115000</v>
          </cell>
          <cell r="K778">
            <v>115000</v>
          </cell>
        </row>
        <row r="779">
          <cell r="I779">
            <v>46000</v>
          </cell>
          <cell r="J779">
            <v>46000</v>
          </cell>
          <cell r="K779">
            <v>46000</v>
          </cell>
        </row>
        <row r="780">
          <cell r="I780">
            <v>59000</v>
          </cell>
          <cell r="J780">
            <v>59000</v>
          </cell>
          <cell r="K780">
            <v>59000</v>
          </cell>
        </row>
        <row r="781">
          <cell r="I781">
            <v>1252000</v>
          </cell>
          <cell r="J781">
            <v>1252000</v>
          </cell>
          <cell r="K781">
            <v>1252000</v>
          </cell>
        </row>
        <row r="782">
          <cell r="I782">
            <v>402000</v>
          </cell>
          <cell r="J782">
            <v>402000</v>
          </cell>
          <cell r="K782">
            <v>402000</v>
          </cell>
        </row>
        <row r="783">
          <cell r="I783">
            <v>606000</v>
          </cell>
          <cell r="J783">
            <v>606000</v>
          </cell>
          <cell r="K783">
            <v>606000</v>
          </cell>
        </row>
        <row r="784">
          <cell r="I784">
            <v>139000</v>
          </cell>
          <cell r="J784">
            <v>139000</v>
          </cell>
          <cell r="K784">
            <v>139000</v>
          </cell>
        </row>
        <row r="785">
          <cell r="I785">
            <v>601000</v>
          </cell>
          <cell r="J785">
            <v>601000</v>
          </cell>
          <cell r="K785">
            <v>601000</v>
          </cell>
        </row>
        <row r="786">
          <cell r="I786">
            <v>146000</v>
          </cell>
          <cell r="J786">
            <v>146000</v>
          </cell>
          <cell r="K786">
            <v>146000</v>
          </cell>
        </row>
        <row r="787">
          <cell r="I787">
            <v>2064000</v>
          </cell>
          <cell r="J787">
            <v>2064000</v>
          </cell>
          <cell r="K787">
            <v>2064000</v>
          </cell>
        </row>
        <row r="788">
          <cell r="I788">
            <v>106000</v>
          </cell>
          <cell r="J788">
            <v>106000</v>
          </cell>
          <cell r="K788">
            <v>106000</v>
          </cell>
        </row>
        <row r="789">
          <cell r="I789">
            <v>694000</v>
          </cell>
          <cell r="J789">
            <v>694000</v>
          </cell>
          <cell r="K789">
            <v>694000</v>
          </cell>
        </row>
        <row r="790">
          <cell r="I790">
            <v>252000</v>
          </cell>
          <cell r="J790">
            <v>252000</v>
          </cell>
          <cell r="K790">
            <v>252000</v>
          </cell>
        </row>
        <row r="791">
          <cell r="I791">
            <v>1625000</v>
          </cell>
          <cell r="J791">
            <v>1625000</v>
          </cell>
          <cell r="K791">
            <v>1625000</v>
          </cell>
        </row>
        <row r="792">
          <cell r="I792">
            <v>3461000</v>
          </cell>
          <cell r="J792">
            <v>3461000</v>
          </cell>
          <cell r="K792">
            <v>3461000</v>
          </cell>
        </row>
        <row r="793">
          <cell r="I793">
            <v>2055000</v>
          </cell>
          <cell r="J793">
            <v>2055000</v>
          </cell>
          <cell r="K793">
            <v>2055000</v>
          </cell>
        </row>
        <row r="794">
          <cell r="I794">
            <v>623000</v>
          </cell>
          <cell r="J794">
            <v>623000</v>
          </cell>
          <cell r="K794">
            <v>623000</v>
          </cell>
        </row>
        <row r="795">
          <cell r="I795">
            <v>416000</v>
          </cell>
          <cell r="J795">
            <v>416000</v>
          </cell>
          <cell r="K795">
            <v>416000</v>
          </cell>
        </row>
        <row r="796">
          <cell r="I796">
            <v>348000</v>
          </cell>
          <cell r="J796">
            <v>348000</v>
          </cell>
          <cell r="K796">
            <v>348000</v>
          </cell>
        </row>
        <row r="797">
          <cell r="I797">
            <v>531000</v>
          </cell>
          <cell r="J797">
            <v>531000</v>
          </cell>
          <cell r="K797">
            <v>531000</v>
          </cell>
        </row>
        <row r="798">
          <cell r="I798">
            <v>1024000</v>
          </cell>
          <cell r="J798">
            <v>1024000</v>
          </cell>
          <cell r="K798">
            <v>1024000</v>
          </cell>
        </row>
        <row r="799">
          <cell r="I799">
            <v>625000</v>
          </cell>
          <cell r="J799">
            <v>625000</v>
          </cell>
          <cell r="K799">
            <v>625000</v>
          </cell>
        </row>
        <row r="800">
          <cell r="I800">
            <v>573000</v>
          </cell>
          <cell r="J800">
            <v>573000</v>
          </cell>
          <cell r="K800">
            <v>573000</v>
          </cell>
        </row>
        <row r="801">
          <cell r="I801">
            <v>48000</v>
          </cell>
          <cell r="J801">
            <v>48000</v>
          </cell>
          <cell r="K801">
            <v>48000</v>
          </cell>
        </row>
        <row r="802">
          <cell r="I802">
            <v>48000</v>
          </cell>
          <cell r="J802">
            <v>48000</v>
          </cell>
          <cell r="K802">
            <v>48000</v>
          </cell>
        </row>
        <row r="803">
          <cell r="I803">
            <v>431000</v>
          </cell>
          <cell r="J803">
            <v>431000</v>
          </cell>
          <cell r="K803">
            <v>431000</v>
          </cell>
        </row>
        <row r="804">
          <cell r="I804">
            <v>2557000</v>
          </cell>
          <cell r="J804">
            <v>2557000</v>
          </cell>
          <cell r="K804">
            <v>2557000</v>
          </cell>
        </row>
        <row r="805">
          <cell r="I805">
            <v>858000</v>
          </cell>
          <cell r="J805">
            <v>858000</v>
          </cell>
          <cell r="K805">
            <v>858000</v>
          </cell>
        </row>
        <row r="806">
          <cell r="I806">
            <v>219000</v>
          </cell>
          <cell r="J806">
            <v>219000</v>
          </cell>
          <cell r="K806">
            <v>219000</v>
          </cell>
        </row>
        <row r="807">
          <cell r="I807">
            <v>205000</v>
          </cell>
          <cell r="J807">
            <v>205000</v>
          </cell>
          <cell r="K807">
            <v>205000</v>
          </cell>
        </row>
        <row r="808">
          <cell r="I808">
            <v>54000</v>
          </cell>
          <cell r="J808">
            <v>54000</v>
          </cell>
          <cell r="K808">
            <v>54000</v>
          </cell>
        </row>
        <row r="809">
          <cell r="I809">
            <v>69000</v>
          </cell>
          <cell r="J809">
            <v>69000</v>
          </cell>
          <cell r="K809">
            <v>69000</v>
          </cell>
        </row>
        <row r="810">
          <cell r="I810">
            <v>798000</v>
          </cell>
          <cell r="J810">
            <v>798000</v>
          </cell>
          <cell r="K810">
            <v>798000</v>
          </cell>
        </row>
        <row r="811">
          <cell r="I811">
            <v>414000</v>
          </cell>
          <cell r="J811">
            <v>414000</v>
          </cell>
          <cell r="K811">
            <v>414000</v>
          </cell>
        </row>
        <row r="812">
          <cell r="I812">
            <v>477000</v>
          </cell>
          <cell r="J812">
            <v>477000</v>
          </cell>
          <cell r="K812">
            <v>477000</v>
          </cell>
        </row>
        <row r="813">
          <cell r="I813">
            <v>494000</v>
          </cell>
          <cell r="J813">
            <v>494000</v>
          </cell>
          <cell r="K813">
            <v>494000</v>
          </cell>
        </row>
        <row r="814">
          <cell r="I814">
            <v>986000</v>
          </cell>
          <cell r="J814">
            <v>986000</v>
          </cell>
          <cell r="K814">
            <v>986000</v>
          </cell>
        </row>
        <row r="817">
          <cell r="I817">
            <v>21000</v>
          </cell>
          <cell r="J817">
            <v>21000</v>
          </cell>
          <cell r="K817">
            <v>21000</v>
          </cell>
        </row>
        <row r="818">
          <cell r="I818">
            <v>16000</v>
          </cell>
          <cell r="J818">
            <v>16000</v>
          </cell>
          <cell r="K818">
            <v>16000</v>
          </cell>
        </row>
        <row r="819">
          <cell r="I819">
            <v>13000</v>
          </cell>
          <cell r="J819">
            <v>13000</v>
          </cell>
          <cell r="K819">
            <v>13000</v>
          </cell>
        </row>
        <row r="820">
          <cell r="I820">
            <v>54000</v>
          </cell>
          <cell r="J820">
            <v>54000</v>
          </cell>
          <cell r="K820">
            <v>54000</v>
          </cell>
        </row>
        <row r="828">
          <cell r="I828">
            <v>108000</v>
          </cell>
          <cell r="J828">
            <v>108000</v>
          </cell>
          <cell r="K828">
            <v>108000</v>
          </cell>
        </row>
        <row r="831">
          <cell r="I831">
            <v>86000</v>
          </cell>
          <cell r="J831">
            <v>86000</v>
          </cell>
          <cell r="K831">
            <v>86000</v>
          </cell>
        </row>
        <row r="832">
          <cell r="I832">
            <v>21000</v>
          </cell>
          <cell r="J832">
            <v>21000</v>
          </cell>
          <cell r="K832">
            <v>21000</v>
          </cell>
        </row>
        <row r="833">
          <cell r="I833">
            <v>37000</v>
          </cell>
          <cell r="J833">
            <v>37000</v>
          </cell>
          <cell r="K833">
            <v>37000</v>
          </cell>
        </row>
        <row r="834">
          <cell r="I834">
            <v>51000</v>
          </cell>
          <cell r="J834">
            <v>51000</v>
          </cell>
          <cell r="K834">
            <v>51000</v>
          </cell>
        </row>
        <row r="835">
          <cell r="I835">
            <v>71000</v>
          </cell>
          <cell r="J835">
            <v>71000</v>
          </cell>
          <cell r="K835">
            <v>71000</v>
          </cell>
        </row>
        <row r="837">
          <cell r="I837">
            <v>81000</v>
          </cell>
          <cell r="J837">
            <v>81000</v>
          </cell>
          <cell r="K837">
            <v>81000</v>
          </cell>
        </row>
        <row r="839">
          <cell r="I839">
            <v>13000</v>
          </cell>
          <cell r="J839">
            <v>13000</v>
          </cell>
          <cell r="K839">
            <v>13000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RAB"/>
      <sheetName val="RAB"/>
      <sheetName val="tempelet"/>
      <sheetName val="B.VOL RAB"/>
      <sheetName val="back up kusen alumunium"/>
      <sheetName val="Upah &amp; bahan dinper"/>
      <sheetName val="Rekap"/>
      <sheetName val="AHSP DINPER"/>
      <sheetName val="REKAP ANALISA"/>
      <sheetName val="TABEL HITUNG BESI 1"/>
      <sheetName val="TABEL HITUNG BESI 2"/>
      <sheetName val="AHSP SUMUR"/>
      <sheetName val="HARGA 2021"/>
      <sheetName val="Usulan 2021"/>
      <sheetName val="Upah &amp; Bahan"/>
      <sheetName val="AHSP 2008"/>
      <sheetName val="Daftar Analys"/>
      <sheetName val="analisa pintu jendela"/>
      <sheetName val="Sheet2"/>
      <sheetName val="Usulan 2022"/>
      <sheetName val="K3"/>
      <sheetName val="AHSP 2002"/>
      <sheetName val="AHSP HTG"/>
      <sheetName val="AHSP PASAR"/>
    </sheetNames>
    <sheetDataSet>
      <sheetData sheetId="0">
        <row r="18">
          <cell r="D18" t="str">
            <v>GEDUNG KANTOR</v>
          </cell>
        </row>
      </sheetData>
      <sheetData sheetId="1">
        <row r="3">
          <cell r="D3" t="str">
            <v>KEGIATAN</v>
          </cell>
          <cell r="E3" t="str">
            <v>:</v>
          </cell>
          <cell r="F3" t="str">
            <v>PEMBANGUNAN KANTOR DINAS PERTANIAN KARANGANYAR</v>
          </cell>
        </row>
        <row r="5">
          <cell r="D5" t="str">
            <v>PEKERJAAN</v>
          </cell>
          <cell r="E5" t="str">
            <v>:</v>
          </cell>
          <cell r="F5" t="str">
            <v>PEMBANGUNAN DINAS PERTANIAN KARANGANYAR</v>
          </cell>
        </row>
        <row r="6">
          <cell r="D6" t="str">
            <v>VOLUME</v>
          </cell>
          <cell r="E6" t="str">
            <v>:</v>
          </cell>
        </row>
        <row r="8">
          <cell r="D8" t="str">
            <v>L O K A S I</v>
          </cell>
          <cell r="E8" t="str">
            <v>:</v>
          </cell>
          <cell r="F8" t="str">
            <v>KARANGANYAR</v>
          </cell>
        </row>
        <row r="9">
          <cell r="D9" t="str">
            <v>KABUPATEN</v>
          </cell>
          <cell r="E9" t="str">
            <v>:</v>
          </cell>
          <cell r="F9" t="str">
            <v>KARANGANYAR</v>
          </cell>
        </row>
        <row r="10">
          <cell r="D10" t="str">
            <v>TAHUN ANGGARAN</v>
          </cell>
          <cell r="E10" t="str">
            <v>:</v>
          </cell>
          <cell r="F10" t="str">
            <v>2023</v>
          </cell>
        </row>
        <row r="18">
          <cell r="B18" t="str">
            <v>I</v>
          </cell>
          <cell r="D18" t="str">
            <v>GEDUNG KANTOR</v>
          </cell>
        </row>
        <row r="19">
          <cell r="B19" t="str">
            <v>A.</v>
          </cell>
          <cell r="D19" t="str">
            <v>PEKERJAAN PERSIAPAN</v>
          </cell>
        </row>
        <row r="20">
          <cell r="B20">
            <v>1</v>
          </cell>
          <cell r="D20" t="str">
            <v>Administrasi dan dokumentasi</v>
          </cell>
          <cell r="H20" t="str">
            <v>ls</v>
          </cell>
        </row>
        <row r="21">
          <cell r="B21">
            <v>2</v>
          </cell>
          <cell r="D21" t="str">
            <v>Air dan listrik kerja</v>
          </cell>
          <cell r="H21" t="str">
            <v>ls</v>
          </cell>
        </row>
        <row r="22">
          <cell r="B22">
            <v>3</v>
          </cell>
          <cell r="D22" t="str">
            <v xml:space="preserve">Pengukuran dan pemasangan bouwplank  </v>
          </cell>
          <cell r="H22" t="str">
            <v>m'</v>
          </cell>
        </row>
        <row r="23">
          <cell r="B23">
            <v>4</v>
          </cell>
          <cell r="D23" t="str">
            <v>Pembersihan lapangan dan perataan</v>
          </cell>
          <cell r="H23" t="str">
            <v>m2</v>
          </cell>
        </row>
        <row r="24">
          <cell r="B24">
            <v>5</v>
          </cell>
          <cell r="D24" t="str">
            <v>Penyelenggaraan K3</v>
          </cell>
          <cell r="H24" t="str">
            <v>ls</v>
          </cell>
        </row>
        <row r="25">
          <cell r="B25">
            <v>6</v>
          </cell>
          <cell r="D25" t="str">
            <v>Papan Nama Proyek</v>
          </cell>
          <cell r="H25" t="str">
            <v>ls</v>
          </cell>
        </row>
        <row r="27">
          <cell r="B27" t="str">
            <v>B.</v>
          </cell>
          <cell r="D27" t="str">
            <v>PEKERJAAN TANAH</v>
          </cell>
        </row>
        <row r="28">
          <cell r="B28">
            <v>1</v>
          </cell>
          <cell r="D28" t="str">
            <v xml:space="preserve">Menggali tanah biasa sedalam 1 m' </v>
          </cell>
          <cell r="H28" t="str">
            <v>m3</v>
          </cell>
        </row>
        <row r="29">
          <cell r="B29">
            <v>2</v>
          </cell>
          <cell r="D29" t="str">
            <v>Menggali tanah biasa sedalam 2 m'</v>
          </cell>
          <cell r="H29" t="str">
            <v>m3</v>
          </cell>
        </row>
        <row r="30">
          <cell r="B30">
            <v>3</v>
          </cell>
          <cell r="D30" t="str">
            <v>Pengurugan kembali galian tanah</v>
          </cell>
          <cell r="H30" t="str">
            <v>m3</v>
          </cell>
        </row>
        <row r="31">
          <cell r="B31">
            <v>4</v>
          </cell>
          <cell r="D31" t="str">
            <v>Urug tanah dan dipadatkan</v>
          </cell>
          <cell r="H31" t="str">
            <v>m3</v>
          </cell>
        </row>
        <row r="32">
          <cell r="B32">
            <v>5</v>
          </cell>
          <cell r="D32" t="str">
            <v>Mengurug pasir urug</v>
          </cell>
          <cell r="H32" t="str">
            <v>m3</v>
          </cell>
        </row>
        <row r="34">
          <cell r="B34" t="str">
            <v>C.</v>
          </cell>
          <cell r="D34" t="str">
            <v>PEKERJAAN PONDASI</v>
          </cell>
        </row>
        <row r="35">
          <cell r="B35">
            <v>1</v>
          </cell>
          <cell r="D35" t="str">
            <v>(K3) Memasang batu kosong ( anstamping )</v>
          </cell>
          <cell r="H35" t="str">
            <v>m3</v>
          </cell>
        </row>
        <row r="36">
          <cell r="B36">
            <v>2</v>
          </cell>
          <cell r="D36" t="str">
            <v>Memasang pondasi batu belah, campuran 1 PC : 6 PP</v>
          </cell>
          <cell r="H36" t="str">
            <v>m3</v>
          </cell>
        </row>
        <row r="37">
          <cell r="B37">
            <v>3</v>
          </cell>
          <cell r="D37" t="str">
            <v>Memasang rollag batu bata ,1 PC : 5 PP</v>
          </cell>
          <cell r="H37" t="str">
            <v>m2</v>
          </cell>
        </row>
        <row r="39">
          <cell r="B39" t="str">
            <v>D.</v>
          </cell>
          <cell r="D39" t="str">
            <v>PEKERJAAN BETON</v>
          </cell>
        </row>
        <row r="40">
          <cell r="D40" t="str">
            <v>LANTAI 1</v>
          </cell>
        </row>
        <row r="41">
          <cell r="D41" t="str">
            <v>A. BETON FOOTPLAT</v>
          </cell>
        </row>
        <row r="42">
          <cell r="B42">
            <v>1</v>
          </cell>
          <cell r="D42" t="str">
            <v>Membuat lantai kerja beton mutu f'c = 7,4 Mpa, T : 5 cm</v>
          </cell>
          <cell r="H42" t="str">
            <v>m3</v>
          </cell>
        </row>
        <row r="43">
          <cell r="D43" t="str">
            <v>FOOTPLAT TIPE FP1 (120 X 120 )</v>
          </cell>
        </row>
        <row r="44">
          <cell r="B44">
            <v>1</v>
          </cell>
          <cell r="D44" t="str">
            <v xml:space="preserve">Membuat beton mutu f'c = 21,7 Mpa </v>
          </cell>
          <cell r="H44" t="str">
            <v>m3</v>
          </cell>
        </row>
        <row r="45">
          <cell r="B45">
            <v>2</v>
          </cell>
          <cell r="D45" t="str">
            <v>Pembesian 1 kg dengan besi polos atau besi ulir</v>
          </cell>
          <cell r="H45" t="str">
            <v>kg</v>
          </cell>
        </row>
        <row r="46">
          <cell r="B46">
            <v>3</v>
          </cell>
          <cell r="D46" t="str">
            <v>(K3) Memasang bekisting untuk pondasi ( 2x pakai )</v>
          </cell>
          <cell r="H46" t="str">
            <v>m2</v>
          </cell>
        </row>
        <row r="47">
          <cell r="D47" t="str">
            <v>FOOTPLAT TIPE FP2 (80 X 80 )</v>
          </cell>
        </row>
        <row r="48">
          <cell r="B48">
            <v>1</v>
          </cell>
          <cell r="D48" t="str">
            <v xml:space="preserve">Membuat beton mutu f'c = 21,7 Mpa </v>
          </cell>
          <cell r="H48" t="str">
            <v>m3</v>
          </cell>
        </row>
        <row r="49">
          <cell r="B49">
            <v>2</v>
          </cell>
          <cell r="D49" t="str">
            <v>Pembesian 1 kg dengan besi polos atau besi ulir</v>
          </cell>
          <cell r="H49" t="str">
            <v>kg</v>
          </cell>
        </row>
        <row r="50">
          <cell r="B50">
            <v>3</v>
          </cell>
          <cell r="D50" t="str">
            <v>(K3) Memasang bekisting untuk pondasi ( 2x pakai )</v>
          </cell>
          <cell r="H50" t="str">
            <v>m2</v>
          </cell>
        </row>
        <row r="51">
          <cell r="D51" t="str">
            <v>B. BETON SLOOF</v>
          </cell>
        </row>
        <row r="52">
          <cell r="D52" t="str">
            <v>PEKERJAAN SLOOF S1 (20 X 40)</v>
          </cell>
        </row>
        <row r="53">
          <cell r="B53">
            <v>1</v>
          </cell>
          <cell r="D53" t="str">
            <v xml:space="preserve">Membuat beton mutu f'c = 21,7 Mpa </v>
          </cell>
          <cell r="H53" t="str">
            <v>m3</v>
          </cell>
        </row>
        <row r="54">
          <cell r="B54">
            <v>2</v>
          </cell>
          <cell r="D54" t="str">
            <v>Pembesian 1 kg dengan besi polos atau besi ulir</v>
          </cell>
          <cell r="H54" t="str">
            <v>kg</v>
          </cell>
        </row>
        <row r="55">
          <cell r="B55">
            <v>3</v>
          </cell>
          <cell r="D55" t="str">
            <v>(K3) Memasang bekisting untuk sloof ( 2x pakai )</v>
          </cell>
          <cell r="H55" t="str">
            <v>m2</v>
          </cell>
        </row>
        <row r="56">
          <cell r="D56" t="str">
            <v>PEKERJAAN SLOOF S2 (20 X 30)</v>
          </cell>
        </row>
        <row r="57">
          <cell r="B57">
            <v>1</v>
          </cell>
          <cell r="D57" t="str">
            <v xml:space="preserve">Membuat beton mutu f'c = 21,7 Mpa </v>
          </cell>
          <cell r="H57" t="str">
            <v>m3</v>
          </cell>
        </row>
        <row r="58">
          <cell r="B58">
            <v>2</v>
          </cell>
          <cell r="D58" t="str">
            <v>Pembesian 1 kg dengan besi polos atau besi ulir</v>
          </cell>
          <cell r="H58" t="str">
            <v>kg</v>
          </cell>
        </row>
        <row r="59">
          <cell r="B59">
            <v>3</v>
          </cell>
          <cell r="D59" t="str">
            <v>(K3) Memasang bekisting untuk sloof ( 2x pakai )</v>
          </cell>
          <cell r="H59" t="str">
            <v>m2</v>
          </cell>
        </row>
        <row r="60">
          <cell r="D60" t="str">
            <v>PEKERJAAN SLOOF S3 (15 X 20)</v>
          </cell>
        </row>
        <row r="61">
          <cell r="B61">
            <v>1</v>
          </cell>
          <cell r="D61" t="str">
            <v xml:space="preserve">Membuat beton mutu f'c = 21,7 Mpa </v>
          </cell>
          <cell r="H61" t="str">
            <v>m3</v>
          </cell>
        </row>
        <row r="62">
          <cell r="B62">
            <v>2</v>
          </cell>
          <cell r="D62" t="str">
            <v>Pembesian 1 kg dengan besi polos atau besi ulir</v>
          </cell>
          <cell r="H62" t="str">
            <v>kg</v>
          </cell>
        </row>
        <row r="63">
          <cell r="B63">
            <v>3</v>
          </cell>
          <cell r="D63" t="str">
            <v>(K3) Memasang bekisting untuk sloof ( 2x pakai )</v>
          </cell>
          <cell r="H63" t="str">
            <v>m2</v>
          </cell>
        </row>
        <row r="64">
          <cell r="D64" t="str">
            <v>C. BETON KOLOM</v>
          </cell>
        </row>
        <row r="65">
          <cell r="D65" t="str">
            <v>PEKERJAAN KOLOM PEDESTAL (30 X 50)</v>
          </cell>
        </row>
        <row r="66">
          <cell r="B66">
            <v>1</v>
          </cell>
          <cell r="D66" t="str">
            <v xml:space="preserve">Membuat beton mutu f'c = 21,7 Mpa </v>
          </cell>
          <cell r="H66" t="str">
            <v>m3</v>
          </cell>
        </row>
        <row r="67">
          <cell r="B67">
            <v>2</v>
          </cell>
          <cell r="D67" t="str">
            <v>Pembesian 1 kg dengan besi polos atau besi ulir</v>
          </cell>
          <cell r="H67" t="str">
            <v>kg</v>
          </cell>
        </row>
        <row r="68">
          <cell r="B68">
            <v>3</v>
          </cell>
          <cell r="D68" t="str">
            <v>(K3) Memasang bekisting untuk kolom ( 2x pakai )</v>
          </cell>
          <cell r="H68" t="str">
            <v>m2</v>
          </cell>
        </row>
        <row r="69">
          <cell r="D69" t="str">
            <v>PEKERJAAN KOLOM K1 (30 X 50)</v>
          </cell>
        </row>
        <row r="70">
          <cell r="B70">
            <v>1</v>
          </cell>
          <cell r="D70" t="str">
            <v xml:space="preserve">Membuat beton mutu f'c = 21,7 Mpa </v>
          </cell>
          <cell r="H70" t="str">
            <v>m3</v>
          </cell>
        </row>
        <row r="71">
          <cell r="B71">
            <v>2</v>
          </cell>
          <cell r="D71" t="str">
            <v>Pembesian 1 kg dengan besi polos atau besi ulir</v>
          </cell>
          <cell r="H71" t="str">
            <v>kg</v>
          </cell>
        </row>
        <row r="72">
          <cell r="B72">
            <v>3</v>
          </cell>
          <cell r="D72" t="str">
            <v>(K3) Memasang bekisting untuk kolom ( 2x pakai )</v>
          </cell>
          <cell r="H72" t="str">
            <v>m2</v>
          </cell>
        </row>
        <row r="73">
          <cell r="D73" t="str">
            <v>PEKERJAAN KOLOM K3 (30 X 30)</v>
          </cell>
        </row>
        <row r="74">
          <cell r="B74">
            <v>1</v>
          </cell>
          <cell r="D74" t="str">
            <v xml:space="preserve">Membuat beton mutu f'c = 21,7 Mpa </v>
          </cell>
          <cell r="H74" t="str">
            <v>m3</v>
          </cell>
        </row>
        <row r="75">
          <cell r="B75">
            <v>2</v>
          </cell>
          <cell r="D75" t="str">
            <v>Pembesian 1 kg dengan besi polos atau besi ulir</v>
          </cell>
          <cell r="H75" t="str">
            <v>kg</v>
          </cell>
        </row>
        <row r="76">
          <cell r="B76">
            <v>3</v>
          </cell>
          <cell r="D76" t="str">
            <v>(K3) Memasang bekisting untuk kolom ( 2x pakai )</v>
          </cell>
          <cell r="H76" t="str">
            <v>m2</v>
          </cell>
        </row>
        <row r="77">
          <cell r="D77" t="str">
            <v>D. BETON PRAKTIS</v>
          </cell>
        </row>
        <row r="78">
          <cell r="B78">
            <v>1</v>
          </cell>
          <cell r="D78" t="str">
            <v>Membuat kolom praktis beton bertulang 11/11 cm</v>
          </cell>
          <cell r="H78" t="str">
            <v>m'</v>
          </cell>
        </row>
        <row r="79">
          <cell r="B79">
            <v>2</v>
          </cell>
          <cell r="D79" t="str">
            <v>Membuat balok latei ( 10 x 15 ) cm</v>
          </cell>
          <cell r="H79" t="str">
            <v>m'</v>
          </cell>
        </row>
        <row r="80">
          <cell r="D80" t="str">
            <v>E. BETON PLAT MEJA</v>
          </cell>
        </row>
        <row r="81">
          <cell r="B81">
            <v>1</v>
          </cell>
          <cell r="D81" t="str">
            <v xml:space="preserve">Membuat beton mutu f'c = 21,7 Mpa </v>
          </cell>
          <cell r="H81" t="str">
            <v>m3</v>
          </cell>
        </row>
        <row r="82">
          <cell r="B82">
            <v>2</v>
          </cell>
          <cell r="D82" t="str">
            <v>Pembesian 1 kg dengan besi polos atau besi ulir</v>
          </cell>
          <cell r="H82" t="str">
            <v>kg</v>
          </cell>
        </row>
        <row r="83">
          <cell r="B83">
            <v>3</v>
          </cell>
          <cell r="D83" t="str">
            <v xml:space="preserve">Memasang bekisting </v>
          </cell>
          <cell r="H83" t="str">
            <v>m2</v>
          </cell>
        </row>
        <row r="85">
          <cell r="D85" t="str">
            <v>LANTAI 2</v>
          </cell>
        </row>
        <row r="86">
          <cell r="D86" t="str">
            <v>A. BETON BALOK</v>
          </cell>
        </row>
        <row r="87">
          <cell r="D87" t="str">
            <v>Balok B1 (15 X 30) Elv. + 4.00</v>
          </cell>
        </row>
        <row r="88">
          <cell r="B88">
            <v>1</v>
          </cell>
          <cell r="D88" t="str">
            <v xml:space="preserve">Membuat beton mutu f'c = 21,7 Mpa </v>
          </cell>
          <cell r="H88" t="str">
            <v>m3</v>
          </cell>
        </row>
        <row r="89">
          <cell r="B89">
            <v>2</v>
          </cell>
          <cell r="D89" t="str">
            <v>Pembesian 1 kg dengan besi polos atau besi ulir</v>
          </cell>
          <cell r="H89" t="str">
            <v>kg</v>
          </cell>
        </row>
        <row r="90">
          <cell r="B90">
            <v>3</v>
          </cell>
          <cell r="D90" t="str">
            <v>(K3) Memasang bekisting untuk balok ( 2x Pakai )</v>
          </cell>
          <cell r="H90" t="str">
            <v>m2</v>
          </cell>
        </row>
        <row r="91">
          <cell r="D91" t="str">
            <v>Balok B2 (15 X 25) Elv. + 4.00</v>
          </cell>
        </row>
        <row r="92">
          <cell r="B92">
            <v>1</v>
          </cell>
          <cell r="D92" t="str">
            <v xml:space="preserve">Membuat beton mutu f'c = 21,7 Mpa </v>
          </cell>
          <cell r="H92" t="str">
            <v>m3</v>
          </cell>
        </row>
        <row r="93">
          <cell r="B93">
            <v>2</v>
          </cell>
          <cell r="D93" t="str">
            <v>Pembesian 1 kg dengan besi polos atau besi ulir</v>
          </cell>
          <cell r="H93" t="str">
            <v>kg</v>
          </cell>
        </row>
        <row r="94">
          <cell r="B94">
            <v>3</v>
          </cell>
          <cell r="D94" t="str">
            <v>(K3) Memasang bekisting untuk balok ( 2x Pakai )</v>
          </cell>
          <cell r="H94" t="str">
            <v>m2</v>
          </cell>
        </row>
        <row r="95">
          <cell r="D95" t="str">
            <v>Balok B1 (15 X 30) Elv. + 8.00</v>
          </cell>
        </row>
        <row r="96">
          <cell r="B96">
            <v>1</v>
          </cell>
          <cell r="D96" t="str">
            <v xml:space="preserve">Membuat beton mutu f'c = 21,7 Mpa </v>
          </cell>
          <cell r="H96" t="str">
            <v>m3</v>
          </cell>
        </row>
        <row r="97">
          <cell r="B97">
            <v>2</v>
          </cell>
          <cell r="D97" t="str">
            <v>Pembesian 1 kg dengan besi polos atau besi ulir</v>
          </cell>
          <cell r="H97" t="str">
            <v>kg</v>
          </cell>
        </row>
        <row r="98">
          <cell r="B98">
            <v>3</v>
          </cell>
          <cell r="D98" t="str">
            <v>(K3) Memasang bekisting untuk balok ( 2x Pakai )</v>
          </cell>
          <cell r="H98" t="str">
            <v>m2</v>
          </cell>
        </row>
        <row r="99">
          <cell r="D99" t="str">
            <v>Balok BK (15 X 30-20) Elv. + 8.00</v>
          </cell>
        </row>
        <row r="100">
          <cell r="B100">
            <v>1</v>
          </cell>
          <cell r="D100" t="str">
            <v xml:space="preserve">Membuat beton mutu f'c = 21,7 Mpa </v>
          </cell>
          <cell r="H100" t="str">
            <v>m3</v>
          </cell>
        </row>
        <row r="101">
          <cell r="B101">
            <v>2</v>
          </cell>
          <cell r="D101" t="str">
            <v>Pembesian 1 kg dengan besi polos atau besi ulir</v>
          </cell>
          <cell r="H101" t="str">
            <v>kg</v>
          </cell>
        </row>
        <row r="102">
          <cell r="B102">
            <v>3</v>
          </cell>
          <cell r="D102" t="str">
            <v>(K3) Memasang bekisting untuk balok ( 2x Pakai )</v>
          </cell>
          <cell r="H102" t="str">
            <v>m2</v>
          </cell>
        </row>
        <row r="103">
          <cell r="D103" t="str">
            <v>Balok RB (15 X 35) Elv. + 8.00</v>
          </cell>
        </row>
        <row r="104">
          <cell r="B104">
            <v>1</v>
          </cell>
          <cell r="D104" t="str">
            <v xml:space="preserve">Membuat beton mutu f'c = 21,7 Mpa </v>
          </cell>
          <cell r="H104" t="str">
            <v>m3</v>
          </cell>
        </row>
        <row r="105">
          <cell r="B105">
            <v>2</v>
          </cell>
          <cell r="D105" t="str">
            <v>Pembesian 1 kg dengan besi polos atau besi ulir</v>
          </cell>
          <cell r="H105" t="str">
            <v>kg</v>
          </cell>
        </row>
        <row r="106">
          <cell r="B106">
            <v>3</v>
          </cell>
          <cell r="D106" t="str">
            <v>(K3) Memasang bekisting untuk balok ( 2x Pakai )</v>
          </cell>
          <cell r="H106" t="str">
            <v>m2</v>
          </cell>
        </row>
        <row r="108">
          <cell r="D108" t="str">
            <v>B. BETON PLAT</v>
          </cell>
        </row>
        <row r="109">
          <cell r="D109" t="str">
            <v>Plat Lantai t;12 cm</v>
          </cell>
        </row>
        <row r="110">
          <cell r="B110">
            <v>1</v>
          </cell>
          <cell r="D110" t="str">
            <v xml:space="preserve">Membuat beton mutu f'c = 21,7 Mpa </v>
          </cell>
          <cell r="H110" t="str">
            <v>m3</v>
          </cell>
        </row>
        <row r="111">
          <cell r="B111">
            <v>2</v>
          </cell>
          <cell r="D111" t="str">
            <v>Pembesian 1 kg dengan besi polos atau besi ulir</v>
          </cell>
          <cell r="H111" t="str">
            <v>kg</v>
          </cell>
        </row>
        <row r="112">
          <cell r="B112">
            <v>3</v>
          </cell>
          <cell r="D112" t="str">
            <v>(K3) Memasang bekisting untuk lantai ( 2x pakai )</v>
          </cell>
          <cell r="H112" t="str">
            <v>m2</v>
          </cell>
        </row>
        <row r="113">
          <cell r="D113" t="str">
            <v>Beton plat tangga</v>
          </cell>
        </row>
        <row r="114">
          <cell r="D114" t="str">
            <v xml:space="preserve">Membuat beton mutu f'c = 21,7 Mpa </v>
          </cell>
          <cell r="H114" t="str">
            <v>m3</v>
          </cell>
        </row>
        <row r="115">
          <cell r="D115" t="str">
            <v>Pembesian 1 kg dengan besi polos atau besi ulir</v>
          </cell>
          <cell r="H115" t="str">
            <v>kg</v>
          </cell>
        </row>
        <row r="116">
          <cell r="D116" t="str">
            <v>(K3) Memasang bekisting untuk lantai ( 2x pakai )</v>
          </cell>
          <cell r="H116" t="str">
            <v>m2</v>
          </cell>
        </row>
        <row r="117">
          <cell r="D117" t="str">
            <v>Plat Talang beton</v>
          </cell>
        </row>
        <row r="118">
          <cell r="B118">
            <v>1</v>
          </cell>
          <cell r="D118" t="str">
            <v xml:space="preserve">Membuat beton mutu f'c = 21,7 Mpa </v>
          </cell>
          <cell r="H118" t="str">
            <v>m3</v>
          </cell>
        </row>
        <row r="119">
          <cell r="B119">
            <v>2</v>
          </cell>
          <cell r="D119" t="str">
            <v>Pembesian 1 kg dengan besi polos atau besi ulir</v>
          </cell>
          <cell r="H119" t="str">
            <v>kg</v>
          </cell>
        </row>
        <row r="120">
          <cell r="B120">
            <v>3</v>
          </cell>
          <cell r="D120" t="str">
            <v>(K3) Memasang bekisting untuk lantai ( 2x pakai )</v>
          </cell>
          <cell r="H120" t="str">
            <v>m2</v>
          </cell>
        </row>
        <row r="121">
          <cell r="D121" t="str">
            <v>Plat Lisplang beton</v>
          </cell>
        </row>
        <row r="122">
          <cell r="B122">
            <v>1</v>
          </cell>
          <cell r="D122" t="str">
            <v xml:space="preserve">Membuat beton mutu f'c = 21,7 Mpa </v>
          </cell>
          <cell r="H122" t="str">
            <v>m3</v>
          </cell>
        </row>
        <row r="123">
          <cell r="B123">
            <v>2</v>
          </cell>
          <cell r="D123" t="str">
            <v>Pembesian 1 kg dengan besi polos atau besi ulir</v>
          </cell>
          <cell r="H123" t="str">
            <v>kg</v>
          </cell>
        </row>
        <row r="124">
          <cell r="B124">
            <v>3</v>
          </cell>
          <cell r="D124" t="str">
            <v>(K3) Memasang bekisting untuk lantai ( 2x pakai )</v>
          </cell>
          <cell r="H124" t="str">
            <v>m2</v>
          </cell>
        </row>
        <row r="126">
          <cell r="D126" t="str">
            <v>C. BETON KOLOM</v>
          </cell>
        </row>
        <row r="127">
          <cell r="D127" t="str">
            <v>PEKERJAAN KOLOM K2 (30 X 40)  Elv. + 4.00</v>
          </cell>
        </row>
        <row r="128">
          <cell r="B128">
            <v>1</v>
          </cell>
          <cell r="D128" t="str">
            <v xml:space="preserve">Membuat beton mutu f'c = 21,7 Mpa </v>
          </cell>
          <cell r="H128" t="str">
            <v>m3</v>
          </cell>
        </row>
        <row r="129">
          <cell r="B129">
            <v>2</v>
          </cell>
          <cell r="D129" t="str">
            <v>Pembesian 1 kg dengan besi polos atau besi ulir</v>
          </cell>
          <cell r="H129" t="str">
            <v>kg</v>
          </cell>
        </row>
        <row r="130">
          <cell r="B130">
            <v>3</v>
          </cell>
          <cell r="D130" t="str">
            <v>(K3) Memasang bekisting untuk kolom ( 2x pakai )</v>
          </cell>
          <cell r="H130" t="str">
            <v>m2</v>
          </cell>
        </row>
        <row r="132">
          <cell r="D132" t="str">
            <v>D. BETON PRAKTIS</v>
          </cell>
        </row>
        <row r="133">
          <cell r="B133">
            <v>1</v>
          </cell>
          <cell r="D133" t="str">
            <v>Membuat kolom praktis beton bertulang 11/11 cm</v>
          </cell>
          <cell r="H133" t="str">
            <v>m'</v>
          </cell>
        </row>
        <row r="134">
          <cell r="B134">
            <v>2</v>
          </cell>
          <cell r="D134" t="str">
            <v>Membuat balok latei ( 10 x 15 ) cm</v>
          </cell>
          <cell r="H134" t="str">
            <v>m'</v>
          </cell>
        </row>
        <row r="137">
          <cell r="B137" t="str">
            <v>E.</v>
          </cell>
          <cell r="D137" t="str">
            <v>PEKERJAAN PASANGAN DINDING DAN PLASTERAN</v>
          </cell>
        </row>
        <row r="138">
          <cell r="D138" t="str">
            <v>LANTAI 1</v>
          </cell>
        </row>
        <row r="139">
          <cell r="B139">
            <v>1</v>
          </cell>
          <cell r="D139" t="str">
            <v>Membuat dinding bata merah tebal 1/2 bata , camp 1 PC : 6 PP</v>
          </cell>
          <cell r="H139" t="str">
            <v>m2</v>
          </cell>
        </row>
        <row r="140">
          <cell r="B140">
            <v>2</v>
          </cell>
          <cell r="D140" t="str">
            <v>Pek. Dinding Partisi Gypsum 9 mm Double</v>
          </cell>
          <cell r="H140" t="str">
            <v>m2</v>
          </cell>
        </row>
        <row r="141">
          <cell r="B141">
            <v>3</v>
          </cell>
          <cell r="D141" t="str">
            <v>Memasang plesteran 1 PC : 6 PP, tebal 15 mm</v>
          </cell>
          <cell r="H141" t="str">
            <v>m2</v>
          </cell>
        </row>
        <row r="142">
          <cell r="B142">
            <v>4</v>
          </cell>
          <cell r="D142" t="str">
            <v>Sponengan</v>
          </cell>
          <cell r="H142" t="str">
            <v>m'</v>
          </cell>
        </row>
        <row r="143">
          <cell r="B143">
            <v>5</v>
          </cell>
          <cell r="D143" t="str">
            <v>Memasang acian</v>
          </cell>
          <cell r="H143" t="str">
            <v>m2</v>
          </cell>
        </row>
        <row r="145">
          <cell r="D145" t="str">
            <v>LANTAI 2</v>
          </cell>
        </row>
        <row r="146">
          <cell r="D146" t="str">
            <v>Membuat dinding bata merah tebal 1/2 bata , camp 1 PC : 6 PP</v>
          </cell>
          <cell r="H146" t="str">
            <v>m2</v>
          </cell>
        </row>
        <row r="147">
          <cell r="B147">
            <v>2</v>
          </cell>
          <cell r="D147" t="str">
            <v>Pek. Dinding Partisi Gypsum 9 mm Double</v>
          </cell>
          <cell r="H147" t="str">
            <v>m2</v>
          </cell>
        </row>
        <row r="148">
          <cell r="B148">
            <v>3</v>
          </cell>
          <cell r="D148" t="str">
            <v>Memasang plesteran 1 PC : 6 PP, tebal 15 mm</v>
          </cell>
          <cell r="H148" t="str">
            <v>m2</v>
          </cell>
        </row>
        <row r="149">
          <cell r="B149">
            <v>4</v>
          </cell>
          <cell r="D149" t="str">
            <v>Sponengan</v>
          </cell>
          <cell r="H149" t="str">
            <v>m'</v>
          </cell>
        </row>
        <row r="150">
          <cell r="D150" t="str">
            <v>Memasang acian</v>
          </cell>
          <cell r="H150" t="str">
            <v>m2</v>
          </cell>
        </row>
        <row r="152">
          <cell r="B152" t="str">
            <v>F.</v>
          </cell>
          <cell r="D152" t="str">
            <v>PEKERJAAN PENUTUP LANTAI DAN DINDING</v>
          </cell>
        </row>
        <row r="153">
          <cell r="D153" t="str">
            <v>LANTAI 1</v>
          </cell>
        </row>
        <row r="154">
          <cell r="B154">
            <v>1</v>
          </cell>
          <cell r="D154" t="str">
            <v>Membuat lantai kerja beton mutu f'c = 7,4 Mpa, T : 8 cm</v>
          </cell>
          <cell r="H154" t="str">
            <v>m3</v>
          </cell>
        </row>
        <row r="155">
          <cell r="B155">
            <v>2</v>
          </cell>
          <cell r="D155" t="str">
            <v>Memasang lantai homogenius tile polished ( 60 x 60 ) cm</v>
          </cell>
          <cell r="H155" t="str">
            <v>m2</v>
          </cell>
        </row>
        <row r="156">
          <cell r="B156">
            <v>3</v>
          </cell>
          <cell r="D156" t="str">
            <v>Memasang lantai homogenius tile unpolished ( 60 x 60 ) cm</v>
          </cell>
          <cell r="H156" t="str">
            <v>m2</v>
          </cell>
        </row>
        <row r="157">
          <cell r="B157">
            <v>4</v>
          </cell>
          <cell r="D157" t="str">
            <v>Memasang dinding Homogenius tile  uk. (30x60) cm</v>
          </cell>
          <cell r="H157" t="str">
            <v>m2</v>
          </cell>
        </row>
        <row r="158">
          <cell r="B158">
            <v>5</v>
          </cell>
          <cell r="D158" t="str">
            <v xml:space="preserve">Pasang batu andesit </v>
          </cell>
          <cell r="H158" t="str">
            <v>m2</v>
          </cell>
        </row>
        <row r="159">
          <cell r="B159">
            <v>6</v>
          </cell>
          <cell r="D159" t="str">
            <v>Memasang paving tb. 8 cm, K.250, polos</v>
          </cell>
          <cell r="H159" t="str">
            <v>m2</v>
          </cell>
        </row>
        <row r="160">
          <cell r="B160">
            <v>7</v>
          </cell>
          <cell r="D160" t="str">
            <v xml:space="preserve">Memasang lantai keramik unpolish ukuran 30/30 cm </v>
          </cell>
          <cell r="H160" t="str">
            <v>m2</v>
          </cell>
        </row>
        <row r="161">
          <cell r="B161">
            <v>8</v>
          </cell>
          <cell r="D161" t="str">
            <v>Memasang plint lantai Homogenius tile uk. (10 x 60) cm</v>
          </cell>
          <cell r="H161" t="str">
            <v>m'</v>
          </cell>
        </row>
        <row r="162">
          <cell r="B162">
            <v>9</v>
          </cell>
          <cell r="D162" t="str">
            <v>Memasang step nosing</v>
          </cell>
          <cell r="H162" t="str">
            <v>m'</v>
          </cell>
        </row>
        <row r="163">
          <cell r="D163" t="str">
            <v>LANTAI 2</v>
          </cell>
        </row>
        <row r="164">
          <cell r="B164">
            <v>1</v>
          </cell>
          <cell r="D164" t="str">
            <v>Membuat lantai kerja beton mutu f'c = 7,4 Mpa, T : 8 cm</v>
          </cell>
          <cell r="H164" t="str">
            <v>m3</v>
          </cell>
        </row>
        <row r="165">
          <cell r="B165">
            <v>2</v>
          </cell>
          <cell r="D165" t="str">
            <v>Memasang lantai homogenius tile polished ( 60 x 60 ) cm</v>
          </cell>
          <cell r="H165" t="str">
            <v>m2</v>
          </cell>
        </row>
        <row r="166">
          <cell r="B166">
            <v>3</v>
          </cell>
          <cell r="D166" t="str">
            <v>Memasang dinding Homogenius tile  uk. (30x60) cm</v>
          </cell>
          <cell r="H166" t="str">
            <v>m2</v>
          </cell>
        </row>
        <row r="167">
          <cell r="B167">
            <v>4</v>
          </cell>
          <cell r="D167" t="str">
            <v xml:space="preserve">Memasang lantai keramik unpolish ukuran 30/30 cm </v>
          </cell>
          <cell r="H167" t="str">
            <v>m2</v>
          </cell>
        </row>
        <row r="168">
          <cell r="B168">
            <v>5</v>
          </cell>
          <cell r="D168" t="str">
            <v>Memasang plint lantai Homogenius tile uk. (10 x 60) cm</v>
          </cell>
          <cell r="H168" t="str">
            <v>m'</v>
          </cell>
        </row>
        <row r="170">
          <cell r="B170" t="str">
            <v>G.</v>
          </cell>
          <cell r="D170" t="str">
            <v>PEKERJAAN  LANGIT-LANGIT</v>
          </cell>
        </row>
        <row r="171">
          <cell r="D171" t="str">
            <v>LANTAI 1</v>
          </cell>
        </row>
        <row r="172">
          <cell r="B172">
            <v>1</v>
          </cell>
          <cell r="D172" t="str">
            <v>Memasang rk. plafond besi hollow uk. (60x80) cm</v>
          </cell>
          <cell r="H172" t="str">
            <v>m2</v>
          </cell>
        </row>
        <row r="173">
          <cell r="B173">
            <v>2</v>
          </cell>
          <cell r="D173" t="str">
            <v>Memasang langit-langit gypsum board uk. (120x240), tb. 9 mm.</v>
          </cell>
          <cell r="H173" t="str">
            <v>m2</v>
          </cell>
        </row>
        <row r="174">
          <cell r="B174">
            <v>3</v>
          </cell>
          <cell r="D174" t="str">
            <v>Memasang plafond PVC</v>
          </cell>
          <cell r="H174" t="str">
            <v>m2</v>
          </cell>
        </row>
        <row r="175">
          <cell r="B175">
            <v>4</v>
          </cell>
          <cell r="D175" t="str">
            <v>Memasang list plafond gypsum profil</v>
          </cell>
          <cell r="H175" t="str">
            <v>m'</v>
          </cell>
        </row>
        <row r="176">
          <cell r="B176">
            <v>5</v>
          </cell>
          <cell r="D176" t="str">
            <v>Memasang list plafond PVC</v>
          </cell>
          <cell r="H176" t="str">
            <v>m'</v>
          </cell>
        </row>
        <row r="177">
          <cell r="D177" t="str">
            <v>LANTAI 2</v>
          </cell>
        </row>
        <row r="178">
          <cell r="B178">
            <v>1</v>
          </cell>
          <cell r="D178" t="str">
            <v>Memasang rk. plafond besi hollow uk. (60x80) cm</v>
          </cell>
          <cell r="H178" t="str">
            <v>m2</v>
          </cell>
        </row>
        <row r="179">
          <cell r="B179">
            <v>2</v>
          </cell>
          <cell r="D179" t="str">
            <v>Memasang langit-langit gypsum board uk. (120x240), tb. 9 mm.</v>
          </cell>
          <cell r="H179" t="str">
            <v>m2</v>
          </cell>
        </row>
        <row r="180">
          <cell r="B180">
            <v>3</v>
          </cell>
          <cell r="D180" t="str">
            <v>Memasang list plafond gypsum profil</v>
          </cell>
          <cell r="H180" t="str">
            <v>m'</v>
          </cell>
        </row>
        <row r="181">
          <cell r="B181">
            <v>4</v>
          </cell>
          <cell r="D181" t="str">
            <v>Memasang plafond PVC</v>
          </cell>
          <cell r="H181" t="str">
            <v>m2</v>
          </cell>
        </row>
        <row r="182">
          <cell r="B182">
            <v>5</v>
          </cell>
          <cell r="D182" t="str">
            <v>Memasang list plafond PVC</v>
          </cell>
          <cell r="H182" t="str">
            <v>m'</v>
          </cell>
        </row>
        <row r="184">
          <cell r="B184" t="str">
            <v>H.</v>
          </cell>
          <cell r="D184" t="str">
            <v>PEKERJAAN RANGKA DAN PENUTUP ATAP</v>
          </cell>
        </row>
        <row r="185">
          <cell r="B185">
            <v>1</v>
          </cell>
          <cell r="D185" t="str">
            <v xml:space="preserve">Pas. rangka atap baja ringan </v>
          </cell>
          <cell r="H185" t="str">
            <v>m2</v>
          </cell>
        </row>
        <row r="186">
          <cell r="B186">
            <v>2</v>
          </cell>
          <cell r="D186" t="str">
            <v>Pasang penutup atap galvalum pasir</v>
          </cell>
          <cell r="H186" t="str">
            <v>m2</v>
          </cell>
        </row>
        <row r="187">
          <cell r="B187">
            <v>3</v>
          </cell>
          <cell r="D187" t="str">
            <v>Pasang bubungan galvalum pasir</v>
          </cell>
          <cell r="H187" t="str">
            <v>m'</v>
          </cell>
        </row>
        <row r="188">
          <cell r="B188">
            <v>4</v>
          </cell>
          <cell r="D188" t="str">
            <v>Pasang aluminium foil/sisalation</v>
          </cell>
          <cell r="H188" t="str">
            <v>m2</v>
          </cell>
        </row>
        <row r="189">
          <cell r="B189">
            <v>5</v>
          </cell>
          <cell r="D189" t="str">
            <v>Memasang lisplank woodplank</v>
          </cell>
          <cell r="H189" t="str">
            <v>m'</v>
          </cell>
        </row>
        <row r="191">
          <cell r="B191" t="str">
            <v>I.</v>
          </cell>
          <cell r="D191" t="str">
            <v>PEKERJAAN PINTU DAN JENDELA</v>
          </cell>
        </row>
        <row r="192">
          <cell r="D192" t="str">
            <v>LANTAI 1</v>
          </cell>
        </row>
        <row r="193">
          <cell r="D193" t="str">
            <v>Pekerjaan Pintu &amp; Jendela alumunium lengkap accessories</v>
          </cell>
        </row>
        <row r="196">
          <cell r="B196">
            <v>3</v>
          </cell>
          <cell r="D196" t="str">
            <v xml:space="preserve">Memasang kusen pintu/jendela alluminium </v>
          </cell>
          <cell r="H196" t="str">
            <v>m'</v>
          </cell>
        </row>
        <row r="197">
          <cell r="B197">
            <v>4</v>
          </cell>
          <cell r="D197" t="str">
            <v>Memasang pintu kaca rangka alluminium</v>
          </cell>
          <cell r="H197" t="str">
            <v>m2</v>
          </cell>
        </row>
        <row r="198">
          <cell r="B198">
            <v>5</v>
          </cell>
          <cell r="D198" t="str">
            <v>Memasang pintu alluminium strip</v>
          </cell>
          <cell r="H198" t="str">
            <v>m2</v>
          </cell>
        </row>
        <row r="199">
          <cell r="B199">
            <v>6</v>
          </cell>
          <cell r="D199" t="str">
            <v>Memasang jendela &amp; boven kaca rangka aluminium</v>
          </cell>
          <cell r="H199" t="str">
            <v>m2</v>
          </cell>
        </row>
        <row r="200">
          <cell r="B200">
            <v>7</v>
          </cell>
          <cell r="D200" t="str">
            <v>Pasang kaca mati tebal 5 mm</v>
          </cell>
          <cell r="H200" t="str">
            <v>m2</v>
          </cell>
        </row>
        <row r="201">
          <cell r="D201" t="str">
            <v>LANTAI 2</v>
          </cell>
        </row>
        <row r="202">
          <cell r="D202" t="str">
            <v>Pekerjaan Pintu &amp; Jendela alumunium lengkap accessories</v>
          </cell>
        </row>
        <row r="203">
          <cell r="B203">
            <v>1</v>
          </cell>
          <cell r="D203" t="str">
            <v xml:space="preserve">Memasang kusen pintu/jendela alluminium </v>
          </cell>
          <cell r="H203" t="str">
            <v>m'</v>
          </cell>
        </row>
        <row r="204">
          <cell r="B204">
            <v>2</v>
          </cell>
          <cell r="D204" t="str">
            <v>Memasang pintu kaca rangka alluminium</v>
          </cell>
          <cell r="H204" t="str">
            <v>m2</v>
          </cell>
        </row>
        <row r="205">
          <cell r="B205">
            <v>3</v>
          </cell>
          <cell r="D205" t="str">
            <v>Memasang pintu alluminium strip</v>
          </cell>
          <cell r="H205" t="str">
            <v>m2</v>
          </cell>
        </row>
        <row r="206">
          <cell r="B206">
            <v>4</v>
          </cell>
          <cell r="D206" t="str">
            <v>Memasang jendela &amp; boven kaca rangka aluminium</v>
          </cell>
          <cell r="H206" t="str">
            <v>m2</v>
          </cell>
        </row>
        <row r="207">
          <cell r="B207">
            <v>5</v>
          </cell>
          <cell r="D207" t="str">
            <v>Pasang kaca mati tebal 5 mm</v>
          </cell>
          <cell r="H207" t="str">
            <v>m2</v>
          </cell>
        </row>
        <row r="209">
          <cell r="B209" t="str">
            <v>J.</v>
          </cell>
          <cell r="D209" t="str">
            <v>PEKERJAAN PENGECATAN</v>
          </cell>
        </row>
        <row r="210">
          <cell r="D210" t="str">
            <v>LANTAI 1</v>
          </cell>
        </row>
        <row r="211">
          <cell r="B211">
            <v>1</v>
          </cell>
          <cell r="D211" t="str">
            <v>Pengecatan dinding dalam (cat interior)</v>
          </cell>
          <cell r="H211" t="str">
            <v>m2</v>
          </cell>
        </row>
        <row r="212">
          <cell r="B212">
            <v>2</v>
          </cell>
          <cell r="D212" t="str">
            <v>Pengecatan dinding luar (cat exterior)</v>
          </cell>
          <cell r="H212" t="str">
            <v>m2</v>
          </cell>
        </row>
        <row r="213">
          <cell r="B213">
            <v>3</v>
          </cell>
          <cell r="D213" t="str">
            <v>Pengecatan plafond</v>
          </cell>
          <cell r="H213" t="str">
            <v>m2</v>
          </cell>
        </row>
        <row r="214">
          <cell r="D214" t="str">
            <v>LANTAI 2</v>
          </cell>
        </row>
        <row r="215">
          <cell r="B215">
            <v>1</v>
          </cell>
          <cell r="D215" t="str">
            <v>Pengecatan dinding dalam (cat interior)</v>
          </cell>
          <cell r="H215" t="str">
            <v>m2</v>
          </cell>
        </row>
        <row r="216">
          <cell r="B216">
            <v>2</v>
          </cell>
          <cell r="D216" t="str">
            <v>Pengecatan dinding luar (cat exterior)</v>
          </cell>
          <cell r="H216" t="str">
            <v>m2</v>
          </cell>
        </row>
        <row r="217">
          <cell r="B217">
            <v>3</v>
          </cell>
          <cell r="D217" t="str">
            <v>Pengecatan plafond</v>
          </cell>
          <cell r="H217" t="str">
            <v>m2</v>
          </cell>
        </row>
        <row r="218">
          <cell r="B218">
            <v>4</v>
          </cell>
          <cell r="D218" t="str">
            <v>Waterproofing area toilet dan atap dak beton</v>
          </cell>
          <cell r="H218" t="str">
            <v>m2</v>
          </cell>
        </row>
        <row r="220">
          <cell r="B220" t="str">
            <v>K.</v>
          </cell>
          <cell r="D220" t="str">
            <v>PEKERJAAN ORNAMEN FASADE</v>
          </cell>
        </row>
        <row r="221">
          <cell r="B221">
            <v>1</v>
          </cell>
          <cell r="D221" t="str">
            <v xml:space="preserve">Pek. GRC Lisplang </v>
          </cell>
          <cell r="H221" t="str">
            <v>m2</v>
          </cell>
        </row>
        <row r="223">
          <cell r="B223" t="str">
            <v>L.</v>
          </cell>
          <cell r="D223" t="str">
            <v>PEKERJAAN PLUMBING</v>
          </cell>
        </row>
        <row r="224">
          <cell r="D224" t="str">
            <v>LANTAI 1</v>
          </cell>
        </row>
        <row r="225">
          <cell r="B225">
            <v>1</v>
          </cell>
          <cell r="D225" t="str">
            <v>AIR BERSIH LT.1</v>
          </cell>
        </row>
        <row r="226">
          <cell r="B226">
            <v>1</v>
          </cell>
          <cell r="D226" t="str">
            <v>Memasang pipa PVC tipe AW diameter 3/4"</v>
          </cell>
          <cell r="H226" t="str">
            <v>m'</v>
          </cell>
        </row>
        <row r="227">
          <cell r="B227">
            <v>2</v>
          </cell>
          <cell r="D227" t="str">
            <v>Memasang pipa PVC tipe AW diameter 1"</v>
          </cell>
          <cell r="H227" t="str">
            <v>m'</v>
          </cell>
        </row>
        <row r="228">
          <cell r="B228">
            <v>3</v>
          </cell>
          <cell r="D228" t="str">
            <v>Memasang pipa PVC tipe AW diameter 1 1/2"</v>
          </cell>
          <cell r="H228" t="str">
            <v>m'</v>
          </cell>
        </row>
        <row r="229">
          <cell r="B229">
            <v>4</v>
          </cell>
          <cell r="D229" t="str">
            <v>Stop kran PVC 1 1/2"</v>
          </cell>
          <cell r="H229" t="str">
            <v>bh</v>
          </cell>
        </row>
        <row r="230">
          <cell r="B230">
            <v>2</v>
          </cell>
          <cell r="D230" t="str">
            <v>AIR BEKAS LT. 1</v>
          </cell>
        </row>
        <row r="231">
          <cell r="B231">
            <v>1</v>
          </cell>
          <cell r="D231" t="str">
            <v>Memasang pipa PVC tipe AW diameter 1 1/2"</v>
          </cell>
          <cell r="H231" t="str">
            <v>m'</v>
          </cell>
        </row>
        <row r="232">
          <cell r="B232">
            <v>2</v>
          </cell>
          <cell r="D232" t="str">
            <v>Memasang pipa PVC tipe AW diameter 2"</v>
          </cell>
          <cell r="H232" t="str">
            <v>m'</v>
          </cell>
        </row>
        <row r="233">
          <cell r="B233">
            <v>3</v>
          </cell>
          <cell r="D233" t="str">
            <v>Memasang pipa PVC tipe AW diameter 3"</v>
          </cell>
          <cell r="H233" t="str">
            <v>m'</v>
          </cell>
        </row>
        <row r="234">
          <cell r="B234">
            <v>3</v>
          </cell>
          <cell r="D234" t="str">
            <v>AIR KOTOR LT. 1</v>
          </cell>
        </row>
        <row r="235">
          <cell r="B235">
            <v>1</v>
          </cell>
          <cell r="D235" t="str">
            <v>Memasang pipa PVC tipe AW diameter 4"</v>
          </cell>
          <cell r="H235" t="str">
            <v>m'</v>
          </cell>
        </row>
        <row r="236">
          <cell r="B236">
            <v>4</v>
          </cell>
          <cell r="D236" t="str">
            <v>SANITAIR LT. 1</v>
          </cell>
        </row>
        <row r="237">
          <cell r="B237">
            <v>1</v>
          </cell>
          <cell r="D237" t="str">
            <v>Memasang kloset duduk/monoblok dan aksesoris</v>
          </cell>
          <cell r="H237" t="str">
            <v>bh</v>
          </cell>
        </row>
        <row r="238">
          <cell r="B238">
            <v>2</v>
          </cell>
          <cell r="D238" t="str">
            <v>Memasang wastafel  &amp; aksesoris</v>
          </cell>
          <cell r="H238" t="str">
            <v>bh</v>
          </cell>
        </row>
        <row r="239">
          <cell r="B239">
            <v>3</v>
          </cell>
          <cell r="D239" t="str">
            <v>Memasang floor drain</v>
          </cell>
          <cell r="H239" t="str">
            <v>bh</v>
          </cell>
        </row>
        <row r="240">
          <cell r="B240">
            <v>4</v>
          </cell>
          <cell r="D240" t="str">
            <v>Memasang bak cuci piring stainlessteel dan aksesoris</v>
          </cell>
          <cell r="H240" t="str">
            <v>bh</v>
          </cell>
        </row>
        <row r="241">
          <cell r="B241">
            <v>5</v>
          </cell>
          <cell r="D241" t="str">
            <v>Memasang kran diameter 1/2" atau 3/4"</v>
          </cell>
          <cell r="H241" t="str">
            <v>bh</v>
          </cell>
        </row>
        <row r="242">
          <cell r="B242">
            <v>6</v>
          </cell>
          <cell r="D242" t="str">
            <v>Membuat sumur bor lengkap pompa dan aksesories</v>
          </cell>
          <cell r="H242" t="str">
            <v>ls</v>
          </cell>
        </row>
        <row r="243">
          <cell r="B243">
            <v>7</v>
          </cell>
          <cell r="D243" t="str">
            <v>Pengadaan dan pemasangan septic tank komunal kap 2000 ltr</v>
          </cell>
          <cell r="H243" t="str">
            <v>unit</v>
          </cell>
        </row>
        <row r="244">
          <cell r="D244" t="str">
            <v xml:space="preserve"> - galian dan pengurukan kembali</v>
          </cell>
        </row>
        <row r="245">
          <cell r="D245" t="str">
            <v xml:space="preserve"> - lantai kerja, tali / seling pengikat</v>
          </cell>
        </row>
        <row r="247">
          <cell r="D247" t="str">
            <v>LANTAI 2</v>
          </cell>
        </row>
        <row r="248">
          <cell r="B248">
            <v>1</v>
          </cell>
          <cell r="D248" t="str">
            <v>AIR BERSIH LT.2</v>
          </cell>
        </row>
        <row r="249">
          <cell r="B249">
            <v>1</v>
          </cell>
          <cell r="D249" t="str">
            <v>Memasang pipa PVC tipe AW diameter 3/4"</v>
          </cell>
          <cell r="H249" t="str">
            <v>m'</v>
          </cell>
        </row>
        <row r="250">
          <cell r="B250">
            <v>2</v>
          </cell>
          <cell r="D250" t="str">
            <v>Memasang pipa PVC tipe AW diameter 1"</v>
          </cell>
          <cell r="H250" t="str">
            <v>m'</v>
          </cell>
        </row>
        <row r="251">
          <cell r="B251">
            <v>3</v>
          </cell>
          <cell r="D251" t="str">
            <v>Memasang pipa PVC tipe AW diameter 1 1/2"</v>
          </cell>
          <cell r="H251" t="str">
            <v>m'</v>
          </cell>
        </row>
        <row r="252">
          <cell r="B252">
            <v>4</v>
          </cell>
          <cell r="D252" t="str">
            <v>Stop kran PCV 1 1/2"</v>
          </cell>
          <cell r="H252" t="str">
            <v>bh</v>
          </cell>
        </row>
        <row r="253">
          <cell r="B253">
            <v>2</v>
          </cell>
          <cell r="D253" t="str">
            <v>AIR BEKAS LT. 2</v>
          </cell>
        </row>
        <row r="254">
          <cell r="B254">
            <v>1</v>
          </cell>
          <cell r="D254" t="str">
            <v>Memasang pipa PVC tipe AW diameter 1 1/2"</v>
          </cell>
          <cell r="H254" t="str">
            <v>m'</v>
          </cell>
        </row>
        <row r="255">
          <cell r="B255">
            <v>2</v>
          </cell>
          <cell r="D255" t="str">
            <v>Memasang pipa PVC tipe AW diameter 2"</v>
          </cell>
          <cell r="H255" t="str">
            <v>m'</v>
          </cell>
        </row>
        <row r="256">
          <cell r="B256">
            <v>3</v>
          </cell>
          <cell r="D256" t="str">
            <v>Memasang pipa PVC tipe AW diameter 3"</v>
          </cell>
          <cell r="H256" t="str">
            <v>m'</v>
          </cell>
        </row>
        <row r="257">
          <cell r="B257">
            <v>3</v>
          </cell>
          <cell r="D257" t="str">
            <v>AIR KOTOR LT. 2</v>
          </cell>
        </row>
        <row r="258">
          <cell r="B258">
            <v>1</v>
          </cell>
          <cell r="D258" t="str">
            <v>Memasang pipa PVC tipe AW diameter 4"</v>
          </cell>
          <cell r="H258" t="str">
            <v>m'</v>
          </cell>
        </row>
        <row r="259">
          <cell r="B259">
            <v>4</v>
          </cell>
          <cell r="D259" t="str">
            <v>AIR HUJAN</v>
          </cell>
        </row>
        <row r="260">
          <cell r="B260">
            <v>1</v>
          </cell>
          <cell r="D260" t="str">
            <v>Memasang pipa PVC tipe AW diameter 4"</v>
          </cell>
          <cell r="H260" t="str">
            <v>m'</v>
          </cell>
        </row>
        <row r="261">
          <cell r="B261">
            <v>5</v>
          </cell>
          <cell r="D261" t="str">
            <v>SANITAIR LT. 2</v>
          </cell>
        </row>
        <row r="262">
          <cell r="B262">
            <v>1</v>
          </cell>
          <cell r="D262" t="str">
            <v>Memasang kloset duduk/monoblok dan aksesoris</v>
          </cell>
          <cell r="H262" t="str">
            <v>bh</v>
          </cell>
        </row>
        <row r="263">
          <cell r="B263">
            <v>2</v>
          </cell>
          <cell r="D263" t="str">
            <v>Memasang wastafel  &amp; aksesoris</v>
          </cell>
          <cell r="H263" t="str">
            <v>bh</v>
          </cell>
        </row>
        <row r="264">
          <cell r="B264">
            <v>3</v>
          </cell>
          <cell r="D264" t="str">
            <v>Memasang floor drain</v>
          </cell>
          <cell r="H264" t="str">
            <v>bh</v>
          </cell>
        </row>
        <row r="265">
          <cell r="B265">
            <v>4</v>
          </cell>
          <cell r="D265" t="str">
            <v>Memasang kran diameter 1/2" atau 3/4"</v>
          </cell>
          <cell r="H265" t="str">
            <v>bh</v>
          </cell>
        </row>
        <row r="266">
          <cell r="B266">
            <v>5</v>
          </cell>
          <cell r="D266" t="str">
            <v>Torn kapasitas 1000ltr+radar otomatis</v>
          </cell>
          <cell r="H266" t="str">
            <v>unit</v>
          </cell>
        </row>
        <row r="267">
          <cell r="B267">
            <v>6</v>
          </cell>
          <cell r="D267" t="str">
            <v xml:space="preserve">Roofdrain PVC </v>
          </cell>
          <cell r="H267" t="str">
            <v>bh</v>
          </cell>
        </row>
        <row r="269">
          <cell r="B269" t="str">
            <v>M.</v>
          </cell>
          <cell r="D269" t="str">
            <v>PEKERJAAN ELEKTRIKAL</v>
          </cell>
        </row>
        <row r="270">
          <cell r="D270" t="str">
            <v>LANTAI 1</v>
          </cell>
        </row>
        <row r="271">
          <cell r="B271">
            <v>1</v>
          </cell>
          <cell r="D271" t="str">
            <v>Penyambungan Daya PLN Tegangan Rendah (TR) 3 phase 44 KVA</v>
          </cell>
        </row>
        <row r="276">
          <cell r="B276">
            <v>2</v>
          </cell>
          <cell r="D276" t="str">
            <v>Kabel power NYY 4 x 70 mm2 (KWH PLN-Panel)</v>
          </cell>
          <cell r="H276" t="str">
            <v>m'</v>
          </cell>
        </row>
        <row r="277">
          <cell r="B277">
            <v>3</v>
          </cell>
          <cell r="D277" t="str">
            <v>Kabel power NYY 4 x 16 mm2 (Panel - P.LT 1)</v>
          </cell>
          <cell r="H277" t="str">
            <v>m'</v>
          </cell>
        </row>
        <row r="278">
          <cell r="B278">
            <v>4</v>
          </cell>
          <cell r="D278" t="str">
            <v>Instalasi titik lampu (kabel 2x1,5 mm)</v>
          </cell>
          <cell r="H278" t="str">
            <v>ttk</v>
          </cell>
        </row>
        <row r="279">
          <cell r="B279">
            <v>5</v>
          </cell>
          <cell r="D279" t="str">
            <v>Instalasi titik stop kontak (kabel 3x2,5 mm)</v>
          </cell>
          <cell r="H279" t="str">
            <v>ttk</v>
          </cell>
        </row>
        <row r="280">
          <cell r="B280">
            <v>6</v>
          </cell>
          <cell r="D280" t="str">
            <v>Instalasi titik stop kontak AC (kabel 3x2,5 mm)</v>
          </cell>
          <cell r="H280" t="str">
            <v>ttk</v>
          </cell>
        </row>
        <row r="281">
          <cell r="B281">
            <v>7</v>
          </cell>
          <cell r="D281" t="str">
            <v>Instalasi titik Telephone 2 pair</v>
          </cell>
          <cell r="H281" t="str">
            <v>ttk</v>
          </cell>
        </row>
        <row r="282">
          <cell r="B282">
            <v>8</v>
          </cell>
          <cell r="D282" t="str">
            <v>Instalasi titik Data CAT6</v>
          </cell>
          <cell r="H282" t="str">
            <v>ttk</v>
          </cell>
        </row>
        <row r="283">
          <cell r="B283">
            <v>9</v>
          </cell>
          <cell r="D283" t="str">
            <v>Memasang saklar ganda</v>
          </cell>
          <cell r="H283" t="str">
            <v>bh</v>
          </cell>
        </row>
        <row r="284">
          <cell r="B284">
            <v>10</v>
          </cell>
          <cell r="D284" t="str">
            <v>Memasang saklar tunggal</v>
          </cell>
          <cell r="H284" t="str">
            <v>bh</v>
          </cell>
        </row>
        <row r="285">
          <cell r="B285">
            <v>11</v>
          </cell>
          <cell r="D285" t="str">
            <v>Memasang stop kontak</v>
          </cell>
          <cell r="H285" t="str">
            <v>bh</v>
          </cell>
        </row>
        <row r="286">
          <cell r="B286">
            <v>12</v>
          </cell>
          <cell r="D286" t="str">
            <v>Memasang stop kontak AC</v>
          </cell>
          <cell r="H286" t="str">
            <v>bh</v>
          </cell>
        </row>
        <row r="287">
          <cell r="B287">
            <v>13</v>
          </cell>
          <cell r="D287" t="str">
            <v>Memasang stop kontak outlet Telephone</v>
          </cell>
          <cell r="H287" t="str">
            <v>bh</v>
          </cell>
        </row>
        <row r="288">
          <cell r="B288">
            <v>14</v>
          </cell>
          <cell r="D288" t="str">
            <v>Memasang stop kontak outlet Data</v>
          </cell>
          <cell r="H288" t="str">
            <v>bh</v>
          </cell>
        </row>
        <row r="289">
          <cell r="B289">
            <v>15</v>
          </cell>
          <cell r="D289" t="str">
            <v>Memasang downlight LED 10 watt tipe inbow</v>
          </cell>
          <cell r="H289" t="str">
            <v>bh</v>
          </cell>
        </row>
        <row r="290">
          <cell r="B290">
            <v>16</v>
          </cell>
          <cell r="D290" t="str">
            <v>Memasang downlight LED 17 watt tipe inbow</v>
          </cell>
          <cell r="H290" t="str">
            <v>bh</v>
          </cell>
        </row>
        <row r="291">
          <cell r="B291">
            <v>17</v>
          </cell>
          <cell r="D291" t="str">
            <v>Memasang downlight LED 17 watt tipe outbow</v>
          </cell>
          <cell r="H291" t="str">
            <v>bh</v>
          </cell>
        </row>
        <row r="292">
          <cell r="B292">
            <v>18</v>
          </cell>
          <cell r="D292" t="str">
            <v>Memasang kabel tray galvanis</v>
          </cell>
          <cell r="H292" t="str">
            <v>m'</v>
          </cell>
        </row>
        <row r="293">
          <cell r="B293">
            <v>19</v>
          </cell>
          <cell r="D293" t="str">
            <v>Memasang Unit AC 1 PK</v>
          </cell>
          <cell r="H293" t="str">
            <v>bh</v>
          </cell>
        </row>
        <row r="294">
          <cell r="B294">
            <v>20</v>
          </cell>
          <cell r="H294" t="str">
            <v>bh</v>
          </cell>
        </row>
        <row r="295">
          <cell r="B295">
            <v>21</v>
          </cell>
          <cell r="H295" t="str">
            <v>bh</v>
          </cell>
        </row>
        <row r="297">
          <cell r="D297" t="str">
            <v>LANTAI 2</v>
          </cell>
        </row>
        <row r="298">
          <cell r="B298">
            <v>1</v>
          </cell>
          <cell r="D298" t="str">
            <v>Kabel power NYY 4 x 16 mm2 (P.LT 1 - P.LT 2)</v>
          </cell>
          <cell r="H298" t="str">
            <v>m'</v>
          </cell>
        </row>
        <row r="299">
          <cell r="B299">
            <v>2</v>
          </cell>
          <cell r="D299" t="str">
            <v>Instalasi titik lampu (kabel 2x1,5 mm)</v>
          </cell>
          <cell r="H299" t="str">
            <v>ttk</v>
          </cell>
        </row>
        <row r="300">
          <cell r="B300">
            <v>3</v>
          </cell>
          <cell r="D300" t="str">
            <v>Instalasi titik stop kontak (kabel 3x2,5 mm)</v>
          </cell>
          <cell r="H300" t="str">
            <v>ttk</v>
          </cell>
        </row>
        <row r="301">
          <cell r="B301">
            <v>4</v>
          </cell>
          <cell r="D301" t="str">
            <v>Instalasi titik stop kontak AC (kabel 3x2,5 mm)</v>
          </cell>
          <cell r="H301" t="str">
            <v>ttk</v>
          </cell>
        </row>
        <row r="302">
          <cell r="B302">
            <v>5</v>
          </cell>
          <cell r="D302" t="str">
            <v>Instalasi titik Telephone 2 pair</v>
          </cell>
          <cell r="H302" t="str">
            <v>ttk</v>
          </cell>
        </row>
        <row r="303">
          <cell r="B303">
            <v>6</v>
          </cell>
          <cell r="D303" t="str">
            <v>Instalasi titik Data CAT6</v>
          </cell>
          <cell r="H303" t="str">
            <v>ttk</v>
          </cell>
        </row>
        <row r="304">
          <cell r="B304">
            <v>7</v>
          </cell>
          <cell r="D304" t="str">
            <v>Memasang saklar ganda</v>
          </cell>
          <cell r="H304" t="str">
            <v>bh</v>
          </cell>
        </row>
        <row r="305">
          <cell r="B305">
            <v>8</v>
          </cell>
          <cell r="D305" t="str">
            <v>Memasang saklar tunggal</v>
          </cell>
          <cell r="H305" t="str">
            <v>bh</v>
          </cell>
        </row>
        <row r="306">
          <cell r="B306">
            <v>9</v>
          </cell>
          <cell r="D306" t="str">
            <v>Memasang stop kontak</v>
          </cell>
          <cell r="H306" t="str">
            <v>bh</v>
          </cell>
        </row>
        <row r="307">
          <cell r="B307">
            <v>10</v>
          </cell>
          <cell r="D307" t="str">
            <v>Memasang stop kontak AC</v>
          </cell>
          <cell r="H307" t="str">
            <v>bh</v>
          </cell>
        </row>
        <row r="308">
          <cell r="B308">
            <v>11</v>
          </cell>
          <cell r="D308" t="str">
            <v>Memasang stop kontak outlet Telephone</v>
          </cell>
          <cell r="H308" t="str">
            <v>bh</v>
          </cell>
        </row>
        <row r="309">
          <cell r="B309">
            <v>12</v>
          </cell>
          <cell r="D309" t="str">
            <v>Memasang stop kontak outlet Data</v>
          </cell>
          <cell r="H309" t="str">
            <v>bh</v>
          </cell>
        </row>
        <row r="310">
          <cell r="B310">
            <v>13</v>
          </cell>
          <cell r="D310" t="str">
            <v>Memasang downlight LED 10 watt tipe inbow</v>
          </cell>
          <cell r="H310" t="str">
            <v>bh</v>
          </cell>
        </row>
        <row r="311">
          <cell r="B311">
            <v>14</v>
          </cell>
          <cell r="D311" t="str">
            <v>Memasang downlight LED 17 watt tipe inbow</v>
          </cell>
          <cell r="H311" t="str">
            <v>bh</v>
          </cell>
        </row>
        <row r="312">
          <cell r="B312">
            <v>15</v>
          </cell>
          <cell r="D312" t="str">
            <v>Memasang kabel tray galvanis</v>
          </cell>
          <cell r="H312" t="str">
            <v>m'</v>
          </cell>
        </row>
        <row r="313">
          <cell r="B313">
            <v>16</v>
          </cell>
          <cell r="D313" t="str">
            <v xml:space="preserve">Exhaust fan </v>
          </cell>
          <cell r="H313" t="str">
            <v>bh</v>
          </cell>
        </row>
        <row r="314">
          <cell r="B314">
            <v>17</v>
          </cell>
          <cell r="D314" t="str">
            <v>Memasang Unit AC 1 PK</v>
          </cell>
          <cell r="H314" t="str">
            <v>bh</v>
          </cell>
        </row>
        <row r="315">
          <cell r="B315">
            <v>18</v>
          </cell>
          <cell r="D315" t="str">
            <v>Panel uk 40x60x25 lengkap dengan asesoris 3 phase</v>
          </cell>
          <cell r="H315" t="str">
            <v>unit</v>
          </cell>
        </row>
        <row r="316">
          <cell r="B316">
            <v>19</v>
          </cell>
          <cell r="D316" t="str">
            <v>Pasang instalasi penangkal petir 1 split lengkap</v>
          </cell>
          <cell r="H316" t="str">
            <v>unit</v>
          </cell>
        </row>
        <row r="317">
          <cell r="B317">
            <v>20</v>
          </cell>
          <cell r="D317" t="str">
            <v>Testing &amp; Comissioning Instalasi Litrik</v>
          </cell>
          <cell r="H317" t="str">
            <v>lot</v>
          </cell>
        </row>
        <row r="330">
          <cell r="B330" t="str">
            <v>II.</v>
          </cell>
          <cell r="D330" t="str">
            <v>MUSHOLA</v>
          </cell>
        </row>
        <row r="331">
          <cell r="B331" t="str">
            <v>A.</v>
          </cell>
          <cell r="D331" t="str">
            <v>PEKERJAAN PERSIAPAN</v>
          </cell>
        </row>
        <row r="332">
          <cell r="B332">
            <v>1</v>
          </cell>
          <cell r="D332" t="str">
            <v xml:space="preserve">Pengukuran dan pemasangan bouwplank  </v>
          </cell>
          <cell r="H332" t="str">
            <v>m'</v>
          </cell>
        </row>
        <row r="333">
          <cell r="B333">
            <v>2</v>
          </cell>
          <cell r="D333" t="str">
            <v>Pembersihan lapangan dan perataan</v>
          </cell>
          <cell r="H333" t="str">
            <v>m2</v>
          </cell>
        </row>
        <row r="335">
          <cell r="B335" t="str">
            <v>B.</v>
          </cell>
          <cell r="D335" t="str">
            <v>PEKERJAAN TANAH</v>
          </cell>
        </row>
        <row r="336">
          <cell r="B336">
            <v>1</v>
          </cell>
          <cell r="D336" t="str">
            <v xml:space="preserve">Menggali tanah biasa sedalam 1 m' </v>
          </cell>
          <cell r="H336" t="str">
            <v>m3</v>
          </cell>
        </row>
        <row r="337">
          <cell r="B337">
            <v>2</v>
          </cell>
          <cell r="D337" t="str">
            <v>Pengurugan kembali galian tanah</v>
          </cell>
          <cell r="H337" t="str">
            <v>m3</v>
          </cell>
        </row>
        <row r="338">
          <cell r="B338">
            <v>3</v>
          </cell>
          <cell r="D338" t="str">
            <v>Mengurug pasir urug</v>
          </cell>
          <cell r="H338" t="str">
            <v>m3</v>
          </cell>
        </row>
        <row r="340">
          <cell r="B340" t="str">
            <v>C.</v>
          </cell>
          <cell r="D340" t="str">
            <v>PEKERJAAN BETON</v>
          </cell>
        </row>
        <row r="341">
          <cell r="B341">
            <v>1</v>
          </cell>
          <cell r="D341" t="str">
            <v>Membuat lantai kerja beton mutu f'c = 7,4 Mpa slump (3-6) cm, w/c = 0,87</v>
          </cell>
          <cell r="H341" t="str">
            <v>m3</v>
          </cell>
        </row>
        <row r="342">
          <cell r="D342" t="str">
            <v>A. BETON FOOTPLAT</v>
          </cell>
        </row>
        <row r="343">
          <cell r="D343" t="str">
            <v>FOOTPLAT TIPE FP1 (60 X 60 )</v>
          </cell>
        </row>
        <row r="344">
          <cell r="B344">
            <v>1</v>
          </cell>
          <cell r="D344" t="str">
            <v xml:space="preserve">Membuat beton mutu f'c = 21,7 Mpa </v>
          </cell>
          <cell r="H344" t="str">
            <v>m3</v>
          </cell>
        </row>
        <row r="345">
          <cell r="B345">
            <v>2</v>
          </cell>
          <cell r="D345" t="str">
            <v>Pembesian 1 kg dengan besi polos atau besi ulir</v>
          </cell>
          <cell r="H345" t="str">
            <v>kg</v>
          </cell>
        </row>
        <row r="346">
          <cell r="B346">
            <v>3</v>
          </cell>
          <cell r="D346" t="str">
            <v>(K3) Memasang bekisting untuk pondasi ( 2x pakai )</v>
          </cell>
          <cell r="H346" t="str">
            <v>m2</v>
          </cell>
        </row>
        <row r="347">
          <cell r="D347" t="str">
            <v>B. BETON SLOOF</v>
          </cell>
        </row>
        <row r="348">
          <cell r="D348" t="str">
            <v>PEKERJAAN SLOOF (15 X 20)</v>
          </cell>
        </row>
        <row r="349">
          <cell r="B349">
            <v>1</v>
          </cell>
          <cell r="D349" t="str">
            <v xml:space="preserve">Membuat beton mutu f'c = 21,7 Mpa </v>
          </cell>
          <cell r="H349" t="str">
            <v>m3</v>
          </cell>
        </row>
        <row r="350">
          <cell r="B350">
            <v>2</v>
          </cell>
          <cell r="D350" t="str">
            <v>Pembesian 1 kg dengan besi polos atau besi ulir</v>
          </cell>
          <cell r="H350" t="str">
            <v>kg</v>
          </cell>
        </row>
        <row r="351">
          <cell r="B351">
            <v>3</v>
          </cell>
          <cell r="D351" t="str">
            <v>(K3) Memasang bekisting untuk sloof ( 2x pakai )</v>
          </cell>
          <cell r="H351" t="str">
            <v>m2</v>
          </cell>
        </row>
        <row r="352">
          <cell r="D352" t="str">
            <v>C. BETON KOLOM</v>
          </cell>
        </row>
        <row r="353">
          <cell r="D353" t="str">
            <v>PEKERJAAN KOLOM (15x15)</v>
          </cell>
        </row>
        <row r="354">
          <cell r="B354">
            <v>1</v>
          </cell>
          <cell r="D354" t="str">
            <v xml:space="preserve">Membuat beton mutu f'c = 21,7 Mpa </v>
          </cell>
          <cell r="H354" t="str">
            <v>m3</v>
          </cell>
        </row>
        <row r="355">
          <cell r="B355">
            <v>2</v>
          </cell>
          <cell r="D355" t="str">
            <v>Pembesian 1 kg dengan besi polos atau besi ulir</v>
          </cell>
          <cell r="H355" t="str">
            <v>kg</v>
          </cell>
        </row>
        <row r="356">
          <cell r="B356">
            <v>3</v>
          </cell>
          <cell r="D356" t="str">
            <v>(K3) Memasang bekisting untuk kolom ( 2x pakai )</v>
          </cell>
          <cell r="H356" t="str">
            <v>m2</v>
          </cell>
        </row>
        <row r="357">
          <cell r="D357" t="str">
            <v>D. BETON BALOK</v>
          </cell>
        </row>
        <row r="358">
          <cell r="D358" t="str">
            <v>Balok (15x20)</v>
          </cell>
        </row>
        <row r="359">
          <cell r="B359">
            <v>1</v>
          </cell>
          <cell r="D359" t="str">
            <v xml:space="preserve">Membuat beton mutu f'c = 21,7 Mpa </v>
          </cell>
          <cell r="H359" t="str">
            <v>m3</v>
          </cell>
        </row>
        <row r="360">
          <cell r="B360">
            <v>2</v>
          </cell>
          <cell r="D360" t="str">
            <v>Pembesian 1 kg dengan besi polos atau besi ulir</v>
          </cell>
          <cell r="H360" t="str">
            <v>kg</v>
          </cell>
        </row>
        <row r="361">
          <cell r="B361">
            <v>3</v>
          </cell>
          <cell r="D361" t="str">
            <v>(K3) Memasang bekisting untuk balok ( 2x Pakai )</v>
          </cell>
          <cell r="H361" t="str">
            <v>m2</v>
          </cell>
        </row>
        <row r="362">
          <cell r="D362" t="str">
            <v>D. BETON PRAKTIS</v>
          </cell>
        </row>
        <row r="363">
          <cell r="B363">
            <v>1</v>
          </cell>
          <cell r="D363" t="str">
            <v>Membuat kolom praktis beton bertulang 11/11 cm</v>
          </cell>
          <cell r="H363" t="str">
            <v>m'</v>
          </cell>
        </row>
        <row r="364">
          <cell r="B364">
            <v>2</v>
          </cell>
          <cell r="D364" t="str">
            <v>Membuat balok latei ( 10 x 15 ) cm</v>
          </cell>
          <cell r="H364" t="str">
            <v>m'</v>
          </cell>
        </row>
        <row r="366">
          <cell r="B366" t="str">
            <v>D.</v>
          </cell>
          <cell r="D366" t="str">
            <v>PEKERJAAN PASANGAN DINDING DAN PLASTERAN</v>
          </cell>
        </row>
        <row r="367">
          <cell r="B367">
            <v>1</v>
          </cell>
          <cell r="D367" t="str">
            <v>Membuat dinding bata merah tebal 1/2 bata , camp 1 PC : 6 PP</v>
          </cell>
          <cell r="H367" t="str">
            <v>m2</v>
          </cell>
        </row>
        <row r="368">
          <cell r="B368">
            <v>2</v>
          </cell>
          <cell r="D368" t="str">
            <v>Memasang plesteran 1 PC : 6 PP, tebal 15 mm</v>
          </cell>
          <cell r="H368" t="str">
            <v>m2</v>
          </cell>
        </row>
        <row r="369">
          <cell r="B369">
            <v>3</v>
          </cell>
          <cell r="D369" t="str">
            <v>Sponengan</v>
          </cell>
          <cell r="H369" t="str">
            <v>m'</v>
          </cell>
        </row>
        <row r="370">
          <cell r="B370">
            <v>4</v>
          </cell>
          <cell r="D370" t="str">
            <v>Memasang acian</v>
          </cell>
          <cell r="H370" t="str">
            <v>m2</v>
          </cell>
        </row>
        <row r="372">
          <cell r="B372" t="str">
            <v>E.</v>
          </cell>
          <cell r="D372" t="str">
            <v>PEKERJAAN PENUTUP LANTAI DAN DINDING</v>
          </cell>
        </row>
        <row r="373">
          <cell r="B373">
            <v>1</v>
          </cell>
          <cell r="D373" t="str">
            <v>Memasang lantai homogenius tile polished ( 60 x 60 ) cm</v>
          </cell>
          <cell r="H373" t="str">
            <v>m2</v>
          </cell>
        </row>
        <row r="374">
          <cell r="B374">
            <v>2</v>
          </cell>
          <cell r="D374" t="str">
            <v>Memasang plint lantai Homogenius tile uk. (10 x 60) cm</v>
          </cell>
          <cell r="H374" t="str">
            <v>m'</v>
          </cell>
        </row>
        <row r="376">
          <cell r="B376" t="str">
            <v>F.</v>
          </cell>
          <cell r="D376" t="str">
            <v>PEKERJAAN  LANGIT-LANGIT</v>
          </cell>
        </row>
        <row r="377">
          <cell r="B377">
            <v>1</v>
          </cell>
          <cell r="D377" t="str">
            <v>Memasang rk. plafond besi hollow uk. (60x80) cm</v>
          </cell>
          <cell r="H377" t="str">
            <v>m2</v>
          </cell>
        </row>
        <row r="378">
          <cell r="B378">
            <v>2</v>
          </cell>
          <cell r="D378" t="str">
            <v>Memasang langit-langit gypsum board uk. (120x240), tb. 9 mm.</v>
          </cell>
          <cell r="H378" t="str">
            <v>m2</v>
          </cell>
        </row>
        <row r="379">
          <cell r="B379">
            <v>3</v>
          </cell>
          <cell r="D379" t="str">
            <v>Memasang list plafond pvc</v>
          </cell>
          <cell r="H379" t="str">
            <v>m'</v>
          </cell>
        </row>
        <row r="381">
          <cell r="B381" t="str">
            <v>G.</v>
          </cell>
          <cell r="D381" t="str">
            <v>PEKERJAAN RANGKA DAN PENUTUP ATAP</v>
          </cell>
        </row>
        <row r="382">
          <cell r="B382">
            <v>1</v>
          </cell>
          <cell r="D382" t="str">
            <v xml:space="preserve">Pas. rangka atap baja ringan </v>
          </cell>
          <cell r="H382" t="str">
            <v>m2</v>
          </cell>
        </row>
        <row r="383">
          <cell r="B383">
            <v>2</v>
          </cell>
          <cell r="D383" t="str">
            <v>Pasang penutup atap galvalum pasir</v>
          </cell>
          <cell r="H383" t="str">
            <v>m2</v>
          </cell>
        </row>
        <row r="384">
          <cell r="B384">
            <v>3</v>
          </cell>
          <cell r="D384" t="str">
            <v>Pasang bubungan galvalum pasir</v>
          </cell>
          <cell r="H384" t="str">
            <v>m'</v>
          </cell>
        </row>
        <row r="385">
          <cell r="B385">
            <v>4</v>
          </cell>
          <cell r="D385" t="str">
            <v>Memasang lisplank</v>
          </cell>
          <cell r="H385" t="str">
            <v>m'</v>
          </cell>
        </row>
        <row r="387">
          <cell r="B387" t="str">
            <v>H.</v>
          </cell>
          <cell r="D387" t="str">
            <v>PEKERJAAN PINTU DAN JENDELA</v>
          </cell>
        </row>
        <row r="388">
          <cell r="B388">
            <v>1</v>
          </cell>
          <cell r="D388" t="str">
            <v xml:space="preserve">Memasang kusen pintu/jendela alluminium </v>
          </cell>
          <cell r="H388" t="str">
            <v>m'</v>
          </cell>
        </row>
        <row r="389">
          <cell r="B389">
            <v>2</v>
          </cell>
          <cell r="D389" t="str">
            <v>Memasang pintu kaca rangka alluminium</v>
          </cell>
          <cell r="H389" t="str">
            <v>m2</v>
          </cell>
        </row>
        <row r="390">
          <cell r="B390">
            <v>3</v>
          </cell>
          <cell r="D390" t="str">
            <v>Memasang jendela &amp; boven kaca rangka aluminium</v>
          </cell>
          <cell r="H390" t="str">
            <v>m2</v>
          </cell>
        </row>
        <row r="391">
          <cell r="B391">
            <v>4</v>
          </cell>
          <cell r="D391" t="str">
            <v>Pasang kaca mati tebal 5 mm</v>
          </cell>
          <cell r="H391" t="str">
            <v>m2</v>
          </cell>
        </row>
        <row r="393">
          <cell r="B393" t="str">
            <v>I.</v>
          </cell>
          <cell r="D393" t="str">
            <v>PEKERJAAN PENGECATAN</v>
          </cell>
        </row>
        <row r="394">
          <cell r="B394">
            <v>1</v>
          </cell>
          <cell r="D394" t="str">
            <v>Pengecatan dinding dalam (cat interior)</v>
          </cell>
          <cell r="H394" t="str">
            <v>m2</v>
          </cell>
        </row>
        <row r="395">
          <cell r="B395">
            <v>2</v>
          </cell>
          <cell r="D395" t="str">
            <v>Pengecatan dinding luar (cat exterior)</v>
          </cell>
          <cell r="H395" t="str">
            <v>m2</v>
          </cell>
        </row>
        <row r="396">
          <cell r="B396">
            <v>3</v>
          </cell>
          <cell r="D396" t="str">
            <v>Pengecatan plafond</v>
          </cell>
          <cell r="H396" t="str">
            <v>m2</v>
          </cell>
        </row>
        <row r="398">
          <cell r="B398" t="str">
            <v>J.</v>
          </cell>
          <cell r="D398" t="str">
            <v>PEKERJAAN ELEKTRIKAL</v>
          </cell>
        </row>
        <row r="399">
          <cell r="B399">
            <v>1</v>
          </cell>
          <cell r="D399" t="str">
            <v>Kabel power NYY 4 x 6 mm2</v>
          </cell>
          <cell r="H399" t="str">
            <v>m'</v>
          </cell>
        </row>
        <row r="400">
          <cell r="B400">
            <v>2</v>
          </cell>
          <cell r="D400" t="str">
            <v>Instalasi titik lampu (kabel 2x1,5 mm)</v>
          </cell>
          <cell r="H400" t="str">
            <v>ttk</v>
          </cell>
        </row>
        <row r="401">
          <cell r="B401">
            <v>3</v>
          </cell>
          <cell r="D401" t="str">
            <v>Instalasi titik stop kontak (kabel 3x2,5 mm)</v>
          </cell>
          <cell r="H401" t="str">
            <v>ttk</v>
          </cell>
        </row>
        <row r="402">
          <cell r="B402">
            <v>4</v>
          </cell>
          <cell r="D402" t="str">
            <v>Memasang saklar ganda</v>
          </cell>
          <cell r="H402" t="str">
            <v>bh</v>
          </cell>
        </row>
        <row r="403">
          <cell r="B403">
            <v>5</v>
          </cell>
          <cell r="D403" t="str">
            <v>Memasang saklar tunggal</v>
          </cell>
          <cell r="H403" t="str">
            <v>bh</v>
          </cell>
        </row>
        <row r="404">
          <cell r="B404">
            <v>6</v>
          </cell>
          <cell r="D404" t="str">
            <v>Memasang stop kontak</v>
          </cell>
          <cell r="H404" t="str">
            <v>bh</v>
          </cell>
        </row>
        <row r="405">
          <cell r="B405">
            <v>7</v>
          </cell>
          <cell r="D405" t="str">
            <v>Memasang Downlight LED 17 watt</v>
          </cell>
          <cell r="H405" t="str">
            <v>bh</v>
          </cell>
        </row>
      </sheetData>
      <sheetData sheetId="2"/>
      <sheetData sheetId="3">
        <row r="31">
          <cell r="N31">
            <v>72</v>
          </cell>
        </row>
        <row r="32">
          <cell r="N32">
            <v>4</v>
          </cell>
        </row>
        <row r="51">
          <cell r="N51">
            <v>72</v>
          </cell>
        </row>
        <row r="116">
          <cell r="C116" t="str">
            <v>PEKERJAAN KOLOM K3 (30 X 30)</v>
          </cell>
        </row>
        <row r="138">
          <cell r="C138" t="str">
            <v>Balok B1 (15 X 30) Elv. + 4.00</v>
          </cell>
        </row>
        <row r="146">
          <cell r="C146" t="str">
            <v>Balok B2 (15 X 25) Elv. + 4.00</v>
          </cell>
        </row>
        <row r="154">
          <cell r="C154" t="str">
            <v>Balok B1 (15 X 30) Elv. + 8.00</v>
          </cell>
        </row>
        <row r="162">
          <cell r="C162" t="str">
            <v>Balok BK (15 X 30-20) Elv. + 8.00</v>
          </cell>
        </row>
        <row r="170">
          <cell r="C170" t="str">
            <v>Balok RB (15 X 35) Elv. + 8.00</v>
          </cell>
        </row>
        <row r="217">
          <cell r="C217" t="str">
            <v>PEKERJAAN KOLOM K2 (30 X 40)  Elv. + 4.00</v>
          </cell>
        </row>
        <row r="652">
          <cell r="C652" t="str">
            <v>MUSHOLA</v>
          </cell>
        </row>
        <row r="670">
          <cell r="C670" t="str">
            <v>PEKERJAAN SLOOF (15 X 20)</v>
          </cell>
        </row>
        <row r="675">
          <cell r="C675" t="str">
            <v>PEKERJAAN KOLOM (15x15)</v>
          </cell>
        </row>
        <row r="680">
          <cell r="C680" t="str">
            <v>Balok (15x20)</v>
          </cell>
        </row>
      </sheetData>
      <sheetData sheetId="4">
        <row r="17">
          <cell r="K17">
            <v>560.6</v>
          </cell>
          <cell r="M17">
            <v>21.84</v>
          </cell>
          <cell r="N17">
            <v>112.04</v>
          </cell>
          <cell r="O17">
            <v>23.64</v>
          </cell>
          <cell r="P17">
            <v>16.695000000000004</v>
          </cell>
        </row>
        <row r="29">
          <cell r="K29">
            <v>576.6</v>
          </cell>
          <cell r="M29">
            <v>48.1</v>
          </cell>
          <cell r="N29">
            <v>104.04</v>
          </cell>
          <cell r="O29">
            <v>23.88</v>
          </cell>
          <cell r="P29">
            <v>14.840000000000003</v>
          </cell>
        </row>
        <row r="35">
          <cell r="K35">
            <v>36.799999999999997</v>
          </cell>
          <cell r="M35">
            <v>2.3400000000000003</v>
          </cell>
          <cell r="N35">
            <v>8.51</v>
          </cell>
          <cell r="O35">
            <v>1.68</v>
          </cell>
        </row>
      </sheetData>
      <sheetData sheetId="5"/>
      <sheetData sheetId="6"/>
      <sheetData sheetId="7"/>
      <sheetData sheetId="8"/>
      <sheetData sheetId="9">
        <row r="9">
          <cell r="G9">
            <v>41.471999999999994</v>
          </cell>
          <cell r="H9">
            <v>138.24</v>
          </cell>
          <cell r="M9">
            <v>2181.891892603639</v>
          </cell>
          <cell r="R9">
            <v>1440.3895697266209</v>
          </cell>
        </row>
        <row r="17">
          <cell r="G17">
            <v>0.76800000000000013</v>
          </cell>
          <cell r="H17">
            <v>3.84</v>
          </cell>
          <cell r="M17">
            <v>36.676586266187108</v>
          </cell>
          <cell r="R17">
            <v>36.676586266187108</v>
          </cell>
        </row>
        <row r="29">
          <cell r="G29">
            <v>74.461199999999977</v>
          </cell>
          <cell r="H29">
            <v>732.87119999999982</v>
          </cell>
          <cell r="M29">
            <v>3105.1790814605647</v>
          </cell>
          <cell r="R29">
            <v>3053.1363867236323</v>
          </cell>
        </row>
        <row r="37">
          <cell r="G37">
            <v>0.128</v>
          </cell>
          <cell r="H37">
            <v>2.048</v>
          </cell>
          <cell r="M37">
            <v>5.5557432450555639</v>
          </cell>
          <cell r="R37">
            <v>6.0765941742795206</v>
          </cell>
        </row>
        <row r="62">
          <cell r="G62">
            <v>1.7711999999999999</v>
          </cell>
          <cell r="H62">
            <v>18.216000000000001</v>
          </cell>
          <cell r="M62">
            <v>105.03333842636559</v>
          </cell>
          <cell r="R62">
            <v>105.37859945899513</v>
          </cell>
        </row>
        <row r="69">
          <cell r="G69">
            <v>9.3940000000000001</v>
          </cell>
          <cell r="H69">
            <v>285.63399999999996</v>
          </cell>
          <cell r="M69">
            <v>282.07629073812996</v>
          </cell>
          <cell r="R69">
            <v>313.08467730863356</v>
          </cell>
        </row>
        <row r="77">
          <cell r="G77">
            <v>9.516</v>
          </cell>
          <cell r="H77">
            <v>108.73599999999999</v>
          </cell>
          <cell r="M77">
            <v>610.01150821274086</v>
          </cell>
          <cell r="R77">
            <v>602.52982494317087</v>
          </cell>
        </row>
        <row r="86">
          <cell r="G86">
            <v>0.64000000000000012</v>
          </cell>
          <cell r="H86">
            <v>3.2</v>
          </cell>
          <cell r="M86">
            <v>39.774070958920511</v>
          </cell>
          <cell r="R86">
            <v>39.774070958920511</v>
          </cell>
        </row>
      </sheetData>
      <sheetData sheetId="10">
        <row r="23">
          <cell r="G23">
            <v>24.736000000000008</v>
          </cell>
          <cell r="H23">
            <v>247.36000000000004</v>
          </cell>
          <cell r="K23">
            <v>1952.0861492854319</v>
          </cell>
          <cell r="N23">
            <v>644.34093599460527</v>
          </cell>
          <cell r="S23">
            <v>1907.8138203013959</v>
          </cell>
        </row>
        <row r="42">
          <cell r="G42">
            <v>13.343999999999998</v>
          </cell>
          <cell r="H42">
            <v>133.43999999999997</v>
          </cell>
          <cell r="K42">
            <v>926.91736200000128</v>
          </cell>
          <cell r="S42">
            <v>1143.8826831047013</v>
          </cell>
        </row>
        <row r="60">
          <cell r="G60">
            <v>2.4750000000000001</v>
          </cell>
          <cell r="H60">
            <v>33</v>
          </cell>
          <cell r="K60">
            <v>275.07439699640327</v>
          </cell>
          <cell r="S60">
            <v>272.26298573070585</v>
          </cell>
        </row>
        <row r="70">
          <cell r="G70">
            <v>16.2</v>
          </cell>
          <cell r="H70">
            <v>64.8</v>
          </cell>
          <cell r="K70">
            <v>1704.603041096593</v>
          </cell>
          <cell r="S70">
            <v>341.55194267898401</v>
          </cell>
        </row>
        <row r="79">
          <cell r="G79">
            <v>41.04</v>
          </cell>
          <cell r="H79">
            <v>164.16</v>
          </cell>
          <cell r="K79">
            <v>4318.3277041113679</v>
          </cell>
          <cell r="S79">
            <v>1350.4638676280299</v>
          </cell>
        </row>
        <row r="87">
          <cell r="G87">
            <v>1.3679999999999999</v>
          </cell>
          <cell r="H87">
            <v>9.1199999999999992</v>
          </cell>
          <cell r="K87">
            <v>107.95819260278421</v>
          </cell>
          <cell r="S87">
            <v>56.968070383870497</v>
          </cell>
        </row>
        <row r="95">
          <cell r="G95">
            <v>14.591999999999999</v>
          </cell>
          <cell r="H95">
            <v>72.959999999999994</v>
          </cell>
          <cell r="K95">
            <v>1919.2567573828305</v>
          </cell>
          <cell r="S95">
            <v>525.65992217844143</v>
          </cell>
        </row>
        <row r="124">
          <cell r="G124">
            <v>35.824499999999993</v>
          </cell>
          <cell r="H124">
            <v>471.37499999999989</v>
          </cell>
          <cell r="K124">
            <v>3571.1433710973615</v>
          </cell>
          <cell r="N124">
            <v>785.83753869199734</v>
          </cell>
          <cell r="S124">
            <v>3489.2943110120682</v>
          </cell>
        </row>
        <row r="160">
          <cell r="G160">
            <v>14.512000000000004</v>
          </cell>
          <cell r="H160">
            <v>181.4</v>
          </cell>
          <cell r="K160">
            <v>756.03781235072051</v>
          </cell>
          <cell r="N160">
            <v>223.67982613926648</v>
          </cell>
          <cell r="S160">
            <v>716.72244533515095</v>
          </cell>
        </row>
        <row r="173">
          <cell r="G173">
            <v>4.2374999999999998</v>
          </cell>
          <cell r="H173">
            <v>56.5</v>
          </cell>
          <cell r="K173">
            <v>1070.1119091328612</v>
          </cell>
          <cell r="N173">
            <v>235.48035500449674</v>
          </cell>
          <cell r="S173">
            <v>297.88464255212682</v>
          </cell>
        </row>
        <row r="183">
          <cell r="G183">
            <v>2.6880000000000002</v>
          </cell>
          <cell r="H183">
            <v>35.840000000000003</v>
          </cell>
          <cell r="K183">
            <v>186.71716644604345</v>
          </cell>
          <cell r="N183">
            <v>55.241765220722925</v>
          </cell>
          <cell r="S183">
            <v>231.40709686954619</v>
          </cell>
        </row>
        <row r="196">
          <cell r="G196">
            <v>5.7059999999999986</v>
          </cell>
          <cell r="H196">
            <v>95.09999999999998</v>
          </cell>
          <cell r="K196">
            <v>528.47626574460503</v>
          </cell>
          <cell r="N196">
            <v>156.35392477651038</v>
          </cell>
          <cell r="S196">
            <v>587.43698551679449</v>
          </cell>
        </row>
        <row r="215">
          <cell r="G215">
            <v>1.2</v>
          </cell>
          <cell r="H215">
            <v>22</v>
          </cell>
          <cell r="N215">
            <v>142.05025342471609</v>
          </cell>
          <cell r="S215">
            <v>92.622026353412096</v>
          </cell>
        </row>
        <row r="224">
          <cell r="G224">
            <v>0.36</v>
          </cell>
          <cell r="H224">
            <v>1.7999999999999998</v>
          </cell>
          <cell r="N224">
            <v>56.82010136988643</v>
          </cell>
          <cell r="S224">
            <v>8.3651815905666123</v>
          </cell>
        </row>
        <row r="233">
          <cell r="G233">
            <v>1.2</v>
          </cell>
          <cell r="H233">
            <v>22</v>
          </cell>
          <cell r="N233">
            <v>142.05025342471609</v>
          </cell>
          <cell r="S233">
            <v>92.622026353412096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61"/>
  <sheetViews>
    <sheetView workbookViewId="0">
      <selection activeCell="L6" sqref="L6"/>
    </sheetView>
  </sheetViews>
  <sheetFormatPr defaultRowHeight="12.75" x14ac:dyDescent="0.2"/>
  <cols>
    <col min="1" max="1" width="3.28515625" style="7" customWidth="1"/>
    <col min="2" max="2" width="39.7109375" customWidth="1"/>
    <col min="3" max="3" width="3.140625" customWidth="1"/>
    <col min="5" max="5" width="3.85546875" customWidth="1"/>
    <col min="7" max="7" width="3.7109375" customWidth="1"/>
    <col min="8" max="8" width="11.42578125" customWidth="1"/>
    <col min="9" max="9" width="3.7109375" customWidth="1"/>
    <col min="11" max="11" width="3.7109375" customWidth="1"/>
    <col min="13" max="13" width="4.42578125" customWidth="1"/>
    <col min="14" max="14" width="7.42578125" customWidth="1"/>
    <col min="15" max="15" width="3.85546875" customWidth="1"/>
    <col min="16" max="16" width="42.28515625" customWidth="1"/>
  </cols>
  <sheetData>
    <row r="2" spans="1:16" ht="21" customHeight="1" x14ac:dyDescent="0.3">
      <c r="B2" s="3423" t="s">
        <v>1101</v>
      </c>
      <c r="C2" s="3423"/>
      <c r="D2" s="3423"/>
      <c r="E2" s="3423"/>
      <c r="F2" s="3423"/>
      <c r="G2" s="3423"/>
      <c r="H2" s="3423"/>
      <c r="I2" s="3423"/>
      <c r="J2" s="3423"/>
      <c r="K2" s="3423"/>
      <c r="L2" s="3423"/>
    </row>
    <row r="3" spans="1:16" x14ac:dyDescent="0.2">
      <c r="B3" s="18"/>
      <c r="D3" s="20"/>
      <c r="E3" s="21"/>
      <c r="F3" s="21"/>
      <c r="G3" s="21"/>
      <c r="H3" s="20"/>
      <c r="I3" s="21"/>
      <c r="J3" s="21"/>
      <c r="K3" s="21"/>
      <c r="L3" s="22"/>
    </row>
    <row r="4" spans="1:16" s="4" customFormat="1" x14ac:dyDescent="0.2">
      <c r="A4" s="43"/>
      <c r="B4" s="44" t="s">
        <v>1102</v>
      </c>
      <c r="D4" s="43">
        <v>1.25</v>
      </c>
      <c r="E4" s="43"/>
      <c r="F4" s="43">
        <f>8+8</f>
        <v>16</v>
      </c>
      <c r="G4" s="43"/>
      <c r="H4" s="43">
        <v>4</v>
      </c>
      <c r="I4" s="43"/>
      <c r="J4" s="43">
        <v>0.88700000000000001</v>
      </c>
      <c r="K4" s="43" t="s">
        <v>696</v>
      </c>
      <c r="L4" s="45">
        <f>D4*F4*H4*J4</f>
        <v>70.960000000000008</v>
      </c>
    </row>
    <row r="5" spans="1:16" s="4" customFormat="1" x14ac:dyDescent="0.2">
      <c r="A5" s="43"/>
      <c r="B5" s="44"/>
      <c r="D5" s="43">
        <f>4+0.2</f>
        <v>4.2</v>
      </c>
      <c r="E5" s="43"/>
      <c r="F5" s="43"/>
      <c r="G5" s="43"/>
      <c r="H5" s="43"/>
      <c r="I5" s="43"/>
      <c r="J5" s="43">
        <v>0.88700000000000001</v>
      </c>
      <c r="K5" s="43" t="s">
        <v>696</v>
      </c>
      <c r="L5" s="45">
        <f>D5*J5</f>
        <v>3.7254</v>
      </c>
    </row>
    <row r="6" spans="1:16" s="4" customFormat="1" x14ac:dyDescent="0.2">
      <c r="A6" s="43"/>
      <c r="B6" s="44" t="s">
        <v>1103</v>
      </c>
      <c r="D6" s="43">
        <v>1.5</v>
      </c>
      <c r="E6" s="43"/>
      <c r="F6" s="43">
        <v>4</v>
      </c>
      <c r="G6" s="43"/>
      <c r="H6" s="43">
        <v>4</v>
      </c>
      <c r="I6" s="43"/>
      <c r="J6" s="43">
        <v>0.88700000000000001</v>
      </c>
      <c r="K6" s="43" t="s">
        <v>696</v>
      </c>
      <c r="L6" s="45">
        <f>D6*F6*H6*J6</f>
        <v>21.288</v>
      </c>
    </row>
    <row r="7" spans="1:16" s="4" customFormat="1" x14ac:dyDescent="0.2">
      <c r="A7" s="43"/>
      <c r="B7" s="44" t="s">
        <v>1104</v>
      </c>
      <c r="C7" s="46"/>
      <c r="D7" s="47">
        <v>1.1499999999999999</v>
      </c>
      <c r="E7" s="47"/>
      <c r="F7" s="47">
        <f>8+8</f>
        <v>16</v>
      </c>
      <c r="G7" s="47"/>
      <c r="H7" s="47">
        <v>4</v>
      </c>
      <c r="I7" s="47"/>
      <c r="J7" s="43">
        <v>0.88700000000000001</v>
      </c>
      <c r="K7" s="47" t="s">
        <v>696</v>
      </c>
      <c r="L7" s="48">
        <f>D7*F7*H7*J7</f>
        <v>65.283199999999994</v>
      </c>
    </row>
    <row r="8" spans="1:16" s="4" customFormat="1" x14ac:dyDescent="0.2">
      <c r="A8" s="43"/>
      <c r="B8" s="44"/>
      <c r="D8" s="43"/>
      <c r="E8" s="43"/>
      <c r="F8" s="43"/>
      <c r="G8" s="43"/>
      <c r="H8" s="43"/>
      <c r="I8" s="43"/>
      <c r="J8" s="43"/>
      <c r="K8" s="43"/>
      <c r="L8" s="49">
        <f>SUM(L4:L7)</f>
        <v>161.25659999999999</v>
      </c>
    </row>
    <row r="9" spans="1:16" s="4" customFormat="1" x14ac:dyDescent="0.2">
      <c r="A9" s="43"/>
      <c r="B9" s="44"/>
      <c r="D9" s="43"/>
      <c r="E9" s="43"/>
      <c r="F9" s="43"/>
      <c r="G9" s="43"/>
      <c r="H9" s="43"/>
      <c r="I9" s="43"/>
      <c r="J9" s="43"/>
      <c r="K9" s="43"/>
      <c r="L9" s="49"/>
    </row>
    <row r="10" spans="1:16" s="4" customFormat="1" x14ac:dyDescent="0.2">
      <c r="A10" s="43"/>
      <c r="B10" s="44" t="s">
        <v>1105</v>
      </c>
      <c r="D10" s="43">
        <f>1.6+6</f>
        <v>7.6</v>
      </c>
      <c r="E10" s="43"/>
      <c r="F10" s="43">
        <v>8</v>
      </c>
      <c r="G10" s="43"/>
      <c r="H10" s="43">
        <v>4</v>
      </c>
      <c r="I10" s="43"/>
      <c r="J10" s="43">
        <v>1.5780000000000001</v>
      </c>
      <c r="K10" s="43" t="s">
        <v>696</v>
      </c>
      <c r="L10" s="45">
        <f>D10*F10*H10*J10</f>
        <v>383.76960000000003</v>
      </c>
      <c r="P10" s="43"/>
    </row>
    <row r="11" spans="1:16" s="4" customFormat="1" x14ac:dyDescent="0.2">
      <c r="A11" s="43"/>
      <c r="B11" s="44" t="s">
        <v>1106</v>
      </c>
      <c r="C11" s="46"/>
      <c r="D11" s="47">
        <f>(0.32*4)+0.1</f>
        <v>1.3800000000000001</v>
      </c>
      <c r="E11" s="47"/>
      <c r="F11" s="50">
        <f>D10/0.15</f>
        <v>50.666666666666664</v>
      </c>
      <c r="G11" s="47"/>
      <c r="H11" s="47">
        <v>4</v>
      </c>
      <c r="I11" s="47"/>
      <c r="J11" s="47">
        <v>0.39300000000000002</v>
      </c>
      <c r="K11" s="47" t="s">
        <v>696</v>
      </c>
      <c r="L11" s="48">
        <f>D11*F11*H11*J11</f>
        <v>109.91424000000001</v>
      </c>
    </row>
    <row r="12" spans="1:16" s="4" customFormat="1" x14ac:dyDescent="0.2">
      <c r="A12" s="43"/>
      <c r="B12" s="44"/>
      <c r="D12" s="43"/>
      <c r="E12" s="43"/>
      <c r="F12" s="51"/>
      <c r="G12" s="43"/>
      <c r="H12" s="43"/>
      <c r="I12" s="43"/>
      <c r="J12" s="43"/>
      <c r="K12" s="43"/>
      <c r="L12" s="49">
        <f>SUM(L10:L11)</f>
        <v>493.68384000000003</v>
      </c>
    </row>
    <row r="13" spans="1:16" s="4" customFormat="1" x14ac:dyDescent="0.2">
      <c r="A13" s="43"/>
      <c r="B13" s="44"/>
      <c r="D13" s="43"/>
      <c r="E13" s="43"/>
      <c r="F13" s="51"/>
      <c r="G13" s="43"/>
      <c r="H13" s="43"/>
      <c r="I13" s="43"/>
      <c r="J13" s="43"/>
      <c r="K13" s="43"/>
      <c r="L13" s="49"/>
    </row>
    <row r="14" spans="1:16" s="4" customFormat="1" x14ac:dyDescent="0.2">
      <c r="A14" s="43"/>
      <c r="B14" s="44" t="s">
        <v>1107</v>
      </c>
      <c r="D14" s="43">
        <f>2.35+2.85+0.12</f>
        <v>5.32</v>
      </c>
      <c r="E14" s="43"/>
      <c r="F14" s="43">
        <v>2</v>
      </c>
      <c r="G14" s="43"/>
      <c r="H14" s="43">
        <v>0.88700000000000001</v>
      </c>
      <c r="I14" s="43"/>
      <c r="J14" s="43">
        <v>4</v>
      </c>
      <c r="K14" s="43" t="s">
        <v>696</v>
      </c>
      <c r="L14" s="45">
        <f>D14*F14*H14*J14</f>
        <v>37.750720000000001</v>
      </c>
    </row>
    <row r="15" spans="1:16" s="4" customFormat="1" x14ac:dyDescent="0.2">
      <c r="A15" s="43"/>
      <c r="B15" s="44" t="s">
        <v>1108</v>
      </c>
      <c r="C15" s="46"/>
      <c r="D15" s="47">
        <f>(0.09*2)+(0.17*2)+0.1</f>
        <v>0.62</v>
      </c>
      <c r="E15" s="47"/>
      <c r="F15" s="48">
        <f>D14/0.15</f>
        <v>35.466666666666669</v>
      </c>
      <c r="G15" s="47"/>
      <c r="H15" s="47">
        <v>2</v>
      </c>
      <c r="I15" s="47"/>
      <c r="J15" s="47">
        <v>0.39300000000000002</v>
      </c>
      <c r="K15" s="47" t="s">
        <v>696</v>
      </c>
      <c r="L15" s="48">
        <f>D15*F15*H15*J15</f>
        <v>17.283616000000002</v>
      </c>
      <c r="P15" s="43"/>
    </row>
    <row r="16" spans="1:16" s="4" customFormat="1" x14ac:dyDescent="0.2">
      <c r="A16" s="43"/>
      <c r="B16" s="44"/>
      <c r="D16" s="43"/>
      <c r="E16" s="43"/>
      <c r="F16" s="45"/>
      <c r="G16" s="43"/>
      <c r="H16" s="43"/>
      <c r="I16" s="43"/>
      <c r="J16" s="43"/>
      <c r="K16" s="43"/>
      <c r="L16" s="49">
        <f>SUM(L14:L15)</f>
        <v>55.034336000000003</v>
      </c>
      <c r="P16" s="43"/>
    </row>
    <row r="17" spans="1:16" s="4" customFormat="1" x14ac:dyDescent="0.2">
      <c r="A17" s="43"/>
      <c r="B17" s="44"/>
      <c r="D17" s="43"/>
      <c r="E17" s="43"/>
      <c r="F17" s="45"/>
      <c r="G17" s="43"/>
      <c r="H17" s="43"/>
      <c r="I17" s="43"/>
      <c r="J17" s="43"/>
      <c r="K17" s="43"/>
      <c r="L17" s="49"/>
      <c r="P17" s="43"/>
    </row>
    <row r="18" spans="1:16" s="4" customFormat="1" x14ac:dyDescent="0.2">
      <c r="A18" s="43"/>
      <c r="B18" s="44" t="s">
        <v>1109</v>
      </c>
      <c r="D18" s="43">
        <f>(2.35+2.85+0.12)</f>
        <v>5.32</v>
      </c>
      <c r="E18" s="43"/>
      <c r="F18" s="43">
        <v>2</v>
      </c>
      <c r="G18" s="43"/>
      <c r="H18" s="43">
        <v>4</v>
      </c>
      <c r="I18" s="43"/>
      <c r="J18" s="43">
        <v>0.88700000000000001</v>
      </c>
      <c r="K18" s="43" t="s">
        <v>696</v>
      </c>
      <c r="L18" s="45">
        <f t="shared" ref="L18:L26" si="0">D18*F18*H18*J18</f>
        <v>37.750720000000001</v>
      </c>
      <c r="P18" s="43"/>
    </row>
    <row r="19" spans="1:16" s="4" customFormat="1" x14ac:dyDescent="0.2">
      <c r="A19" s="43"/>
      <c r="B19" s="44" t="s">
        <v>1110</v>
      </c>
      <c r="D19" s="43">
        <f>(0.09*2)+(0.17*2)+0.1</f>
        <v>0.62</v>
      </c>
      <c r="E19" s="43"/>
      <c r="F19" s="45">
        <f>D18/0.15</f>
        <v>35.466666666666669</v>
      </c>
      <c r="G19" s="43"/>
      <c r="H19" s="43">
        <v>2</v>
      </c>
      <c r="I19" s="43"/>
      <c r="J19" s="43">
        <v>0.39300000000000002</v>
      </c>
      <c r="K19" s="43" t="s">
        <v>696</v>
      </c>
      <c r="L19" s="45">
        <f t="shared" si="0"/>
        <v>17.283616000000002</v>
      </c>
      <c r="P19" s="43"/>
    </row>
    <row r="20" spans="1:16" s="4" customFormat="1" x14ac:dyDescent="0.2">
      <c r="A20" s="43"/>
      <c r="B20" s="44" t="s">
        <v>1111</v>
      </c>
      <c r="D20" s="43">
        <f>(2.35+2.85+0.12)</f>
        <v>5.32</v>
      </c>
      <c r="E20" s="43"/>
      <c r="F20" s="45">
        <v>6</v>
      </c>
      <c r="G20" s="43"/>
      <c r="H20" s="43">
        <v>2</v>
      </c>
      <c r="I20" s="43"/>
      <c r="J20" s="43">
        <v>1.5780000000000001</v>
      </c>
      <c r="K20" s="43" t="s">
        <v>696</v>
      </c>
      <c r="L20" s="45">
        <f t="shared" si="0"/>
        <v>100.73952000000001</v>
      </c>
      <c r="P20" s="43"/>
    </row>
    <row r="21" spans="1:16" s="4" customFormat="1" x14ac:dyDescent="0.2">
      <c r="A21" s="43"/>
      <c r="B21" s="44"/>
      <c r="D21" s="43">
        <f>(2.35+2.85+0.12)</f>
        <v>5.32</v>
      </c>
      <c r="E21" s="43"/>
      <c r="F21" s="45">
        <v>2</v>
      </c>
      <c r="G21" s="43"/>
      <c r="H21" s="43">
        <v>2</v>
      </c>
      <c r="I21" s="43"/>
      <c r="J21" s="43">
        <v>0.88700000000000001</v>
      </c>
      <c r="K21" s="43" t="s">
        <v>696</v>
      </c>
      <c r="L21" s="45">
        <f t="shared" si="0"/>
        <v>18.875360000000001</v>
      </c>
      <c r="P21" s="43"/>
    </row>
    <row r="22" spans="1:16" s="4" customFormat="1" x14ac:dyDescent="0.2">
      <c r="A22" s="43"/>
      <c r="B22" s="44" t="s">
        <v>1112</v>
      </c>
      <c r="D22" s="43">
        <f>(0.17*2)+(0.22*2)+0.1</f>
        <v>0.88</v>
      </c>
      <c r="E22" s="43"/>
      <c r="F22" s="45">
        <f>(D20/2)/0.15</f>
        <v>17.733333333333334</v>
      </c>
      <c r="G22" s="43"/>
      <c r="H22" s="43">
        <v>2</v>
      </c>
      <c r="I22" s="43"/>
      <c r="J22" s="43">
        <v>0.39300000000000002</v>
      </c>
      <c r="K22" s="43" t="s">
        <v>696</v>
      </c>
      <c r="L22" s="45">
        <f t="shared" si="0"/>
        <v>12.265792000000001</v>
      </c>
      <c r="P22" s="43"/>
    </row>
    <row r="23" spans="1:16" s="4" customFormat="1" x14ac:dyDescent="0.2">
      <c r="A23" s="43"/>
      <c r="B23" s="44"/>
      <c r="D23" s="43">
        <f>(0.17*2)+(0.22*2)+0.1</f>
        <v>0.88</v>
      </c>
      <c r="E23" s="43"/>
      <c r="F23" s="45">
        <f>(D21/2)/0.075</f>
        <v>35.466666666666669</v>
      </c>
      <c r="G23" s="43"/>
      <c r="H23" s="43">
        <v>2</v>
      </c>
      <c r="I23" s="43"/>
      <c r="J23" s="43">
        <v>0.39300000000000002</v>
      </c>
      <c r="K23" s="43" t="s">
        <v>696</v>
      </c>
      <c r="L23" s="45">
        <f t="shared" si="0"/>
        <v>24.531584000000002</v>
      </c>
      <c r="P23" s="43"/>
    </row>
    <row r="24" spans="1:16" s="4" customFormat="1" x14ac:dyDescent="0.2">
      <c r="A24" s="43"/>
      <c r="B24" s="44" t="s">
        <v>1113</v>
      </c>
      <c r="C24" s="52"/>
      <c r="D24" s="53">
        <f>(2.35+2.85+0.12)</f>
        <v>5.32</v>
      </c>
      <c r="E24" s="53"/>
      <c r="F24" s="54">
        <v>2</v>
      </c>
      <c r="G24" s="53"/>
      <c r="H24" s="53">
        <v>3</v>
      </c>
      <c r="I24" s="53"/>
      <c r="J24" s="53">
        <v>0.88700000000000001</v>
      </c>
      <c r="K24" s="53" t="s">
        <v>696</v>
      </c>
      <c r="L24" s="55">
        <f t="shared" si="0"/>
        <v>28.313040000000001</v>
      </c>
      <c r="P24" s="43"/>
    </row>
    <row r="25" spans="1:16" s="4" customFormat="1" x14ac:dyDescent="0.2">
      <c r="A25" s="43"/>
      <c r="B25" s="44"/>
      <c r="C25" s="52"/>
      <c r="D25" s="53">
        <f>(2.35+2.85+0.12)</f>
        <v>5.32</v>
      </c>
      <c r="E25" s="53"/>
      <c r="F25" s="54">
        <v>2</v>
      </c>
      <c r="G25" s="53"/>
      <c r="H25" s="53">
        <v>2</v>
      </c>
      <c r="I25" s="53"/>
      <c r="J25" s="53">
        <v>0.62</v>
      </c>
      <c r="K25" s="53" t="s">
        <v>696</v>
      </c>
      <c r="L25" s="55">
        <f t="shared" si="0"/>
        <v>13.1936</v>
      </c>
      <c r="P25" s="43"/>
    </row>
    <row r="26" spans="1:16" s="4" customFormat="1" x14ac:dyDescent="0.2">
      <c r="A26" s="43"/>
      <c r="B26" s="44" t="s">
        <v>1114</v>
      </c>
      <c r="C26" s="46"/>
      <c r="D26" s="47">
        <f>(0.17*2)+(0.22*2)+0.1</f>
        <v>0.88</v>
      </c>
      <c r="E26" s="47"/>
      <c r="F26" s="48">
        <f>D24/0.15</f>
        <v>35.466666666666669</v>
      </c>
      <c r="G26" s="47"/>
      <c r="H26" s="47">
        <v>2</v>
      </c>
      <c r="I26" s="47"/>
      <c r="J26" s="47">
        <v>0.39300000000000002</v>
      </c>
      <c r="K26" s="47" t="s">
        <v>696</v>
      </c>
      <c r="L26" s="48">
        <f t="shared" si="0"/>
        <v>24.531584000000002</v>
      </c>
      <c r="P26" s="43"/>
    </row>
    <row r="27" spans="1:16" s="4" customFormat="1" x14ac:dyDescent="0.2">
      <c r="A27" s="43"/>
      <c r="B27" s="44"/>
      <c r="D27" s="43"/>
      <c r="E27" s="43"/>
      <c r="F27" s="45"/>
      <c r="G27" s="43"/>
      <c r="H27" s="43"/>
      <c r="I27" s="43"/>
      <c r="J27" s="43"/>
      <c r="K27" s="43"/>
      <c r="L27" s="49">
        <f>SUM(L18:L26)</f>
        <v>277.48481600000002</v>
      </c>
    </row>
    <row r="28" spans="1:16" s="4" customFormat="1" x14ac:dyDescent="0.2">
      <c r="A28" s="43"/>
      <c r="B28" s="44"/>
      <c r="D28" s="43"/>
      <c r="E28" s="43"/>
      <c r="F28" s="45"/>
      <c r="G28" s="43"/>
      <c r="H28" s="43"/>
      <c r="I28" s="43"/>
      <c r="J28" s="43"/>
      <c r="K28" s="43"/>
      <c r="L28" s="49"/>
    </row>
    <row r="29" spans="1:16" s="4" customFormat="1" x14ac:dyDescent="0.2">
      <c r="A29" s="43"/>
      <c r="B29" s="44" t="s">
        <v>1117</v>
      </c>
      <c r="D29" s="43">
        <v>0.75</v>
      </c>
      <c r="E29" s="43"/>
      <c r="F29" s="43">
        <f>200/10</f>
        <v>20</v>
      </c>
      <c r="G29" s="43"/>
      <c r="H29" s="43">
        <v>0.39300000000000002</v>
      </c>
      <c r="J29" s="43">
        <v>2</v>
      </c>
      <c r="K29" s="43" t="s">
        <v>696</v>
      </c>
      <c r="L29" s="45">
        <f>D29*F29*H29*J29</f>
        <v>11.790000000000001</v>
      </c>
    </row>
    <row r="30" spans="1:16" s="4" customFormat="1" x14ac:dyDescent="0.2">
      <c r="A30" s="43"/>
      <c r="B30" s="44" t="s">
        <v>1116</v>
      </c>
      <c r="C30" s="46"/>
      <c r="D30" s="47">
        <f>2+0.25</f>
        <v>2.25</v>
      </c>
      <c r="E30" s="47"/>
      <c r="F30" s="47">
        <f>60/10</f>
        <v>6</v>
      </c>
      <c r="G30" s="47"/>
      <c r="H30" s="47">
        <v>0.39300000000000002</v>
      </c>
      <c r="I30" s="47"/>
      <c r="J30" s="47">
        <v>2</v>
      </c>
      <c r="K30" s="47" t="s">
        <v>696</v>
      </c>
      <c r="L30" s="48">
        <f>D30*F30*H30*J30</f>
        <v>10.611000000000001</v>
      </c>
    </row>
    <row r="31" spans="1:16" s="4" customFormat="1" x14ac:dyDescent="0.2">
      <c r="A31" s="43"/>
      <c r="B31" s="44"/>
      <c r="D31" s="43"/>
      <c r="E31" s="43"/>
      <c r="F31" s="43"/>
      <c r="G31" s="43"/>
      <c r="H31" s="43"/>
      <c r="I31" s="43"/>
      <c r="J31" s="43"/>
      <c r="K31" s="43"/>
      <c r="L31" s="49">
        <f>SUM(L29:L30)</f>
        <v>22.401000000000003</v>
      </c>
    </row>
    <row r="32" spans="1:16" s="4" customFormat="1" x14ac:dyDescent="0.2">
      <c r="A32" s="43"/>
      <c r="B32" s="44"/>
      <c r="D32" s="43"/>
      <c r="E32" s="43"/>
      <c r="F32" s="43"/>
      <c r="G32" s="43"/>
      <c r="H32" s="43"/>
      <c r="I32" s="43"/>
      <c r="J32" s="43"/>
      <c r="K32" s="43"/>
      <c r="L32" s="49"/>
    </row>
    <row r="33" spans="1:18" s="4" customFormat="1" x14ac:dyDescent="0.2">
      <c r="A33" s="43"/>
      <c r="B33" s="44" t="s">
        <v>1118</v>
      </c>
      <c r="D33" s="45">
        <f>200/12</f>
        <v>16.666666666666668</v>
      </c>
      <c r="E33" s="43"/>
      <c r="F33" s="43">
        <f>2.5+0.1</f>
        <v>2.6</v>
      </c>
      <c r="G33" s="43"/>
      <c r="H33" s="43">
        <v>0.88700000000000001</v>
      </c>
      <c r="I33" s="43"/>
      <c r="J33" s="43">
        <v>2</v>
      </c>
      <c r="K33" s="43" t="s">
        <v>696</v>
      </c>
      <c r="L33" s="45">
        <f>D33*F33*H33*J33</f>
        <v>76.873333333333335</v>
      </c>
      <c r="P33" s="43"/>
    </row>
    <row r="34" spans="1:18" s="4" customFormat="1" x14ac:dyDescent="0.2">
      <c r="A34" s="43"/>
      <c r="B34" s="44" t="s">
        <v>1116</v>
      </c>
      <c r="D34" s="43">
        <f>250/6</f>
        <v>41.666666666666664</v>
      </c>
      <c r="E34" s="43"/>
      <c r="F34" s="43">
        <f>2+0.1</f>
        <v>2.1</v>
      </c>
      <c r="G34" s="43"/>
      <c r="H34" s="43">
        <v>0.88700000000000001</v>
      </c>
      <c r="I34" s="43"/>
      <c r="J34" s="43">
        <v>2</v>
      </c>
      <c r="K34" s="43" t="s">
        <v>696</v>
      </c>
      <c r="L34" s="45">
        <f>D34*F34*H34*J34</f>
        <v>155.22499999999999</v>
      </c>
    </row>
    <row r="35" spans="1:18" s="4" customFormat="1" x14ac:dyDescent="0.2">
      <c r="A35" s="43"/>
      <c r="B35" s="44" t="s">
        <v>1119</v>
      </c>
      <c r="D35" s="45">
        <f>200/12</f>
        <v>16.666666666666668</v>
      </c>
      <c r="E35" s="43"/>
      <c r="F35" s="43">
        <f>2.5+0.1+0.17</f>
        <v>2.77</v>
      </c>
      <c r="G35" s="43"/>
      <c r="H35" s="43">
        <v>0.88700000000000001</v>
      </c>
      <c r="I35" s="43"/>
      <c r="J35" s="43"/>
      <c r="K35" s="43" t="s">
        <v>696</v>
      </c>
      <c r="L35" s="45">
        <f>D35*F35*H35</f>
        <v>40.949833333333338</v>
      </c>
      <c r="R35" s="56"/>
    </row>
    <row r="36" spans="1:18" s="4" customFormat="1" x14ac:dyDescent="0.2">
      <c r="A36" s="43"/>
      <c r="B36" s="44" t="s">
        <v>1120</v>
      </c>
      <c r="D36" s="43">
        <f>200/12</f>
        <v>16.666666666666668</v>
      </c>
      <c r="E36" s="43"/>
      <c r="F36" s="43">
        <f>2.5+0.1</f>
        <v>2.6</v>
      </c>
      <c r="G36" s="43"/>
      <c r="H36" s="43">
        <v>0.88700000000000001</v>
      </c>
      <c r="I36" s="43"/>
      <c r="J36" s="43"/>
      <c r="K36" s="43" t="s">
        <v>696</v>
      </c>
      <c r="L36" s="45">
        <f>D36*F36*H36</f>
        <v>38.436666666666667</v>
      </c>
      <c r="P36" s="56"/>
    </row>
    <row r="37" spans="1:18" s="4" customFormat="1" x14ac:dyDescent="0.2">
      <c r="A37" s="43"/>
      <c r="B37" s="44"/>
      <c r="D37" s="43">
        <f>200/12</f>
        <v>16.666666666666668</v>
      </c>
      <c r="E37" s="43"/>
      <c r="F37" s="43">
        <f>2.5+0.1</f>
        <v>2.6</v>
      </c>
      <c r="G37" s="43"/>
      <c r="H37" s="43">
        <v>0.88700000000000001</v>
      </c>
      <c r="I37" s="43"/>
      <c r="J37" s="43"/>
      <c r="K37" s="43" t="s">
        <v>696</v>
      </c>
      <c r="L37" s="45">
        <f>D37*F37*H37</f>
        <v>38.436666666666667</v>
      </c>
      <c r="P37" s="56"/>
    </row>
    <row r="38" spans="1:18" s="4" customFormat="1" x14ac:dyDescent="0.2">
      <c r="A38" s="43"/>
      <c r="B38" s="44" t="s">
        <v>1121</v>
      </c>
      <c r="D38" s="43">
        <f>((2+2.5)*2)/0.1</f>
        <v>90</v>
      </c>
      <c r="E38" s="43"/>
      <c r="F38" s="43">
        <v>2</v>
      </c>
      <c r="G38" s="43"/>
      <c r="H38" s="43">
        <v>2</v>
      </c>
      <c r="I38" s="43"/>
      <c r="J38" s="43">
        <v>0.39300000000000002</v>
      </c>
      <c r="K38" s="43" t="s">
        <v>696</v>
      </c>
      <c r="L38" s="45">
        <f>D38*F38*H38*J38</f>
        <v>141.48000000000002</v>
      </c>
    </row>
    <row r="39" spans="1:18" s="4" customFormat="1" x14ac:dyDescent="0.2">
      <c r="A39" s="43"/>
      <c r="B39" s="44" t="s">
        <v>1122</v>
      </c>
      <c r="D39" s="43">
        <f>200/10</f>
        <v>20</v>
      </c>
      <c r="E39" s="43"/>
      <c r="F39" s="43">
        <v>9</v>
      </c>
      <c r="G39" s="43"/>
      <c r="H39" s="43">
        <v>2</v>
      </c>
      <c r="I39" s="43"/>
      <c r="J39" s="43">
        <v>0.39300000000000002</v>
      </c>
      <c r="K39" s="43" t="s">
        <v>696</v>
      </c>
      <c r="L39" s="45">
        <f>D39*F39*H39*J39</f>
        <v>141.48000000000002</v>
      </c>
    </row>
    <row r="40" spans="1:18" s="4" customFormat="1" x14ac:dyDescent="0.2">
      <c r="A40" s="43"/>
      <c r="B40" s="44" t="s">
        <v>1123</v>
      </c>
      <c r="D40" s="43">
        <f>250/10</f>
        <v>25</v>
      </c>
      <c r="E40" s="43"/>
      <c r="F40" s="43">
        <f>2+0.1-0.6</f>
        <v>1.5</v>
      </c>
      <c r="G40" s="43"/>
      <c r="H40" s="43">
        <v>0.39300000000000002</v>
      </c>
      <c r="I40" s="43"/>
      <c r="J40" s="43"/>
      <c r="K40" s="43" t="s">
        <v>696</v>
      </c>
      <c r="L40" s="45">
        <f>D40*F40*H40</f>
        <v>14.737500000000001</v>
      </c>
    </row>
    <row r="41" spans="1:18" s="4" customFormat="1" x14ac:dyDescent="0.2">
      <c r="A41" s="43"/>
      <c r="B41" s="44" t="s">
        <v>1116</v>
      </c>
      <c r="C41" s="52"/>
      <c r="D41" s="53">
        <f>200/12</f>
        <v>16.666666666666668</v>
      </c>
      <c r="E41" s="53"/>
      <c r="F41" s="53">
        <f>2.5+0.1-0.6</f>
        <v>2</v>
      </c>
      <c r="G41" s="53"/>
      <c r="H41" s="53">
        <v>0.62</v>
      </c>
      <c r="I41" s="53"/>
      <c r="J41" s="53"/>
      <c r="K41" s="53" t="s">
        <v>696</v>
      </c>
      <c r="L41" s="55">
        <f>D41*F41*H41</f>
        <v>20.666666666666668</v>
      </c>
    </row>
    <row r="42" spans="1:18" s="4" customFormat="1" x14ac:dyDescent="0.2">
      <c r="A42" s="43"/>
      <c r="B42" s="44" t="s">
        <v>1124</v>
      </c>
      <c r="C42" s="52"/>
      <c r="D42" s="53">
        <f>(200+36)/12</f>
        <v>19.666666666666668</v>
      </c>
      <c r="E42" s="53"/>
      <c r="F42" s="53">
        <f>0.18</f>
        <v>0.18</v>
      </c>
      <c r="G42" s="53"/>
      <c r="H42" s="53">
        <v>0.62</v>
      </c>
      <c r="I42" s="53"/>
      <c r="J42" s="53">
        <v>4</v>
      </c>
      <c r="K42" s="53" t="s">
        <v>696</v>
      </c>
      <c r="L42" s="55">
        <f>D42*F42*H42*J42</f>
        <v>8.7791999999999994</v>
      </c>
    </row>
    <row r="43" spans="1:18" s="4" customFormat="1" x14ac:dyDescent="0.2">
      <c r="A43" s="43"/>
      <c r="B43" s="44" t="s">
        <v>1116</v>
      </c>
      <c r="C43" s="52"/>
      <c r="D43" s="53">
        <f>(18/10)</f>
        <v>1.8</v>
      </c>
      <c r="E43" s="53"/>
      <c r="F43" s="53">
        <f>2+0.36</f>
        <v>2.36</v>
      </c>
      <c r="G43" s="53"/>
      <c r="H43" s="53">
        <v>0.39300000000000002</v>
      </c>
      <c r="I43" s="53"/>
      <c r="J43" s="53">
        <v>4</v>
      </c>
      <c r="K43" s="53" t="s">
        <v>696</v>
      </c>
      <c r="L43" s="55">
        <f>D43*F43*H43*J43</f>
        <v>6.6778560000000002</v>
      </c>
    </row>
    <row r="44" spans="1:18" s="4" customFormat="1" x14ac:dyDescent="0.2">
      <c r="A44" s="43"/>
      <c r="B44" s="44" t="s">
        <v>1124</v>
      </c>
      <c r="C44" s="52"/>
      <c r="D44" s="53">
        <f>250/12</f>
        <v>20.833333333333332</v>
      </c>
      <c r="E44" s="53"/>
      <c r="F44" s="53">
        <f>0.18</f>
        <v>0.18</v>
      </c>
      <c r="G44" s="53"/>
      <c r="H44" s="53">
        <v>0.62</v>
      </c>
      <c r="I44" s="53"/>
      <c r="J44" s="53">
        <v>4</v>
      </c>
      <c r="K44" s="53" t="s">
        <v>696</v>
      </c>
      <c r="L44" s="55">
        <f>D44*F44*H44*J44</f>
        <v>9.2999999999999989</v>
      </c>
    </row>
    <row r="45" spans="1:18" s="4" customFormat="1" x14ac:dyDescent="0.2">
      <c r="A45" s="43"/>
      <c r="B45" s="44" t="s">
        <v>1116</v>
      </c>
      <c r="C45" s="46"/>
      <c r="D45" s="47">
        <f>(18/10)</f>
        <v>1.8</v>
      </c>
      <c r="E45" s="47"/>
      <c r="F45" s="47">
        <f>2.5</f>
        <v>2.5</v>
      </c>
      <c r="G45" s="47"/>
      <c r="H45" s="47">
        <v>0.39300000000000002</v>
      </c>
      <c r="I45" s="47"/>
      <c r="J45" s="47">
        <v>4</v>
      </c>
      <c r="K45" s="47" t="s">
        <v>696</v>
      </c>
      <c r="L45" s="48">
        <f>D45*F45*H45*J45</f>
        <v>7.0739999999999998</v>
      </c>
    </row>
    <row r="46" spans="1:18" s="4" customFormat="1" x14ac:dyDescent="0.2">
      <c r="A46" s="43"/>
      <c r="B46" s="44"/>
      <c r="D46" s="43"/>
      <c r="E46" s="43"/>
      <c r="F46" s="43"/>
      <c r="G46" s="43"/>
      <c r="H46" s="43"/>
      <c r="I46" s="43"/>
      <c r="J46" s="43"/>
      <c r="K46" s="43"/>
      <c r="L46" s="49">
        <f>SUM(L33:L45)</f>
        <v>700.11672266666642</v>
      </c>
    </row>
    <row r="47" spans="1:18" s="19" customFormat="1" ht="13.5" thickBot="1" x14ac:dyDescent="0.25">
      <c r="A47" s="17"/>
      <c r="B47" s="18"/>
      <c r="D47" s="20"/>
      <c r="E47" s="20"/>
      <c r="F47" s="20"/>
      <c r="G47" s="20"/>
      <c r="H47" s="20"/>
      <c r="I47" s="20"/>
      <c r="J47" s="20"/>
      <c r="K47" s="20"/>
      <c r="L47" s="20"/>
    </row>
    <row r="48" spans="1:18" s="19" customFormat="1" x14ac:dyDescent="0.2">
      <c r="A48" s="17"/>
      <c r="B48" s="26"/>
      <c r="C48" s="27"/>
      <c r="D48" s="28"/>
      <c r="E48" s="28"/>
      <c r="F48" s="28"/>
      <c r="G48" s="29"/>
      <c r="H48" s="28"/>
      <c r="I48" s="29"/>
      <c r="J48" s="29"/>
      <c r="K48" s="29"/>
      <c r="L48" s="28"/>
      <c r="M48" s="30"/>
    </row>
    <row r="49" spans="1:16" s="19" customFormat="1" x14ac:dyDescent="0.2">
      <c r="A49" s="17"/>
      <c r="B49" s="31" t="s">
        <v>1125</v>
      </c>
      <c r="C49" s="23"/>
      <c r="D49" s="32"/>
      <c r="E49" s="24"/>
      <c r="F49" s="25"/>
      <c r="G49" s="24"/>
      <c r="H49" s="24"/>
      <c r="I49" s="24"/>
      <c r="J49" s="24"/>
      <c r="K49" s="24"/>
      <c r="L49" s="33">
        <f>L8</f>
        <v>161.25659999999999</v>
      </c>
      <c r="M49" s="34"/>
    </row>
    <row r="50" spans="1:16" s="19" customFormat="1" x14ac:dyDescent="0.2">
      <c r="A50" s="17"/>
      <c r="B50" s="31" t="s">
        <v>1126</v>
      </c>
      <c r="C50" s="23"/>
      <c r="D50" s="32"/>
      <c r="E50" s="24"/>
      <c r="F50" s="25"/>
      <c r="G50" s="24"/>
      <c r="H50" s="24"/>
      <c r="I50" s="24"/>
      <c r="J50" s="24"/>
      <c r="K50" s="24"/>
      <c r="L50" s="33">
        <f>L12</f>
        <v>493.68384000000003</v>
      </c>
      <c r="M50" s="34"/>
    </row>
    <row r="51" spans="1:16" s="19" customFormat="1" x14ac:dyDescent="0.2">
      <c r="A51" s="17"/>
      <c r="B51" s="31" t="s">
        <v>1127</v>
      </c>
      <c r="C51" s="23"/>
      <c r="D51" s="32"/>
      <c r="E51" s="24"/>
      <c r="F51" s="25"/>
      <c r="G51" s="24"/>
      <c r="H51" s="24"/>
      <c r="I51" s="24"/>
      <c r="J51" s="24"/>
      <c r="K51" s="24"/>
      <c r="L51" s="33">
        <f>L16</f>
        <v>55.034336000000003</v>
      </c>
      <c r="M51" s="34"/>
    </row>
    <row r="52" spans="1:16" s="19" customFormat="1" x14ac:dyDescent="0.2">
      <c r="A52" s="17"/>
      <c r="B52" s="31" t="s">
        <v>1128</v>
      </c>
      <c r="C52" s="23"/>
      <c r="D52" s="32"/>
      <c r="E52" s="24"/>
      <c r="F52" s="25"/>
      <c r="G52" s="24"/>
      <c r="H52" s="24"/>
      <c r="I52" s="24"/>
      <c r="J52" s="24"/>
      <c r="K52" s="24"/>
      <c r="L52" s="33">
        <f>L27</f>
        <v>277.48481600000002</v>
      </c>
      <c r="M52" s="34"/>
    </row>
    <row r="53" spans="1:16" s="19" customFormat="1" x14ac:dyDescent="0.2">
      <c r="A53" s="17"/>
      <c r="B53" s="31" t="s">
        <v>1129</v>
      </c>
      <c r="C53" s="23"/>
      <c r="D53" s="32"/>
      <c r="E53" s="24"/>
      <c r="F53" s="25"/>
      <c r="G53" s="24"/>
      <c r="H53" s="24"/>
      <c r="I53" s="24"/>
      <c r="J53" s="24"/>
      <c r="K53" s="24"/>
      <c r="L53" s="33">
        <f>L31</f>
        <v>22.401000000000003</v>
      </c>
      <c r="M53" s="34"/>
    </row>
    <row r="54" spans="1:16" s="19" customFormat="1" x14ac:dyDescent="0.2">
      <c r="A54" s="17"/>
      <c r="B54" s="31" t="s">
        <v>1130</v>
      </c>
      <c r="C54" s="23"/>
      <c r="D54" s="32"/>
      <c r="E54" s="24"/>
      <c r="F54" s="25"/>
      <c r="G54" s="24"/>
      <c r="H54" s="24"/>
      <c r="I54" s="24"/>
      <c r="J54" s="24"/>
      <c r="K54" s="24"/>
      <c r="L54" s="61">
        <f>L46</f>
        <v>700.11672266666642</v>
      </c>
      <c r="M54" s="34"/>
    </row>
    <row r="55" spans="1:16" s="19" customFormat="1" x14ac:dyDescent="0.2">
      <c r="A55" s="17"/>
      <c r="B55" s="35"/>
      <c r="C55" s="23"/>
      <c r="D55" s="24"/>
      <c r="E55" s="24"/>
      <c r="F55" s="25"/>
      <c r="G55" s="24"/>
      <c r="H55" s="24"/>
      <c r="I55" s="24"/>
      <c r="J55" s="63" t="s">
        <v>284</v>
      </c>
      <c r="K55" s="63"/>
      <c r="L55" s="63">
        <f>SUM(L49:L54)</f>
        <v>1709.9773146666666</v>
      </c>
      <c r="M55" s="34"/>
    </row>
    <row r="56" spans="1:16" s="19" customFormat="1" ht="13.5" thickBot="1" x14ac:dyDescent="0.25">
      <c r="A56" s="17"/>
      <c r="B56" s="36"/>
      <c r="C56" s="37"/>
      <c r="D56" s="38"/>
      <c r="E56" s="38"/>
      <c r="F56" s="39"/>
      <c r="G56" s="38"/>
      <c r="H56" s="38"/>
      <c r="I56" s="38"/>
      <c r="J56" s="38"/>
      <c r="K56" s="38"/>
      <c r="L56" s="38"/>
      <c r="M56" s="40"/>
    </row>
    <row r="57" spans="1:16" s="19" customFormat="1" x14ac:dyDescent="0.2">
      <c r="A57" s="17"/>
      <c r="B57" s="18"/>
      <c r="D57" s="20"/>
      <c r="E57" s="20"/>
      <c r="F57" s="22"/>
      <c r="G57" s="20"/>
      <c r="H57" s="20"/>
      <c r="I57" s="20"/>
      <c r="J57" s="20"/>
      <c r="K57" s="20"/>
      <c r="L57" s="41"/>
    </row>
    <row r="58" spans="1:16" x14ac:dyDescent="0.2">
      <c r="B58" s="57" t="s">
        <v>1115</v>
      </c>
      <c r="C58" s="58"/>
      <c r="D58" s="59">
        <v>1</v>
      </c>
      <c r="E58" s="58"/>
      <c r="F58" s="58">
        <f>D58/0.1</f>
        <v>10</v>
      </c>
      <c r="G58" s="58"/>
      <c r="H58" s="59">
        <v>0.39300000000000002</v>
      </c>
      <c r="I58" s="58"/>
      <c r="J58" s="58"/>
      <c r="K58" s="58" t="s">
        <v>696</v>
      </c>
      <c r="L58" s="60">
        <f>D58*F58*H58</f>
        <v>3.93</v>
      </c>
    </row>
    <row r="59" spans="1:16" x14ac:dyDescent="0.2">
      <c r="B59" s="57" t="s">
        <v>1116</v>
      </c>
      <c r="C59" s="58"/>
      <c r="D59" s="59">
        <v>0.8</v>
      </c>
      <c r="E59" s="58"/>
      <c r="F59" s="58">
        <f>D59/0.1</f>
        <v>8</v>
      </c>
      <c r="G59" s="58"/>
      <c r="H59" s="59">
        <v>0.39300000000000002</v>
      </c>
      <c r="I59" s="58"/>
      <c r="J59" s="58"/>
      <c r="K59" s="58" t="s">
        <v>696</v>
      </c>
      <c r="L59" s="61">
        <f>D59*F59*H59</f>
        <v>2.5152000000000001</v>
      </c>
    </row>
    <row r="60" spans="1:16" s="19" customFormat="1" x14ac:dyDescent="0.2">
      <c r="A60" s="17"/>
      <c r="B60" s="57"/>
      <c r="C60" s="58"/>
      <c r="D60" s="59"/>
      <c r="E60" s="59"/>
      <c r="F60" s="60"/>
      <c r="G60" s="59"/>
      <c r="H60" s="59"/>
      <c r="I60" s="59"/>
      <c r="J60" s="59"/>
      <c r="K60" s="59"/>
      <c r="L60" s="62">
        <f>SUM(L58:L59)</f>
        <v>6.4451999999999998</v>
      </c>
    </row>
    <row r="61" spans="1:16" s="19" customFormat="1" x14ac:dyDescent="0.2">
      <c r="A61" s="17"/>
      <c r="B61" s="18"/>
      <c r="D61" s="20"/>
      <c r="E61" s="20"/>
      <c r="F61" s="22"/>
      <c r="G61" s="20"/>
      <c r="H61" s="20"/>
      <c r="I61" s="20"/>
      <c r="J61" s="20"/>
      <c r="K61" s="20"/>
      <c r="L61" s="20"/>
      <c r="P61" s="42"/>
    </row>
  </sheetData>
  <mergeCells count="1">
    <mergeCell ref="B2:L2"/>
  </mergeCells>
  <pageMargins left="0.75" right="0.75" top="1" bottom="1" header="0.5" footer="0.5"/>
  <pageSetup orientation="portrait" horizontalDpi="4294967293" verticalDpi="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W222"/>
  <sheetViews>
    <sheetView topLeftCell="A181" zoomScale="85" zoomScaleNormal="85" workbookViewId="0">
      <selection activeCell="I26" sqref="I26"/>
    </sheetView>
  </sheetViews>
  <sheetFormatPr defaultColWidth="12.5703125" defaultRowHeight="15" x14ac:dyDescent="0.2"/>
  <cols>
    <col min="1" max="1" width="6.85546875" style="724" customWidth="1"/>
    <col min="2" max="2" width="7.5703125" style="873" customWidth="1"/>
    <col min="3" max="3" width="2.7109375" style="725" customWidth="1"/>
    <col min="4" max="4" width="43.5703125" style="725" customWidth="1"/>
    <col min="5" max="5" width="4" style="725" customWidth="1"/>
    <col min="6" max="6" width="25.7109375" style="725" customWidth="1"/>
    <col min="7" max="7" width="12.5703125" style="873" customWidth="1"/>
    <col min="8" max="8" width="7.7109375" style="725" customWidth="1"/>
    <col min="9" max="9" width="15.7109375" style="873" customWidth="1"/>
    <col min="10" max="10" width="17.7109375" style="725" customWidth="1"/>
    <col min="11" max="11" width="1.7109375" style="725" customWidth="1"/>
    <col min="12" max="12" width="20.140625" style="725" customWidth="1"/>
    <col min="13" max="13" width="25.7109375" style="725" hidden="1" customWidth="1"/>
    <col min="14" max="15" width="1.7109375" style="725" customWidth="1"/>
    <col min="16" max="16" width="12.42578125" style="725" customWidth="1"/>
    <col min="17" max="17" width="21.5703125" style="725" customWidth="1"/>
    <col min="18" max="18" width="15.42578125" style="725" customWidth="1"/>
    <col min="19" max="19" width="12.5703125" style="725"/>
    <col min="20" max="20" width="18" style="726" bestFit="1" customWidth="1"/>
    <col min="21" max="21" width="1.7109375" style="726" customWidth="1"/>
    <col min="22" max="22" width="19.42578125" style="726" bestFit="1" customWidth="1"/>
    <col min="23" max="23" width="21.28515625" style="726" bestFit="1" customWidth="1"/>
    <col min="24" max="16384" width="12.5703125" style="725"/>
  </cols>
  <sheetData>
    <row r="3" spans="1:23" x14ac:dyDescent="0.2">
      <c r="B3" s="3517" t="s">
        <v>278</v>
      </c>
      <c r="C3" s="3517"/>
      <c r="D3" s="3517"/>
      <c r="E3" s="3517"/>
      <c r="F3" s="3517"/>
      <c r="G3" s="3517"/>
      <c r="H3" s="3517"/>
      <c r="I3" s="3517"/>
      <c r="J3" s="3517"/>
      <c r="K3" s="3517"/>
      <c r="L3" s="3517"/>
    </row>
    <row r="10" spans="1:23" ht="26.25" x14ac:dyDescent="0.2">
      <c r="A10" s="727"/>
      <c r="B10" s="3518" t="s">
        <v>1503</v>
      </c>
      <c r="C10" s="3518"/>
      <c r="D10" s="3518"/>
      <c r="E10" s="3518"/>
      <c r="F10" s="3518"/>
      <c r="G10" s="3518"/>
      <c r="H10" s="3518"/>
      <c r="I10" s="3518"/>
      <c r="J10" s="3518"/>
      <c r="K10" s="3518"/>
      <c r="L10" s="3518"/>
      <c r="M10" s="3518"/>
      <c r="N10" s="728"/>
      <c r="T10" s="725"/>
      <c r="U10" s="725"/>
      <c r="V10" s="725"/>
      <c r="W10" s="725"/>
    </row>
    <row r="11" spans="1:23" ht="15.75" x14ac:dyDescent="0.2">
      <c r="A11" s="727"/>
      <c r="B11" s="3519"/>
      <c r="C11" s="3519"/>
      <c r="D11" s="3519"/>
      <c r="E11" s="3519"/>
      <c r="F11" s="3519"/>
      <c r="G11" s="3519"/>
      <c r="H11" s="3519"/>
      <c r="I11" s="3519"/>
      <c r="J11" s="3519"/>
      <c r="K11" s="3519"/>
      <c r="L11" s="3519"/>
      <c r="M11" s="3519"/>
      <c r="N11" s="728"/>
      <c r="T11" s="725"/>
      <c r="U11" s="725"/>
      <c r="V11" s="725"/>
      <c r="W11" s="725"/>
    </row>
    <row r="12" spans="1:23" ht="15.75" x14ac:dyDescent="0.2">
      <c r="A12" s="732"/>
      <c r="B12" s="733"/>
      <c r="C12" s="729"/>
      <c r="D12" s="730" t="str">
        <f>'data primer'!B4</f>
        <v>KEGIATAN</v>
      </c>
      <c r="E12" s="730" t="str">
        <f>'data primer'!D4</f>
        <v>:</v>
      </c>
      <c r="F12" s="731" t="str">
        <f>RAB.PERTANIAN!F3</f>
        <v>PEMBANGUNAN GEDUNG KANTOR DINAS PERTANIAN, PANGAN DAN PERIKANAN KARANGANYAR</v>
      </c>
      <c r="G12" s="734"/>
      <c r="H12" s="729"/>
      <c r="I12" s="734"/>
      <c r="J12" s="729"/>
      <c r="K12" s="729"/>
      <c r="L12" s="735"/>
      <c r="M12" s="729"/>
      <c r="T12" s="725"/>
      <c r="U12" s="725"/>
      <c r="V12" s="725"/>
      <c r="W12" s="725"/>
    </row>
    <row r="13" spans="1:23" ht="15.75" x14ac:dyDescent="0.2">
      <c r="A13" s="732"/>
      <c r="B13" s="733"/>
      <c r="C13" s="729"/>
      <c r="D13" s="730" t="str">
        <f>'data primer'!B6</f>
        <v>L O K A S I</v>
      </c>
      <c r="E13" s="730" t="str">
        <f>'data primer'!D6</f>
        <v>:</v>
      </c>
      <c r="F13" s="731" t="str">
        <f>RAB.PERTANIAN!F5</f>
        <v>KARANGANYAR</v>
      </c>
      <c r="G13" s="734"/>
      <c r="H13" s="729"/>
      <c r="I13" s="734"/>
      <c r="J13" s="729"/>
      <c r="K13" s="729"/>
      <c r="L13" s="729"/>
      <c r="M13" s="729"/>
      <c r="T13" s="725"/>
      <c r="U13" s="725"/>
      <c r="V13" s="725"/>
      <c r="W13" s="725"/>
    </row>
    <row r="14" spans="1:23" ht="15.75" x14ac:dyDescent="0.2">
      <c r="A14" s="732"/>
      <c r="B14" s="733"/>
      <c r="C14" s="729"/>
      <c r="D14" s="730" t="str">
        <f>'data primer'!B7</f>
        <v>KABUPATEN</v>
      </c>
      <c r="E14" s="730" t="str">
        <f>'data primer'!D7</f>
        <v>:</v>
      </c>
      <c r="F14" s="731" t="str">
        <f>RAB.PERTANIAN!F6</f>
        <v>KARANGANYAR</v>
      </c>
      <c r="G14" s="734"/>
      <c r="H14" s="729"/>
      <c r="I14" s="734"/>
      <c r="J14" s="735"/>
      <c r="K14" s="729"/>
      <c r="L14" s="729"/>
      <c r="M14" s="729"/>
      <c r="T14" s="725"/>
      <c r="U14" s="725"/>
      <c r="V14" s="725"/>
      <c r="W14" s="725"/>
    </row>
    <row r="15" spans="1:23" ht="15.75" x14ac:dyDescent="0.2">
      <c r="A15" s="732"/>
      <c r="B15" s="733"/>
      <c r="C15" s="729"/>
      <c r="D15" s="730" t="str">
        <f>'data primer'!B8</f>
        <v>SUMBER DANA</v>
      </c>
      <c r="E15" s="730" t="str">
        <f>'data primer'!D8</f>
        <v>:</v>
      </c>
      <c r="F15" s="731" t="s">
        <v>1896</v>
      </c>
      <c r="G15" s="734"/>
      <c r="H15" s="729"/>
      <c r="I15" s="734"/>
      <c r="J15" s="735"/>
      <c r="K15" s="729"/>
      <c r="L15" s="729"/>
      <c r="M15" s="729"/>
      <c r="T15" s="725"/>
      <c r="U15" s="725"/>
      <c r="V15" s="725"/>
      <c r="W15" s="725"/>
    </row>
    <row r="16" spans="1:23" ht="15.75" x14ac:dyDescent="0.2">
      <c r="A16" s="732"/>
      <c r="B16" s="733"/>
      <c r="C16" s="729"/>
      <c r="D16" s="730" t="str">
        <f>'data primer'!B9</f>
        <v>TAHUN ANGGARAN</v>
      </c>
      <c r="E16" s="730" t="str">
        <f>'data primer'!D9</f>
        <v>:</v>
      </c>
      <c r="F16" s="731" t="str">
        <f>RAB.PERTANIAN!F7</f>
        <v>2023</v>
      </c>
      <c r="G16" s="734"/>
      <c r="H16" s="729"/>
      <c r="I16" s="734"/>
      <c r="J16" s="735"/>
      <c r="K16" s="729"/>
      <c r="L16" s="729"/>
      <c r="M16" s="729"/>
      <c r="T16" s="725"/>
      <c r="U16" s="725"/>
      <c r="V16" s="725"/>
      <c r="W16" s="725"/>
    </row>
    <row r="17" spans="1:23" ht="16.5" thickBot="1" x14ac:dyDescent="0.25">
      <c r="A17" s="732"/>
      <c r="B17" s="734"/>
      <c r="C17" s="729"/>
      <c r="D17" s="729"/>
      <c r="E17" s="729"/>
      <c r="F17" s="729"/>
      <c r="G17" s="734"/>
      <c r="H17" s="729"/>
      <c r="I17" s="734"/>
      <c r="J17" s="729"/>
      <c r="K17" s="729"/>
      <c r="L17" s="729"/>
      <c r="M17" s="729"/>
      <c r="T17" s="725"/>
      <c r="U17" s="725"/>
      <c r="V17" s="725"/>
      <c r="W17" s="725"/>
    </row>
    <row r="18" spans="1:23" s="729" customFormat="1" ht="20.100000000000001" customHeight="1" thickTop="1" x14ac:dyDescent="0.2">
      <c r="A18" s="736"/>
      <c r="B18" s="737"/>
      <c r="C18" s="738"/>
      <c r="D18" s="739"/>
      <c r="E18" s="739"/>
      <c r="F18" s="740"/>
      <c r="G18" s="741"/>
      <c r="H18" s="740"/>
      <c r="I18" s="742"/>
      <c r="J18" s="740"/>
      <c r="K18" s="739"/>
      <c r="L18" s="743"/>
      <c r="M18" s="744"/>
      <c r="N18" s="730"/>
      <c r="O18" s="730"/>
      <c r="P18" s="730"/>
    </row>
    <row r="19" spans="1:23" s="729" customFormat="1" ht="20.100000000000001" customHeight="1" x14ac:dyDescent="0.2">
      <c r="A19" s="736"/>
      <c r="B19" s="745" t="s">
        <v>362</v>
      </c>
      <c r="C19" s="746"/>
      <c r="D19" s="746" t="s">
        <v>784</v>
      </c>
      <c r="E19" s="746"/>
      <c r="F19" s="747"/>
      <c r="G19" s="748" t="s">
        <v>422</v>
      </c>
      <c r="H19" s="747" t="s">
        <v>1350</v>
      </c>
      <c r="I19" s="749" t="s">
        <v>364</v>
      </c>
      <c r="J19" s="749" t="s">
        <v>263</v>
      </c>
      <c r="K19" s="750"/>
      <c r="L19" s="751" t="s">
        <v>1504</v>
      </c>
      <c r="M19" s="752" t="s">
        <v>347</v>
      </c>
      <c r="N19" s="730"/>
      <c r="O19" s="730"/>
      <c r="P19" s="730"/>
    </row>
    <row r="20" spans="1:23" s="729" customFormat="1" ht="20.100000000000001" customHeight="1" x14ac:dyDescent="0.2">
      <c r="A20" s="736"/>
      <c r="B20" s="745"/>
      <c r="C20" s="746"/>
      <c r="D20" s="746"/>
      <c r="E20" s="746"/>
      <c r="F20" s="747"/>
      <c r="G20" s="748"/>
      <c r="H20" s="747"/>
      <c r="I20" s="749"/>
      <c r="J20" s="749" t="s">
        <v>262</v>
      </c>
      <c r="K20" s="746"/>
      <c r="L20" s="753" t="s">
        <v>263</v>
      </c>
      <c r="M20" s="752" t="s">
        <v>448</v>
      </c>
      <c r="N20" s="730"/>
      <c r="O20" s="730"/>
      <c r="P20" s="730"/>
    </row>
    <row r="21" spans="1:23" s="729" customFormat="1" ht="20.100000000000001" customHeight="1" x14ac:dyDescent="0.2">
      <c r="A21" s="736"/>
      <c r="B21" s="754"/>
      <c r="C21" s="755"/>
      <c r="D21" s="755"/>
      <c r="E21" s="755"/>
      <c r="F21" s="756"/>
      <c r="G21" s="757" t="s">
        <v>278</v>
      </c>
      <c r="H21" s="756"/>
      <c r="I21" s="758"/>
      <c r="J21" s="758" t="s">
        <v>348</v>
      </c>
      <c r="K21" s="759"/>
      <c r="L21" s="760" t="s">
        <v>348</v>
      </c>
      <c r="M21" s="761" t="s">
        <v>348</v>
      </c>
      <c r="N21" s="730"/>
      <c r="O21" s="730"/>
      <c r="P21" s="730"/>
    </row>
    <row r="22" spans="1:23" s="729" customFormat="1" ht="20.100000000000001" customHeight="1" thickBot="1" x14ac:dyDescent="0.25">
      <c r="A22" s="736"/>
      <c r="B22" s="762" t="s">
        <v>349</v>
      </c>
      <c r="C22" s="763"/>
      <c r="D22" s="3520" t="s">
        <v>228</v>
      </c>
      <c r="E22" s="3520"/>
      <c r="F22" s="3521"/>
      <c r="G22" s="764" t="s">
        <v>350</v>
      </c>
      <c r="H22" s="763"/>
      <c r="I22" s="765" t="s">
        <v>351</v>
      </c>
      <c r="J22" s="765" t="s">
        <v>352</v>
      </c>
      <c r="K22" s="766" t="s">
        <v>353</v>
      </c>
      <c r="L22" s="767"/>
      <c r="M22" s="768" t="s">
        <v>354</v>
      </c>
      <c r="N22" s="730"/>
      <c r="O22" s="730"/>
      <c r="P22" s="730"/>
    </row>
    <row r="23" spans="1:23" s="729" customFormat="1" ht="20.100000000000001" customHeight="1" x14ac:dyDescent="0.2">
      <c r="A23" s="736"/>
      <c r="B23" s="1430"/>
      <c r="C23" s="1431"/>
      <c r="D23" s="1432"/>
      <c r="E23" s="1432"/>
      <c r="F23" s="1433"/>
      <c r="G23" s="1434"/>
      <c r="H23" s="1431"/>
      <c r="I23" s="1435"/>
      <c r="J23" s="1436"/>
      <c r="K23" s="1437"/>
      <c r="L23" s="1438"/>
      <c r="M23" s="752"/>
      <c r="N23" s="730"/>
      <c r="O23" s="730"/>
      <c r="P23" s="730"/>
    </row>
    <row r="24" spans="1:23" s="729" customFormat="1" ht="20.100000000000001" customHeight="1" x14ac:dyDescent="0.2">
      <c r="A24" s="736"/>
      <c r="B24" s="1439" t="s">
        <v>542</v>
      </c>
      <c r="C24" s="1440"/>
      <c r="D24" s="1441" t="s">
        <v>1759</v>
      </c>
      <c r="E24" s="1442"/>
      <c r="F24" s="1443"/>
      <c r="G24" s="1444"/>
      <c r="H24" s="1440"/>
      <c r="I24" s="1445"/>
      <c r="J24" s="1446"/>
      <c r="K24" s="1447"/>
      <c r="L24" s="1448"/>
      <c r="M24" s="752"/>
      <c r="N24" s="730"/>
      <c r="O24" s="730"/>
      <c r="P24" s="730"/>
    </row>
    <row r="25" spans="1:23" s="729" customFormat="1" ht="20.100000000000001" customHeight="1" x14ac:dyDescent="0.2">
      <c r="A25" s="736"/>
      <c r="B25" s="769" t="s">
        <v>607</v>
      </c>
      <c r="C25" s="770"/>
      <c r="D25" s="771" t="s">
        <v>355</v>
      </c>
      <c r="E25" s="772"/>
      <c r="F25" s="773"/>
      <c r="G25" s="774"/>
      <c r="H25" s="775"/>
      <c r="I25" s="776"/>
      <c r="J25" s="777"/>
      <c r="K25" s="778"/>
      <c r="L25" s="779"/>
      <c r="M25" s="780"/>
      <c r="N25" s="730"/>
      <c r="O25" s="781"/>
      <c r="P25" s="782"/>
      <c r="Q25" s="783"/>
    </row>
    <row r="26" spans="1:23" s="729" customFormat="1" ht="20.100000000000001" customHeight="1" x14ac:dyDescent="0.2">
      <c r="A26" s="736">
        <f>satpek!B20</f>
        <v>1</v>
      </c>
      <c r="B26" s="784">
        <v>1</v>
      </c>
      <c r="C26" s="777"/>
      <c r="D26" s="785" t="str">
        <f>VLOOKUP($A26,satpek!$B$20:$N$144,2,0)</f>
        <v>Administrasi dan dokumentasi</v>
      </c>
      <c r="E26" s="785"/>
      <c r="F26" s="786"/>
      <c r="G26" s="787"/>
      <c r="H26" s="788" t="s">
        <v>273</v>
      </c>
      <c r="I26" s="789" t="s">
        <v>273</v>
      </c>
      <c r="J26" s="790">
        <v>600000</v>
      </c>
      <c r="K26" s="791"/>
      <c r="L26" s="792">
        <f t="shared" ref="L26:L28" si="0">ROUND((G26*J26),2)</f>
        <v>0</v>
      </c>
      <c r="M26" s="793"/>
      <c r="N26" s="730"/>
      <c r="O26" s="730"/>
      <c r="P26" s="782"/>
      <c r="Q26" s="783" t="e">
        <f>Q195</f>
        <v>#REF!</v>
      </c>
      <c r="R26" s="794"/>
    </row>
    <row r="27" spans="1:23" s="729" customFormat="1" ht="20.100000000000001" customHeight="1" x14ac:dyDescent="0.2">
      <c r="A27" s="736"/>
      <c r="B27" s="784">
        <f t="shared" ref="B27:B29" si="1">B26+1</f>
        <v>2</v>
      </c>
      <c r="C27" s="777"/>
      <c r="D27" s="785" t="e">
        <f>VLOOKUP($A27,satpek!$B$20:$N$144,2,0)</f>
        <v>#N/A</v>
      </c>
      <c r="E27" s="785"/>
      <c r="F27" s="786"/>
      <c r="G27" s="787"/>
      <c r="H27" s="788" t="e">
        <f>VLOOKUP($A27,satpek!$B$20:$N$144,7,0)</f>
        <v>#N/A</v>
      </c>
      <c r="I27" s="789" t="e">
        <f>VLOOKUP($A27,satpek!$B$20:$N$144,5,0)</f>
        <v>#N/A</v>
      </c>
      <c r="J27" s="790" t="e">
        <f>VLOOKUP($A27,satpek!$B$20:$N$144,6,0)</f>
        <v>#N/A</v>
      </c>
      <c r="K27" s="791"/>
      <c r="L27" s="792" t="e">
        <f t="shared" si="0"/>
        <v>#N/A</v>
      </c>
      <c r="M27" s="793"/>
      <c r="N27" s="730"/>
      <c r="O27" s="730"/>
      <c r="P27" s="782"/>
      <c r="Q27" s="783"/>
      <c r="R27" s="794"/>
    </row>
    <row r="28" spans="1:23" s="729" customFormat="1" ht="20.100000000000001" customHeight="1" x14ac:dyDescent="0.2">
      <c r="A28" s="736"/>
      <c r="B28" s="784">
        <f t="shared" si="1"/>
        <v>3</v>
      </c>
      <c r="C28" s="777"/>
      <c r="D28" s="785" t="e">
        <f>VLOOKUP($A28,satpek!$B$20:$N$144,2,0)</f>
        <v>#N/A</v>
      </c>
      <c r="E28" s="785"/>
      <c r="F28" s="786"/>
      <c r="G28" s="787"/>
      <c r="H28" s="788" t="s">
        <v>273</v>
      </c>
      <c r="I28" s="789" t="s">
        <v>273</v>
      </c>
      <c r="J28" s="790">
        <f>'K3'!H47</f>
        <v>4535000</v>
      </c>
      <c r="K28" s="791"/>
      <c r="L28" s="792">
        <f t="shared" si="0"/>
        <v>0</v>
      </c>
      <c r="M28" s="793"/>
      <c r="N28" s="730"/>
      <c r="O28" s="730"/>
      <c r="P28" s="782"/>
      <c r="Q28" s="783"/>
      <c r="R28" s="794"/>
    </row>
    <row r="29" spans="1:23" s="729" customFormat="1" ht="20.100000000000001" customHeight="1" x14ac:dyDescent="0.2">
      <c r="A29" s="736"/>
      <c r="B29" s="784">
        <f t="shared" si="1"/>
        <v>4</v>
      </c>
      <c r="C29" s="777"/>
      <c r="D29" s="785" t="e">
        <f>VLOOKUP($A29,satpek!$B$20:$N$144,2,0)</f>
        <v>#N/A</v>
      </c>
      <c r="E29" s="785"/>
      <c r="F29" s="786"/>
      <c r="G29" s="787"/>
      <c r="H29" s="788" t="e">
        <f>VLOOKUP($A29,satpek!$B$20:$N$144,7,0)</f>
        <v>#N/A</v>
      </c>
      <c r="I29" s="789" t="e">
        <f>VLOOKUP($A29,satpek!$B$20:$N$144,5,0)</f>
        <v>#N/A</v>
      </c>
      <c r="J29" s="790" t="e">
        <f>VLOOKUP($A29,satpek!$B$20:$N$144,6,0)</f>
        <v>#N/A</v>
      </c>
      <c r="K29" s="791"/>
      <c r="L29" s="792" t="e">
        <f t="shared" ref="L29" si="2">ROUND((G29*J29),2)</f>
        <v>#N/A</v>
      </c>
      <c r="M29" s="793"/>
      <c r="N29" s="730"/>
      <c r="O29" s="730"/>
      <c r="P29" s="782"/>
      <c r="Q29" s="783"/>
      <c r="R29" s="794"/>
    </row>
    <row r="30" spans="1:23" s="729" customFormat="1" ht="20.100000000000001" customHeight="1" x14ac:dyDescent="0.2">
      <c r="A30" s="736"/>
      <c r="B30" s="1449"/>
      <c r="C30" s="1450"/>
      <c r="D30" s="1451"/>
      <c r="E30" s="1451"/>
      <c r="F30" s="1452"/>
      <c r="G30" s="1453"/>
      <c r="H30" s="1454"/>
      <c r="I30" s="1455"/>
      <c r="J30" s="1456"/>
      <c r="K30" s="1457"/>
      <c r="L30" s="1458"/>
      <c r="M30" s="1459"/>
      <c r="N30" s="730"/>
      <c r="O30" s="730"/>
      <c r="P30" s="782"/>
      <c r="Q30" s="783"/>
      <c r="R30" s="794"/>
    </row>
    <row r="31" spans="1:23" s="729" customFormat="1" ht="20.100000000000001" customHeight="1" x14ac:dyDescent="0.2">
      <c r="A31" s="736"/>
      <c r="B31" s="1449"/>
      <c r="C31" s="1450"/>
      <c r="D31" s="1451"/>
      <c r="E31" s="1451"/>
      <c r="F31" s="1452"/>
      <c r="G31" s="1453"/>
      <c r="H31" s="1454"/>
      <c r="I31" s="1455"/>
      <c r="J31" s="1456"/>
      <c r="K31" s="1457"/>
      <c r="L31" s="1458"/>
      <c r="M31" s="1459"/>
      <c r="N31" s="730"/>
      <c r="O31" s="730"/>
      <c r="P31" s="782"/>
      <c r="Q31" s="783"/>
      <c r="R31" s="794"/>
    </row>
    <row r="32" spans="1:23" s="729" customFormat="1" ht="20.100000000000001" customHeight="1" x14ac:dyDescent="0.2">
      <c r="A32" s="736"/>
      <c r="B32" s="1449"/>
      <c r="C32" s="1450"/>
      <c r="D32" s="1451"/>
      <c r="E32" s="1451"/>
      <c r="F32" s="1452"/>
      <c r="G32" s="1453"/>
      <c r="H32" s="1454"/>
      <c r="I32" s="1455"/>
      <c r="J32" s="1456"/>
      <c r="K32" s="1457"/>
      <c r="L32" s="1458"/>
      <c r="M32" s="1459"/>
      <c r="N32" s="730"/>
      <c r="O32" s="730"/>
      <c r="P32" s="782"/>
      <c r="Q32" s="783"/>
      <c r="R32" s="794"/>
    </row>
    <row r="33" spans="1:18" s="729" customFormat="1" ht="20.100000000000001" customHeight="1" x14ac:dyDescent="0.2">
      <c r="A33" s="736"/>
      <c r="B33" s="1449"/>
      <c r="C33" s="1450"/>
      <c r="D33" s="1451"/>
      <c r="E33" s="1451"/>
      <c r="F33" s="1452"/>
      <c r="G33" s="1453"/>
      <c r="H33" s="1454"/>
      <c r="I33" s="1455"/>
      <c r="J33" s="1456"/>
      <c r="K33" s="1457"/>
      <c r="L33" s="1458"/>
      <c r="M33" s="1459"/>
      <c r="N33" s="730"/>
      <c r="O33" s="730"/>
      <c r="P33" s="782"/>
      <c r="Q33" s="783"/>
      <c r="R33" s="794"/>
    </row>
    <row r="34" spans="1:18" s="729" customFormat="1" ht="20.100000000000001" customHeight="1" x14ac:dyDescent="0.2">
      <c r="A34" s="736"/>
      <c r="B34" s="784"/>
      <c r="C34" s="777"/>
      <c r="D34" s="785"/>
      <c r="E34" s="785"/>
      <c r="F34" s="786"/>
      <c r="G34" s="787"/>
      <c r="H34" s="788"/>
      <c r="I34" s="789"/>
      <c r="J34" s="795"/>
      <c r="K34" s="791"/>
      <c r="L34" s="792"/>
      <c r="M34" s="793"/>
      <c r="N34" s="730"/>
      <c r="O34" s="730"/>
      <c r="P34" s="782"/>
      <c r="Q34" s="783"/>
      <c r="R34" s="794"/>
    </row>
    <row r="35" spans="1:18" s="729" customFormat="1" ht="20.100000000000001" customHeight="1" x14ac:dyDescent="0.2">
      <c r="A35" s="736"/>
      <c r="B35" s="796"/>
      <c r="C35" s="797"/>
      <c r="D35" s="798"/>
      <c r="E35" s="798"/>
      <c r="F35" s="799"/>
      <c r="G35" s="800"/>
      <c r="H35" s="801"/>
      <c r="I35" s="802" t="s">
        <v>556</v>
      </c>
      <c r="J35" s="803" t="str">
        <f>B25</f>
        <v>A</v>
      </c>
      <c r="K35" s="804"/>
      <c r="L35" s="805" t="e">
        <f>SUM(L25:L34)</f>
        <v>#N/A</v>
      </c>
      <c r="M35" s="806"/>
      <c r="N35" s="730"/>
      <c r="O35" s="730"/>
      <c r="P35" s="782"/>
      <c r="Q35" s="783"/>
      <c r="R35" s="794"/>
    </row>
    <row r="36" spans="1:18" s="821" customFormat="1" ht="20.100000000000001" customHeight="1" x14ac:dyDescent="0.2">
      <c r="A36" s="808"/>
      <c r="B36" s="809" t="s">
        <v>547</v>
      </c>
      <c r="C36" s="810"/>
      <c r="D36" s="811" t="s">
        <v>356</v>
      </c>
      <c r="E36" s="811"/>
      <c r="F36" s="812"/>
      <c r="G36" s="813"/>
      <c r="H36" s="814"/>
      <c r="I36" s="815"/>
      <c r="J36" s="816"/>
      <c r="K36" s="817"/>
      <c r="L36" s="818"/>
      <c r="M36" s="819"/>
      <c r="N36" s="820"/>
      <c r="O36" s="820"/>
      <c r="P36" s="782"/>
      <c r="Q36" s="783"/>
      <c r="R36" s="794"/>
    </row>
    <row r="37" spans="1:18" s="729" customFormat="1" ht="20.100000000000001" customHeight="1" x14ac:dyDescent="0.2">
      <c r="A37" s="736" t="e">
        <f>satpek!#REF!</f>
        <v>#REF!</v>
      </c>
      <c r="B37" s="784">
        <v>1</v>
      </c>
      <c r="C37" s="777"/>
      <c r="D37" s="785" t="e">
        <f>VLOOKUP($A37,satpek!$B$20:$N$144,2,0)</f>
        <v>#REF!</v>
      </c>
      <c r="E37" s="822" t="s">
        <v>1676</v>
      </c>
      <c r="F37" s="786"/>
      <c r="G37" s="787">
        <f>vol.!S23</f>
        <v>0.40200000000000008</v>
      </c>
      <c r="H37" s="788" t="e">
        <f>VLOOKUP($A37,satpek!$B$20:$N$144,7,0)</f>
        <v>#REF!</v>
      </c>
      <c r="I37" s="789" t="e">
        <f>VLOOKUP($A37,satpek!$B$20:$N$144,5,0)</f>
        <v>#REF!</v>
      </c>
      <c r="J37" s="790" t="e">
        <f>VLOOKUP($A37,satpek!$B$20:$N$144,6,0)</f>
        <v>#REF!</v>
      </c>
      <c r="K37" s="791"/>
      <c r="L37" s="792" t="e">
        <f t="shared" ref="L37" si="3">ROUND((G37*J37),2)</f>
        <v>#REF!</v>
      </c>
      <c r="M37" s="793"/>
      <c r="N37" s="730"/>
      <c r="O37" s="730"/>
      <c r="P37" s="782"/>
      <c r="Q37" s="783"/>
      <c r="R37" s="794"/>
    </row>
    <row r="38" spans="1:18" s="729" customFormat="1" ht="20.100000000000001" customHeight="1" x14ac:dyDescent="0.2">
      <c r="A38" s="736">
        <f>satpek!$B$24</f>
        <v>5</v>
      </c>
      <c r="B38" s="784">
        <f>B37+1</f>
        <v>2</v>
      </c>
      <c r="C38" s="777"/>
      <c r="D38" s="785" t="str">
        <f>VLOOKUP($A38,satpek!$B$20:$N$144,2,0)</f>
        <v xml:space="preserve">Menggali tanah biasa sedalam 1 m' </v>
      </c>
      <c r="E38" s="785"/>
      <c r="F38" s="786"/>
      <c r="G38" s="787">
        <f>vol.!S35</f>
        <v>144.35100000000003</v>
      </c>
      <c r="H38" s="788" t="str">
        <f>VLOOKUP($A38,satpek!$B$20:$N$144,7,0)</f>
        <v>m3</v>
      </c>
      <c r="I38" s="789" t="str">
        <f>VLOOKUP($A38,satpek!$B$20:$N$144,5,0)</f>
        <v>A.2.3.1.1.</v>
      </c>
      <c r="J38" s="790">
        <f>VLOOKUP($A38,satpek!$B$20:$N$144,6,0)</f>
        <v>77376.75</v>
      </c>
      <c r="K38" s="791"/>
      <c r="L38" s="792">
        <f t="shared" ref="L38:L43" si="4">ROUND((G38*J38),2)</f>
        <v>11169411.24</v>
      </c>
      <c r="M38" s="793"/>
      <c r="N38" s="730"/>
      <c r="O38" s="730"/>
      <c r="P38" s="782"/>
      <c r="Q38" s="783"/>
      <c r="R38" s="794"/>
    </row>
    <row r="39" spans="1:18" s="729" customFormat="1" ht="20.100000000000001" customHeight="1" x14ac:dyDescent="0.2">
      <c r="A39" s="736">
        <f>satpek!$B$25</f>
        <v>6</v>
      </c>
      <c r="B39" s="784">
        <f>B38+1</f>
        <v>3</v>
      </c>
      <c r="C39" s="777"/>
      <c r="D39" s="785" t="str">
        <f>VLOOKUP($A39,satpek!$B$20:$N$144,2,0)</f>
        <v>Menggali tanah biasa sedalam 2 m'</v>
      </c>
      <c r="E39" s="785"/>
      <c r="F39" s="786"/>
      <c r="G39" s="787">
        <f>vol.!S38</f>
        <v>48.117000000000004</v>
      </c>
      <c r="H39" s="788" t="str">
        <f>VLOOKUP($A39,satpek!$B$20:$N$144,7,0)</f>
        <v>m3</v>
      </c>
      <c r="I39" s="789" t="str">
        <f>VLOOKUP($A39,satpek!$B$20:$N$144,5,0)</f>
        <v>A.2.3.1.2.</v>
      </c>
      <c r="J39" s="790">
        <f>VLOOKUP($A39,satpek!$B$20:$N$144,6,0)</f>
        <v>94377.600000000006</v>
      </c>
      <c r="K39" s="791"/>
      <c r="L39" s="792">
        <f t="shared" ref="L39" si="5">ROUND((G39*J39),2)</f>
        <v>4541166.9800000004</v>
      </c>
      <c r="M39" s="793"/>
      <c r="N39" s="730"/>
      <c r="O39" s="730"/>
      <c r="P39" s="782"/>
      <c r="Q39" s="783"/>
      <c r="R39" s="794"/>
    </row>
    <row r="40" spans="1:18" s="729" customFormat="1" ht="20.100000000000001" customHeight="1" x14ac:dyDescent="0.2">
      <c r="A40" s="736">
        <f>satpek!$B$26</f>
        <v>7</v>
      </c>
      <c r="B40" s="784">
        <f t="shared" ref="B40:B43" si="6">B39+1</f>
        <v>4</v>
      </c>
      <c r="C40" s="777"/>
      <c r="D40" s="785" t="str">
        <f>VLOOKUP($A40,satpek!$B$20:$N$144,2,0)</f>
        <v>Pengurugan kembali galian tanah</v>
      </c>
      <c r="E40" s="785"/>
      <c r="F40" s="786"/>
      <c r="G40" s="787">
        <f>vol.!S39</f>
        <v>160.55000000000001</v>
      </c>
      <c r="H40" s="788" t="str">
        <f>VLOOKUP($A40,satpek!$B$20:$N$144,7,0)</f>
        <v>m3</v>
      </c>
      <c r="I40" s="789" t="str">
        <f>VLOOKUP($A40,satpek!$B$20:$N$144,5,0)</f>
        <v>A.2.3.1.9.</v>
      </c>
      <c r="J40" s="790">
        <f>VLOOKUP($A40,satpek!$B$20:$N$144,6,0)</f>
        <v>54974.5</v>
      </c>
      <c r="K40" s="791"/>
      <c r="L40" s="792">
        <f t="shared" si="4"/>
        <v>8826155.9800000004</v>
      </c>
      <c r="M40" s="793"/>
      <c r="N40" s="730"/>
      <c r="O40" s="730"/>
      <c r="P40" s="782"/>
      <c r="Q40" s="783"/>
      <c r="R40" s="794"/>
    </row>
    <row r="41" spans="1:18" s="729" customFormat="1" ht="20.100000000000001" customHeight="1" x14ac:dyDescent="0.2">
      <c r="A41" s="736">
        <f>satpek!B28</f>
        <v>9</v>
      </c>
      <c r="B41" s="784">
        <f t="shared" si="6"/>
        <v>5</v>
      </c>
      <c r="C41" s="777"/>
      <c r="D41" s="785" t="str">
        <f>VLOOKUP($A41,satpek!$B$20:$N$144,2,0)</f>
        <v>Urug tanah padat</v>
      </c>
      <c r="E41" s="785"/>
      <c r="F41" s="786"/>
      <c r="G41" s="787">
        <f>vol.!S39</f>
        <v>160.55000000000001</v>
      </c>
      <c r="H41" s="788" t="str">
        <f>VLOOKUP($A41,satpek!$B$20:$N$144,7,0)</f>
        <v>m3</v>
      </c>
      <c r="I41" s="789" t="str">
        <f>VLOOKUP($A41,satpek!$B$20:$N$144,5,0)</f>
        <v>An. Dihitung</v>
      </c>
      <c r="J41" s="790">
        <f>VLOOKUP($A41,satpek!$B$20:$N$144,6,0)</f>
        <v>93326.7</v>
      </c>
      <c r="K41" s="791"/>
      <c r="L41" s="792">
        <f t="shared" ref="L41" si="7">ROUND((G41*J41),2)</f>
        <v>14983601.689999999</v>
      </c>
      <c r="M41" s="793"/>
      <c r="N41" s="730"/>
      <c r="O41" s="730"/>
      <c r="P41" s="782"/>
      <c r="Q41" s="783"/>
      <c r="R41" s="794"/>
    </row>
    <row r="42" spans="1:18" s="729" customFormat="1" ht="20.100000000000001" customHeight="1" x14ac:dyDescent="0.2">
      <c r="A42" s="736">
        <f>satpek!B27</f>
        <v>8</v>
      </c>
      <c r="B42" s="784">
        <f t="shared" si="6"/>
        <v>6</v>
      </c>
      <c r="C42" s="777"/>
      <c r="D42" s="785" t="str">
        <f>VLOOKUP($A42,satpek!$B$20:$N$144,2,0)</f>
        <v>Memadatkan tanah ( per 20 cm )</v>
      </c>
      <c r="E42" s="785"/>
      <c r="F42" s="786"/>
      <c r="G42" s="787">
        <f>vol.!S41</f>
        <v>208.66700000000003</v>
      </c>
      <c r="H42" s="788" t="str">
        <f>VLOOKUP($A42,satpek!$B$20:$N$144,7,0)</f>
        <v>m3</v>
      </c>
      <c r="I42" s="789" t="str">
        <f>VLOOKUP($A42,satpek!$B$20:$N$144,5,0)</f>
        <v>A.2.3.1.10.</v>
      </c>
      <c r="J42" s="790">
        <f>VLOOKUP($A42,satpek!$B$20:$N$144,6,0)</f>
        <v>54974.5</v>
      </c>
      <c r="K42" s="791"/>
      <c r="L42" s="792">
        <f t="shared" ref="L42" si="8">ROUND((G42*J42),2)</f>
        <v>11471363.99</v>
      </c>
      <c r="M42" s="793"/>
      <c r="N42" s="730"/>
      <c r="O42" s="730"/>
      <c r="P42" s="782"/>
      <c r="Q42" s="783"/>
      <c r="R42" s="794"/>
    </row>
    <row r="43" spans="1:18" s="729" customFormat="1" ht="20.100000000000001" customHeight="1" x14ac:dyDescent="0.2">
      <c r="A43" s="736">
        <f>satpek!$B$29</f>
        <v>10</v>
      </c>
      <c r="B43" s="784">
        <f t="shared" si="6"/>
        <v>7</v>
      </c>
      <c r="C43" s="777"/>
      <c r="D43" s="785" t="str">
        <f>VLOOKUP($A43,satpek!$B$20:$N$144,2,0)</f>
        <v>Mengurug pasir urug</v>
      </c>
      <c r="E43" s="785"/>
      <c r="F43" s="786"/>
      <c r="G43" s="787">
        <f>vol.!S56</f>
        <v>24.370999999999999</v>
      </c>
      <c r="H43" s="788" t="str">
        <f>VLOOKUP($A43,satpek!$B$20:$N$144,7,0)</f>
        <v>m3</v>
      </c>
      <c r="I43" s="789" t="str">
        <f>VLOOKUP($A43,satpek!$B$20:$N$144,5,0)</f>
        <v>A.2.3.1.11.</v>
      </c>
      <c r="J43" s="790">
        <f>VLOOKUP($A43,satpek!$B$20:$N$144,6,0)</f>
        <v>251978.7</v>
      </c>
      <c r="K43" s="791"/>
      <c r="L43" s="792">
        <f t="shared" si="4"/>
        <v>6140972.9000000004</v>
      </c>
      <c r="M43" s="793"/>
      <c r="N43" s="730"/>
      <c r="O43" s="730"/>
      <c r="P43" s="782"/>
      <c r="Q43" s="783"/>
      <c r="R43" s="794"/>
    </row>
    <row r="44" spans="1:18" s="729" customFormat="1" ht="20.100000000000001" customHeight="1" x14ac:dyDescent="0.2">
      <c r="A44" s="736"/>
      <c r="B44" s="784"/>
      <c r="C44" s="777"/>
      <c r="D44" s="785"/>
      <c r="E44" s="785"/>
      <c r="F44" s="786"/>
      <c r="G44" s="787"/>
      <c r="H44" s="788"/>
      <c r="I44" s="789"/>
      <c r="J44" s="795"/>
      <c r="K44" s="791"/>
      <c r="L44" s="792"/>
      <c r="M44" s="793"/>
      <c r="N44" s="730"/>
      <c r="O44" s="730"/>
      <c r="P44" s="782"/>
      <c r="Q44" s="783"/>
      <c r="R44" s="794"/>
    </row>
    <row r="45" spans="1:18" s="729" customFormat="1" ht="20.100000000000001" customHeight="1" x14ac:dyDescent="0.2">
      <c r="A45" s="736"/>
      <c r="B45" s="796"/>
      <c r="C45" s="797"/>
      <c r="D45" s="798"/>
      <c r="E45" s="798"/>
      <c r="F45" s="799"/>
      <c r="G45" s="800"/>
      <c r="H45" s="801"/>
      <c r="I45" s="802" t="s">
        <v>556</v>
      </c>
      <c r="J45" s="803" t="str">
        <f>B36</f>
        <v>II</v>
      </c>
      <c r="K45" s="804"/>
      <c r="L45" s="805" t="e">
        <f>SUM(L36:M44)</f>
        <v>#REF!</v>
      </c>
      <c r="M45" s="806"/>
      <c r="N45" s="730"/>
      <c r="O45" s="730"/>
      <c r="P45" s="782"/>
      <c r="Q45" s="783"/>
      <c r="R45" s="794"/>
    </row>
    <row r="46" spans="1:18" s="821" customFormat="1" ht="20.100000000000001" customHeight="1" x14ac:dyDescent="0.2">
      <c r="A46" s="808"/>
      <c r="B46" s="809" t="s">
        <v>0</v>
      </c>
      <c r="C46" s="810"/>
      <c r="D46" s="811" t="s">
        <v>357</v>
      </c>
      <c r="E46" s="811"/>
      <c r="F46" s="812"/>
      <c r="G46" s="813"/>
      <c r="H46" s="814"/>
      <c r="I46" s="815"/>
      <c r="J46" s="816"/>
      <c r="K46" s="817"/>
      <c r="L46" s="818"/>
      <c r="M46" s="819"/>
      <c r="N46" s="820"/>
      <c r="O46" s="820"/>
      <c r="P46" s="782"/>
      <c r="Q46" s="783"/>
      <c r="R46" s="794"/>
    </row>
    <row r="47" spans="1:18" s="729" customFormat="1" ht="20.100000000000001" customHeight="1" x14ac:dyDescent="0.2">
      <c r="A47" s="736">
        <f>satpek!B32</f>
        <v>13</v>
      </c>
      <c r="B47" s="784">
        <v>1</v>
      </c>
      <c r="C47" s="777"/>
      <c r="D47" s="785" t="str">
        <f>VLOOKUP($A47,satpek!$B$20:$N$144,2,0)</f>
        <v>Memasang batu kosong ( anstamping )</v>
      </c>
      <c r="E47" s="785"/>
      <c r="F47" s="786"/>
      <c r="G47" s="787">
        <f>vol.!S64</f>
        <v>22.807499999999997</v>
      </c>
      <c r="H47" s="788" t="str">
        <f>VLOOKUP($A47,satpek!$B$20:$N$144,7,0)</f>
        <v>m3</v>
      </c>
      <c r="I47" s="789" t="str">
        <f>VLOOKUP($A47,satpek!$B$20:$N$144,5,0)</f>
        <v>A.3.2.1.9.</v>
      </c>
      <c r="J47" s="790">
        <f>VLOOKUP($A47,satpek!$B$20:$N$144,6,0)</f>
        <v>571377.72</v>
      </c>
      <c r="K47" s="791"/>
      <c r="L47" s="792">
        <f t="shared" ref="L47" si="9">ROUND((G47*J47),2)</f>
        <v>13031697.35</v>
      </c>
      <c r="M47" s="793"/>
      <c r="N47" s="730"/>
      <c r="O47" s="730"/>
      <c r="P47" s="782"/>
      <c r="Q47" s="783"/>
      <c r="R47" s="794"/>
    </row>
    <row r="48" spans="1:18" s="729" customFormat="1" ht="20.100000000000001" customHeight="1" x14ac:dyDescent="0.2">
      <c r="A48" s="736">
        <f>satpek!B31</f>
        <v>12</v>
      </c>
      <c r="B48" s="784">
        <f t="shared" ref="B48:B53" si="10">B47+1</f>
        <v>2</v>
      </c>
      <c r="C48" s="777"/>
      <c r="D48" s="785" t="str">
        <f>VLOOKUP($A48,satpek!$B$20:$N$144,2,0)</f>
        <v>Memasang pondasi batu belah, campuran 1 PC : 8 PP</v>
      </c>
      <c r="E48" s="785"/>
      <c r="F48" s="786"/>
      <c r="G48" s="787">
        <f>vol.!S70</f>
        <v>83.334999999999994</v>
      </c>
      <c r="H48" s="788" t="str">
        <f>VLOOKUP($A48,satpek!$B$20:$N$144,7,0)</f>
        <v>m3</v>
      </c>
      <c r="I48" s="789" t="str">
        <f>VLOOKUP($A48,satpek!$B$20:$N$144,5,0)</f>
        <v>A.3.2.1.5.</v>
      </c>
      <c r="J48" s="790">
        <f>VLOOKUP($A48,satpek!$B$20:$N$144,6,0)</f>
        <v>923142.2</v>
      </c>
      <c r="K48" s="791"/>
      <c r="L48" s="792">
        <f t="shared" ref="L48" si="11">ROUND((G48*J48),2)</f>
        <v>76930055.239999995</v>
      </c>
      <c r="M48" s="793"/>
      <c r="N48" s="730"/>
      <c r="O48" s="730"/>
      <c r="P48" s="782"/>
      <c r="Q48" s="783"/>
      <c r="R48" s="794"/>
    </row>
    <row r="49" spans="1:18" s="729" customFormat="1" ht="20.100000000000001" customHeight="1" x14ac:dyDescent="0.2">
      <c r="A49" s="736">
        <f>satpek!$B$34</f>
        <v>15</v>
      </c>
      <c r="B49" s="784">
        <f t="shared" si="10"/>
        <v>3</v>
      </c>
      <c r="C49" s="777"/>
      <c r="D49" s="785" t="str">
        <f>VLOOKUP($A49,satpek!$B$20:$N$144,2,0)</f>
        <v>Membuat dinding bt. merah t: 1/2bata, camp 1PC:8PP</v>
      </c>
      <c r="E49" s="785"/>
      <c r="F49" s="786"/>
      <c r="G49" s="787">
        <f>vol.!S93</f>
        <v>649.27499999999998</v>
      </c>
      <c r="H49" s="788" t="str">
        <f>VLOOKUP($A49,satpek!$B$20:$N$144,7,0)</f>
        <v>m2</v>
      </c>
      <c r="I49" s="789" t="str">
        <f>VLOOKUP($A49,satpek!$B$20:$N$144,5,0)</f>
        <v>A.4.4.1.12.</v>
      </c>
      <c r="J49" s="790">
        <f>VLOOKUP($A49,satpek!$B$20:$N$144,6,0)</f>
        <v>129498</v>
      </c>
      <c r="K49" s="791"/>
      <c r="L49" s="792">
        <f t="shared" ref="L49:L51" si="12">ROUND((G49*J49),2)</f>
        <v>84079813.950000003</v>
      </c>
      <c r="M49" s="793"/>
      <c r="N49" s="730"/>
      <c r="O49" s="730"/>
      <c r="P49" s="782"/>
      <c r="Q49" s="783"/>
      <c r="R49" s="794"/>
    </row>
    <row r="50" spans="1:18" s="729" customFormat="1" ht="20.100000000000001" customHeight="1" x14ac:dyDescent="0.2">
      <c r="A50" s="736" t="e">
        <f>satpek!#REF!</f>
        <v>#REF!</v>
      </c>
      <c r="B50" s="784">
        <f t="shared" si="10"/>
        <v>4</v>
      </c>
      <c r="C50" s="777"/>
      <c r="D50" s="785" t="e">
        <f>VLOOKUP($A50,satpek!$B$20:$N$144,2,0)</f>
        <v>#REF!</v>
      </c>
      <c r="E50" s="785"/>
      <c r="F50" s="786"/>
      <c r="G50" s="787">
        <f>vol.!S96</f>
        <v>1298.55</v>
      </c>
      <c r="H50" s="788" t="e">
        <f>VLOOKUP($A50,satpek!$B$20:$N$144,7,0)</f>
        <v>#REF!</v>
      </c>
      <c r="I50" s="789" t="e">
        <f>VLOOKUP($A50,satpek!$B$20:$N$144,5,0)</f>
        <v>#REF!</v>
      </c>
      <c r="J50" s="790" t="e">
        <f>VLOOKUP($A50,satpek!$B$20:$N$144,6,0)</f>
        <v>#REF!</v>
      </c>
      <c r="K50" s="791"/>
      <c r="L50" s="792" t="e">
        <f t="shared" si="12"/>
        <v>#REF!</v>
      </c>
      <c r="M50" s="793"/>
      <c r="N50" s="730"/>
      <c r="O50" s="730"/>
      <c r="P50" s="782"/>
      <c r="Q50" s="783"/>
      <c r="R50" s="794"/>
    </row>
    <row r="51" spans="1:18" s="729" customFormat="1" ht="20.100000000000001" customHeight="1" x14ac:dyDescent="0.2">
      <c r="A51" s="736">
        <f>satpek!$B$37</f>
        <v>18</v>
      </c>
      <c r="B51" s="784">
        <f t="shared" si="10"/>
        <v>5</v>
      </c>
      <c r="C51" s="777"/>
      <c r="D51" s="785" t="str">
        <f>VLOOKUP($A51,satpek!$B$20:$N$144,2,0)</f>
        <v>Memasang acian</v>
      </c>
      <c r="E51" s="785"/>
      <c r="F51" s="786"/>
      <c r="G51" s="787">
        <f>vol.!S103</f>
        <v>1224.875</v>
      </c>
      <c r="H51" s="788" t="str">
        <f>VLOOKUP($A51,satpek!$B$20:$N$144,7,0)</f>
        <v>m2</v>
      </c>
      <c r="I51" s="789" t="str">
        <f>VLOOKUP($A51,satpek!$B$20:$N$144,5,0)</f>
        <v>A.4.4.2.27.</v>
      </c>
      <c r="J51" s="790">
        <f>VLOOKUP($A51,satpek!$B$20:$N$144,6,0)</f>
        <v>36634.6</v>
      </c>
      <c r="K51" s="791"/>
      <c r="L51" s="792">
        <f t="shared" si="12"/>
        <v>44872805.68</v>
      </c>
      <c r="M51" s="793"/>
      <c r="N51" s="730"/>
      <c r="O51" s="730"/>
      <c r="P51" s="782"/>
      <c r="Q51" s="783"/>
      <c r="R51" s="794"/>
    </row>
    <row r="52" spans="1:18" s="729" customFormat="1" ht="20.100000000000001" customHeight="1" x14ac:dyDescent="0.2">
      <c r="A52" s="736">
        <f>satpek!B109</f>
        <v>90</v>
      </c>
      <c r="B52" s="784">
        <f t="shared" si="10"/>
        <v>6</v>
      </c>
      <c r="C52" s="777"/>
      <c r="D52" s="785" t="str">
        <f>VLOOKUP($A52,satpek!$B$20:$N$144,2,0)</f>
        <v>Sponengan</v>
      </c>
      <c r="E52" s="785"/>
      <c r="F52" s="786"/>
      <c r="G52" s="787">
        <f>vol.!S115</f>
        <v>513.80000000000007</v>
      </c>
      <c r="H52" s="788" t="str">
        <f>VLOOKUP($A52,satpek!$B$20:$N$144,7,0)</f>
        <v>m'</v>
      </c>
      <c r="I52" s="789" t="str">
        <f>VLOOKUP($A52,satpek!$B$20:$N$144,5,0)</f>
        <v>Harga Satuan</v>
      </c>
      <c r="J52" s="790">
        <f>VLOOKUP($A52,satpek!$B$20:$N$144,6,0)</f>
        <v>15000</v>
      </c>
      <c r="K52" s="791"/>
      <c r="L52" s="792">
        <f t="shared" ref="L52" si="13">ROUND((G52*J52),2)</f>
        <v>7707000</v>
      </c>
      <c r="M52" s="793"/>
      <c r="N52" s="730"/>
      <c r="O52" s="730"/>
      <c r="P52" s="782"/>
      <c r="Q52" s="783"/>
      <c r="R52" s="794"/>
    </row>
    <row r="53" spans="1:18" s="729" customFormat="1" ht="20.100000000000001" customHeight="1" x14ac:dyDescent="0.2">
      <c r="A53" s="736" t="e">
        <f>satpek!#REF!</f>
        <v>#REF!</v>
      </c>
      <c r="B53" s="784">
        <f t="shared" si="10"/>
        <v>7</v>
      </c>
      <c r="C53" s="777"/>
      <c r="D53" s="785" t="e">
        <f>VLOOKUP($A53,satpek!$B$20:$N$144,2,0)</f>
        <v>#REF!</v>
      </c>
      <c r="E53" s="785"/>
      <c r="F53" s="786"/>
      <c r="G53" s="787">
        <f>vol.!S118</f>
        <v>2.625</v>
      </c>
      <c r="H53" s="788" t="e">
        <f>VLOOKUP($A53,satpek!$B$20:$N$144,7,0)</f>
        <v>#REF!</v>
      </c>
      <c r="I53" s="789" t="e">
        <f>VLOOKUP($A53,satpek!$B$20:$N$144,5,0)</f>
        <v>#REF!</v>
      </c>
      <c r="J53" s="790" t="e">
        <f>VLOOKUP($A53,satpek!$B$20:$N$144,6,0)</f>
        <v>#REF!</v>
      </c>
      <c r="K53" s="791"/>
      <c r="L53" s="792" t="e">
        <f t="shared" ref="L53" si="14">ROUND((G53*J53),2)</f>
        <v>#REF!</v>
      </c>
      <c r="M53" s="793"/>
      <c r="N53" s="730"/>
      <c r="O53" s="730"/>
      <c r="P53" s="782"/>
      <c r="Q53" s="783"/>
      <c r="R53" s="794"/>
    </row>
    <row r="54" spans="1:18" s="729" customFormat="1" ht="20.100000000000001" customHeight="1" x14ac:dyDescent="0.2">
      <c r="A54" s="736"/>
      <c r="B54" s="784"/>
      <c r="C54" s="777"/>
      <c r="D54" s="785"/>
      <c r="E54" s="785"/>
      <c r="F54" s="786"/>
      <c r="G54" s="787"/>
      <c r="H54" s="788"/>
      <c r="I54" s="789"/>
      <c r="J54" s="795"/>
      <c r="K54" s="791"/>
      <c r="L54" s="792"/>
      <c r="M54" s="793"/>
      <c r="N54" s="730"/>
      <c r="O54" s="730"/>
      <c r="P54" s="782"/>
      <c r="Q54" s="783"/>
      <c r="R54" s="794"/>
    </row>
    <row r="55" spans="1:18" s="729" customFormat="1" ht="20.100000000000001" customHeight="1" x14ac:dyDescent="0.2">
      <c r="A55" s="736"/>
      <c r="B55" s="796"/>
      <c r="C55" s="797"/>
      <c r="D55" s="798"/>
      <c r="E55" s="798"/>
      <c r="F55" s="799"/>
      <c r="G55" s="800"/>
      <c r="H55" s="801"/>
      <c r="I55" s="802" t="s">
        <v>556</v>
      </c>
      <c r="J55" s="803" t="str">
        <f>B46</f>
        <v>III</v>
      </c>
      <c r="K55" s="804"/>
      <c r="L55" s="805" t="e">
        <f>SUM(L46:M54)</f>
        <v>#REF!</v>
      </c>
      <c r="M55" s="806"/>
      <c r="N55" s="730"/>
      <c r="O55" s="730"/>
      <c r="P55" s="782"/>
      <c r="Q55" s="783"/>
      <c r="R55" s="794"/>
    </row>
    <row r="56" spans="1:18" s="821" customFormat="1" ht="20.100000000000001" customHeight="1" x14ac:dyDescent="0.2">
      <c r="A56" s="808"/>
      <c r="B56" s="809" t="s">
        <v>1138</v>
      </c>
      <c r="C56" s="810"/>
      <c r="D56" s="811" t="s">
        <v>269</v>
      </c>
      <c r="E56" s="811"/>
      <c r="F56" s="812"/>
      <c r="G56" s="813"/>
      <c r="H56" s="814"/>
      <c r="I56" s="815"/>
      <c r="J56" s="816"/>
      <c r="K56" s="817"/>
      <c r="L56" s="818"/>
      <c r="M56" s="819"/>
      <c r="N56" s="820"/>
      <c r="O56" s="820"/>
      <c r="P56" s="782"/>
      <c r="Q56" s="783"/>
      <c r="R56" s="794"/>
    </row>
    <row r="57" spans="1:18" s="821" customFormat="1" ht="20.100000000000001" customHeight="1" x14ac:dyDescent="0.2">
      <c r="A57" s="808"/>
      <c r="B57" s="809"/>
      <c r="C57" s="810"/>
      <c r="D57" s="811" t="s">
        <v>1623</v>
      </c>
      <c r="E57" s="811"/>
      <c r="F57" s="812"/>
      <c r="G57" s="813"/>
      <c r="H57" s="814"/>
      <c r="I57" s="815"/>
      <c r="J57" s="816"/>
      <c r="K57" s="817"/>
      <c r="L57" s="818"/>
      <c r="M57" s="819"/>
      <c r="N57" s="820"/>
      <c r="O57" s="820"/>
      <c r="P57" s="782"/>
      <c r="Q57" s="783"/>
      <c r="R57" s="794"/>
    </row>
    <row r="58" spans="1:18" s="729" customFormat="1" ht="20.100000000000001" customHeight="1" x14ac:dyDescent="0.2">
      <c r="A58" s="736">
        <f>satpek!$B$39</f>
        <v>20</v>
      </c>
      <c r="B58" s="784">
        <v>1</v>
      </c>
      <c r="C58" s="777"/>
      <c r="D58" s="785" t="str">
        <f>VLOOKUP($A58,satpek!$B$20:$N$144,2,0)</f>
        <v>Membuat beton mutu f'c = 7,4 Mpa - K 100</v>
      </c>
      <c r="E58" s="785"/>
      <c r="F58" s="786"/>
      <c r="G58" s="787">
        <f>vol.!S126</f>
        <v>2.1870000000000003</v>
      </c>
      <c r="H58" s="788" t="str">
        <f>VLOOKUP($A58,satpek!$B$20:$N$144,7,0)</f>
        <v>m3</v>
      </c>
      <c r="I58" s="789" t="str">
        <f>VLOOKUP($A58,satpek!$B$20:$N$144,5,0)</f>
        <v>A.4.1.1.1.</v>
      </c>
      <c r="J58" s="790">
        <f>VLOOKUP($A58,satpek!$B$20:$N$144,6,0)</f>
        <v>958085.99</v>
      </c>
      <c r="K58" s="791"/>
      <c r="L58" s="792">
        <f t="shared" ref="L58" si="15">ROUND((G58*J58),2)</f>
        <v>2095334.06</v>
      </c>
      <c r="M58" s="793"/>
      <c r="N58" s="730"/>
      <c r="O58" s="730"/>
      <c r="P58" s="782"/>
      <c r="Q58" s="783"/>
      <c r="R58" s="794"/>
    </row>
    <row r="59" spans="1:18" s="821" customFormat="1" ht="20.100000000000001" customHeight="1" x14ac:dyDescent="0.2">
      <c r="A59" s="808"/>
      <c r="B59" s="809"/>
      <c r="C59" s="810"/>
      <c r="D59" s="811" t="s">
        <v>1683</v>
      </c>
      <c r="E59" s="811"/>
      <c r="F59" s="812"/>
      <c r="G59" s="813"/>
      <c r="H59" s="814"/>
      <c r="I59" s="815"/>
      <c r="J59" s="816"/>
      <c r="K59" s="817"/>
      <c r="L59" s="818"/>
      <c r="M59" s="819"/>
      <c r="N59" s="820"/>
      <c r="O59" s="820"/>
      <c r="P59" s="782"/>
      <c r="Q59" s="783"/>
      <c r="R59" s="794"/>
    </row>
    <row r="60" spans="1:18" s="729" customFormat="1" ht="20.100000000000001" customHeight="1" x14ac:dyDescent="0.2">
      <c r="A60" s="736">
        <f>satpek!$B$39</f>
        <v>20</v>
      </c>
      <c r="B60" s="784">
        <f>B58+1</f>
        <v>2</v>
      </c>
      <c r="C60" s="777"/>
      <c r="D60" s="785" t="str">
        <f>VLOOKUP($A60,satpek!$B$20:$N$144,2,0)</f>
        <v>Membuat beton mutu f'c = 7,4 Mpa - K 100</v>
      </c>
      <c r="E60" s="785"/>
      <c r="F60" s="786"/>
      <c r="G60" s="787">
        <f>vol.!S132</f>
        <v>15.675000000000001</v>
      </c>
      <c r="H60" s="788" t="str">
        <f>VLOOKUP($A60,satpek!$B$20:$N$144,7,0)</f>
        <v>m3</v>
      </c>
      <c r="I60" s="789" t="str">
        <f>VLOOKUP($A60,satpek!$B$20:$N$144,5,0)</f>
        <v>A.4.1.1.1.</v>
      </c>
      <c r="J60" s="790">
        <f>VLOOKUP($A60,satpek!$B$20:$N$144,6,0)</f>
        <v>958085.99</v>
      </c>
      <c r="K60" s="791"/>
      <c r="L60" s="792">
        <f t="shared" ref="L60" si="16">ROUND((G60*J60),2)</f>
        <v>15017997.890000001</v>
      </c>
      <c r="M60" s="793"/>
      <c r="N60" s="730"/>
      <c r="O60" s="730"/>
      <c r="P60" s="782"/>
      <c r="Q60" s="783"/>
      <c r="R60" s="794"/>
    </row>
    <row r="61" spans="1:18" s="729" customFormat="1" ht="20.100000000000001" customHeight="1" x14ac:dyDescent="0.2">
      <c r="A61" s="736"/>
      <c r="B61" s="823"/>
      <c r="C61" s="824"/>
      <c r="D61" s="825" t="s">
        <v>1622</v>
      </c>
      <c r="E61" s="826"/>
      <c r="F61" s="827"/>
      <c r="G61" s="828"/>
      <c r="H61" s="829"/>
      <c r="I61" s="830"/>
      <c r="J61" s="831"/>
      <c r="K61" s="832"/>
      <c r="L61" s="833"/>
      <c r="M61" s="834"/>
      <c r="N61" s="730"/>
      <c r="O61" s="730"/>
      <c r="P61" s="782"/>
      <c r="Q61" s="783"/>
      <c r="R61" s="794"/>
    </row>
    <row r="62" spans="1:18" s="729" customFormat="1" ht="20.100000000000001" customHeight="1" x14ac:dyDescent="0.2">
      <c r="A62" s="736" t="e">
        <f>satpek!#REF!</f>
        <v>#REF!</v>
      </c>
      <c r="B62" s="784">
        <f>B60+1</f>
        <v>3</v>
      </c>
      <c r="C62" s="777"/>
      <c r="D62" s="785" t="e">
        <f>VLOOKUP($A62,satpek!$B$20:$N$144,2,0)</f>
        <v>#REF!</v>
      </c>
      <c r="E62" s="785"/>
      <c r="F62" s="786"/>
      <c r="G62" s="787">
        <f>vol.!S144</f>
        <v>5.8200000000000012</v>
      </c>
      <c r="H62" s="788" t="e">
        <f>VLOOKUP($A62,satpek!$B$20:$N$144,7,0)</f>
        <v>#REF!</v>
      </c>
      <c r="I62" s="789" t="e">
        <f>VLOOKUP($A62,satpek!$B$20:$N$144,5,0)</f>
        <v>#REF!</v>
      </c>
      <c r="J62" s="790" t="e">
        <f>VLOOKUP($A62,satpek!$B$20:$N$144,6,0)</f>
        <v>#REF!</v>
      </c>
      <c r="K62" s="791"/>
      <c r="L62" s="792" t="e">
        <f t="shared" ref="L62:L64" si="17">ROUND((G62*J62),2)</f>
        <v>#REF!</v>
      </c>
      <c r="M62" s="793"/>
      <c r="N62" s="730"/>
      <c r="O62" s="730"/>
      <c r="P62" s="782"/>
      <c r="Q62" s="783"/>
      <c r="R62" s="794"/>
    </row>
    <row r="63" spans="1:18" s="729" customFormat="1" ht="20.100000000000001" customHeight="1" x14ac:dyDescent="0.2">
      <c r="A63" s="736">
        <f>satpek!$B$41</f>
        <v>22</v>
      </c>
      <c r="B63" s="784">
        <f t="shared" ref="B63:B64" si="18">B62+1</f>
        <v>4</v>
      </c>
      <c r="C63" s="777"/>
      <c r="D63" s="785" t="str">
        <f>VLOOKUP($A63,satpek!$B$20:$N$144,2,0)</f>
        <v>Pembesian 1 kg dengan besi polos atau besi ulir</v>
      </c>
      <c r="E63" s="785"/>
      <c r="F63" s="786"/>
      <c r="G63" s="787">
        <f>vol.!S159</f>
        <v>618.48198568500015</v>
      </c>
      <c r="H63" s="788" t="str">
        <f>VLOOKUP($A63,satpek!$B$20:$N$144,7,0)</f>
        <v>kg</v>
      </c>
      <c r="I63" s="789" t="str">
        <f>VLOOKUP($A63,satpek!$B$20:$N$144,5,0)</f>
        <v>A.4.1.1.17.</v>
      </c>
      <c r="J63" s="790">
        <f>VLOOKUP($A63,satpek!$B$20:$N$144,6,0)</f>
        <v>15603.94</v>
      </c>
      <c r="K63" s="791"/>
      <c r="L63" s="792">
        <f t="shared" si="17"/>
        <v>9650755.8000000007</v>
      </c>
      <c r="M63" s="793"/>
      <c r="N63" s="730"/>
      <c r="O63" s="730"/>
      <c r="P63" s="782"/>
      <c r="Q63" s="783"/>
      <c r="R63" s="794"/>
    </row>
    <row r="64" spans="1:18" s="729" customFormat="1" ht="20.100000000000001" customHeight="1" x14ac:dyDescent="0.2">
      <c r="A64" s="736">
        <f>satpek!$B$42</f>
        <v>23</v>
      </c>
      <c r="B64" s="784">
        <f t="shared" si="18"/>
        <v>5</v>
      </c>
      <c r="C64" s="777"/>
      <c r="D64" s="785" t="str">
        <f>VLOOKUP($A64,satpek!$B$20:$N$144,2,0)</f>
        <v>Memasang bekisting untuk pondasi ( 2x pakai )</v>
      </c>
      <c r="E64" s="785"/>
      <c r="F64" s="786"/>
      <c r="G64" s="787">
        <f>vol.!S170</f>
        <v>45.4</v>
      </c>
      <c r="H64" s="788" t="str">
        <f>VLOOKUP($A64,satpek!$B$20:$N$144,7,0)</f>
        <v>m2</v>
      </c>
      <c r="I64" s="789" t="str">
        <f>VLOOKUP($A64,satpek!$B$20:$N$144,5,0)</f>
        <v>A.4.1.1.20.</v>
      </c>
      <c r="J64" s="790">
        <f>VLOOKUP($A64,satpek!$B$20:$N$144,6,0)</f>
        <v>115782.06</v>
      </c>
      <c r="K64" s="791"/>
      <c r="L64" s="792">
        <f t="shared" si="17"/>
        <v>5256505.5199999996</v>
      </c>
      <c r="M64" s="793"/>
      <c r="N64" s="730"/>
      <c r="O64" s="730"/>
      <c r="P64" s="782"/>
      <c r="Q64" s="783"/>
      <c r="R64" s="794"/>
    </row>
    <row r="65" spans="1:23" s="729" customFormat="1" ht="20.100000000000001" customHeight="1" x14ac:dyDescent="0.2">
      <c r="A65" s="736"/>
      <c r="B65" s="823"/>
      <c r="C65" s="824"/>
      <c r="D65" s="825" t="s">
        <v>1669</v>
      </c>
      <c r="E65" s="826"/>
      <c r="F65" s="827"/>
      <c r="G65" s="828"/>
      <c r="H65" s="829"/>
      <c r="I65" s="830"/>
      <c r="J65" s="831"/>
      <c r="K65" s="832"/>
      <c r="L65" s="833"/>
      <c r="M65" s="834"/>
      <c r="N65" s="730"/>
      <c r="O65" s="730"/>
      <c r="P65" s="782"/>
      <c r="Q65" s="783"/>
      <c r="R65" s="794"/>
    </row>
    <row r="66" spans="1:23" s="729" customFormat="1" ht="20.100000000000001" customHeight="1" x14ac:dyDescent="0.2">
      <c r="A66" s="736" t="e">
        <f>satpek!#REF!</f>
        <v>#REF!</v>
      </c>
      <c r="B66" s="784">
        <f>B64+1</f>
        <v>6</v>
      </c>
      <c r="C66" s="777"/>
      <c r="D66" s="785" t="e">
        <f>VLOOKUP($A66,satpek!$B$20:$N$144,2,0)</f>
        <v>#REF!</v>
      </c>
      <c r="E66" s="785"/>
      <c r="F66" s="786"/>
      <c r="G66" s="787">
        <f>vol.!S180</f>
        <v>6.6899999999999995</v>
      </c>
      <c r="H66" s="788" t="e">
        <f>VLOOKUP($A66,satpek!$B$20:$N$144,7,0)</f>
        <v>#REF!</v>
      </c>
      <c r="I66" s="789" t="e">
        <f>VLOOKUP($A66,satpek!$B$20:$N$144,5,0)</f>
        <v>#REF!</v>
      </c>
      <c r="J66" s="790" t="e">
        <f>VLOOKUP($A66,satpek!$B$20:$N$144,6,0)</f>
        <v>#REF!</v>
      </c>
      <c r="K66" s="791"/>
      <c r="L66" s="792" t="e">
        <f t="shared" ref="L66:L68" si="19">ROUND((G66*J66),2)</f>
        <v>#REF!</v>
      </c>
      <c r="M66" s="793"/>
      <c r="N66" s="730"/>
      <c r="O66" s="730"/>
      <c r="P66" s="782"/>
      <c r="Q66" s="783"/>
      <c r="R66" s="794"/>
    </row>
    <row r="67" spans="1:23" s="729" customFormat="1" ht="20.100000000000001" customHeight="1" x14ac:dyDescent="0.2">
      <c r="A67" s="736">
        <f>satpek!$B$41</f>
        <v>22</v>
      </c>
      <c r="B67" s="784">
        <f t="shared" ref="B67:B80" si="20">B66+1</f>
        <v>7</v>
      </c>
      <c r="C67" s="777"/>
      <c r="D67" s="785" t="str">
        <f>VLOOKUP($A67,satpek!$B$20:$N$144,2,0)</f>
        <v>Pembesian 1 kg dengan besi polos atau besi ulir</v>
      </c>
      <c r="E67" s="785"/>
      <c r="F67" s="786"/>
      <c r="G67" s="787">
        <f>vol.!S185</f>
        <v>1245.0086655</v>
      </c>
      <c r="H67" s="788" t="str">
        <f>VLOOKUP($A67,satpek!$B$20:$N$144,7,0)</f>
        <v>kg</v>
      </c>
      <c r="I67" s="789" t="str">
        <f>VLOOKUP($A67,satpek!$B$20:$N$144,5,0)</f>
        <v>A.4.1.1.17.</v>
      </c>
      <c r="J67" s="790">
        <f>VLOOKUP($A67,satpek!$B$20:$N$144,6,0)</f>
        <v>15603.94</v>
      </c>
      <c r="K67" s="791"/>
      <c r="L67" s="792">
        <f t="shared" si="19"/>
        <v>19427040.52</v>
      </c>
      <c r="M67" s="793"/>
      <c r="N67" s="730"/>
      <c r="O67" s="730"/>
      <c r="P67" s="782"/>
      <c r="Q67" s="783"/>
      <c r="R67" s="794"/>
    </row>
    <row r="68" spans="1:23" s="729" customFormat="1" ht="20.100000000000001" customHeight="1" x14ac:dyDescent="0.2">
      <c r="A68" s="736" t="e">
        <f>satpek!#REF!</f>
        <v>#REF!</v>
      </c>
      <c r="B68" s="784">
        <f t="shared" si="20"/>
        <v>8</v>
      </c>
      <c r="C68" s="777"/>
      <c r="D68" s="785" t="e">
        <f>VLOOKUP($A68,satpek!$B$20:$N$144,2,0)</f>
        <v>#REF!</v>
      </c>
      <c r="E68" s="785"/>
      <c r="F68" s="786"/>
      <c r="G68" s="787">
        <f>vol.!S188</f>
        <v>89.2</v>
      </c>
      <c r="H68" s="788" t="e">
        <f>VLOOKUP($A68,satpek!$B$20:$N$144,7,0)</f>
        <v>#REF!</v>
      </c>
      <c r="I68" s="789" t="e">
        <f>VLOOKUP($A68,satpek!$B$20:$N$144,5,0)</f>
        <v>#REF!</v>
      </c>
      <c r="J68" s="790" t="e">
        <f>VLOOKUP($A68,satpek!$B$20:$N$144,6,0)</f>
        <v>#REF!</v>
      </c>
      <c r="K68" s="791"/>
      <c r="L68" s="792" t="e">
        <f t="shared" si="19"/>
        <v>#REF!</v>
      </c>
      <c r="M68" s="793"/>
      <c r="N68" s="730"/>
      <c r="O68" s="730"/>
      <c r="P68" s="782"/>
      <c r="Q68" s="783"/>
      <c r="R68" s="794"/>
    </row>
    <row r="69" spans="1:23" s="729" customFormat="1" ht="20.100000000000001" customHeight="1" x14ac:dyDescent="0.2">
      <c r="A69" s="736"/>
      <c r="B69" s="823"/>
      <c r="C69" s="824"/>
      <c r="D69" s="825" t="s">
        <v>1677</v>
      </c>
      <c r="E69" s="826"/>
      <c r="F69" s="827"/>
      <c r="G69" s="828"/>
      <c r="H69" s="829"/>
      <c r="I69" s="830"/>
      <c r="J69" s="831"/>
      <c r="K69" s="832"/>
      <c r="L69" s="833"/>
      <c r="M69" s="834"/>
      <c r="N69" s="730"/>
      <c r="O69" s="730"/>
      <c r="P69" s="782"/>
      <c r="Q69" s="783"/>
      <c r="R69" s="794"/>
    </row>
    <row r="70" spans="1:23" ht="20.100000000000001" customHeight="1" x14ac:dyDescent="0.2">
      <c r="A70" s="736" t="e">
        <f>satpek!#REF!</f>
        <v>#REF!</v>
      </c>
      <c r="B70" s="784">
        <f>B68+1</f>
        <v>9</v>
      </c>
      <c r="C70" s="777"/>
      <c r="D70" s="785" t="e">
        <f>VLOOKUP($A70,satpek!$B$20:$N$144,2,0)</f>
        <v>#REF!</v>
      </c>
      <c r="E70" s="785"/>
      <c r="F70" s="786"/>
      <c r="G70" s="787">
        <f>vol.!S193</f>
        <v>3.0400000000000005</v>
      </c>
      <c r="H70" s="788" t="e">
        <f>VLOOKUP($A70,satpek!$B$20:$N$144,7,0)</f>
        <v>#REF!</v>
      </c>
      <c r="I70" s="789" t="e">
        <f>VLOOKUP($A70,satpek!$B$20:$N$144,5,0)</f>
        <v>#REF!</v>
      </c>
      <c r="J70" s="790" t="e">
        <f>VLOOKUP($A70,satpek!$B$20:$N$144,6,0)</f>
        <v>#REF!</v>
      </c>
      <c r="K70" s="791"/>
      <c r="L70" s="792" t="e">
        <f t="shared" ref="L70:L72" si="21">ROUND((G70*J70),2)</f>
        <v>#REF!</v>
      </c>
      <c r="M70" s="793"/>
      <c r="N70" s="835"/>
      <c r="O70" s="835"/>
      <c r="P70" s="782"/>
      <c r="Q70" s="783"/>
      <c r="R70" s="794"/>
      <c r="T70" s="725"/>
      <c r="U70" s="725"/>
      <c r="V70" s="725"/>
      <c r="W70" s="725"/>
    </row>
    <row r="71" spans="1:23" ht="20.100000000000001" customHeight="1" x14ac:dyDescent="0.2">
      <c r="A71" s="736">
        <f>satpek!$B$41</f>
        <v>22</v>
      </c>
      <c r="B71" s="784">
        <f t="shared" si="20"/>
        <v>10</v>
      </c>
      <c r="C71" s="777"/>
      <c r="D71" s="785" t="str">
        <f>VLOOKUP($A71,satpek!$B$20:$N$144,2,0)</f>
        <v>Pembesian 1 kg dengan besi polos atau besi ulir</v>
      </c>
      <c r="E71" s="785"/>
      <c r="F71" s="786"/>
      <c r="G71" s="787">
        <f>vol.!S199</f>
        <v>433.67450600000006</v>
      </c>
      <c r="H71" s="788" t="str">
        <f>VLOOKUP($A71,satpek!$B$20:$N$144,7,0)</f>
        <v>kg</v>
      </c>
      <c r="I71" s="789" t="str">
        <f>VLOOKUP($A71,satpek!$B$20:$N$144,5,0)</f>
        <v>A.4.1.1.17.</v>
      </c>
      <c r="J71" s="790">
        <f>VLOOKUP($A71,satpek!$B$20:$N$144,6,0)</f>
        <v>15603.94</v>
      </c>
      <c r="K71" s="791"/>
      <c r="L71" s="792">
        <f t="shared" si="21"/>
        <v>6767030.9699999997</v>
      </c>
      <c r="M71" s="793"/>
      <c r="N71" s="835"/>
      <c r="O71" s="835"/>
      <c r="P71" s="782"/>
      <c r="Q71" s="783"/>
      <c r="R71" s="794"/>
      <c r="T71" s="725"/>
      <c r="U71" s="725"/>
      <c r="V71" s="725"/>
      <c r="W71" s="725"/>
    </row>
    <row r="72" spans="1:23" ht="20.100000000000001" customHeight="1" x14ac:dyDescent="0.2">
      <c r="A72" s="736">
        <f>satpek!$B$44</f>
        <v>25</v>
      </c>
      <c r="B72" s="784">
        <f t="shared" si="20"/>
        <v>11</v>
      </c>
      <c r="C72" s="777"/>
      <c r="D72" s="785" t="str">
        <f>VLOOKUP($A72,satpek!$B$20:$N$144,2,0)</f>
        <v>Memasang bekisting untuk kolom (2 kali pakai)</v>
      </c>
      <c r="E72" s="785"/>
      <c r="F72" s="786"/>
      <c r="G72" s="787">
        <f>vol.!S203</f>
        <v>30.400000000000002</v>
      </c>
      <c r="H72" s="788" t="str">
        <f>VLOOKUP($A72,satpek!$B$20:$N$144,7,0)</f>
        <v>m2</v>
      </c>
      <c r="I72" s="789" t="str">
        <f>VLOOKUP($A72,satpek!$B$20:$N$144,5,0)</f>
        <v>A.4.1.1.22.</v>
      </c>
      <c r="J72" s="790">
        <f>VLOOKUP($A72,satpek!$B$20:$N$144,6,0)</f>
        <v>192050.28</v>
      </c>
      <c r="K72" s="791"/>
      <c r="L72" s="792">
        <f t="shared" si="21"/>
        <v>5838328.5099999998</v>
      </c>
      <c r="M72" s="793"/>
      <c r="N72" s="835"/>
      <c r="O72" s="835"/>
      <c r="P72" s="782"/>
      <c r="Q72" s="783"/>
      <c r="R72" s="794"/>
      <c r="T72" s="725"/>
      <c r="U72" s="725"/>
      <c r="V72" s="725"/>
      <c r="W72" s="725"/>
    </row>
    <row r="73" spans="1:23" s="729" customFormat="1" ht="20.100000000000001" customHeight="1" x14ac:dyDescent="0.2">
      <c r="A73" s="736"/>
      <c r="B73" s="823"/>
      <c r="C73" s="824"/>
      <c r="D73" s="825" t="s">
        <v>1678</v>
      </c>
      <c r="E73" s="826"/>
      <c r="F73" s="827"/>
      <c r="G73" s="828"/>
      <c r="H73" s="829"/>
      <c r="I73" s="830"/>
      <c r="J73" s="831"/>
      <c r="K73" s="832"/>
      <c r="L73" s="833"/>
      <c r="M73" s="834"/>
      <c r="N73" s="730"/>
      <c r="O73" s="730"/>
      <c r="P73" s="782"/>
      <c r="Q73" s="783"/>
      <c r="R73" s="794"/>
    </row>
    <row r="74" spans="1:23" ht="20.100000000000001" customHeight="1" x14ac:dyDescent="0.2">
      <c r="A74" s="736" t="e">
        <f>satpek!#REF!</f>
        <v>#REF!</v>
      </c>
      <c r="B74" s="784">
        <f>B72+1</f>
        <v>12</v>
      </c>
      <c r="C74" s="777"/>
      <c r="D74" s="785" t="e">
        <f>VLOOKUP($A74,satpek!$B$20:$N$144,2,0)</f>
        <v>#REF!</v>
      </c>
      <c r="E74" s="785"/>
      <c r="F74" s="786"/>
      <c r="G74" s="787">
        <f>vol.!S207</f>
        <v>0.96</v>
      </c>
      <c r="H74" s="788" t="e">
        <f>VLOOKUP($A74,satpek!$B$20:$N$144,7,0)</f>
        <v>#REF!</v>
      </c>
      <c r="I74" s="789" t="e">
        <f>VLOOKUP($A74,satpek!$B$20:$N$144,5,0)</f>
        <v>#REF!</v>
      </c>
      <c r="J74" s="790" t="e">
        <f>VLOOKUP($A74,satpek!$B$20:$N$144,6,0)</f>
        <v>#REF!</v>
      </c>
      <c r="K74" s="791"/>
      <c r="L74" s="792" t="e">
        <f t="shared" ref="L74:L76" si="22">ROUND((G74*J74),2)</f>
        <v>#REF!</v>
      </c>
      <c r="M74" s="793"/>
      <c r="N74" s="835"/>
      <c r="O74" s="835"/>
      <c r="P74" s="782"/>
      <c r="Q74" s="783"/>
      <c r="R74" s="794"/>
      <c r="T74" s="725"/>
      <c r="U74" s="725"/>
      <c r="V74" s="725"/>
      <c r="W74" s="725"/>
    </row>
    <row r="75" spans="1:23" ht="20.100000000000001" customHeight="1" x14ac:dyDescent="0.2">
      <c r="A75" s="736">
        <f>satpek!$B$41</f>
        <v>22</v>
      </c>
      <c r="B75" s="784">
        <f t="shared" si="20"/>
        <v>13</v>
      </c>
      <c r="C75" s="777"/>
      <c r="D75" s="785" t="str">
        <f>VLOOKUP($A75,satpek!$B$20:$N$144,2,0)</f>
        <v>Pembesian 1 kg dengan besi polos atau besi ulir</v>
      </c>
      <c r="E75" s="785"/>
      <c r="F75" s="786"/>
      <c r="G75" s="787">
        <f>vol.!S213</f>
        <v>176.68403200000003</v>
      </c>
      <c r="H75" s="788" t="str">
        <f>VLOOKUP($A75,satpek!$B$20:$N$144,7,0)</f>
        <v>kg</v>
      </c>
      <c r="I75" s="789" t="str">
        <f>VLOOKUP($A75,satpek!$B$20:$N$144,5,0)</f>
        <v>A.4.1.1.17.</v>
      </c>
      <c r="J75" s="790">
        <f>VLOOKUP($A75,satpek!$B$20:$N$144,6,0)</f>
        <v>15603.94</v>
      </c>
      <c r="K75" s="791"/>
      <c r="L75" s="792">
        <f t="shared" si="22"/>
        <v>2756967.03</v>
      </c>
      <c r="M75" s="793"/>
      <c r="N75" s="835"/>
      <c r="O75" s="835"/>
      <c r="P75" s="782"/>
      <c r="Q75" s="783"/>
      <c r="R75" s="794"/>
      <c r="T75" s="725"/>
      <c r="U75" s="725"/>
      <c r="V75" s="725"/>
      <c r="W75" s="725"/>
    </row>
    <row r="76" spans="1:23" ht="20.100000000000001" customHeight="1" x14ac:dyDescent="0.2">
      <c r="A76" s="736">
        <f>satpek!$B$44</f>
        <v>25</v>
      </c>
      <c r="B76" s="784">
        <f t="shared" si="20"/>
        <v>14</v>
      </c>
      <c r="C76" s="777"/>
      <c r="D76" s="785" t="str">
        <f>VLOOKUP($A76,satpek!$B$20:$N$144,2,0)</f>
        <v>Memasang bekisting untuk kolom (2 kali pakai)</v>
      </c>
      <c r="E76" s="785"/>
      <c r="F76" s="786"/>
      <c r="G76" s="787">
        <f>vol.!S216</f>
        <v>11.84</v>
      </c>
      <c r="H76" s="788" t="str">
        <f>VLOOKUP($A76,satpek!$B$20:$N$144,7,0)</f>
        <v>m2</v>
      </c>
      <c r="I76" s="789" t="str">
        <f>VLOOKUP($A76,satpek!$B$20:$N$144,5,0)</f>
        <v>A.4.1.1.22.</v>
      </c>
      <c r="J76" s="790">
        <f>VLOOKUP($A76,satpek!$B$20:$N$144,6,0)</f>
        <v>192050.28</v>
      </c>
      <c r="K76" s="791"/>
      <c r="L76" s="792">
        <f t="shared" si="22"/>
        <v>2273875.3199999998</v>
      </c>
      <c r="M76" s="793"/>
      <c r="N76" s="835"/>
      <c r="O76" s="835"/>
      <c r="P76" s="782"/>
      <c r="Q76" s="783"/>
      <c r="R76" s="794"/>
      <c r="T76" s="725"/>
      <c r="U76" s="725"/>
      <c r="V76" s="725"/>
      <c r="W76" s="725"/>
    </row>
    <row r="77" spans="1:23" ht="20.100000000000001" customHeight="1" x14ac:dyDescent="0.2">
      <c r="A77" s="736"/>
      <c r="B77" s="823"/>
      <c r="C77" s="824"/>
      <c r="D77" s="825" t="s">
        <v>1679</v>
      </c>
      <c r="E77" s="826"/>
      <c r="F77" s="827"/>
      <c r="G77" s="828"/>
      <c r="H77" s="829"/>
      <c r="I77" s="830"/>
      <c r="J77" s="831"/>
      <c r="K77" s="832"/>
      <c r="L77" s="833"/>
      <c r="M77" s="834"/>
      <c r="N77" s="835"/>
      <c r="O77" s="835"/>
      <c r="P77" s="782"/>
      <c r="Q77" s="783"/>
      <c r="R77" s="794"/>
      <c r="T77" s="725"/>
      <c r="U77" s="725"/>
      <c r="V77" s="725"/>
      <c r="W77" s="725"/>
    </row>
    <row r="78" spans="1:23" ht="20.100000000000001" customHeight="1" x14ac:dyDescent="0.2">
      <c r="A78" s="736" t="e">
        <f>satpek!#REF!</f>
        <v>#REF!</v>
      </c>
      <c r="B78" s="784">
        <f>B76+1</f>
        <v>15</v>
      </c>
      <c r="C78" s="777"/>
      <c r="D78" s="785" t="e">
        <f>VLOOKUP($A78,satpek!$B$20:$N$144,2,0)</f>
        <v>#REF!</v>
      </c>
      <c r="E78" s="785"/>
      <c r="F78" s="786"/>
      <c r="G78" s="787">
        <f>vol.!S220</f>
        <v>2.9375999999999998</v>
      </c>
      <c r="H78" s="788" t="e">
        <f>VLOOKUP($A78,satpek!$B$20:$N$144,7,0)</f>
        <v>#REF!</v>
      </c>
      <c r="I78" s="789" t="e">
        <f>VLOOKUP($A78,satpek!$B$20:$N$144,5,0)</f>
        <v>#REF!</v>
      </c>
      <c r="J78" s="790" t="e">
        <f>VLOOKUP($A78,satpek!$B$20:$N$144,6,0)</f>
        <v>#REF!</v>
      </c>
      <c r="K78" s="791"/>
      <c r="L78" s="792" t="e">
        <f t="shared" ref="L78:L80" si="23">ROUND((G78*J78),2)</f>
        <v>#REF!</v>
      </c>
      <c r="M78" s="793"/>
      <c r="N78" s="835"/>
      <c r="O78" s="835"/>
      <c r="P78" s="782"/>
      <c r="Q78" s="783"/>
      <c r="R78" s="794"/>
      <c r="T78" s="725"/>
      <c r="U78" s="725"/>
      <c r="V78" s="725"/>
      <c r="W78" s="725"/>
    </row>
    <row r="79" spans="1:23" ht="20.100000000000001" customHeight="1" x14ac:dyDescent="0.2">
      <c r="A79" s="736">
        <f>satpek!$B$41</f>
        <v>22</v>
      </c>
      <c r="B79" s="784">
        <f t="shared" si="20"/>
        <v>16</v>
      </c>
      <c r="C79" s="777"/>
      <c r="D79" s="785" t="str">
        <f>VLOOKUP($A79,satpek!$B$20:$N$144,2,0)</f>
        <v>Pembesian 1 kg dengan besi polos atau besi ulir</v>
      </c>
      <c r="E79" s="785"/>
      <c r="F79" s="786"/>
      <c r="G79" s="787">
        <f>vol.!S225</f>
        <v>679.83913920000009</v>
      </c>
      <c r="H79" s="788" t="str">
        <f>VLOOKUP($A79,satpek!$B$20:$N$144,7,0)</f>
        <v>kg</v>
      </c>
      <c r="I79" s="789" t="str">
        <f>VLOOKUP($A79,satpek!$B$20:$N$144,5,0)</f>
        <v>A.4.1.1.17.</v>
      </c>
      <c r="J79" s="790">
        <f>VLOOKUP($A79,satpek!$B$20:$N$144,6,0)</f>
        <v>15603.94</v>
      </c>
      <c r="K79" s="791"/>
      <c r="L79" s="792">
        <f t="shared" si="23"/>
        <v>10608169.140000001</v>
      </c>
      <c r="M79" s="793"/>
      <c r="N79" s="835"/>
      <c r="O79" s="835"/>
      <c r="P79" s="782"/>
      <c r="Q79" s="783"/>
      <c r="R79" s="794"/>
      <c r="T79" s="725"/>
      <c r="U79" s="725"/>
      <c r="V79" s="725"/>
      <c r="W79" s="725"/>
    </row>
    <row r="80" spans="1:23" ht="20.100000000000001" customHeight="1" x14ac:dyDescent="0.2">
      <c r="A80" s="736" t="e">
        <f>satpek!#REF!</f>
        <v>#REF!</v>
      </c>
      <c r="B80" s="784">
        <f t="shared" si="20"/>
        <v>17</v>
      </c>
      <c r="C80" s="777"/>
      <c r="D80" s="785" t="e">
        <f>VLOOKUP($A80,satpek!$B$20:$N$144,2,0)</f>
        <v>#REF!</v>
      </c>
      <c r="E80" s="785"/>
      <c r="F80" s="786"/>
      <c r="G80" s="787">
        <f>vol.!S228</f>
        <v>48.96</v>
      </c>
      <c r="H80" s="788" t="e">
        <f>VLOOKUP($A80,satpek!$B$20:$N$144,7,0)</f>
        <v>#REF!</v>
      </c>
      <c r="I80" s="789" t="e">
        <f>VLOOKUP($A80,satpek!$B$20:$N$144,5,0)</f>
        <v>#REF!</v>
      </c>
      <c r="J80" s="790" t="e">
        <f>VLOOKUP($A80,satpek!$B$20:$N$144,6,0)</f>
        <v>#REF!</v>
      </c>
      <c r="K80" s="791"/>
      <c r="L80" s="792" t="e">
        <f t="shared" si="23"/>
        <v>#REF!</v>
      </c>
      <c r="M80" s="793"/>
      <c r="N80" s="835"/>
      <c r="O80" s="835"/>
      <c r="P80" s="782"/>
      <c r="Q80" s="783"/>
      <c r="R80" s="794"/>
      <c r="T80" s="725"/>
      <c r="U80" s="725"/>
      <c r="V80" s="725"/>
      <c r="W80" s="725"/>
    </row>
    <row r="81" spans="1:23" ht="20.100000000000001" customHeight="1" x14ac:dyDescent="0.2">
      <c r="A81" s="736"/>
      <c r="B81" s="823"/>
      <c r="C81" s="824"/>
      <c r="D81" s="825" t="s">
        <v>1680</v>
      </c>
      <c r="E81" s="826"/>
      <c r="F81" s="827"/>
      <c r="G81" s="828"/>
      <c r="H81" s="829"/>
      <c r="I81" s="830"/>
      <c r="J81" s="831"/>
      <c r="K81" s="832"/>
      <c r="L81" s="833"/>
      <c r="M81" s="834"/>
      <c r="N81" s="835"/>
      <c r="O81" s="835"/>
      <c r="P81" s="782"/>
      <c r="Q81" s="783"/>
      <c r="R81" s="794"/>
      <c r="T81" s="725"/>
      <c r="U81" s="725"/>
      <c r="V81" s="725"/>
      <c r="W81" s="725"/>
    </row>
    <row r="82" spans="1:23" ht="20.100000000000001" customHeight="1" x14ac:dyDescent="0.2">
      <c r="A82" s="736" t="e">
        <f>satpek!#REF!</f>
        <v>#REF!</v>
      </c>
      <c r="B82" s="784">
        <f>B80+1</f>
        <v>18</v>
      </c>
      <c r="C82" s="777"/>
      <c r="D82" s="785" t="e">
        <f>VLOOKUP($A82,satpek!$B$20:$N$144,2,0)</f>
        <v>#REF!</v>
      </c>
      <c r="E82" s="785"/>
      <c r="F82" s="786"/>
      <c r="G82" s="787">
        <f>vol.!S234</f>
        <v>6.3900000000000006</v>
      </c>
      <c r="H82" s="788" t="e">
        <f>VLOOKUP($A82,satpek!$B$20:$N$144,7,0)</f>
        <v>#REF!</v>
      </c>
      <c r="I82" s="789" t="e">
        <f>VLOOKUP($A82,satpek!$B$20:$N$144,5,0)</f>
        <v>#REF!</v>
      </c>
      <c r="J82" s="790" t="e">
        <f>VLOOKUP($A82,satpek!$B$20:$N$144,6,0)</f>
        <v>#REF!</v>
      </c>
      <c r="K82" s="791"/>
      <c r="L82" s="792" t="e">
        <f t="shared" ref="L82:L84" si="24">ROUND((G82*J82),2)</f>
        <v>#REF!</v>
      </c>
      <c r="M82" s="793"/>
      <c r="N82" s="835"/>
      <c r="O82" s="835"/>
      <c r="P82" s="782"/>
      <c r="Q82" s="783"/>
      <c r="R82" s="794"/>
      <c r="T82" s="725"/>
      <c r="U82" s="725"/>
      <c r="V82" s="725"/>
      <c r="W82" s="725"/>
    </row>
    <row r="83" spans="1:23" ht="20.100000000000001" customHeight="1" x14ac:dyDescent="0.2">
      <c r="A83" s="736">
        <f>satpek!$B$41</f>
        <v>22</v>
      </c>
      <c r="B83" s="784">
        <f t="shared" ref="B83:B84" si="25">B82+1</f>
        <v>19</v>
      </c>
      <c r="C83" s="777"/>
      <c r="D83" s="785" t="str">
        <f>VLOOKUP($A83,satpek!$B$20:$N$144,2,0)</f>
        <v>Pembesian 1 kg dengan besi polos atau besi ulir</v>
      </c>
      <c r="E83" s="785"/>
      <c r="F83" s="786"/>
      <c r="G83" s="787">
        <f>vol.!S239</f>
        <v>1189.1786805000002</v>
      </c>
      <c r="H83" s="788" t="str">
        <f>VLOOKUP($A83,satpek!$B$20:$N$144,7,0)</f>
        <v>kg</v>
      </c>
      <c r="I83" s="789" t="str">
        <f>VLOOKUP($A83,satpek!$B$20:$N$144,5,0)</f>
        <v>A.4.1.1.17.</v>
      </c>
      <c r="J83" s="790">
        <f>VLOOKUP($A83,satpek!$B$20:$N$144,6,0)</f>
        <v>15603.94</v>
      </c>
      <c r="K83" s="791"/>
      <c r="L83" s="792">
        <f t="shared" si="24"/>
        <v>18555872.780000001</v>
      </c>
      <c r="M83" s="793"/>
      <c r="N83" s="835"/>
      <c r="O83" s="835"/>
      <c r="P83" s="782"/>
      <c r="Q83" s="783"/>
      <c r="R83" s="794"/>
      <c r="T83" s="725"/>
      <c r="U83" s="725"/>
      <c r="V83" s="725"/>
      <c r="W83" s="725"/>
    </row>
    <row r="84" spans="1:23" ht="20.100000000000001" customHeight="1" x14ac:dyDescent="0.2">
      <c r="A84" s="736" t="e">
        <f>satpek!#REF!</f>
        <v>#REF!</v>
      </c>
      <c r="B84" s="784">
        <f t="shared" si="25"/>
        <v>20</v>
      </c>
      <c r="C84" s="777"/>
      <c r="D84" s="785" t="e">
        <f>VLOOKUP($A84,satpek!$B$20:$N$144,2,0)</f>
        <v>#REF!</v>
      </c>
      <c r="E84" s="785"/>
      <c r="F84" s="786"/>
      <c r="G84" s="787">
        <f>vol.!S242</f>
        <v>85.2</v>
      </c>
      <c r="H84" s="788" t="e">
        <f>VLOOKUP($A84,satpek!$B$20:$N$144,7,0)</f>
        <v>#REF!</v>
      </c>
      <c r="I84" s="789" t="e">
        <f>VLOOKUP($A84,satpek!$B$20:$N$144,5,0)</f>
        <v>#REF!</v>
      </c>
      <c r="J84" s="790" t="e">
        <f>VLOOKUP($A84,satpek!$B$20:$N$144,6,0)</f>
        <v>#REF!</v>
      </c>
      <c r="K84" s="791"/>
      <c r="L84" s="792" t="e">
        <f t="shared" si="24"/>
        <v>#REF!</v>
      </c>
      <c r="M84" s="793"/>
      <c r="N84" s="835"/>
      <c r="O84" s="835"/>
      <c r="P84" s="782"/>
      <c r="Q84" s="783"/>
      <c r="R84" s="794"/>
      <c r="T84" s="725"/>
      <c r="U84" s="725"/>
      <c r="V84" s="725"/>
      <c r="W84" s="725"/>
    </row>
    <row r="85" spans="1:23" ht="20.100000000000001" customHeight="1" x14ac:dyDescent="0.2">
      <c r="A85" s="736"/>
      <c r="B85" s="823"/>
      <c r="C85" s="824"/>
      <c r="D85" s="825" t="s">
        <v>1681</v>
      </c>
      <c r="E85" s="826"/>
      <c r="F85" s="827"/>
      <c r="G85" s="828"/>
      <c r="H85" s="829"/>
      <c r="I85" s="830"/>
      <c r="J85" s="831"/>
      <c r="K85" s="832"/>
      <c r="L85" s="833"/>
      <c r="M85" s="834"/>
      <c r="N85" s="835"/>
      <c r="O85" s="835"/>
      <c r="P85" s="782"/>
      <c r="Q85" s="783"/>
      <c r="R85" s="794"/>
      <c r="T85" s="725"/>
      <c r="U85" s="725"/>
      <c r="V85" s="725"/>
      <c r="W85" s="725"/>
    </row>
    <row r="86" spans="1:23" ht="20.100000000000001" customHeight="1" x14ac:dyDescent="0.2">
      <c r="A86" s="736" t="e">
        <f>satpek!#REF!</f>
        <v>#REF!</v>
      </c>
      <c r="B86" s="784">
        <f>B84+1</f>
        <v>21</v>
      </c>
      <c r="C86" s="777"/>
      <c r="D86" s="785" t="e">
        <f>VLOOKUP($A86,satpek!$B$20:$N$144,2,0)</f>
        <v>#REF!</v>
      </c>
      <c r="E86" s="785"/>
      <c r="F86" s="786"/>
      <c r="G86" s="787">
        <f>vol.!S246</f>
        <v>1.86192</v>
      </c>
      <c r="H86" s="788" t="e">
        <f>VLOOKUP($A86,satpek!$B$20:$N$144,7,0)</f>
        <v>#REF!</v>
      </c>
      <c r="I86" s="789" t="e">
        <f>VLOOKUP($A86,satpek!$B$20:$N$144,5,0)</f>
        <v>#REF!</v>
      </c>
      <c r="J86" s="790" t="e">
        <f>VLOOKUP($A86,satpek!$B$20:$N$144,6,0)</f>
        <v>#REF!</v>
      </c>
      <c r="K86" s="791"/>
      <c r="L86" s="792" t="e">
        <f t="shared" ref="L86:L88" si="26">ROUND((G86*J86),2)</f>
        <v>#REF!</v>
      </c>
      <c r="M86" s="793"/>
      <c r="N86" s="835"/>
      <c r="O86" s="835"/>
      <c r="P86" s="782"/>
      <c r="Q86" s="783"/>
      <c r="R86" s="794"/>
      <c r="T86" s="725"/>
      <c r="U86" s="725"/>
      <c r="V86" s="725"/>
      <c r="W86" s="725"/>
    </row>
    <row r="87" spans="1:23" ht="20.100000000000001" customHeight="1" x14ac:dyDescent="0.2">
      <c r="A87" s="736">
        <f>satpek!$B$41</f>
        <v>22</v>
      </c>
      <c r="B87" s="784">
        <f t="shared" ref="B87:B88" si="27">B86+1</f>
        <v>22</v>
      </c>
      <c r="C87" s="777"/>
      <c r="D87" s="785" t="str">
        <f>VLOOKUP($A87,satpek!$B$20:$N$144,2,0)</f>
        <v>Pembesian 1 kg dengan besi polos atau besi ulir</v>
      </c>
      <c r="E87" s="785"/>
      <c r="F87" s="786"/>
      <c r="G87" s="787">
        <f>vol.!S251</f>
        <v>430.89804264000009</v>
      </c>
      <c r="H87" s="788" t="str">
        <f>VLOOKUP($A87,satpek!$B$20:$N$144,7,0)</f>
        <v>kg</v>
      </c>
      <c r="I87" s="789" t="str">
        <f>VLOOKUP($A87,satpek!$B$20:$N$144,5,0)</f>
        <v>A.4.1.1.17.</v>
      </c>
      <c r="J87" s="790">
        <f>VLOOKUP($A87,satpek!$B$20:$N$144,6,0)</f>
        <v>15603.94</v>
      </c>
      <c r="K87" s="791"/>
      <c r="L87" s="792">
        <f t="shared" si="26"/>
        <v>6723707.2000000002</v>
      </c>
      <c r="M87" s="793"/>
      <c r="N87" s="835"/>
      <c r="O87" s="835"/>
      <c r="P87" s="782"/>
      <c r="Q87" s="783"/>
      <c r="R87" s="794"/>
      <c r="T87" s="725"/>
      <c r="U87" s="725"/>
      <c r="V87" s="725"/>
      <c r="W87" s="725"/>
    </row>
    <row r="88" spans="1:23" ht="20.100000000000001" customHeight="1" x14ac:dyDescent="0.2">
      <c r="A88" s="736" t="e">
        <f>satpek!#REF!</f>
        <v>#REF!</v>
      </c>
      <c r="B88" s="784">
        <f t="shared" si="27"/>
        <v>23</v>
      </c>
      <c r="C88" s="777"/>
      <c r="D88" s="785" t="e">
        <f>VLOOKUP($A88,satpek!$B$20:$N$144,2,0)</f>
        <v>#REF!</v>
      </c>
      <c r="E88" s="785"/>
      <c r="F88" s="786"/>
      <c r="G88" s="787">
        <f>vol.!S254</f>
        <v>31.032</v>
      </c>
      <c r="H88" s="788" t="e">
        <f>VLOOKUP($A88,satpek!$B$20:$N$144,7,0)</f>
        <v>#REF!</v>
      </c>
      <c r="I88" s="789" t="e">
        <f>VLOOKUP($A88,satpek!$B$20:$N$144,5,0)</f>
        <v>#REF!</v>
      </c>
      <c r="J88" s="790" t="e">
        <f>VLOOKUP($A88,satpek!$B$20:$N$144,6,0)</f>
        <v>#REF!</v>
      </c>
      <c r="K88" s="791"/>
      <c r="L88" s="792" t="e">
        <f t="shared" si="26"/>
        <v>#REF!</v>
      </c>
      <c r="M88" s="793"/>
      <c r="N88" s="835"/>
      <c r="O88" s="835"/>
      <c r="P88" s="782"/>
      <c r="Q88" s="783"/>
      <c r="R88" s="794"/>
      <c r="T88" s="725"/>
      <c r="U88" s="725"/>
      <c r="V88" s="725"/>
      <c r="W88" s="725"/>
    </row>
    <row r="89" spans="1:23" ht="20.100000000000001" customHeight="1" x14ac:dyDescent="0.2">
      <c r="A89" s="736"/>
      <c r="B89" s="823"/>
      <c r="C89" s="824"/>
      <c r="D89" s="825" t="s">
        <v>1684</v>
      </c>
      <c r="E89" s="826"/>
      <c r="F89" s="827"/>
      <c r="G89" s="828"/>
      <c r="H89" s="829"/>
      <c r="I89" s="830"/>
      <c r="J89" s="831"/>
      <c r="K89" s="832"/>
      <c r="L89" s="833"/>
      <c r="M89" s="834"/>
      <c r="N89" s="835"/>
      <c r="O89" s="835"/>
      <c r="P89" s="782"/>
      <c r="Q89" s="783"/>
      <c r="R89" s="794"/>
      <c r="T89" s="725"/>
      <c r="U89" s="725"/>
      <c r="V89" s="725"/>
      <c r="W89" s="725"/>
    </row>
    <row r="90" spans="1:23" ht="20.100000000000001" customHeight="1" x14ac:dyDescent="0.2">
      <c r="A90" s="736" t="e">
        <f>satpek!#REF!</f>
        <v>#REF!</v>
      </c>
      <c r="B90" s="784">
        <f>B88+1</f>
        <v>24</v>
      </c>
      <c r="C90" s="777"/>
      <c r="D90" s="785" t="e">
        <f>VLOOKUP($A90,satpek!$B$20:$N$144,2,0)</f>
        <v>#REF!</v>
      </c>
      <c r="E90" s="785"/>
      <c r="F90" s="786"/>
      <c r="G90" s="787">
        <f>vol.!S257</f>
        <v>0.60000000000000009</v>
      </c>
      <c r="H90" s="788" t="e">
        <f>VLOOKUP($A90,satpek!$B$20:$N$144,7,0)</f>
        <v>#REF!</v>
      </c>
      <c r="I90" s="789" t="e">
        <f>VLOOKUP($A90,satpek!$B$20:$N$144,5,0)</f>
        <v>#REF!</v>
      </c>
      <c r="J90" s="790" t="e">
        <f>VLOOKUP($A90,satpek!$B$20:$N$144,6,0)</f>
        <v>#REF!</v>
      </c>
      <c r="K90" s="791"/>
      <c r="L90" s="792" t="e">
        <f t="shared" ref="L90:L92" si="28">ROUND((G90*J90),2)</f>
        <v>#REF!</v>
      </c>
      <c r="M90" s="793"/>
      <c r="N90" s="835"/>
      <c r="O90" s="835"/>
      <c r="P90" s="782"/>
      <c r="Q90" s="783"/>
      <c r="R90" s="794"/>
      <c r="T90" s="725"/>
      <c r="U90" s="725"/>
      <c r="V90" s="725"/>
      <c r="W90" s="725"/>
    </row>
    <row r="91" spans="1:23" ht="20.100000000000001" customHeight="1" x14ac:dyDescent="0.2">
      <c r="A91" s="736">
        <f>satpek!$B$41</f>
        <v>22</v>
      </c>
      <c r="B91" s="784">
        <f t="shared" ref="B91:B92" si="29">B90+1</f>
        <v>25</v>
      </c>
      <c r="C91" s="777"/>
      <c r="D91" s="785" t="str">
        <f>VLOOKUP($A91,satpek!$B$20:$N$144,2,0)</f>
        <v>Pembesian 1 kg dengan besi polos atau besi ulir</v>
      </c>
      <c r="E91" s="785"/>
      <c r="F91" s="786"/>
      <c r="G91" s="787">
        <f>vol.!S261</f>
        <v>59.157600000000016</v>
      </c>
      <c r="H91" s="788" t="str">
        <f>VLOOKUP($A91,satpek!$B$20:$N$144,7,0)</f>
        <v>kg</v>
      </c>
      <c r="I91" s="789" t="str">
        <f>VLOOKUP($A91,satpek!$B$20:$N$144,5,0)</f>
        <v>A.4.1.1.17.</v>
      </c>
      <c r="J91" s="790">
        <f>VLOOKUP($A91,satpek!$B$20:$N$144,6,0)</f>
        <v>15603.94</v>
      </c>
      <c r="K91" s="791"/>
      <c r="L91" s="792">
        <f t="shared" si="28"/>
        <v>923091.64</v>
      </c>
      <c r="M91" s="793"/>
      <c r="N91" s="835"/>
      <c r="O91" s="835"/>
      <c r="P91" s="782"/>
      <c r="Q91" s="783"/>
      <c r="R91" s="794"/>
      <c r="T91" s="725"/>
      <c r="U91" s="725"/>
      <c r="V91" s="725"/>
      <c r="W91" s="725"/>
    </row>
    <row r="92" spans="1:23" ht="20.100000000000001" customHeight="1" x14ac:dyDescent="0.2">
      <c r="A92" s="736">
        <f>satpek!$B$46</f>
        <v>27</v>
      </c>
      <c r="B92" s="784">
        <f t="shared" si="29"/>
        <v>26</v>
      </c>
      <c r="C92" s="777"/>
      <c r="D92" s="785" t="str">
        <f>VLOOKUP($A92,satpek!$B$20:$N$144,2,0)</f>
        <v>Memasang bekisting untuk lantai (2x pakai)</v>
      </c>
      <c r="E92" s="785"/>
      <c r="F92" s="786"/>
      <c r="G92" s="787">
        <f>vol.!S263</f>
        <v>6</v>
      </c>
      <c r="H92" s="788" t="str">
        <f>VLOOKUP($A92,satpek!$B$20:$N$144,7,0)</f>
        <v>m2</v>
      </c>
      <c r="I92" s="789" t="str">
        <f>VLOOKUP($A92,satpek!$B$20:$N$144,5,0)</f>
        <v>A.4.1.1.24</v>
      </c>
      <c r="J92" s="790">
        <f>VLOOKUP($A92,satpek!$B$20:$N$144,6,0)</f>
        <v>242900.28</v>
      </c>
      <c r="K92" s="791"/>
      <c r="L92" s="792">
        <f t="shared" si="28"/>
        <v>1457401.68</v>
      </c>
      <c r="M92" s="793"/>
      <c r="N92" s="835"/>
      <c r="O92" s="835"/>
      <c r="P92" s="782"/>
      <c r="Q92" s="783"/>
      <c r="R92" s="794"/>
      <c r="T92" s="725"/>
      <c r="U92" s="725"/>
      <c r="V92" s="725"/>
      <c r="W92" s="725"/>
    </row>
    <row r="93" spans="1:23" ht="20.100000000000001" customHeight="1" x14ac:dyDescent="0.2">
      <c r="A93" s="736"/>
      <c r="B93" s="823"/>
      <c r="C93" s="824"/>
      <c r="D93" s="825" t="s">
        <v>1682</v>
      </c>
      <c r="E93" s="826"/>
      <c r="F93" s="827"/>
      <c r="G93" s="828"/>
      <c r="H93" s="829"/>
      <c r="I93" s="830"/>
      <c r="J93" s="831"/>
      <c r="K93" s="832"/>
      <c r="L93" s="833"/>
      <c r="M93" s="834"/>
      <c r="N93" s="835"/>
      <c r="O93" s="835"/>
      <c r="P93" s="782"/>
      <c r="Q93" s="783"/>
      <c r="R93" s="794"/>
      <c r="T93" s="725"/>
      <c r="U93" s="725"/>
      <c r="V93" s="725"/>
      <c r="W93" s="725"/>
    </row>
    <row r="94" spans="1:23" ht="20.100000000000001" customHeight="1" x14ac:dyDescent="0.2">
      <c r="A94" s="736" t="e">
        <f>satpek!#REF!</f>
        <v>#REF!</v>
      </c>
      <c r="B94" s="784">
        <f>B92+1</f>
        <v>27</v>
      </c>
      <c r="C94" s="777"/>
      <c r="D94" s="785" t="e">
        <f>VLOOKUP($A94,satpek!$B$20:$N$144,2,0)</f>
        <v>#REF!</v>
      </c>
      <c r="E94" s="785"/>
      <c r="F94" s="786"/>
      <c r="G94" s="787">
        <f>vol.!S269</f>
        <v>3.38</v>
      </c>
      <c r="H94" s="788" t="e">
        <f>VLOOKUP($A94,satpek!$B$20:$N$144,7,0)</f>
        <v>#REF!</v>
      </c>
      <c r="I94" s="789" t="e">
        <f>VLOOKUP($A94,satpek!$B$20:$N$144,5,0)</f>
        <v>#REF!</v>
      </c>
      <c r="J94" s="790" t="e">
        <f>VLOOKUP($A94,satpek!$B$20:$N$144,6,0)</f>
        <v>#REF!</v>
      </c>
      <c r="K94" s="791"/>
      <c r="L94" s="792" t="e">
        <f t="shared" ref="L94:L96" si="30">ROUND((G94*J94),2)</f>
        <v>#REF!</v>
      </c>
      <c r="M94" s="793"/>
      <c r="N94" s="835"/>
      <c r="O94" s="835"/>
      <c r="P94" s="782"/>
      <c r="Q94" s="783"/>
      <c r="R94" s="794"/>
      <c r="T94" s="725"/>
      <c r="U94" s="725"/>
      <c r="V94" s="725"/>
      <c r="W94" s="725"/>
    </row>
    <row r="95" spans="1:23" ht="20.100000000000001" customHeight="1" x14ac:dyDescent="0.2">
      <c r="A95" s="736">
        <f>satpek!$B$41</f>
        <v>22</v>
      </c>
      <c r="B95" s="784">
        <f t="shared" ref="B95:B96" si="31">B94+1</f>
        <v>28</v>
      </c>
      <c r="C95" s="777"/>
      <c r="D95" s="785" t="str">
        <f>VLOOKUP($A95,satpek!$B$20:$N$144,2,0)</f>
        <v>Pembesian 1 kg dengan besi polos atau besi ulir</v>
      </c>
      <c r="E95" s="785"/>
      <c r="F95" s="786"/>
      <c r="G95" s="787">
        <f>vol.!S276</f>
        <v>254.29880320000001</v>
      </c>
      <c r="H95" s="788" t="str">
        <f>VLOOKUP($A95,satpek!$B$20:$N$144,7,0)</f>
        <v>kg</v>
      </c>
      <c r="I95" s="789" t="str">
        <f>VLOOKUP($A95,satpek!$B$20:$N$144,5,0)</f>
        <v>A.4.1.1.17.</v>
      </c>
      <c r="J95" s="790">
        <f>VLOOKUP($A95,satpek!$B$20:$N$144,6,0)</f>
        <v>15603.94</v>
      </c>
      <c r="K95" s="791"/>
      <c r="L95" s="792">
        <f t="shared" si="30"/>
        <v>3968063.27</v>
      </c>
      <c r="M95" s="793"/>
      <c r="N95" s="835"/>
      <c r="O95" s="835"/>
      <c r="P95" s="782"/>
      <c r="Q95" s="783"/>
      <c r="R95" s="794"/>
      <c r="T95" s="725"/>
      <c r="U95" s="725"/>
      <c r="V95" s="725"/>
      <c r="W95" s="725"/>
    </row>
    <row r="96" spans="1:23" ht="20.100000000000001" customHeight="1" x14ac:dyDescent="0.2">
      <c r="A96" s="736">
        <f>A92</f>
        <v>27</v>
      </c>
      <c r="B96" s="784">
        <f t="shared" si="31"/>
        <v>29</v>
      </c>
      <c r="C96" s="777"/>
      <c r="D96" s="785" t="str">
        <f>VLOOKUP($A96,satpek!$B$20:$N$144,2,0)</f>
        <v>Memasang bekisting untuk lantai (2x pakai)</v>
      </c>
      <c r="E96" s="785"/>
      <c r="F96" s="786"/>
      <c r="G96" s="787">
        <f>vol.!S280</f>
        <v>39</v>
      </c>
      <c r="H96" s="788" t="str">
        <f>VLOOKUP($A96,satpek!$B$20:$N$144,7,0)</f>
        <v>m2</v>
      </c>
      <c r="I96" s="789" t="str">
        <f>VLOOKUP($A96,satpek!$B$20:$N$144,5,0)</f>
        <v>A.4.1.1.24</v>
      </c>
      <c r="J96" s="790">
        <f>VLOOKUP($A96,satpek!$B$20:$N$144,6,0)</f>
        <v>242900.28</v>
      </c>
      <c r="K96" s="791"/>
      <c r="L96" s="792">
        <f t="shared" si="30"/>
        <v>9473110.9199999999</v>
      </c>
      <c r="M96" s="793"/>
      <c r="N96" s="835"/>
      <c r="O96" s="835"/>
      <c r="P96" s="782"/>
      <c r="Q96" s="783"/>
      <c r="R96" s="794"/>
      <c r="T96" s="725"/>
      <c r="U96" s="725"/>
      <c r="V96" s="725"/>
      <c r="W96" s="725"/>
    </row>
    <row r="97" spans="1:23" ht="20.100000000000001" customHeight="1" x14ac:dyDescent="0.2">
      <c r="A97" s="736"/>
      <c r="B97" s="1378"/>
      <c r="C97" s="1379"/>
      <c r="D97" s="1389" t="s">
        <v>1715</v>
      </c>
      <c r="E97" s="1380"/>
      <c r="F97" s="1381"/>
      <c r="G97" s="1382"/>
      <c r="H97" s="1383"/>
      <c r="I97" s="1384"/>
      <c r="J97" s="1385"/>
      <c r="K97" s="1386"/>
      <c r="L97" s="1387"/>
      <c r="M97" s="1388"/>
      <c r="N97" s="835"/>
      <c r="O97" s="835"/>
      <c r="P97" s="782"/>
      <c r="Q97" s="783"/>
      <c r="R97" s="794"/>
      <c r="T97" s="725"/>
      <c r="U97" s="725"/>
      <c r="V97" s="725"/>
      <c r="W97" s="725"/>
    </row>
    <row r="98" spans="1:23" ht="20.100000000000001" customHeight="1" x14ac:dyDescent="0.2">
      <c r="A98" s="736" t="e">
        <f>satpek!#REF!</f>
        <v>#REF!</v>
      </c>
      <c r="B98" s="784">
        <f>B96+1</f>
        <v>30</v>
      </c>
      <c r="C98" s="777"/>
      <c r="D98" s="785" t="e">
        <f>VLOOKUP($A98,satpek!$B$20:$N$144,2,0)</f>
        <v>#REF!</v>
      </c>
      <c r="E98" s="785"/>
      <c r="F98" s="786"/>
      <c r="G98" s="787">
        <f>vol.!S283</f>
        <v>0.24</v>
      </c>
      <c r="H98" s="788" t="e">
        <f>VLOOKUP($A98,satpek!$B$20:$N$144,7,0)</f>
        <v>#REF!</v>
      </c>
      <c r="I98" s="789" t="e">
        <f>VLOOKUP($A98,satpek!$B$20:$N$144,5,0)</f>
        <v>#REF!</v>
      </c>
      <c r="J98" s="790" t="e">
        <f>VLOOKUP($A98,satpek!$B$20:$N$144,6,0)</f>
        <v>#REF!</v>
      </c>
      <c r="K98" s="791"/>
      <c r="L98" s="792" t="e">
        <f t="shared" ref="L98:L100" si="32">ROUND((G98*J98),2)</f>
        <v>#REF!</v>
      </c>
      <c r="M98" s="793"/>
      <c r="N98" s="835"/>
      <c r="O98" s="835"/>
      <c r="P98" s="782"/>
      <c r="Q98" s="783"/>
      <c r="R98" s="794"/>
      <c r="T98" s="725"/>
      <c r="U98" s="725"/>
      <c r="V98" s="725"/>
      <c r="W98" s="725"/>
    </row>
    <row r="99" spans="1:23" ht="20.100000000000001" customHeight="1" x14ac:dyDescent="0.2">
      <c r="A99" s="736">
        <f>satpek!$B$41</f>
        <v>22</v>
      </c>
      <c r="B99" s="784">
        <f t="shared" ref="B99:B100" si="33">B98+1</f>
        <v>31</v>
      </c>
      <c r="C99" s="777"/>
      <c r="D99" s="785" t="str">
        <f>VLOOKUP($A99,satpek!$B$20:$N$144,2,0)</f>
        <v>Pembesian 1 kg dengan besi polos atau besi ulir</v>
      </c>
      <c r="E99" s="785"/>
      <c r="F99" s="786"/>
      <c r="G99" s="787">
        <f>vol.!S288</f>
        <v>91.102704000000017</v>
      </c>
      <c r="H99" s="788" t="str">
        <f>VLOOKUP($A99,satpek!$B$20:$N$144,7,0)</f>
        <v>kg</v>
      </c>
      <c r="I99" s="789" t="str">
        <f>VLOOKUP($A99,satpek!$B$20:$N$144,5,0)</f>
        <v>A.4.1.1.17.</v>
      </c>
      <c r="J99" s="790">
        <f>VLOOKUP($A99,satpek!$B$20:$N$144,6,0)</f>
        <v>15603.94</v>
      </c>
      <c r="K99" s="791"/>
      <c r="L99" s="792">
        <f t="shared" si="32"/>
        <v>1421561.13</v>
      </c>
      <c r="M99" s="793"/>
      <c r="N99" s="835"/>
      <c r="O99" s="835"/>
      <c r="P99" s="782"/>
      <c r="Q99" s="783"/>
      <c r="R99" s="794"/>
      <c r="T99" s="725"/>
      <c r="U99" s="725"/>
      <c r="V99" s="725"/>
      <c r="W99" s="725"/>
    </row>
    <row r="100" spans="1:23" ht="20.100000000000001" customHeight="1" x14ac:dyDescent="0.2">
      <c r="A100" s="736">
        <f>satpek!B45</f>
        <v>26</v>
      </c>
      <c r="B100" s="784">
        <f t="shared" si="33"/>
        <v>32</v>
      </c>
      <c r="C100" s="777"/>
      <c r="D100" s="785" t="str">
        <f>VLOOKUP($A100,satpek!$B$20:$N$144,2,0)</f>
        <v>Memasang bekisting untuk balok (2x pakai)</v>
      </c>
      <c r="E100" s="785"/>
      <c r="F100" s="786"/>
      <c r="G100" s="787">
        <f>vol.!S290</f>
        <v>2.8</v>
      </c>
      <c r="H100" s="788" t="str">
        <f>VLOOKUP($A100,satpek!$B$20:$N$144,7,0)</f>
        <v>m2</v>
      </c>
      <c r="I100" s="789" t="str">
        <f>VLOOKUP($A100,satpek!$B$20:$N$144,5,0)</f>
        <v>A.4.1.1.23.</v>
      </c>
      <c r="J100" s="790">
        <f>VLOOKUP($A100,satpek!$B$20:$N$144,6,0)</f>
        <v>194762.28</v>
      </c>
      <c r="K100" s="791"/>
      <c r="L100" s="792">
        <f t="shared" si="32"/>
        <v>545334.38</v>
      </c>
      <c r="M100" s="793"/>
      <c r="N100" s="835"/>
      <c r="O100" s="835"/>
      <c r="P100" s="782"/>
      <c r="Q100" s="783"/>
      <c r="R100" s="794"/>
      <c r="T100" s="725"/>
      <c r="U100" s="725"/>
      <c r="V100" s="725"/>
      <c r="W100" s="725"/>
    </row>
    <row r="101" spans="1:23" ht="20.100000000000001" customHeight="1" x14ac:dyDescent="0.2">
      <c r="A101" s="732"/>
      <c r="B101" s="784"/>
      <c r="C101" s="777"/>
      <c r="D101" s="785"/>
      <c r="E101" s="785"/>
      <c r="F101" s="786"/>
      <c r="G101" s="787"/>
      <c r="H101" s="788"/>
      <c r="I101" s="789"/>
      <c r="J101" s="795"/>
      <c r="K101" s="791"/>
      <c r="L101" s="792"/>
      <c r="M101" s="793"/>
      <c r="N101" s="835"/>
      <c r="O101" s="835"/>
      <c r="P101" s="782"/>
      <c r="Q101" s="783"/>
      <c r="R101" s="794"/>
      <c r="T101" s="725"/>
      <c r="U101" s="725"/>
      <c r="V101" s="725"/>
      <c r="W101" s="725"/>
    </row>
    <row r="102" spans="1:23" s="729" customFormat="1" ht="20.100000000000001" customHeight="1" x14ac:dyDescent="0.2">
      <c r="A102" s="736"/>
      <c r="B102" s="796"/>
      <c r="C102" s="797"/>
      <c r="D102" s="798"/>
      <c r="E102" s="798"/>
      <c r="F102" s="799"/>
      <c r="G102" s="800"/>
      <c r="H102" s="801"/>
      <c r="I102" s="802" t="s">
        <v>556</v>
      </c>
      <c r="J102" s="803" t="str">
        <f>B56</f>
        <v>IV</v>
      </c>
      <c r="K102" s="804"/>
      <c r="L102" s="805" t="e">
        <f>SUM(L57:L101)</f>
        <v>#REF!</v>
      </c>
      <c r="M102" s="806"/>
      <c r="N102" s="730"/>
      <c r="O102" s="730"/>
      <c r="P102" s="782"/>
      <c r="Q102" s="783"/>
      <c r="R102" s="794"/>
    </row>
    <row r="103" spans="1:23" s="821" customFormat="1" ht="20.100000000000001" customHeight="1" x14ac:dyDescent="0.2">
      <c r="A103" s="808"/>
      <c r="B103" s="809" t="s">
        <v>1139</v>
      </c>
      <c r="C103" s="810"/>
      <c r="D103" s="811" t="s">
        <v>1616</v>
      </c>
      <c r="E103" s="811"/>
      <c r="F103" s="812"/>
      <c r="G103" s="813"/>
      <c r="H103" s="814"/>
      <c r="I103" s="815"/>
      <c r="J103" s="816"/>
      <c r="K103" s="817"/>
      <c r="L103" s="818"/>
      <c r="M103" s="819"/>
      <c r="N103" s="820"/>
      <c r="O103" s="820"/>
      <c r="P103" s="782"/>
      <c r="Q103" s="783"/>
      <c r="R103" s="794"/>
    </row>
    <row r="104" spans="1:23" s="729" customFormat="1" ht="20.100000000000001" customHeight="1" x14ac:dyDescent="0.2">
      <c r="A104" s="736">
        <f>satpek!$B$62</f>
        <v>43</v>
      </c>
      <c r="B104" s="784">
        <v>1</v>
      </c>
      <c r="C104" s="777"/>
      <c r="D104" s="785" t="str">
        <f>VLOOKUP($A104,satpek!$B$20:$N$144,2,0)</f>
        <v>Memasang lantai homogenius tile polished ( 60 x 60 ) cm</v>
      </c>
      <c r="E104" s="785"/>
      <c r="F104" s="786"/>
      <c r="G104" s="787">
        <f>vol.!S305</f>
        <v>270.85500000000002</v>
      </c>
      <c r="H104" s="788" t="str">
        <f>VLOOKUP($A104,satpek!$B$20:$N$144,7,0)</f>
        <v>m2</v>
      </c>
      <c r="I104" s="789" t="str">
        <f>VLOOKUP($A104,satpek!$B$20:$N$144,5,0)</f>
        <v>An. Dihitung</v>
      </c>
      <c r="J104" s="790">
        <f>VLOOKUP($A104,satpek!$B$20:$N$144,6,0)</f>
        <v>245041.63</v>
      </c>
      <c r="K104" s="791"/>
      <c r="L104" s="792">
        <f t="shared" ref="L104:L105" si="34">ROUND((G104*J104),2)</f>
        <v>66370750.689999998</v>
      </c>
      <c r="M104" s="793"/>
      <c r="N104" s="730"/>
      <c r="O104" s="730"/>
      <c r="P104" s="782"/>
      <c r="Q104" s="783"/>
      <c r="R104" s="794"/>
    </row>
    <row r="105" spans="1:23" s="729" customFormat="1" ht="20.100000000000001" customHeight="1" x14ac:dyDescent="0.2">
      <c r="A105" s="736" t="e">
        <f>satpek!#REF!</f>
        <v>#REF!</v>
      </c>
      <c r="B105" s="784">
        <f t="shared" ref="B105:B108" si="35">B104+1</f>
        <v>2</v>
      </c>
      <c r="C105" s="777"/>
      <c r="D105" s="785" t="e">
        <f>VLOOKUP($A105,satpek!$B$20:$N$144,2,0)</f>
        <v>#REF!</v>
      </c>
      <c r="E105" s="785"/>
      <c r="F105" s="949" t="s">
        <v>1635</v>
      </c>
      <c r="G105" s="787">
        <f>vol.!S319</f>
        <v>43.150000000000013</v>
      </c>
      <c r="H105" s="788" t="e">
        <f>VLOOKUP($A105,satpek!$B$20:$N$144,7,0)</f>
        <v>#REF!</v>
      </c>
      <c r="I105" s="789" t="e">
        <f>VLOOKUP($A105,satpek!$B$20:$N$144,5,0)</f>
        <v>#REF!</v>
      </c>
      <c r="J105" s="790" t="e">
        <f>VLOOKUP($A105,satpek!$B$20:$N$144,6,0)</f>
        <v>#REF!</v>
      </c>
      <c r="K105" s="791"/>
      <c r="L105" s="792" t="e">
        <f t="shared" si="34"/>
        <v>#REF!</v>
      </c>
      <c r="M105" s="793"/>
      <c r="N105" s="730"/>
      <c r="O105" s="730"/>
      <c r="P105" s="782"/>
      <c r="Q105" s="783"/>
      <c r="R105" s="794"/>
    </row>
    <row r="106" spans="1:23" s="729" customFormat="1" ht="20.100000000000001" customHeight="1" x14ac:dyDescent="0.2">
      <c r="A106" s="736" t="e">
        <f>satpek!#REF!</f>
        <v>#REF!</v>
      </c>
      <c r="B106" s="784">
        <f t="shared" si="35"/>
        <v>3</v>
      </c>
      <c r="C106" s="777"/>
      <c r="D106" s="785" t="e">
        <f>VLOOKUP($A106,satpek!$B$20:$N$144,2,0)</f>
        <v>#REF!</v>
      </c>
      <c r="E106" s="785"/>
      <c r="F106" s="949" t="s">
        <v>1635</v>
      </c>
      <c r="G106" s="787">
        <f>vol.!S332</f>
        <v>107.1</v>
      </c>
      <c r="H106" s="788" t="e">
        <f>VLOOKUP($A106,satpek!$B$20:$N$144,7,0)</f>
        <v>#REF!</v>
      </c>
      <c r="I106" s="789" t="e">
        <f>VLOOKUP($A106,satpek!$B$20:$N$144,5,0)</f>
        <v>#REF!</v>
      </c>
      <c r="J106" s="790" t="e">
        <f>VLOOKUP($A106,satpek!$B$20:$N$144,6,0)</f>
        <v>#REF!</v>
      </c>
      <c r="K106" s="791"/>
      <c r="L106" s="792" t="e">
        <f t="shared" ref="L106:L108" si="36">ROUND((G106*J106),2)</f>
        <v>#REF!</v>
      </c>
      <c r="M106" s="793"/>
      <c r="N106" s="730"/>
      <c r="O106" s="730"/>
      <c r="P106" s="782"/>
      <c r="Q106" s="783"/>
      <c r="R106" s="794"/>
    </row>
    <row r="107" spans="1:23" s="729" customFormat="1" ht="20.100000000000001" customHeight="1" x14ac:dyDescent="0.2">
      <c r="A107" s="736" t="e">
        <f>satpek!#REF!</f>
        <v>#REF!</v>
      </c>
      <c r="B107" s="784">
        <f t="shared" si="35"/>
        <v>4</v>
      </c>
      <c r="C107" s="777"/>
      <c r="D107" s="785" t="e">
        <f>VLOOKUP($A107,satpek!$B$20:$N$144,2,0)</f>
        <v>#REF!</v>
      </c>
      <c r="E107" s="785"/>
      <c r="F107" s="949"/>
      <c r="G107" s="787">
        <f>vol.!S336</f>
        <v>17.500000000000004</v>
      </c>
      <c r="H107" s="788" t="e">
        <f>VLOOKUP($A107,satpek!$B$20:$N$144,7,0)</f>
        <v>#REF!</v>
      </c>
      <c r="I107" s="789" t="e">
        <f>VLOOKUP($A107,satpek!$B$20:$N$144,5,0)</f>
        <v>#REF!</v>
      </c>
      <c r="J107" s="790" t="e">
        <f>VLOOKUP($A107,satpek!$B$20:$N$144,6,0)</f>
        <v>#REF!</v>
      </c>
      <c r="K107" s="791"/>
      <c r="L107" s="792" t="e">
        <f t="shared" ref="L107" si="37">ROUND((G107*J107),2)</f>
        <v>#REF!</v>
      </c>
      <c r="M107" s="793"/>
      <c r="N107" s="730"/>
      <c r="O107" s="730"/>
      <c r="P107" s="782"/>
      <c r="Q107" s="783"/>
      <c r="R107" s="794"/>
    </row>
    <row r="108" spans="1:23" s="729" customFormat="1" ht="20.100000000000001" customHeight="1" x14ac:dyDescent="0.2">
      <c r="A108" s="736">
        <f>satpek!B59</f>
        <v>40</v>
      </c>
      <c r="B108" s="784">
        <f t="shared" si="35"/>
        <v>5</v>
      </c>
      <c r="C108" s="777"/>
      <c r="D108" s="785" t="str">
        <f>VLOOKUP($A108,satpek!$B$20:$N$144,2,0)</f>
        <v>Memasang plint lantai Homogenius tile uk. (10 x 60) cm</v>
      </c>
      <c r="E108" s="785"/>
      <c r="F108" s="786"/>
      <c r="G108" s="787"/>
      <c r="H108" s="788" t="str">
        <f>VLOOKUP($A108,satpek!$B$20:$N$144,7,0)</f>
        <v>m'</v>
      </c>
      <c r="I108" s="789" t="str">
        <f>VLOOKUP($A108,satpek!$B$20:$N$144,5,0)</f>
        <v>A.4.4.3.28.a.</v>
      </c>
      <c r="J108" s="790">
        <f>VLOOKUP($A108,satpek!$B$20:$N$144,6,0)</f>
        <v>38068.57</v>
      </c>
      <c r="K108" s="791"/>
      <c r="L108" s="792">
        <f t="shared" si="36"/>
        <v>0</v>
      </c>
      <c r="M108" s="793"/>
      <c r="N108" s="730"/>
      <c r="O108" s="730"/>
      <c r="P108" s="782"/>
      <c r="Q108" s="783"/>
      <c r="R108" s="794"/>
    </row>
    <row r="109" spans="1:23" s="729" customFormat="1" ht="20.100000000000001" customHeight="1" x14ac:dyDescent="0.2">
      <c r="A109" s="736"/>
      <c r="B109" s="784"/>
      <c r="C109" s="777"/>
      <c r="D109" s="785"/>
      <c r="E109" s="785"/>
      <c r="F109" s="786"/>
      <c r="G109" s="787"/>
      <c r="H109" s="788"/>
      <c r="I109" s="789"/>
      <c r="J109" s="795"/>
      <c r="K109" s="791"/>
      <c r="L109" s="792"/>
      <c r="M109" s="793"/>
      <c r="N109" s="730"/>
      <c r="O109" s="730"/>
      <c r="P109" s="782"/>
      <c r="Q109" s="783"/>
      <c r="R109" s="794"/>
    </row>
    <row r="110" spans="1:23" s="729" customFormat="1" ht="20.100000000000001" customHeight="1" x14ac:dyDescent="0.2">
      <c r="A110" s="736"/>
      <c r="B110" s="796"/>
      <c r="C110" s="797"/>
      <c r="D110" s="798"/>
      <c r="E110" s="798"/>
      <c r="F110" s="799"/>
      <c r="G110" s="800"/>
      <c r="H110" s="801"/>
      <c r="I110" s="802" t="s">
        <v>556</v>
      </c>
      <c r="J110" s="803" t="str">
        <f>B103</f>
        <v>V</v>
      </c>
      <c r="K110" s="804"/>
      <c r="L110" s="805" t="e">
        <f>SUM(L104:L109)</f>
        <v>#REF!</v>
      </c>
      <c r="M110" s="806"/>
      <c r="N110" s="730"/>
      <c r="O110" s="730"/>
      <c r="P110" s="782"/>
      <c r="Q110" s="783"/>
      <c r="R110" s="794"/>
    </row>
    <row r="111" spans="1:23" s="821" customFormat="1" ht="20.100000000000001" customHeight="1" x14ac:dyDescent="0.2">
      <c r="A111" s="808"/>
      <c r="B111" s="809" t="s">
        <v>1140</v>
      </c>
      <c r="C111" s="810"/>
      <c r="D111" s="811" t="s">
        <v>1617</v>
      </c>
      <c r="E111" s="811"/>
      <c r="F111" s="812"/>
      <c r="G111" s="813"/>
      <c r="H111" s="814"/>
      <c r="I111" s="815"/>
      <c r="J111" s="816"/>
      <c r="K111" s="817"/>
      <c r="L111" s="818"/>
      <c r="M111" s="819"/>
      <c r="N111" s="820"/>
      <c r="O111" s="820"/>
      <c r="P111" s="782"/>
      <c r="Q111" s="783"/>
      <c r="R111" s="794"/>
    </row>
    <row r="112" spans="1:23" s="729" customFormat="1" ht="20.100000000000001" customHeight="1" x14ac:dyDescent="0.2">
      <c r="A112" s="736" t="e">
        <f>satpek!#REF!</f>
        <v>#REF!</v>
      </c>
      <c r="B112" s="784">
        <v>1</v>
      </c>
      <c r="C112" s="777"/>
      <c r="D112" s="785" t="e">
        <f>VLOOKUP($A112,satpek!$B$20:$N$144,2,0)</f>
        <v>#REF!</v>
      </c>
      <c r="E112" s="785"/>
      <c r="F112" s="786"/>
      <c r="G112" s="787">
        <f>vol.!S360</f>
        <v>364.35500000000002</v>
      </c>
      <c r="H112" s="788" t="e">
        <f>VLOOKUP($A112,satpek!$B$20:$N$144,7,0)</f>
        <v>#REF!</v>
      </c>
      <c r="I112" s="789" t="e">
        <f>VLOOKUP($A112,satpek!$B$20:$N$144,5,0)</f>
        <v>#REF!</v>
      </c>
      <c r="J112" s="790" t="e">
        <f>VLOOKUP($A112,satpek!$B$20:$N$144,6,0)</f>
        <v>#REF!</v>
      </c>
      <c r="K112" s="791"/>
      <c r="L112" s="792" t="e">
        <f t="shared" ref="L112:L115" si="38">ROUND((G112*J112),2)</f>
        <v>#REF!</v>
      </c>
      <c r="M112" s="793"/>
      <c r="N112" s="730"/>
      <c r="O112" s="730"/>
      <c r="P112" s="782"/>
      <c r="Q112" s="783"/>
      <c r="R112" s="794"/>
    </row>
    <row r="113" spans="1:18" s="729" customFormat="1" ht="20.100000000000001" customHeight="1" x14ac:dyDescent="0.2">
      <c r="A113" s="736" t="e">
        <f>satpek!#REF!</f>
        <v>#REF!</v>
      </c>
      <c r="B113" s="784">
        <f t="shared" ref="B113:B116" si="39">B112+1</f>
        <v>2</v>
      </c>
      <c r="C113" s="777"/>
      <c r="D113" s="785" t="e">
        <f>VLOOKUP($A113,satpek!$B$20:$N$144,2,0)</f>
        <v>#REF!</v>
      </c>
      <c r="E113" s="785"/>
      <c r="F113" s="786"/>
      <c r="G113" s="787">
        <f>vol.!S363</f>
        <v>30</v>
      </c>
      <c r="H113" s="788" t="e">
        <f>VLOOKUP($A113,satpek!$B$20:$N$144,7,0)</f>
        <v>#REF!</v>
      </c>
      <c r="I113" s="789" t="e">
        <f>VLOOKUP($A113,satpek!$B$20:$N$144,5,0)</f>
        <v>#REF!</v>
      </c>
      <c r="J113" s="790" t="e">
        <f>VLOOKUP($A113,satpek!$B$20:$N$144,6,0)</f>
        <v>#REF!</v>
      </c>
      <c r="K113" s="791"/>
      <c r="L113" s="792" t="e">
        <f t="shared" ref="L113" si="40">ROUND((G113*J113),2)</f>
        <v>#REF!</v>
      </c>
      <c r="M113" s="793"/>
      <c r="N113" s="730"/>
      <c r="O113" s="730"/>
      <c r="P113" s="782"/>
      <c r="Q113" s="783"/>
      <c r="R113" s="794"/>
    </row>
    <row r="114" spans="1:18" s="729" customFormat="1" ht="20.100000000000001" customHeight="1" x14ac:dyDescent="0.2">
      <c r="A114" s="736">
        <f>satpek!B50</f>
        <v>31</v>
      </c>
      <c r="B114" s="784">
        <f t="shared" si="39"/>
        <v>3</v>
      </c>
      <c r="C114" s="777"/>
      <c r="D114" s="785" t="str">
        <f>VLOOKUP($A114,satpek!$B$20:$N$144,2,0)</f>
        <v>Memasang plafond PVC</v>
      </c>
      <c r="E114" s="785"/>
      <c r="F114" s="786"/>
      <c r="G114" s="787">
        <f>vol.!S365</f>
        <v>394.35500000000002</v>
      </c>
      <c r="H114" s="788" t="str">
        <f>VLOOKUP($A114,satpek!$B$20:$N$144,7,0)</f>
        <v>m2</v>
      </c>
      <c r="I114" s="789" t="str">
        <f>VLOOKUP($A114,satpek!$B$20:$N$144,5,0)</f>
        <v>An.Dihitung</v>
      </c>
      <c r="J114" s="790">
        <f>VLOOKUP($A114,satpek!$B$20:$N$144,6,0)</f>
        <v>167579</v>
      </c>
      <c r="K114" s="791"/>
      <c r="L114" s="792">
        <f t="shared" si="38"/>
        <v>66085616.549999997</v>
      </c>
      <c r="M114" s="793"/>
      <c r="N114" s="730"/>
      <c r="O114" s="730"/>
      <c r="P114" s="782"/>
      <c r="Q114" s="783"/>
      <c r="R114" s="794"/>
    </row>
    <row r="115" spans="1:18" s="729" customFormat="1" ht="20.100000000000001" customHeight="1" x14ac:dyDescent="0.2">
      <c r="A115" s="736">
        <f>satpek!B52</f>
        <v>33</v>
      </c>
      <c r="B115" s="784">
        <f t="shared" si="39"/>
        <v>4</v>
      </c>
      <c r="C115" s="777"/>
      <c r="D115" s="785" t="str">
        <f>VLOOKUP($A115,satpek!$B$20:$N$144,2,0)</f>
        <v>Memasang list plafond PVC</v>
      </c>
      <c r="E115" s="785"/>
      <c r="F115" s="786"/>
      <c r="G115" s="787">
        <f>vol.!S379</f>
        <v>523.4</v>
      </c>
      <c r="H115" s="788" t="str">
        <f>VLOOKUP($A115,satpek!$B$20:$N$144,7,0)</f>
        <v>m'</v>
      </c>
      <c r="I115" s="789" t="str">
        <f>VLOOKUP($A115,satpek!$B$20:$N$144,5,0)</f>
        <v>An.Dihitung</v>
      </c>
      <c r="J115" s="790">
        <f>VLOOKUP($A115,satpek!$B$20:$N$144,6,0)</f>
        <v>39690.120000000003</v>
      </c>
      <c r="K115" s="791"/>
      <c r="L115" s="792">
        <f t="shared" si="38"/>
        <v>20773808.809999999</v>
      </c>
      <c r="M115" s="793"/>
      <c r="N115" s="730"/>
      <c r="O115" s="730"/>
      <c r="P115" s="782"/>
      <c r="Q115" s="783"/>
      <c r="R115" s="794"/>
    </row>
    <row r="116" spans="1:18" s="729" customFormat="1" ht="20.100000000000001" customHeight="1" x14ac:dyDescent="0.2">
      <c r="A116" s="736" t="e">
        <f>satpek!#REF!</f>
        <v>#REF!</v>
      </c>
      <c r="B116" s="784">
        <f t="shared" si="39"/>
        <v>5</v>
      </c>
      <c r="C116" s="777"/>
      <c r="D116" s="785" t="e">
        <f>VLOOKUP($A116,satpek!$B$20:$N$144,2,0)</f>
        <v>#REF!</v>
      </c>
      <c r="E116" s="785"/>
      <c r="F116" s="786"/>
      <c r="G116" s="787"/>
      <c r="H116" s="788" t="e">
        <f>VLOOKUP($A116,satpek!$B$20:$N$144,7,0)</f>
        <v>#REF!</v>
      </c>
      <c r="I116" s="789" t="e">
        <f>VLOOKUP($A116,satpek!$B$20:$N$144,5,0)</f>
        <v>#REF!</v>
      </c>
      <c r="J116" s="790" t="e">
        <f>VLOOKUP($A116,satpek!$B$20:$N$144,6,0)</f>
        <v>#REF!</v>
      </c>
      <c r="K116" s="791"/>
      <c r="L116" s="792" t="e">
        <f t="shared" ref="L116" si="41">ROUND((G116*J116),2)</f>
        <v>#REF!</v>
      </c>
      <c r="M116" s="793"/>
      <c r="N116" s="730"/>
      <c r="O116" s="730"/>
      <c r="P116" s="782"/>
      <c r="Q116" s="783"/>
      <c r="R116" s="794"/>
    </row>
    <row r="117" spans="1:18" s="729" customFormat="1" ht="20.100000000000001" customHeight="1" x14ac:dyDescent="0.2">
      <c r="A117" s="736"/>
      <c r="B117" s="784"/>
      <c r="C117" s="777"/>
      <c r="D117" s="785"/>
      <c r="E117" s="785"/>
      <c r="F117" s="786"/>
      <c r="G117" s="787"/>
      <c r="H117" s="788"/>
      <c r="I117" s="789"/>
      <c r="J117" s="795"/>
      <c r="K117" s="791"/>
      <c r="L117" s="792"/>
      <c r="M117" s="793"/>
      <c r="N117" s="730"/>
      <c r="O117" s="730"/>
      <c r="P117" s="782"/>
      <c r="Q117" s="783"/>
      <c r="R117" s="794"/>
    </row>
    <row r="118" spans="1:18" s="729" customFormat="1" ht="20.100000000000001" customHeight="1" x14ac:dyDescent="0.2">
      <c r="A118" s="736"/>
      <c r="B118" s="796"/>
      <c r="C118" s="797"/>
      <c r="D118" s="798"/>
      <c r="E118" s="798"/>
      <c r="F118" s="799"/>
      <c r="G118" s="800"/>
      <c r="H118" s="801"/>
      <c r="I118" s="802" t="s">
        <v>556</v>
      </c>
      <c r="J118" s="803" t="str">
        <f>B111</f>
        <v>VI</v>
      </c>
      <c r="K118" s="804"/>
      <c r="L118" s="805" t="e">
        <f>SUM(L112:L117)</f>
        <v>#REF!</v>
      </c>
      <c r="M118" s="806"/>
      <c r="N118" s="730"/>
      <c r="O118" s="730"/>
      <c r="P118" s="782"/>
      <c r="Q118" s="783"/>
      <c r="R118" s="794"/>
    </row>
    <row r="119" spans="1:18" s="821" customFormat="1" ht="20.100000000000001" customHeight="1" x14ac:dyDescent="0.2">
      <c r="A119" s="808"/>
      <c r="B119" s="809" t="s">
        <v>1141</v>
      </c>
      <c r="C119" s="810"/>
      <c r="D119" s="811" t="s">
        <v>1618</v>
      </c>
      <c r="E119" s="811"/>
      <c r="F119" s="812"/>
      <c r="G119" s="813"/>
      <c r="H119" s="814"/>
      <c r="I119" s="815"/>
      <c r="J119" s="816"/>
      <c r="K119" s="817"/>
      <c r="L119" s="818"/>
      <c r="M119" s="819"/>
      <c r="N119" s="820"/>
      <c r="O119" s="820"/>
      <c r="P119" s="782"/>
      <c r="Q119" s="783"/>
      <c r="R119" s="794"/>
    </row>
    <row r="120" spans="1:18" s="729" customFormat="1" ht="20.100000000000001" customHeight="1" x14ac:dyDescent="0.2">
      <c r="A120" s="736">
        <f>satpek!$B$89</f>
        <v>70</v>
      </c>
      <c r="B120" s="784">
        <v>1</v>
      </c>
      <c r="C120" s="777"/>
      <c r="D120" s="785" t="str">
        <f>VLOOKUP($A120,satpek!$B$20:$N$144,2,0)</f>
        <v>Memasang instalasi titik lampu (kabel 2x1,5 mm) tanpa fitting</v>
      </c>
      <c r="E120" s="785"/>
      <c r="F120" s="786"/>
      <c r="G120" s="787">
        <f>vol.!S386</f>
        <v>31</v>
      </c>
      <c r="H120" s="788" t="str">
        <f>VLOOKUP($A120,satpek!$B$20:$N$144,7,0)</f>
        <v>ttk</v>
      </c>
      <c r="I120" s="789" t="str">
        <f>VLOOKUP($A120,satpek!$B$20:$N$144,5,0)</f>
        <v>An. Dihitung</v>
      </c>
      <c r="J120" s="790">
        <f>VLOOKUP($A120,satpek!$B$20:$N$144,6,0)</f>
        <v>115332.32</v>
      </c>
      <c r="K120" s="791"/>
      <c r="L120" s="792">
        <f t="shared" ref="L120:L126" si="42">ROUND((G120*J120),2)</f>
        <v>3575301.92</v>
      </c>
      <c r="M120" s="793"/>
      <c r="N120" s="730"/>
      <c r="O120" s="730"/>
      <c r="P120" s="782"/>
      <c r="Q120" s="783"/>
      <c r="R120" s="794"/>
    </row>
    <row r="121" spans="1:18" s="729" customFormat="1" ht="20.100000000000001" customHeight="1" x14ac:dyDescent="0.2">
      <c r="A121" s="736">
        <f>satpek!B90</f>
        <v>71</v>
      </c>
      <c r="B121" s="784">
        <f t="shared" ref="B121:B125" si="43">B120+1</f>
        <v>2</v>
      </c>
      <c r="C121" s="777"/>
      <c r="D121" s="785" t="str">
        <f>VLOOKUP($A121,satpek!$B$20:$N$144,2,0)</f>
        <v>Memasang Instalasi titik saklar (kabel 2x1,5 mm)</v>
      </c>
      <c r="E121" s="785"/>
      <c r="F121" s="786"/>
      <c r="G121" s="787">
        <f>vol.!S389</f>
        <v>24</v>
      </c>
      <c r="H121" s="788" t="str">
        <f>VLOOKUP($A121,satpek!$B$20:$N$144,7,0)</f>
        <v>ttk</v>
      </c>
      <c r="I121" s="789" t="str">
        <f>VLOOKUP($A121,satpek!$B$20:$N$144,5,0)</f>
        <v>An. Dihitung</v>
      </c>
      <c r="J121" s="790">
        <f>VLOOKUP($A121,satpek!$B$20:$N$144,6,0)</f>
        <v>145842.32</v>
      </c>
      <c r="K121" s="791"/>
      <c r="L121" s="792">
        <f t="shared" si="42"/>
        <v>3500215.68</v>
      </c>
      <c r="M121" s="793"/>
      <c r="N121" s="730"/>
      <c r="O121" s="730"/>
      <c r="P121" s="782"/>
      <c r="Q121" s="783"/>
      <c r="R121" s="794"/>
    </row>
    <row r="122" spans="1:18" s="729" customFormat="1" ht="20.100000000000001" customHeight="1" x14ac:dyDescent="0.2">
      <c r="A122" s="736">
        <f>satpek!B91</f>
        <v>72</v>
      </c>
      <c r="B122" s="784">
        <f t="shared" si="43"/>
        <v>3</v>
      </c>
      <c r="C122" s="777"/>
      <c r="D122" s="785" t="str">
        <f>VLOOKUP($A122,satpek!$B$20:$N$144,2,0)</f>
        <v>Memasang Instalasi titik stop kontak (kabel 3x2,5 mm)</v>
      </c>
      <c r="E122" s="785"/>
      <c r="F122" s="786"/>
      <c r="G122" s="787">
        <f>vol.!S392</f>
        <v>25</v>
      </c>
      <c r="H122" s="788" t="str">
        <f>VLOOKUP($A122,satpek!$B$20:$N$144,7,0)</f>
        <v>ttk</v>
      </c>
      <c r="I122" s="789" t="str">
        <f>VLOOKUP($A122,satpek!$B$20:$N$144,5,0)</f>
        <v>An. Dihitung</v>
      </c>
      <c r="J122" s="790">
        <f>VLOOKUP($A122,satpek!$B$20:$N$144,6,0)</f>
        <v>145842.32</v>
      </c>
      <c r="K122" s="791"/>
      <c r="L122" s="792">
        <f t="shared" si="42"/>
        <v>3646058</v>
      </c>
      <c r="M122" s="793"/>
      <c r="N122" s="730"/>
      <c r="O122" s="730"/>
      <c r="P122" s="782"/>
      <c r="Q122" s="783"/>
      <c r="R122" s="794"/>
    </row>
    <row r="123" spans="1:18" s="729" customFormat="1" ht="20.100000000000001" customHeight="1" x14ac:dyDescent="0.2">
      <c r="A123" s="736" t="e">
        <f>satpek!#REF!</f>
        <v>#REF!</v>
      </c>
      <c r="B123" s="784">
        <f t="shared" si="43"/>
        <v>4</v>
      </c>
      <c r="C123" s="777"/>
      <c r="D123" s="785" t="e">
        <f>VLOOKUP($A123,satpek!$B$20:$N$144,2,0)</f>
        <v>#REF!</v>
      </c>
      <c r="E123" s="785"/>
      <c r="F123" s="786"/>
      <c r="G123" s="787">
        <f>vol.!S394</f>
        <v>19</v>
      </c>
      <c r="H123" s="788" t="e">
        <f>VLOOKUP($A123,satpek!$B$20:$N$144,7,0)</f>
        <v>#REF!</v>
      </c>
      <c r="I123" s="789" t="e">
        <f>VLOOKUP($A123,satpek!$B$20:$N$144,5,0)</f>
        <v>#REF!</v>
      </c>
      <c r="J123" s="790" t="e">
        <f>VLOOKUP($A123,satpek!$B$20:$N$144,6,0)</f>
        <v>#REF!</v>
      </c>
      <c r="K123" s="791"/>
      <c r="L123" s="792" t="e">
        <f t="shared" ref="L123" si="44">ROUND((G123*J123),2)</f>
        <v>#REF!</v>
      </c>
      <c r="M123" s="793"/>
      <c r="N123" s="730"/>
      <c r="O123" s="730"/>
      <c r="P123" s="782"/>
      <c r="Q123" s="783"/>
      <c r="R123" s="794"/>
    </row>
    <row r="124" spans="1:18" s="729" customFormat="1" ht="20.100000000000001" customHeight="1" x14ac:dyDescent="0.2">
      <c r="A124" s="736" t="e">
        <f>satpek!#REF!</f>
        <v>#REF!</v>
      </c>
      <c r="B124" s="784">
        <f t="shared" si="43"/>
        <v>5</v>
      </c>
      <c r="C124" s="777"/>
      <c r="D124" s="785" t="e">
        <f>VLOOKUP($A124,satpek!$B$20:$N$144,2,0)</f>
        <v>#REF!</v>
      </c>
      <c r="E124" s="785"/>
      <c r="F124" s="786"/>
      <c r="G124" s="787">
        <f>vol.!S395</f>
        <v>12</v>
      </c>
      <c r="H124" s="788" t="e">
        <f>VLOOKUP($A124,satpek!$B$20:$N$144,7,0)</f>
        <v>#REF!</v>
      </c>
      <c r="I124" s="789" t="e">
        <f>VLOOKUP($A124,satpek!$B$20:$N$144,5,0)</f>
        <v>#REF!</v>
      </c>
      <c r="J124" s="790" t="e">
        <f>VLOOKUP($A124,satpek!$B$20:$N$144,6,0)</f>
        <v>#REF!</v>
      </c>
      <c r="K124" s="791"/>
      <c r="L124" s="792" t="e">
        <f t="shared" si="42"/>
        <v>#REF!</v>
      </c>
      <c r="M124" s="793"/>
      <c r="N124" s="730"/>
      <c r="O124" s="730"/>
      <c r="P124" s="782"/>
      <c r="Q124" s="783"/>
      <c r="R124" s="794"/>
    </row>
    <row r="125" spans="1:18" s="729" customFormat="1" ht="20.100000000000001" customHeight="1" x14ac:dyDescent="0.2">
      <c r="A125" s="736">
        <f>satpek!B94</f>
        <v>75</v>
      </c>
      <c r="B125" s="784">
        <f t="shared" si="43"/>
        <v>6</v>
      </c>
      <c r="C125" s="777"/>
      <c r="D125" s="785" t="str">
        <f>VLOOKUP($A125,satpek!$B$20:$N$144,2,0)</f>
        <v>Memasang saklar ganda</v>
      </c>
      <c r="E125" s="785"/>
      <c r="F125" s="786"/>
      <c r="G125" s="787">
        <f>vol.!S396</f>
        <v>2</v>
      </c>
      <c r="H125" s="788" t="str">
        <f>VLOOKUP($A125,satpek!$B$20:$N$144,7,0)</f>
        <v>bh</v>
      </c>
      <c r="I125" s="789" t="str">
        <f>VLOOKUP($A125,satpek!$B$20:$N$144,5,0)</f>
        <v>An. Dihitung</v>
      </c>
      <c r="J125" s="790">
        <f>VLOOKUP($A125,satpek!$B$20:$N$144,6,0)</f>
        <v>49855.6</v>
      </c>
      <c r="K125" s="791"/>
      <c r="L125" s="792">
        <f t="shared" si="42"/>
        <v>99711.2</v>
      </c>
      <c r="M125" s="793"/>
      <c r="N125" s="730"/>
      <c r="O125" s="730"/>
      <c r="P125" s="782"/>
      <c r="Q125" s="783"/>
      <c r="R125" s="794"/>
    </row>
    <row r="126" spans="1:18" s="729" customFormat="1" ht="20.100000000000001" customHeight="1" x14ac:dyDescent="0.2">
      <c r="A126" s="736">
        <f>satpek!B95</f>
        <v>76</v>
      </c>
      <c r="B126" s="784">
        <f t="shared" ref="B126:B130" si="45">B125+1</f>
        <v>7</v>
      </c>
      <c r="C126" s="777"/>
      <c r="D126" s="785" t="str">
        <f>VLOOKUP($A126,satpek!$B$20:$N$144,2,0)</f>
        <v>Memasang saklar tunggal</v>
      </c>
      <c r="E126" s="785"/>
      <c r="F126" s="786"/>
      <c r="G126" s="787">
        <f>vol.!S397</f>
        <v>22</v>
      </c>
      <c r="H126" s="788" t="str">
        <f>VLOOKUP($A126,satpek!$B$20:$N$144,7,0)</f>
        <v>bh</v>
      </c>
      <c r="I126" s="789" t="str">
        <f>VLOOKUP($A126,satpek!$B$20:$N$144,5,0)</f>
        <v>An. Dihitung</v>
      </c>
      <c r="J126" s="790">
        <f>VLOOKUP($A126,satpek!$B$20:$N$144,6,0)</f>
        <v>41826.949999999997</v>
      </c>
      <c r="K126" s="791"/>
      <c r="L126" s="792">
        <f t="shared" si="42"/>
        <v>920192.9</v>
      </c>
      <c r="M126" s="793"/>
      <c r="N126" s="730"/>
      <c r="O126" s="730"/>
      <c r="P126" s="782"/>
      <c r="Q126" s="783"/>
      <c r="R126" s="794"/>
    </row>
    <row r="127" spans="1:18" s="729" customFormat="1" ht="20.100000000000001" customHeight="1" x14ac:dyDescent="0.2">
      <c r="A127" s="736">
        <f>satpek!B96</f>
        <v>77</v>
      </c>
      <c r="B127" s="784">
        <f t="shared" si="45"/>
        <v>8</v>
      </c>
      <c r="C127" s="777"/>
      <c r="D127" s="785" t="str">
        <f>VLOOKUP($A127,satpek!$B$20:$N$144,2,0)</f>
        <v>Memasang stop kontak</v>
      </c>
      <c r="E127" s="785"/>
      <c r="F127" s="786"/>
      <c r="G127" s="787">
        <f>vol.!S398</f>
        <v>25</v>
      </c>
      <c r="H127" s="788" t="str">
        <f>VLOOKUP($A127,satpek!$B$20:$N$144,7,0)</f>
        <v>bh</v>
      </c>
      <c r="I127" s="789" t="str">
        <f>VLOOKUP($A127,satpek!$B$20:$N$144,5,0)</f>
        <v>An. Dihitung</v>
      </c>
      <c r="J127" s="790">
        <f>VLOOKUP($A127,satpek!$B$20:$N$144,6,0)</f>
        <v>37730.699999999997</v>
      </c>
      <c r="K127" s="791"/>
      <c r="L127" s="792">
        <f t="shared" ref="L127:L130" si="46">ROUND((G127*J127),2)</f>
        <v>943267.5</v>
      </c>
      <c r="M127" s="793"/>
      <c r="N127" s="730"/>
      <c r="O127" s="730"/>
      <c r="P127" s="782"/>
      <c r="Q127" s="783"/>
      <c r="R127" s="794"/>
    </row>
    <row r="128" spans="1:18" s="729" customFormat="1" ht="20.100000000000001" customHeight="1" x14ac:dyDescent="0.2">
      <c r="A128" s="736" t="e">
        <f>satpek!#REF!</f>
        <v>#REF!</v>
      </c>
      <c r="B128" s="784">
        <f t="shared" si="45"/>
        <v>9</v>
      </c>
      <c r="C128" s="777"/>
      <c r="D128" s="785" t="e">
        <f>VLOOKUP($A128,satpek!$B$20:$N$144,2,0)</f>
        <v>#REF!</v>
      </c>
      <c r="E128" s="785"/>
      <c r="F128" s="786"/>
      <c r="G128" s="787">
        <f>vol.!S399</f>
        <v>31</v>
      </c>
      <c r="H128" s="788" t="e">
        <f>VLOOKUP($A128,satpek!$B$20:$N$144,7,0)</f>
        <v>#REF!</v>
      </c>
      <c r="I128" s="789" t="e">
        <f>VLOOKUP($A128,satpek!$B$20:$N$144,5,0)</f>
        <v>#REF!</v>
      </c>
      <c r="J128" s="790" t="e">
        <f>VLOOKUP($A128,satpek!$B$20:$N$144,6,0)</f>
        <v>#REF!</v>
      </c>
      <c r="K128" s="791"/>
      <c r="L128" s="792" t="e">
        <f t="shared" si="46"/>
        <v>#REF!</v>
      </c>
      <c r="M128" s="793"/>
      <c r="N128" s="730"/>
      <c r="O128" s="730"/>
      <c r="P128" s="782"/>
      <c r="Q128" s="783"/>
      <c r="R128" s="794"/>
    </row>
    <row r="129" spans="1:18" s="729" customFormat="1" ht="20.100000000000001" customHeight="1" x14ac:dyDescent="0.2">
      <c r="A129" s="736" t="e">
        <f>satpek!#REF!</f>
        <v>#REF!</v>
      </c>
      <c r="B129" s="784">
        <f t="shared" si="45"/>
        <v>10</v>
      </c>
      <c r="C129" s="777"/>
      <c r="D129" s="785" t="e">
        <f>VLOOKUP($A129,satpek!$B$20:$N$144,2,0)</f>
        <v>#REF!</v>
      </c>
      <c r="E129" s="785"/>
      <c r="F129" s="786"/>
      <c r="G129" s="787">
        <f>vol.!S400</f>
        <v>2</v>
      </c>
      <c r="H129" s="788" t="e">
        <f>VLOOKUP($A129,satpek!$B$20:$N$144,7,0)</f>
        <v>#REF!</v>
      </c>
      <c r="I129" s="789" t="e">
        <f>VLOOKUP($A129,satpek!$B$20:$N$144,5,0)</f>
        <v>#REF!</v>
      </c>
      <c r="J129" s="790" t="e">
        <f>VLOOKUP($A129,satpek!$B$20:$N$144,6,0)</f>
        <v>#REF!</v>
      </c>
      <c r="K129" s="791"/>
      <c r="L129" s="792" t="e">
        <f t="shared" si="46"/>
        <v>#REF!</v>
      </c>
      <c r="M129" s="793"/>
      <c r="N129" s="730"/>
      <c r="O129" s="730"/>
      <c r="P129" s="782"/>
      <c r="Q129" s="783"/>
      <c r="R129" s="794"/>
    </row>
    <row r="130" spans="1:18" s="729" customFormat="1" ht="20.100000000000001" customHeight="1" x14ac:dyDescent="0.2">
      <c r="A130" s="736" t="e">
        <f>satpek!#REF!</f>
        <v>#REF!</v>
      </c>
      <c r="B130" s="784">
        <f t="shared" si="45"/>
        <v>11</v>
      </c>
      <c r="C130" s="777"/>
      <c r="D130" s="785" t="e">
        <f>VLOOKUP($A130,satpek!$B$20:$N$144,2,0)</f>
        <v>#REF!</v>
      </c>
      <c r="E130" s="785"/>
      <c r="F130" s="786"/>
      <c r="G130" s="787">
        <f>vol.!S401</f>
        <v>2</v>
      </c>
      <c r="H130" s="788" t="e">
        <f>VLOOKUP($A130,satpek!$B$20:$N$144,7,0)</f>
        <v>#REF!</v>
      </c>
      <c r="I130" s="789" t="e">
        <f>VLOOKUP($A130,satpek!$B$20:$N$144,5,0)</f>
        <v>#REF!</v>
      </c>
      <c r="J130" s="790" t="e">
        <f>VLOOKUP($A130,satpek!$B$20:$N$144,6,0)</f>
        <v>#REF!</v>
      </c>
      <c r="K130" s="791"/>
      <c r="L130" s="792" t="e">
        <f t="shared" si="46"/>
        <v>#REF!</v>
      </c>
      <c r="M130" s="793"/>
      <c r="N130" s="730"/>
      <c r="O130" s="730"/>
      <c r="P130" s="782"/>
      <c r="Q130" s="783"/>
      <c r="R130" s="794"/>
    </row>
    <row r="131" spans="1:18" s="729" customFormat="1" ht="20.100000000000001" customHeight="1" x14ac:dyDescent="0.2">
      <c r="A131" s="736"/>
      <c r="B131" s="784"/>
      <c r="C131" s="777"/>
      <c r="D131" s="785"/>
      <c r="E131" s="785"/>
      <c r="F131" s="786"/>
      <c r="G131" s="787"/>
      <c r="H131" s="788"/>
      <c r="I131" s="789"/>
      <c r="J131" s="795"/>
      <c r="K131" s="791"/>
      <c r="L131" s="792"/>
      <c r="M131" s="793"/>
      <c r="N131" s="730"/>
      <c r="O131" s="730"/>
      <c r="P131" s="782"/>
      <c r="Q131" s="783"/>
      <c r="R131" s="794"/>
    </row>
    <row r="132" spans="1:18" s="729" customFormat="1" ht="20.100000000000001" customHeight="1" x14ac:dyDescent="0.2">
      <c r="A132" s="736"/>
      <c r="B132" s="796"/>
      <c r="C132" s="797"/>
      <c r="D132" s="798"/>
      <c r="E132" s="798"/>
      <c r="F132" s="799"/>
      <c r="G132" s="800"/>
      <c r="H132" s="801"/>
      <c r="I132" s="802" t="s">
        <v>556</v>
      </c>
      <c r="J132" s="803" t="str">
        <f>B119</f>
        <v>VII</v>
      </c>
      <c r="K132" s="804"/>
      <c r="L132" s="805" t="e">
        <f>SUM(L120:L131)</f>
        <v>#REF!</v>
      </c>
      <c r="M132" s="806"/>
      <c r="N132" s="730"/>
      <c r="O132" s="730"/>
      <c r="P132" s="782"/>
      <c r="Q132" s="783"/>
      <c r="R132" s="794"/>
    </row>
    <row r="133" spans="1:18" s="821" customFormat="1" ht="20.100000000000001" customHeight="1" x14ac:dyDescent="0.2">
      <c r="A133" s="808"/>
      <c r="B133" s="809" t="s">
        <v>1142</v>
      </c>
      <c r="C133" s="810"/>
      <c r="D133" s="811" t="s">
        <v>1620</v>
      </c>
      <c r="E133" s="811"/>
      <c r="F133" s="812"/>
      <c r="G133" s="813"/>
      <c r="H133" s="814"/>
      <c r="I133" s="815"/>
      <c r="J133" s="816"/>
      <c r="K133" s="817"/>
      <c r="L133" s="818"/>
      <c r="M133" s="819"/>
      <c r="N133" s="820"/>
      <c r="O133" s="820"/>
      <c r="P133" s="782"/>
      <c r="Q133" s="783"/>
      <c r="R133" s="794"/>
    </row>
    <row r="134" spans="1:18" s="729" customFormat="1" ht="20.100000000000001" customHeight="1" x14ac:dyDescent="0.2">
      <c r="A134" s="736">
        <f>satpek!B114</f>
        <v>95</v>
      </c>
      <c r="B134" s="784">
        <v>1</v>
      </c>
      <c r="C134" s="777"/>
      <c r="D134" s="785" t="str">
        <f>VLOOKUP($A134,satpek!$B$20:$N$144,2,0)</f>
        <v>Pintu utama kaca tempered 12 mm</v>
      </c>
      <c r="E134" s="785"/>
      <c r="F134" s="786"/>
      <c r="G134" s="787">
        <f>vol.!S405</f>
        <v>2</v>
      </c>
      <c r="H134" s="788" t="str">
        <f>VLOOKUP($A134,satpek!$B$20:$N$144,7,0)</f>
        <v>unit</v>
      </c>
      <c r="I134" s="789" t="str">
        <f>VLOOKUP($A134,satpek!$B$20:$N$144,5,0)</f>
        <v>Daftar harga</v>
      </c>
      <c r="J134" s="790">
        <f>VLOOKUP($A134,satpek!$B$20:$N$144,6,0)</f>
        <v>16000000</v>
      </c>
      <c r="K134" s="791"/>
      <c r="L134" s="792">
        <f t="shared" ref="L134" si="47">ROUND((G134*J134),2)</f>
        <v>32000000</v>
      </c>
      <c r="M134" s="793"/>
      <c r="N134" s="730"/>
      <c r="O134" s="730"/>
      <c r="P134" s="782"/>
      <c r="Q134" s="783"/>
      <c r="R134" s="794"/>
    </row>
    <row r="135" spans="1:18" s="729" customFormat="1" ht="20.100000000000001" customHeight="1" x14ac:dyDescent="0.2">
      <c r="A135" s="736">
        <f>satpek!$B$54</f>
        <v>35</v>
      </c>
      <c r="B135" s="784">
        <f t="shared" ref="B135:B140" si="48">B134+1</f>
        <v>2</v>
      </c>
      <c r="C135" s="777"/>
      <c r="D135" s="785" t="str">
        <f>VLOOKUP($A135,satpek!$B$20:$N$144,2,0)</f>
        <v xml:space="preserve">Memasang kusen pintu/jendela alluminium </v>
      </c>
      <c r="E135" s="785"/>
      <c r="F135" s="786"/>
      <c r="G135" s="787">
        <f>vol.!S416</f>
        <v>271.65000000000003</v>
      </c>
      <c r="H135" s="788" t="str">
        <f>VLOOKUP($A135,satpek!$B$20:$N$144,7,0)</f>
        <v>m'</v>
      </c>
      <c r="I135" s="789" t="str">
        <f>VLOOKUP($A135,satpek!$B$20:$N$144,5,0)</f>
        <v>A.4.2.1.11.</v>
      </c>
      <c r="J135" s="790">
        <f>VLOOKUP($A135,satpek!$B$20:$N$144,6,0)</f>
        <v>152243.43000000002</v>
      </c>
      <c r="K135" s="791"/>
      <c r="L135" s="792">
        <f t="shared" ref="L135:L138" si="49">ROUND((G135*J135),2)</f>
        <v>41356927.759999998</v>
      </c>
      <c r="M135" s="793"/>
      <c r="N135" s="730"/>
      <c r="O135" s="730"/>
      <c r="P135" s="782"/>
      <c r="Q135" s="783"/>
      <c r="R135" s="794"/>
    </row>
    <row r="136" spans="1:18" s="729" customFormat="1" ht="20.100000000000001" customHeight="1" x14ac:dyDescent="0.2">
      <c r="A136" s="736" t="e">
        <f>satpek!#REF!</f>
        <v>#REF!</v>
      </c>
      <c r="B136" s="784">
        <f t="shared" si="48"/>
        <v>3</v>
      </c>
      <c r="C136" s="777"/>
      <c r="D136" s="785" t="e">
        <f>VLOOKUP($A136,satpek!$B$20:$N$144,2,0)</f>
        <v>#REF!</v>
      </c>
      <c r="E136" s="785"/>
      <c r="F136" s="786"/>
      <c r="G136" s="787">
        <f>vol.!S422</f>
        <v>35.28</v>
      </c>
      <c r="H136" s="788" t="e">
        <f>VLOOKUP($A136,satpek!$B$20:$N$144,7,0)</f>
        <v>#REF!</v>
      </c>
      <c r="I136" s="789" t="e">
        <f>VLOOKUP($A136,satpek!$B$20:$N$144,5,0)</f>
        <v>#REF!</v>
      </c>
      <c r="J136" s="790" t="e">
        <f>VLOOKUP($A136,satpek!$B$20:$N$144,6,0)</f>
        <v>#REF!</v>
      </c>
      <c r="K136" s="791"/>
      <c r="L136" s="792" t="e">
        <f t="shared" si="49"/>
        <v>#REF!</v>
      </c>
      <c r="M136" s="793"/>
      <c r="N136" s="730"/>
      <c r="O136" s="730"/>
      <c r="P136" s="782"/>
      <c r="Q136" s="783"/>
      <c r="R136" s="794"/>
    </row>
    <row r="137" spans="1:18" s="729" customFormat="1" ht="20.100000000000001" customHeight="1" x14ac:dyDescent="0.2">
      <c r="A137" s="736">
        <f>satpek!$B$56</f>
        <v>37</v>
      </c>
      <c r="B137" s="784">
        <f t="shared" si="48"/>
        <v>4</v>
      </c>
      <c r="C137" s="777"/>
      <c r="D137" s="785" t="str">
        <f>VLOOKUP($A137,satpek!$B$20:$N$144,2,0)</f>
        <v>Memasang pintu kaca es rangka alluminium</v>
      </c>
      <c r="E137" s="785"/>
      <c r="F137" s="786"/>
      <c r="G137" s="787">
        <f>vol.!S424</f>
        <v>2.94</v>
      </c>
      <c r="H137" s="788" t="str">
        <f>VLOOKUP($A137,satpek!$B$20:$N$144,7,0)</f>
        <v>m2</v>
      </c>
      <c r="I137" s="789" t="str">
        <f>VLOOKUP($A137,satpek!$B$20:$N$144,5,0)</f>
        <v>An. Dihitung</v>
      </c>
      <c r="J137" s="790">
        <f>VLOOKUP($A137,satpek!$B$20:$N$144,6,0)</f>
        <v>853707.66</v>
      </c>
      <c r="K137" s="791"/>
      <c r="L137" s="792">
        <f t="shared" ref="L137" si="50">ROUND((G137*J137),2)</f>
        <v>2509900.52</v>
      </c>
      <c r="M137" s="793"/>
      <c r="N137" s="730"/>
      <c r="O137" s="730"/>
      <c r="P137" s="782"/>
      <c r="Q137" s="783"/>
      <c r="R137" s="794"/>
    </row>
    <row r="138" spans="1:18" s="729" customFormat="1" ht="20.100000000000001" customHeight="1" x14ac:dyDescent="0.2">
      <c r="A138" s="736" t="e">
        <f>satpek!#REF!</f>
        <v>#REF!</v>
      </c>
      <c r="B138" s="784">
        <f t="shared" si="48"/>
        <v>5</v>
      </c>
      <c r="C138" s="777"/>
      <c r="D138" s="785" t="e">
        <f>VLOOKUP($A138,satpek!$B$20:$N$144,2,0)</f>
        <v>#REF!</v>
      </c>
      <c r="E138" s="785"/>
      <c r="F138" s="949" t="s">
        <v>1635</v>
      </c>
      <c r="G138" s="787">
        <f>vol.!S428</f>
        <v>15.120000000000001</v>
      </c>
      <c r="H138" s="788" t="e">
        <f>VLOOKUP($A138,satpek!$B$20:$N$144,7,0)</f>
        <v>#REF!</v>
      </c>
      <c r="I138" s="789" t="e">
        <f>VLOOKUP($A138,satpek!$B$20:$N$144,5,0)</f>
        <v>#REF!</v>
      </c>
      <c r="J138" s="790" t="e">
        <f>VLOOKUP($A138,satpek!$B$20:$N$144,6,0)</f>
        <v>#REF!</v>
      </c>
      <c r="K138" s="791"/>
      <c r="L138" s="792" t="e">
        <f t="shared" si="49"/>
        <v>#REF!</v>
      </c>
      <c r="M138" s="793"/>
      <c r="N138" s="730"/>
      <c r="O138" s="730"/>
      <c r="P138" s="782"/>
      <c r="Q138" s="783"/>
      <c r="R138" s="794"/>
    </row>
    <row r="139" spans="1:18" s="729" customFormat="1" ht="20.100000000000001" customHeight="1" x14ac:dyDescent="0.2">
      <c r="A139" s="736">
        <f>satpek!B57</f>
        <v>38</v>
      </c>
      <c r="B139" s="784">
        <f t="shared" si="48"/>
        <v>6</v>
      </c>
      <c r="C139" s="777"/>
      <c r="D139" s="785" t="str">
        <f>VLOOKUP($A139,satpek!$B$20:$N$144,2,0)</f>
        <v>Memasang jendela &amp; boven kaca rangka aluminium</v>
      </c>
      <c r="E139" s="785"/>
      <c r="F139" s="786"/>
      <c r="G139" s="787">
        <f>vol.!S436</f>
        <v>23.227499999999999</v>
      </c>
      <c r="H139" s="788" t="str">
        <f>VLOOKUP($A139,satpek!$B$20:$N$144,7,0)</f>
        <v>m2</v>
      </c>
      <c r="I139" s="789" t="str">
        <f>VLOOKUP($A139,satpek!$B$20:$N$144,5,0)</f>
        <v>An. Dihitung</v>
      </c>
      <c r="J139" s="790">
        <f>VLOOKUP($A139,satpek!$B$20:$N$144,6,0)</f>
        <v>845503.86</v>
      </c>
      <c r="K139" s="791"/>
      <c r="L139" s="792">
        <f t="shared" ref="L139:L140" si="51">ROUND((G139*J139),2)</f>
        <v>19638940.91</v>
      </c>
      <c r="M139" s="793"/>
      <c r="N139" s="730"/>
      <c r="O139" s="730"/>
      <c r="P139" s="782"/>
      <c r="Q139" s="783"/>
      <c r="R139" s="794"/>
    </row>
    <row r="140" spans="1:18" s="729" customFormat="1" ht="20.100000000000001" customHeight="1" x14ac:dyDescent="0.2">
      <c r="A140" s="736" t="e">
        <f>satpek!#REF!</f>
        <v>#REF!</v>
      </c>
      <c r="B140" s="784">
        <f t="shared" si="48"/>
        <v>7</v>
      </c>
      <c r="C140" s="777"/>
      <c r="D140" s="785" t="e">
        <f>VLOOKUP($A140,satpek!$B$20:$N$144,2,0)</f>
        <v>#REF!</v>
      </c>
      <c r="E140" s="785"/>
      <c r="F140" s="786"/>
      <c r="G140" s="787">
        <f>vol.!S439</f>
        <v>1.8150000000000004</v>
      </c>
      <c r="H140" s="788" t="e">
        <f>VLOOKUP($A140,satpek!$B$20:$N$144,7,0)</f>
        <v>#REF!</v>
      </c>
      <c r="I140" s="789" t="e">
        <f>VLOOKUP($A140,satpek!$B$20:$N$144,5,0)</f>
        <v>#REF!</v>
      </c>
      <c r="J140" s="790" t="e">
        <f>VLOOKUP($A140,satpek!$B$20:$N$144,6,0)</f>
        <v>#REF!</v>
      </c>
      <c r="K140" s="791"/>
      <c r="L140" s="792" t="e">
        <f t="shared" si="51"/>
        <v>#REF!</v>
      </c>
      <c r="M140" s="793"/>
      <c r="N140" s="730"/>
      <c r="O140" s="730"/>
      <c r="P140" s="782"/>
      <c r="Q140" s="783"/>
      <c r="R140" s="794"/>
    </row>
    <row r="141" spans="1:18" s="729" customFormat="1" ht="20.100000000000001" customHeight="1" x14ac:dyDescent="0.2">
      <c r="A141" s="736"/>
      <c r="B141" s="784"/>
      <c r="C141" s="777"/>
      <c r="D141" s="785"/>
      <c r="E141" s="785"/>
      <c r="F141" s="786"/>
      <c r="G141" s="787"/>
      <c r="H141" s="788"/>
      <c r="I141" s="789"/>
      <c r="J141" s="795"/>
      <c r="K141" s="791"/>
      <c r="L141" s="792"/>
      <c r="M141" s="793"/>
      <c r="N141" s="730"/>
      <c r="O141" s="730"/>
      <c r="P141" s="782"/>
      <c r="Q141" s="783"/>
      <c r="R141" s="794"/>
    </row>
    <row r="142" spans="1:18" s="729" customFormat="1" ht="20.100000000000001" customHeight="1" x14ac:dyDescent="0.2">
      <c r="A142" s="736"/>
      <c r="B142" s="796"/>
      <c r="C142" s="797"/>
      <c r="D142" s="798"/>
      <c r="E142" s="798"/>
      <c r="F142" s="799"/>
      <c r="G142" s="800"/>
      <c r="H142" s="801"/>
      <c r="I142" s="802" t="s">
        <v>556</v>
      </c>
      <c r="J142" s="803" t="str">
        <f>B133</f>
        <v>VIII</v>
      </c>
      <c r="K142" s="804"/>
      <c r="L142" s="805" t="e">
        <f>SUM(L135:L141)</f>
        <v>#REF!</v>
      </c>
      <c r="M142" s="806"/>
      <c r="N142" s="730"/>
      <c r="O142" s="730"/>
      <c r="P142" s="782"/>
      <c r="Q142" s="783"/>
      <c r="R142" s="794"/>
    </row>
    <row r="143" spans="1:18" s="821" customFormat="1" ht="20.100000000000001" customHeight="1" x14ac:dyDescent="0.2">
      <c r="A143" s="808"/>
      <c r="B143" s="809" t="s">
        <v>1619</v>
      </c>
      <c r="C143" s="810"/>
      <c r="D143" s="811" t="s">
        <v>1615</v>
      </c>
      <c r="E143" s="811"/>
      <c r="F143" s="812"/>
      <c r="G143" s="813"/>
      <c r="H143" s="814"/>
      <c r="I143" s="815"/>
      <c r="J143" s="816"/>
      <c r="K143" s="817"/>
      <c r="L143" s="818"/>
      <c r="M143" s="819"/>
      <c r="N143" s="820"/>
      <c r="O143" s="820"/>
      <c r="P143" s="782"/>
      <c r="Q143" s="783"/>
      <c r="R143" s="794"/>
    </row>
    <row r="144" spans="1:18" s="729" customFormat="1" ht="20.100000000000001" customHeight="1" x14ac:dyDescent="0.2">
      <c r="A144" s="736" t="e">
        <f>satpek!#REF!</f>
        <v>#REF!</v>
      </c>
      <c r="B144" s="784">
        <v>1</v>
      </c>
      <c r="C144" s="777"/>
      <c r="D144" s="785" t="e">
        <f>VLOOKUP($A144,satpek!$B$20:$N$144,2,0)</f>
        <v>#REF!</v>
      </c>
      <c r="E144" s="785"/>
      <c r="F144" s="786"/>
      <c r="G144" s="787">
        <f>vol.!S443</f>
        <v>12</v>
      </c>
      <c r="H144" s="788" t="e">
        <f>VLOOKUP($A144,satpek!$B$20:$N$144,7,0)</f>
        <v>#REF!</v>
      </c>
      <c r="I144" s="789" t="e">
        <f>VLOOKUP($A144,satpek!$B$20:$N$144,5,0)</f>
        <v>#REF!</v>
      </c>
      <c r="J144" s="790" t="e">
        <f>VLOOKUP($A144,satpek!$B$20:$N$144,6,0)</f>
        <v>#REF!</v>
      </c>
      <c r="K144" s="791"/>
      <c r="L144" s="792" t="e">
        <f t="shared" ref="L144" si="52">ROUND((G144*J144),2)</f>
        <v>#REF!</v>
      </c>
      <c r="M144" s="793"/>
      <c r="N144" s="730"/>
      <c r="O144" s="730"/>
      <c r="P144" s="782"/>
      <c r="Q144" s="783"/>
      <c r="R144" s="794"/>
    </row>
    <row r="145" spans="1:18" s="729" customFormat="1" ht="20.100000000000001" customHeight="1" x14ac:dyDescent="0.2">
      <c r="A145" s="736">
        <f>satpek!B113</f>
        <v>94</v>
      </c>
      <c r="B145" s="784">
        <f t="shared" ref="B145:B153" si="53">B144+1</f>
        <v>2</v>
      </c>
      <c r="C145" s="777"/>
      <c r="D145" s="785" t="str">
        <f>VLOOKUP($A145,satpek!$B$20:$N$144,2,0)</f>
        <v>Pas. rangka atap baja ringan</v>
      </c>
      <c r="E145" s="785"/>
      <c r="F145" s="786"/>
      <c r="G145" s="787">
        <f>vol.!S445</f>
        <v>487.70279999999997</v>
      </c>
      <c r="H145" s="788" t="str">
        <f>VLOOKUP($A145,satpek!$B$20:$N$144,7,0)</f>
        <v>m2</v>
      </c>
      <c r="I145" s="789" t="str">
        <f>VLOOKUP($A145,satpek!$B$20:$N$144,5,0)</f>
        <v>Daftar harga</v>
      </c>
      <c r="J145" s="790">
        <f>VLOOKUP($A145,satpek!$B$20:$N$144,6,0)</f>
        <v>310000</v>
      </c>
      <c r="K145" s="791"/>
      <c r="L145" s="792">
        <f t="shared" ref="L145:L149" si="54">ROUND((G145*J145),2)</f>
        <v>151187868</v>
      </c>
      <c r="M145" s="793"/>
      <c r="N145" s="730"/>
      <c r="O145" s="730"/>
      <c r="P145" s="782"/>
      <c r="Q145" s="783"/>
      <c r="R145" s="794"/>
    </row>
    <row r="146" spans="1:18" s="729" customFormat="1" ht="20.100000000000001" customHeight="1" x14ac:dyDescent="0.2">
      <c r="A146" s="736">
        <f>satpek!B68</f>
        <v>49</v>
      </c>
      <c r="B146" s="784">
        <f t="shared" si="53"/>
        <v>3</v>
      </c>
      <c r="C146" s="777"/>
      <c r="D146" s="785" t="str">
        <f>VLOOKUP($A146,satpek!$B$20:$N$144,2,0)</f>
        <v>Pasang aluminium foil/sisalation</v>
      </c>
      <c r="E146" s="785"/>
      <c r="F146" s="786"/>
      <c r="G146" s="787">
        <f>vol.!S450</f>
        <v>626.73119999999994</v>
      </c>
      <c r="H146" s="788" t="str">
        <f>VLOOKUP($A146,satpek!$B$20:$N$144,7,0)</f>
        <v>m2</v>
      </c>
      <c r="I146" s="789" t="str">
        <f>VLOOKUP($A146,satpek!$B$20:$N$144,5,0)</f>
        <v>A.4.5.2.43.</v>
      </c>
      <c r="J146" s="790">
        <f>VLOOKUP($A146,satpek!$B$20:$N$144,6,0)</f>
        <v>38843.75</v>
      </c>
      <c r="K146" s="791"/>
      <c r="L146" s="792">
        <f t="shared" ref="L146" si="55">ROUND((G146*J146),2)</f>
        <v>24344590.050000001</v>
      </c>
      <c r="M146" s="793"/>
      <c r="N146" s="730"/>
      <c r="O146" s="730"/>
      <c r="P146" s="782"/>
      <c r="Q146" s="783"/>
      <c r="R146" s="794"/>
    </row>
    <row r="147" spans="1:18" s="729" customFormat="1" ht="20.100000000000001" customHeight="1" x14ac:dyDescent="0.2">
      <c r="A147" s="736" t="e">
        <f>satpek!#REF!</f>
        <v>#REF!</v>
      </c>
      <c r="B147" s="784">
        <f t="shared" si="53"/>
        <v>4</v>
      </c>
      <c r="C147" s="777"/>
      <c r="D147" s="785" t="e">
        <f>VLOOKUP($A147,satpek!$B$20:$N$144,2,0)</f>
        <v>#REF!</v>
      </c>
      <c r="E147" s="785"/>
      <c r="F147" s="786"/>
      <c r="G147" s="787">
        <f>vol.!S451</f>
        <v>626.73119999999994</v>
      </c>
      <c r="H147" s="788" t="e">
        <f>VLOOKUP($A147,satpek!$B$20:$N$144,7,0)</f>
        <v>#REF!</v>
      </c>
      <c r="I147" s="789" t="e">
        <f>VLOOKUP($A147,satpek!$B$20:$N$144,5,0)</f>
        <v>#REF!</v>
      </c>
      <c r="J147" s="790" t="e">
        <f>VLOOKUP($A147,satpek!$B$20:$N$144,6,0)</f>
        <v>#REF!</v>
      </c>
      <c r="K147" s="791"/>
      <c r="L147" s="792" t="e">
        <f t="shared" si="54"/>
        <v>#REF!</v>
      </c>
      <c r="M147" s="793"/>
      <c r="N147" s="730"/>
      <c r="O147" s="730"/>
      <c r="P147" s="782"/>
      <c r="Q147" s="783"/>
      <c r="R147" s="794"/>
    </row>
    <row r="148" spans="1:18" s="729" customFormat="1" ht="20.100000000000001" customHeight="1" x14ac:dyDescent="0.2">
      <c r="A148" s="736" t="e">
        <f>satpek!#REF!</f>
        <v>#REF!</v>
      </c>
      <c r="B148" s="784">
        <f t="shared" si="53"/>
        <v>5</v>
      </c>
      <c r="C148" s="777"/>
      <c r="D148" s="785" t="e">
        <f>VLOOKUP($A148,satpek!$B$20:$N$144,2,0)</f>
        <v>#REF!</v>
      </c>
      <c r="E148" s="785"/>
      <c r="F148" s="837"/>
      <c r="G148" s="787">
        <f>vol.!S455</f>
        <v>91.690820000000002</v>
      </c>
      <c r="H148" s="788" t="e">
        <f>VLOOKUP($A148,satpek!$B$20:$N$144,7,0)</f>
        <v>#REF!</v>
      </c>
      <c r="I148" s="789" t="e">
        <f>VLOOKUP($A148,satpek!$B$20:$N$144,5,0)</f>
        <v>#REF!</v>
      </c>
      <c r="J148" s="790" t="e">
        <f>VLOOKUP($A148,satpek!$B$20:$N$144,6,0)</f>
        <v>#REF!</v>
      </c>
      <c r="K148" s="791"/>
      <c r="L148" s="792" t="e">
        <f t="shared" si="54"/>
        <v>#REF!</v>
      </c>
      <c r="M148" s="793"/>
      <c r="N148" s="730"/>
      <c r="O148" s="730"/>
      <c r="P148" s="782"/>
      <c r="Q148" s="783"/>
      <c r="R148" s="794"/>
    </row>
    <row r="149" spans="1:18" s="729" customFormat="1" ht="20.100000000000001" customHeight="1" x14ac:dyDescent="0.2">
      <c r="A149" s="736">
        <f>satpek!B38</f>
        <v>19</v>
      </c>
      <c r="B149" s="784">
        <f t="shared" si="53"/>
        <v>6</v>
      </c>
      <c r="C149" s="777"/>
      <c r="D149" s="785" t="str">
        <f>VLOOKUP($A149,satpek!$B$20:$N$144,2,0)</f>
        <v>Memasang lisplank woodplank</v>
      </c>
      <c r="E149" s="785"/>
      <c r="F149" s="786"/>
      <c r="G149" s="787">
        <f>vol.!S458</f>
        <v>126</v>
      </c>
      <c r="H149" s="788" t="str">
        <f>VLOOKUP($A149,satpek!$B$20:$N$144,7,0)</f>
        <v>m'</v>
      </c>
      <c r="I149" s="789" t="str">
        <f>VLOOKUP($A149,satpek!$B$20:$N$144,5,0)</f>
        <v>An. Dihitung</v>
      </c>
      <c r="J149" s="790">
        <f>VLOOKUP($A149,satpek!$B$20:$N$144,6,0)</f>
        <v>68139</v>
      </c>
      <c r="K149" s="791"/>
      <c r="L149" s="792">
        <f t="shared" si="54"/>
        <v>8585514</v>
      </c>
      <c r="M149" s="793"/>
      <c r="N149" s="730"/>
      <c r="O149" s="730"/>
      <c r="P149" s="782"/>
      <c r="Q149" s="783"/>
      <c r="R149" s="794"/>
    </row>
    <row r="150" spans="1:18" s="729" customFormat="1" ht="20.100000000000001" customHeight="1" x14ac:dyDescent="0.2">
      <c r="A150" s="736" t="e">
        <f>satpek!#REF!</f>
        <v>#REF!</v>
      </c>
      <c r="B150" s="784">
        <f t="shared" si="53"/>
        <v>7</v>
      </c>
      <c r="C150" s="777"/>
      <c r="D150" s="785" t="e">
        <f>VLOOKUP($A150,satpek!$B$20:$N$144,2,0)</f>
        <v>#REF!</v>
      </c>
      <c r="E150" s="785"/>
      <c r="F150" s="786"/>
      <c r="G150" s="787">
        <f>vol.!S462</f>
        <v>26.661339999999999</v>
      </c>
      <c r="H150" s="788" t="e">
        <f>VLOOKUP($A150,satpek!$B$20:$N$144,7,0)</f>
        <v>#REF!</v>
      </c>
      <c r="I150" s="789" t="e">
        <f>VLOOKUP($A150,satpek!$B$20:$N$144,5,0)</f>
        <v>#REF!</v>
      </c>
      <c r="J150" s="790" t="e">
        <f>VLOOKUP($A150,satpek!$B$20:$N$144,6,0)</f>
        <v>#REF!</v>
      </c>
      <c r="K150" s="791"/>
      <c r="L150" s="792" t="e">
        <f t="shared" ref="L150" si="56">ROUND((G150*J150),2)</f>
        <v>#REF!</v>
      </c>
      <c r="M150" s="793"/>
      <c r="N150" s="730"/>
      <c r="O150" s="730"/>
      <c r="P150" s="782"/>
      <c r="Q150" s="783"/>
      <c r="R150" s="794"/>
    </row>
    <row r="151" spans="1:18" s="729" customFormat="1" ht="20.100000000000001" customHeight="1" x14ac:dyDescent="0.2">
      <c r="A151" s="736"/>
      <c r="B151" s="1346"/>
      <c r="C151" s="1347"/>
      <c r="D151" s="1357" t="s">
        <v>1685</v>
      </c>
      <c r="E151" s="1348"/>
      <c r="F151" s="1349"/>
      <c r="G151" s="1350"/>
      <c r="H151" s="1351"/>
      <c r="I151" s="1352"/>
      <c r="J151" s="1353"/>
      <c r="K151" s="1354"/>
      <c r="L151" s="1355"/>
      <c r="M151" s="1356"/>
      <c r="N151" s="730"/>
      <c r="O151" s="730"/>
      <c r="P151" s="782"/>
      <c r="Q151" s="783"/>
      <c r="R151" s="794"/>
    </row>
    <row r="152" spans="1:18" s="729" customFormat="1" ht="20.100000000000001" customHeight="1" x14ac:dyDescent="0.2">
      <c r="A152" s="736" t="e">
        <f>satpek!#REF!</f>
        <v>#REF!</v>
      </c>
      <c r="B152" s="784">
        <f>B150+1</f>
        <v>8</v>
      </c>
      <c r="C152" s="777"/>
      <c r="D152" s="785" t="e">
        <f>VLOOKUP($A152,satpek!$B$20:$N$144,2,0)</f>
        <v>#REF!</v>
      </c>
      <c r="E152" s="785"/>
      <c r="F152" s="786"/>
      <c r="G152" s="787">
        <f>vol.!S466</f>
        <v>295.67999999999995</v>
      </c>
      <c r="H152" s="788" t="e">
        <f>VLOOKUP($A152,satpek!$B$20:$N$144,7,0)</f>
        <v>#REF!</v>
      </c>
      <c r="I152" s="789" t="e">
        <f>VLOOKUP($A152,satpek!$B$20:$N$144,5,0)</f>
        <v>#REF!</v>
      </c>
      <c r="J152" s="790" t="e">
        <f>VLOOKUP($A152,satpek!$B$20:$N$144,6,0)</f>
        <v>#REF!</v>
      </c>
      <c r="K152" s="791"/>
      <c r="L152" s="792" t="e">
        <f t="shared" ref="L152" si="57">ROUND((G152*J152),2)</f>
        <v>#REF!</v>
      </c>
      <c r="M152" s="793"/>
      <c r="N152" s="730"/>
      <c r="O152" s="730"/>
      <c r="P152" s="782"/>
      <c r="Q152" s="783"/>
      <c r="R152" s="794"/>
    </row>
    <row r="153" spans="1:18" s="729" customFormat="1" ht="20.100000000000001" customHeight="1" x14ac:dyDescent="0.2">
      <c r="A153" s="736" t="e">
        <f>satpek!#REF!</f>
        <v>#REF!</v>
      </c>
      <c r="B153" s="784">
        <f t="shared" si="53"/>
        <v>9</v>
      </c>
      <c r="C153" s="777"/>
      <c r="D153" s="785" t="e">
        <f>VLOOKUP($A153,satpek!$B$20:$N$144,2,0)</f>
        <v>#REF!</v>
      </c>
      <c r="E153" s="785"/>
      <c r="F153" s="786"/>
      <c r="G153" s="787">
        <f>vol.!S468</f>
        <v>2.9567999999999994</v>
      </c>
      <c r="H153" s="788" t="e">
        <f>VLOOKUP($A153,satpek!$B$20:$N$144,7,0)</f>
        <v>#REF!</v>
      </c>
      <c r="I153" s="789" t="e">
        <f>VLOOKUP($A153,satpek!$B$20:$N$144,5,0)</f>
        <v>#REF!</v>
      </c>
      <c r="J153" s="790" t="e">
        <f>VLOOKUP($A153,satpek!$B$20:$N$144,6,0)</f>
        <v>#REF!</v>
      </c>
      <c r="K153" s="791"/>
      <c r="L153" s="792" t="e">
        <f t="shared" ref="L153:L156" si="58">ROUND((G153*J153),2)</f>
        <v>#REF!</v>
      </c>
      <c r="M153" s="793"/>
      <c r="N153" s="730"/>
      <c r="O153" s="730"/>
      <c r="P153" s="782"/>
      <c r="Q153" s="783"/>
      <c r="R153" s="794"/>
    </row>
    <row r="154" spans="1:18" s="729" customFormat="1" ht="20.100000000000001" customHeight="1" x14ac:dyDescent="0.2">
      <c r="A154" s="736" t="e">
        <f>satpek!#REF!</f>
        <v>#REF!</v>
      </c>
      <c r="B154" s="784">
        <f t="shared" ref="B154:B159" si="59">B152+1</f>
        <v>9</v>
      </c>
      <c r="C154" s="777"/>
      <c r="D154" s="785" t="e">
        <f>VLOOKUP($A154,satpek!$B$20:$N$144,2,0)</f>
        <v>#REF!</v>
      </c>
      <c r="E154" s="785"/>
      <c r="F154" s="786"/>
      <c r="G154" s="787">
        <f>vol.!S469</f>
        <v>1.5</v>
      </c>
      <c r="H154" s="788" t="e">
        <f>VLOOKUP($A154,satpek!$B$20:$N$144,7,0)</f>
        <v>#REF!</v>
      </c>
      <c r="I154" s="789" t="e">
        <f>VLOOKUP($A154,satpek!$B$20:$N$144,5,0)</f>
        <v>#REF!</v>
      </c>
      <c r="J154" s="790" t="e">
        <f>VLOOKUP($A154,satpek!$B$20:$N$144,6,0)</f>
        <v>#REF!</v>
      </c>
      <c r="K154" s="791"/>
      <c r="L154" s="792" t="e">
        <f t="shared" si="58"/>
        <v>#REF!</v>
      </c>
      <c r="M154" s="793"/>
      <c r="N154" s="730"/>
      <c r="O154" s="730"/>
      <c r="P154" s="782"/>
      <c r="Q154" s="783"/>
      <c r="R154" s="794"/>
    </row>
    <row r="155" spans="1:18" s="729" customFormat="1" ht="20.100000000000001" customHeight="1" x14ac:dyDescent="0.2">
      <c r="A155" s="736" t="e">
        <f>satpek!#REF!</f>
        <v>#REF!</v>
      </c>
      <c r="B155" s="784">
        <f t="shared" si="59"/>
        <v>10</v>
      </c>
      <c r="C155" s="777"/>
      <c r="D155" s="785" t="e">
        <f>VLOOKUP($A155,satpek!$B$20:$N$144,2,0)</f>
        <v>#REF!</v>
      </c>
      <c r="E155" s="822" t="s">
        <v>1686</v>
      </c>
      <c r="F155" s="786"/>
      <c r="G155" s="787">
        <f>vol.!S473</f>
        <v>102.762</v>
      </c>
      <c r="H155" s="788" t="e">
        <f>VLOOKUP($A155,satpek!$B$20:$N$144,7,0)</f>
        <v>#REF!</v>
      </c>
      <c r="I155" s="789" t="e">
        <f>VLOOKUP($A155,satpek!$B$20:$N$144,5,0)</f>
        <v>#REF!</v>
      </c>
      <c r="J155" s="790" t="e">
        <f>VLOOKUP($A155,satpek!$B$20:$N$144,6,0)</f>
        <v>#REF!</v>
      </c>
      <c r="K155" s="791"/>
      <c r="L155" s="792" t="e">
        <f t="shared" si="58"/>
        <v>#REF!</v>
      </c>
      <c r="M155" s="793"/>
      <c r="N155" s="730"/>
      <c r="O155" s="730"/>
      <c r="P155" s="782"/>
      <c r="Q155" s="783"/>
      <c r="R155" s="794"/>
    </row>
    <row r="156" spans="1:18" s="729" customFormat="1" ht="20.100000000000001" customHeight="1" x14ac:dyDescent="0.2">
      <c r="A156" s="736" t="e">
        <f>satpek!#REF!</f>
        <v>#REF!</v>
      </c>
      <c r="B156" s="784">
        <f t="shared" si="59"/>
        <v>10</v>
      </c>
      <c r="C156" s="777"/>
      <c r="D156" s="785" t="e">
        <f>VLOOKUP($A156,satpek!$B$20:$N$144,2,0)</f>
        <v>#REF!</v>
      </c>
      <c r="E156" s="785"/>
      <c r="F156" s="786"/>
      <c r="G156" s="787">
        <f>vol.!S475</f>
        <v>12</v>
      </c>
      <c r="H156" s="788" t="e">
        <f>VLOOKUP($A156,satpek!$B$20:$N$144,7,0)</f>
        <v>#REF!</v>
      </c>
      <c r="I156" s="789" t="e">
        <f>VLOOKUP($A156,satpek!$B$20:$N$144,5,0)</f>
        <v>#REF!</v>
      </c>
      <c r="J156" s="790" t="e">
        <f>VLOOKUP($A156,satpek!$B$20:$N$144,6,0)</f>
        <v>#REF!</v>
      </c>
      <c r="K156" s="791"/>
      <c r="L156" s="792" t="e">
        <f t="shared" si="58"/>
        <v>#REF!</v>
      </c>
      <c r="M156" s="793"/>
      <c r="N156" s="730"/>
      <c r="O156" s="730"/>
      <c r="P156" s="782"/>
      <c r="Q156" s="783"/>
      <c r="R156" s="794"/>
    </row>
    <row r="157" spans="1:18" s="729" customFormat="1" ht="20.100000000000001" customHeight="1" x14ac:dyDescent="0.2">
      <c r="A157" s="736" t="e">
        <f>satpek!#REF!</f>
        <v>#REF!</v>
      </c>
      <c r="B157" s="784">
        <f t="shared" si="59"/>
        <v>11</v>
      </c>
      <c r="C157" s="777"/>
      <c r="D157" s="785" t="e">
        <f>VLOOKUP($A157,satpek!$B$20:$N$144,2,0)</f>
        <v>#REF!</v>
      </c>
      <c r="E157" s="785"/>
      <c r="F157" s="786"/>
      <c r="G157" s="787">
        <f>vol.!S476</f>
        <v>12</v>
      </c>
      <c r="H157" s="788" t="e">
        <f>VLOOKUP($A157,satpek!$B$20:$N$144,7,0)</f>
        <v>#REF!</v>
      </c>
      <c r="I157" s="789" t="e">
        <f>VLOOKUP($A157,satpek!$B$20:$N$144,5,0)</f>
        <v>#REF!</v>
      </c>
      <c r="J157" s="790" t="e">
        <f>VLOOKUP($A157,satpek!$B$20:$N$144,6,0)</f>
        <v>#REF!</v>
      </c>
      <c r="K157" s="791"/>
      <c r="L157" s="792" t="e">
        <f t="shared" ref="L157:L159" si="60">ROUND((G157*J157),2)</f>
        <v>#REF!</v>
      </c>
      <c r="M157" s="793"/>
      <c r="N157" s="730"/>
      <c r="O157" s="730"/>
      <c r="P157" s="782"/>
      <c r="Q157" s="783"/>
      <c r="R157" s="794"/>
    </row>
    <row r="158" spans="1:18" s="729" customFormat="1" ht="20.100000000000001" customHeight="1" x14ac:dyDescent="0.2">
      <c r="A158" s="736" t="e">
        <f>satpek!#REF!</f>
        <v>#REF!</v>
      </c>
      <c r="B158" s="784">
        <f t="shared" si="59"/>
        <v>11</v>
      </c>
      <c r="C158" s="777"/>
      <c r="D158" s="785" t="e">
        <f>VLOOKUP($A158,satpek!$B$20:$N$144,2,0)</f>
        <v>#REF!</v>
      </c>
      <c r="E158" s="785"/>
      <c r="F158" s="786"/>
      <c r="G158" s="787">
        <f>vol.!S477</f>
        <v>13.8</v>
      </c>
      <c r="H158" s="788" t="e">
        <f>VLOOKUP($A158,satpek!$B$20:$N$144,7,0)</f>
        <v>#REF!</v>
      </c>
      <c r="I158" s="789" t="e">
        <f>VLOOKUP($A158,satpek!$B$20:$N$144,5,0)</f>
        <v>#REF!</v>
      </c>
      <c r="J158" s="790" t="e">
        <f>VLOOKUP($A158,satpek!$B$20:$N$144,6,0)</f>
        <v>#REF!</v>
      </c>
      <c r="K158" s="791"/>
      <c r="L158" s="792" t="e">
        <f t="shared" si="60"/>
        <v>#REF!</v>
      </c>
      <c r="M158" s="793"/>
      <c r="N158" s="730"/>
      <c r="O158" s="730"/>
      <c r="P158" s="782"/>
      <c r="Q158" s="783"/>
      <c r="R158" s="794"/>
    </row>
    <row r="159" spans="1:18" s="729" customFormat="1" ht="20.100000000000001" customHeight="1" x14ac:dyDescent="0.2">
      <c r="A159" s="736">
        <f>satpek!B66</f>
        <v>47</v>
      </c>
      <c r="B159" s="784">
        <f t="shared" si="59"/>
        <v>12</v>
      </c>
      <c r="C159" s="777"/>
      <c r="D159" s="785" t="str">
        <f>VLOOKUP($A159,satpek!$B$20:$N$144,2,0)</f>
        <v>Memasang penutup atap galvalum pasir</v>
      </c>
      <c r="E159" s="785"/>
      <c r="F159" s="786"/>
      <c r="G159" s="787">
        <f>vol.!S478</f>
        <v>32</v>
      </c>
      <c r="H159" s="788" t="str">
        <f>VLOOKUP($A159,satpek!$B$20:$N$144,7,0)</f>
        <v>m2</v>
      </c>
      <c r="I159" s="789" t="str">
        <f>VLOOKUP($A159,satpek!$B$20:$N$144,5,0)</f>
        <v>An. Dihitung</v>
      </c>
      <c r="J159" s="790">
        <f>VLOOKUP($A159,satpek!$B$20:$N$144,6,0)</f>
        <v>108751.2</v>
      </c>
      <c r="K159" s="791"/>
      <c r="L159" s="792">
        <f t="shared" si="60"/>
        <v>3480038.4</v>
      </c>
      <c r="M159" s="793"/>
      <c r="N159" s="730"/>
      <c r="O159" s="730"/>
      <c r="P159" s="782"/>
      <c r="Q159" s="783"/>
      <c r="R159" s="794"/>
    </row>
    <row r="160" spans="1:18" s="729" customFormat="1" ht="20.100000000000001" customHeight="1" x14ac:dyDescent="0.2">
      <c r="A160" s="736"/>
      <c r="B160" s="784"/>
      <c r="C160" s="777"/>
      <c r="D160" s="785"/>
      <c r="E160" s="785"/>
      <c r="F160" s="786"/>
      <c r="G160" s="787"/>
      <c r="H160" s="788"/>
      <c r="I160" s="789"/>
      <c r="J160" s="795"/>
      <c r="K160" s="791"/>
      <c r="L160" s="792"/>
      <c r="M160" s="793"/>
      <c r="N160" s="730"/>
      <c r="O160" s="730"/>
      <c r="P160" s="782"/>
      <c r="Q160" s="783"/>
      <c r="R160" s="794"/>
    </row>
    <row r="161" spans="1:18" s="729" customFormat="1" ht="20.100000000000001" customHeight="1" x14ac:dyDescent="0.2">
      <c r="A161" s="736"/>
      <c r="B161" s="796"/>
      <c r="C161" s="797"/>
      <c r="D161" s="798"/>
      <c r="E161" s="798"/>
      <c r="F161" s="799"/>
      <c r="G161" s="800"/>
      <c r="H161" s="801"/>
      <c r="I161" s="802" t="s">
        <v>556</v>
      </c>
      <c r="J161" s="803" t="str">
        <f>B143</f>
        <v>IX</v>
      </c>
      <c r="K161" s="804"/>
      <c r="L161" s="805" t="e">
        <f>SUM(L144:L160)</f>
        <v>#REF!</v>
      </c>
      <c r="M161" s="806"/>
      <c r="N161" s="730"/>
      <c r="O161" s="730"/>
      <c r="P161" s="782"/>
      <c r="Q161" s="783"/>
      <c r="R161" s="794"/>
    </row>
    <row r="162" spans="1:18" s="821" customFormat="1" ht="20.100000000000001" customHeight="1" x14ac:dyDescent="0.2">
      <c r="A162" s="808"/>
      <c r="B162" s="809" t="s">
        <v>807</v>
      </c>
      <c r="C162" s="810"/>
      <c r="D162" s="811" t="s">
        <v>1621</v>
      </c>
      <c r="E162" s="811"/>
      <c r="F162" s="812"/>
      <c r="G162" s="813"/>
      <c r="H162" s="814"/>
      <c r="I162" s="815"/>
      <c r="J162" s="816"/>
      <c r="K162" s="817"/>
      <c r="L162" s="818"/>
      <c r="M162" s="819"/>
      <c r="N162" s="820"/>
      <c r="O162" s="820"/>
      <c r="P162" s="782"/>
      <c r="Q162" s="783"/>
      <c r="R162" s="794"/>
    </row>
    <row r="163" spans="1:18" s="729" customFormat="1" ht="20.100000000000001" customHeight="1" x14ac:dyDescent="0.2">
      <c r="A163" s="736">
        <f>satpek!$B$84</f>
        <v>65</v>
      </c>
      <c r="B163" s="784">
        <v>1</v>
      </c>
      <c r="C163" s="777"/>
      <c r="D163" s="785" t="str">
        <f>VLOOKUP($A163,satpek!$B$20:$N$144,2,0)</f>
        <v>Pengecatan dinding dalam (cat interior)</v>
      </c>
      <c r="E163" s="785"/>
      <c r="F163" s="786"/>
      <c r="G163" s="787">
        <f>vol.!S483</f>
        <v>979.67250000000001</v>
      </c>
      <c r="H163" s="788" t="str">
        <f>VLOOKUP($A163,satpek!$B$20:$N$144,7,0)</f>
        <v>m2</v>
      </c>
      <c r="I163" s="789" t="str">
        <f>VLOOKUP($A163,satpek!$B$20:$N$144,5,0)</f>
        <v>A.4.7.1.10.</v>
      </c>
      <c r="J163" s="790">
        <f>VLOOKUP($A163,satpek!$B$20:$N$144,6,0)</f>
        <v>23041.599999999999</v>
      </c>
      <c r="K163" s="791"/>
      <c r="L163" s="792">
        <f t="shared" ref="L163:L164" si="61">ROUND((G163*J163),2)</f>
        <v>22573221.879999999</v>
      </c>
      <c r="M163" s="793"/>
      <c r="N163" s="730"/>
      <c r="O163" s="730"/>
      <c r="P163" s="782"/>
      <c r="Q163" s="783"/>
      <c r="R163" s="794"/>
    </row>
    <row r="164" spans="1:18" s="729" customFormat="1" ht="20.100000000000001" customHeight="1" x14ac:dyDescent="0.2">
      <c r="A164" s="736">
        <f>satpek!B85</f>
        <v>66</v>
      </c>
      <c r="B164" s="784">
        <f t="shared" ref="B164:B167" si="62">B163+1</f>
        <v>2</v>
      </c>
      <c r="C164" s="777"/>
      <c r="D164" s="785" t="str">
        <f>VLOOKUP($A164,satpek!$B$20:$N$144,2,0)</f>
        <v>Pengecatan dinding luar (cat exterior)</v>
      </c>
      <c r="E164" s="785"/>
      <c r="F164" s="786"/>
      <c r="G164" s="787">
        <f>vol.!S496</f>
        <v>245.20249999999999</v>
      </c>
      <c r="H164" s="788" t="str">
        <f>VLOOKUP($A164,satpek!$B$20:$N$144,7,0)</f>
        <v>m2</v>
      </c>
      <c r="I164" s="789" t="str">
        <f>VLOOKUP($A164,satpek!$B$20:$N$144,5,0)</f>
        <v>A.4.7.1.10a.</v>
      </c>
      <c r="J164" s="790">
        <f>VLOOKUP($A164,satpek!$B$20:$N$144,6,0)</f>
        <v>56348.350000000006</v>
      </c>
      <c r="K164" s="791"/>
      <c r="L164" s="792">
        <f t="shared" si="61"/>
        <v>13816756.289999999</v>
      </c>
      <c r="M164" s="793"/>
      <c r="N164" s="730"/>
      <c r="O164" s="730"/>
      <c r="P164" s="782"/>
      <c r="Q164" s="783"/>
      <c r="R164" s="794"/>
    </row>
    <row r="165" spans="1:18" s="729" customFormat="1" ht="20.100000000000001" customHeight="1" x14ac:dyDescent="0.2">
      <c r="A165" s="736" t="e">
        <f>satpek!#REF!</f>
        <v>#REF!</v>
      </c>
      <c r="B165" s="784">
        <f t="shared" si="62"/>
        <v>3</v>
      </c>
      <c r="C165" s="777"/>
      <c r="D165" s="785" t="e">
        <f>VLOOKUP($A165,satpek!$B$20:$N$144,2,0)</f>
        <v>#REF!</v>
      </c>
      <c r="E165" s="785"/>
      <c r="F165" s="786"/>
      <c r="G165" s="787">
        <f>vol.!S498</f>
        <v>31.5</v>
      </c>
      <c r="H165" s="788" t="e">
        <f>VLOOKUP($A165,satpek!$B$20:$N$144,7,0)</f>
        <v>#REF!</v>
      </c>
      <c r="I165" s="789" t="e">
        <f>VLOOKUP($A165,satpek!$B$20:$N$144,5,0)</f>
        <v>#REF!</v>
      </c>
      <c r="J165" s="790" t="e">
        <f>VLOOKUP($A165,satpek!$B$20:$N$144,6,0)</f>
        <v>#REF!</v>
      </c>
      <c r="K165" s="791"/>
      <c r="L165" s="792" t="e">
        <f t="shared" ref="L165" si="63">ROUND((G165*J165),2)</f>
        <v>#REF!</v>
      </c>
      <c r="M165" s="793"/>
      <c r="N165" s="730"/>
      <c r="O165" s="730"/>
      <c r="P165" s="782"/>
      <c r="Q165" s="783"/>
      <c r="R165" s="794"/>
    </row>
    <row r="166" spans="1:18" s="729" customFormat="1" ht="20.100000000000001" customHeight="1" x14ac:dyDescent="0.2">
      <c r="A166" s="736" t="e">
        <f>satpek!#REF!</f>
        <v>#REF!</v>
      </c>
      <c r="B166" s="784">
        <f t="shared" si="62"/>
        <v>4</v>
      </c>
      <c r="C166" s="777"/>
      <c r="D166" s="785" t="e">
        <f>VLOOKUP($A166,satpek!$B$20:$N$144,2,0)</f>
        <v>#REF!</v>
      </c>
      <c r="E166" s="785"/>
      <c r="F166" s="786"/>
      <c r="G166" s="787">
        <f>vol.!S512</f>
        <v>638.13750000000005</v>
      </c>
      <c r="H166" s="788" t="e">
        <f>VLOOKUP($A166,satpek!$B$20:$N$144,7,0)</f>
        <v>#REF!</v>
      </c>
      <c r="I166" s="789" t="e">
        <f>VLOOKUP($A166,satpek!$B$20:$N$144,5,0)</f>
        <v>#REF!</v>
      </c>
      <c r="J166" s="790" t="e">
        <f>VLOOKUP($A166,satpek!$B$20:$N$144,6,0)</f>
        <v>#REF!</v>
      </c>
      <c r="K166" s="791"/>
      <c r="L166" s="792" t="e">
        <f t="shared" ref="L166:L167" si="64">ROUND((G166*J166),2)</f>
        <v>#REF!</v>
      </c>
      <c r="M166" s="793"/>
      <c r="N166" s="730"/>
      <c r="O166" s="730"/>
      <c r="P166" s="782"/>
      <c r="Q166" s="783"/>
      <c r="R166" s="794"/>
    </row>
    <row r="167" spans="1:18" s="729" customFormat="1" ht="20.100000000000001" customHeight="1" x14ac:dyDescent="0.2">
      <c r="A167" s="736" t="e">
        <f>satpek!#REF!</f>
        <v>#REF!</v>
      </c>
      <c r="B167" s="784">
        <f t="shared" si="62"/>
        <v>5</v>
      </c>
      <c r="C167" s="777"/>
      <c r="D167" s="785" t="e">
        <f>VLOOKUP($A167,satpek!$B$20:$N$144,2,0)</f>
        <v>#REF!</v>
      </c>
      <c r="E167" s="785"/>
      <c r="F167" s="786"/>
      <c r="G167" s="787">
        <f>vol.!S526</f>
        <v>137.08250000000001</v>
      </c>
      <c r="H167" s="788" t="e">
        <f>VLOOKUP($A167,satpek!$B$20:$N$144,7,0)</f>
        <v>#REF!</v>
      </c>
      <c r="I167" s="789" t="e">
        <f>VLOOKUP($A167,satpek!$B$20:$N$144,5,0)</f>
        <v>#REF!</v>
      </c>
      <c r="J167" s="790" t="e">
        <f>VLOOKUP($A167,satpek!$B$20:$N$144,6,0)</f>
        <v>#REF!</v>
      </c>
      <c r="K167" s="791"/>
      <c r="L167" s="792" t="e">
        <f t="shared" si="64"/>
        <v>#REF!</v>
      </c>
      <c r="M167" s="793"/>
      <c r="N167" s="730"/>
      <c r="O167" s="730"/>
      <c r="P167" s="782"/>
      <c r="Q167" s="783"/>
      <c r="R167" s="794"/>
    </row>
    <row r="168" spans="1:18" s="729" customFormat="1" ht="20.100000000000001" customHeight="1" x14ac:dyDescent="0.2">
      <c r="A168" s="736"/>
      <c r="B168" s="784"/>
      <c r="C168" s="777"/>
      <c r="D168" s="785"/>
      <c r="E168" s="785"/>
      <c r="F168" s="786"/>
      <c r="G168" s="787"/>
      <c r="H168" s="788"/>
      <c r="I168" s="789"/>
      <c r="J168" s="795"/>
      <c r="K168" s="791"/>
      <c r="L168" s="792"/>
      <c r="M168" s="793"/>
      <c r="N168" s="730"/>
      <c r="O168" s="730"/>
      <c r="P168" s="782"/>
      <c r="Q168" s="783"/>
      <c r="R168" s="794"/>
    </row>
    <row r="169" spans="1:18" s="729" customFormat="1" ht="20.100000000000001" customHeight="1" x14ac:dyDescent="0.2">
      <c r="A169" s="736"/>
      <c r="B169" s="796"/>
      <c r="C169" s="797"/>
      <c r="D169" s="798"/>
      <c r="E169" s="798"/>
      <c r="F169" s="799"/>
      <c r="G169" s="800"/>
      <c r="H169" s="801"/>
      <c r="I169" s="802" t="s">
        <v>556</v>
      </c>
      <c r="J169" s="803" t="str">
        <f>B162</f>
        <v>X</v>
      </c>
      <c r="K169" s="804"/>
      <c r="L169" s="805" t="e">
        <f>SUM(L163:L168)</f>
        <v>#REF!</v>
      </c>
      <c r="M169" s="806"/>
      <c r="N169" s="730"/>
      <c r="O169" s="730"/>
      <c r="P169" s="782"/>
      <c r="Q169" s="783"/>
      <c r="R169" s="794"/>
    </row>
    <row r="170" spans="1:18" s="821" customFormat="1" ht="20.100000000000001" customHeight="1" x14ac:dyDescent="0.2">
      <c r="A170" s="808"/>
      <c r="B170" s="809" t="s">
        <v>1143</v>
      </c>
      <c r="C170" s="810"/>
      <c r="D170" s="811" t="s">
        <v>451</v>
      </c>
      <c r="E170" s="811"/>
      <c r="F170" s="812"/>
      <c r="G170" s="813"/>
      <c r="H170" s="814"/>
      <c r="I170" s="815"/>
      <c r="J170" s="816"/>
      <c r="K170" s="817"/>
      <c r="L170" s="818"/>
      <c r="M170" s="819"/>
      <c r="N170" s="820"/>
      <c r="O170" s="820"/>
      <c r="P170" s="782"/>
      <c r="Q170" s="783"/>
      <c r="R170" s="794"/>
    </row>
    <row r="171" spans="1:18" s="729" customFormat="1" ht="20.100000000000001" customHeight="1" x14ac:dyDescent="0.2">
      <c r="A171" s="736">
        <f>satpek!$B$69</f>
        <v>50</v>
      </c>
      <c r="B171" s="784">
        <v>1</v>
      </c>
      <c r="C171" s="777"/>
      <c r="D171" s="785" t="str">
        <f>VLOOKUP($A171,satpek!$B$20:$N$144,2,0)</f>
        <v>Memasang kloset duduk/monoblok dan aksesoris</v>
      </c>
      <c r="E171" s="785"/>
      <c r="F171" s="786"/>
      <c r="G171" s="787">
        <f>vol.!S530</f>
        <v>2</v>
      </c>
      <c r="H171" s="788" t="str">
        <f>VLOOKUP($A171,satpek!$B$20:$N$144,7,0)</f>
        <v>bh</v>
      </c>
      <c r="I171" s="789" t="str">
        <f>VLOOKUP($A171,satpek!$B$20:$N$144,5,0)</f>
        <v>A.5.1.1.1.</v>
      </c>
      <c r="J171" s="790">
        <f>VLOOKUP($A171,satpek!$B$20:$N$144,6,0)</f>
        <v>3373897.5</v>
      </c>
      <c r="K171" s="791"/>
      <c r="L171" s="792">
        <f t="shared" ref="L171:L179" si="65">ROUND((G171*J171),2)</f>
        <v>6747795</v>
      </c>
      <c r="M171" s="793"/>
      <c r="N171" s="730"/>
      <c r="O171" s="730"/>
      <c r="P171" s="782"/>
      <c r="Q171" s="783"/>
      <c r="R171" s="794"/>
    </row>
    <row r="172" spans="1:18" s="729" customFormat="1" ht="20.100000000000001" customHeight="1" x14ac:dyDescent="0.2">
      <c r="A172" s="736">
        <f>satpek!$B$70</f>
        <v>51</v>
      </c>
      <c r="B172" s="784">
        <f t="shared" ref="B172:B179" si="66">B171+1</f>
        <v>2</v>
      </c>
      <c r="C172" s="777"/>
      <c r="D172" s="785" t="str">
        <f>VLOOKUP($A172,satpek!$B$20:$N$144,2,0)</f>
        <v xml:space="preserve">Memasang kloset jongklok porselin </v>
      </c>
      <c r="E172" s="785"/>
      <c r="F172" s="786"/>
      <c r="G172" s="787">
        <f>vol.!S531</f>
        <v>6</v>
      </c>
      <c r="H172" s="788" t="str">
        <f>VLOOKUP($A172,satpek!$B$20:$N$144,7,0)</f>
        <v>bh</v>
      </c>
      <c r="I172" s="789" t="str">
        <f>VLOOKUP($A172,satpek!$B$20:$N$144,5,0)</f>
        <v>A.5.1.1.2.</v>
      </c>
      <c r="J172" s="790">
        <f>VLOOKUP($A172,satpek!$B$20:$N$144,6,0)</f>
        <v>578447</v>
      </c>
      <c r="K172" s="791"/>
      <c r="L172" s="792">
        <f t="shared" ref="L172" si="67">ROUND((G172*J172),2)</f>
        <v>3470682</v>
      </c>
      <c r="M172" s="793"/>
      <c r="N172" s="730"/>
      <c r="O172" s="730"/>
      <c r="P172" s="782"/>
      <c r="Q172" s="783"/>
      <c r="R172" s="794"/>
    </row>
    <row r="173" spans="1:18" s="729" customFormat="1" ht="20.100000000000001" customHeight="1" x14ac:dyDescent="0.2">
      <c r="A173" s="736">
        <f>satpek!$B$71</f>
        <v>52</v>
      </c>
      <c r="B173" s="784">
        <f t="shared" si="66"/>
        <v>3</v>
      </c>
      <c r="C173" s="777"/>
      <c r="D173" s="785" t="str">
        <f>VLOOKUP($A173,satpek!$B$20:$N$144,2,0)</f>
        <v>Memasang wastafel lengkap sifon stainless</v>
      </c>
      <c r="E173" s="785"/>
      <c r="F173" s="786"/>
      <c r="G173" s="787">
        <f>vol.!S532</f>
        <v>2</v>
      </c>
      <c r="H173" s="788" t="str">
        <f>VLOOKUP($A173,satpek!$B$20:$N$144,7,0)</f>
        <v>bh</v>
      </c>
      <c r="I173" s="789" t="str">
        <f>VLOOKUP($A173,satpek!$B$20:$N$144,5,0)</f>
        <v>A.5.1.1.5.</v>
      </c>
      <c r="J173" s="790">
        <f>VLOOKUP($A173,satpek!$B$20:$N$144,6,0)</f>
        <v>1376407.8</v>
      </c>
      <c r="K173" s="791"/>
      <c r="L173" s="792">
        <f t="shared" si="65"/>
        <v>2752815.6</v>
      </c>
      <c r="M173" s="793"/>
      <c r="N173" s="730"/>
      <c r="O173" s="730"/>
      <c r="P173" s="782"/>
      <c r="Q173" s="783"/>
      <c r="R173" s="794"/>
    </row>
    <row r="174" spans="1:18" s="729" customFormat="1" ht="20.100000000000001" customHeight="1" x14ac:dyDescent="0.2">
      <c r="A174" s="736">
        <f>satpek!$B$73</f>
        <v>54</v>
      </c>
      <c r="B174" s="784">
        <f t="shared" si="66"/>
        <v>4</v>
      </c>
      <c r="C174" s="777"/>
      <c r="D174" s="785" t="str">
        <f>VLOOKUP($A174,satpek!$B$20:$N$144,2,0)</f>
        <v>Memasang pipa PVC tipe AW diameter 3/4"</v>
      </c>
      <c r="E174" s="785"/>
      <c r="F174" s="786"/>
      <c r="G174" s="787">
        <f>vol.!S533</f>
        <v>67.5</v>
      </c>
      <c r="H174" s="788" t="str">
        <f>VLOOKUP($A174,satpek!$B$20:$N$144,7,0)</f>
        <v>m'</v>
      </c>
      <c r="I174" s="789" t="str">
        <f>VLOOKUP($A174,satpek!$B$20:$N$144,5,0)</f>
        <v>A.5.1.1.26.</v>
      </c>
      <c r="J174" s="790">
        <f>VLOOKUP($A174,satpek!$B$20:$N$144,6,0)</f>
        <v>24034.87</v>
      </c>
      <c r="K174" s="791"/>
      <c r="L174" s="792">
        <f t="shared" si="65"/>
        <v>1622353.73</v>
      </c>
      <c r="M174" s="793"/>
      <c r="N174" s="730"/>
      <c r="O174" s="730"/>
      <c r="P174" s="782"/>
      <c r="Q174" s="783"/>
      <c r="R174" s="794"/>
    </row>
    <row r="175" spans="1:18" s="729" customFormat="1" ht="20.100000000000001" customHeight="1" x14ac:dyDescent="0.2">
      <c r="A175" s="736">
        <f>satpek!$B$78</f>
        <v>59</v>
      </c>
      <c r="B175" s="784">
        <f t="shared" si="66"/>
        <v>5</v>
      </c>
      <c r="C175" s="777"/>
      <c r="D175" s="785" t="str">
        <f>VLOOKUP($A175,satpek!$B$20:$N$144,2,0)</f>
        <v>Memasang pipa PVC tipe AW diameter 3"</v>
      </c>
      <c r="E175" s="785"/>
      <c r="F175" s="786"/>
      <c r="G175" s="787">
        <f>vol.!S534</f>
        <v>70</v>
      </c>
      <c r="H175" s="788" t="str">
        <f>VLOOKUP($A175,satpek!$B$20:$N$144,7,0)</f>
        <v>m'</v>
      </c>
      <c r="I175" s="789" t="str">
        <f>VLOOKUP($A175,satpek!$B$20:$N$144,5,0)</f>
        <v>A.5.1.1.31.</v>
      </c>
      <c r="J175" s="790">
        <f>VLOOKUP($A175,satpek!$B$20:$N$144,6,0)</f>
        <v>103284.6</v>
      </c>
      <c r="K175" s="791"/>
      <c r="L175" s="792">
        <f t="shared" si="65"/>
        <v>7229922</v>
      </c>
      <c r="M175" s="793"/>
      <c r="N175" s="730"/>
      <c r="O175" s="730"/>
      <c r="P175" s="782"/>
      <c r="Q175" s="783"/>
      <c r="R175" s="794"/>
    </row>
    <row r="176" spans="1:18" s="729" customFormat="1" ht="20.100000000000001" customHeight="1" x14ac:dyDescent="0.2">
      <c r="A176" s="736">
        <f>satpek!B80</f>
        <v>61</v>
      </c>
      <c r="B176" s="784">
        <f>B175+1</f>
        <v>6</v>
      </c>
      <c r="C176" s="777"/>
      <c r="D176" s="785" t="str">
        <f>VLOOKUP($A176,satpek!$B$20:$N$144,2,0)</f>
        <v>Memasang pipa PVC tipe D diameter 3"</v>
      </c>
      <c r="E176" s="822"/>
      <c r="F176" s="949" t="s">
        <v>1666</v>
      </c>
      <c r="G176" s="787">
        <f>vol.!S535</f>
        <v>48</v>
      </c>
      <c r="H176" s="788" t="str">
        <f>VLOOKUP($A176,satpek!$B$20:$N$144,7,0)</f>
        <v>m'</v>
      </c>
      <c r="I176" s="789" t="str">
        <f>VLOOKUP($A176,satpek!$B$20:$N$144,5,0)</f>
        <v>An. Dihit</v>
      </c>
      <c r="J176" s="790">
        <f>VLOOKUP($A176,satpek!$B$20:$N$144,6,0)</f>
        <v>93651.35</v>
      </c>
      <c r="K176" s="791"/>
      <c r="L176" s="792">
        <f t="shared" ref="L176" si="68">ROUND((G176*J176),2)</f>
        <v>4495264.8</v>
      </c>
      <c r="M176" s="793"/>
      <c r="N176" s="730"/>
      <c r="O176" s="730"/>
      <c r="P176" s="782"/>
      <c r="Q176" s="783"/>
      <c r="R176" s="794"/>
    </row>
    <row r="177" spans="1:23" s="729" customFormat="1" ht="20.100000000000001" customHeight="1" x14ac:dyDescent="0.2">
      <c r="A177" s="736">
        <f>satpek!$B$79</f>
        <v>60</v>
      </c>
      <c r="B177" s="784">
        <f t="shared" si="66"/>
        <v>7</v>
      </c>
      <c r="C177" s="777"/>
      <c r="D177" s="785" t="str">
        <f>VLOOKUP($A177,satpek!$B$20:$N$144,2,0)</f>
        <v>Memasang pipa PVC tipe AW diameter 4"</v>
      </c>
      <c r="E177" s="785"/>
      <c r="F177" s="786"/>
      <c r="G177" s="787">
        <f>vol.!S536</f>
        <v>57</v>
      </c>
      <c r="H177" s="788" t="str">
        <f>VLOOKUP($A177,satpek!$B$20:$N$144,7,0)</f>
        <v>m'</v>
      </c>
      <c r="I177" s="789" t="str">
        <f>VLOOKUP($A177,satpek!$B$20:$N$144,5,0)</f>
        <v>A.5.1.1.32.</v>
      </c>
      <c r="J177" s="790">
        <f>VLOOKUP($A177,satpek!$B$20:$N$144,6,0)</f>
        <v>167743.75</v>
      </c>
      <c r="K177" s="791"/>
      <c r="L177" s="792">
        <f t="shared" ref="L177" si="69">ROUND((G177*J177),2)</f>
        <v>9561393.75</v>
      </c>
      <c r="M177" s="793"/>
      <c r="N177" s="730"/>
      <c r="O177" s="730"/>
      <c r="P177" s="782"/>
      <c r="Q177" s="783"/>
      <c r="R177" s="794"/>
    </row>
    <row r="178" spans="1:23" s="729" customFormat="1" ht="20.100000000000001" customHeight="1" x14ac:dyDescent="0.2">
      <c r="A178" s="736">
        <f>satpek!$B$72</f>
        <v>53</v>
      </c>
      <c r="B178" s="784">
        <f t="shared" si="66"/>
        <v>8</v>
      </c>
      <c r="C178" s="777"/>
      <c r="D178" s="785" t="str">
        <f>VLOOKUP($A178,satpek!$B$20:$N$144,2,0)</f>
        <v>Memasang floor drain stainless</v>
      </c>
      <c r="E178" s="785"/>
      <c r="F178" s="786"/>
      <c r="G178" s="787">
        <f>vol.!S537</f>
        <v>12</v>
      </c>
      <c r="H178" s="788" t="str">
        <f>VLOOKUP($A178,satpek!$B$20:$N$144,7,0)</f>
        <v>bh</v>
      </c>
      <c r="I178" s="789" t="str">
        <f>VLOOKUP($A178,satpek!$B$20:$N$144,5,0)</f>
        <v>A.5.1.1.14.</v>
      </c>
      <c r="J178" s="790">
        <f>VLOOKUP($A178,satpek!$B$20:$N$144,6,0)</f>
        <v>120111.09</v>
      </c>
      <c r="K178" s="791"/>
      <c r="L178" s="792">
        <f t="shared" si="65"/>
        <v>1441333.08</v>
      </c>
      <c r="M178" s="793"/>
      <c r="N178" s="730"/>
      <c r="O178" s="730"/>
      <c r="P178" s="782"/>
      <c r="Q178" s="783"/>
      <c r="R178" s="794"/>
    </row>
    <row r="179" spans="1:23" s="729" customFormat="1" ht="20.100000000000001" customHeight="1" x14ac:dyDescent="0.2">
      <c r="A179" s="736">
        <f>satpek!B82</f>
        <v>63</v>
      </c>
      <c r="B179" s="784">
        <f t="shared" si="66"/>
        <v>9</v>
      </c>
      <c r="C179" s="777"/>
      <c r="D179" s="785" t="str">
        <f>VLOOKUP($A179,satpek!$B$20:$N$144,2,0)</f>
        <v>Memasang kran diameter 1/2", onda stainless</v>
      </c>
      <c r="E179" s="785"/>
      <c r="F179" s="786"/>
      <c r="G179" s="787">
        <f>vol.!S538</f>
        <v>11</v>
      </c>
      <c r="H179" s="788" t="str">
        <f>VLOOKUP($A179,satpek!$B$20:$N$144,7,0)</f>
        <v>bh</v>
      </c>
      <c r="I179" s="789" t="str">
        <f>VLOOKUP($A179,satpek!$B$20:$N$144,5,0)</f>
        <v>A.5.1.1.19.</v>
      </c>
      <c r="J179" s="790">
        <f>VLOOKUP($A179,satpek!$B$20:$N$144,6,0)</f>
        <v>170986.52</v>
      </c>
      <c r="K179" s="791"/>
      <c r="L179" s="792">
        <f t="shared" si="65"/>
        <v>1880851.72</v>
      </c>
      <c r="M179" s="793"/>
      <c r="N179" s="730"/>
      <c r="O179" s="730"/>
      <c r="P179" s="782"/>
      <c r="Q179" s="783"/>
      <c r="R179" s="794"/>
    </row>
    <row r="180" spans="1:23" s="729" customFormat="1" ht="20.100000000000001" customHeight="1" x14ac:dyDescent="0.2">
      <c r="A180" s="736"/>
      <c r="B180" s="784"/>
      <c r="C180" s="777"/>
      <c r="D180" s="785"/>
      <c r="E180" s="785"/>
      <c r="F180" s="786"/>
      <c r="G180" s="787"/>
      <c r="H180" s="788"/>
      <c r="I180" s="789"/>
      <c r="J180" s="795"/>
      <c r="K180" s="791"/>
      <c r="L180" s="792"/>
      <c r="M180" s="793"/>
      <c r="N180" s="730"/>
      <c r="O180" s="730"/>
      <c r="P180" s="782"/>
      <c r="Q180" s="783"/>
      <c r="R180" s="794"/>
    </row>
    <row r="181" spans="1:23" s="729" customFormat="1" ht="20.100000000000001" customHeight="1" x14ac:dyDescent="0.2">
      <c r="A181" s="736"/>
      <c r="B181" s="796"/>
      <c r="C181" s="797"/>
      <c r="D181" s="798"/>
      <c r="E181" s="798"/>
      <c r="F181" s="799"/>
      <c r="G181" s="800"/>
      <c r="H181" s="801"/>
      <c r="I181" s="802" t="s">
        <v>556</v>
      </c>
      <c r="J181" s="803" t="str">
        <f>B170</f>
        <v>XI</v>
      </c>
      <c r="K181" s="804"/>
      <c r="L181" s="805">
        <f>SUM(L171:L180)</f>
        <v>39202411.679999992</v>
      </c>
      <c r="M181" s="806"/>
      <c r="N181" s="730"/>
      <c r="O181" s="730"/>
      <c r="P181" s="782"/>
      <c r="Q181" s="783"/>
      <c r="R181" s="794"/>
    </row>
    <row r="182" spans="1:23" s="821" customFormat="1" ht="20.100000000000001" customHeight="1" x14ac:dyDescent="0.2">
      <c r="A182" s="808"/>
      <c r="B182" s="809" t="s">
        <v>1687</v>
      </c>
      <c r="C182" s="810"/>
      <c r="D182" s="811" t="s">
        <v>426</v>
      </c>
      <c r="E182" s="811"/>
      <c r="F182" s="812"/>
      <c r="G182" s="813"/>
      <c r="H182" s="814"/>
      <c r="I182" s="815"/>
      <c r="J182" s="816"/>
      <c r="K182" s="817"/>
      <c r="L182" s="818"/>
      <c r="M182" s="819"/>
      <c r="N182" s="820"/>
      <c r="O182" s="820"/>
      <c r="P182" s="782"/>
      <c r="Q182" s="783"/>
      <c r="R182" s="794"/>
    </row>
    <row r="183" spans="1:23" s="729" customFormat="1" ht="20.100000000000001" customHeight="1" x14ac:dyDescent="0.2">
      <c r="A183" s="736" t="e">
        <f>satpek!#REF!</f>
        <v>#REF!</v>
      </c>
      <c r="B183" s="784">
        <v>1</v>
      </c>
      <c r="C183" s="777"/>
      <c r="D183" s="785" t="e">
        <f>VLOOKUP($A183,satpek!$B$20:$N$144,2,0)</f>
        <v>#REF!</v>
      </c>
      <c r="E183" s="785"/>
      <c r="F183" s="786"/>
      <c r="G183" s="787">
        <f>vol.!S546</f>
        <v>105.1</v>
      </c>
      <c r="H183" s="788" t="e">
        <f>VLOOKUP($A183,satpek!$B$20:$N$144,7,0)</f>
        <v>#REF!</v>
      </c>
      <c r="I183" s="789" t="e">
        <f>VLOOKUP($A183,satpek!$B$20:$N$144,5,0)</f>
        <v>#REF!</v>
      </c>
      <c r="J183" s="790" t="e">
        <f>VLOOKUP($A183,satpek!$B$20:$N$144,6,0)</f>
        <v>#REF!</v>
      </c>
      <c r="K183" s="791"/>
      <c r="L183" s="792" t="e">
        <f t="shared" ref="L183:L184" si="70">ROUND((G183*J183),2)</f>
        <v>#REF!</v>
      </c>
      <c r="M183" s="793"/>
      <c r="N183" s="730"/>
      <c r="O183" s="730"/>
      <c r="P183" s="782"/>
      <c r="Q183" s="783"/>
      <c r="R183" s="794"/>
    </row>
    <row r="184" spans="1:23" s="729" customFormat="1" ht="20.100000000000001" customHeight="1" x14ac:dyDescent="0.2">
      <c r="A184" s="736">
        <f>satpek!B106</f>
        <v>87</v>
      </c>
      <c r="B184" s="784">
        <f t="shared" ref="B184:B188" si="71">B183+1</f>
        <v>2</v>
      </c>
      <c r="C184" s="777"/>
      <c r="D184" s="785" t="str">
        <f>VLOOKUP($A184,satpek!$B$20:$N$144,2,0)</f>
        <v>Pemasangan Reyling tangga "stainlees"</v>
      </c>
      <c r="E184" s="785"/>
      <c r="F184" s="786"/>
      <c r="G184" s="787"/>
      <c r="H184" s="788" t="str">
        <f>VLOOKUP($A184,satpek!$B$20:$N$144,7,0)</f>
        <v>m'</v>
      </c>
      <c r="I184" s="789" t="str">
        <f>VLOOKUP($A184,satpek!$B$20:$N$144,5,0)</f>
        <v>Harga Satuan</v>
      </c>
      <c r="J184" s="790">
        <f>VLOOKUP($A184,satpek!$B$20:$N$144,6,0)</f>
        <v>550000</v>
      </c>
      <c r="K184" s="791"/>
      <c r="L184" s="792">
        <f t="shared" si="70"/>
        <v>0</v>
      </c>
      <c r="M184" s="793"/>
      <c r="N184" s="730"/>
      <c r="O184" s="730"/>
      <c r="P184" s="782"/>
      <c r="Q184" s="783"/>
      <c r="R184" s="794"/>
    </row>
    <row r="185" spans="1:23" s="729" customFormat="1" ht="20.100000000000001" customHeight="1" x14ac:dyDescent="0.2">
      <c r="A185" s="736" t="e">
        <f>satpek!#REF!</f>
        <v>#REF!</v>
      </c>
      <c r="B185" s="784">
        <f t="shared" si="71"/>
        <v>3</v>
      </c>
      <c r="C185" s="1379"/>
      <c r="D185" s="1380" t="s">
        <v>1748</v>
      </c>
      <c r="E185" s="1380"/>
      <c r="F185" s="1381"/>
      <c r="G185" s="1382">
        <f>vol.!S550</f>
        <v>60</v>
      </c>
      <c r="H185" s="788" t="e">
        <f>VLOOKUP($A185,satpek!$B$20:$N$144,7,0)</f>
        <v>#REF!</v>
      </c>
      <c r="I185" s="789" t="e">
        <f>VLOOKUP($A185,satpek!$B$20:$N$144,5,0)</f>
        <v>#REF!</v>
      </c>
      <c r="J185" s="790" t="e">
        <f>VLOOKUP($A185,satpek!$B$20:$N$144,6,0)</f>
        <v>#REF!</v>
      </c>
      <c r="K185" s="791"/>
      <c r="L185" s="792" t="e">
        <f t="shared" ref="L185:L187" si="72">ROUND((G185*J185),2)</f>
        <v>#REF!</v>
      </c>
      <c r="M185" s="1388"/>
      <c r="N185" s="730"/>
      <c r="O185" s="730"/>
      <c r="P185" s="782"/>
      <c r="Q185" s="783"/>
      <c r="R185" s="794"/>
    </row>
    <row r="186" spans="1:23" s="729" customFormat="1" ht="20.100000000000001" customHeight="1" x14ac:dyDescent="0.2">
      <c r="A186" s="736" t="e">
        <f>A185</f>
        <v>#REF!</v>
      </c>
      <c r="B186" s="784">
        <f t="shared" si="71"/>
        <v>4</v>
      </c>
      <c r="C186" s="1379"/>
      <c r="D186" s="1380" t="s">
        <v>1750</v>
      </c>
      <c r="E186" s="1380"/>
      <c r="F186" s="1381"/>
      <c r="G186" s="1382">
        <f>vol.!S551</f>
        <v>420</v>
      </c>
      <c r="H186" s="788" t="e">
        <f>VLOOKUP($A186,satpek!$B$20:$N$144,7,0)</f>
        <v>#REF!</v>
      </c>
      <c r="I186" s="789" t="e">
        <f>VLOOKUP($A186,satpek!$B$20:$N$144,5,0)</f>
        <v>#REF!</v>
      </c>
      <c r="J186" s="790" t="e">
        <f>VLOOKUP($A186,satpek!$B$20:$N$144,6,0)</f>
        <v>#REF!</v>
      </c>
      <c r="K186" s="791"/>
      <c r="L186" s="792" t="e">
        <f t="shared" si="72"/>
        <v>#REF!</v>
      </c>
      <c r="M186" s="1388"/>
      <c r="N186" s="730"/>
      <c r="O186" s="730"/>
      <c r="P186" s="782"/>
      <c r="Q186" s="783"/>
      <c r="R186" s="794"/>
    </row>
    <row r="187" spans="1:23" s="729" customFormat="1" ht="20.100000000000001" customHeight="1" x14ac:dyDescent="0.2">
      <c r="A187" s="736" t="e">
        <f>A186</f>
        <v>#REF!</v>
      </c>
      <c r="B187" s="784">
        <f t="shared" si="71"/>
        <v>5</v>
      </c>
      <c r="C187" s="1379"/>
      <c r="D187" s="1380" t="s">
        <v>1749</v>
      </c>
      <c r="E187" s="1380"/>
      <c r="F187" s="1381"/>
      <c r="G187" s="1382">
        <f>vol.!S552</f>
        <v>570</v>
      </c>
      <c r="H187" s="788" t="e">
        <f>VLOOKUP($A187,satpek!$B$20:$N$144,7,0)</f>
        <v>#REF!</v>
      </c>
      <c r="I187" s="789" t="e">
        <f>VLOOKUP($A187,satpek!$B$20:$N$144,5,0)</f>
        <v>#REF!</v>
      </c>
      <c r="J187" s="790" t="e">
        <f>VLOOKUP($A187,satpek!$B$20:$N$144,6,0)</f>
        <v>#REF!</v>
      </c>
      <c r="K187" s="791"/>
      <c r="L187" s="792" t="e">
        <f t="shared" si="72"/>
        <v>#REF!</v>
      </c>
      <c r="M187" s="1388"/>
      <c r="N187" s="730"/>
      <c r="O187" s="730"/>
      <c r="P187" s="782"/>
      <c r="Q187" s="783"/>
      <c r="R187" s="794"/>
    </row>
    <row r="188" spans="1:23" s="729" customFormat="1" ht="20.100000000000001" customHeight="1" x14ac:dyDescent="0.2">
      <c r="A188" s="736" t="e">
        <f>A187</f>
        <v>#REF!</v>
      </c>
      <c r="B188" s="784">
        <f t="shared" si="71"/>
        <v>6</v>
      </c>
      <c r="C188" s="1379"/>
      <c r="D188" s="1380" t="s">
        <v>1751</v>
      </c>
      <c r="E188" s="1380"/>
      <c r="F188" s="1381"/>
      <c r="G188" s="1382">
        <f>vol.!S553</f>
        <v>420</v>
      </c>
      <c r="H188" s="788" t="e">
        <f>VLOOKUP($A188,satpek!$B$20:$N$144,7,0)</f>
        <v>#REF!</v>
      </c>
      <c r="I188" s="789" t="e">
        <f>VLOOKUP($A188,satpek!$B$20:$N$144,5,0)</f>
        <v>#REF!</v>
      </c>
      <c r="J188" s="790" t="e">
        <f>VLOOKUP($A188,satpek!$B$20:$N$144,6,0)</f>
        <v>#REF!</v>
      </c>
      <c r="K188" s="791"/>
      <c r="L188" s="792" t="e">
        <f t="shared" ref="L188" si="73">ROUND((G188*J188),2)</f>
        <v>#REF!</v>
      </c>
      <c r="M188" s="1388"/>
      <c r="N188" s="730"/>
      <c r="O188" s="730"/>
      <c r="P188" s="782"/>
      <c r="Q188" s="783"/>
      <c r="R188" s="794"/>
    </row>
    <row r="189" spans="1:23" s="729" customFormat="1" ht="20.100000000000001" customHeight="1" x14ac:dyDescent="0.2">
      <c r="A189" s="736"/>
      <c r="B189" s="784"/>
      <c r="C189" s="777"/>
      <c r="D189" s="785"/>
      <c r="E189" s="785"/>
      <c r="F189" s="786"/>
      <c r="G189" s="787"/>
      <c r="H189" s="788"/>
      <c r="I189" s="789"/>
      <c r="J189" s="795"/>
      <c r="K189" s="791"/>
      <c r="L189" s="792"/>
      <c r="M189" s="793"/>
      <c r="N189" s="730"/>
      <c r="O189" s="730"/>
      <c r="P189" s="782"/>
      <c r="Q189" s="783"/>
      <c r="R189" s="794"/>
    </row>
    <row r="190" spans="1:23" s="729" customFormat="1" ht="20.100000000000001" customHeight="1" x14ac:dyDescent="0.2">
      <c r="A190" s="736"/>
      <c r="B190" s="796"/>
      <c r="C190" s="797"/>
      <c r="D190" s="798"/>
      <c r="E190" s="798"/>
      <c r="F190" s="799"/>
      <c r="G190" s="800"/>
      <c r="H190" s="801"/>
      <c r="I190" s="802" t="s">
        <v>556</v>
      </c>
      <c r="J190" s="803" t="str">
        <f>B182</f>
        <v>XII</v>
      </c>
      <c r="K190" s="804"/>
      <c r="L190" s="805" t="e">
        <f>SUM(L183:L189)</f>
        <v>#REF!</v>
      </c>
      <c r="M190" s="806"/>
      <c r="N190" s="730"/>
      <c r="O190" s="730"/>
      <c r="P190" s="782"/>
      <c r="Q190" s="836"/>
      <c r="R190" s="794"/>
    </row>
    <row r="191" spans="1:23" s="821" customFormat="1" ht="20.100000000000001" customHeight="1" x14ac:dyDescent="0.2">
      <c r="A191" s="808"/>
      <c r="B191" s="838"/>
      <c r="C191" s="839"/>
      <c r="D191" s="840"/>
      <c r="E191" s="840"/>
      <c r="F191" s="841"/>
      <c r="G191" s="842"/>
      <c r="H191" s="842"/>
      <c r="I191" s="802"/>
      <c r="J191" s="842" t="s">
        <v>1670</v>
      </c>
      <c r="K191" s="804"/>
      <c r="L191" s="843" t="e">
        <f>L190+L181+L169+L161+L142+L132+L118+L110+L102+L55+L45+L35</f>
        <v>#REF!</v>
      </c>
      <c r="M191" s="819"/>
      <c r="N191" s="820"/>
      <c r="O191" s="820"/>
      <c r="P191" s="835"/>
      <c r="Q191" s="844"/>
    </row>
    <row r="192" spans="1:23" ht="20.100000000000001" customHeight="1" x14ac:dyDescent="0.2">
      <c r="A192" s="732"/>
      <c r="B192" s="796"/>
      <c r="C192" s="797"/>
      <c r="D192" s="798"/>
      <c r="E192" s="798"/>
      <c r="F192" s="799"/>
      <c r="G192" s="842"/>
      <c r="H192" s="842"/>
      <c r="I192" s="845"/>
      <c r="J192" s="842" t="s">
        <v>1646</v>
      </c>
      <c r="K192" s="846"/>
      <c r="L192" s="805" t="e">
        <f>L191*0.11</f>
        <v>#REF!</v>
      </c>
      <c r="M192" s="793"/>
      <c r="N192" s="835"/>
      <c r="O192" s="835"/>
      <c r="P192" s="847"/>
      <c r="Q192" s="844"/>
      <c r="T192" s="725"/>
      <c r="U192" s="725"/>
      <c r="V192" s="725"/>
      <c r="W192" s="725"/>
    </row>
    <row r="193" spans="1:23" ht="20.100000000000001" customHeight="1" x14ac:dyDescent="0.2">
      <c r="A193" s="732"/>
      <c r="B193" s="796"/>
      <c r="C193" s="797"/>
      <c r="D193" s="798"/>
      <c r="E193" s="798"/>
      <c r="F193" s="799"/>
      <c r="G193" s="842"/>
      <c r="H193" s="842"/>
      <c r="I193" s="845"/>
      <c r="J193" s="842" t="s">
        <v>360</v>
      </c>
      <c r="K193" s="846"/>
      <c r="L193" s="805" t="e">
        <f>L191+L192</f>
        <v>#REF!</v>
      </c>
      <c r="M193" s="793"/>
      <c r="N193" s="835"/>
      <c r="O193" s="835"/>
      <c r="P193" s="847"/>
      <c r="Q193" s="848"/>
      <c r="T193" s="725"/>
      <c r="U193" s="725"/>
      <c r="V193" s="725"/>
      <c r="W193" s="725"/>
    </row>
    <row r="194" spans="1:23" ht="20.100000000000001" customHeight="1" x14ac:dyDescent="0.2">
      <c r="A194" s="732"/>
      <c r="B194" s="796"/>
      <c r="C194" s="849"/>
      <c r="D194" s="798"/>
      <c r="E194" s="798"/>
      <c r="F194" s="799"/>
      <c r="G194" s="842"/>
      <c r="H194" s="842"/>
      <c r="I194" s="845"/>
      <c r="J194" s="842" t="s">
        <v>359</v>
      </c>
      <c r="K194" s="846"/>
      <c r="L194" s="850" t="e">
        <f>ROUNDDOWN(L193,-3)</f>
        <v>#REF!</v>
      </c>
      <c r="M194" s="851" t="e">
        <f>SUM(L194:L194)</f>
        <v>#REF!</v>
      </c>
      <c r="N194" s="835"/>
      <c r="O194" s="835"/>
      <c r="P194" s="852" t="s">
        <v>1505</v>
      </c>
      <c r="Q194" s="853">
        <v>1425000000</v>
      </c>
      <c r="T194" s="725"/>
      <c r="U194" s="725"/>
      <c r="V194" s="725"/>
      <c r="W194" s="725"/>
    </row>
    <row r="195" spans="1:23" ht="20.100000000000001" customHeight="1" thickBot="1" x14ac:dyDescent="0.25">
      <c r="A195" s="732"/>
      <c r="B195" s="854" t="s">
        <v>1506</v>
      </c>
      <c r="C195" s="855"/>
      <c r="D195" s="855" t="str">
        <f>terbilang!F10</f>
        <v>Lima Milyar Tujuh Ratus Sembilan Puluh Delapan Juta Delapan Ratus Dua Puluh Lima Ribu  Rupiah</v>
      </c>
      <c r="E195" s="855"/>
      <c r="F195" s="856"/>
      <c r="G195" s="857"/>
      <c r="H195" s="855"/>
      <c r="I195" s="858"/>
      <c r="J195" s="859"/>
      <c r="K195" s="860"/>
      <c r="L195" s="861"/>
      <c r="M195" s="862"/>
      <c r="N195" s="835"/>
      <c r="O195" s="863"/>
      <c r="P195" s="864" t="s">
        <v>1507</v>
      </c>
      <c r="Q195" s="865" t="e">
        <f>Q194-L194</f>
        <v>#REF!</v>
      </c>
      <c r="T195" s="725"/>
      <c r="U195" s="725"/>
      <c r="V195" s="725"/>
      <c r="W195" s="725"/>
    </row>
    <row r="196" spans="1:23" x14ac:dyDescent="0.2">
      <c r="A196" s="866"/>
      <c r="B196" s="867"/>
      <c r="C196" s="868"/>
      <c r="D196" s="868"/>
      <c r="E196" s="868"/>
      <c r="F196" s="869"/>
      <c r="G196" s="870"/>
      <c r="H196" s="868"/>
      <c r="I196" s="867"/>
      <c r="J196" s="868"/>
      <c r="K196" s="868"/>
      <c r="L196" s="871"/>
      <c r="M196" s="871"/>
      <c r="N196" s="835"/>
      <c r="O196" s="863"/>
      <c r="P196" s="872"/>
      <c r="T196" s="725"/>
      <c r="U196" s="725"/>
      <c r="V196" s="725"/>
      <c r="W196" s="725"/>
    </row>
    <row r="197" spans="1:23" ht="15.75" x14ac:dyDescent="0.2">
      <c r="A197" s="866"/>
      <c r="B197" s="867"/>
      <c r="C197" s="868"/>
      <c r="D197" s="868"/>
      <c r="E197" s="868"/>
      <c r="F197" s="869"/>
      <c r="G197" s="870"/>
      <c r="H197" s="868"/>
      <c r="I197" s="867"/>
      <c r="J197" s="868"/>
      <c r="K197" s="757" t="str">
        <f>'data primer'!E11</f>
        <v>Karanganyar,                               2022</v>
      </c>
      <c r="L197" s="871"/>
      <c r="M197" s="871"/>
      <c r="N197" s="835"/>
      <c r="O197" s="863"/>
      <c r="P197" s="872"/>
      <c r="T197" s="725"/>
      <c r="U197" s="725"/>
      <c r="V197" s="725"/>
      <c r="W197" s="725"/>
    </row>
    <row r="198" spans="1:23" ht="15.75" x14ac:dyDescent="0.2">
      <c r="B198" s="734"/>
      <c r="C198" s="729"/>
      <c r="D198" s="729"/>
      <c r="K198" s="757" t="str">
        <f>'data primer'!E12</f>
        <v>PEJABAT PENANDATANGAN KONTRAK</v>
      </c>
      <c r="Q198" s="874"/>
    </row>
    <row r="199" spans="1:23" ht="15.75" x14ac:dyDescent="0.2">
      <c r="B199" s="734"/>
      <c r="C199" s="729"/>
      <c r="K199" s="748">
        <f>'data primer'!E13</f>
        <v>0</v>
      </c>
    </row>
    <row r="200" spans="1:23" ht="15.75" hidden="1" x14ac:dyDescent="0.2">
      <c r="K200" s="734"/>
      <c r="P200" s="725">
        <v>34</v>
      </c>
    </row>
    <row r="201" spans="1:23" ht="15.75" hidden="1" x14ac:dyDescent="0.2">
      <c r="K201" s="734"/>
    </row>
    <row r="202" spans="1:23" ht="15.75" hidden="1" x14ac:dyDescent="0.2">
      <c r="K202" s="734"/>
      <c r="P202" s="725">
        <v>16</v>
      </c>
      <c r="R202" s="875">
        <f>Q202*P202</f>
        <v>0</v>
      </c>
    </row>
    <row r="203" spans="1:23" ht="15.75" x14ac:dyDescent="0.2">
      <c r="A203" s="725"/>
      <c r="D203" s="876"/>
      <c r="K203" s="734"/>
      <c r="T203" s="725"/>
      <c r="U203" s="725"/>
      <c r="V203" s="725"/>
      <c r="W203" s="725"/>
    </row>
    <row r="204" spans="1:23" ht="15.75" x14ac:dyDescent="0.2">
      <c r="A204" s="725"/>
      <c r="D204" s="876"/>
      <c r="K204" s="734"/>
      <c r="T204" s="725"/>
      <c r="U204" s="725"/>
      <c r="V204" s="725"/>
      <c r="W204" s="725"/>
    </row>
    <row r="205" spans="1:23" ht="15.75" x14ac:dyDescent="0.2">
      <c r="A205" s="725"/>
      <c r="D205" s="876"/>
      <c r="K205" s="734"/>
      <c r="T205" s="725"/>
      <c r="U205" s="725"/>
      <c r="V205" s="725"/>
      <c r="W205" s="725"/>
    </row>
    <row r="206" spans="1:23" ht="15.75" x14ac:dyDescent="0.2">
      <c r="A206" s="725"/>
      <c r="D206" s="876"/>
      <c r="K206" s="734"/>
      <c r="T206" s="725"/>
      <c r="U206" s="725"/>
      <c r="V206" s="725"/>
      <c r="W206" s="725"/>
    </row>
    <row r="207" spans="1:23" ht="15.75" x14ac:dyDescent="0.2">
      <c r="A207" s="725"/>
      <c r="D207" s="844"/>
      <c r="K207" s="734"/>
      <c r="Q207" s="848"/>
      <c r="T207" s="725"/>
      <c r="U207" s="725"/>
      <c r="V207" s="725"/>
      <c r="W207" s="725"/>
    </row>
    <row r="208" spans="1:23" ht="15.75" x14ac:dyDescent="0.2">
      <c r="A208" s="725"/>
      <c r="K208" s="877" t="str">
        <f>'data primer'!E15</f>
        <v>FERIANA DWI KURNIAWATI, SP, M.Si</v>
      </c>
      <c r="T208" s="725"/>
      <c r="U208" s="725"/>
      <c r="V208" s="725"/>
      <c r="W208" s="725"/>
    </row>
    <row r="209" spans="1:23" ht="15.75" x14ac:dyDescent="0.2">
      <c r="A209" s="725"/>
      <c r="K209" s="734" t="str">
        <f>'data primer'!E16</f>
        <v>NIP. 19810226 200501 2 015</v>
      </c>
      <c r="T209" s="725"/>
      <c r="U209" s="725"/>
      <c r="V209" s="725"/>
      <c r="W209" s="725"/>
    </row>
    <row r="214" spans="1:23" x14ac:dyDescent="0.2">
      <c r="H214" s="878"/>
    </row>
    <row r="215" spans="1:23" x14ac:dyDescent="0.2">
      <c r="D215" s="879"/>
      <c r="E215" s="879"/>
      <c r="F215" s="880"/>
      <c r="G215" s="881"/>
      <c r="H215" s="726"/>
      <c r="I215" s="881"/>
    </row>
    <row r="216" spans="1:23" x14ac:dyDescent="0.2">
      <c r="D216" s="879"/>
      <c r="E216" s="879"/>
      <c r="F216" s="879"/>
      <c r="G216" s="881"/>
      <c r="H216" s="879"/>
    </row>
    <row r="217" spans="1:23" x14ac:dyDescent="0.2">
      <c r="D217" s="882"/>
      <c r="E217" s="879"/>
      <c r="F217" s="879"/>
      <c r="I217" s="883"/>
    </row>
    <row r="218" spans="1:23" x14ac:dyDescent="0.2">
      <c r="D218" s="879"/>
      <c r="E218" s="879"/>
      <c r="F218" s="879"/>
      <c r="G218" s="881"/>
      <c r="H218" s="879"/>
    </row>
    <row r="219" spans="1:23" x14ac:dyDescent="0.2">
      <c r="D219" s="879"/>
      <c r="E219" s="879"/>
      <c r="F219" s="879"/>
      <c r="G219" s="881"/>
      <c r="H219" s="879"/>
    </row>
    <row r="220" spans="1:23" x14ac:dyDescent="0.2">
      <c r="D220" s="879"/>
      <c r="E220" s="879"/>
      <c r="F220" s="880"/>
      <c r="G220" s="881"/>
      <c r="H220" s="726"/>
      <c r="I220" s="881"/>
    </row>
    <row r="221" spans="1:23" x14ac:dyDescent="0.2">
      <c r="D221" s="879"/>
      <c r="E221" s="879"/>
      <c r="F221" s="879"/>
      <c r="G221" s="881"/>
      <c r="H221" s="879"/>
    </row>
    <row r="222" spans="1:23" x14ac:dyDescent="0.2">
      <c r="A222" s="725"/>
      <c r="B222" s="725"/>
      <c r="D222" s="879"/>
      <c r="E222" s="879"/>
      <c r="F222" s="879"/>
      <c r="G222" s="881"/>
      <c r="H222" s="879"/>
      <c r="I222" s="725"/>
      <c r="T222" s="725"/>
      <c r="U222" s="725"/>
      <c r="V222" s="725"/>
      <c r="W222" s="725"/>
    </row>
  </sheetData>
  <mergeCells count="4">
    <mergeCell ref="B3:L3"/>
    <mergeCell ref="B10:M10"/>
    <mergeCell ref="B11:M11"/>
    <mergeCell ref="D22:F22"/>
  </mergeCell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W348"/>
  <sheetViews>
    <sheetView topLeftCell="A33" zoomScale="85" zoomScaleNormal="85" workbookViewId="0">
      <selection activeCell="K44" sqref="K26:K44"/>
    </sheetView>
  </sheetViews>
  <sheetFormatPr defaultColWidth="12.5703125" defaultRowHeight="15" x14ac:dyDescent="0.2"/>
  <cols>
    <col min="1" max="1" width="6.85546875" style="2324" customWidth="1"/>
    <col min="2" max="2" width="7.5703125" style="2429" customWidth="1"/>
    <col min="3" max="3" width="2.7109375" style="2127" customWidth="1"/>
    <col min="4" max="4" width="32.7109375" style="2127" customWidth="1"/>
    <col min="5" max="5" width="4" style="2127" customWidth="1"/>
    <col min="6" max="6" width="11.28515625" style="2127" customWidth="1"/>
    <col min="7" max="7" width="12.5703125" style="2429" customWidth="1"/>
    <col min="8" max="8" width="7.7109375" style="2127" customWidth="1"/>
    <col min="9" max="9" width="15.7109375" style="2429" hidden="1" customWidth="1"/>
    <col min="10" max="10" width="23.140625" style="2127" customWidth="1"/>
    <col min="11" max="11" width="14.42578125" style="2127" customWidth="1"/>
    <col min="12" max="12" width="23.140625" style="2127" customWidth="1"/>
    <col min="13" max="13" width="16.28515625" style="2127" customWidth="1"/>
    <col min="14" max="14" width="8.85546875" style="2127" customWidth="1"/>
    <col min="15" max="15" width="1.7109375" style="2127" customWidth="1"/>
    <col min="16" max="16" width="22" style="2127" customWidth="1"/>
    <col min="17" max="17" width="21.5703125" style="2127" customWidth="1"/>
    <col min="18" max="18" width="18.42578125" style="2127" customWidth="1"/>
    <col min="19" max="19" width="12.5703125" style="2127"/>
    <col min="20" max="20" width="18" style="1909" bestFit="1" customWidth="1"/>
    <col min="21" max="21" width="1.7109375" style="1909" customWidth="1"/>
    <col min="22" max="22" width="19.42578125" style="1909" bestFit="1" customWidth="1"/>
    <col min="23" max="23" width="21.28515625" style="1909" bestFit="1" customWidth="1"/>
    <col min="24" max="16384" width="12.5703125" style="2127"/>
  </cols>
  <sheetData>
    <row r="3" spans="1:23" x14ac:dyDescent="0.2">
      <c r="B3" s="3522" t="s">
        <v>278</v>
      </c>
      <c r="C3" s="3522"/>
      <c r="D3" s="3522"/>
      <c r="E3" s="3522"/>
      <c r="F3" s="3522"/>
      <c r="G3" s="3522"/>
      <c r="H3" s="3522"/>
      <c r="I3" s="3522"/>
      <c r="J3" s="3522"/>
      <c r="K3" s="3522"/>
      <c r="L3" s="3522"/>
      <c r="M3" s="3522"/>
    </row>
    <row r="10" spans="1:23" ht="25.5" x14ac:dyDescent="0.2">
      <c r="A10" s="2325"/>
      <c r="B10" s="3523" t="s">
        <v>2031</v>
      </c>
      <c r="C10" s="3523"/>
      <c r="D10" s="3523"/>
      <c r="E10" s="3523"/>
      <c r="F10" s="3523"/>
      <c r="G10" s="3523"/>
      <c r="H10" s="3523"/>
      <c r="I10" s="3523"/>
      <c r="J10" s="3523"/>
      <c r="K10" s="3523"/>
      <c r="L10" s="3523"/>
      <c r="M10" s="3523"/>
      <c r="N10" s="2326"/>
      <c r="T10" s="2127"/>
      <c r="U10" s="2127"/>
      <c r="V10" s="2127"/>
      <c r="W10" s="2127"/>
    </row>
    <row r="11" spans="1:23" ht="25.5" x14ac:dyDescent="0.2">
      <c r="A11" s="2325"/>
      <c r="B11" s="3523" t="str">
        <f>RAB.PERTANIAN!B1</f>
        <v>HARGA PERKIRAAN SENDIRI ( HPS )</v>
      </c>
      <c r="C11" s="3523"/>
      <c r="D11" s="3523"/>
      <c r="E11" s="3523"/>
      <c r="F11" s="3523"/>
      <c r="G11" s="3523"/>
      <c r="H11" s="3523"/>
      <c r="I11" s="3523"/>
      <c r="J11" s="3523"/>
      <c r="K11" s="3523"/>
      <c r="L11" s="3523"/>
      <c r="M11" s="3523"/>
      <c r="N11" s="2326"/>
      <c r="T11" s="2127"/>
      <c r="U11" s="2127"/>
      <c r="V11" s="2127"/>
      <c r="W11" s="2127"/>
    </row>
    <row r="12" spans="1:23" ht="15.75" x14ac:dyDescent="0.2">
      <c r="A12" s="2325"/>
      <c r="B12" s="3524"/>
      <c r="C12" s="3524"/>
      <c r="D12" s="3524"/>
      <c r="E12" s="3524"/>
      <c r="F12" s="3524"/>
      <c r="G12" s="3524"/>
      <c r="H12" s="3524"/>
      <c r="I12" s="3524"/>
      <c r="J12" s="3524"/>
      <c r="K12" s="3524"/>
      <c r="L12" s="3524"/>
      <c r="M12" s="3524"/>
      <c r="N12" s="2326"/>
      <c r="T12" s="2127"/>
      <c r="U12" s="2127"/>
      <c r="V12" s="2127"/>
      <c r="W12" s="2127"/>
    </row>
    <row r="13" spans="1:23" ht="15.75" x14ac:dyDescent="0.2">
      <c r="A13" s="2327"/>
      <c r="B13" s="2328"/>
      <c r="C13" s="2329"/>
      <c r="D13" s="2330" t="str">
        <f>RAB.PERTANIAN!D3</f>
        <v>KEGIATAN</v>
      </c>
      <c r="E13" s="2330" t="str">
        <f>'data primer'!D4</f>
        <v>:</v>
      </c>
      <c r="F13" s="2331" t="str">
        <f>RAB.PERTANIAN!F3</f>
        <v>PEMBANGUNAN GEDUNG KANTOR DINAS PERTANIAN, PANGAN DAN PERIKANAN KARANGANYAR</v>
      </c>
      <c r="G13" s="2332"/>
      <c r="H13" s="2329"/>
      <c r="I13" s="2332"/>
      <c r="J13" s="2329"/>
      <c r="K13" s="2329"/>
      <c r="L13" s="2329"/>
      <c r="M13" s="2333"/>
      <c r="T13" s="2127"/>
      <c r="U13" s="2127"/>
      <c r="V13" s="2127"/>
      <c r="W13" s="2127"/>
    </row>
    <row r="14" spans="1:23" ht="15.75" x14ac:dyDescent="0.2">
      <c r="A14" s="2327"/>
      <c r="B14" s="2328"/>
      <c r="C14" s="2329"/>
      <c r="D14" s="2330" t="str">
        <f>RAB.PERTANIAN!D4</f>
        <v>PEKERJAAN</v>
      </c>
      <c r="E14" s="2330" t="str">
        <f>'data primer'!D6</f>
        <v>:</v>
      </c>
      <c r="F14" s="2331" t="str">
        <f>RAB.PERTANIAN!F4</f>
        <v>PEMBANGUNAN GEDUNG KANTOR DINAS PERTANIAN, PANGAN DAN PERIKANAN KARANGANYAR</v>
      </c>
      <c r="G14" s="2332"/>
      <c r="H14" s="2329"/>
      <c r="I14" s="2332"/>
      <c r="J14" s="2329"/>
      <c r="K14" s="2329"/>
      <c r="L14" s="2329"/>
      <c r="M14" s="2329"/>
      <c r="T14" s="2127"/>
      <c r="U14" s="2127"/>
      <c r="V14" s="2127"/>
      <c r="W14" s="2127"/>
    </row>
    <row r="15" spans="1:23" ht="15.75" x14ac:dyDescent="0.2">
      <c r="A15" s="2327"/>
      <c r="B15" s="2328"/>
      <c r="C15" s="2329"/>
      <c r="D15" s="2330" t="str">
        <f>RAB.PERTANIAN!D5</f>
        <v>L O K A S I</v>
      </c>
      <c r="E15" s="2330" t="str">
        <f>'data primer'!D7</f>
        <v>:</v>
      </c>
      <c r="F15" s="2331" t="str">
        <f>RAB.PERTANIAN!F5</f>
        <v>KARANGANYAR</v>
      </c>
      <c r="G15" s="2332"/>
      <c r="H15" s="2329"/>
      <c r="I15" s="2332"/>
      <c r="J15" s="2333"/>
      <c r="K15" s="2333"/>
      <c r="L15" s="2333"/>
      <c r="M15" s="2329"/>
      <c r="T15" s="2127"/>
      <c r="U15" s="2127"/>
      <c r="V15" s="2127"/>
      <c r="W15" s="2127"/>
    </row>
    <row r="16" spans="1:23" ht="15.75" x14ac:dyDescent="0.2">
      <c r="A16" s="2327"/>
      <c r="B16" s="2328"/>
      <c r="C16" s="2329"/>
      <c r="D16" s="2330" t="str">
        <f>RAB.PERTANIAN!D6</f>
        <v>KABUPATEN</v>
      </c>
      <c r="E16" s="2330" t="str">
        <f>'data primer'!D8</f>
        <v>:</v>
      </c>
      <c r="F16" s="2331" t="str">
        <f>RAB.PERTANIAN!F6</f>
        <v>KARANGANYAR</v>
      </c>
      <c r="G16" s="2332"/>
      <c r="H16" s="2329"/>
      <c r="I16" s="2332"/>
      <c r="J16" s="2333"/>
      <c r="K16" s="2333"/>
      <c r="L16" s="2333"/>
      <c r="M16" s="2329"/>
      <c r="T16" s="2127"/>
      <c r="U16" s="2127"/>
      <c r="V16" s="2127"/>
      <c r="W16" s="2127"/>
    </row>
    <row r="17" spans="1:23" ht="15.75" x14ac:dyDescent="0.2">
      <c r="A17" s="2327"/>
      <c r="B17" s="2328"/>
      <c r="C17" s="2329"/>
      <c r="D17" s="2330" t="str">
        <f>RAB.PERTANIAN!D7</f>
        <v>TAHUN ANGGARAN</v>
      </c>
      <c r="E17" s="2330" t="str">
        <f>'data primer'!D9</f>
        <v>:</v>
      </c>
      <c r="F17" s="2331" t="str">
        <f>RAB.PERTANIAN!F7</f>
        <v>2023</v>
      </c>
      <c r="G17" s="2332"/>
      <c r="H17" s="2329"/>
      <c r="I17" s="2332"/>
      <c r="J17" s="2333"/>
      <c r="K17" s="2333"/>
      <c r="L17" s="2333"/>
      <c r="M17" s="2329"/>
      <c r="T17" s="2127"/>
      <c r="U17" s="2127"/>
      <c r="V17" s="2127"/>
      <c r="W17" s="2127"/>
    </row>
    <row r="18" spans="1:23" ht="16.5" thickBot="1" x14ac:dyDescent="0.25">
      <c r="A18" s="2327"/>
      <c r="B18" s="2332"/>
      <c r="C18" s="2329"/>
      <c r="D18" s="2329"/>
      <c r="E18" s="2329"/>
      <c r="F18" s="2329"/>
      <c r="G18" s="2332"/>
      <c r="H18" s="2329"/>
      <c r="I18" s="2332"/>
      <c r="J18" s="2329"/>
      <c r="K18" s="2329"/>
      <c r="L18" s="2329"/>
      <c r="M18" s="2329"/>
      <c r="T18" s="2127"/>
      <c r="U18" s="2127"/>
      <c r="V18" s="2127"/>
      <c r="W18" s="2127"/>
    </row>
    <row r="19" spans="1:23" s="2329" customFormat="1" ht="20.100000000000001" customHeight="1" x14ac:dyDescent="0.2">
      <c r="A19" s="2334"/>
      <c r="B19" s="2335"/>
      <c r="C19" s="2336"/>
      <c r="D19" s="2337"/>
      <c r="E19" s="2337"/>
      <c r="F19" s="2337"/>
      <c r="G19" s="2338"/>
      <c r="H19" s="2337"/>
      <c r="I19" s="2339"/>
      <c r="J19" s="2340"/>
      <c r="K19" s="2340"/>
      <c r="L19" s="2340"/>
      <c r="M19" s="2341"/>
      <c r="N19" s="2330"/>
      <c r="O19" s="2330"/>
      <c r="P19" s="2330"/>
    </row>
    <row r="20" spans="1:23" s="2329" customFormat="1" ht="20.100000000000001" customHeight="1" x14ac:dyDescent="0.2">
      <c r="A20" s="2334"/>
      <c r="B20" s="2342" t="s">
        <v>362</v>
      </c>
      <c r="C20" s="2343"/>
      <c r="D20" s="3526" t="s">
        <v>784</v>
      </c>
      <c r="E20" s="3526"/>
      <c r="F20" s="3526"/>
      <c r="G20" s="3526"/>
      <c r="H20" s="3526"/>
      <c r="I20" s="3527"/>
      <c r="J20" s="2344" t="s">
        <v>263</v>
      </c>
      <c r="K20" s="2344" t="s">
        <v>2010</v>
      </c>
      <c r="L20" s="2344" t="s">
        <v>2022</v>
      </c>
      <c r="M20" s="2345" t="s">
        <v>1634</v>
      </c>
      <c r="N20" s="2330"/>
      <c r="O20" s="2330"/>
      <c r="P20" s="2330"/>
    </row>
    <row r="21" spans="1:23" s="2329" customFormat="1" ht="20.100000000000001" customHeight="1" x14ac:dyDescent="0.2">
      <c r="A21" s="2334"/>
      <c r="B21" s="2342"/>
      <c r="C21" s="2343"/>
      <c r="D21" s="2343"/>
      <c r="E21" s="2343"/>
      <c r="F21" s="2343"/>
      <c r="G21" s="2346"/>
      <c r="H21" s="2343"/>
      <c r="I21" s="2347"/>
      <c r="J21" s="2344"/>
      <c r="K21" s="2344"/>
      <c r="L21" s="2344" t="s">
        <v>2010</v>
      </c>
      <c r="M21" s="2348"/>
      <c r="N21" s="2330"/>
      <c r="O21" s="2330"/>
      <c r="P21" s="2330"/>
    </row>
    <row r="22" spans="1:23" s="2329" customFormat="1" ht="20.100000000000001" customHeight="1" x14ac:dyDescent="0.2">
      <c r="A22" s="2334"/>
      <c r="B22" s="2349"/>
      <c r="C22" s="2350"/>
      <c r="D22" s="2350"/>
      <c r="E22" s="2350"/>
      <c r="F22" s="2350"/>
      <c r="G22" s="2351"/>
      <c r="H22" s="2350"/>
      <c r="I22" s="2352"/>
      <c r="J22" s="2353" t="s">
        <v>348</v>
      </c>
      <c r="K22" s="2353"/>
      <c r="L22" s="2353"/>
      <c r="M22" s="2354"/>
      <c r="N22" s="2330"/>
      <c r="O22" s="2330"/>
      <c r="P22" s="2330"/>
    </row>
    <row r="23" spans="1:23" s="2329" customFormat="1" ht="20.100000000000001" customHeight="1" thickBot="1" x14ac:dyDescent="0.25">
      <c r="A23" s="2334"/>
      <c r="B23" s="2355"/>
      <c r="C23" s="2356"/>
      <c r="D23" s="3525"/>
      <c r="E23" s="3525"/>
      <c r="F23" s="3525"/>
      <c r="G23" s="2357"/>
      <c r="H23" s="2356"/>
      <c r="I23" s="2358"/>
      <c r="J23" s="2359"/>
      <c r="K23" s="2359"/>
      <c r="L23" s="2359"/>
      <c r="M23" s="2360"/>
      <c r="N23" s="2330"/>
      <c r="O23" s="2330"/>
      <c r="P23" s="2361"/>
    </row>
    <row r="24" spans="1:23" s="2329" customFormat="1" ht="20.100000000000001" customHeight="1" x14ac:dyDescent="0.2">
      <c r="A24" s="2334"/>
      <c r="B24" s="2362"/>
      <c r="C24" s="2363"/>
      <c r="D24" s="2364"/>
      <c r="E24" s="2365"/>
      <c r="F24" s="2365"/>
      <c r="G24" s="2366"/>
      <c r="H24" s="2367"/>
      <c r="I24" s="2368"/>
      <c r="J24" s="2369"/>
      <c r="K24" s="2370"/>
      <c r="L24" s="2370"/>
      <c r="M24" s="2371"/>
      <c r="N24" s="2330"/>
      <c r="O24" s="2372"/>
      <c r="P24" s="2361"/>
      <c r="Q24" s="2373"/>
    </row>
    <row r="25" spans="1:23" s="2329" customFormat="1" ht="20.100000000000001" customHeight="1" x14ac:dyDescent="0.2">
      <c r="A25" s="2334"/>
      <c r="B25" s="2374" t="str">
        <f>RAB.PERTANIAN!B15</f>
        <v>I</v>
      </c>
      <c r="C25" s="2375"/>
      <c r="D25" s="2376" t="str">
        <f>RAB.PERTANIAN!D15</f>
        <v>GEDUNG KANTOR</v>
      </c>
      <c r="E25" s="2376"/>
      <c r="F25" s="2377"/>
      <c r="G25" s="2136"/>
      <c r="H25" s="1976"/>
      <c r="I25" s="2378"/>
      <c r="J25" s="2379"/>
      <c r="K25" s="2380"/>
      <c r="L25" s="2381"/>
      <c r="M25" s="2382"/>
      <c r="N25" s="2330"/>
      <c r="O25" s="2330"/>
      <c r="P25" s="2361"/>
      <c r="Q25" s="2373"/>
      <c r="R25" s="2128"/>
    </row>
    <row r="26" spans="1:23" s="2395" customFormat="1" ht="20.100000000000001" customHeight="1" x14ac:dyDescent="0.2">
      <c r="A26" s="2383"/>
      <c r="B26" s="2384" t="str">
        <f>RAB.PERTANIAN!B16</f>
        <v>A.</v>
      </c>
      <c r="C26" s="2385"/>
      <c r="D26" s="2386" t="str">
        <f>RAB.PERTANIAN!D16</f>
        <v>PEKERJAAN PERSIAPAN</v>
      </c>
      <c r="E26" s="2387"/>
      <c r="F26" s="2387"/>
      <c r="G26" s="2388"/>
      <c r="H26" s="2389"/>
      <c r="I26" s="2390"/>
      <c r="J26" s="2391">
        <f>RAB.PERTANIAN!M23</f>
        <v>43100410.039999999</v>
      </c>
      <c r="K26" s="3544">
        <f>RAB.PERTANIAN!N23</f>
        <v>0.75445456092635843</v>
      </c>
      <c r="L26" s="2392">
        <f>RAB.PERTANIAN!R23</f>
        <v>32517300.932474211</v>
      </c>
      <c r="M26" s="2393"/>
      <c r="N26" s="2394"/>
      <c r="O26" s="2394"/>
      <c r="P26" s="3184"/>
      <c r="Q26" s="3185"/>
      <c r="R26" s="2128"/>
    </row>
    <row r="27" spans="1:23" s="2395" customFormat="1" ht="20.100000000000001" customHeight="1" x14ac:dyDescent="0.2">
      <c r="A27" s="2383"/>
      <c r="B27" s="2384" t="str">
        <f>RAB.PERTANIAN!B24</f>
        <v>B.</v>
      </c>
      <c r="C27" s="2385"/>
      <c r="D27" s="2386" t="str">
        <f>RAB.PERTANIAN!D24</f>
        <v>PEKERJAAN TANAH</v>
      </c>
      <c r="E27" s="2387"/>
      <c r="F27" s="2387"/>
      <c r="G27" s="2388"/>
      <c r="H27" s="2389"/>
      <c r="I27" s="2390"/>
      <c r="J27" s="2391">
        <f>RAB.PERTANIAN!M30</f>
        <v>158036335.72</v>
      </c>
      <c r="K27" s="3544">
        <f>RAB.PERTANIAN!N30</f>
        <v>1</v>
      </c>
      <c r="L27" s="2392">
        <f>RAB.PERTANIAN!R30</f>
        <v>158036335.72</v>
      </c>
      <c r="M27" s="2393"/>
      <c r="N27" s="2394"/>
      <c r="O27" s="2394"/>
      <c r="P27" s="3184"/>
      <c r="Q27" s="3185"/>
      <c r="R27" s="2128"/>
    </row>
    <row r="28" spans="1:23" s="2395" customFormat="1" ht="20.100000000000001" customHeight="1" x14ac:dyDescent="0.2">
      <c r="A28" s="2383"/>
      <c r="B28" s="2384" t="str">
        <f>RAB.PERTANIAN!B31</f>
        <v>C.</v>
      </c>
      <c r="C28" s="2385"/>
      <c r="D28" s="2386" t="str">
        <f>RAB.PERTANIAN!D31</f>
        <v>PEKERJAAN PONDASI</v>
      </c>
      <c r="E28" s="2387"/>
      <c r="F28" s="2387"/>
      <c r="G28" s="2388"/>
      <c r="H28" s="2389"/>
      <c r="I28" s="2390"/>
      <c r="J28" s="2391">
        <f>RAB.PERTANIAN!M35</f>
        <v>48775691</v>
      </c>
      <c r="K28" s="3544">
        <f>RAB.PERTANIAN!N35</f>
        <v>0.97800702026166797</v>
      </c>
      <c r="L28" s="2392">
        <f>RAB.PERTANIAN!R35</f>
        <v>47702968.216113858</v>
      </c>
      <c r="M28" s="2393"/>
      <c r="N28" s="2394"/>
      <c r="O28" s="2394"/>
      <c r="P28" s="3184"/>
      <c r="Q28" s="3185"/>
      <c r="R28" s="2128"/>
    </row>
    <row r="29" spans="1:23" s="2395" customFormat="1" ht="20.100000000000001" customHeight="1" x14ac:dyDescent="0.2">
      <c r="A29" s="2383"/>
      <c r="B29" s="2384" t="str">
        <f>RAB.PERTANIAN!B36</f>
        <v>D.</v>
      </c>
      <c r="C29" s="2385"/>
      <c r="D29" s="2386" t="str">
        <f>RAB.PERTANIAN!D36</f>
        <v>PEKERJAAN BETON</v>
      </c>
      <c r="E29" s="2387"/>
      <c r="F29" s="2387"/>
      <c r="G29" s="2388"/>
      <c r="H29" s="2389"/>
      <c r="I29" s="2390"/>
      <c r="J29" s="2391">
        <f>RAB.PERTANIAN!M132</f>
        <v>1686933528.95</v>
      </c>
      <c r="K29" s="3544">
        <f>RAB.PERTANIAN!N132</f>
        <v>0.69281335287996504</v>
      </c>
      <c r="L29" s="2392">
        <f>RAB.PERTANIAN!R132</f>
        <v>1168730074.2774811</v>
      </c>
      <c r="M29" s="2393"/>
      <c r="N29" s="2394"/>
      <c r="O29" s="2394"/>
      <c r="P29" s="3184"/>
      <c r="Q29" s="3185"/>
      <c r="R29" s="2128"/>
    </row>
    <row r="30" spans="1:23" s="2395" customFormat="1" ht="20.100000000000001" customHeight="1" x14ac:dyDescent="0.2">
      <c r="A30" s="2383"/>
      <c r="B30" s="2384" t="str">
        <f>RAB.PERTANIAN!B134</f>
        <v>E.</v>
      </c>
      <c r="C30" s="2385"/>
      <c r="D30" s="2386" t="str">
        <f>RAB.PERTANIAN!D134</f>
        <v>PEKERJAAN PASANGAN DINDING DAN PLASTERAN</v>
      </c>
      <c r="E30" s="2387"/>
      <c r="F30" s="2387"/>
      <c r="G30" s="2388"/>
      <c r="H30" s="2389"/>
      <c r="I30" s="2390"/>
      <c r="J30" s="2391">
        <f>RAB.PERTANIAN!M148</f>
        <v>446135900.54000002</v>
      </c>
      <c r="K30" s="3544">
        <f>RAB.PERTANIAN!N148</f>
        <v>0.82942507503681706</v>
      </c>
      <c r="L30" s="2392">
        <f>RAB.PERTANIAN!R148</f>
        <v>370036302.78200746</v>
      </c>
      <c r="M30" s="2393"/>
      <c r="N30" s="2394"/>
      <c r="O30" s="2394"/>
      <c r="P30" s="3184"/>
      <c r="Q30" s="3185"/>
      <c r="R30" s="2128"/>
    </row>
    <row r="31" spans="1:23" s="2395" customFormat="1" ht="20.100000000000001" customHeight="1" x14ac:dyDescent="0.2">
      <c r="A31" s="2383"/>
      <c r="B31" s="2384" t="str">
        <f>RAB.PERTANIAN!B149</f>
        <v>F.</v>
      </c>
      <c r="C31" s="2385"/>
      <c r="D31" s="2386" t="str">
        <f>RAB.PERTANIAN!D149</f>
        <v>PEKERJAAN PENUTUP LANTAI DAN DINDING</v>
      </c>
      <c r="E31" s="2387"/>
      <c r="F31" s="2387"/>
      <c r="G31" s="2388"/>
      <c r="H31" s="2389"/>
      <c r="I31" s="2390"/>
      <c r="J31" s="2391">
        <f>RAB.PERTANIAN!M166</f>
        <v>662758512.13</v>
      </c>
      <c r="K31" s="3544">
        <f>RAB.PERTANIAN!N166</f>
        <v>0.85688649520620142</v>
      </c>
      <c r="L31" s="2392">
        <f>RAB.PERTANIAN!R166</f>
        <v>567908818.62715244</v>
      </c>
      <c r="M31" s="2393"/>
      <c r="N31" s="2394"/>
      <c r="O31" s="2394"/>
      <c r="P31" s="3184"/>
      <c r="Q31" s="3185"/>
      <c r="R31" s="2128"/>
    </row>
    <row r="32" spans="1:23" s="2395" customFormat="1" ht="20.100000000000001" customHeight="1" x14ac:dyDescent="0.2">
      <c r="A32" s="2383"/>
      <c r="B32" s="2384" t="str">
        <f>RAB.PERTANIAN!B167</f>
        <v>G.</v>
      </c>
      <c r="C32" s="2385"/>
      <c r="D32" s="2386" t="str">
        <f>RAB.PERTANIAN!D167</f>
        <v>PEKERJAAN  LANGIT-LANGIT</v>
      </c>
      <c r="E32" s="2387"/>
      <c r="F32" s="2387"/>
      <c r="G32" s="2388"/>
      <c r="H32" s="2389"/>
      <c r="I32" s="2390"/>
      <c r="J32" s="2391">
        <f>RAB.PERTANIAN!M180</f>
        <v>295138043.27000004</v>
      </c>
      <c r="K32" s="3544">
        <f>RAB.PERTANIAN!N180</f>
        <v>0.62870750501082695</v>
      </c>
      <c r="L32" s="2392">
        <f>RAB.PERTANIAN!R180</f>
        <v>185555502.81805921</v>
      </c>
      <c r="M32" s="2393"/>
      <c r="N32" s="2394"/>
      <c r="O32" s="2394"/>
      <c r="P32" s="3184"/>
      <c r="Q32" s="3185"/>
      <c r="R32" s="2128"/>
    </row>
    <row r="33" spans="1:23" s="2395" customFormat="1" ht="20.100000000000001" customHeight="1" x14ac:dyDescent="0.2">
      <c r="A33" s="2383"/>
      <c r="B33" s="2384" t="str">
        <f>RAB.PERTANIAN!B181</f>
        <v>H.</v>
      </c>
      <c r="C33" s="2385"/>
      <c r="D33" s="2386" t="str">
        <f>RAB.PERTANIAN!D181</f>
        <v>PEKERJAAN RANGKA DAN PENUTUP ATAP</v>
      </c>
      <c r="E33" s="2387"/>
      <c r="F33" s="2387"/>
      <c r="G33" s="2388"/>
      <c r="H33" s="2389"/>
      <c r="I33" s="2390"/>
      <c r="J33" s="2391">
        <f>RAB.PERTANIAN!M187</f>
        <v>458897489.56</v>
      </c>
      <c r="K33" s="3544">
        <f>RAB.PERTANIAN!N187</f>
        <v>0.59317982597924646</v>
      </c>
      <c r="L33" s="2392">
        <f>RAB.PERTANIAN!R187</f>
        <v>272208732.99951386</v>
      </c>
      <c r="M33" s="2393"/>
      <c r="N33" s="2394"/>
      <c r="O33" s="2394"/>
      <c r="P33" s="3184"/>
      <c r="Q33" s="3185"/>
      <c r="R33" s="2128"/>
    </row>
    <row r="34" spans="1:23" s="2395" customFormat="1" ht="20.100000000000001" customHeight="1" x14ac:dyDescent="0.2">
      <c r="A34" s="2383"/>
      <c r="B34" s="2384" t="str">
        <f>RAB.PERTANIAN!B188</f>
        <v>I.</v>
      </c>
      <c r="C34" s="2385"/>
      <c r="D34" s="2386" t="str">
        <f>RAB.PERTANIAN!D188</f>
        <v>PEKERJAAN PINTU DAN JENDELA</v>
      </c>
      <c r="E34" s="2387"/>
      <c r="F34" s="2387"/>
      <c r="G34" s="2388"/>
      <c r="H34" s="2389"/>
      <c r="I34" s="2390"/>
      <c r="J34" s="2391">
        <f>RAB.PERTANIAN!M205</f>
        <v>465466917.94</v>
      </c>
      <c r="K34" s="3544">
        <f>RAB.PERTANIAN!N205</f>
        <v>0.49371728908613305</v>
      </c>
      <c r="L34" s="2392">
        <f>RAB.PERTANIAN!R205</f>
        <v>229809064.88461435</v>
      </c>
      <c r="M34" s="2393"/>
      <c r="N34" s="2394"/>
      <c r="O34" s="2394"/>
      <c r="P34" s="3184"/>
      <c r="Q34" s="3185"/>
      <c r="R34" s="2128"/>
    </row>
    <row r="35" spans="1:23" s="2395" customFormat="1" ht="20.100000000000001" customHeight="1" x14ac:dyDescent="0.2">
      <c r="A35" s="2383"/>
      <c r="B35" s="2384" t="str">
        <f>RAB.PERTANIAN!B206</f>
        <v>J.</v>
      </c>
      <c r="C35" s="2385"/>
      <c r="D35" s="2386" t="str">
        <f>RAB.PERTANIAN!D206</f>
        <v>PEKERJAAN PENGECATAN</v>
      </c>
      <c r="E35" s="2387"/>
      <c r="F35" s="2387"/>
      <c r="G35" s="2388"/>
      <c r="H35" s="2389"/>
      <c r="I35" s="2390"/>
      <c r="J35" s="2391">
        <f>RAB.PERTANIAN!M216</f>
        <v>140644371.22</v>
      </c>
      <c r="K35" s="3544">
        <f>RAB.PERTANIAN!N216</f>
        <v>0.44403365420905883</v>
      </c>
      <c r="L35" s="2392">
        <f>RAB.PERTANIAN!R216</f>
        <v>62450834.096751988</v>
      </c>
      <c r="M35" s="2393"/>
      <c r="N35" s="2394"/>
      <c r="O35" s="2394"/>
      <c r="P35" s="3184"/>
      <c r="Q35" s="3185"/>
      <c r="R35" s="2128"/>
    </row>
    <row r="36" spans="1:23" s="2395" customFormat="1" ht="20.100000000000001" customHeight="1" x14ac:dyDescent="0.2">
      <c r="A36" s="2383"/>
      <c r="B36" s="2384" t="str">
        <f>RAB.PERTANIAN!B217</f>
        <v>K.</v>
      </c>
      <c r="C36" s="2385"/>
      <c r="D36" s="2386" t="str">
        <f>RAB.PERTANIAN!D217</f>
        <v>PEKERJAAN ORNAMEN FASADE</v>
      </c>
      <c r="E36" s="2387"/>
      <c r="F36" s="2387"/>
      <c r="G36" s="2388"/>
      <c r="H36" s="2389"/>
      <c r="I36" s="2390"/>
      <c r="J36" s="2391">
        <f>RAB.PERTANIAN!M219</f>
        <v>112832000</v>
      </c>
      <c r="K36" s="3544">
        <f>RAB.PERTANIAN!N219</f>
        <v>0.2</v>
      </c>
      <c r="L36" s="2392">
        <f>RAB.PERTANIAN!R219</f>
        <v>22566400</v>
      </c>
      <c r="M36" s="2393"/>
      <c r="N36" s="2394"/>
      <c r="O36" s="2394"/>
      <c r="P36" s="3184"/>
      <c r="Q36" s="3185"/>
      <c r="R36" s="2128"/>
    </row>
    <row r="37" spans="1:23" s="2395" customFormat="1" ht="20.100000000000001" customHeight="1" x14ac:dyDescent="0.2">
      <c r="A37" s="2383"/>
      <c r="B37" s="2384" t="str">
        <f>RAB.PERTANIAN!B220</f>
        <v>L.</v>
      </c>
      <c r="C37" s="2385"/>
      <c r="D37" s="2386" t="str">
        <f>RAB.PERTANIAN!D220</f>
        <v>PEKERJAAN PLUMBING</v>
      </c>
      <c r="E37" s="2387"/>
      <c r="F37" s="2387"/>
      <c r="G37" s="2388"/>
      <c r="H37" s="2389"/>
      <c r="I37" s="2390"/>
      <c r="J37" s="2391">
        <f>RAB.PERTANIAN!M265</f>
        <v>152781003.22999999</v>
      </c>
      <c r="K37" s="3544">
        <f>RAB.PERTANIAN!N265</f>
        <v>0.53325252711245907</v>
      </c>
      <c r="L37" s="2392">
        <f>RAB.PERTANIAN!R265</f>
        <v>81470856.067174271</v>
      </c>
      <c r="M37" s="2393"/>
      <c r="N37" s="2394"/>
      <c r="O37" s="2394"/>
      <c r="P37" s="3184"/>
      <c r="Q37" s="3185"/>
      <c r="R37" s="2128"/>
    </row>
    <row r="38" spans="1:23" s="2395" customFormat="1" ht="20.100000000000001" customHeight="1" x14ac:dyDescent="0.2">
      <c r="A38" s="2383"/>
      <c r="B38" s="2384" t="str">
        <f>RAB.PERTANIAN!B266</f>
        <v>M.</v>
      </c>
      <c r="C38" s="2385"/>
      <c r="D38" s="2386" t="str">
        <f>RAB.PERTANIAN!D266</f>
        <v>PEKERJAAN ELEKTRIKAL</v>
      </c>
      <c r="E38" s="2387"/>
      <c r="F38" s="2387"/>
      <c r="G38" s="2388"/>
      <c r="H38" s="2389"/>
      <c r="I38" s="2390"/>
      <c r="J38" s="2391">
        <f>RAB.PERTANIAN!M315</f>
        <v>412942575.81999993</v>
      </c>
      <c r="K38" s="3544">
        <f>RAB.PERTANIAN!N315</f>
        <v>0.4416991890373243</v>
      </c>
      <c r="L38" s="2392">
        <f>RAB.PERTANIAN!R315</f>
        <v>182396400.85867777</v>
      </c>
      <c r="M38" s="2393"/>
      <c r="N38" s="2394"/>
      <c r="O38" s="2394"/>
      <c r="P38" s="3184"/>
      <c r="Q38" s="3185"/>
      <c r="R38" s="2128"/>
    </row>
    <row r="39" spans="1:23" s="2395" customFormat="1" ht="20.100000000000001" customHeight="1" x14ac:dyDescent="0.2">
      <c r="A39" s="2383"/>
      <c r="B39" s="2384"/>
      <c r="C39" s="2385"/>
      <c r="D39" s="2386"/>
      <c r="E39" s="2387"/>
      <c r="F39" s="2387"/>
      <c r="G39" s="2388"/>
      <c r="H39" s="2389"/>
      <c r="I39" s="2390"/>
      <c r="J39" s="2391"/>
      <c r="K39" s="3544"/>
      <c r="L39" s="2392"/>
      <c r="M39" s="2393"/>
      <c r="N39" s="2394"/>
      <c r="O39" s="2394"/>
      <c r="P39" s="3184"/>
      <c r="Q39" s="3185"/>
      <c r="R39" s="2128"/>
    </row>
    <row r="40" spans="1:23" s="2395" customFormat="1" ht="20.100000000000001" customHeight="1" x14ac:dyDescent="0.2">
      <c r="A40" s="2383"/>
      <c r="B40" s="2374"/>
      <c r="C40" s="2375"/>
      <c r="D40" s="2376"/>
      <c r="E40" s="2376"/>
      <c r="F40" s="2377"/>
      <c r="G40" s="2396" t="s">
        <v>556</v>
      </c>
      <c r="H40" s="2397" t="str">
        <f>B25</f>
        <v>I</v>
      </c>
      <c r="I40" s="2378"/>
      <c r="J40" s="2379">
        <f>SUM(J26:J39)</f>
        <v>5084442779.4199991</v>
      </c>
      <c r="K40" s="3545"/>
      <c r="L40" s="2381"/>
      <c r="M40" s="2382"/>
      <c r="N40" s="2394"/>
      <c r="O40" s="2394"/>
      <c r="P40" s="3184"/>
      <c r="Q40" s="3185"/>
      <c r="R40" s="2128"/>
    </row>
    <row r="41" spans="1:23" s="2395" customFormat="1" ht="20.100000000000001" customHeight="1" x14ac:dyDescent="0.2">
      <c r="A41" s="2383"/>
      <c r="B41" s="2374" t="str">
        <f>RAB.PERTANIAN!B317</f>
        <v>II</v>
      </c>
      <c r="C41" s="2375"/>
      <c r="D41" s="2376" t="str">
        <f>RAB.PERTANIAN!D317</f>
        <v>PEKERJAAN HALAMAN</v>
      </c>
      <c r="E41" s="2376"/>
      <c r="F41" s="2377"/>
      <c r="G41" s="2136"/>
      <c r="H41" s="1976"/>
      <c r="I41" s="2378"/>
      <c r="J41" s="2379"/>
      <c r="K41" s="3545"/>
      <c r="L41" s="2381"/>
      <c r="M41" s="2382"/>
      <c r="N41" s="2394"/>
      <c r="O41" s="2394"/>
      <c r="P41" s="3184"/>
      <c r="Q41" s="3185"/>
      <c r="R41" s="2128"/>
    </row>
    <row r="42" spans="1:23" s="2395" customFormat="1" ht="20.100000000000001" customHeight="1" x14ac:dyDescent="0.2">
      <c r="A42" s="2383"/>
      <c r="B42" s="2384" t="str">
        <f>RAB.PERTANIAN!B318</f>
        <v>A.</v>
      </c>
      <c r="C42" s="2385"/>
      <c r="D42" s="2386" t="str">
        <f>RAB.PERTANIAN!D318</f>
        <v>PAVING</v>
      </c>
      <c r="E42" s="2387"/>
      <c r="F42" s="2387"/>
      <c r="G42" s="2388"/>
      <c r="H42" s="2389"/>
      <c r="I42" s="2390"/>
      <c r="J42" s="2391">
        <f>RAB.PERTANIAN!M321</f>
        <v>139723922.45999998</v>
      </c>
      <c r="K42" s="3544">
        <f>RAB.PERTANIAN!N321</f>
        <v>1</v>
      </c>
      <c r="L42" s="2392">
        <f>RAB.PERTANIAN!R321</f>
        <v>139723922.45999998</v>
      </c>
      <c r="M42" s="2393"/>
      <c r="N42" s="2394"/>
      <c r="O42" s="2394"/>
      <c r="P42" s="3184"/>
      <c r="Q42" s="3185"/>
      <c r="R42" s="2128"/>
    </row>
    <row r="43" spans="1:23" s="2395" customFormat="1" ht="20.100000000000001" customHeight="1" x14ac:dyDescent="0.2">
      <c r="A43" s="2383"/>
      <c r="B43" s="2374"/>
      <c r="C43" s="2375"/>
      <c r="D43" s="2376"/>
      <c r="E43" s="2376"/>
      <c r="F43" s="2377"/>
      <c r="G43" s="2396" t="s">
        <v>556</v>
      </c>
      <c r="H43" s="2397" t="str">
        <f>B41</f>
        <v>II</v>
      </c>
      <c r="I43" s="2378"/>
      <c r="J43" s="2379">
        <f>SUM(J42)</f>
        <v>139723922.45999998</v>
      </c>
      <c r="K43" s="3546"/>
      <c r="L43" s="2381"/>
      <c r="M43" s="2382"/>
      <c r="N43" s="2394"/>
      <c r="O43" s="2394"/>
      <c r="P43" s="3184"/>
      <c r="Q43" s="3185"/>
      <c r="R43" s="2128"/>
    </row>
    <row r="44" spans="1:23" s="2395" customFormat="1" ht="20.100000000000001" customHeight="1" x14ac:dyDescent="0.2">
      <c r="A44" s="2383"/>
      <c r="B44" s="2374"/>
      <c r="C44" s="2375"/>
      <c r="D44" s="2376"/>
      <c r="E44" s="2376"/>
      <c r="F44" s="2376"/>
      <c r="G44" s="2396"/>
      <c r="H44" s="2396" t="s">
        <v>556</v>
      </c>
      <c r="I44" s="2378"/>
      <c r="J44" s="2398">
        <f>J43+J40</f>
        <v>5224166701.8799992</v>
      </c>
      <c r="K44" s="3547">
        <f>L44/J44</f>
        <v>0.67400481563363823</v>
      </c>
      <c r="L44" s="2399">
        <f>SUM(L26:L43)</f>
        <v>3521113514.7400208</v>
      </c>
      <c r="M44" s="2400"/>
      <c r="N44" s="2394"/>
      <c r="O44" s="2394"/>
      <c r="P44" s="3184"/>
      <c r="Q44" s="3185"/>
    </row>
    <row r="45" spans="1:23" ht="20.100000000000001" customHeight="1" x14ac:dyDescent="0.2">
      <c r="A45" s="2327"/>
      <c r="B45" s="2401"/>
      <c r="C45" s="2402"/>
      <c r="D45" s="2377"/>
      <c r="E45" s="2377"/>
      <c r="F45" s="2377"/>
      <c r="G45" s="2396"/>
      <c r="H45" s="2396" t="s">
        <v>1646</v>
      </c>
      <c r="I45" s="2378"/>
      <c r="J45" s="2398">
        <f>J44*0.11</f>
        <v>574658337.20679986</v>
      </c>
      <c r="K45" s="2399"/>
      <c r="L45" s="2399"/>
      <c r="M45" s="2382"/>
      <c r="N45" s="2403"/>
      <c r="O45" s="2403"/>
      <c r="P45" s="2361"/>
      <c r="Q45" s="2404"/>
      <c r="T45" s="2127"/>
      <c r="U45" s="2127"/>
      <c r="V45" s="2127"/>
      <c r="W45" s="2127"/>
    </row>
    <row r="46" spans="1:23" ht="20.100000000000001" customHeight="1" x14ac:dyDescent="0.2">
      <c r="A46" s="2327"/>
      <c r="B46" s="2401"/>
      <c r="C46" s="2402"/>
      <c r="D46" s="2377"/>
      <c r="E46" s="2377"/>
      <c r="F46" s="2377"/>
      <c r="G46" s="2396"/>
      <c r="H46" s="2396" t="s">
        <v>360</v>
      </c>
      <c r="I46" s="2378"/>
      <c r="J46" s="2379">
        <f>J44+J45</f>
        <v>5798825039.0867987</v>
      </c>
      <c r="K46" s="2381"/>
      <c r="L46" s="2381"/>
      <c r="M46" s="2382"/>
      <c r="N46" s="2403"/>
      <c r="O46" s="2403"/>
      <c r="P46" s="2405"/>
      <c r="Q46" s="2406"/>
      <c r="T46" s="2127"/>
      <c r="U46" s="2127"/>
      <c r="V46" s="2127"/>
      <c r="W46" s="2127"/>
    </row>
    <row r="47" spans="1:23" ht="20.100000000000001" customHeight="1" x14ac:dyDescent="0.2">
      <c r="A47" s="2327"/>
      <c r="B47" s="2401"/>
      <c r="C47" s="2407"/>
      <c r="D47" s="2377"/>
      <c r="E47" s="2377"/>
      <c r="F47" s="2377"/>
      <c r="G47" s="2396"/>
      <c r="H47" s="2396" t="s">
        <v>359</v>
      </c>
      <c r="I47" s="2378"/>
      <c r="J47" s="2398">
        <f>ROUNDDOWN(J46,-3)</f>
        <v>5798825000</v>
      </c>
      <c r="K47" s="2399"/>
      <c r="L47" s="2399"/>
      <c r="M47" s="2408"/>
      <c r="N47" s="2403"/>
      <c r="O47" s="2403"/>
      <c r="P47" s="2409" t="s">
        <v>1505</v>
      </c>
      <c r="Q47" s="2410">
        <v>5800000000</v>
      </c>
      <c r="T47" s="2127"/>
      <c r="U47" s="2127"/>
      <c r="V47" s="2127"/>
      <c r="W47" s="2127"/>
    </row>
    <row r="48" spans="1:23" ht="20.100000000000001" customHeight="1" thickBot="1" x14ac:dyDescent="0.25">
      <c r="A48" s="2327"/>
      <c r="B48" s="2411" t="s">
        <v>1506</v>
      </c>
      <c r="C48" s="2412"/>
      <c r="D48" s="2412" t="str">
        <f>terbilang!F10</f>
        <v>Lima Milyar Tujuh Ratus Sembilan Puluh Delapan Juta Delapan Ratus Dua Puluh Lima Ribu  Rupiah</v>
      </c>
      <c r="E48" s="2412"/>
      <c r="F48" s="2413"/>
      <c r="G48" s="2414"/>
      <c r="H48" s="2412"/>
      <c r="I48" s="2415"/>
      <c r="J48" s="2416"/>
      <c r="K48" s="2417"/>
      <c r="L48" s="2417"/>
      <c r="M48" s="2418"/>
      <c r="N48" s="2403"/>
      <c r="O48" s="2419"/>
      <c r="P48" s="2420" t="s">
        <v>1507</v>
      </c>
      <c r="Q48" s="2421">
        <f>Q47-J47</f>
        <v>1175000</v>
      </c>
      <c r="T48" s="2127"/>
      <c r="U48" s="2127"/>
      <c r="V48" s="2127"/>
      <c r="W48" s="2127"/>
    </row>
    <row r="49" spans="1:23" x14ac:dyDescent="0.2">
      <c r="A49" s="2422"/>
      <c r="B49" s="2423"/>
      <c r="C49" s="2424"/>
      <c r="D49" s="2424"/>
      <c r="E49" s="2424"/>
      <c r="F49" s="2425"/>
      <c r="G49" s="2426"/>
      <c r="H49" s="2424"/>
      <c r="I49" s="2423"/>
      <c r="J49" s="2424"/>
      <c r="K49" s="2424"/>
      <c r="L49" s="2424"/>
      <c r="M49" s="2427"/>
      <c r="N49" s="2403"/>
      <c r="O49" s="2419"/>
      <c r="P49" s="2428"/>
      <c r="T49" s="2127"/>
      <c r="U49" s="2127"/>
      <c r="V49" s="2127"/>
      <c r="W49" s="2127"/>
    </row>
    <row r="50" spans="1:23" ht="15.75" x14ac:dyDescent="0.2">
      <c r="A50" s="2422"/>
      <c r="B50" s="2423"/>
      <c r="C50" s="2424"/>
      <c r="D50" s="2424"/>
      <c r="E50" s="2424"/>
      <c r="F50" s="2425"/>
      <c r="G50" s="2426"/>
      <c r="H50" s="2424"/>
      <c r="I50" s="2423"/>
      <c r="J50" s="2351" t="str">
        <f>'data primer'!$E$11</f>
        <v>Karanganyar,                               2022</v>
      </c>
      <c r="K50" s="2351"/>
      <c r="L50" s="2351"/>
      <c r="M50" s="2427"/>
      <c r="N50" s="2403"/>
      <c r="O50" s="2419"/>
      <c r="P50" s="2428"/>
      <c r="T50" s="2127"/>
      <c r="U50" s="2127"/>
      <c r="V50" s="2127"/>
      <c r="W50" s="2127"/>
    </row>
    <row r="51" spans="1:23" ht="15.75" x14ac:dyDescent="0.2">
      <c r="B51" s="2332"/>
      <c r="C51" s="2329"/>
      <c r="D51" s="2329"/>
      <c r="J51" s="2351" t="str">
        <f>'data primer'!$E$12</f>
        <v>PEJABAT PENANDATANGAN KONTRAK</v>
      </c>
      <c r="K51" s="2351"/>
      <c r="L51" s="2351"/>
      <c r="Q51" s="2430"/>
    </row>
    <row r="52" spans="1:23" ht="15.75" x14ac:dyDescent="0.2">
      <c r="B52" s="2332"/>
      <c r="C52" s="2329"/>
      <c r="J52" s="2346"/>
      <c r="K52" s="2346"/>
      <c r="L52" s="2346"/>
    </row>
    <row r="53" spans="1:23" ht="15.75" hidden="1" x14ac:dyDescent="0.2">
      <c r="J53" s="2332"/>
      <c r="K53" s="2332"/>
      <c r="L53" s="2332"/>
      <c r="P53" s="2127">
        <v>34</v>
      </c>
    </row>
    <row r="54" spans="1:23" ht="15.75" hidden="1" x14ac:dyDescent="0.2">
      <c r="J54" s="2332"/>
      <c r="K54" s="2332"/>
      <c r="L54" s="2332"/>
    </row>
    <row r="55" spans="1:23" ht="15.75" hidden="1" x14ac:dyDescent="0.2">
      <c r="J55" s="2332"/>
      <c r="K55" s="2332"/>
      <c r="L55" s="2332"/>
      <c r="P55" s="2127">
        <v>16</v>
      </c>
      <c r="R55" s="2406">
        <f>Q55*P55</f>
        <v>0</v>
      </c>
    </row>
    <row r="56" spans="1:23" ht="15.75" x14ac:dyDescent="0.2">
      <c r="A56" s="2127"/>
      <c r="D56" s="2431"/>
      <c r="J56" s="2332"/>
      <c r="K56" s="2332"/>
      <c r="L56" s="2332"/>
      <c r="T56" s="2127"/>
      <c r="U56" s="2127"/>
      <c r="V56" s="2127"/>
      <c r="W56" s="2127"/>
    </row>
    <row r="57" spans="1:23" ht="15.75" x14ac:dyDescent="0.2">
      <c r="A57" s="2127"/>
      <c r="D57" s="2431"/>
      <c r="J57" s="2332"/>
      <c r="K57" s="2332"/>
      <c r="L57" s="2332"/>
      <c r="T57" s="2127"/>
      <c r="U57" s="2127"/>
      <c r="V57" s="2127"/>
      <c r="W57" s="2127"/>
    </row>
    <row r="58" spans="1:23" ht="15.75" x14ac:dyDescent="0.2">
      <c r="A58" s="2127"/>
      <c r="D58" s="2431"/>
      <c r="J58" s="2332"/>
      <c r="K58" s="2332"/>
      <c r="L58" s="2332"/>
      <c r="T58" s="2127"/>
      <c r="U58" s="2127"/>
      <c r="V58" s="2127"/>
      <c r="W58" s="2127"/>
    </row>
    <row r="59" spans="1:23" ht="15.75" x14ac:dyDescent="0.2">
      <c r="A59" s="2127"/>
      <c r="D59" s="2431"/>
      <c r="J59" s="2332"/>
      <c r="K59" s="2332"/>
      <c r="L59" s="2332"/>
      <c r="T59" s="2127"/>
      <c r="U59" s="2127"/>
      <c r="V59" s="2127"/>
      <c r="W59" s="2127"/>
    </row>
    <row r="60" spans="1:23" ht="15.75" x14ac:dyDescent="0.2">
      <c r="A60" s="2127"/>
      <c r="D60" s="2404"/>
      <c r="J60" s="2332"/>
      <c r="K60" s="2332"/>
      <c r="L60" s="2332"/>
      <c r="Q60" s="2432"/>
      <c r="T60" s="2127"/>
      <c r="U60" s="2127"/>
      <c r="V60" s="2127"/>
      <c r="W60" s="2127"/>
    </row>
    <row r="61" spans="1:23" ht="15.75" x14ac:dyDescent="0.2">
      <c r="A61" s="2127"/>
      <c r="J61" s="2433" t="str">
        <f>'data primer'!$E$15</f>
        <v>FERIANA DWI KURNIAWATI, SP, M.Si</v>
      </c>
      <c r="K61" s="2433"/>
      <c r="L61" s="2433"/>
      <c r="T61" s="2127"/>
      <c r="U61" s="2127"/>
      <c r="V61" s="2127"/>
      <c r="W61" s="2127"/>
    </row>
    <row r="62" spans="1:23" ht="15.75" x14ac:dyDescent="0.2">
      <c r="A62" s="2127"/>
      <c r="J62" s="2332" t="str">
        <f>'data primer'!$E$16</f>
        <v>NIP. 19810226 200501 2 015</v>
      </c>
      <c r="K62" s="2332"/>
      <c r="L62" s="2332"/>
      <c r="T62" s="2127"/>
      <c r="U62" s="2127"/>
      <c r="V62" s="2127"/>
      <c r="W62" s="2127"/>
    </row>
    <row r="67" spans="1:23" x14ac:dyDescent="0.2">
      <c r="H67" s="2126"/>
    </row>
    <row r="68" spans="1:23" x14ac:dyDescent="0.2">
      <c r="D68" s="1910"/>
      <c r="E68" s="1910"/>
      <c r="F68" s="2434"/>
      <c r="G68" s="2435"/>
      <c r="H68" s="1909"/>
      <c r="I68" s="2435"/>
    </row>
    <row r="69" spans="1:23" x14ac:dyDescent="0.2">
      <c r="D69" s="1910"/>
      <c r="E69" s="1910"/>
      <c r="F69" s="1910"/>
      <c r="G69" s="2435"/>
      <c r="H69" s="1910"/>
    </row>
    <row r="70" spans="1:23" x14ac:dyDescent="0.2">
      <c r="D70" s="2436"/>
      <c r="E70" s="1910"/>
      <c r="F70" s="1910"/>
      <c r="I70" s="2174"/>
    </row>
    <row r="71" spans="1:23" x14ac:dyDescent="0.2">
      <c r="D71" s="1910"/>
      <c r="E71" s="1910"/>
      <c r="F71" s="1910"/>
      <c r="G71" s="2435"/>
      <c r="H71" s="1910"/>
    </row>
    <row r="72" spans="1:23" x14ac:dyDescent="0.2">
      <c r="D72" s="1910"/>
      <c r="E72" s="1910"/>
      <c r="F72" s="1910"/>
      <c r="G72" s="2435"/>
      <c r="H72" s="1910"/>
    </row>
    <row r="73" spans="1:23" x14ac:dyDescent="0.2">
      <c r="D73" s="1910"/>
      <c r="E73" s="1910"/>
      <c r="F73" s="2434"/>
      <c r="G73" s="2435"/>
      <c r="H73" s="1909"/>
      <c r="I73" s="2435"/>
    </row>
    <row r="74" spans="1:23" x14ac:dyDescent="0.2">
      <c r="D74" s="1910"/>
      <c r="E74" s="1910"/>
      <c r="F74" s="1910"/>
      <c r="G74" s="2435"/>
      <c r="H74" s="1910"/>
    </row>
    <row r="75" spans="1:23" x14ac:dyDescent="0.2">
      <c r="A75" s="2127"/>
      <c r="B75" s="2127"/>
      <c r="D75" s="1910"/>
      <c r="E75" s="1910"/>
      <c r="F75" s="1910"/>
      <c r="G75" s="2435"/>
      <c r="H75" s="1910"/>
      <c r="I75" s="2127"/>
      <c r="T75" s="2127"/>
      <c r="U75" s="2127"/>
      <c r="V75" s="2127"/>
      <c r="W75" s="2127"/>
    </row>
    <row r="348" spans="1:23" ht="15.75" x14ac:dyDescent="0.2">
      <c r="A348" s="2127"/>
      <c r="B348" s="2127"/>
      <c r="G348" s="2332"/>
      <c r="I348" s="2127"/>
      <c r="T348" s="2127"/>
      <c r="U348" s="2127"/>
      <c r="V348" s="2127"/>
      <c r="W348" s="2127"/>
    </row>
  </sheetData>
  <mergeCells count="6">
    <mergeCell ref="B3:M3"/>
    <mergeCell ref="B10:M10"/>
    <mergeCell ref="B12:M12"/>
    <mergeCell ref="D23:F23"/>
    <mergeCell ref="D20:I20"/>
    <mergeCell ref="B11:M1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189"/>
  <sheetViews>
    <sheetView topLeftCell="A112" zoomScale="70" zoomScaleNormal="70" workbookViewId="0">
      <selection activeCell="G6" sqref="G6"/>
    </sheetView>
  </sheetViews>
  <sheetFormatPr defaultColWidth="12.5703125" defaultRowHeight="15.75" x14ac:dyDescent="0.2"/>
  <cols>
    <col min="1" max="1" width="8.28515625" style="1833" customWidth="1"/>
    <col min="2" max="2" width="5.7109375" style="1846" customWidth="1"/>
    <col min="3" max="3" width="2.7109375" style="1836" customWidth="1"/>
    <col min="4" max="4" width="29" style="1836" customWidth="1"/>
    <col min="5" max="5" width="6.42578125" style="1836" customWidth="1"/>
    <col min="6" max="6" width="12" style="1836" customWidth="1"/>
    <col min="7" max="7" width="12.7109375" style="1846" customWidth="1"/>
    <col min="8" max="8" width="7.7109375" style="1836" customWidth="1"/>
    <col min="9" max="9" width="14.42578125" style="1836" customWidth="1"/>
    <col min="10" max="10" width="19.7109375" style="1836" hidden="1" customWidth="1"/>
    <col min="11" max="11" width="10.7109375" style="1836" customWidth="1"/>
    <col min="12" max="12" width="19.7109375" style="1836" hidden="1" customWidth="1"/>
    <col min="13" max="13" width="15.7109375" style="1846" hidden="1" customWidth="1"/>
    <col min="14" max="14" width="18.7109375" style="1836" customWidth="1"/>
    <col min="15" max="15" width="4.7109375" style="1836" customWidth="1"/>
    <col min="16" max="16" width="19.7109375" style="1836" customWidth="1"/>
    <col min="17" max="17" width="10.7109375" style="1836" hidden="1" customWidth="1"/>
    <col min="18" max="18" width="14.85546875" style="1836" hidden="1" customWidth="1"/>
    <col min="19" max="19" width="20.7109375" style="1836" customWidth="1"/>
    <col min="20" max="20" width="25.42578125" style="1836" customWidth="1"/>
    <col min="21" max="21" width="13.140625" style="1836" customWidth="1"/>
    <col min="22" max="22" width="21" style="1848" hidden="1" customWidth="1"/>
    <col min="23" max="23" width="22.85546875" style="1848" hidden="1" customWidth="1"/>
    <col min="24" max="24" width="17" style="1848" customWidth="1"/>
    <col min="25" max="25" width="16.5703125" style="1848" customWidth="1"/>
    <col min="26" max="27" width="22.85546875" style="1848" customWidth="1"/>
    <col min="28" max="28" width="34.5703125" style="1836" customWidth="1"/>
    <col min="29" max="29" width="19.140625" style="1836" hidden="1" customWidth="1"/>
    <col min="30" max="30" width="17.7109375" style="1836" hidden="1" customWidth="1"/>
    <col min="31" max="31" width="16.7109375" style="1836" hidden="1" customWidth="1"/>
    <col min="32" max="32" width="18" style="1909" hidden="1" customWidth="1"/>
    <col min="33" max="33" width="1.7109375" style="1909" hidden="1" customWidth="1"/>
    <col min="34" max="34" width="19.42578125" style="1909" hidden="1" customWidth="1"/>
    <col min="35" max="35" width="21.28515625" style="1910" customWidth="1"/>
    <col min="36" max="36" width="17.28515625" style="1836" customWidth="1"/>
    <col min="37" max="16384" width="12.5703125" style="1836"/>
  </cols>
  <sheetData>
    <row r="1" spans="1:35" ht="25.5" x14ac:dyDescent="0.2">
      <c r="B1" s="3511" t="s">
        <v>1752</v>
      </c>
      <c r="C1" s="3511"/>
      <c r="D1" s="3511"/>
      <c r="E1" s="3511"/>
      <c r="F1" s="3511"/>
      <c r="G1" s="3511"/>
      <c r="H1" s="3511"/>
      <c r="I1" s="3511"/>
      <c r="J1" s="3511"/>
      <c r="K1" s="3511"/>
      <c r="L1" s="3511"/>
      <c r="M1" s="3511"/>
      <c r="N1" s="3511"/>
      <c r="O1" s="3511"/>
      <c r="P1" s="3511"/>
      <c r="Q1" s="1834"/>
      <c r="R1" s="1834"/>
      <c r="S1" s="1834"/>
      <c r="T1" s="1834"/>
      <c r="U1" s="1834"/>
      <c r="V1" s="1835"/>
      <c r="W1" s="1835"/>
      <c r="X1" s="1835"/>
      <c r="Y1" s="1835"/>
      <c r="Z1" s="1835"/>
      <c r="AA1" s="1835"/>
      <c r="AF1" s="1836"/>
      <c r="AG1" s="1836"/>
      <c r="AH1" s="1836"/>
      <c r="AI1" s="1837"/>
    </row>
    <row r="2" spans="1:35" ht="20.25" x14ac:dyDescent="0.2">
      <c r="B2" s="3512"/>
      <c r="C2" s="3512"/>
      <c r="D2" s="3512"/>
      <c r="E2" s="3512"/>
      <c r="F2" s="3512"/>
      <c r="G2" s="3512"/>
      <c r="H2" s="3512"/>
      <c r="I2" s="3512"/>
      <c r="J2" s="3512"/>
      <c r="K2" s="3512"/>
      <c r="L2" s="3512"/>
      <c r="M2" s="3512"/>
      <c r="N2" s="3512"/>
      <c r="O2" s="3512"/>
      <c r="P2" s="3512"/>
      <c r="Q2" s="1838"/>
      <c r="R2" s="1838"/>
      <c r="S2" s="1838"/>
      <c r="T2" s="1838"/>
      <c r="U2" s="1838"/>
      <c r="V2" s="1835"/>
      <c r="W2" s="1835"/>
      <c r="X2" s="1835"/>
      <c r="Y2" s="1835"/>
      <c r="Z2" s="1835"/>
      <c r="AA2" s="1835"/>
      <c r="AF2" s="1836"/>
      <c r="AG2" s="1836"/>
      <c r="AH2" s="1836"/>
      <c r="AI2" s="1837"/>
    </row>
    <row r="3" spans="1:35" ht="18.75" x14ac:dyDescent="0.2">
      <c r="A3" s="1839"/>
      <c r="B3" s="1840"/>
      <c r="D3" s="1841" t="s">
        <v>342</v>
      </c>
      <c r="E3" s="1842" t="s">
        <v>341</v>
      </c>
      <c r="F3" s="1843" t="s">
        <v>1895</v>
      </c>
      <c r="G3" s="1844"/>
      <c r="H3" s="1844"/>
      <c r="I3" s="1844"/>
      <c r="J3" s="1844"/>
      <c r="K3" s="1844"/>
      <c r="L3" s="1844"/>
      <c r="M3" s="1844"/>
      <c r="N3" s="1844"/>
      <c r="O3" s="1840"/>
      <c r="P3" s="1840"/>
      <c r="Q3" s="1840"/>
      <c r="R3" s="1840"/>
      <c r="S3" s="1840"/>
      <c r="T3" s="1840"/>
      <c r="U3" s="1840"/>
      <c r="V3" s="1845"/>
      <c r="W3" s="1845"/>
      <c r="X3" s="1845"/>
      <c r="Y3" s="1845"/>
      <c r="Z3" s="1845"/>
      <c r="AA3" s="1845"/>
      <c r="AF3" s="1836"/>
      <c r="AG3" s="1836"/>
      <c r="AH3" s="1836"/>
      <c r="AI3" s="1837"/>
    </row>
    <row r="4" spans="1:35" ht="18.75" x14ac:dyDescent="0.2">
      <c r="D4" s="1841" t="s">
        <v>1131</v>
      </c>
      <c r="E4" s="1842" t="s">
        <v>341</v>
      </c>
      <c r="F4" s="1841" t="str">
        <f>F3</f>
        <v>PEMBANGUNAN GEDUNG KANTOR DINAS PERTANIAN, PANGAN DAN PERIKANAN KARANGANYAR</v>
      </c>
      <c r="P4" s="1847"/>
      <c r="AF4" s="1836"/>
      <c r="AG4" s="1836"/>
      <c r="AH4" s="1836"/>
      <c r="AI4" s="1837"/>
    </row>
    <row r="5" spans="1:35" ht="18.75" x14ac:dyDescent="0.2">
      <c r="D5" s="1841" t="s">
        <v>343</v>
      </c>
      <c r="E5" s="1842" t="s">
        <v>341</v>
      </c>
      <c r="F5" s="1841" t="s">
        <v>345</v>
      </c>
      <c r="M5" s="1849"/>
      <c r="AF5" s="1836"/>
      <c r="AG5" s="1836"/>
      <c r="AH5" s="1836"/>
      <c r="AI5" s="1837"/>
    </row>
    <row r="6" spans="1:35" ht="18.75" x14ac:dyDescent="0.2">
      <c r="D6" s="1841" t="s">
        <v>344</v>
      </c>
      <c r="E6" s="1842" t="s">
        <v>341</v>
      </c>
      <c r="F6" s="1841" t="s">
        <v>345</v>
      </c>
      <c r="AF6" s="1836"/>
      <c r="AG6" s="1836"/>
      <c r="AH6" s="1836"/>
      <c r="AI6" s="1837"/>
    </row>
    <row r="7" spans="1:35" ht="18.75" x14ac:dyDescent="0.2">
      <c r="D7" s="1850" t="s">
        <v>346</v>
      </c>
      <c r="E7" s="1842" t="s">
        <v>341</v>
      </c>
      <c r="F7" s="1851" t="s">
        <v>1753</v>
      </c>
      <c r="N7" s="1847"/>
      <c r="AF7" s="1836"/>
      <c r="AG7" s="1836"/>
      <c r="AH7" s="1836"/>
      <c r="AI7" s="1837"/>
    </row>
    <row r="8" spans="1:35" ht="16.5" thickBot="1" x14ac:dyDescent="0.25">
      <c r="AF8" s="1836"/>
      <c r="AG8" s="1836"/>
      <c r="AH8" s="1836"/>
      <c r="AI8" s="1837"/>
    </row>
    <row r="9" spans="1:35" ht="19.5" thickTop="1" x14ac:dyDescent="0.2">
      <c r="B9" s="1852"/>
      <c r="C9" s="1853"/>
      <c r="D9" s="1854"/>
      <c r="E9" s="1854"/>
      <c r="F9" s="1855"/>
      <c r="G9" s="1856"/>
      <c r="H9" s="1854"/>
      <c r="I9" s="1857"/>
      <c r="J9" s="1857"/>
      <c r="K9" s="1855"/>
      <c r="L9" s="1855"/>
      <c r="M9" s="1858"/>
      <c r="N9" s="1855"/>
      <c r="O9" s="1854"/>
      <c r="P9" s="1855"/>
      <c r="Q9" s="1859"/>
      <c r="R9" s="1859"/>
      <c r="S9" s="3528" t="s">
        <v>2028</v>
      </c>
      <c r="T9" s="3529"/>
      <c r="U9" s="1860"/>
      <c r="AF9" s="1836"/>
      <c r="AG9" s="1836"/>
      <c r="AH9" s="1836"/>
      <c r="AI9" s="1837"/>
    </row>
    <row r="10" spans="1:35" ht="18.75" x14ac:dyDescent="0.2">
      <c r="B10" s="1861" t="s">
        <v>423</v>
      </c>
      <c r="C10" s="1862" t="s">
        <v>1754</v>
      </c>
      <c r="D10" s="1862"/>
      <c r="E10" s="1862"/>
      <c r="F10" s="1863"/>
      <c r="G10" s="1842" t="s">
        <v>1755</v>
      </c>
      <c r="H10" s="1864" t="s">
        <v>1756</v>
      </c>
      <c r="I10" s="1865" t="s">
        <v>2023</v>
      </c>
      <c r="J10" s="1865" t="s">
        <v>2024</v>
      </c>
      <c r="K10" s="1865" t="s">
        <v>2010</v>
      </c>
      <c r="L10" s="1865" t="s">
        <v>2026</v>
      </c>
      <c r="M10" s="1866" t="s">
        <v>1757</v>
      </c>
      <c r="N10" s="1867" t="s">
        <v>347</v>
      </c>
      <c r="O10" s="1850"/>
      <c r="P10" s="1867" t="s">
        <v>284</v>
      </c>
      <c r="Q10" s="1865" t="s">
        <v>2010</v>
      </c>
      <c r="R10" s="1865" t="s">
        <v>2019</v>
      </c>
      <c r="S10" s="1865"/>
      <c r="T10" s="1867"/>
      <c r="U10" s="1868"/>
      <c r="AF10" s="1836"/>
      <c r="AG10" s="1836"/>
      <c r="AH10" s="1836"/>
      <c r="AI10" s="1837"/>
    </row>
    <row r="11" spans="1:35" ht="18.75" x14ac:dyDescent="0.2">
      <c r="B11" s="1861"/>
      <c r="C11" s="1862"/>
      <c r="D11" s="1862"/>
      <c r="E11" s="1862"/>
      <c r="F11" s="1863"/>
      <c r="G11" s="1842"/>
      <c r="H11" s="1864"/>
      <c r="I11" s="1869"/>
      <c r="J11" s="1869"/>
      <c r="K11" s="1865" t="s">
        <v>2025</v>
      </c>
      <c r="L11" s="1865" t="s">
        <v>2027</v>
      </c>
      <c r="M11" s="1866"/>
      <c r="N11" s="1867" t="s">
        <v>1758</v>
      </c>
      <c r="O11" s="1862"/>
      <c r="P11" s="1863" t="s">
        <v>347</v>
      </c>
      <c r="Q11" s="1865"/>
      <c r="R11" s="1865" t="str">
        <f>Q10</f>
        <v>TKDN</v>
      </c>
      <c r="S11" s="1865" t="s">
        <v>2016</v>
      </c>
      <c r="T11" s="1867" t="s">
        <v>2017</v>
      </c>
      <c r="U11" s="1868"/>
      <c r="AF11" s="1836"/>
      <c r="AG11" s="1836"/>
      <c r="AH11" s="1836"/>
      <c r="AI11" s="1837"/>
    </row>
    <row r="12" spans="1:35" ht="18.75" x14ac:dyDescent="0.2">
      <c r="B12" s="1870"/>
      <c r="C12" s="1871"/>
      <c r="D12" s="1871"/>
      <c r="E12" s="1871"/>
      <c r="F12" s="1872"/>
      <c r="G12" s="1873" t="s">
        <v>278</v>
      </c>
      <c r="H12" s="1874"/>
      <c r="I12" s="1875"/>
      <c r="J12" s="1875"/>
      <c r="K12" s="1876"/>
      <c r="L12" s="1866" t="s">
        <v>2010</v>
      </c>
      <c r="M12" s="1877"/>
      <c r="N12" s="1878" t="s">
        <v>348</v>
      </c>
      <c r="O12" s="1879"/>
      <c r="P12" s="1880" t="s">
        <v>348</v>
      </c>
      <c r="Q12" s="1881"/>
      <c r="R12" s="1881"/>
      <c r="S12" s="1882"/>
      <c r="T12" s="1878"/>
      <c r="U12" s="1883"/>
      <c r="AF12" s="1836"/>
      <c r="AG12" s="1836"/>
      <c r="AH12" s="1836"/>
      <c r="AI12" s="1837"/>
    </row>
    <row r="13" spans="1:35" ht="19.5" thickBot="1" x14ac:dyDescent="0.25">
      <c r="B13" s="1884" t="s">
        <v>349</v>
      </c>
      <c r="C13" s="1885"/>
      <c r="D13" s="1886"/>
      <c r="E13" s="1887" t="s">
        <v>228</v>
      </c>
      <c r="F13" s="1888"/>
      <c r="G13" s="1889" t="s">
        <v>350</v>
      </c>
      <c r="H13" s="1890"/>
      <c r="I13" s="1891"/>
      <c r="J13" s="1891"/>
      <c r="K13" s="1892"/>
      <c r="L13" s="1892"/>
      <c r="M13" s="1893" t="s">
        <v>351</v>
      </c>
      <c r="N13" s="1894" t="s">
        <v>352</v>
      </c>
      <c r="O13" s="1895" t="s">
        <v>353</v>
      </c>
      <c r="P13" s="1895"/>
      <c r="Q13" s="1896"/>
      <c r="R13" s="1896"/>
      <c r="S13" s="1896"/>
      <c r="T13" s="1897"/>
      <c r="U13" s="1898"/>
      <c r="AF13" s="1836"/>
      <c r="AG13" s="1836"/>
      <c r="AH13" s="1836"/>
      <c r="AI13" s="1837"/>
    </row>
    <row r="14" spans="1:35" ht="16.5" thickTop="1" x14ac:dyDescent="0.2">
      <c r="B14" s="1899"/>
      <c r="C14" s="1900"/>
      <c r="D14" s="1901"/>
      <c r="E14" s="1901"/>
      <c r="F14" s="1902"/>
      <c r="G14" s="1903"/>
      <c r="H14" s="1901"/>
      <c r="I14" s="1904"/>
      <c r="J14" s="1904"/>
      <c r="K14" s="1902"/>
      <c r="L14" s="1902"/>
      <c r="M14" s="1905"/>
      <c r="N14" s="1906"/>
      <c r="O14" s="1900"/>
      <c r="P14" s="1902"/>
      <c r="Q14" s="1906"/>
      <c r="R14" s="1906"/>
      <c r="S14" s="1906"/>
      <c r="T14" s="1907"/>
      <c r="U14" s="1908"/>
    </row>
    <row r="15" spans="1:35" s="1924" customFormat="1" ht="20.25" x14ac:dyDescent="0.2">
      <c r="A15" s="1911"/>
      <c r="B15" s="1912" t="s">
        <v>542</v>
      </c>
      <c r="C15" s="1913"/>
      <c r="D15" s="1914" t="s">
        <v>1759</v>
      </c>
      <c r="E15" s="1913"/>
      <c r="F15" s="1915"/>
      <c r="G15" s="1916"/>
      <c r="H15" s="1913"/>
      <c r="I15" s="1917"/>
      <c r="J15" s="1917"/>
      <c r="K15" s="1918"/>
      <c r="L15" s="1918"/>
      <c r="M15" s="1919"/>
      <c r="N15" s="1916"/>
      <c r="O15" s="1920"/>
      <c r="P15" s="1915"/>
      <c r="Q15" s="1921"/>
      <c r="R15" s="1921"/>
      <c r="S15" s="1921"/>
      <c r="T15" s="1922"/>
      <c r="U15" s="1923"/>
      <c r="V15" s="1848"/>
      <c r="W15" s="1848"/>
      <c r="X15" s="1848"/>
      <c r="Y15" s="1848"/>
      <c r="Z15" s="1848"/>
      <c r="AA15" s="1848"/>
      <c r="AF15" s="1925"/>
      <c r="AG15" s="1925"/>
      <c r="AH15" s="1925"/>
      <c r="AI15" s="1926"/>
    </row>
    <row r="16" spans="1:35" ht="18.75" x14ac:dyDescent="0.2">
      <c r="B16" s="1927" t="s">
        <v>1760</v>
      </c>
      <c r="C16" s="1928"/>
      <c r="D16" s="1929" t="s">
        <v>355</v>
      </c>
      <c r="E16" s="1930"/>
      <c r="F16" s="1931"/>
      <c r="G16" s="1932"/>
      <c r="H16" s="1933"/>
      <c r="I16" s="1934"/>
      <c r="J16" s="1934"/>
      <c r="K16" s="1935"/>
      <c r="L16" s="1936"/>
      <c r="M16" s="1936"/>
      <c r="N16" s="1937"/>
      <c r="O16" s="1938"/>
      <c r="P16" s="1939"/>
      <c r="Q16" s="1934"/>
      <c r="R16" s="1934"/>
      <c r="S16" s="1934"/>
      <c r="T16" s="1940"/>
      <c r="U16" s="1941"/>
    </row>
    <row r="17" spans="1:36" s="1957" customFormat="1" ht="21.95" customHeight="1" x14ac:dyDescent="0.2">
      <c r="A17" s="1942">
        <f>satpek!B20</f>
        <v>1</v>
      </c>
      <c r="B17" s="1943">
        <v>1</v>
      </c>
      <c r="C17" s="1937"/>
      <c r="D17" s="1944" t="str">
        <f>VLOOKUP($A17,satpek!$B$20:$N$144,2,0)</f>
        <v>Administrasi dan dokumentasi</v>
      </c>
      <c r="E17" s="1930"/>
      <c r="F17" s="1931"/>
      <c r="G17" s="1945">
        <v>1</v>
      </c>
      <c r="H17" s="1946" t="str">
        <f>VLOOKUP($A17,satpek!$B$20:$N$144,7,0)</f>
        <v>ls</v>
      </c>
      <c r="I17" s="1947"/>
      <c r="J17" s="1947"/>
      <c r="K17" s="1948"/>
      <c r="L17" s="1949"/>
      <c r="M17" s="1950" t="str">
        <f>VLOOKUP($A17,satpek!$B$20:$N$144,5,0)</f>
        <v>An. Dihitung</v>
      </c>
      <c r="N17" s="1951">
        <f>VLOOKUP($A17,satpek!$B$20:$L$138,6,0)</f>
        <v>287076.5</v>
      </c>
      <c r="O17" s="1938"/>
      <c r="P17" s="1952">
        <f t="shared" ref="P17:P68" si="0">ROUND((G17*N17),2)</f>
        <v>287076.5</v>
      </c>
      <c r="Q17" s="1953">
        <f>VLOOKUP($A17,satpek!$B$20:$L$138,8,0)</f>
        <v>0.58185101358000391</v>
      </c>
      <c r="R17" s="1954">
        <f>VLOOKUP($A17,satpek!$B$20:$L$138,9,0)</f>
        <v>147819.25</v>
      </c>
      <c r="S17" s="1954"/>
      <c r="T17" s="1952"/>
      <c r="U17" s="1955"/>
      <c r="V17" s="1848">
        <f>P26</f>
        <v>254050</v>
      </c>
      <c r="W17" s="1848"/>
      <c r="X17" s="1848">
        <f>P26</f>
        <v>254050</v>
      </c>
      <c r="Y17" s="1848">
        <f>S26</f>
        <v>147819.25</v>
      </c>
      <c r="Z17" s="1956"/>
      <c r="AA17" s="1956">
        <f>Z17-G17</f>
        <v>-1</v>
      </c>
      <c r="AB17" s="1957" t="s">
        <v>366</v>
      </c>
      <c r="AF17" s="1958"/>
      <c r="AG17" s="1958"/>
      <c r="AH17" s="1958"/>
      <c r="AI17" s="1959">
        <v>283912.5</v>
      </c>
      <c r="AJ17" s="1960">
        <f>AI17-N17</f>
        <v>-3164</v>
      </c>
    </row>
    <row r="18" spans="1:36" s="1957" customFormat="1" ht="21.95" customHeight="1" x14ac:dyDescent="0.2">
      <c r="A18" s="1942"/>
      <c r="B18" s="1961"/>
      <c r="C18" s="1962" t="str">
        <f>SNI!D33</f>
        <v>Bahan</v>
      </c>
      <c r="D18" s="1963"/>
      <c r="E18" s="1964"/>
      <c r="F18" s="1965"/>
      <c r="G18" s="1966"/>
      <c r="H18" s="1946"/>
      <c r="I18" s="1947"/>
      <c r="J18" s="1947"/>
      <c r="K18" s="1948"/>
      <c r="L18" s="1949"/>
      <c r="M18" s="1950"/>
      <c r="N18" s="1967"/>
      <c r="O18" s="1968"/>
      <c r="P18" s="1969"/>
      <c r="Q18" s="1953"/>
      <c r="R18" s="1954"/>
      <c r="S18" s="1954"/>
      <c r="T18" s="1969"/>
      <c r="U18" s="1955"/>
      <c r="V18" s="1848"/>
      <c r="W18" s="1848"/>
      <c r="X18" s="1848"/>
      <c r="Y18" s="1848"/>
      <c r="Z18" s="1956"/>
      <c r="AA18" s="1956"/>
      <c r="AF18" s="1958"/>
      <c r="AG18" s="1958"/>
      <c r="AH18" s="1958"/>
      <c r="AI18" s="1959"/>
      <c r="AJ18" s="1960"/>
    </row>
    <row r="19" spans="1:36" s="1957" customFormat="1" ht="21.95" customHeight="1" x14ac:dyDescent="0.2">
      <c r="A19" s="1942"/>
      <c r="B19" s="1961"/>
      <c r="C19" s="1962"/>
      <c r="D19" s="1963" t="str">
        <f>SNI!E33</f>
        <v>Kertas folio 70 gr</v>
      </c>
      <c r="E19" s="1964"/>
      <c r="F19" s="1965"/>
      <c r="G19" s="1966">
        <f>SNI!H33</f>
        <v>1</v>
      </c>
      <c r="H19" s="1946" t="str">
        <f>SNI!G33</f>
        <v>rim</v>
      </c>
      <c r="I19" s="1947"/>
      <c r="J19" s="1947"/>
      <c r="K19" s="1948">
        <f>SNI!L33</f>
        <v>0.7782</v>
      </c>
      <c r="L19" s="1949"/>
      <c r="M19" s="1950"/>
      <c r="N19" s="1967">
        <f>SNI!I33</f>
        <v>40000</v>
      </c>
      <c r="O19" s="1968"/>
      <c r="P19" s="1969">
        <f>N19*G19</f>
        <v>40000</v>
      </c>
      <c r="Q19" s="1953"/>
      <c r="R19" s="1954"/>
      <c r="S19" s="1954">
        <f>P19*K19</f>
        <v>31128</v>
      </c>
      <c r="T19" s="1969">
        <f>P19-S19</f>
        <v>8872</v>
      </c>
      <c r="U19" s="1955"/>
      <c r="V19" s="1848"/>
      <c r="W19" s="1848"/>
      <c r="X19" s="1848"/>
      <c r="Y19" s="1848"/>
      <c r="Z19" s="1956"/>
      <c r="AA19" s="1956"/>
      <c r="AF19" s="1958"/>
      <c r="AG19" s="1958"/>
      <c r="AH19" s="1958"/>
      <c r="AI19" s="1959"/>
      <c r="AJ19" s="1960"/>
    </row>
    <row r="20" spans="1:36" s="1957" customFormat="1" ht="21.95" customHeight="1" x14ac:dyDescent="0.2">
      <c r="A20" s="1942"/>
      <c r="B20" s="1961"/>
      <c r="C20" s="1962"/>
      <c r="D20" s="1963" t="str">
        <f>SNI!E34</f>
        <v>Ball point</v>
      </c>
      <c r="E20" s="1964"/>
      <c r="F20" s="1965"/>
      <c r="G20" s="1966">
        <f>SNI!H34</f>
        <v>4</v>
      </c>
      <c r="H20" s="1946" t="str">
        <f>SNI!G34</f>
        <v>bh</v>
      </c>
      <c r="I20" s="1947"/>
      <c r="J20" s="1947"/>
      <c r="K20" s="1948">
        <f>SNI!L34</f>
        <v>0</v>
      </c>
      <c r="L20" s="1949"/>
      <c r="M20" s="1950"/>
      <c r="N20" s="1967">
        <f>SNI!I34</f>
        <v>3000</v>
      </c>
      <c r="O20" s="1968"/>
      <c r="P20" s="1969">
        <f t="shared" ref="P20:P23" si="1">N20*G20</f>
        <v>12000</v>
      </c>
      <c r="Q20" s="1953"/>
      <c r="R20" s="1954"/>
      <c r="S20" s="1954">
        <f t="shared" ref="S20:S23" si="2">P20*K20</f>
        <v>0</v>
      </c>
      <c r="T20" s="1969">
        <f t="shared" ref="T20:T23" si="3">P20-S20</f>
        <v>12000</v>
      </c>
      <c r="U20" s="1955"/>
      <c r="V20" s="1848"/>
      <c r="W20" s="1848"/>
      <c r="X20" s="1848"/>
      <c r="Y20" s="1848"/>
      <c r="Z20" s="1956"/>
      <c r="AA20" s="1956"/>
      <c r="AF20" s="1958"/>
      <c r="AG20" s="1958"/>
      <c r="AH20" s="1958"/>
      <c r="AI20" s="1959"/>
      <c r="AJ20" s="1960"/>
    </row>
    <row r="21" spans="1:36" s="1957" customFormat="1" ht="21.95" customHeight="1" x14ac:dyDescent="0.2">
      <c r="A21" s="1942"/>
      <c r="B21" s="1961"/>
      <c r="C21" s="1962"/>
      <c r="D21" s="1963" t="str">
        <f>SNI!E35</f>
        <v>Kertas sampul</v>
      </c>
      <c r="E21" s="1964"/>
      <c r="F21" s="1965"/>
      <c r="G21" s="1966">
        <f>SNI!H35</f>
        <v>15</v>
      </c>
      <c r="H21" s="1946" t="str">
        <f>SNI!G35</f>
        <v>lb</v>
      </c>
      <c r="I21" s="1947"/>
      <c r="J21" s="1947"/>
      <c r="K21" s="1948">
        <f>SNI!L35</f>
        <v>0.7782</v>
      </c>
      <c r="L21" s="1949"/>
      <c r="M21" s="1950"/>
      <c r="N21" s="1967">
        <f>SNI!I35</f>
        <v>1250</v>
      </c>
      <c r="O21" s="1968"/>
      <c r="P21" s="1969">
        <f t="shared" si="1"/>
        <v>18750</v>
      </c>
      <c r="Q21" s="1953"/>
      <c r="R21" s="1954"/>
      <c r="S21" s="1954">
        <f t="shared" si="2"/>
        <v>14591.25</v>
      </c>
      <c r="T21" s="1969">
        <f t="shared" si="3"/>
        <v>4158.75</v>
      </c>
      <c r="U21" s="1955"/>
      <c r="V21" s="1848"/>
      <c r="W21" s="1848"/>
      <c r="X21" s="1848"/>
      <c r="Y21" s="1848"/>
      <c r="Z21" s="1956"/>
      <c r="AA21" s="1956"/>
      <c r="AF21" s="1958"/>
      <c r="AG21" s="1958"/>
      <c r="AH21" s="1958"/>
      <c r="AI21" s="1959"/>
      <c r="AJ21" s="1960"/>
    </row>
    <row r="22" spans="1:36" s="1957" customFormat="1" ht="21.95" customHeight="1" x14ac:dyDescent="0.2">
      <c r="A22" s="1942"/>
      <c r="B22" s="1961"/>
      <c r="C22" s="1962"/>
      <c r="D22" s="1963" t="str">
        <f>SNI!E36</f>
        <v>Cuci cetak</v>
      </c>
      <c r="E22" s="1964"/>
      <c r="F22" s="1965"/>
      <c r="G22" s="1966">
        <f>SNI!H36</f>
        <v>1</v>
      </c>
      <c r="H22" s="1946" t="str">
        <f>SNI!G36</f>
        <v>bh</v>
      </c>
      <c r="I22" s="1947"/>
      <c r="J22" s="1947"/>
      <c r="K22" s="1948">
        <f>SNI!L36</f>
        <v>0</v>
      </c>
      <c r="L22" s="1949"/>
      <c r="M22" s="1950"/>
      <c r="N22" s="1967">
        <f>SNI!I36</f>
        <v>45000</v>
      </c>
      <c r="O22" s="1968"/>
      <c r="P22" s="1969">
        <f t="shared" si="1"/>
        <v>45000</v>
      </c>
      <c r="Q22" s="1953"/>
      <c r="R22" s="1954"/>
      <c r="S22" s="1954">
        <f t="shared" si="2"/>
        <v>0</v>
      </c>
      <c r="T22" s="1969">
        <f t="shared" si="3"/>
        <v>45000</v>
      </c>
      <c r="U22" s="1955"/>
      <c r="V22" s="1848"/>
      <c r="W22" s="1848"/>
      <c r="X22" s="1848"/>
      <c r="Y22" s="1848"/>
      <c r="Z22" s="1956"/>
      <c r="AA22" s="1956"/>
      <c r="AF22" s="1958"/>
      <c r="AG22" s="1958"/>
      <c r="AH22" s="1958"/>
      <c r="AI22" s="1959"/>
      <c r="AJ22" s="1960"/>
    </row>
    <row r="23" spans="1:36" s="1957" customFormat="1" ht="21.95" customHeight="1" x14ac:dyDescent="0.2">
      <c r="A23" s="1942"/>
      <c r="B23" s="1961"/>
      <c r="C23" s="1962"/>
      <c r="D23" s="1963" t="str">
        <f>SNI!E37</f>
        <v>Tinta print refill</v>
      </c>
      <c r="E23" s="1964"/>
      <c r="F23" s="1965"/>
      <c r="G23" s="1966">
        <f>SNI!H37</f>
        <v>1</v>
      </c>
      <c r="H23" s="1946" t="str">
        <f>SNI!G37</f>
        <v>bh</v>
      </c>
      <c r="I23" s="1947"/>
      <c r="J23" s="1947"/>
      <c r="K23" s="1948">
        <f>SNI!L37</f>
        <v>0.27600000000000002</v>
      </c>
      <c r="L23" s="1949"/>
      <c r="M23" s="1950"/>
      <c r="N23" s="1967">
        <f>SNI!I37</f>
        <v>50000</v>
      </c>
      <c r="O23" s="1968"/>
      <c r="P23" s="1969">
        <f t="shared" si="1"/>
        <v>50000</v>
      </c>
      <c r="Q23" s="1953"/>
      <c r="R23" s="1954"/>
      <c r="S23" s="1954">
        <f t="shared" si="2"/>
        <v>13800.000000000002</v>
      </c>
      <c r="T23" s="1969">
        <f t="shared" si="3"/>
        <v>36200</v>
      </c>
      <c r="U23" s="1955"/>
      <c r="V23" s="1848"/>
      <c r="W23" s="1848"/>
      <c r="X23" s="1848"/>
      <c r="Y23" s="1848"/>
      <c r="Z23" s="1956"/>
      <c r="AA23" s="1956"/>
      <c r="AF23" s="1958"/>
      <c r="AG23" s="1958"/>
      <c r="AH23" s="1958"/>
      <c r="AI23" s="1959"/>
      <c r="AJ23" s="1960"/>
    </row>
    <row r="24" spans="1:36" s="1957" customFormat="1" ht="21.95" customHeight="1" x14ac:dyDescent="0.2">
      <c r="A24" s="1942"/>
      <c r="B24" s="1961"/>
      <c r="C24" s="1962" t="str">
        <f>SNI!D39</f>
        <v>Tenaga Kerja</v>
      </c>
      <c r="D24" s="1963"/>
      <c r="E24" s="1964"/>
      <c r="F24" s="1965"/>
      <c r="G24" s="1966"/>
      <c r="H24" s="1946"/>
      <c r="I24" s="1947"/>
      <c r="J24" s="1947"/>
      <c r="K24" s="1948"/>
      <c r="L24" s="1949"/>
      <c r="M24" s="1950"/>
      <c r="N24" s="1967"/>
      <c r="O24" s="1968"/>
      <c r="P24" s="1969"/>
      <c r="Q24" s="1953"/>
      <c r="R24" s="1954"/>
      <c r="S24" s="1954"/>
      <c r="T24" s="1969"/>
      <c r="U24" s="1955"/>
      <c r="V24" s="1848"/>
      <c r="W24" s="1848"/>
      <c r="X24" s="1848"/>
      <c r="Y24" s="1848"/>
      <c r="Z24" s="1956"/>
      <c r="AA24" s="1956"/>
      <c r="AF24" s="1958"/>
      <c r="AG24" s="1958"/>
      <c r="AH24" s="1958"/>
      <c r="AI24" s="1959"/>
      <c r="AJ24" s="1960"/>
    </row>
    <row r="25" spans="1:36" s="1957" customFormat="1" ht="21.95" customHeight="1" x14ac:dyDescent="0.2">
      <c r="A25" s="1942"/>
      <c r="B25" s="1961"/>
      <c r="C25" s="1962"/>
      <c r="D25" s="1963" t="str">
        <f>SNI!E39</f>
        <v>Administratur</v>
      </c>
      <c r="E25" s="1964"/>
      <c r="F25" s="1965"/>
      <c r="G25" s="1966">
        <f>SNI!H39</f>
        <v>1</v>
      </c>
      <c r="H25" s="1946" t="str">
        <f>SNI!G39</f>
        <v>OH</v>
      </c>
      <c r="I25" s="1947"/>
      <c r="J25" s="1947"/>
      <c r="K25" s="1948">
        <f>SNI!L39</f>
        <v>1</v>
      </c>
      <c r="L25" s="1949"/>
      <c r="M25" s="1950"/>
      <c r="N25" s="1967">
        <f>SNI!I39</f>
        <v>88300</v>
      </c>
      <c r="O25" s="1968"/>
      <c r="P25" s="1969">
        <f t="shared" ref="P25" si="4">N25*G25</f>
        <v>88300</v>
      </c>
      <c r="Q25" s="1953"/>
      <c r="R25" s="1954"/>
      <c r="S25" s="1954">
        <f t="shared" ref="S25" si="5">P25*K25</f>
        <v>88300</v>
      </c>
      <c r="T25" s="1969">
        <f t="shared" ref="T25" si="6">P25-S25</f>
        <v>0</v>
      </c>
      <c r="U25" s="1955"/>
      <c r="V25" s="1848"/>
      <c r="W25" s="1848"/>
      <c r="X25" s="1848"/>
      <c r="Y25" s="1848"/>
      <c r="Z25" s="1956"/>
      <c r="AA25" s="1956"/>
      <c r="AF25" s="1958"/>
      <c r="AG25" s="1958"/>
      <c r="AH25" s="1958"/>
      <c r="AI25" s="1959"/>
      <c r="AJ25" s="1960"/>
    </row>
    <row r="26" spans="1:36" s="1957" customFormat="1" ht="21.95" customHeight="1" x14ac:dyDescent="0.2">
      <c r="A26" s="1942"/>
      <c r="B26" s="1970"/>
      <c r="C26" s="1971"/>
      <c r="D26" s="1972"/>
      <c r="E26" s="1973"/>
      <c r="F26" s="1974" t="s">
        <v>556</v>
      </c>
      <c r="G26" s="1975">
        <f>B17</f>
        <v>1</v>
      </c>
      <c r="H26" s="1976"/>
      <c r="I26" s="1977"/>
      <c r="J26" s="1977"/>
      <c r="K26" s="1978"/>
      <c r="L26" s="1979"/>
      <c r="M26" s="1980"/>
      <c r="N26" s="1981"/>
      <c r="O26" s="1982"/>
      <c r="P26" s="1983">
        <f>SUM(P19:P25)</f>
        <v>254050</v>
      </c>
      <c r="Q26" s="1984"/>
      <c r="R26" s="1985"/>
      <c r="S26" s="1985">
        <f>SUM(S19:S25)</f>
        <v>147819.25</v>
      </c>
      <c r="T26" s="1985">
        <f>SUM(T19:T25)</f>
        <v>106230.75</v>
      </c>
      <c r="U26" s="1986"/>
      <c r="V26" s="1848"/>
      <c r="W26" s="1848"/>
      <c r="X26" s="1848"/>
      <c r="Y26" s="1848"/>
      <c r="Z26" s="1956"/>
      <c r="AA26" s="1956"/>
      <c r="AF26" s="1958"/>
      <c r="AG26" s="1958"/>
      <c r="AH26" s="1958"/>
      <c r="AI26" s="1959"/>
      <c r="AJ26" s="1960"/>
    </row>
    <row r="27" spans="1:36" s="1957" customFormat="1" ht="21.95" customHeight="1" x14ac:dyDescent="0.2">
      <c r="A27" s="1942">
        <f>satpek!B21</f>
        <v>2</v>
      </c>
      <c r="B27" s="1987">
        <f>B17+1</f>
        <v>2</v>
      </c>
      <c r="C27" s="1988"/>
      <c r="D27" s="1989" t="str">
        <f>VLOOKUP($A27,satpek!$B$20:$N$144,2,0)</f>
        <v>Air dan listrik kerja</v>
      </c>
      <c r="E27" s="1989"/>
      <c r="F27" s="1990"/>
      <c r="G27" s="1991">
        <f>'[3]B.VOL RAB'!Q15</f>
        <v>1</v>
      </c>
      <c r="H27" s="1992" t="str">
        <f>VLOOKUP($A27,satpek!$B$20:$N$144,7,0)</f>
        <v>ls</v>
      </c>
      <c r="I27" s="1993"/>
      <c r="J27" s="1993"/>
      <c r="K27" s="1994"/>
      <c r="L27" s="1995"/>
      <c r="M27" s="1996" t="str">
        <f>VLOOKUP($A27,satpek!$B$20:$N$144,5,0)</f>
        <v>An. Dihitung</v>
      </c>
      <c r="N27" s="1997">
        <f>VLOOKUP($A27,satpek!$B$20:$N$144,6,0)</f>
        <v>10379502</v>
      </c>
      <c r="O27" s="1998"/>
      <c r="P27" s="1999">
        <f t="shared" si="0"/>
        <v>10379502</v>
      </c>
      <c r="Q27" s="2000">
        <f>VLOOKUP($A27,satpek!$B$20:$L$138,8,0)</f>
        <v>0.45130315500685869</v>
      </c>
      <c r="R27" s="2001">
        <f>VLOOKUP($A27,satpek!$B$20:$L$138,9,0)</f>
        <v>4145400</v>
      </c>
      <c r="S27" s="2001"/>
      <c r="T27" s="1999"/>
      <c r="U27" s="2002"/>
      <c r="V27" s="1848"/>
      <c r="W27" s="1848"/>
      <c r="X27" s="1848">
        <f>P32</f>
        <v>51030</v>
      </c>
      <c r="Y27" s="1848">
        <f>S32</f>
        <v>23030</v>
      </c>
      <c r="Z27" s="1956">
        <v>1</v>
      </c>
      <c r="AA27" s="1956">
        <f>Z27-G27</f>
        <v>0</v>
      </c>
      <c r="AB27" s="1957" t="s">
        <v>1897</v>
      </c>
      <c r="AF27" s="1958"/>
      <c r="AG27" s="1958"/>
      <c r="AH27" s="1958"/>
      <c r="AI27" s="1959">
        <v>11022585</v>
      </c>
      <c r="AJ27" s="1960">
        <f>AI27-N27</f>
        <v>643083</v>
      </c>
    </row>
    <row r="28" spans="1:36" s="1957" customFormat="1" ht="21.95" customHeight="1" x14ac:dyDescent="0.2">
      <c r="A28" s="1942"/>
      <c r="B28" s="1961"/>
      <c r="C28" s="1962" t="str">
        <f>SNI!D50</f>
        <v>Bahan</v>
      </c>
      <c r="D28" s="1963"/>
      <c r="E28" s="1963"/>
      <c r="F28" s="2003"/>
      <c r="G28" s="1966"/>
      <c r="H28" s="1946"/>
      <c r="I28" s="1947"/>
      <c r="J28" s="1947"/>
      <c r="K28" s="1948"/>
      <c r="L28" s="1949"/>
      <c r="M28" s="1950"/>
      <c r="N28" s="1967"/>
      <c r="O28" s="1968"/>
      <c r="P28" s="1969"/>
      <c r="Q28" s="1953"/>
      <c r="R28" s="1954"/>
      <c r="S28" s="1954"/>
      <c r="T28" s="1969"/>
      <c r="U28" s="1955"/>
      <c r="V28" s="1848"/>
      <c r="W28" s="1848"/>
      <c r="X28" s="1848"/>
      <c r="Y28" s="1848"/>
      <c r="Z28" s="1956"/>
      <c r="AA28" s="1956"/>
      <c r="AF28" s="1958"/>
      <c r="AG28" s="1958"/>
      <c r="AH28" s="1958"/>
      <c r="AI28" s="1959"/>
      <c r="AJ28" s="1960"/>
    </row>
    <row r="29" spans="1:36" s="1957" customFormat="1" ht="21.95" customHeight="1" x14ac:dyDescent="0.2">
      <c r="A29" s="1942"/>
      <c r="B29" s="1961"/>
      <c r="C29" s="1962"/>
      <c r="D29" s="1963" t="str">
        <f>SNI!F50</f>
        <v>Air</v>
      </c>
      <c r="E29" s="1963"/>
      <c r="F29" s="2003"/>
      <c r="G29" s="1966">
        <f>SNI!H50</f>
        <v>490</v>
      </c>
      <c r="H29" s="1946" t="str">
        <f>SNI!G50</f>
        <v>l</v>
      </c>
      <c r="I29" s="1947"/>
      <c r="J29" s="1947"/>
      <c r="K29" s="1948">
        <f>SNI!L50</f>
        <v>1</v>
      </c>
      <c r="L29" s="1949"/>
      <c r="M29" s="1950"/>
      <c r="N29" s="1967">
        <f>SNI!I50</f>
        <v>47</v>
      </c>
      <c r="O29" s="1968"/>
      <c r="P29" s="1969">
        <f t="shared" ref="P29" si="7">N29*G29</f>
        <v>23030</v>
      </c>
      <c r="Q29" s="1953"/>
      <c r="R29" s="1954"/>
      <c r="S29" s="1954">
        <f t="shared" ref="S29" si="8">P29*K29</f>
        <v>23030</v>
      </c>
      <c r="T29" s="1969">
        <f t="shared" ref="T29" si="9">P29-S29</f>
        <v>0</v>
      </c>
      <c r="U29" s="1955"/>
      <c r="V29" s="1848"/>
      <c r="W29" s="1848"/>
      <c r="X29" s="1848"/>
      <c r="Y29" s="1848"/>
      <c r="Z29" s="1956"/>
      <c r="AA29" s="1956"/>
      <c r="AF29" s="1958"/>
      <c r="AG29" s="1958"/>
      <c r="AH29" s="1958"/>
      <c r="AI29" s="1959"/>
      <c r="AJ29" s="1960"/>
    </row>
    <row r="30" spans="1:36" s="1957" customFormat="1" ht="21.95" customHeight="1" x14ac:dyDescent="0.2">
      <c r="A30" s="1942"/>
      <c r="B30" s="1961"/>
      <c r="C30" s="1962"/>
      <c r="D30" s="1963" t="str">
        <f>SNI!F51</f>
        <v>Listrik</v>
      </c>
      <c r="E30" s="1963"/>
      <c r="F30" s="2003"/>
      <c r="G30" s="1966">
        <f>SNI!H51</f>
        <v>140</v>
      </c>
      <c r="H30" s="1946" t="str">
        <f>SNI!G51</f>
        <v>kwh</v>
      </c>
      <c r="I30" s="1947"/>
      <c r="J30" s="1947"/>
      <c r="K30" s="1948">
        <f>SNI!L51</f>
        <v>0</v>
      </c>
      <c r="L30" s="1949"/>
      <c r="M30" s="1950"/>
      <c r="N30" s="1967">
        <f>SNI!I51</f>
        <v>200</v>
      </c>
      <c r="O30" s="1968"/>
      <c r="P30" s="1969">
        <f t="shared" ref="P30" si="10">N30*G30</f>
        <v>28000</v>
      </c>
      <c r="Q30" s="1953"/>
      <c r="R30" s="1954"/>
      <c r="S30" s="1954">
        <f t="shared" ref="S30" si="11">P30*K30</f>
        <v>0</v>
      </c>
      <c r="T30" s="1969">
        <f t="shared" ref="T30" si="12">P30-S30</f>
        <v>28000</v>
      </c>
      <c r="U30" s="1955"/>
      <c r="V30" s="1848"/>
      <c r="W30" s="1848"/>
      <c r="X30" s="1848"/>
      <c r="Y30" s="1848"/>
      <c r="Z30" s="1956"/>
      <c r="AA30" s="1956"/>
      <c r="AF30" s="1958"/>
      <c r="AG30" s="1958"/>
      <c r="AH30" s="1958"/>
      <c r="AI30" s="1959"/>
      <c r="AJ30" s="1960"/>
    </row>
    <row r="31" spans="1:36" s="1957" customFormat="1" ht="21.95" customHeight="1" x14ac:dyDescent="0.2">
      <c r="A31" s="1942"/>
      <c r="B31" s="1961"/>
      <c r="C31" s="1962"/>
      <c r="D31" s="1963"/>
      <c r="E31" s="1963"/>
      <c r="F31" s="2003"/>
      <c r="G31" s="1966"/>
      <c r="H31" s="1946"/>
      <c r="I31" s="1947"/>
      <c r="J31" s="1947"/>
      <c r="K31" s="1948"/>
      <c r="L31" s="1949"/>
      <c r="M31" s="1950"/>
      <c r="N31" s="1967"/>
      <c r="O31" s="1968"/>
      <c r="P31" s="1969"/>
      <c r="Q31" s="1953"/>
      <c r="R31" s="1954"/>
      <c r="S31" s="1954"/>
      <c r="T31" s="1969"/>
      <c r="U31" s="1955"/>
      <c r="V31" s="1848"/>
      <c r="W31" s="1848"/>
      <c r="X31" s="1848"/>
      <c r="Y31" s="1848"/>
      <c r="Z31" s="1956"/>
      <c r="AA31" s="1956"/>
      <c r="AF31" s="1958"/>
      <c r="AG31" s="1958"/>
      <c r="AH31" s="1958"/>
      <c r="AI31" s="1959"/>
      <c r="AJ31" s="1960"/>
    </row>
    <row r="32" spans="1:36" s="1957" customFormat="1" ht="21.95" customHeight="1" x14ac:dyDescent="0.2">
      <c r="A32" s="1942"/>
      <c r="B32" s="1970"/>
      <c r="C32" s="1971"/>
      <c r="D32" s="1972"/>
      <c r="E32" s="1973"/>
      <c r="F32" s="1974" t="s">
        <v>556</v>
      </c>
      <c r="G32" s="1975">
        <f>B27</f>
        <v>2</v>
      </c>
      <c r="H32" s="1976"/>
      <c r="I32" s="1977"/>
      <c r="J32" s="1977"/>
      <c r="K32" s="1978"/>
      <c r="L32" s="1979"/>
      <c r="M32" s="1980"/>
      <c r="N32" s="1981"/>
      <c r="O32" s="1982"/>
      <c r="P32" s="1983">
        <f>SUM(P28:P31)</f>
        <v>51030</v>
      </c>
      <c r="Q32" s="1984"/>
      <c r="R32" s="1985"/>
      <c r="S32" s="1985">
        <f>SUM(S29:S31)</f>
        <v>23030</v>
      </c>
      <c r="T32" s="1985">
        <f>SUM(T29:T31)</f>
        <v>28000</v>
      </c>
      <c r="U32" s="1986"/>
      <c r="V32" s="1848"/>
      <c r="W32" s="1848"/>
      <c r="X32" s="1848"/>
      <c r="Y32" s="1848"/>
      <c r="Z32" s="1956"/>
      <c r="AA32" s="1956"/>
      <c r="AF32" s="1958"/>
      <c r="AG32" s="1958"/>
      <c r="AH32" s="1958"/>
      <c r="AI32" s="1959"/>
      <c r="AJ32" s="1960"/>
    </row>
    <row r="33" spans="1:36" ht="21.95" customHeight="1" x14ac:dyDescent="0.2">
      <c r="A33" s="1833">
        <f>satpek!B23</f>
        <v>4</v>
      </c>
      <c r="B33" s="1943">
        <f>B27+1</f>
        <v>3</v>
      </c>
      <c r="C33" s="1937"/>
      <c r="D33" s="1944" t="str">
        <f>VLOOKUP($A33,satpek!$B$20:$N$144,2,0)</f>
        <v xml:space="preserve">Pengukuran dan pemasangan bouwplank  </v>
      </c>
      <c r="E33" s="1944"/>
      <c r="F33" s="2004"/>
      <c r="G33" s="1945">
        <f>'[3]B.VOL RAB'!Q17</f>
        <v>205.8</v>
      </c>
      <c r="H33" s="1946" t="str">
        <f>VLOOKUP($A33,satpek!$B$20:$N$144,7,0)</f>
        <v>m'</v>
      </c>
      <c r="I33" s="1947"/>
      <c r="J33" s="1947"/>
      <c r="K33" s="1948"/>
      <c r="L33" s="1949"/>
      <c r="M33" s="1950" t="str">
        <f>VLOOKUP($A33,satpek!$B$20:$N$144,5,0)</f>
        <v>A.2.2.1.4.</v>
      </c>
      <c r="N33" s="1951">
        <f>VLOOKUP($A33,satpek!$B$20:$N$144,6,0)</f>
        <v>59589.42</v>
      </c>
      <c r="O33" s="1938"/>
      <c r="P33" s="1952">
        <f t="shared" si="0"/>
        <v>12263502.640000001</v>
      </c>
      <c r="Q33" s="1953">
        <f>VLOOKUP($A33,satpek!$B$20:$L$138,8,0)</f>
        <v>0.99355254674403615</v>
      </c>
      <c r="R33" s="1954">
        <f>VLOOKUP($A33,satpek!$B$20:$L$138,9,0)</f>
        <v>52394</v>
      </c>
      <c r="S33" s="1954"/>
      <c r="T33" s="1952"/>
      <c r="U33" s="1955"/>
      <c r="X33" s="1848">
        <f>P43</f>
        <v>52734</v>
      </c>
      <c r="Y33" s="1848">
        <f>S43</f>
        <v>52394</v>
      </c>
      <c r="Z33" s="1956">
        <v>205.8</v>
      </c>
      <c r="AA33" s="1956">
        <f>Z33-G33</f>
        <v>0</v>
      </c>
      <c r="AB33" s="1836" t="s">
        <v>1903</v>
      </c>
      <c r="AI33" s="1910">
        <v>59256.07</v>
      </c>
      <c r="AJ33" s="1960">
        <f>AI33-N33</f>
        <v>-333.34999999999854</v>
      </c>
    </row>
    <row r="34" spans="1:36" ht="21.95" customHeight="1" x14ac:dyDescent="0.2">
      <c r="B34" s="1961"/>
      <c r="C34" s="1962" t="str">
        <f>SNI!D81</f>
        <v>Bahan</v>
      </c>
      <c r="D34" s="1963"/>
      <c r="E34" s="1963"/>
      <c r="F34" s="2003"/>
      <c r="G34" s="1966"/>
      <c r="H34" s="1946"/>
      <c r="I34" s="1947"/>
      <c r="J34" s="1947"/>
      <c r="K34" s="1948"/>
      <c r="L34" s="1949"/>
      <c r="M34" s="1950"/>
      <c r="N34" s="1967"/>
      <c r="O34" s="1968"/>
      <c r="P34" s="1969"/>
      <c r="Q34" s="1953"/>
      <c r="R34" s="1954"/>
      <c r="S34" s="1954"/>
      <c r="T34" s="1969"/>
      <c r="U34" s="1955"/>
      <c r="Z34" s="1956"/>
      <c r="AA34" s="1956"/>
      <c r="AJ34" s="1960"/>
    </row>
    <row r="35" spans="1:36" ht="21.95" customHeight="1" x14ac:dyDescent="0.2">
      <c r="B35" s="1961"/>
      <c r="C35" s="1962"/>
      <c r="D35" s="1963" t="str">
        <f>SNI!E81</f>
        <v xml:space="preserve">Kayu begesting 5/7 </v>
      </c>
      <c r="E35" s="1963"/>
      <c r="F35" s="2003"/>
      <c r="G35" s="1966">
        <f>SNI!H81</f>
        <v>1.2E-2</v>
      </c>
      <c r="H35" s="1946" t="str">
        <f>SNI!G81</f>
        <v>m3</v>
      </c>
      <c r="I35" s="1947"/>
      <c r="J35" s="1947"/>
      <c r="K35" s="1948">
        <f>SNI!L81</f>
        <v>1</v>
      </c>
      <c r="L35" s="1949"/>
      <c r="M35" s="1950"/>
      <c r="N35" s="1967">
        <f>SNI!I81</f>
        <v>1100000</v>
      </c>
      <c r="O35" s="1968"/>
      <c r="P35" s="1969">
        <f t="shared" ref="P35" si="13">N35*G35</f>
        <v>13200</v>
      </c>
      <c r="Q35" s="1953"/>
      <c r="R35" s="1954"/>
      <c r="S35" s="1954">
        <f t="shared" ref="S35" si="14">P35*K35</f>
        <v>13200</v>
      </c>
      <c r="T35" s="1969">
        <f t="shared" ref="T35" si="15">P35-S35</f>
        <v>0</v>
      </c>
      <c r="U35" s="1955"/>
      <c r="Z35" s="1956"/>
      <c r="AA35" s="1956"/>
      <c r="AJ35" s="1960"/>
    </row>
    <row r="36" spans="1:36" ht="21.95" customHeight="1" x14ac:dyDescent="0.2">
      <c r="B36" s="1961"/>
      <c r="C36" s="1962"/>
      <c r="D36" s="1963" t="str">
        <f>SNI!E82</f>
        <v>Paku biasa 2" - 5 "</v>
      </c>
      <c r="E36" s="1963"/>
      <c r="F36" s="2003"/>
      <c r="G36" s="1966">
        <f>SNI!H82</f>
        <v>0.02</v>
      </c>
      <c r="H36" s="1946" t="str">
        <f>SNI!G82</f>
        <v>kg</v>
      </c>
      <c r="I36" s="1947"/>
      <c r="J36" s="1947"/>
      <c r="K36" s="1948">
        <f>SNI!L82</f>
        <v>0</v>
      </c>
      <c r="L36" s="1949"/>
      <c r="M36" s="1950"/>
      <c r="N36" s="1967">
        <f>SNI!I82</f>
        <v>17000</v>
      </c>
      <c r="O36" s="1968"/>
      <c r="P36" s="1969">
        <f t="shared" ref="P36:P37" si="16">N36*G36</f>
        <v>340</v>
      </c>
      <c r="Q36" s="1953"/>
      <c r="R36" s="1954"/>
      <c r="S36" s="1954">
        <f t="shared" ref="S36:S37" si="17">P36*K36</f>
        <v>0</v>
      </c>
      <c r="T36" s="1969">
        <f t="shared" ref="T36:T37" si="18">P36-S36</f>
        <v>340</v>
      </c>
      <c r="U36" s="1955"/>
      <c r="Z36" s="1956"/>
      <c r="AA36" s="1956"/>
      <c r="AJ36" s="1960"/>
    </row>
    <row r="37" spans="1:36" ht="21.95" customHeight="1" x14ac:dyDescent="0.2">
      <c r="B37" s="1961"/>
      <c r="C37" s="1962"/>
      <c r="D37" s="1963" t="str">
        <f>SNI!E83</f>
        <v>Kayu papan sengon 3/20</v>
      </c>
      <c r="E37" s="1963"/>
      <c r="F37" s="2003"/>
      <c r="G37" s="1966">
        <f>SNI!H83</f>
        <v>7.0000000000000001E-3</v>
      </c>
      <c r="H37" s="1946" t="str">
        <f>SNI!G83</f>
        <v>m3</v>
      </c>
      <c r="I37" s="1947"/>
      <c r="J37" s="1947"/>
      <c r="K37" s="1948">
        <f>SNI!L83</f>
        <v>1</v>
      </c>
      <c r="L37" s="1949"/>
      <c r="M37" s="1950"/>
      <c r="N37" s="1967">
        <f>SNI!I83</f>
        <v>2822000</v>
      </c>
      <c r="O37" s="1968"/>
      <c r="P37" s="1969">
        <f t="shared" si="16"/>
        <v>19754</v>
      </c>
      <c r="Q37" s="1953"/>
      <c r="R37" s="1954"/>
      <c r="S37" s="1954">
        <f t="shared" si="17"/>
        <v>19754</v>
      </c>
      <c r="T37" s="1969">
        <f t="shared" si="18"/>
        <v>0</v>
      </c>
      <c r="U37" s="1955"/>
      <c r="Z37" s="1956"/>
      <c r="AA37" s="1956"/>
      <c r="AJ37" s="1960"/>
    </row>
    <row r="38" spans="1:36" ht="21.95" customHeight="1" x14ac:dyDescent="0.2">
      <c r="B38" s="1961"/>
      <c r="C38" s="1962" t="str">
        <f>SNI!D85</f>
        <v>Tenaga Kerja</v>
      </c>
      <c r="D38" s="1963"/>
      <c r="E38" s="1963"/>
      <c r="F38" s="2003"/>
      <c r="G38" s="1966"/>
      <c r="H38" s="1946"/>
      <c r="I38" s="1947"/>
      <c r="J38" s="1947"/>
      <c r="K38" s="1948"/>
      <c r="L38" s="1949"/>
      <c r="M38" s="1950"/>
      <c r="N38" s="1967"/>
      <c r="O38" s="1968"/>
      <c r="P38" s="1969"/>
      <c r="Q38" s="1953"/>
      <c r="R38" s="1954"/>
      <c r="S38" s="1954"/>
      <c r="T38" s="1969"/>
      <c r="U38" s="1955"/>
      <c r="Z38" s="1956"/>
      <c r="AA38" s="1956"/>
      <c r="AJ38" s="1960"/>
    </row>
    <row r="39" spans="1:36" ht="21.95" customHeight="1" x14ac:dyDescent="0.2">
      <c r="B39" s="1961"/>
      <c r="C39" s="1962"/>
      <c r="D39" s="1963" t="str">
        <f>SNI!E85</f>
        <v>Tukang kayu</v>
      </c>
      <c r="E39" s="1963"/>
      <c r="F39" s="2003"/>
      <c r="G39" s="2005">
        <f>SNI!H85</f>
        <v>0.1</v>
      </c>
      <c r="H39" s="1946" t="str">
        <f>SNI!G85</f>
        <v>OH</v>
      </c>
      <c r="I39" s="1947" t="str">
        <f>SNI!M85</f>
        <v>WNI</v>
      </c>
      <c r="J39" s="1947"/>
      <c r="K39" s="1948">
        <f>SNI!L85</f>
        <v>1</v>
      </c>
      <c r="L39" s="1949"/>
      <c r="M39" s="1950"/>
      <c r="N39" s="1967">
        <f>SNI!I85</f>
        <v>92000</v>
      </c>
      <c r="O39" s="1968"/>
      <c r="P39" s="1969">
        <f t="shared" ref="P39" si="19">N39*G39</f>
        <v>9200</v>
      </c>
      <c r="Q39" s="1953"/>
      <c r="R39" s="1954"/>
      <c r="S39" s="1954">
        <f t="shared" ref="S39" si="20">P39*K39</f>
        <v>9200</v>
      </c>
      <c r="T39" s="1969">
        <f t="shared" ref="T39" si="21">P39-S39</f>
        <v>0</v>
      </c>
      <c r="U39" s="1955"/>
      <c r="Z39" s="1956"/>
      <c r="AA39" s="1956"/>
      <c r="AJ39" s="1960"/>
    </row>
    <row r="40" spans="1:36" ht="21.95" customHeight="1" x14ac:dyDescent="0.2">
      <c r="B40" s="1961"/>
      <c r="C40" s="1962"/>
      <c r="D40" s="1963" t="str">
        <f>SNI!E86</f>
        <v>Pekerja</v>
      </c>
      <c r="E40" s="1963"/>
      <c r="F40" s="2003"/>
      <c r="G40" s="2005">
        <f>SNI!H86</f>
        <v>0.1</v>
      </c>
      <c r="H40" s="1946" t="str">
        <f>SNI!G86</f>
        <v>OH</v>
      </c>
      <c r="I40" s="1947" t="str">
        <f>SNI!M86</f>
        <v>WNI</v>
      </c>
      <c r="J40" s="1947"/>
      <c r="K40" s="1948">
        <f>SNI!L86</f>
        <v>1</v>
      </c>
      <c r="L40" s="1949"/>
      <c r="M40" s="1950"/>
      <c r="N40" s="1967">
        <f>SNI!I86</f>
        <v>88300</v>
      </c>
      <c r="O40" s="1968"/>
      <c r="P40" s="1969">
        <f t="shared" ref="P40:P42" si="22">N40*G40</f>
        <v>8830</v>
      </c>
      <c r="Q40" s="1953"/>
      <c r="R40" s="1954"/>
      <c r="S40" s="1954">
        <f t="shared" ref="S40:S42" si="23">P40*K40</f>
        <v>8830</v>
      </c>
      <c r="T40" s="1969">
        <f t="shared" ref="T40:T42" si="24">P40-S40</f>
        <v>0</v>
      </c>
      <c r="U40" s="1955"/>
      <c r="Z40" s="1956"/>
      <c r="AA40" s="1956"/>
      <c r="AJ40" s="1960"/>
    </row>
    <row r="41" spans="1:36" ht="21.95" customHeight="1" x14ac:dyDescent="0.2">
      <c r="B41" s="1961"/>
      <c r="C41" s="1962"/>
      <c r="D41" s="1963" t="str">
        <f>SNI!E87</f>
        <v>Kep.Tukang</v>
      </c>
      <c r="E41" s="1963"/>
      <c r="F41" s="2003"/>
      <c r="G41" s="2005">
        <f>SNI!H87</f>
        <v>0.01</v>
      </c>
      <c r="H41" s="1946" t="str">
        <f>SNI!G87</f>
        <v>OH</v>
      </c>
      <c r="I41" s="1947" t="str">
        <f>SNI!M87</f>
        <v>WNI</v>
      </c>
      <c r="J41" s="1947"/>
      <c r="K41" s="1948">
        <f>SNI!L87</f>
        <v>1</v>
      </c>
      <c r="L41" s="1949"/>
      <c r="M41" s="1950"/>
      <c r="N41" s="1967">
        <f>SNI!I87</f>
        <v>96000</v>
      </c>
      <c r="O41" s="1968"/>
      <c r="P41" s="1969">
        <f t="shared" si="22"/>
        <v>960</v>
      </c>
      <c r="Q41" s="1953"/>
      <c r="R41" s="1954"/>
      <c r="S41" s="1954">
        <f t="shared" si="23"/>
        <v>960</v>
      </c>
      <c r="T41" s="1969">
        <f t="shared" si="24"/>
        <v>0</v>
      </c>
      <c r="U41" s="1955"/>
      <c r="Z41" s="1956"/>
      <c r="AA41" s="1956"/>
      <c r="AJ41" s="1960"/>
    </row>
    <row r="42" spans="1:36" ht="21.95" customHeight="1" x14ac:dyDescent="0.2">
      <c r="B42" s="1961"/>
      <c r="C42" s="1962"/>
      <c r="D42" s="1963" t="str">
        <f>SNI!E88</f>
        <v>Mandor</v>
      </c>
      <c r="E42" s="1963"/>
      <c r="F42" s="2003"/>
      <c r="G42" s="2005">
        <f>SNI!H88</f>
        <v>5.0000000000000001E-3</v>
      </c>
      <c r="H42" s="1946" t="str">
        <f>SNI!G88</f>
        <v>OH</v>
      </c>
      <c r="I42" s="1947" t="str">
        <f>SNI!M88</f>
        <v>WNI</v>
      </c>
      <c r="J42" s="1947"/>
      <c r="K42" s="1948">
        <f>SNI!L88</f>
        <v>1</v>
      </c>
      <c r="L42" s="1949"/>
      <c r="M42" s="1950"/>
      <c r="N42" s="1967">
        <f>SNI!I88</f>
        <v>90000</v>
      </c>
      <c r="O42" s="1968"/>
      <c r="P42" s="1969">
        <f t="shared" si="22"/>
        <v>450</v>
      </c>
      <c r="Q42" s="1953"/>
      <c r="R42" s="1954"/>
      <c r="S42" s="1954">
        <f t="shared" si="23"/>
        <v>450</v>
      </c>
      <c r="T42" s="1969">
        <f t="shared" si="24"/>
        <v>0</v>
      </c>
      <c r="U42" s="1955"/>
      <c r="Z42" s="1956"/>
      <c r="AA42" s="1956"/>
      <c r="AJ42" s="1960"/>
    </row>
    <row r="43" spans="1:36" s="1957" customFormat="1" ht="21.95" customHeight="1" x14ac:dyDescent="0.2">
      <c r="A43" s="1942"/>
      <c r="B43" s="1970"/>
      <c r="C43" s="1971"/>
      <c r="D43" s="1972"/>
      <c r="E43" s="1973"/>
      <c r="F43" s="1974" t="s">
        <v>556</v>
      </c>
      <c r="G43" s="1975">
        <f>B33</f>
        <v>3</v>
      </c>
      <c r="H43" s="1976"/>
      <c r="I43" s="1977"/>
      <c r="J43" s="1977"/>
      <c r="K43" s="1978"/>
      <c r="L43" s="1979"/>
      <c r="M43" s="1980"/>
      <c r="N43" s="1981"/>
      <c r="O43" s="1982"/>
      <c r="P43" s="1983">
        <f>SUM(P34:R42)</f>
        <v>52734</v>
      </c>
      <c r="Q43" s="1984"/>
      <c r="R43" s="1985"/>
      <c r="S43" s="1985">
        <f>SUM(S35:S42)</f>
        <v>52394</v>
      </c>
      <c r="T43" s="1985">
        <f>SUM(T35:T42)</f>
        <v>340</v>
      </c>
      <c r="U43" s="1986"/>
      <c r="V43" s="1848"/>
      <c r="W43" s="1848"/>
      <c r="X43" s="1848"/>
      <c r="Y43" s="1848"/>
      <c r="Z43" s="1956"/>
      <c r="AA43" s="1956"/>
      <c r="AF43" s="1958"/>
      <c r="AG43" s="1958"/>
      <c r="AH43" s="1958"/>
      <c r="AI43" s="1959"/>
      <c r="AJ43" s="1960"/>
    </row>
    <row r="44" spans="1:36" ht="21.95" customHeight="1" x14ac:dyDescent="0.2">
      <c r="A44" s="1833">
        <f>satpek!B22</f>
        <v>3</v>
      </c>
      <c r="B44" s="1943">
        <f>B33+1</f>
        <v>4</v>
      </c>
      <c r="C44" s="1937"/>
      <c r="D44" s="1944" t="str">
        <f>VLOOKUP($A44,satpek!$B$20:$N$144,2,0)</f>
        <v>Pembersihan lapangan dan perataan</v>
      </c>
      <c r="E44" s="1944"/>
      <c r="F44" s="2004"/>
      <c r="G44" s="1945">
        <f>'[3]B.VOL RAB'!Q20</f>
        <v>767.55000000000007</v>
      </c>
      <c r="H44" s="1946" t="str">
        <f>VLOOKUP($A44,satpek!$B$20:$N$144,7,0)</f>
        <v>m2</v>
      </c>
      <c r="I44" s="1947"/>
      <c r="J44" s="1947"/>
      <c r="K44" s="1948"/>
      <c r="L44" s="1949"/>
      <c r="M44" s="1950" t="str">
        <f>VLOOKUP($A44,satpek!$B$20:$N$144,5,0)</f>
        <v>A.2.2.1.9.</v>
      </c>
      <c r="N44" s="1951">
        <f>VLOOKUP($A44,satpek!$B$20:$N$144,6,0)</f>
        <v>15062.9</v>
      </c>
      <c r="O44" s="1938"/>
      <c r="P44" s="1952">
        <f t="shared" si="0"/>
        <v>11561528.9</v>
      </c>
      <c r="Q44" s="1953">
        <f>VLOOKUP($A44,satpek!$B$20:$L$138,8,0)</f>
        <v>1</v>
      </c>
      <c r="R44" s="1954">
        <f>VLOOKUP($A44,satpek!$B$20:$L$138,9,0)</f>
        <v>13330</v>
      </c>
      <c r="S44" s="1954"/>
      <c r="T44" s="1952"/>
      <c r="U44" s="1955"/>
      <c r="X44" s="1848">
        <f>P48</f>
        <v>13330</v>
      </c>
      <c r="Y44" s="1848">
        <f>S48</f>
        <v>13330</v>
      </c>
      <c r="Z44" s="1956">
        <v>767.55000000000007</v>
      </c>
      <c r="AA44" s="1956">
        <f>Z44-G44</f>
        <v>0</v>
      </c>
      <c r="AB44" s="1836" t="s">
        <v>742</v>
      </c>
      <c r="AI44" s="1910">
        <v>14577</v>
      </c>
      <c r="AJ44" s="1960">
        <f>AI44-N44</f>
        <v>-485.89999999999964</v>
      </c>
    </row>
    <row r="45" spans="1:36" ht="21.95" customHeight="1" x14ac:dyDescent="0.2">
      <c r="B45" s="1961"/>
      <c r="C45" s="1962" t="str">
        <f>SNI!D67</f>
        <v>Tenaga Kerja</v>
      </c>
      <c r="D45" s="1963"/>
      <c r="E45" s="1963"/>
      <c r="F45" s="2003"/>
      <c r="G45" s="1966"/>
      <c r="H45" s="1946"/>
      <c r="I45" s="1947"/>
      <c r="J45" s="1947"/>
      <c r="K45" s="1948"/>
      <c r="L45" s="1949"/>
      <c r="M45" s="1950"/>
      <c r="N45" s="1967"/>
      <c r="O45" s="1968"/>
      <c r="P45" s="1969"/>
      <c r="Q45" s="1953"/>
      <c r="R45" s="1954"/>
      <c r="S45" s="1954"/>
      <c r="T45" s="1969"/>
      <c r="U45" s="1955"/>
      <c r="Z45" s="1956"/>
      <c r="AA45" s="1956"/>
      <c r="AJ45" s="1960"/>
    </row>
    <row r="46" spans="1:36" ht="21.95" customHeight="1" x14ac:dyDescent="0.2">
      <c r="B46" s="1961"/>
      <c r="C46" s="1962"/>
      <c r="D46" s="1963" t="str">
        <f>SNI!E67</f>
        <v>Pekerja</v>
      </c>
      <c r="E46" s="1963"/>
      <c r="F46" s="2003"/>
      <c r="G46" s="1966">
        <f>SNI!H67</f>
        <v>0.1</v>
      </c>
      <c r="H46" s="1946" t="str">
        <f>SNI!G67</f>
        <v>OH</v>
      </c>
      <c r="I46" s="1947" t="str">
        <f>SNI!M67</f>
        <v>WNI</v>
      </c>
      <c r="J46" s="1947"/>
      <c r="K46" s="1948">
        <f>SNI!L67</f>
        <v>1</v>
      </c>
      <c r="L46" s="1949"/>
      <c r="M46" s="1950"/>
      <c r="N46" s="1967">
        <f>SNI!I67</f>
        <v>88300</v>
      </c>
      <c r="O46" s="1968"/>
      <c r="P46" s="1969">
        <f t="shared" ref="P46" si="25">N46*G46</f>
        <v>8830</v>
      </c>
      <c r="Q46" s="1953"/>
      <c r="R46" s="1954"/>
      <c r="S46" s="1954">
        <f t="shared" ref="S46" si="26">P46*K46</f>
        <v>8830</v>
      </c>
      <c r="T46" s="1969">
        <f t="shared" ref="T46" si="27">P46-S46</f>
        <v>0</v>
      </c>
      <c r="U46" s="1955"/>
      <c r="Z46" s="1956"/>
      <c r="AA46" s="1956"/>
      <c r="AJ46" s="1960"/>
    </row>
    <row r="47" spans="1:36" ht="21.95" customHeight="1" x14ac:dyDescent="0.2">
      <c r="B47" s="1961"/>
      <c r="C47" s="1962"/>
      <c r="D47" s="1963" t="str">
        <f>SNI!E68</f>
        <v>Mandor</v>
      </c>
      <c r="E47" s="1963"/>
      <c r="F47" s="2003"/>
      <c r="G47" s="1966">
        <f>SNI!H68</f>
        <v>0.05</v>
      </c>
      <c r="H47" s="1946" t="str">
        <f>SNI!G68</f>
        <v>OH</v>
      </c>
      <c r="I47" s="1947" t="str">
        <f>SNI!M68</f>
        <v>WNI</v>
      </c>
      <c r="J47" s="1947"/>
      <c r="K47" s="1948">
        <f>SNI!L68</f>
        <v>1</v>
      </c>
      <c r="L47" s="1949"/>
      <c r="M47" s="1950"/>
      <c r="N47" s="1967">
        <f>SNI!I68</f>
        <v>90000</v>
      </c>
      <c r="O47" s="1968"/>
      <c r="P47" s="1969">
        <f t="shared" ref="P47" si="28">N47*G47</f>
        <v>4500</v>
      </c>
      <c r="Q47" s="1953"/>
      <c r="R47" s="1954"/>
      <c r="S47" s="1954">
        <f t="shared" ref="S47" si="29">P47*K47</f>
        <v>4500</v>
      </c>
      <c r="T47" s="1969">
        <f t="shared" ref="T47" si="30">P47-S47</f>
        <v>0</v>
      </c>
      <c r="U47" s="1955"/>
      <c r="Z47" s="1956"/>
      <c r="AA47" s="1956"/>
      <c r="AJ47" s="1960"/>
    </row>
    <row r="48" spans="1:36" s="1957" customFormat="1" ht="21.95" customHeight="1" x14ac:dyDescent="0.2">
      <c r="A48" s="1942"/>
      <c r="B48" s="1970"/>
      <c r="C48" s="1971"/>
      <c r="D48" s="1972"/>
      <c r="E48" s="1973"/>
      <c r="F48" s="1974" t="s">
        <v>556</v>
      </c>
      <c r="G48" s="1975">
        <f>B44</f>
        <v>4</v>
      </c>
      <c r="H48" s="1976"/>
      <c r="I48" s="1977"/>
      <c r="J48" s="1977"/>
      <c r="K48" s="1978"/>
      <c r="L48" s="1979"/>
      <c r="M48" s="1980"/>
      <c r="N48" s="1981"/>
      <c r="O48" s="1982"/>
      <c r="P48" s="1983">
        <f>SUM(P46:P47)</f>
        <v>13330</v>
      </c>
      <c r="Q48" s="1984"/>
      <c r="R48" s="1985"/>
      <c r="S48" s="1985">
        <f>SUM(S46:S47)</f>
        <v>13330</v>
      </c>
      <c r="T48" s="1985">
        <f>SUM(T46:T47)</f>
        <v>0</v>
      </c>
      <c r="U48" s="1986"/>
      <c r="V48" s="1848"/>
      <c r="W48" s="1848"/>
      <c r="X48" s="1848"/>
      <c r="Y48" s="1848"/>
      <c r="Z48" s="1956"/>
      <c r="AA48" s="1956"/>
      <c r="AF48" s="1958"/>
      <c r="AG48" s="1958"/>
      <c r="AH48" s="1958"/>
      <c r="AI48" s="1959"/>
      <c r="AJ48" s="1960"/>
    </row>
    <row r="49" spans="1:36" ht="21.95" customHeight="1" x14ac:dyDescent="0.2">
      <c r="A49" s="1833">
        <f>satpek!B107</f>
        <v>88</v>
      </c>
      <c r="B49" s="1943">
        <f>B44+1</f>
        <v>5</v>
      </c>
      <c r="C49" s="1937"/>
      <c r="D49" s="1944" t="str">
        <f>VLOOKUP($A49,satpek!$B$20:$N$144,2,0)</f>
        <v>Penyelenggaraan K3</v>
      </c>
      <c r="E49" s="1944"/>
      <c r="F49" s="2004"/>
      <c r="G49" s="1945">
        <f>'[3]B.VOL RAB'!Q22</f>
        <v>1</v>
      </c>
      <c r="H49" s="1946" t="str">
        <f>VLOOKUP($A49,satpek!$B$20:$N$144,7,0)</f>
        <v>ls</v>
      </c>
      <c r="I49" s="1947"/>
      <c r="J49" s="1947"/>
      <c r="K49" s="1948"/>
      <c r="L49" s="1949"/>
      <c r="M49" s="1950" t="str">
        <f>VLOOKUP($A49,satpek!$B$20:$N$144,5,0)</f>
        <v>Dihitung</v>
      </c>
      <c r="N49" s="1951">
        <f>VLOOKUP($A49,satpek!$B$20:$N$144,6,0)</f>
        <v>8258800</v>
      </c>
      <c r="O49" s="1938"/>
      <c r="P49" s="1952">
        <f t="shared" si="0"/>
        <v>8258800</v>
      </c>
      <c r="Q49" s="1953">
        <f>VLOOKUP($A49,satpek!$B$20:$L$138,8,0)</f>
        <v>0.46616941928609484</v>
      </c>
      <c r="R49" s="1954">
        <f>VLOOKUP($A49,satpek!$B$20:$L$138,9,0)</f>
        <v>0</v>
      </c>
      <c r="S49" s="1954"/>
      <c r="T49" s="1952"/>
      <c r="U49" s="1955"/>
      <c r="X49" s="1848">
        <f>P67</f>
        <v>7508000</v>
      </c>
      <c r="Y49" s="1848">
        <f>S67</f>
        <v>3500000</v>
      </c>
      <c r="Z49" s="1956">
        <v>1</v>
      </c>
      <c r="AA49" s="1956">
        <f>Z49-G49</f>
        <v>0</v>
      </c>
      <c r="AB49" s="1836" t="s">
        <v>1395</v>
      </c>
      <c r="AI49" s="1910">
        <v>8772500</v>
      </c>
      <c r="AJ49" s="1960">
        <f>AI49-N49</f>
        <v>513700</v>
      </c>
    </row>
    <row r="50" spans="1:36" ht="21.95" customHeight="1" x14ac:dyDescent="0.2">
      <c r="B50" s="2006"/>
      <c r="C50" s="2007" t="str">
        <f>K3.!G10</f>
        <v>TENAGA</v>
      </c>
      <c r="D50" s="2008"/>
      <c r="E50" s="2008"/>
      <c r="F50" s="2009"/>
      <c r="G50" s="2010"/>
      <c r="H50" s="1946"/>
      <c r="I50" s="1947"/>
      <c r="J50" s="1947"/>
      <c r="K50" s="1948"/>
      <c r="L50" s="1949"/>
      <c r="M50" s="1950"/>
      <c r="N50" s="1967"/>
      <c r="O50" s="1968"/>
      <c r="P50" s="1969"/>
      <c r="Q50" s="1953"/>
      <c r="R50" s="1954"/>
      <c r="S50" s="1954"/>
      <c r="T50" s="1969"/>
      <c r="U50" s="1955"/>
      <c r="Z50" s="1956"/>
      <c r="AA50" s="1956"/>
      <c r="AJ50" s="1960"/>
    </row>
    <row r="51" spans="1:36" ht="21.95" customHeight="1" x14ac:dyDescent="0.2">
      <c r="B51" s="2006"/>
      <c r="C51" s="2011"/>
      <c r="D51" s="2008" t="str">
        <f>K3.!G11</f>
        <v>Petugas K3</v>
      </c>
      <c r="E51" s="2008"/>
      <c r="F51" s="2009"/>
      <c r="G51" s="2010">
        <f>K3.!E11</f>
        <v>1</v>
      </c>
      <c r="H51" s="1946" t="str">
        <f>K3.!F11</f>
        <v>Ls</v>
      </c>
      <c r="I51" s="1947" t="str">
        <f>I47</f>
        <v>WNI</v>
      </c>
      <c r="J51" s="1947"/>
      <c r="K51" s="1948">
        <f>K3.!L11</f>
        <v>1</v>
      </c>
      <c r="L51" s="1949"/>
      <c r="M51" s="1950"/>
      <c r="N51" s="1967">
        <f>K3.!J11</f>
        <v>3500000</v>
      </c>
      <c r="O51" s="1968"/>
      <c r="P51" s="1969">
        <f t="shared" ref="P51" si="31">N51*G51</f>
        <v>3500000</v>
      </c>
      <c r="Q51" s="1953"/>
      <c r="R51" s="1954"/>
      <c r="S51" s="1954">
        <f t="shared" ref="S51" si="32">P51*K51</f>
        <v>3500000</v>
      </c>
      <c r="T51" s="1969">
        <f t="shared" ref="T51" si="33">P51-S51</f>
        <v>0</v>
      </c>
      <c r="U51" s="1955"/>
      <c r="Z51" s="1956"/>
      <c r="AA51" s="1956"/>
      <c r="AJ51" s="1960"/>
    </row>
    <row r="52" spans="1:36" ht="21.95" customHeight="1" x14ac:dyDescent="0.2">
      <c r="B52" s="2006"/>
      <c r="C52" s="2007" t="str">
        <f>K3.!G12</f>
        <v>BAHAN</v>
      </c>
      <c r="D52" s="2008"/>
      <c r="E52" s="2008"/>
      <c r="F52" s="2009"/>
      <c r="G52" s="2010"/>
      <c r="H52" s="1946"/>
      <c r="I52" s="1947"/>
      <c r="J52" s="1947"/>
      <c r="K52" s="1948"/>
      <c r="L52" s="1949"/>
      <c r="M52" s="1950"/>
      <c r="N52" s="1967"/>
      <c r="O52" s="1968"/>
      <c r="P52" s="1969"/>
      <c r="Q52" s="1953"/>
      <c r="R52" s="1954"/>
      <c r="S52" s="1954"/>
      <c r="T52" s="1969"/>
      <c r="U52" s="1955"/>
      <c r="Z52" s="1956"/>
      <c r="AA52" s="1956"/>
      <c r="AJ52" s="1960"/>
    </row>
    <row r="53" spans="1:36" ht="21.95" customHeight="1" x14ac:dyDescent="0.2">
      <c r="B53" s="2006"/>
      <c r="C53" s="2011"/>
      <c r="D53" s="2008" t="str">
        <f>K3.!G13</f>
        <v>Topi Pelindung (Safety Helmet)</v>
      </c>
      <c r="E53" s="2008"/>
      <c r="F53" s="2009"/>
      <c r="G53" s="2010">
        <f>K3.!E13</f>
        <v>20</v>
      </c>
      <c r="H53" s="1946" t="str">
        <f>K3.!F13</f>
        <v>Unit</v>
      </c>
      <c r="I53" s="1947"/>
      <c r="J53" s="1947"/>
      <c r="K53" s="1948">
        <f>K3.!L13</f>
        <v>0</v>
      </c>
      <c r="L53" s="1949"/>
      <c r="M53" s="1950"/>
      <c r="N53" s="1967">
        <f>K3.!J13</f>
        <v>30000</v>
      </c>
      <c r="O53" s="1968"/>
      <c r="P53" s="1969">
        <f>N53*G53</f>
        <v>600000</v>
      </c>
      <c r="Q53" s="1953"/>
      <c r="R53" s="1954"/>
      <c r="S53" s="1954">
        <f t="shared" ref="S53:S57" si="34">P53*K53</f>
        <v>0</v>
      </c>
      <c r="T53" s="1969">
        <f t="shared" ref="T53:T57" si="35">P53-S53</f>
        <v>600000</v>
      </c>
      <c r="U53" s="1955"/>
      <c r="Z53" s="1956"/>
      <c r="AA53" s="1956"/>
      <c r="AJ53" s="1960"/>
    </row>
    <row r="54" spans="1:36" ht="21.95" customHeight="1" x14ac:dyDescent="0.2">
      <c r="B54" s="2006"/>
      <c r="C54" s="2011"/>
      <c r="D54" s="2008" t="str">
        <f>K3.!G14</f>
        <v>Pelindung mata (Kacamata)</v>
      </c>
      <c r="E54" s="2008"/>
      <c r="F54" s="2009"/>
      <c r="G54" s="2010">
        <f>K3.!E14</f>
        <v>20</v>
      </c>
      <c r="H54" s="1946" t="str">
        <f>K3.!F14</f>
        <v>Unit</v>
      </c>
      <c r="I54" s="1947"/>
      <c r="J54" s="1947"/>
      <c r="K54" s="1948">
        <f>K3.!L14</f>
        <v>0</v>
      </c>
      <c r="L54" s="1949"/>
      <c r="M54" s="1950"/>
      <c r="N54" s="1967">
        <f>K3.!J14</f>
        <v>20000</v>
      </c>
      <c r="O54" s="1968"/>
      <c r="P54" s="1969">
        <f t="shared" ref="P54:P57" si="36">N54*G54</f>
        <v>400000</v>
      </c>
      <c r="Q54" s="1953"/>
      <c r="R54" s="1954"/>
      <c r="S54" s="1954">
        <f t="shared" si="34"/>
        <v>0</v>
      </c>
      <c r="T54" s="1969">
        <f t="shared" si="35"/>
        <v>400000</v>
      </c>
      <c r="U54" s="1955"/>
      <c r="Z54" s="1956"/>
      <c r="AA54" s="1956"/>
      <c r="AJ54" s="1960"/>
    </row>
    <row r="55" spans="1:36" ht="21.95" customHeight="1" x14ac:dyDescent="0.2">
      <c r="B55" s="2006"/>
      <c r="C55" s="2011"/>
      <c r="D55" s="2008" t="str">
        <f>K3.!G15</f>
        <v>Pelindung Pernafasan dan mulut (masker)</v>
      </c>
      <c r="E55" s="2008"/>
      <c r="F55" s="2009"/>
      <c r="G55" s="2010">
        <f>K3.!E15</f>
        <v>10</v>
      </c>
      <c r="H55" s="1946" t="str">
        <f>K3.!F15</f>
        <v>Box</v>
      </c>
      <c r="I55" s="1947"/>
      <c r="J55" s="1947"/>
      <c r="K55" s="1948">
        <f>K3.!L15</f>
        <v>0</v>
      </c>
      <c r="L55" s="1949"/>
      <c r="M55" s="1950"/>
      <c r="N55" s="1967">
        <f>K3.!J15</f>
        <v>30000</v>
      </c>
      <c r="O55" s="1968"/>
      <c r="P55" s="1969">
        <f t="shared" si="36"/>
        <v>300000</v>
      </c>
      <c r="Q55" s="1953"/>
      <c r="R55" s="1954"/>
      <c r="S55" s="1954">
        <f t="shared" si="34"/>
        <v>0</v>
      </c>
      <c r="T55" s="1969">
        <f t="shared" si="35"/>
        <v>300000</v>
      </c>
      <c r="U55" s="1955"/>
      <c r="Z55" s="1956"/>
      <c r="AA55" s="1956"/>
      <c r="AJ55" s="1960"/>
    </row>
    <row r="56" spans="1:36" ht="21.95" customHeight="1" x14ac:dyDescent="0.2">
      <c r="B56" s="2006"/>
      <c r="C56" s="2011"/>
      <c r="D56" s="2008" t="str">
        <f>K3.!G16</f>
        <v>Sarung Tangan (Safety Gloves)</v>
      </c>
      <c r="E56" s="2008"/>
      <c r="F56" s="2009"/>
      <c r="G56" s="2010">
        <f>K3.!E16</f>
        <v>20</v>
      </c>
      <c r="H56" s="1946" t="str">
        <f>K3.!F16</f>
        <v>Psg</v>
      </c>
      <c r="I56" s="1947"/>
      <c r="J56" s="1947"/>
      <c r="K56" s="1948">
        <f>K3.!L16</f>
        <v>0</v>
      </c>
      <c r="L56" s="1949"/>
      <c r="M56" s="1950"/>
      <c r="N56" s="1967">
        <f>K3.!J16</f>
        <v>20000</v>
      </c>
      <c r="O56" s="1968"/>
      <c r="P56" s="1969">
        <f t="shared" si="36"/>
        <v>400000</v>
      </c>
      <c r="Q56" s="1953"/>
      <c r="R56" s="1954"/>
      <c r="S56" s="1954">
        <f t="shared" si="34"/>
        <v>0</v>
      </c>
      <c r="T56" s="1969">
        <f t="shared" si="35"/>
        <v>400000</v>
      </c>
      <c r="U56" s="1955"/>
      <c r="Z56" s="1956"/>
      <c r="AA56" s="1956"/>
      <c r="AJ56" s="1960"/>
    </row>
    <row r="57" spans="1:36" ht="21.95" customHeight="1" x14ac:dyDescent="0.2">
      <c r="B57" s="2006"/>
      <c r="C57" s="2011"/>
      <c r="D57" s="2008" t="str">
        <f>K3.!G17</f>
        <v>Sepatu Keselamatan (Safety Shoes)</v>
      </c>
      <c r="E57" s="2008"/>
      <c r="F57" s="2009"/>
      <c r="G57" s="2010">
        <f>K3.!E17</f>
        <v>20</v>
      </c>
      <c r="H57" s="1946" t="str">
        <f>K3.!F17</f>
        <v>Psg</v>
      </c>
      <c r="I57" s="1947"/>
      <c r="J57" s="1947"/>
      <c r="K57" s="1948">
        <f>K3.!L17</f>
        <v>0</v>
      </c>
      <c r="L57" s="1949"/>
      <c r="M57" s="1950"/>
      <c r="N57" s="1967">
        <f>K3.!J17</f>
        <v>35000</v>
      </c>
      <c r="O57" s="1968"/>
      <c r="P57" s="1969">
        <f t="shared" si="36"/>
        <v>700000</v>
      </c>
      <c r="Q57" s="1953"/>
      <c r="R57" s="1954"/>
      <c r="S57" s="1954">
        <f t="shared" si="34"/>
        <v>0</v>
      </c>
      <c r="T57" s="1969">
        <f t="shared" si="35"/>
        <v>700000</v>
      </c>
      <c r="U57" s="1955"/>
      <c r="Z57" s="1956"/>
      <c r="AA57" s="1956"/>
      <c r="AJ57" s="1960"/>
    </row>
    <row r="58" spans="1:36" ht="21.95" customHeight="1" x14ac:dyDescent="0.2">
      <c r="B58" s="2006"/>
      <c r="C58" s="2011"/>
      <c r="D58" s="2008" t="str">
        <f>K3.!G18</f>
        <v>Rompi keselamatan Safety Vest)</v>
      </c>
      <c r="E58" s="2008"/>
      <c r="F58" s="2009"/>
      <c r="G58" s="2010">
        <f>K3.!E18</f>
        <v>20</v>
      </c>
      <c r="H58" s="1946" t="str">
        <f>K3.!F18</f>
        <v>Unit</v>
      </c>
      <c r="I58" s="1947"/>
      <c r="J58" s="1947"/>
      <c r="K58" s="1948">
        <f>K3.!L18</f>
        <v>0</v>
      </c>
      <c r="L58" s="1949"/>
      <c r="M58" s="1950"/>
      <c r="N58" s="1967">
        <f>K3.!J18</f>
        <v>15000</v>
      </c>
      <c r="O58" s="1968"/>
      <c r="P58" s="1969">
        <f t="shared" ref="P58:P66" si="37">N58*G58</f>
        <v>300000</v>
      </c>
      <c r="Q58" s="1953"/>
      <c r="R58" s="1954"/>
      <c r="S58" s="1954">
        <f t="shared" ref="S58:S66" si="38">P58*K58</f>
        <v>0</v>
      </c>
      <c r="T58" s="1969">
        <f t="shared" ref="T58:T68" si="39">P58-S58</f>
        <v>300000</v>
      </c>
      <c r="U58" s="1955"/>
      <c r="Z58" s="1956"/>
      <c r="AA58" s="1956"/>
      <c r="AJ58" s="1960"/>
    </row>
    <row r="59" spans="1:36" ht="21.95" customHeight="1" x14ac:dyDescent="0.2">
      <c r="B59" s="2006"/>
      <c r="C59" s="2011"/>
      <c r="D59" s="2008" t="str">
        <f>K3.!G19</f>
        <v>Pelindung Jatuh (Body Harness)</v>
      </c>
      <c r="E59" s="2008"/>
      <c r="F59" s="2009"/>
      <c r="G59" s="2010">
        <f>K3.!E19</f>
        <v>2</v>
      </c>
      <c r="H59" s="1946" t="str">
        <f>K3.!F19</f>
        <v>Unit</v>
      </c>
      <c r="I59" s="1947"/>
      <c r="J59" s="1947"/>
      <c r="K59" s="1948">
        <f>K3.!L19</f>
        <v>0</v>
      </c>
      <c r="L59" s="1949"/>
      <c r="M59" s="1950"/>
      <c r="N59" s="1967">
        <f>K3.!J19</f>
        <v>200000</v>
      </c>
      <c r="O59" s="1968"/>
      <c r="P59" s="1969">
        <f t="shared" si="37"/>
        <v>400000</v>
      </c>
      <c r="Q59" s="1953"/>
      <c r="R59" s="1954"/>
      <c r="S59" s="1954">
        <f t="shared" si="38"/>
        <v>0</v>
      </c>
      <c r="T59" s="1969">
        <f t="shared" si="39"/>
        <v>400000</v>
      </c>
      <c r="U59" s="1955"/>
      <c r="Z59" s="1956"/>
      <c r="AA59" s="1956"/>
      <c r="AJ59" s="1960"/>
    </row>
    <row r="60" spans="1:36" ht="21.95" customHeight="1" x14ac:dyDescent="0.2">
      <c r="B60" s="2006"/>
      <c r="C60" s="2011"/>
      <c r="D60" s="2008" t="str">
        <f>K3.!G20</f>
        <v>apar</v>
      </c>
      <c r="E60" s="2008"/>
      <c r="F60" s="2009"/>
      <c r="G60" s="2010">
        <f>K3.!E20</f>
        <v>1</v>
      </c>
      <c r="H60" s="1946" t="str">
        <f>K3.!F20</f>
        <v>Unit</v>
      </c>
      <c r="I60" s="1947"/>
      <c r="J60" s="1947"/>
      <c r="K60" s="1948">
        <f>K3.!L20</f>
        <v>0</v>
      </c>
      <c r="L60" s="1949"/>
      <c r="M60" s="1950"/>
      <c r="N60" s="1967">
        <f>K3.!J20</f>
        <v>300000</v>
      </c>
      <c r="O60" s="1968"/>
      <c r="P60" s="1969">
        <f t="shared" si="37"/>
        <v>300000</v>
      </c>
      <c r="Q60" s="1953"/>
      <c r="R60" s="1954"/>
      <c r="S60" s="1954">
        <f t="shared" si="38"/>
        <v>0</v>
      </c>
      <c r="T60" s="1969">
        <f t="shared" si="39"/>
        <v>300000</v>
      </c>
      <c r="U60" s="1955"/>
      <c r="Z60" s="1956"/>
      <c r="AA60" s="1956"/>
      <c r="AJ60" s="1960"/>
    </row>
    <row r="61" spans="1:36" ht="21.95" customHeight="1" x14ac:dyDescent="0.2">
      <c r="B61" s="2006"/>
      <c r="C61" s="2011"/>
      <c r="D61" s="2008" t="str">
        <f>K3.!G21</f>
        <v xml:space="preserve">Spanduk (banner) </v>
      </c>
      <c r="E61" s="2008"/>
      <c r="F61" s="2009"/>
      <c r="G61" s="2010">
        <f>K3.!E21</f>
        <v>2</v>
      </c>
      <c r="H61" s="1946" t="str">
        <f>K3.!F21</f>
        <v>lbr</v>
      </c>
      <c r="I61" s="1947"/>
      <c r="J61" s="1947"/>
      <c r="K61" s="1948">
        <f>K3.!L21</f>
        <v>0</v>
      </c>
      <c r="L61" s="1949"/>
      <c r="M61" s="1950"/>
      <c r="N61" s="1967">
        <f>K3.!J21</f>
        <v>54000</v>
      </c>
      <c r="O61" s="1968"/>
      <c r="P61" s="1969">
        <f t="shared" si="37"/>
        <v>108000</v>
      </c>
      <c r="Q61" s="1953"/>
      <c r="R61" s="1954"/>
      <c r="S61" s="1954">
        <f t="shared" si="38"/>
        <v>0</v>
      </c>
      <c r="T61" s="1969">
        <f t="shared" si="39"/>
        <v>108000</v>
      </c>
      <c r="U61" s="1955"/>
      <c r="Z61" s="1956"/>
      <c r="AA61" s="1956"/>
      <c r="AJ61" s="1960"/>
    </row>
    <row r="62" spans="1:36" ht="21.95" customHeight="1" x14ac:dyDescent="0.2">
      <c r="B62" s="2006"/>
      <c r="C62" s="2011"/>
      <c r="D62" s="2008" t="str">
        <f>K3.!G22</f>
        <v>Peralatan P3K</v>
      </c>
      <c r="E62" s="2008"/>
      <c r="F62" s="2009"/>
      <c r="G62" s="2010">
        <f>K3.!E22</f>
        <v>1</v>
      </c>
      <c r="H62" s="1946" t="str">
        <f>K3.!F22</f>
        <v>buah</v>
      </c>
      <c r="I62" s="1947"/>
      <c r="J62" s="1947"/>
      <c r="K62" s="1948">
        <f>K3.!L22</f>
        <v>0</v>
      </c>
      <c r="L62" s="1949"/>
      <c r="M62" s="1950"/>
      <c r="N62" s="1967">
        <f>K3.!J22</f>
        <v>150000</v>
      </c>
      <c r="O62" s="1968"/>
      <c r="P62" s="1969">
        <f t="shared" si="37"/>
        <v>150000</v>
      </c>
      <c r="Q62" s="1953"/>
      <c r="R62" s="1954"/>
      <c r="S62" s="1954">
        <f t="shared" si="38"/>
        <v>0</v>
      </c>
      <c r="T62" s="1969">
        <f t="shared" si="39"/>
        <v>150000</v>
      </c>
      <c r="U62" s="1955"/>
      <c r="Z62" s="1956"/>
      <c r="AA62" s="1956"/>
      <c r="AJ62" s="1960"/>
    </row>
    <row r="63" spans="1:36" ht="21.95" customHeight="1" x14ac:dyDescent="0.2">
      <c r="B63" s="2006"/>
      <c r="C63" s="2011"/>
      <c r="D63" s="2008" t="str">
        <f>K3.!G23</f>
        <v>Tempat cuci tangan (kran air + instalasi)</v>
      </c>
      <c r="E63" s="2008"/>
      <c r="F63" s="2009"/>
      <c r="G63" s="2010">
        <f>K3.!E23</f>
        <v>1</v>
      </c>
      <c r="H63" s="1946" t="str">
        <f>K3.!F23</f>
        <v>buah</v>
      </c>
      <c r="I63" s="1947"/>
      <c r="J63" s="1947"/>
      <c r="K63" s="1948">
        <f>K3.!L23</f>
        <v>0</v>
      </c>
      <c r="L63" s="1949"/>
      <c r="M63" s="1950"/>
      <c r="N63" s="1967">
        <f>K3.!J23</f>
        <v>134000</v>
      </c>
      <c r="O63" s="1968"/>
      <c r="P63" s="1969">
        <f t="shared" si="37"/>
        <v>134000</v>
      </c>
      <c r="Q63" s="1953"/>
      <c r="R63" s="1954"/>
      <c r="S63" s="1954">
        <f t="shared" si="38"/>
        <v>0</v>
      </c>
      <c r="T63" s="1969">
        <f t="shared" si="39"/>
        <v>134000</v>
      </c>
      <c r="U63" s="1955"/>
      <c r="Z63" s="1956"/>
      <c r="AA63" s="1956"/>
      <c r="AJ63" s="1960"/>
    </row>
    <row r="64" spans="1:36" ht="21.95" customHeight="1" x14ac:dyDescent="0.2">
      <c r="B64" s="2006"/>
      <c r="C64" s="2011"/>
      <c r="D64" s="2008" t="str">
        <f>K3.!G24</f>
        <v>Hand sanitizer (botol)</v>
      </c>
      <c r="E64" s="2008"/>
      <c r="F64" s="2009"/>
      <c r="G64" s="2010">
        <f>K3.!E24</f>
        <v>2</v>
      </c>
      <c r="H64" s="1946" t="str">
        <f>K3.!F24</f>
        <v>ltr</v>
      </c>
      <c r="I64" s="1947"/>
      <c r="J64" s="1947"/>
      <c r="K64" s="1948">
        <f>K3.!L24</f>
        <v>0</v>
      </c>
      <c r="L64" s="1949"/>
      <c r="M64" s="1950"/>
      <c r="N64" s="1967">
        <f>K3.!J24</f>
        <v>50000</v>
      </c>
      <c r="O64" s="1968"/>
      <c r="P64" s="1969">
        <f t="shared" si="37"/>
        <v>100000</v>
      </c>
      <c r="Q64" s="1953"/>
      <c r="R64" s="1954"/>
      <c r="S64" s="1954">
        <f t="shared" si="38"/>
        <v>0</v>
      </c>
      <c r="T64" s="1969">
        <f t="shared" si="39"/>
        <v>100000</v>
      </c>
      <c r="U64" s="1955"/>
      <c r="Z64" s="1956"/>
      <c r="AA64" s="1956"/>
      <c r="AJ64" s="1960"/>
    </row>
    <row r="65" spans="1:36" ht="21.95" customHeight="1" x14ac:dyDescent="0.2">
      <c r="B65" s="2006"/>
      <c r="C65" s="2011"/>
      <c r="D65" s="2008" t="str">
        <f>K3.!G25</f>
        <v>Alat penyemprot desinfektan peralatan kerja</v>
      </c>
      <c r="E65" s="2008"/>
      <c r="F65" s="2009"/>
      <c r="G65" s="2010">
        <f>K3.!E25</f>
        <v>2</v>
      </c>
      <c r="H65" s="1946" t="str">
        <f>K3.!F25</f>
        <v>buah</v>
      </c>
      <c r="I65" s="1947"/>
      <c r="J65" s="1947"/>
      <c r="K65" s="1948">
        <f>K3.!L25</f>
        <v>0</v>
      </c>
      <c r="L65" s="1949"/>
      <c r="M65" s="1950"/>
      <c r="N65" s="1967">
        <f>K3.!J25</f>
        <v>33000</v>
      </c>
      <c r="O65" s="1968"/>
      <c r="P65" s="1969">
        <f t="shared" si="37"/>
        <v>66000</v>
      </c>
      <c r="Q65" s="1953"/>
      <c r="R65" s="1954"/>
      <c r="S65" s="1954">
        <f t="shared" si="38"/>
        <v>0</v>
      </c>
      <c r="T65" s="1969">
        <f t="shared" si="39"/>
        <v>66000</v>
      </c>
      <c r="U65" s="1955"/>
      <c r="Z65" s="1956"/>
      <c r="AA65" s="1956"/>
      <c r="AJ65" s="1960"/>
    </row>
    <row r="66" spans="1:36" ht="21.95" customHeight="1" x14ac:dyDescent="0.2">
      <c r="B66" s="2006"/>
      <c r="C66" s="2011"/>
      <c r="D66" s="2008" t="str">
        <f>K3.!G26</f>
        <v>Desinfektan peralatan Kerja</v>
      </c>
      <c r="E66" s="2008"/>
      <c r="F66" s="2009"/>
      <c r="G66" s="2010">
        <f>K3.!E26</f>
        <v>1</v>
      </c>
      <c r="H66" s="1946" t="str">
        <f>K3.!F26</f>
        <v>ltr</v>
      </c>
      <c r="I66" s="1947"/>
      <c r="J66" s="1947"/>
      <c r="K66" s="1948">
        <f>K3.!L26</f>
        <v>0</v>
      </c>
      <c r="L66" s="1949"/>
      <c r="M66" s="1950"/>
      <c r="N66" s="1967">
        <f>K3.!J26</f>
        <v>50000</v>
      </c>
      <c r="O66" s="1968"/>
      <c r="P66" s="1969">
        <f t="shared" si="37"/>
        <v>50000</v>
      </c>
      <c r="Q66" s="1953"/>
      <c r="R66" s="1954"/>
      <c r="S66" s="1954">
        <f t="shared" si="38"/>
        <v>0</v>
      </c>
      <c r="T66" s="1969">
        <f t="shared" si="39"/>
        <v>50000</v>
      </c>
      <c r="U66" s="1955"/>
      <c r="Z66" s="1956"/>
      <c r="AA66" s="1956"/>
      <c r="AJ66" s="1960"/>
    </row>
    <row r="67" spans="1:36" s="1957" customFormat="1" ht="21.95" customHeight="1" x14ac:dyDescent="0.2">
      <c r="A67" s="1942"/>
      <c r="B67" s="1970"/>
      <c r="C67" s="1971"/>
      <c r="D67" s="1972"/>
      <c r="E67" s="1973"/>
      <c r="F67" s="1974" t="s">
        <v>556</v>
      </c>
      <c r="G67" s="1975">
        <f>B49</f>
        <v>5</v>
      </c>
      <c r="H67" s="1976"/>
      <c r="I67" s="1977"/>
      <c r="J67" s="1977"/>
      <c r="K67" s="1978"/>
      <c r="L67" s="1979"/>
      <c r="M67" s="1980"/>
      <c r="N67" s="1981"/>
      <c r="O67" s="1982"/>
      <c r="P67" s="1983">
        <f>SUM(P51:P66)</f>
        <v>7508000</v>
      </c>
      <c r="Q67" s="1984"/>
      <c r="R67" s="1985"/>
      <c r="S67" s="1983">
        <f>SUM(S51:S66)</f>
        <v>3500000</v>
      </c>
      <c r="T67" s="1983">
        <f>SUM(T51:T66)</f>
        <v>4008000</v>
      </c>
      <c r="U67" s="1986"/>
      <c r="V67" s="1848"/>
      <c r="W67" s="1848"/>
      <c r="X67" s="1848"/>
      <c r="Y67" s="1848"/>
      <c r="Z67" s="1956"/>
      <c r="AA67" s="1956"/>
      <c r="AF67" s="1958"/>
      <c r="AG67" s="1958"/>
      <c r="AH67" s="1958"/>
      <c r="AI67" s="1959"/>
      <c r="AJ67" s="1960"/>
    </row>
    <row r="68" spans="1:36" ht="21.95" customHeight="1" x14ac:dyDescent="0.2">
      <c r="A68" s="1833">
        <f>satpek!B108</f>
        <v>89</v>
      </c>
      <c r="B68" s="2012">
        <f>B49+1</f>
        <v>6</v>
      </c>
      <c r="C68" s="2013"/>
      <c r="D68" s="1944" t="str">
        <f>VLOOKUP($A68,satpek!$B$20:$N$144,2,0)</f>
        <v>Papan Nama Proyek</v>
      </c>
      <c r="E68" s="2014"/>
      <c r="F68" s="2015"/>
      <c r="G68" s="2016">
        <f>'[3]B.VOL RAB'!Q23</f>
        <v>1</v>
      </c>
      <c r="H68" s="1946" t="str">
        <f>VLOOKUP($A68,satpek!$B$20:$N$144,7,0)</f>
        <v>ls</v>
      </c>
      <c r="I68" s="1947"/>
      <c r="J68" s="1947"/>
      <c r="K68" s="1948">
        <f>satpek!I108</f>
        <v>0.2</v>
      </c>
      <c r="L68" s="1949"/>
      <c r="M68" s="1950" t="str">
        <f>VLOOKUP($A68,satpek!$B$20:$N$144,5,0)</f>
        <v>Daftar harga</v>
      </c>
      <c r="N68" s="1951">
        <f>VLOOKUP($A68,satpek!$B$20:$N$144,6,0)</f>
        <v>350000</v>
      </c>
      <c r="O68" s="1938"/>
      <c r="P68" s="1952">
        <f t="shared" si="0"/>
        <v>350000</v>
      </c>
      <c r="Q68" s="1953">
        <f>VLOOKUP($A68,satpek!$B$20:$L$138,8,0)</f>
        <v>0.2</v>
      </c>
      <c r="R68" s="1954">
        <f>VLOOKUP($A68,satpek!$B$20:$L$138,9,0)</f>
        <v>0</v>
      </c>
      <c r="S68" s="1954">
        <f>K68*N68</f>
        <v>70000</v>
      </c>
      <c r="T68" s="1969">
        <f t="shared" si="39"/>
        <v>280000</v>
      </c>
      <c r="U68" s="1955"/>
      <c r="X68" s="1848">
        <f>P69</f>
        <v>350000</v>
      </c>
      <c r="Y68" s="1848">
        <f>S69</f>
        <v>3806573.25</v>
      </c>
      <c r="Z68" s="1956">
        <v>1</v>
      </c>
      <c r="AA68" s="1956">
        <f>Z68-G68</f>
        <v>0</v>
      </c>
      <c r="AB68" s="1836" t="s">
        <v>427</v>
      </c>
      <c r="AI68" s="1910">
        <v>350000</v>
      </c>
      <c r="AJ68" s="1960">
        <f>AI68-N68</f>
        <v>0</v>
      </c>
    </row>
    <row r="69" spans="1:36" ht="21.95" customHeight="1" x14ac:dyDescent="0.2">
      <c r="B69" s="2017"/>
      <c r="C69" s="2018"/>
      <c r="D69" s="2019"/>
      <c r="E69" s="2019"/>
      <c r="F69" s="2020"/>
      <c r="G69" s="2021"/>
      <c r="H69" s="2022"/>
      <c r="I69" s="2023"/>
      <c r="J69" s="2023"/>
      <c r="K69" s="2024"/>
      <c r="L69" s="2025"/>
      <c r="M69" s="2025"/>
      <c r="N69" s="2026"/>
      <c r="O69" s="2027"/>
      <c r="P69" s="2028">
        <f>SUM(P68)</f>
        <v>350000</v>
      </c>
      <c r="Q69" s="2029">
        <f>AVERAGE(Q16:Q68)</f>
        <v>0.61547935576949897</v>
      </c>
      <c r="R69" s="2023"/>
      <c r="S69" s="2030">
        <f>S68+S67+S48+S43+S32+S26</f>
        <v>3806573.25</v>
      </c>
      <c r="T69" s="2030">
        <f>T68+T67+T48+T43+T32+T26</f>
        <v>4422570.75</v>
      </c>
      <c r="U69" s="2031"/>
      <c r="V69" s="1848">
        <f>[3]HPS!M26</f>
        <v>43812473.060000002</v>
      </c>
      <c r="W69" s="1848" t="e">
        <f>#REF!-V69</f>
        <v>#REF!</v>
      </c>
      <c r="Z69" s="1956"/>
      <c r="AA69" s="1956">
        <f>Z69-G69</f>
        <v>0</v>
      </c>
      <c r="AJ69" s="1960">
        <f>AI69-N69</f>
        <v>0</v>
      </c>
    </row>
    <row r="70" spans="1:36" ht="21.95" customHeight="1" x14ac:dyDescent="0.2">
      <c r="B70" s="2032" t="s">
        <v>1762</v>
      </c>
      <c r="C70" s="2033"/>
      <c r="D70" s="2034" t="s">
        <v>356</v>
      </c>
      <c r="E70" s="2035"/>
      <c r="F70" s="2036"/>
      <c r="G70" s="1991"/>
      <c r="H70" s="2037"/>
      <c r="I70" s="2038"/>
      <c r="J70" s="2038"/>
      <c r="K70" s="2039"/>
      <c r="L70" s="2040"/>
      <c r="M70" s="2040"/>
      <c r="N70" s="1997"/>
      <c r="O70" s="2041"/>
      <c r="P70" s="2042"/>
      <c r="Q70" s="2038"/>
      <c r="R70" s="2038"/>
      <c r="S70" s="2038"/>
      <c r="T70" s="2043"/>
      <c r="U70" s="2044"/>
      <c r="Z70" s="1956"/>
      <c r="AA70" s="1956">
        <f>Z70-G70</f>
        <v>0</v>
      </c>
      <c r="AB70" s="1836" t="s">
        <v>356</v>
      </c>
      <c r="AJ70" s="1960">
        <f>AI70-N70</f>
        <v>0</v>
      </c>
    </row>
    <row r="71" spans="1:36" ht="21.95" customHeight="1" x14ac:dyDescent="0.2">
      <c r="A71" s="1833">
        <f>satpek!B24</f>
        <v>5</v>
      </c>
      <c r="B71" s="1943">
        <v>1</v>
      </c>
      <c r="C71" s="1937"/>
      <c r="D71" s="1944" t="str">
        <f>VLOOKUP($A71,satpek!$B$20:$N$144,2,0)</f>
        <v xml:space="preserve">Menggali tanah biasa sedalam 1 m' </v>
      </c>
      <c r="E71" s="1944"/>
      <c r="F71" s="2004"/>
      <c r="G71" s="1945">
        <f>'[3]B.VOL RAB'!Q26</f>
        <v>125.12000000000002</v>
      </c>
      <c r="H71" s="1946" t="str">
        <f>VLOOKUP($A71,satpek!$B$20:$N$144,7,0)</f>
        <v>m3</v>
      </c>
      <c r="I71" s="1947"/>
      <c r="J71" s="1947"/>
      <c r="K71" s="1948"/>
      <c r="L71" s="1949"/>
      <c r="M71" s="1950" t="str">
        <f>VLOOKUP($A71,satpek!$B$20:$N$144,5,0)</f>
        <v>A.2.3.1.1.</v>
      </c>
      <c r="N71" s="1951">
        <f>VLOOKUP($A71,satpek!$B$20:$N$144,6,0)</f>
        <v>77376.75</v>
      </c>
      <c r="O71" s="1938"/>
      <c r="P71" s="1952">
        <f t="shared" ref="P71:P93" si="40">ROUND((G71*N71),2)</f>
        <v>9681378.9600000009</v>
      </c>
      <c r="Q71" s="1953">
        <f>VLOOKUP($A71,satpek!$B$20:$L$138,8,0)</f>
        <v>1</v>
      </c>
      <c r="R71" s="1954">
        <f>VLOOKUP($A71,satpek!$B$20:$L$138,9,0)</f>
        <v>68475</v>
      </c>
      <c r="S71" s="1954"/>
      <c r="T71" s="1952"/>
      <c r="U71" s="1955"/>
      <c r="X71" s="1848">
        <f>P75</f>
        <v>68475</v>
      </c>
      <c r="Y71" s="1848">
        <f>S75</f>
        <v>68475</v>
      </c>
      <c r="Z71" s="1956">
        <v>125.12000000000002</v>
      </c>
      <c r="AA71" s="1956">
        <f>Z71-G71</f>
        <v>0</v>
      </c>
      <c r="AB71" s="1836" t="s">
        <v>701</v>
      </c>
      <c r="AI71" s="1910">
        <v>74919</v>
      </c>
      <c r="AJ71" s="1960">
        <f>AI71-N71</f>
        <v>-2457.75</v>
      </c>
    </row>
    <row r="72" spans="1:36" ht="21.95" customHeight="1" x14ac:dyDescent="0.2">
      <c r="B72" s="2045"/>
      <c r="C72" s="2046" t="str">
        <f>SNI!D102</f>
        <v>Tenaga Kerja</v>
      </c>
      <c r="D72" s="2047"/>
      <c r="E72" s="2047"/>
      <c r="F72" s="2048"/>
      <c r="G72" s="2049"/>
      <c r="H72" s="2050"/>
      <c r="I72" s="2051"/>
      <c r="J72" s="2051"/>
      <c r="K72" s="2052"/>
      <c r="L72" s="2053"/>
      <c r="M72" s="2054"/>
      <c r="N72" s="2055"/>
      <c r="O72" s="2056"/>
      <c r="P72" s="2057"/>
      <c r="Q72" s="2058"/>
      <c r="R72" s="2059"/>
      <c r="S72" s="2059"/>
      <c r="T72" s="2057"/>
      <c r="U72" s="2060"/>
      <c r="Z72" s="1956"/>
      <c r="AA72" s="1956"/>
      <c r="AJ72" s="1960"/>
    </row>
    <row r="73" spans="1:36" ht="21.95" customHeight="1" x14ac:dyDescent="0.2">
      <c r="B73" s="2045"/>
      <c r="C73" s="2046"/>
      <c r="D73" s="2047" t="str">
        <f>SNI!E102</f>
        <v>Pekerja</v>
      </c>
      <c r="E73" s="2047"/>
      <c r="F73" s="2048"/>
      <c r="G73" s="2049">
        <f>SNI!H102</f>
        <v>0.75</v>
      </c>
      <c r="H73" s="2050" t="str">
        <f>SNI!G102</f>
        <v>OH</v>
      </c>
      <c r="I73" s="2051" t="str">
        <f>SNI!M102</f>
        <v>WNI</v>
      </c>
      <c r="J73" s="2051"/>
      <c r="K73" s="2052">
        <f>SNI!L102</f>
        <v>1</v>
      </c>
      <c r="L73" s="2053"/>
      <c r="M73" s="2054"/>
      <c r="N73" s="1967">
        <f>SNI!I102</f>
        <v>88300</v>
      </c>
      <c r="O73" s="2056"/>
      <c r="P73" s="1969">
        <f t="shared" ref="P73" si="41">N73*G73</f>
        <v>66225</v>
      </c>
      <c r="Q73" s="1953"/>
      <c r="R73" s="1954"/>
      <c r="S73" s="1954">
        <f t="shared" ref="S73" si="42">P73*K73</f>
        <v>66225</v>
      </c>
      <c r="T73" s="1969">
        <f t="shared" ref="T73" si="43">P73-S73</f>
        <v>0</v>
      </c>
      <c r="U73" s="2060"/>
      <c r="Z73" s="1956"/>
      <c r="AA73" s="1956"/>
      <c r="AJ73" s="1960"/>
    </row>
    <row r="74" spans="1:36" ht="21.95" customHeight="1" x14ac:dyDescent="0.2">
      <c r="B74" s="2045"/>
      <c r="C74" s="2046"/>
      <c r="D74" s="2047" t="str">
        <f>SNI!E103</f>
        <v>Mandor</v>
      </c>
      <c r="E74" s="2047"/>
      <c r="F74" s="2048"/>
      <c r="G74" s="2049">
        <f>SNI!H103</f>
        <v>2.5000000000000001E-2</v>
      </c>
      <c r="H74" s="2050" t="str">
        <f>SNI!G103</f>
        <v>OH</v>
      </c>
      <c r="I74" s="2051" t="str">
        <f>SNI!M103</f>
        <v>WNI</v>
      </c>
      <c r="J74" s="2051"/>
      <c r="K74" s="2052">
        <f>SNI!L103</f>
        <v>1</v>
      </c>
      <c r="L74" s="2053"/>
      <c r="M74" s="2054"/>
      <c r="N74" s="1967">
        <f>SNI!I103</f>
        <v>90000</v>
      </c>
      <c r="O74" s="2056"/>
      <c r="P74" s="1969">
        <f t="shared" ref="P74" si="44">N74*G74</f>
        <v>2250</v>
      </c>
      <c r="Q74" s="1953"/>
      <c r="R74" s="1954"/>
      <c r="S74" s="1954">
        <f t="shared" ref="S74" si="45">P74*K74</f>
        <v>2250</v>
      </c>
      <c r="T74" s="1969">
        <f t="shared" ref="T74" si="46">P74-S74</f>
        <v>0</v>
      </c>
      <c r="U74" s="2060"/>
      <c r="Z74" s="1956"/>
      <c r="AA74" s="1956"/>
      <c r="AJ74" s="1960"/>
    </row>
    <row r="75" spans="1:36" s="1957" customFormat="1" ht="21.95" customHeight="1" x14ac:dyDescent="0.2">
      <c r="A75" s="1942"/>
      <c r="B75" s="1970"/>
      <c r="C75" s="1971"/>
      <c r="D75" s="1972"/>
      <c r="E75" s="1973"/>
      <c r="F75" s="1974" t="s">
        <v>556</v>
      </c>
      <c r="G75" s="1975">
        <f>B71</f>
        <v>1</v>
      </c>
      <c r="H75" s="1976"/>
      <c r="I75" s="1977"/>
      <c r="J75" s="1977"/>
      <c r="K75" s="1978"/>
      <c r="L75" s="1979"/>
      <c r="M75" s="1980"/>
      <c r="N75" s="1981"/>
      <c r="O75" s="1982"/>
      <c r="P75" s="1983">
        <f>SUM(P72:P74)</f>
        <v>68475</v>
      </c>
      <c r="Q75" s="1984"/>
      <c r="R75" s="1985"/>
      <c r="S75" s="1983">
        <f t="shared" ref="S75:T75" si="47">SUM(S72:S74)</f>
        <v>68475</v>
      </c>
      <c r="T75" s="1983">
        <f t="shared" si="47"/>
        <v>0</v>
      </c>
      <c r="U75" s="1986"/>
      <c r="V75" s="1848"/>
      <c r="W75" s="1848"/>
      <c r="X75" s="1848"/>
      <c r="Y75" s="1848"/>
      <c r="Z75" s="1956"/>
      <c r="AA75" s="1956"/>
      <c r="AF75" s="1958"/>
      <c r="AG75" s="1958"/>
      <c r="AH75" s="1958"/>
      <c r="AI75" s="1959"/>
      <c r="AJ75" s="1960"/>
    </row>
    <row r="76" spans="1:36" ht="21.95" customHeight="1" x14ac:dyDescent="0.2">
      <c r="A76" s="1833">
        <f>satpek!B25</f>
        <v>6</v>
      </c>
      <c r="B76" s="1943">
        <f>B71+1</f>
        <v>2</v>
      </c>
      <c r="C76" s="1937"/>
      <c r="D76" s="1944" t="str">
        <f>VLOOKUP($A76,satpek!$B$20:$N$144,2,0)</f>
        <v>Menggali tanah biasa sedalam 2 m'</v>
      </c>
      <c r="E76" s="1944"/>
      <c r="F76" s="2004"/>
      <c r="G76" s="1945">
        <f>'[3]B.VOL RAB'!Q30</f>
        <v>415</v>
      </c>
      <c r="H76" s="1946" t="str">
        <f>VLOOKUP($A76,satpek!$B$20:$N$144,7,0)</f>
        <v>m3</v>
      </c>
      <c r="I76" s="1947"/>
      <c r="J76" s="1947"/>
      <c r="K76" s="1948"/>
      <c r="L76" s="1949"/>
      <c r="M76" s="1950" t="str">
        <f>VLOOKUP($A76,satpek!$B$20:$N$144,5,0)</f>
        <v>A.2.3.1.2.</v>
      </c>
      <c r="N76" s="1951">
        <f>VLOOKUP($A76,satpek!$B$20:$N$144,6,0)</f>
        <v>94377.600000000006</v>
      </c>
      <c r="O76" s="1938"/>
      <c r="P76" s="1952">
        <f t="shared" si="40"/>
        <v>39166704</v>
      </c>
      <c r="Q76" s="1953">
        <f>VLOOKUP($A76,satpek!$B$20:$L$138,8,0)</f>
        <v>1</v>
      </c>
      <c r="R76" s="1954">
        <f>VLOOKUP($A76,satpek!$B$20:$L$138,9,0)</f>
        <v>83520</v>
      </c>
      <c r="S76" s="1954"/>
      <c r="T76" s="1952"/>
      <c r="U76" s="1955"/>
      <c r="X76" s="1848">
        <f>P80</f>
        <v>83520</v>
      </c>
      <c r="Y76" s="1848">
        <f>S80</f>
        <v>83520</v>
      </c>
      <c r="Z76" s="1956">
        <v>415</v>
      </c>
      <c r="AA76" s="1956">
        <f>Z76-G76</f>
        <v>0</v>
      </c>
      <c r="AB76" s="1836" t="s">
        <v>745</v>
      </c>
      <c r="AI76" s="1910">
        <v>91377.45</v>
      </c>
      <c r="AJ76" s="1960">
        <f>AI76-N76</f>
        <v>-3000.1500000000087</v>
      </c>
    </row>
    <row r="77" spans="1:36" ht="21.95" customHeight="1" x14ac:dyDescent="0.2">
      <c r="B77" s="2045"/>
      <c r="C77" s="2046" t="str">
        <f>SNI!D116</f>
        <v>Tenaga Kerja</v>
      </c>
      <c r="D77" s="2047"/>
      <c r="E77" s="2047"/>
      <c r="F77" s="2048"/>
      <c r="G77" s="2049"/>
      <c r="H77" s="2050"/>
      <c r="I77" s="2051"/>
      <c r="J77" s="2051"/>
      <c r="K77" s="2052"/>
      <c r="L77" s="2053"/>
      <c r="M77" s="2054"/>
      <c r="N77" s="2055"/>
      <c r="O77" s="2056"/>
      <c r="P77" s="2057"/>
      <c r="Q77" s="2058"/>
      <c r="R77" s="2059"/>
      <c r="S77" s="2059"/>
      <c r="T77" s="2057"/>
      <c r="U77" s="2060"/>
      <c r="Z77" s="1956"/>
      <c r="AA77" s="1956"/>
      <c r="AJ77" s="1960"/>
    </row>
    <row r="78" spans="1:36" ht="21.95" customHeight="1" x14ac:dyDescent="0.2">
      <c r="B78" s="2045"/>
      <c r="C78" s="2046"/>
      <c r="D78" s="2047" t="str">
        <f>SNI!E116</f>
        <v>Pekerja</v>
      </c>
      <c r="E78" s="2047"/>
      <c r="F78" s="2048"/>
      <c r="G78" s="2049">
        <f>SNI!H116</f>
        <v>0.9</v>
      </c>
      <c r="H78" s="2050" t="str">
        <f>SNI!G116</f>
        <v>OH</v>
      </c>
      <c r="I78" s="2051" t="str">
        <f>SNI!M116</f>
        <v>WNI</v>
      </c>
      <c r="J78" s="2051"/>
      <c r="K78" s="2052">
        <f>SNI!L116</f>
        <v>1</v>
      </c>
      <c r="L78" s="2053"/>
      <c r="M78" s="2054"/>
      <c r="N78" s="2055">
        <f>SNI!I116</f>
        <v>88300</v>
      </c>
      <c r="O78" s="2056"/>
      <c r="P78" s="1969">
        <f t="shared" ref="P78" si="48">N78*G78</f>
        <v>79470</v>
      </c>
      <c r="Q78" s="1953"/>
      <c r="R78" s="1954"/>
      <c r="S78" s="1954">
        <f t="shared" ref="S78" si="49">P78*K78</f>
        <v>79470</v>
      </c>
      <c r="T78" s="1969">
        <f t="shared" ref="T78" si="50">P78-S78</f>
        <v>0</v>
      </c>
      <c r="U78" s="2060"/>
      <c r="Z78" s="1956"/>
      <c r="AA78" s="1956"/>
      <c r="AJ78" s="1960"/>
    </row>
    <row r="79" spans="1:36" ht="21.95" customHeight="1" x14ac:dyDescent="0.2">
      <c r="B79" s="2045"/>
      <c r="C79" s="2046"/>
      <c r="D79" s="2047" t="str">
        <f>SNI!E117</f>
        <v>Mandor</v>
      </c>
      <c r="E79" s="2047"/>
      <c r="F79" s="2048"/>
      <c r="G79" s="2049">
        <f>SNI!H117</f>
        <v>4.4999999999999998E-2</v>
      </c>
      <c r="H79" s="2050" t="str">
        <f>SNI!G117</f>
        <v>OH</v>
      </c>
      <c r="I79" s="2051" t="str">
        <f>SNI!M117</f>
        <v>WNI</v>
      </c>
      <c r="J79" s="2051"/>
      <c r="K79" s="2052">
        <f>SNI!L117</f>
        <v>1</v>
      </c>
      <c r="L79" s="2053"/>
      <c r="M79" s="2054"/>
      <c r="N79" s="2055">
        <f>SNI!I117</f>
        <v>90000</v>
      </c>
      <c r="O79" s="2056"/>
      <c r="P79" s="1969">
        <f t="shared" ref="P79" si="51">N79*G79</f>
        <v>4050</v>
      </c>
      <c r="Q79" s="1953"/>
      <c r="R79" s="1954"/>
      <c r="S79" s="1954">
        <f t="shared" ref="S79" si="52">P79*K79</f>
        <v>4050</v>
      </c>
      <c r="T79" s="1969">
        <f t="shared" ref="T79" si="53">P79-S79</f>
        <v>0</v>
      </c>
      <c r="U79" s="2060"/>
      <c r="Z79" s="1956"/>
      <c r="AA79" s="1956"/>
      <c r="AJ79" s="1960"/>
    </row>
    <row r="80" spans="1:36" s="1957" customFormat="1" ht="21.95" customHeight="1" x14ac:dyDescent="0.2">
      <c r="A80" s="1942"/>
      <c r="B80" s="1970"/>
      <c r="C80" s="1971"/>
      <c r="D80" s="1972"/>
      <c r="E80" s="1973"/>
      <c r="F80" s="1974" t="s">
        <v>556</v>
      </c>
      <c r="G80" s="1975">
        <f>B76</f>
        <v>2</v>
      </c>
      <c r="H80" s="1976"/>
      <c r="I80" s="1977"/>
      <c r="J80" s="1977"/>
      <c r="K80" s="1978"/>
      <c r="L80" s="1979"/>
      <c r="M80" s="1980"/>
      <c r="N80" s="1981"/>
      <c r="O80" s="1982"/>
      <c r="P80" s="1983">
        <f>SUM(P77:P79)</f>
        <v>83520</v>
      </c>
      <c r="Q80" s="1984"/>
      <c r="R80" s="1985"/>
      <c r="S80" s="1983">
        <f t="shared" ref="S80" si="54">SUM(S77:S79)</f>
        <v>83520</v>
      </c>
      <c r="T80" s="1983">
        <f t="shared" ref="T80" si="55">SUM(T77:T79)</f>
        <v>0</v>
      </c>
      <c r="U80" s="1986"/>
      <c r="V80" s="1848"/>
      <c r="W80" s="1848"/>
      <c r="X80" s="1848"/>
      <c r="Y80" s="1848"/>
      <c r="Z80" s="1956"/>
      <c r="AA80" s="1956"/>
      <c r="AF80" s="1958"/>
      <c r="AG80" s="1958"/>
      <c r="AH80" s="1958"/>
      <c r="AI80" s="1959"/>
      <c r="AJ80" s="1960"/>
    </row>
    <row r="81" spans="1:36" ht="21.95" customHeight="1" x14ac:dyDescent="0.2">
      <c r="A81" s="1833">
        <f>satpek!B26</f>
        <v>7</v>
      </c>
      <c r="B81" s="1943">
        <f>B76+1</f>
        <v>3</v>
      </c>
      <c r="C81" s="1937"/>
      <c r="D81" s="1944" t="str">
        <f>VLOOKUP($A81,satpek!$B$20:$N$144,2,0)</f>
        <v>Pengurugan kembali galian tanah</v>
      </c>
      <c r="E81" s="1944"/>
      <c r="F81" s="2004"/>
      <c r="G81" s="1945">
        <f>'[3]B.VOL RAB'!Q33</f>
        <v>162.036</v>
      </c>
      <c r="H81" s="1946" t="str">
        <f>VLOOKUP($A81,satpek!$B$20:$N$144,7,0)</f>
        <v>m3</v>
      </c>
      <c r="I81" s="1947"/>
      <c r="J81" s="1947"/>
      <c r="K81" s="1948"/>
      <c r="L81" s="1949"/>
      <c r="M81" s="1950" t="str">
        <f>VLOOKUP($A81,satpek!$B$20:$N$144,5,0)</f>
        <v>A.2.3.1.9.</v>
      </c>
      <c r="N81" s="1951">
        <f>VLOOKUP($A81,satpek!$B$20:$N$144,6,0)</f>
        <v>54974.5</v>
      </c>
      <c r="O81" s="1938"/>
      <c r="P81" s="1952">
        <f t="shared" si="40"/>
        <v>8907848.0800000001</v>
      </c>
      <c r="Q81" s="1953">
        <f>VLOOKUP($A81,satpek!$B$20:$L$138,8,0)</f>
        <v>1</v>
      </c>
      <c r="R81" s="1954">
        <f>VLOOKUP($A81,satpek!$B$20:$L$138,9,0)</f>
        <v>48650</v>
      </c>
      <c r="S81" s="1954"/>
      <c r="T81" s="1952"/>
      <c r="U81" s="1955"/>
      <c r="X81" s="1848">
        <f>P85</f>
        <v>48650</v>
      </c>
      <c r="Y81" s="1848">
        <f>S85</f>
        <v>48650</v>
      </c>
      <c r="Z81" s="1956">
        <v>162.036</v>
      </c>
      <c r="AA81" s="1956">
        <f>Z81-G81</f>
        <v>0</v>
      </c>
      <c r="AB81" s="1836" t="s">
        <v>1067</v>
      </c>
      <c r="AI81" s="1910">
        <v>53223</v>
      </c>
      <c r="AJ81" s="1960">
        <f>AI81-N81</f>
        <v>-1751.5</v>
      </c>
    </row>
    <row r="82" spans="1:36" ht="21.95" customHeight="1" x14ac:dyDescent="0.2">
      <c r="B82" s="2045"/>
      <c r="C82" s="2046" t="str">
        <f>SNI!D131</f>
        <v>Tenaga Kerja</v>
      </c>
      <c r="D82" s="2047"/>
      <c r="E82" s="2047"/>
      <c r="F82" s="2048"/>
      <c r="G82" s="2049"/>
      <c r="H82" s="2050"/>
      <c r="I82" s="2051"/>
      <c r="J82" s="2051"/>
      <c r="K82" s="2052"/>
      <c r="L82" s="2053"/>
      <c r="M82" s="2054"/>
      <c r="N82" s="2055"/>
      <c r="O82" s="2056"/>
      <c r="P82" s="2057"/>
      <c r="Q82" s="2058"/>
      <c r="R82" s="2059"/>
      <c r="S82" s="2059"/>
      <c r="T82" s="2057"/>
      <c r="U82" s="2060"/>
      <c r="Z82" s="1956"/>
      <c r="AA82" s="1956"/>
      <c r="AJ82" s="1960"/>
    </row>
    <row r="83" spans="1:36" ht="21.95" customHeight="1" x14ac:dyDescent="0.2">
      <c r="B83" s="2045"/>
      <c r="C83" s="2046"/>
      <c r="D83" s="2047" t="str">
        <f>SNI!E131</f>
        <v>Pekerja</v>
      </c>
      <c r="E83" s="2047"/>
      <c r="F83" s="2048"/>
      <c r="G83" s="2049">
        <f>SNI!H131</f>
        <v>0.5</v>
      </c>
      <c r="H83" s="2050" t="str">
        <f>SNI!G131</f>
        <v>OH</v>
      </c>
      <c r="I83" s="2051" t="str">
        <f>SNI!M131</f>
        <v>WNI</v>
      </c>
      <c r="J83" s="2051"/>
      <c r="K83" s="2052">
        <f>SNI!L131</f>
        <v>1</v>
      </c>
      <c r="L83" s="2053"/>
      <c r="M83" s="2054"/>
      <c r="N83" s="2055">
        <f>SNI!I131</f>
        <v>88300</v>
      </c>
      <c r="O83" s="2056"/>
      <c r="P83" s="1969">
        <f t="shared" ref="P83" si="56">N83*G83</f>
        <v>44150</v>
      </c>
      <c r="Q83" s="1953"/>
      <c r="R83" s="1954"/>
      <c r="S83" s="1954">
        <f t="shared" ref="S83" si="57">P83*K83</f>
        <v>44150</v>
      </c>
      <c r="T83" s="1969">
        <f t="shared" ref="T83" si="58">P83-S83</f>
        <v>0</v>
      </c>
      <c r="U83" s="2060"/>
      <c r="Z83" s="1956"/>
      <c r="AA83" s="1956"/>
      <c r="AJ83" s="1960"/>
    </row>
    <row r="84" spans="1:36" ht="21.95" customHeight="1" x14ac:dyDescent="0.2">
      <c r="B84" s="2045"/>
      <c r="C84" s="2046"/>
      <c r="D84" s="2047" t="str">
        <f>SNI!E132</f>
        <v>Mandor</v>
      </c>
      <c r="E84" s="2047"/>
      <c r="F84" s="2048"/>
      <c r="G84" s="2049">
        <f>SNI!H132</f>
        <v>0.05</v>
      </c>
      <c r="H84" s="2050" t="str">
        <f>SNI!G132</f>
        <v>OH</v>
      </c>
      <c r="I84" s="2051" t="str">
        <f>SNI!M132</f>
        <v>WNI</v>
      </c>
      <c r="J84" s="2051"/>
      <c r="K84" s="2052">
        <f>SNI!L132</f>
        <v>1</v>
      </c>
      <c r="L84" s="2053"/>
      <c r="M84" s="2054"/>
      <c r="N84" s="2055">
        <f>SNI!I132</f>
        <v>90000</v>
      </c>
      <c r="O84" s="2056"/>
      <c r="P84" s="1969">
        <f t="shared" ref="P84" si="59">N84*G84</f>
        <v>4500</v>
      </c>
      <c r="Q84" s="1953"/>
      <c r="R84" s="1954"/>
      <c r="S84" s="1954">
        <f t="shared" ref="S84" si="60">P84*K84</f>
        <v>4500</v>
      </c>
      <c r="T84" s="1969">
        <f t="shared" ref="T84" si="61">P84-S84</f>
        <v>0</v>
      </c>
      <c r="U84" s="2060"/>
      <c r="Z84" s="1956"/>
      <c r="AA84" s="1956"/>
      <c r="AJ84" s="1960"/>
    </row>
    <row r="85" spans="1:36" s="1957" customFormat="1" ht="21.95" customHeight="1" x14ac:dyDescent="0.2">
      <c r="A85" s="1942"/>
      <c r="B85" s="1970"/>
      <c r="C85" s="1971"/>
      <c r="D85" s="1972"/>
      <c r="E85" s="1973"/>
      <c r="F85" s="1974" t="s">
        <v>556</v>
      </c>
      <c r="G85" s="1975">
        <f>B81</f>
        <v>3</v>
      </c>
      <c r="H85" s="1976"/>
      <c r="I85" s="1977"/>
      <c r="J85" s="1977"/>
      <c r="K85" s="1978"/>
      <c r="L85" s="1979"/>
      <c r="M85" s="1980"/>
      <c r="N85" s="1981"/>
      <c r="O85" s="1982"/>
      <c r="P85" s="1983">
        <f>SUM(P82:P84)</f>
        <v>48650</v>
      </c>
      <c r="Q85" s="1984"/>
      <c r="R85" s="1985"/>
      <c r="S85" s="1983">
        <f t="shared" ref="S85" si="62">SUM(S82:S84)</f>
        <v>48650</v>
      </c>
      <c r="T85" s="1983">
        <f t="shared" ref="T85" si="63">SUM(T82:T84)</f>
        <v>0</v>
      </c>
      <c r="U85" s="1986"/>
      <c r="V85" s="1848"/>
      <c r="W85" s="1848"/>
      <c r="X85" s="1848"/>
      <c r="Y85" s="1848"/>
      <c r="Z85" s="1956"/>
      <c r="AA85" s="1956"/>
      <c r="AF85" s="1958"/>
      <c r="AG85" s="1958"/>
      <c r="AH85" s="1958"/>
      <c r="AI85" s="1959"/>
      <c r="AJ85" s="1960"/>
    </row>
    <row r="86" spans="1:36" ht="21.95" customHeight="1" x14ac:dyDescent="0.2">
      <c r="A86" s="1833">
        <f>satpek!B28</f>
        <v>9</v>
      </c>
      <c r="B86" s="1943">
        <f>B81+1</f>
        <v>4</v>
      </c>
      <c r="C86" s="1937"/>
      <c r="D86" s="1944" t="s">
        <v>1999</v>
      </c>
      <c r="E86" s="1944"/>
      <c r="F86" s="2004"/>
      <c r="G86" s="1945">
        <f>'[3]B.VOL RAB'!Q35</f>
        <v>631.13400000000001</v>
      </c>
      <c r="H86" s="1946" t="str">
        <f>VLOOKUP($A86,satpek!$B$20:$N$144,7,0)</f>
        <v>m3</v>
      </c>
      <c r="I86" s="1947"/>
      <c r="J86" s="1947"/>
      <c r="K86" s="1948"/>
      <c r="L86" s="1949"/>
      <c r="M86" s="1950" t="str">
        <f>VLOOKUP($A86,satpek!$B$20:$N$144,5,0)</f>
        <v>An. Dihitung</v>
      </c>
      <c r="N86" s="1951">
        <f>VLOOKUP($A86,satpek!$B$20:$N$144,6,0)+satpek!G27</f>
        <v>148301.20000000001</v>
      </c>
      <c r="O86" s="1938"/>
      <c r="P86" s="1952">
        <f t="shared" si="40"/>
        <v>93597929.560000002</v>
      </c>
      <c r="Q86" s="1953">
        <f>VLOOKUP($A86,satpek!$B$20:$L$138,8,0)</f>
        <v>1</v>
      </c>
      <c r="R86" s="1954">
        <f>VLOOKUP($A86,satpek!$B$20:$L$138,9,0)</f>
        <v>82590</v>
      </c>
      <c r="S86" s="1954"/>
      <c r="T86" s="1952"/>
      <c r="U86" s="1955"/>
      <c r="X86" s="1848">
        <f>P92</f>
        <v>82590</v>
      </c>
      <c r="Y86" s="1848">
        <f>S92</f>
        <v>82590</v>
      </c>
      <c r="Z86" s="1956">
        <v>559.54500000000007</v>
      </c>
      <c r="AA86" s="1956">
        <f>Z86-G86</f>
        <v>-71.588999999999942</v>
      </c>
      <c r="AB86" s="2061" t="s">
        <v>1763</v>
      </c>
      <c r="AI86" s="1910">
        <v>93699.6</v>
      </c>
      <c r="AJ86" s="1960">
        <f>AI86-N86</f>
        <v>-54601.600000000006</v>
      </c>
    </row>
    <row r="87" spans="1:36" ht="21.95" customHeight="1" x14ac:dyDescent="0.2">
      <c r="B87" s="2045"/>
      <c r="C87" s="2046" t="str">
        <f>SNI!D159</f>
        <v>Bahan</v>
      </c>
      <c r="D87" s="2047"/>
      <c r="E87" s="2047"/>
      <c r="F87" s="2048"/>
      <c r="G87" s="2062"/>
      <c r="H87" s="2050"/>
      <c r="I87" s="2051"/>
      <c r="J87" s="2051"/>
      <c r="K87" s="2052"/>
      <c r="L87" s="2053"/>
      <c r="M87" s="2054"/>
      <c r="N87" s="2055"/>
      <c r="O87" s="2056"/>
      <c r="P87" s="2057"/>
      <c r="Q87" s="2058"/>
      <c r="R87" s="2059"/>
      <c r="S87" s="2059"/>
      <c r="T87" s="2057"/>
      <c r="U87" s="2060"/>
      <c r="Z87" s="1956"/>
      <c r="AA87" s="1956"/>
      <c r="AB87" s="2061"/>
      <c r="AJ87" s="1960"/>
    </row>
    <row r="88" spans="1:36" ht="21.95" customHeight="1" x14ac:dyDescent="0.2">
      <c r="B88" s="2045"/>
      <c r="C88" s="2046"/>
      <c r="D88" s="2047" t="str">
        <f>SNI!E159</f>
        <v>Tanah urug pilihan</v>
      </c>
      <c r="E88" s="2047"/>
      <c r="F88" s="2048"/>
      <c r="G88" s="2062">
        <f>SNI!H159</f>
        <v>1.2</v>
      </c>
      <c r="H88" s="2050" t="str">
        <f>SNI!G159</f>
        <v>m3</v>
      </c>
      <c r="I88" s="2051"/>
      <c r="J88" s="2051"/>
      <c r="K88" s="2052">
        <f>SNI!L159</f>
        <v>1</v>
      </c>
      <c r="L88" s="2053"/>
      <c r="M88" s="2054"/>
      <c r="N88" s="2055">
        <f>SNI!I159</f>
        <v>46000</v>
      </c>
      <c r="O88" s="2056"/>
      <c r="P88" s="1969">
        <f t="shared" ref="P88" si="64">N88*G88</f>
        <v>55200</v>
      </c>
      <c r="Q88" s="1953"/>
      <c r="R88" s="1954"/>
      <c r="S88" s="1954">
        <f t="shared" ref="S88" si="65">P88*K88</f>
        <v>55200</v>
      </c>
      <c r="T88" s="1969">
        <f t="shared" ref="T88" si="66">P88-S88</f>
        <v>0</v>
      </c>
      <c r="U88" s="2060"/>
      <c r="Z88" s="1956"/>
      <c r="AA88" s="1956"/>
      <c r="AB88" s="2061"/>
      <c r="AJ88" s="1960"/>
    </row>
    <row r="89" spans="1:36" ht="21.95" customHeight="1" x14ac:dyDescent="0.2">
      <c r="B89" s="2045"/>
      <c r="C89" s="2046" t="str">
        <f>SNI!D161</f>
        <v>Tenaga Kerja</v>
      </c>
      <c r="D89" s="2047"/>
      <c r="E89" s="2047"/>
      <c r="F89" s="2048"/>
      <c r="G89" s="2062"/>
      <c r="H89" s="2050"/>
      <c r="I89" s="2051"/>
      <c r="J89" s="2051"/>
      <c r="K89" s="2052"/>
      <c r="L89" s="2053"/>
      <c r="M89" s="2054"/>
      <c r="N89" s="2055"/>
      <c r="O89" s="2056"/>
      <c r="P89" s="2057"/>
      <c r="Q89" s="2058"/>
      <c r="R89" s="2059"/>
      <c r="S89" s="2059"/>
      <c r="T89" s="2057"/>
      <c r="U89" s="2060"/>
      <c r="Z89" s="1956"/>
      <c r="AA89" s="1956"/>
      <c r="AB89" s="2061"/>
      <c r="AJ89" s="1960"/>
    </row>
    <row r="90" spans="1:36" ht="21.95" customHeight="1" x14ac:dyDescent="0.2">
      <c r="B90" s="2045"/>
      <c r="C90" s="2046"/>
      <c r="D90" s="2047" t="str">
        <f>SNI!E161</f>
        <v>Pekerja</v>
      </c>
      <c r="E90" s="2047"/>
      <c r="F90" s="2048"/>
      <c r="G90" s="2062">
        <f>SNI!H161</f>
        <v>0.3</v>
      </c>
      <c r="H90" s="2050" t="str">
        <f>SNI!G161</f>
        <v>OH</v>
      </c>
      <c r="I90" s="2051" t="str">
        <f>SNI!M161</f>
        <v>WNI</v>
      </c>
      <c r="J90" s="2051"/>
      <c r="K90" s="2052">
        <f>SNI!L161</f>
        <v>1</v>
      </c>
      <c r="L90" s="2053"/>
      <c r="M90" s="2054"/>
      <c r="N90" s="2055">
        <f>SNI!I161</f>
        <v>88300</v>
      </c>
      <c r="O90" s="2056"/>
      <c r="P90" s="1969">
        <f t="shared" ref="P90:P91" si="67">N90*G90</f>
        <v>26490</v>
      </c>
      <c r="Q90" s="1953"/>
      <c r="R90" s="1954"/>
      <c r="S90" s="1954">
        <f t="shared" ref="S90:S91" si="68">P90*K90</f>
        <v>26490</v>
      </c>
      <c r="T90" s="1969">
        <f t="shared" ref="T90:T91" si="69">P90-S90</f>
        <v>0</v>
      </c>
      <c r="U90" s="2060"/>
      <c r="Z90" s="1956"/>
      <c r="AA90" s="1956"/>
      <c r="AB90" s="2061"/>
      <c r="AJ90" s="1960"/>
    </row>
    <row r="91" spans="1:36" ht="21.95" customHeight="1" x14ac:dyDescent="0.2">
      <c r="B91" s="2045"/>
      <c r="C91" s="2046"/>
      <c r="D91" s="2047" t="str">
        <f>SNI!E162</f>
        <v>Mandor</v>
      </c>
      <c r="E91" s="2047"/>
      <c r="F91" s="2048"/>
      <c r="G91" s="2062">
        <f>SNI!H162</f>
        <v>0.01</v>
      </c>
      <c r="H91" s="2050" t="str">
        <f>SNI!G162</f>
        <v>OH</v>
      </c>
      <c r="I91" s="2051" t="str">
        <f>SNI!M162</f>
        <v>WNI</v>
      </c>
      <c r="J91" s="2051"/>
      <c r="K91" s="2052">
        <f>SNI!L162</f>
        <v>1</v>
      </c>
      <c r="L91" s="2053"/>
      <c r="M91" s="2054"/>
      <c r="N91" s="2055">
        <f>SNI!I162</f>
        <v>90000</v>
      </c>
      <c r="O91" s="2056"/>
      <c r="P91" s="1969">
        <f t="shared" si="67"/>
        <v>900</v>
      </c>
      <c r="Q91" s="1953"/>
      <c r="R91" s="1954"/>
      <c r="S91" s="1954">
        <f t="shared" si="68"/>
        <v>900</v>
      </c>
      <c r="T91" s="1969">
        <f t="shared" si="69"/>
        <v>0</v>
      </c>
      <c r="U91" s="2060"/>
      <c r="Z91" s="1956"/>
      <c r="AA91" s="1956"/>
      <c r="AB91" s="2061"/>
      <c r="AJ91" s="1960"/>
    </row>
    <row r="92" spans="1:36" s="1957" customFormat="1" ht="21.95" customHeight="1" x14ac:dyDescent="0.2">
      <c r="A92" s="1942"/>
      <c r="B92" s="1970"/>
      <c r="C92" s="1971"/>
      <c r="D92" s="1972"/>
      <c r="E92" s="1973"/>
      <c r="F92" s="1974" t="s">
        <v>556</v>
      </c>
      <c r="G92" s="1975">
        <f>B86</f>
        <v>4</v>
      </c>
      <c r="H92" s="1976"/>
      <c r="I92" s="1977"/>
      <c r="J92" s="1977"/>
      <c r="K92" s="1978"/>
      <c r="L92" s="1979"/>
      <c r="M92" s="1980"/>
      <c r="N92" s="1981"/>
      <c r="O92" s="1982"/>
      <c r="P92" s="1983">
        <f>SUM(P88:P91)</f>
        <v>82590</v>
      </c>
      <c r="Q92" s="1984"/>
      <c r="R92" s="1985"/>
      <c r="S92" s="1983">
        <f t="shared" ref="S92:T92" si="70">SUM(S88:S91)</f>
        <v>82590</v>
      </c>
      <c r="T92" s="1983">
        <f t="shared" si="70"/>
        <v>0</v>
      </c>
      <c r="U92" s="1986"/>
      <c r="V92" s="1848"/>
      <c r="W92" s="1848"/>
      <c r="X92" s="1848"/>
      <c r="Y92" s="1848"/>
      <c r="Z92" s="1956"/>
      <c r="AA92" s="1956"/>
      <c r="AF92" s="1958"/>
      <c r="AG92" s="1958"/>
      <c r="AH92" s="1958"/>
      <c r="AI92" s="1959"/>
      <c r="AJ92" s="1960"/>
    </row>
    <row r="93" spans="1:36" ht="21.95" customHeight="1" x14ac:dyDescent="0.2">
      <c r="A93" s="1833">
        <f>satpek!B29</f>
        <v>10</v>
      </c>
      <c r="B93" s="1943">
        <f>B86+1</f>
        <v>5</v>
      </c>
      <c r="C93" s="1937"/>
      <c r="D93" s="1944" t="str">
        <f>VLOOKUP($A93,satpek!$B$20:$N$144,2,0)</f>
        <v>Mengurug pasir urug</v>
      </c>
      <c r="E93" s="1944"/>
      <c r="F93" s="2004"/>
      <c r="G93" s="2063">
        <f>'[3]B.VOL RAB'!Q36</f>
        <v>26.52</v>
      </c>
      <c r="H93" s="1946" t="str">
        <f>VLOOKUP($A93,satpek!$B$20:$N$144,7,0)</f>
        <v>m3</v>
      </c>
      <c r="I93" s="1947"/>
      <c r="J93" s="1947"/>
      <c r="K93" s="1948"/>
      <c r="L93" s="1949"/>
      <c r="M93" s="1950" t="str">
        <f>VLOOKUP($A93,satpek!$B$20:$N$144,5,0)</f>
        <v>A.2.3.1.11.</v>
      </c>
      <c r="N93" s="1951">
        <f>VLOOKUP($A93,satpek!$B$20:$N$144,6,0)</f>
        <v>251978.7</v>
      </c>
      <c r="O93" s="1938"/>
      <c r="P93" s="1952">
        <f t="shared" si="40"/>
        <v>6682475.1200000001</v>
      </c>
      <c r="Q93" s="1953">
        <f>VLOOKUP($A93,satpek!$B$20:$L$138,8,0)</f>
        <v>1</v>
      </c>
      <c r="R93" s="1954">
        <f>VLOOKUP($A93,satpek!$B$20:$L$138,9,0)</f>
        <v>222990</v>
      </c>
      <c r="S93" s="1954"/>
      <c r="T93" s="1952"/>
      <c r="U93" s="1955"/>
      <c r="X93" s="1848">
        <f>P99</f>
        <v>222990</v>
      </c>
      <c r="Y93" s="1848">
        <f>S99</f>
        <v>222990</v>
      </c>
      <c r="Z93" s="1956">
        <v>26.52</v>
      </c>
      <c r="AA93" s="1956">
        <f>Z93-G93</f>
        <v>0</v>
      </c>
      <c r="AB93" s="1836" t="s">
        <v>467</v>
      </c>
      <c r="AI93" s="1910">
        <v>250995.6</v>
      </c>
      <c r="AJ93" s="1960">
        <f>AI93-N93</f>
        <v>-983.10000000000582</v>
      </c>
    </row>
    <row r="94" spans="1:36" ht="21.95" customHeight="1" x14ac:dyDescent="0.2">
      <c r="B94" s="2045"/>
      <c r="C94" s="2046" t="str">
        <f>SNI!D175</f>
        <v>Bahan</v>
      </c>
      <c r="D94" s="2047"/>
      <c r="E94" s="2047"/>
      <c r="F94" s="2048"/>
      <c r="G94" s="2064"/>
      <c r="H94" s="2050"/>
      <c r="I94" s="2051"/>
      <c r="J94" s="2051"/>
      <c r="K94" s="2052"/>
      <c r="L94" s="2053"/>
      <c r="M94" s="2054"/>
      <c r="N94" s="2055"/>
      <c r="O94" s="2056"/>
      <c r="P94" s="2057"/>
      <c r="Q94" s="2058"/>
      <c r="R94" s="2059"/>
      <c r="S94" s="2059"/>
      <c r="T94" s="2057"/>
      <c r="U94" s="2060"/>
      <c r="Z94" s="1956"/>
      <c r="AA94" s="1956"/>
      <c r="AB94" s="2061"/>
      <c r="AJ94" s="1960"/>
    </row>
    <row r="95" spans="1:36" ht="21.95" customHeight="1" x14ac:dyDescent="0.2">
      <c r="B95" s="2045"/>
      <c r="C95" s="2046"/>
      <c r="D95" s="2047" t="str">
        <f>SNI!E175</f>
        <v>Pasir Urug</v>
      </c>
      <c r="E95" s="2047"/>
      <c r="F95" s="2048"/>
      <c r="G95" s="2062">
        <f>SNI!H175</f>
        <v>1.2</v>
      </c>
      <c r="H95" s="2050" t="str">
        <f>SNI!G175</f>
        <v>m3</v>
      </c>
      <c r="I95" s="2051"/>
      <c r="J95" s="2051"/>
      <c r="K95" s="2052">
        <f>SNI!L175</f>
        <v>1</v>
      </c>
      <c r="L95" s="2053"/>
      <c r="M95" s="2054"/>
      <c r="N95" s="2055">
        <f>SNI!I175</f>
        <v>163000</v>
      </c>
      <c r="O95" s="2056"/>
      <c r="P95" s="1969">
        <f t="shared" ref="P95" si="71">N95*G95</f>
        <v>195600</v>
      </c>
      <c r="Q95" s="1953"/>
      <c r="R95" s="1954"/>
      <c r="S95" s="1954">
        <f t="shared" ref="S95" si="72">P95*K95</f>
        <v>195600</v>
      </c>
      <c r="T95" s="1969">
        <f t="shared" ref="T95" si="73">P95-S95</f>
        <v>0</v>
      </c>
      <c r="U95" s="2060"/>
      <c r="Z95" s="1956"/>
      <c r="AA95" s="1956"/>
      <c r="AB95" s="2061"/>
      <c r="AJ95" s="1960"/>
    </row>
    <row r="96" spans="1:36" ht="21.95" customHeight="1" x14ac:dyDescent="0.2">
      <c r="B96" s="2045"/>
      <c r="C96" s="2046" t="str">
        <f>SNI!D177</f>
        <v>Tenaga Kerja</v>
      </c>
      <c r="D96" s="2047"/>
      <c r="E96" s="2047"/>
      <c r="F96" s="2048"/>
      <c r="G96" s="2062"/>
      <c r="H96" s="2050"/>
      <c r="I96" s="2051"/>
      <c r="J96" s="2051"/>
      <c r="K96" s="2052"/>
      <c r="L96" s="2053"/>
      <c r="M96" s="2054"/>
      <c r="N96" s="2055"/>
      <c r="O96" s="2056"/>
      <c r="P96" s="2057"/>
      <c r="Q96" s="2058"/>
      <c r="R96" s="2059"/>
      <c r="S96" s="2059"/>
      <c r="T96" s="2057"/>
      <c r="U96" s="2060"/>
      <c r="Z96" s="1956"/>
      <c r="AA96" s="1956"/>
      <c r="AB96" s="2061"/>
      <c r="AJ96" s="1960"/>
    </row>
    <row r="97" spans="1:36" ht="21.95" customHeight="1" x14ac:dyDescent="0.2">
      <c r="B97" s="2045"/>
      <c r="C97" s="2046"/>
      <c r="D97" s="2047" t="str">
        <f>SNI!E177</f>
        <v>Pekerja</v>
      </c>
      <c r="E97" s="2047"/>
      <c r="F97" s="2048"/>
      <c r="G97" s="2062">
        <f>SNI!H177</f>
        <v>0.3</v>
      </c>
      <c r="H97" s="2050" t="str">
        <f>SNI!G177</f>
        <v>OH</v>
      </c>
      <c r="I97" s="2051" t="str">
        <f>SNI!M177</f>
        <v>WNI</v>
      </c>
      <c r="J97" s="2051"/>
      <c r="K97" s="2052">
        <f>SNI!L177</f>
        <v>1</v>
      </c>
      <c r="L97" s="2053"/>
      <c r="M97" s="2054"/>
      <c r="N97" s="2055">
        <f>SNI!I177</f>
        <v>88300</v>
      </c>
      <c r="O97" s="2056"/>
      <c r="P97" s="1969">
        <f t="shared" ref="P97:P98" si="74">N97*G97</f>
        <v>26490</v>
      </c>
      <c r="Q97" s="1953"/>
      <c r="R97" s="1954"/>
      <c r="S97" s="1954">
        <f t="shared" ref="S97:S98" si="75">P97*K97</f>
        <v>26490</v>
      </c>
      <c r="T97" s="1969">
        <f t="shared" ref="T97:T98" si="76">P97-S97</f>
        <v>0</v>
      </c>
      <c r="U97" s="2060"/>
      <c r="Z97" s="1956"/>
      <c r="AA97" s="1956"/>
      <c r="AB97" s="2061"/>
      <c r="AJ97" s="1960"/>
    </row>
    <row r="98" spans="1:36" ht="21.95" customHeight="1" x14ac:dyDescent="0.2">
      <c r="B98" s="2045"/>
      <c r="C98" s="2046"/>
      <c r="D98" s="2047" t="str">
        <f>SNI!E178</f>
        <v>Mandor</v>
      </c>
      <c r="E98" s="2047"/>
      <c r="F98" s="2048"/>
      <c r="G98" s="2062">
        <f>SNI!H178</f>
        <v>0.01</v>
      </c>
      <c r="H98" s="2050" t="str">
        <f>SNI!G178</f>
        <v>OH</v>
      </c>
      <c r="I98" s="2051" t="str">
        <f>SNI!M178</f>
        <v>WNI</v>
      </c>
      <c r="J98" s="2051"/>
      <c r="K98" s="2052">
        <f>SNI!L178</f>
        <v>1</v>
      </c>
      <c r="L98" s="2053"/>
      <c r="M98" s="2054"/>
      <c r="N98" s="2055">
        <f>SNI!I178</f>
        <v>90000</v>
      </c>
      <c r="O98" s="2056"/>
      <c r="P98" s="1969">
        <f t="shared" si="74"/>
        <v>900</v>
      </c>
      <c r="Q98" s="1953"/>
      <c r="R98" s="1954"/>
      <c r="S98" s="1954">
        <f t="shared" si="75"/>
        <v>900</v>
      </c>
      <c r="T98" s="1969">
        <f t="shared" si="76"/>
        <v>0</v>
      </c>
      <c r="U98" s="2060"/>
      <c r="Z98" s="1956"/>
      <c r="AA98" s="1956"/>
      <c r="AB98" s="2061"/>
      <c r="AJ98" s="1960"/>
    </row>
    <row r="99" spans="1:36" s="1957" customFormat="1" ht="21.95" customHeight="1" x14ac:dyDescent="0.2">
      <c r="A99" s="1942"/>
      <c r="B99" s="1970"/>
      <c r="C99" s="1971"/>
      <c r="D99" s="1972"/>
      <c r="E99" s="1973"/>
      <c r="F99" s="1974" t="s">
        <v>556</v>
      </c>
      <c r="G99" s="1975">
        <f>B93</f>
        <v>5</v>
      </c>
      <c r="H99" s="1976"/>
      <c r="I99" s="1977"/>
      <c r="J99" s="1977"/>
      <c r="K99" s="1978"/>
      <c r="L99" s="1979"/>
      <c r="M99" s="1980"/>
      <c r="N99" s="1981"/>
      <c r="O99" s="1982"/>
      <c r="P99" s="1983">
        <f>SUM(P95:P98)</f>
        <v>222990</v>
      </c>
      <c r="Q99" s="1984"/>
      <c r="R99" s="1985"/>
      <c r="S99" s="1983">
        <f t="shared" ref="S99" si="77">SUM(S95:S98)</f>
        <v>222990</v>
      </c>
      <c r="T99" s="1983">
        <f t="shared" ref="T99" si="78">SUM(T95:T98)</f>
        <v>0</v>
      </c>
      <c r="U99" s="1986"/>
      <c r="V99" s="1848"/>
      <c r="W99" s="1848"/>
      <c r="X99" s="1848"/>
      <c r="Y99" s="1848"/>
      <c r="Z99" s="1956"/>
      <c r="AA99" s="1956"/>
      <c r="AF99" s="1958"/>
      <c r="AG99" s="1958"/>
      <c r="AH99" s="1958"/>
      <c r="AI99" s="1959"/>
      <c r="AJ99" s="1960"/>
    </row>
    <row r="100" spans="1:36" ht="21.95" customHeight="1" x14ac:dyDescent="0.2">
      <c r="B100" s="2017"/>
      <c r="C100" s="2018"/>
      <c r="D100" s="2019"/>
      <c r="E100" s="2019"/>
      <c r="F100" s="2020"/>
      <c r="G100" s="2021"/>
      <c r="H100" s="2022"/>
      <c r="I100" s="2023"/>
      <c r="J100" s="2023"/>
      <c r="K100" s="2024"/>
      <c r="L100" s="2025"/>
      <c r="M100" s="2025"/>
      <c r="N100" s="2026"/>
      <c r="O100" s="2027"/>
      <c r="P100" s="2065" t="s">
        <v>1764</v>
      </c>
      <c r="Q100" s="2029">
        <f>AVERAGE(Q70:Q93)</f>
        <v>1</v>
      </c>
      <c r="R100" s="2023"/>
      <c r="S100" s="2030">
        <f>S99+S92+S85+S80+S75</f>
        <v>506225</v>
      </c>
      <c r="T100" s="2030">
        <f>T99+T92+T85+T80+T75</f>
        <v>0</v>
      </c>
      <c r="U100" s="2031"/>
      <c r="V100" s="1848">
        <f>[3]HPS!M33</f>
        <v>114157019.97</v>
      </c>
      <c r="W100" s="1848" t="e">
        <f>#REF!-V100</f>
        <v>#REF!</v>
      </c>
      <c r="Z100" s="1956"/>
      <c r="AA100" s="1956">
        <f>Z100-G100</f>
        <v>0</v>
      </c>
      <c r="AB100" s="1837"/>
      <c r="AF100" s="1836"/>
      <c r="AG100" s="1836"/>
      <c r="AH100" s="1836"/>
      <c r="AI100" s="1837"/>
      <c r="AJ100" s="1960">
        <f>AI100-N100</f>
        <v>0</v>
      </c>
    </row>
    <row r="101" spans="1:36" ht="21.95" customHeight="1" x14ac:dyDescent="0.2">
      <c r="B101" s="2032" t="s">
        <v>1765</v>
      </c>
      <c r="C101" s="1928"/>
      <c r="D101" s="1929" t="s">
        <v>259</v>
      </c>
      <c r="E101" s="1930"/>
      <c r="F101" s="1931"/>
      <c r="G101" s="1945"/>
      <c r="H101" s="1933"/>
      <c r="I101" s="1934"/>
      <c r="J101" s="1934"/>
      <c r="K101" s="1935"/>
      <c r="L101" s="1936"/>
      <c r="M101" s="1936"/>
      <c r="N101" s="1951"/>
      <c r="O101" s="2066"/>
      <c r="P101" s="2067"/>
      <c r="Q101" s="1934"/>
      <c r="R101" s="1934"/>
      <c r="S101" s="1934"/>
      <c r="T101" s="1940"/>
      <c r="U101" s="1941"/>
      <c r="Z101" s="1956"/>
      <c r="AA101" s="1956">
        <f>Z101-G101</f>
        <v>0</v>
      </c>
      <c r="AB101" s="1836" t="s">
        <v>259</v>
      </c>
      <c r="AF101" s="1836"/>
      <c r="AG101" s="1836"/>
      <c r="AH101" s="1836"/>
      <c r="AI101" s="1837"/>
      <c r="AJ101" s="1960">
        <f>AI101-N101</f>
        <v>0</v>
      </c>
    </row>
    <row r="102" spans="1:36" ht="21.95" customHeight="1" x14ac:dyDescent="0.2">
      <c r="A102" s="1833">
        <f>satpek!B32</f>
        <v>13</v>
      </c>
      <c r="B102" s="1943">
        <v>1</v>
      </c>
      <c r="C102" s="1937"/>
      <c r="D102" s="1944" t="str">
        <f>VLOOKUP($A102,satpek!$B$20:$N$144,2,0)</f>
        <v>Memasang batu kosong ( anstamping )</v>
      </c>
      <c r="E102" s="1944"/>
      <c r="F102" s="2004"/>
      <c r="G102" s="1945">
        <f>'[3]B.VOL RAB'!Q42</f>
        <v>9.9200000000000017</v>
      </c>
      <c r="H102" s="1946" t="str">
        <f>VLOOKUP($A102,satpek!$B$20:$N$144,7,0)</f>
        <v>m3</v>
      </c>
      <c r="I102" s="1947"/>
      <c r="J102" s="1947"/>
      <c r="K102" s="1948"/>
      <c r="L102" s="1949"/>
      <c r="M102" s="1950" t="str">
        <f>VLOOKUP($A102,satpek!$B$20:$N$144,5,0)</f>
        <v>A.3.2.1.9.</v>
      </c>
      <c r="N102" s="1951">
        <f>VLOOKUP($A102,satpek!$B$20:$N$144,6,0)</f>
        <v>571377.72</v>
      </c>
      <c r="O102" s="1938"/>
      <c r="P102" s="1952">
        <f t="shared" ref="P102:P123" si="79">ROUND((G102*N102),2)</f>
        <v>5668066.9800000004</v>
      </c>
      <c r="Q102" s="1953">
        <f>VLOOKUP($A102,satpek!$B$20:$L$138,8,0)</f>
        <v>1</v>
      </c>
      <c r="R102" s="1954">
        <f>VLOOKUP($A102,satpek!$B$20:$L$138,9,0)</f>
        <v>505644</v>
      </c>
      <c r="S102" s="1954"/>
      <c r="T102" s="1952"/>
      <c r="U102" s="1955"/>
      <c r="X102" s="1848">
        <f>P111</f>
        <v>505644</v>
      </c>
      <c r="Y102" s="1848">
        <f>S111</f>
        <v>505644</v>
      </c>
      <c r="Z102" s="1956">
        <v>9.9200000000000017</v>
      </c>
      <c r="AA102" s="1956">
        <f>Z102-G102</f>
        <v>0</v>
      </c>
      <c r="AB102" s="1836" t="s">
        <v>1904</v>
      </c>
      <c r="AF102" s="1836"/>
      <c r="AG102" s="1836"/>
      <c r="AH102" s="1836"/>
      <c r="AI102" s="1837">
        <v>582913.89</v>
      </c>
      <c r="AJ102" s="1960">
        <f>AI102-N102</f>
        <v>11536.170000000042</v>
      </c>
    </row>
    <row r="103" spans="1:36" ht="21.95" customHeight="1" x14ac:dyDescent="0.2">
      <c r="B103" s="2045"/>
      <c r="C103" s="2046" t="str">
        <f>SNI!D232</f>
        <v>Bahan</v>
      </c>
      <c r="D103" s="2047"/>
      <c r="E103" s="2047"/>
      <c r="F103" s="2048"/>
      <c r="G103" s="2049"/>
      <c r="H103" s="2050"/>
      <c r="I103" s="2051"/>
      <c r="J103" s="2051"/>
      <c r="K103" s="2052"/>
      <c r="L103" s="2053"/>
      <c r="M103" s="2054"/>
      <c r="N103" s="2055"/>
      <c r="O103" s="2056"/>
      <c r="P103" s="2057"/>
      <c r="Q103" s="2058"/>
      <c r="R103" s="2059"/>
      <c r="S103" s="2059"/>
      <c r="T103" s="2057"/>
      <c r="U103" s="2060"/>
      <c r="Z103" s="1956"/>
      <c r="AA103" s="1956"/>
      <c r="AF103" s="1836"/>
      <c r="AG103" s="1836"/>
      <c r="AH103" s="1836"/>
      <c r="AI103" s="1837"/>
      <c r="AJ103" s="1960"/>
    </row>
    <row r="104" spans="1:36" ht="21.95" customHeight="1" x14ac:dyDescent="0.2">
      <c r="B104" s="2045"/>
      <c r="C104" s="2046"/>
      <c r="D104" s="2047" t="str">
        <f>SNI!E232</f>
        <v>Batu Belah 15/20 cm</v>
      </c>
      <c r="E104" s="2047"/>
      <c r="F104" s="2048"/>
      <c r="G104" s="2049">
        <f>SNI!H232</f>
        <v>1.2</v>
      </c>
      <c r="H104" s="2050" t="str">
        <f>SNI!G232</f>
        <v>m3</v>
      </c>
      <c r="I104" s="2051"/>
      <c r="J104" s="2051"/>
      <c r="K104" s="2052">
        <f>SNI!L232</f>
        <v>1</v>
      </c>
      <c r="L104" s="2053"/>
      <c r="M104" s="2054"/>
      <c r="N104" s="2055">
        <f>SNI!I232</f>
        <v>270000</v>
      </c>
      <c r="O104" s="2056"/>
      <c r="P104" s="1969">
        <f t="shared" ref="P104" si="80">N104*G104</f>
        <v>324000</v>
      </c>
      <c r="Q104" s="1953"/>
      <c r="R104" s="1954"/>
      <c r="S104" s="1954">
        <f t="shared" ref="S104" si="81">P104*K104</f>
        <v>324000</v>
      </c>
      <c r="T104" s="1969">
        <f t="shared" ref="T104" si="82">P104-S104</f>
        <v>0</v>
      </c>
      <c r="U104" s="2060"/>
      <c r="Z104" s="1956"/>
      <c r="AA104" s="1956"/>
      <c r="AF104" s="1836"/>
      <c r="AG104" s="1836"/>
      <c r="AH104" s="1836"/>
      <c r="AI104" s="1837"/>
      <c r="AJ104" s="1960"/>
    </row>
    <row r="105" spans="1:36" ht="21.95" customHeight="1" x14ac:dyDescent="0.2">
      <c r="B105" s="2045"/>
      <c r="C105" s="2046"/>
      <c r="D105" s="2047" t="str">
        <f>SNI!E233</f>
        <v>Pasir urug</v>
      </c>
      <c r="E105" s="2047"/>
      <c r="F105" s="2048"/>
      <c r="G105" s="2049">
        <f>SNI!H233</f>
        <v>0.432</v>
      </c>
      <c r="H105" s="2050" t="str">
        <f>SNI!G233</f>
        <v>m3</v>
      </c>
      <c r="I105" s="2051"/>
      <c r="J105" s="2051"/>
      <c r="K105" s="2052">
        <f>SNI!L233</f>
        <v>1</v>
      </c>
      <c r="L105" s="2053"/>
      <c r="M105" s="2054"/>
      <c r="N105" s="2055">
        <f>SNI!I233</f>
        <v>163000</v>
      </c>
      <c r="O105" s="2056"/>
      <c r="P105" s="1969">
        <f t="shared" ref="P105" si="83">N105*G105</f>
        <v>70416</v>
      </c>
      <c r="Q105" s="1953"/>
      <c r="R105" s="1954"/>
      <c r="S105" s="1954">
        <f t="shared" ref="S105" si="84">P105*K105</f>
        <v>70416</v>
      </c>
      <c r="T105" s="1969">
        <f t="shared" ref="T105" si="85">P105-S105</f>
        <v>0</v>
      </c>
      <c r="U105" s="2060"/>
      <c r="Z105" s="1956"/>
      <c r="AA105" s="1956"/>
      <c r="AF105" s="1836"/>
      <c r="AG105" s="1836"/>
      <c r="AH105" s="1836"/>
      <c r="AI105" s="1837"/>
      <c r="AJ105" s="1960"/>
    </row>
    <row r="106" spans="1:36" ht="21.95" customHeight="1" x14ac:dyDescent="0.2">
      <c r="B106" s="2045"/>
      <c r="C106" s="2046" t="str">
        <f>SNI!D235</f>
        <v>Tenaga Kerja</v>
      </c>
      <c r="D106" s="2047"/>
      <c r="E106" s="2047"/>
      <c r="F106" s="2048"/>
      <c r="G106" s="2049"/>
      <c r="H106" s="2050"/>
      <c r="I106" s="2051"/>
      <c r="J106" s="2051"/>
      <c r="K106" s="2052"/>
      <c r="L106" s="2053"/>
      <c r="M106" s="2054"/>
      <c r="N106" s="2055"/>
      <c r="O106" s="2056"/>
      <c r="P106" s="1969"/>
      <c r="Q106" s="1953"/>
      <c r="R106" s="1954"/>
      <c r="S106" s="1954"/>
      <c r="T106" s="1969"/>
      <c r="U106" s="2060"/>
      <c r="Z106" s="1956"/>
      <c r="AA106" s="1956"/>
      <c r="AF106" s="1836"/>
      <c r="AG106" s="1836"/>
      <c r="AH106" s="1836"/>
      <c r="AI106" s="1837"/>
      <c r="AJ106" s="1960"/>
    </row>
    <row r="107" spans="1:36" ht="21.95" customHeight="1" x14ac:dyDescent="0.2">
      <c r="B107" s="2045"/>
      <c r="C107" s="2046"/>
      <c r="D107" s="2047" t="str">
        <f>SNI!E235</f>
        <v xml:space="preserve">Pekerja </v>
      </c>
      <c r="E107" s="2047"/>
      <c r="F107" s="2048"/>
      <c r="G107" s="2049">
        <f>SNI!H235</f>
        <v>0.78</v>
      </c>
      <c r="H107" s="2050" t="str">
        <f>SNI!G235</f>
        <v>OH</v>
      </c>
      <c r="I107" s="2051" t="str">
        <f>SNI!M235</f>
        <v>WNI</v>
      </c>
      <c r="J107" s="2051"/>
      <c r="K107" s="2052">
        <f>SNI!L235</f>
        <v>1</v>
      </c>
      <c r="L107" s="2053"/>
      <c r="M107" s="2054"/>
      <c r="N107" s="2055">
        <f>SNI!I235</f>
        <v>88300</v>
      </c>
      <c r="O107" s="2056"/>
      <c r="P107" s="1969">
        <f t="shared" ref="P107:P109" si="86">N107*G107</f>
        <v>68874</v>
      </c>
      <c r="Q107" s="1953"/>
      <c r="R107" s="1954"/>
      <c r="S107" s="1954">
        <f t="shared" ref="S107:S109" si="87">P107*K107</f>
        <v>68874</v>
      </c>
      <c r="T107" s="1969">
        <f t="shared" ref="T107:T109" si="88">P107-S107</f>
        <v>0</v>
      </c>
      <c r="U107" s="2060"/>
      <c r="Z107" s="1956"/>
      <c r="AA107" s="1956"/>
      <c r="AF107" s="1836"/>
      <c r="AG107" s="1836"/>
      <c r="AH107" s="1836"/>
      <c r="AI107" s="1837"/>
      <c r="AJ107" s="1960"/>
    </row>
    <row r="108" spans="1:36" ht="21.95" customHeight="1" x14ac:dyDescent="0.2">
      <c r="B108" s="2045"/>
      <c r="C108" s="2046"/>
      <c r="D108" s="2047" t="str">
        <f>SNI!E236</f>
        <v>Tukang Batu</v>
      </c>
      <c r="E108" s="2047"/>
      <c r="F108" s="2048"/>
      <c r="G108" s="2049">
        <f>SNI!H236</f>
        <v>0.39</v>
      </c>
      <c r="H108" s="2050" t="str">
        <f>SNI!G236</f>
        <v>OH</v>
      </c>
      <c r="I108" s="2051" t="str">
        <f>SNI!M236</f>
        <v>WNI</v>
      </c>
      <c r="J108" s="2051"/>
      <c r="K108" s="2052">
        <f>SNI!L236</f>
        <v>1</v>
      </c>
      <c r="L108" s="2053"/>
      <c r="M108" s="2054"/>
      <c r="N108" s="2055">
        <f>SNI!I236</f>
        <v>90000</v>
      </c>
      <c r="O108" s="2056"/>
      <c r="P108" s="1969">
        <f t="shared" si="86"/>
        <v>35100</v>
      </c>
      <c r="Q108" s="1953"/>
      <c r="R108" s="1954"/>
      <c r="S108" s="1954">
        <f t="shared" si="87"/>
        <v>35100</v>
      </c>
      <c r="T108" s="1969">
        <f t="shared" si="88"/>
        <v>0</v>
      </c>
      <c r="U108" s="2060"/>
      <c r="Z108" s="1956"/>
      <c r="AA108" s="1956"/>
      <c r="AF108" s="1836"/>
      <c r="AG108" s="1836"/>
      <c r="AH108" s="1836"/>
      <c r="AI108" s="1837"/>
      <c r="AJ108" s="1960"/>
    </row>
    <row r="109" spans="1:36" ht="21.95" customHeight="1" x14ac:dyDescent="0.2">
      <c r="B109" s="2045"/>
      <c r="C109" s="2046"/>
      <c r="D109" s="2047" t="str">
        <f>SNI!E237</f>
        <v>Kepala Tukang</v>
      </c>
      <c r="E109" s="2047"/>
      <c r="F109" s="2048"/>
      <c r="G109" s="2049">
        <f>SNI!H237</f>
        <v>3.9E-2</v>
      </c>
      <c r="H109" s="2050" t="str">
        <f>SNI!G237</f>
        <v>OH</v>
      </c>
      <c r="I109" s="2051" t="str">
        <f>SNI!M237</f>
        <v>WNI</v>
      </c>
      <c r="J109" s="2051"/>
      <c r="K109" s="2052">
        <f>SNI!L237</f>
        <v>1</v>
      </c>
      <c r="L109" s="2053"/>
      <c r="M109" s="2054"/>
      <c r="N109" s="2055">
        <f>SNI!I237</f>
        <v>96000</v>
      </c>
      <c r="O109" s="2056"/>
      <c r="P109" s="1969">
        <f t="shared" si="86"/>
        <v>3744</v>
      </c>
      <c r="Q109" s="1953"/>
      <c r="R109" s="1954"/>
      <c r="S109" s="1954">
        <f t="shared" si="87"/>
        <v>3744</v>
      </c>
      <c r="T109" s="1969">
        <f t="shared" si="88"/>
        <v>0</v>
      </c>
      <c r="U109" s="2060"/>
      <c r="Z109" s="1956"/>
      <c r="AA109" s="1956"/>
      <c r="AF109" s="1836"/>
      <c r="AG109" s="1836"/>
      <c r="AH109" s="1836"/>
      <c r="AI109" s="1837"/>
      <c r="AJ109" s="1960"/>
    </row>
    <row r="110" spans="1:36" ht="21.95" customHeight="1" x14ac:dyDescent="0.2">
      <c r="B110" s="2045"/>
      <c r="C110" s="2046"/>
      <c r="D110" s="2047" t="str">
        <f>SNI!E238</f>
        <v>Mandor</v>
      </c>
      <c r="E110" s="2047"/>
      <c r="F110" s="2048"/>
      <c r="G110" s="2049">
        <f>SNI!H238</f>
        <v>3.9E-2</v>
      </c>
      <c r="H110" s="2050" t="str">
        <f>SNI!G238</f>
        <v>OH</v>
      </c>
      <c r="I110" s="2051" t="str">
        <f>SNI!M238</f>
        <v>WNI</v>
      </c>
      <c r="J110" s="2051"/>
      <c r="K110" s="2052">
        <f>SNI!L238</f>
        <v>1</v>
      </c>
      <c r="L110" s="2053"/>
      <c r="M110" s="2054"/>
      <c r="N110" s="2055">
        <f>SNI!I238</f>
        <v>90000</v>
      </c>
      <c r="O110" s="2056"/>
      <c r="P110" s="1969">
        <f t="shared" ref="P110" si="89">N110*G110</f>
        <v>3510</v>
      </c>
      <c r="Q110" s="1953"/>
      <c r="R110" s="1954"/>
      <c r="S110" s="1954">
        <f t="shared" ref="S110" si="90">P110*K110</f>
        <v>3510</v>
      </c>
      <c r="T110" s="1969">
        <f t="shared" ref="T110" si="91">P110-S110</f>
        <v>0</v>
      </c>
      <c r="U110" s="2060"/>
      <c r="Z110" s="1956"/>
      <c r="AA110" s="1956"/>
      <c r="AF110" s="1836"/>
      <c r="AG110" s="1836"/>
      <c r="AH110" s="1836"/>
      <c r="AI110" s="1837"/>
      <c r="AJ110" s="1960"/>
    </row>
    <row r="111" spans="1:36" s="1957" customFormat="1" ht="21.95" customHeight="1" x14ac:dyDescent="0.2">
      <c r="A111" s="1942"/>
      <c r="B111" s="1970"/>
      <c r="C111" s="1971"/>
      <c r="D111" s="1972"/>
      <c r="E111" s="1973"/>
      <c r="F111" s="1974" t="s">
        <v>556</v>
      </c>
      <c r="G111" s="1975">
        <f>B102</f>
        <v>1</v>
      </c>
      <c r="H111" s="1976"/>
      <c r="I111" s="1977"/>
      <c r="J111" s="1977"/>
      <c r="K111" s="1978"/>
      <c r="L111" s="1979"/>
      <c r="M111" s="1980"/>
      <c r="N111" s="1981"/>
      <c r="O111" s="1982"/>
      <c r="P111" s="1983">
        <f>SUM(P103:R110)</f>
        <v>505644</v>
      </c>
      <c r="Q111" s="1984"/>
      <c r="R111" s="1985"/>
      <c r="S111" s="1983">
        <f>SUM(S103:S110)</f>
        <v>505644</v>
      </c>
      <c r="T111" s="1983">
        <f>SUM(T104:T110)</f>
        <v>0</v>
      </c>
      <c r="U111" s="1986"/>
      <c r="V111" s="1848"/>
      <c r="W111" s="1848"/>
      <c r="X111" s="1848"/>
      <c r="Y111" s="1848"/>
      <c r="Z111" s="1956"/>
      <c r="AA111" s="1956"/>
      <c r="AF111" s="1958"/>
      <c r="AG111" s="1958"/>
      <c r="AH111" s="1958"/>
      <c r="AI111" s="1959"/>
      <c r="AJ111" s="1960"/>
    </row>
    <row r="112" spans="1:36" ht="21.95" customHeight="1" x14ac:dyDescent="0.2">
      <c r="A112" s="1833">
        <f>satpek!B30</f>
        <v>11</v>
      </c>
      <c r="B112" s="1943">
        <f>B102+1</f>
        <v>2</v>
      </c>
      <c r="C112" s="1937"/>
      <c r="D112" s="1944" t="str">
        <f>VLOOKUP($A112,satpek!$B$20:$N$144,2,0)</f>
        <v>Memasang pondasi batu belah, campuran 1 PC : 6 PP</v>
      </c>
      <c r="E112" s="1944"/>
      <c r="F112" s="2004"/>
      <c r="G112" s="1945">
        <f>'[3]B.VOL RAB'!Q43</f>
        <v>44.044000000000004</v>
      </c>
      <c r="H112" s="1946" t="str">
        <f>VLOOKUP($A112,satpek!$B$20:$N$144,7,0)</f>
        <v>m3</v>
      </c>
      <c r="I112" s="1947"/>
      <c r="J112" s="1947"/>
      <c r="K112" s="1948"/>
      <c r="L112" s="1949"/>
      <c r="M112" s="1950" t="str">
        <f>VLOOKUP($A112,satpek!$B$20:$N$144,5,0)</f>
        <v>A.3.2.1.4.</v>
      </c>
      <c r="N112" s="1951">
        <f>VLOOKUP($A112,satpek!$B$20:$N$144,6,0)</f>
        <v>931300.8</v>
      </c>
      <c r="O112" s="1938"/>
      <c r="P112" s="1952">
        <f t="shared" si="79"/>
        <v>41018212.439999998</v>
      </c>
      <c r="Q112" s="1953">
        <f>VLOOKUP($A112,satpek!$B$20:$L$138,8,0)</f>
        <v>0.97468520675596981</v>
      </c>
      <c r="R112" s="1954">
        <f>VLOOKUP($A112,satpek!$B$20:$L$138,9,0)</f>
        <v>803296.56</v>
      </c>
      <c r="S112" s="1954">
        <f>VLOOKUP($A112,satpek!$B$20:$L$138,10,0)</f>
        <v>907725.1128</v>
      </c>
      <c r="T112" s="1952">
        <f>S112*G112</f>
        <v>39979844.868163206</v>
      </c>
      <c r="U112" s="1955"/>
      <c r="X112" s="1848">
        <f>P122</f>
        <v>824160</v>
      </c>
      <c r="Y112" s="1848">
        <f>S122</f>
        <v>803296.56</v>
      </c>
      <c r="Z112" s="1956">
        <v>44.044000000000004</v>
      </c>
      <c r="AA112" s="1956">
        <f>Z112-G112</f>
        <v>0</v>
      </c>
      <c r="AB112" s="1836" t="s">
        <v>663</v>
      </c>
      <c r="AF112" s="1836"/>
      <c r="AG112" s="1836"/>
      <c r="AH112" s="1836"/>
      <c r="AI112" s="1837">
        <v>864060.15</v>
      </c>
      <c r="AJ112" s="1960">
        <f>AI112-N112</f>
        <v>-67240.650000000023</v>
      </c>
    </row>
    <row r="113" spans="1:36" ht="21.95" customHeight="1" x14ac:dyDescent="0.2">
      <c r="B113" s="2045"/>
      <c r="C113" s="2046" t="str">
        <f>SNI!D191</f>
        <v>Bahan</v>
      </c>
      <c r="D113" s="2047"/>
      <c r="E113" s="2047"/>
      <c r="F113" s="2048"/>
      <c r="G113" s="2062"/>
      <c r="H113" s="2050"/>
      <c r="I113" s="2051"/>
      <c r="J113" s="2051"/>
      <c r="K113" s="2052"/>
      <c r="L113" s="2053"/>
      <c r="M113" s="2054"/>
      <c r="N113" s="2055"/>
      <c r="O113" s="2056"/>
      <c r="P113" s="2057"/>
      <c r="Q113" s="2058"/>
      <c r="R113" s="2059"/>
      <c r="S113" s="2059"/>
      <c r="T113" s="2057"/>
      <c r="U113" s="2060"/>
      <c r="Z113" s="1956"/>
      <c r="AA113" s="1956"/>
      <c r="AF113" s="1836"/>
      <c r="AG113" s="1836"/>
      <c r="AH113" s="1836"/>
      <c r="AI113" s="1837"/>
      <c r="AJ113" s="1960"/>
    </row>
    <row r="114" spans="1:36" ht="21.95" customHeight="1" x14ac:dyDescent="0.2">
      <c r="B114" s="2045"/>
      <c r="C114" s="2046"/>
      <c r="D114" s="2047" t="str">
        <f>SNI!E191</f>
        <v>Batu Belah 15/20 cm</v>
      </c>
      <c r="E114" s="2047"/>
      <c r="F114" s="2048"/>
      <c r="G114" s="2062">
        <f>SNI!H191</f>
        <v>1.2</v>
      </c>
      <c r="H114" s="2050" t="str">
        <f>SNI!G191</f>
        <v>m3</v>
      </c>
      <c r="I114" s="2051"/>
      <c r="J114" s="2051"/>
      <c r="K114" s="2052">
        <f>SNI!L191</f>
        <v>1</v>
      </c>
      <c r="L114" s="2053"/>
      <c r="M114" s="2054"/>
      <c r="N114" s="2055">
        <f>SNI!I191</f>
        <v>270000</v>
      </c>
      <c r="O114" s="2056"/>
      <c r="P114" s="1969">
        <f t="shared" ref="P114" si="92">N114*G114</f>
        <v>324000</v>
      </c>
      <c r="Q114" s="1953"/>
      <c r="R114" s="1954"/>
      <c r="S114" s="1954">
        <f t="shared" ref="S114" si="93">P114*K114</f>
        <v>324000</v>
      </c>
      <c r="T114" s="1969">
        <f t="shared" ref="T114" si="94">P114-S114</f>
        <v>0</v>
      </c>
      <c r="U114" s="2060"/>
      <c r="Z114" s="1956"/>
      <c r="AA114" s="1956"/>
      <c r="AF114" s="1836"/>
      <c r="AG114" s="1836"/>
      <c r="AH114" s="1836"/>
      <c r="AI114" s="1837"/>
      <c r="AJ114" s="1960"/>
    </row>
    <row r="115" spans="1:36" ht="21.95" customHeight="1" x14ac:dyDescent="0.2">
      <c r="B115" s="2045"/>
      <c r="C115" s="2046"/>
      <c r="D115" s="2047" t="str">
        <f>SNI!E192</f>
        <v>PC</v>
      </c>
      <c r="E115" s="2047"/>
      <c r="F115" s="2048"/>
      <c r="G115" s="2062">
        <f>SNI!H192</f>
        <v>117</v>
      </c>
      <c r="H115" s="2050" t="str">
        <f>SNI!G192</f>
        <v>kg</v>
      </c>
      <c r="I115" s="2051"/>
      <c r="J115" s="2051"/>
      <c r="K115" s="2052">
        <f>SNI!L192</f>
        <v>0.85140000000000005</v>
      </c>
      <c r="L115" s="2053"/>
      <c r="M115" s="2054"/>
      <c r="N115" s="2055">
        <f>SNI!I192</f>
        <v>1200</v>
      </c>
      <c r="O115" s="2056"/>
      <c r="P115" s="1969">
        <f t="shared" ref="P115:P118" si="95">N115*G115</f>
        <v>140400</v>
      </c>
      <c r="Q115" s="1953"/>
      <c r="R115" s="1954"/>
      <c r="S115" s="1954">
        <f t="shared" ref="S115:S118" si="96">P115*K115</f>
        <v>119536.56000000001</v>
      </c>
      <c r="T115" s="1969">
        <f t="shared" ref="T115:T118" si="97">P115-S115</f>
        <v>20863.439999999988</v>
      </c>
      <c r="U115" s="2060"/>
      <c r="Z115" s="1956"/>
      <c r="AA115" s="1956"/>
      <c r="AF115" s="1836"/>
      <c r="AG115" s="1836"/>
      <c r="AH115" s="1836"/>
      <c r="AI115" s="1837"/>
      <c r="AJ115" s="1960"/>
    </row>
    <row r="116" spans="1:36" ht="21.95" customHeight="1" x14ac:dyDescent="0.2">
      <c r="B116" s="2045"/>
      <c r="C116" s="2046"/>
      <c r="D116" s="2047" t="str">
        <f>SNI!E193</f>
        <v>Pasir Pasang</v>
      </c>
      <c r="E116" s="2047"/>
      <c r="F116" s="2048"/>
      <c r="G116" s="2062">
        <f>SNI!H193</f>
        <v>0.56100000000000005</v>
      </c>
      <c r="H116" s="2050" t="str">
        <f>SNI!G193</f>
        <v>m3</v>
      </c>
      <c r="I116" s="2051"/>
      <c r="J116" s="2051"/>
      <c r="K116" s="2052">
        <f>SNI!L193</f>
        <v>1</v>
      </c>
      <c r="L116" s="2053"/>
      <c r="M116" s="2054"/>
      <c r="N116" s="2055">
        <f>SNI!I193</f>
        <v>260000</v>
      </c>
      <c r="O116" s="2056"/>
      <c r="P116" s="1969">
        <f t="shared" si="95"/>
        <v>145860</v>
      </c>
      <c r="Q116" s="1953"/>
      <c r="R116" s="1954"/>
      <c r="S116" s="1954">
        <f t="shared" si="96"/>
        <v>145860</v>
      </c>
      <c r="T116" s="1969">
        <f t="shared" si="97"/>
        <v>0</v>
      </c>
      <c r="U116" s="2060"/>
      <c r="Z116" s="1956"/>
      <c r="AA116" s="1956"/>
      <c r="AF116" s="1836"/>
      <c r="AG116" s="1836"/>
      <c r="AH116" s="1836"/>
      <c r="AI116" s="1837"/>
      <c r="AJ116" s="1960"/>
    </row>
    <row r="117" spans="1:36" ht="21.95" customHeight="1" x14ac:dyDescent="0.2">
      <c r="B117" s="2045"/>
      <c r="C117" s="2046" t="str">
        <f>SNI!D195</f>
        <v>Tenaga Kerja</v>
      </c>
      <c r="D117" s="2047"/>
      <c r="E117" s="2047"/>
      <c r="F117" s="2048"/>
      <c r="G117" s="2062"/>
      <c r="H117" s="2050"/>
      <c r="I117" s="2051"/>
      <c r="J117" s="2051"/>
      <c r="K117" s="2052"/>
      <c r="L117" s="2053"/>
      <c r="M117" s="2054"/>
      <c r="N117" s="2055"/>
      <c r="O117" s="2056"/>
      <c r="P117" s="1969"/>
      <c r="Q117" s="1953"/>
      <c r="R117" s="1954"/>
      <c r="S117" s="1954"/>
      <c r="T117" s="1969"/>
      <c r="U117" s="2060"/>
      <c r="Z117" s="1956"/>
      <c r="AA117" s="1956"/>
      <c r="AF117" s="1836"/>
      <c r="AG117" s="1836"/>
      <c r="AH117" s="1836"/>
      <c r="AI117" s="1837"/>
      <c r="AJ117" s="1960"/>
    </row>
    <row r="118" spans="1:36" ht="21.95" customHeight="1" x14ac:dyDescent="0.2">
      <c r="B118" s="2045"/>
      <c r="C118" s="2046"/>
      <c r="D118" s="2047" t="str">
        <f>SNI!E195</f>
        <v xml:space="preserve">Pekerja </v>
      </c>
      <c r="E118" s="2047"/>
      <c r="F118" s="2048"/>
      <c r="G118" s="2062">
        <f>SNI!H195</f>
        <v>1.5</v>
      </c>
      <c r="H118" s="2050" t="str">
        <f>SNI!G195</f>
        <v>OH</v>
      </c>
      <c r="I118" s="2051" t="str">
        <f>SNI!M195</f>
        <v>WNI</v>
      </c>
      <c r="J118" s="2051"/>
      <c r="K118" s="2052">
        <f>SNI!L195</f>
        <v>1</v>
      </c>
      <c r="L118" s="2053"/>
      <c r="M118" s="2054"/>
      <c r="N118" s="2055">
        <f>SNI!I195</f>
        <v>88300</v>
      </c>
      <c r="O118" s="2056"/>
      <c r="P118" s="1969">
        <f t="shared" si="95"/>
        <v>132450</v>
      </c>
      <c r="Q118" s="1953"/>
      <c r="R118" s="1954"/>
      <c r="S118" s="1954">
        <f t="shared" si="96"/>
        <v>132450</v>
      </c>
      <c r="T118" s="1969">
        <f t="shared" si="97"/>
        <v>0</v>
      </c>
      <c r="U118" s="2060"/>
      <c r="Z118" s="1956"/>
      <c r="AA118" s="1956"/>
      <c r="AF118" s="1836"/>
      <c r="AG118" s="1836"/>
      <c r="AH118" s="1836"/>
      <c r="AI118" s="1837"/>
      <c r="AJ118" s="1960"/>
    </row>
    <row r="119" spans="1:36" ht="21.95" customHeight="1" x14ac:dyDescent="0.2">
      <c r="B119" s="2045"/>
      <c r="C119" s="2046"/>
      <c r="D119" s="2047" t="str">
        <f>SNI!E196</f>
        <v>Tukang Batu</v>
      </c>
      <c r="E119" s="2047"/>
      <c r="F119" s="2048"/>
      <c r="G119" s="2062">
        <f>SNI!H196</f>
        <v>0.75</v>
      </c>
      <c r="H119" s="2050" t="str">
        <f>SNI!G196</f>
        <v>OH</v>
      </c>
      <c r="I119" s="2051" t="str">
        <f>SNI!M196</f>
        <v>WNI</v>
      </c>
      <c r="J119" s="2051"/>
      <c r="K119" s="2052">
        <f>SNI!L196</f>
        <v>1</v>
      </c>
      <c r="L119" s="2053"/>
      <c r="M119" s="2054"/>
      <c r="N119" s="2055">
        <f>SNI!I196</f>
        <v>90000</v>
      </c>
      <c r="O119" s="2056"/>
      <c r="P119" s="1969">
        <f t="shared" ref="P119:P121" si="98">N119*G119</f>
        <v>67500</v>
      </c>
      <c r="Q119" s="1953"/>
      <c r="R119" s="1954"/>
      <c r="S119" s="1954">
        <f t="shared" ref="S119:S121" si="99">P119*K119</f>
        <v>67500</v>
      </c>
      <c r="T119" s="1969">
        <f t="shared" ref="T119:T121" si="100">P119-S119</f>
        <v>0</v>
      </c>
      <c r="U119" s="2060"/>
      <c r="Z119" s="1956"/>
      <c r="AA119" s="1956"/>
      <c r="AF119" s="1836"/>
      <c r="AG119" s="1836"/>
      <c r="AH119" s="1836"/>
      <c r="AI119" s="1837"/>
      <c r="AJ119" s="1960"/>
    </row>
    <row r="120" spans="1:36" ht="21.95" customHeight="1" x14ac:dyDescent="0.2">
      <c r="B120" s="2045"/>
      <c r="C120" s="2046"/>
      <c r="D120" s="2047" t="str">
        <f>SNI!E197</f>
        <v>Kepala Tukang</v>
      </c>
      <c r="E120" s="2047"/>
      <c r="F120" s="2048"/>
      <c r="G120" s="2062">
        <f>SNI!H197</f>
        <v>7.4999999999999997E-2</v>
      </c>
      <c r="H120" s="2050" t="str">
        <f>SNI!G197</f>
        <v>OH</v>
      </c>
      <c r="I120" s="2051" t="str">
        <f>SNI!M197</f>
        <v>WNI</v>
      </c>
      <c r="J120" s="2051"/>
      <c r="K120" s="2052">
        <f>SNI!L197</f>
        <v>1</v>
      </c>
      <c r="L120" s="2053"/>
      <c r="M120" s="2054"/>
      <c r="N120" s="2055">
        <f>SNI!I197</f>
        <v>96000</v>
      </c>
      <c r="O120" s="2056"/>
      <c r="P120" s="1969">
        <f t="shared" si="98"/>
        <v>7200</v>
      </c>
      <c r="Q120" s="1953"/>
      <c r="R120" s="1954"/>
      <c r="S120" s="1954">
        <f t="shared" si="99"/>
        <v>7200</v>
      </c>
      <c r="T120" s="1969">
        <f t="shared" si="100"/>
        <v>0</v>
      </c>
      <c r="U120" s="2060"/>
      <c r="Z120" s="1956"/>
      <c r="AA120" s="1956"/>
      <c r="AF120" s="1836"/>
      <c r="AG120" s="1836"/>
      <c r="AH120" s="1836"/>
      <c r="AI120" s="1837"/>
      <c r="AJ120" s="1960"/>
    </row>
    <row r="121" spans="1:36" ht="21.95" customHeight="1" x14ac:dyDescent="0.2">
      <c r="B121" s="2045"/>
      <c r="C121" s="2046"/>
      <c r="D121" s="2047" t="str">
        <f>SNI!E198</f>
        <v>Mandor</v>
      </c>
      <c r="E121" s="2047"/>
      <c r="F121" s="2048"/>
      <c r="G121" s="2062">
        <f>SNI!H198</f>
        <v>7.4999999999999997E-2</v>
      </c>
      <c r="H121" s="2050" t="str">
        <f>SNI!G198</f>
        <v>OH</v>
      </c>
      <c r="I121" s="2051" t="str">
        <f>SNI!M198</f>
        <v>WNI</v>
      </c>
      <c r="J121" s="2051"/>
      <c r="K121" s="2052">
        <f>SNI!L198</f>
        <v>1</v>
      </c>
      <c r="L121" s="2053"/>
      <c r="M121" s="2054"/>
      <c r="N121" s="2055">
        <f>SNI!I198</f>
        <v>90000</v>
      </c>
      <c r="O121" s="2056"/>
      <c r="P121" s="1969">
        <f t="shared" si="98"/>
        <v>6750</v>
      </c>
      <c r="Q121" s="1953"/>
      <c r="R121" s="1954"/>
      <c r="S121" s="1954">
        <f t="shared" si="99"/>
        <v>6750</v>
      </c>
      <c r="T121" s="1969">
        <f t="shared" si="100"/>
        <v>0</v>
      </c>
      <c r="U121" s="2060"/>
      <c r="Z121" s="1956"/>
      <c r="AA121" s="1956"/>
      <c r="AF121" s="1836"/>
      <c r="AG121" s="1836"/>
      <c r="AH121" s="1836"/>
      <c r="AI121" s="1837"/>
      <c r="AJ121" s="1960"/>
    </row>
    <row r="122" spans="1:36" s="1957" customFormat="1" ht="21.95" customHeight="1" x14ac:dyDescent="0.2">
      <c r="A122" s="1942"/>
      <c r="B122" s="1970"/>
      <c r="C122" s="1971"/>
      <c r="D122" s="1972"/>
      <c r="E122" s="1973"/>
      <c r="F122" s="1974" t="s">
        <v>556</v>
      </c>
      <c r="G122" s="1975">
        <f>B112</f>
        <v>2</v>
      </c>
      <c r="H122" s="1976"/>
      <c r="I122" s="1977"/>
      <c r="J122" s="1977"/>
      <c r="K122" s="1978"/>
      <c r="L122" s="1979"/>
      <c r="M122" s="1980"/>
      <c r="N122" s="1981"/>
      <c r="O122" s="1982"/>
      <c r="P122" s="1983">
        <f>SUM(P114:R121)</f>
        <v>824160</v>
      </c>
      <c r="Q122" s="1984"/>
      <c r="R122" s="1985"/>
      <c r="S122" s="1983">
        <f>SUM(S114:S121)</f>
        <v>803296.56</v>
      </c>
      <c r="T122" s="1983">
        <f>SUM(T113:T121)</f>
        <v>20863.439999999988</v>
      </c>
      <c r="U122" s="1986"/>
      <c r="V122" s="1848"/>
      <c r="W122" s="1848"/>
      <c r="X122" s="1848"/>
      <c r="Y122" s="1848"/>
      <c r="Z122" s="1956"/>
      <c r="AA122" s="1956"/>
      <c r="AF122" s="1958"/>
      <c r="AG122" s="1958"/>
      <c r="AH122" s="1958"/>
      <c r="AI122" s="1959"/>
      <c r="AJ122" s="1960"/>
    </row>
    <row r="123" spans="1:36" ht="21.95" customHeight="1" x14ac:dyDescent="0.2">
      <c r="A123" s="1833">
        <f>satpek!B33</f>
        <v>14</v>
      </c>
      <c r="B123" s="1943">
        <f>B112+1</f>
        <v>3</v>
      </c>
      <c r="C123" s="1937"/>
      <c r="D123" s="1944" t="s">
        <v>1766</v>
      </c>
      <c r="E123" s="1944"/>
      <c r="F123" s="2004"/>
      <c r="G123" s="2063">
        <f>'[3]B.VOL RAB'!Q45</f>
        <v>7.68</v>
      </c>
      <c r="H123" s="1946" t="str">
        <f>VLOOKUP($A123,satpek!$B$20:$N$144,7,0)</f>
        <v>m2</v>
      </c>
      <c r="I123" s="1947"/>
      <c r="J123" s="1947"/>
      <c r="K123" s="1948"/>
      <c r="L123" s="1949"/>
      <c r="M123" s="1950" t="str">
        <f>VLOOKUP($A123,satpek!$B$20:$N$144,5,0)</f>
        <v>A.4.4.1.4.</v>
      </c>
      <c r="N123" s="1951">
        <f>VLOOKUP($A123,satpek!$B$20:$N$144,6,0)</f>
        <v>272058.8</v>
      </c>
      <c r="O123" s="1938"/>
      <c r="P123" s="1952">
        <f t="shared" si="79"/>
        <v>2089411.58</v>
      </c>
      <c r="Q123" s="1953">
        <f>VLOOKUP($A123,satpek!$B$20:$L$138,8,0)</f>
        <v>0.98355746801794319</v>
      </c>
      <c r="R123" s="1954">
        <f>VLOOKUP($A123,satpek!$B$20:$L$138,9,0)</f>
        <v>236801.296</v>
      </c>
      <c r="S123" s="1954">
        <f>VLOOKUP($A123,satpek!$B$20:$L$138,10,0)</f>
        <v>267585.46448000002</v>
      </c>
      <c r="T123" s="1952">
        <f>S123*G123</f>
        <v>2055056.3672064</v>
      </c>
      <c r="U123" s="1955"/>
      <c r="X123" s="1848">
        <f>P133</f>
        <v>240760</v>
      </c>
      <c r="Y123" s="1848">
        <f>S133</f>
        <v>236801.296</v>
      </c>
      <c r="Z123" s="1956">
        <v>7.68</v>
      </c>
      <c r="AA123" s="1956">
        <f>Z123-G123</f>
        <v>0</v>
      </c>
      <c r="AB123" s="1836" t="s">
        <v>1766</v>
      </c>
      <c r="AF123" s="1836"/>
      <c r="AG123" s="1836"/>
      <c r="AH123" s="1836"/>
      <c r="AI123" s="1837">
        <v>248520.9</v>
      </c>
      <c r="AJ123" s="1960">
        <f>AI123-N123</f>
        <v>-23537.899999999994</v>
      </c>
    </row>
    <row r="124" spans="1:36" ht="21.95" customHeight="1" x14ac:dyDescent="0.2">
      <c r="B124" s="2045"/>
      <c r="C124" s="2046" t="str">
        <f>SNI!D252</f>
        <v>Bahan</v>
      </c>
      <c r="D124" s="2047"/>
      <c r="E124" s="2047"/>
      <c r="F124" s="2048"/>
      <c r="G124" s="2064"/>
      <c r="H124" s="2050"/>
      <c r="I124" s="2051"/>
      <c r="J124" s="2051"/>
      <c r="K124" s="2052"/>
      <c r="L124" s="2053"/>
      <c r="M124" s="2054"/>
      <c r="N124" s="2055"/>
      <c r="O124" s="2056"/>
      <c r="P124" s="1969"/>
      <c r="Q124" s="1953"/>
      <c r="R124" s="1954"/>
      <c r="S124" s="1954"/>
      <c r="T124" s="1969"/>
      <c r="U124" s="2060"/>
      <c r="Z124" s="1956"/>
      <c r="AA124" s="1956"/>
      <c r="AF124" s="1836"/>
      <c r="AG124" s="1836"/>
      <c r="AH124" s="1836"/>
      <c r="AI124" s="1837"/>
      <c r="AJ124" s="1960"/>
    </row>
    <row r="125" spans="1:36" ht="21.95" customHeight="1" x14ac:dyDescent="0.2">
      <c r="B125" s="2045"/>
      <c r="C125" s="2046"/>
      <c r="D125" s="2047" t="str">
        <f>SNI!E252</f>
        <v>Batu Merah</v>
      </c>
      <c r="E125" s="2047"/>
      <c r="F125" s="2048"/>
      <c r="G125" s="2062">
        <f>SNI!H252</f>
        <v>140</v>
      </c>
      <c r="H125" s="2050" t="str">
        <f>SNI!G252</f>
        <v>Buah</v>
      </c>
      <c r="I125" s="2051"/>
      <c r="J125" s="2051"/>
      <c r="K125" s="2052">
        <f>SNI!L252</f>
        <v>1</v>
      </c>
      <c r="L125" s="2053"/>
      <c r="M125" s="2054"/>
      <c r="N125" s="2055">
        <f>SNI!I252</f>
        <v>800</v>
      </c>
      <c r="O125" s="2056"/>
      <c r="P125" s="1969">
        <f t="shared" ref="P125" si="101">N125*G125</f>
        <v>112000</v>
      </c>
      <c r="Q125" s="1953"/>
      <c r="R125" s="1954"/>
      <c r="S125" s="1954">
        <f t="shared" ref="S125" si="102">P125*K125</f>
        <v>112000</v>
      </c>
      <c r="T125" s="1969">
        <f t="shared" ref="T125" si="103">P125-S125</f>
        <v>0</v>
      </c>
      <c r="U125" s="2060"/>
      <c r="Z125" s="1956"/>
      <c r="AA125" s="1956"/>
      <c r="AF125" s="1836"/>
      <c r="AG125" s="1836"/>
      <c r="AH125" s="1836"/>
      <c r="AI125" s="1837"/>
      <c r="AJ125" s="1960"/>
    </row>
    <row r="126" spans="1:36" ht="21.95" customHeight="1" x14ac:dyDescent="0.2">
      <c r="B126" s="2045"/>
      <c r="C126" s="2046"/>
      <c r="D126" s="2047" t="str">
        <f>SNI!E253</f>
        <v>PC</v>
      </c>
      <c r="E126" s="2047"/>
      <c r="F126" s="2048"/>
      <c r="G126" s="2062">
        <f>SNI!H253</f>
        <v>22.2</v>
      </c>
      <c r="H126" s="2050" t="str">
        <f>SNI!G253</f>
        <v>kg</v>
      </c>
      <c r="I126" s="2051"/>
      <c r="J126" s="2051"/>
      <c r="K126" s="2052">
        <f>SNI!L253</f>
        <v>0.85140000000000005</v>
      </c>
      <c r="L126" s="2053"/>
      <c r="M126" s="2054"/>
      <c r="N126" s="2055">
        <f>SNI!I253</f>
        <v>1200</v>
      </c>
      <c r="O126" s="2056"/>
      <c r="P126" s="1969">
        <f t="shared" ref="P126:P132" si="104">N126*G126</f>
        <v>26640</v>
      </c>
      <c r="Q126" s="1953"/>
      <c r="R126" s="1954"/>
      <c r="S126" s="1954">
        <f t="shared" ref="S126:S132" si="105">P126*K126</f>
        <v>22681.296000000002</v>
      </c>
      <c r="T126" s="1969">
        <f t="shared" ref="T126:T132" si="106">P126-S126</f>
        <v>3958.7039999999979</v>
      </c>
      <c r="U126" s="2060"/>
      <c r="Z126" s="1956"/>
      <c r="AA126" s="1956"/>
      <c r="AF126" s="1836"/>
      <c r="AG126" s="1836"/>
      <c r="AH126" s="1836"/>
      <c r="AI126" s="1837"/>
      <c r="AJ126" s="1960"/>
    </row>
    <row r="127" spans="1:36" ht="21.95" customHeight="1" x14ac:dyDescent="0.2">
      <c r="B127" s="2045"/>
      <c r="C127" s="2046"/>
      <c r="D127" s="2047" t="str">
        <f>SNI!E254</f>
        <v>Pasir Pasang</v>
      </c>
      <c r="E127" s="2047"/>
      <c r="F127" s="2048"/>
      <c r="G127" s="2062">
        <f>SNI!H254</f>
        <v>0.10199999999999999</v>
      </c>
      <c r="H127" s="2050" t="str">
        <f>SNI!G254</f>
        <v>m3</v>
      </c>
      <c r="I127" s="2051"/>
      <c r="J127" s="2051"/>
      <c r="K127" s="2052">
        <f>SNI!L254</f>
        <v>1</v>
      </c>
      <c r="L127" s="2053"/>
      <c r="M127" s="2054"/>
      <c r="N127" s="2055">
        <f>SNI!I254</f>
        <v>260000</v>
      </c>
      <c r="O127" s="2056"/>
      <c r="P127" s="1969">
        <f t="shared" si="104"/>
        <v>26520</v>
      </c>
      <c r="Q127" s="1953"/>
      <c r="R127" s="1954"/>
      <c r="S127" s="1954">
        <f t="shared" si="105"/>
        <v>26520</v>
      </c>
      <c r="T127" s="1969">
        <f t="shared" si="106"/>
        <v>0</v>
      </c>
      <c r="U127" s="2060"/>
      <c r="Z127" s="1956"/>
      <c r="AA127" s="1956"/>
      <c r="AF127" s="1836"/>
      <c r="AG127" s="1836"/>
      <c r="AH127" s="1836"/>
      <c r="AI127" s="1837"/>
      <c r="AJ127" s="1960"/>
    </row>
    <row r="128" spans="1:36" ht="21.95" customHeight="1" x14ac:dyDescent="0.2">
      <c r="B128" s="2045"/>
      <c r="C128" s="2046" t="str">
        <f>SNI!D256</f>
        <v>Tenaga Kerja</v>
      </c>
      <c r="D128" s="2047"/>
      <c r="E128" s="2047"/>
      <c r="F128" s="2048"/>
      <c r="G128" s="2062"/>
      <c r="H128" s="2050"/>
      <c r="I128" s="2051"/>
      <c r="J128" s="2051"/>
      <c r="K128" s="2052"/>
      <c r="L128" s="2053"/>
      <c r="M128" s="2054"/>
      <c r="N128" s="2055"/>
      <c r="O128" s="2056"/>
      <c r="P128" s="1969"/>
      <c r="Q128" s="1953"/>
      <c r="R128" s="1954"/>
      <c r="S128" s="1954"/>
      <c r="T128" s="1969"/>
      <c r="U128" s="2060"/>
      <c r="Z128" s="1956"/>
      <c r="AA128" s="1956"/>
      <c r="AF128" s="1836"/>
      <c r="AG128" s="1836"/>
      <c r="AH128" s="1836"/>
      <c r="AI128" s="1837"/>
      <c r="AJ128" s="1960"/>
    </row>
    <row r="129" spans="1:36" ht="21.95" customHeight="1" x14ac:dyDescent="0.2">
      <c r="B129" s="2045"/>
      <c r="C129" s="2046"/>
      <c r="D129" s="2047" t="str">
        <f>SNI!E256</f>
        <v xml:space="preserve">Pekerja </v>
      </c>
      <c r="E129" s="2047"/>
      <c r="F129" s="2048"/>
      <c r="G129" s="2062">
        <f>SNI!H256</f>
        <v>0.6</v>
      </c>
      <c r="H129" s="2050" t="str">
        <f>SNI!G256</f>
        <v>OH</v>
      </c>
      <c r="I129" s="2051" t="str">
        <f>SNI!M256</f>
        <v>WNI</v>
      </c>
      <c r="J129" s="2051"/>
      <c r="K129" s="2052">
        <f>SNI!L256</f>
        <v>1</v>
      </c>
      <c r="L129" s="2053"/>
      <c r="M129" s="2054"/>
      <c r="N129" s="2055">
        <f>SNI!I256</f>
        <v>88300</v>
      </c>
      <c r="O129" s="2056"/>
      <c r="P129" s="1969">
        <f t="shared" si="104"/>
        <v>52980</v>
      </c>
      <c r="Q129" s="1953"/>
      <c r="R129" s="1954"/>
      <c r="S129" s="1954">
        <f t="shared" si="105"/>
        <v>52980</v>
      </c>
      <c r="T129" s="1969">
        <f t="shared" si="106"/>
        <v>0</v>
      </c>
      <c r="U129" s="2060"/>
      <c r="Z129" s="1956"/>
      <c r="AA129" s="1956"/>
      <c r="AF129" s="1836"/>
      <c r="AG129" s="1836"/>
      <c r="AH129" s="1836"/>
      <c r="AI129" s="1837"/>
      <c r="AJ129" s="1960"/>
    </row>
    <row r="130" spans="1:36" ht="21.95" customHeight="1" x14ac:dyDescent="0.2">
      <c r="B130" s="2045"/>
      <c r="C130" s="2046"/>
      <c r="D130" s="2047" t="str">
        <f>SNI!E257</f>
        <v>Tukang Batu</v>
      </c>
      <c r="E130" s="2047"/>
      <c r="F130" s="2048"/>
      <c r="G130" s="2062">
        <f>SNI!H257</f>
        <v>0.2</v>
      </c>
      <c r="H130" s="2050" t="str">
        <f>SNI!G257</f>
        <v>OH</v>
      </c>
      <c r="I130" s="2051" t="str">
        <f>SNI!M257</f>
        <v>WNI</v>
      </c>
      <c r="J130" s="2051"/>
      <c r="K130" s="2052">
        <f>SNI!L257</f>
        <v>1</v>
      </c>
      <c r="L130" s="2053"/>
      <c r="M130" s="2054"/>
      <c r="N130" s="2055">
        <f>SNI!I257</f>
        <v>90000</v>
      </c>
      <c r="O130" s="2056"/>
      <c r="P130" s="1969">
        <f t="shared" si="104"/>
        <v>18000</v>
      </c>
      <c r="Q130" s="1953"/>
      <c r="R130" s="1954"/>
      <c r="S130" s="1954">
        <f t="shared" si="105"/>
        <v>18000</v>
      </c>
      <c r="T130" s="1969">
        <f t="shared" si="106"/>
        <v>0</v>
      </c>
      <c r="U130" s="2060"/>
      <c r="Z130" s="1956"/>
      <c r="AA130" s="1956"/>
      <c r="AF130" s="1836"/>
      <c r="AG130" s="1836"/>
      <c r="AH130" s="1836"/>
      <c r="AI130" s="1837"/>
      <c r="AJ130" s="1960"/>
    </row>
    <row r="131" spans="1:36" ht="21.95" customHeight="1" x14ac:dyDescent="0.2">
      <c r="B131" s="2045"/>
      <c r="C131" s="2046"/>
      <c r="D131" s="2047" t="str">
        <f>SNI!E258</f>
        <v>Kepala Tukang</v>
      </c>
      <c r="E131" s="2047"/>
      <c r="F131" s="2048"/>
      <c r="G131" s="2062">
        <f>SNI!H258</f>
        <v>0.02</v>
      </c>
      <c r="H131" s="2050" t="str">
        <f>SNI!G258</f>
        <v>OH</v>
      </c>
      <c r="I131" s="2051" t="str">
        <f>SNI!M258</f>
        <v>WNI</v>
      </c>
      <c r="J131" s="2051"/>
      <c r="K131" s="2052">
        <f>SNI!L258</f>
        <v>1</v>
      </c>
      <c r="L131" s="2053"/>
      <c r="M131" s="2054"/>
      <c r="N131" s="2055">
        <f>SNI!I258</f>
        <v>96000</v>
      </c>
      <c r="O131" s="2056"/>
      <c r="P131" s="1969">
        <f t="shared" si="104"/>
        <v>1920</v>
      </c>
      <c r="Q131" s="1953"/>
      <c r="R131" s="1954"/>
      <c r="S131" s="1954">
        <f t="shared" si="105"/>
        <v>1920</v>
      </c>
      <c r="T131" s="1969">
        <f t="shared" si="106"/>
        <v>0</v>
      </c>
      <c r="U131" s="2060"/>
      <c r="Z131" s="1956"/>
      <c r="AA131" s="1956"/>
      <c r="AF131" s="1836"/>
      <c r="AG131" s="1836"/>
      <c r="AH131" s="1836"/>
      <c r="AI131" s="1837"/>
      <c r="AJ131" s="1960"/>
    </row>
    <row r="132" spans="1:36" ht="21.95" customHeight="1" x14ac:dyDescent="0.2">
      <c r="B132" s="2045"/>
      <c r="C132" s="2046"/>
      <c r="D132" s="2047" t="str">
        <f>SNI!E259</f>
        <v>Mandor</v>
      </c>
      <c r="E132" s="2047"/>
      <c r="F132" s="2048"/>
      <c r="G132" s="2062">
        <f>SNI!H259</f>
        <v>0.03</v>
      </c>
      <c r="H132" s="2050" t="str">
        <f>SNI!G259</f>
        <v>OH</v>
      </c>
      <c r="I132" s="2051" t="str">
        <f>SNI!M259</f>
        <v>WNI</v>
      </c>
      <c r="J132" s="2051"/>
      <c r="K132" s="2052">
        <f>SNI!L259</f>
        <v>1</v>
      </c>
      <c r="L132" s="2053"/>
      <c r="M132" s="2054"/>
      <c r="N132" s="2055">
        <f>SNI!I259</f>
        <v>90000</v>
      </c>
      <c r="O132" s="2056"/>
      <c r="P132" s="1969">
        <f t="shared" si="104"/>
        <v>2700</v>
      </c>
      <c r="Q132" s="1953"/>
      <c r="R132" s="1954"/>
      <c r="S132" s="1954">
        <f t="shared" si="105"/>
        <v>2700</v>
      </c>
      <c r="T132" s="1969">
        <f t="shared" si="106"/>
        <v>0</v>
      </c>
      <c r="U132" s="2060"/>
      <c r="Z132" s="1956"/>
      <c r="AA132" s="1956"/>
      <c r="AF132" s="1836"/>
      <c r="AG132" s="1836"/>
      <c r="AH132" s="1836"/>
      <c r="AI132" s="1837"/>
      <c r="AJ132" s="1960"/>
    </row>
    <row r="133" spans="1:36" s="1957" customFormat="1" ht="21.95" customHeight="1" x14ac:dyDescent="0.2">
      <c r="A133" s="1942"/>
      <c r="B133" s="1970"/>
      <c r="C133" s="1971"/>
      <c r="D133" s="1972"/>
      <c r="E133" s="1973"/>
      <c r="F133" s="1974" t="s">
        <v>556</v>
      </c>
      <c r="G133" s="1975">
        <f>B123</f>
        <v>3</v>
      </c>
      <c r="H133" s="1976"/>
      <c r="I133" s="1977"/>
      <c r="J133" s="1977"/>
      <c r="K133" s="1978"/>
      <c r="L133" s="1979"/>
      <c r="M133" s="1980"/>
      <c r="N133" s="1981"/>
      <c r="O133" s="1982"/>
      <c r="P133" s="1983">
        <f>SUM(P125:R132)</f>
        <v>240760</v>
      </c>
      <c r="Q133" s="1984"/>
      <c r="R133" s="1985"/>
      <c r="S133" s="1983">
        <f>SUM(S125:S132)</f>
        <v>236801.296</v>
      </c>
      <c r="T133" s="1983">
        <f>SUM(T124:T132)</f>
        <v>3958.7039999999979</v>
      </c>
      <c r="U133" s="1986"/>
      <c r="V133" s="1848"/>
      <c r="W133" s="1848"/>
      <c r="X133" s="1848"/>
      <c r="Y133" s="1848"/>
      <c r="Z133" s="1956"/>
      <c r="AA133" s="1956"/>
      <c r="AF133" s="1958"/>
      <c r="AG133" s="1958"/>
      <c r="AH133" s="1958"/>
      <c r="AI133" s="1959"/>
      <c r="AJ133" s="1960"/>
    </row>
    <row r="134" spans="1:36" ht="21.95" customHeight="1" x14ac:dyDescent="0.2">
      <c r="B134" s="2017"/>
      <c r="C134" s="2018"/>
      <c r="D134" s="2019"/>
      <c r="E134" s="2019"/>
      <c r="F134" s="2020"/>
      <c r="G134" s="2021"/>
      <c r="H134" s="2022"/>
      <c r="I134" s="2023"/>
      <c r="J134" s="2023"/>
      <c r="K134" s="2024"/>
      <c r="L134" s="2025"/>
      <c r="M134" s="2025"/>
      <c r="N134" s="2026"/>
      <c r="O134" s="2027"/>
      <c r="P134" s="2065" t="s">
        <v>1767</v>
      </c>
      <c r="Q134" s="2029">
        <f>AVERAGE(Q101:Q123)</f>
        <v>0.9860808915913043</v>
      </c>
      <c r="R134" s="2023"/>
      <c r="S134" s="2023"/>
      <c r="T134" s="2068"/>
      <c r="U134" s="2031"/>
      <c r="V134" s="1848">
        <f>[3]HPS!M38</f>
        <v>45747811.549999997</v>
      </c>
      <c r="W134" s="1848" t="e">
        <f>#REF!-V134</f>
        <v>#REF!</v>
      </c>
      <c r="Z134" s="1956"/>
      <c r="AA134" s="1956">
        <f>Z134-G134</f>
        <v>0</v>
      </c>
      <c r="AB134" s="2069"/>
      <c r="AF134" s="1836"/>
      <c r="AG134" s="1836"/>
      <c r="AH134" s="1836"/>
      <c r="AI134" s="1837"/>
      <c r="AJ134" s="1960">
        <f>AI134-N134</f>
        <v>0</v>
      </c>
    </row>
    <row r="135" spans="1:36" ht="21.95" customHeight="1" x14ac:dyDescent="0.2">
      <c r="B135" s="1927" t="s">
        <v>1768</v>
      </c>
      <c r="C135" s="2033"/>
      <c r="D135" s="2034" t="s">
        <v>269</v>
      </c>
      <c r="E135" s="2070"/>
      <c r="F135" s="2071"/>
      <c r="G135" s="1945"/>
      <c r="H135" s="2072"/>
      <c r="I135" s="2073"/>
      <c r="J135" s="2073"/>
      <c r="K135" s="2074"/>
      <c r="L135" s="2075"/>
      <c r="M135" s="2075"/>
      <c r="N135" s="2076"/>
      <c r="O135" s="2077"/>
      <c r="P135" s="2078"/>
      <c r="Q135" s="2073"/>
      <c r="R135" s="2073"/>
      <c r="S135" s="2073"/>
      <c r="T135" s="2079"/>
      <c r="U135" s="2080"/>
      <c r="Z135" s="1956"/>
      <c r="AA135" s="1956">
        <f>Z135-G135</f>
        <v>0</v>
      </c>
      <c r="AB135" s="1836" t="s">
        <v>269</v>
      </c>
      <c r="AF135" s="1836"/>
      <c r="AG135" s="1836"/>
      <c r="AH135" s="1836"/>
      <c r="AI135" s="1837"/>
      <c r="AJ135" s="1960">
        <f>AI135-N135</f>
        <v>0</v>
      </c>
    </row>
    <row r="136" spans="1:36" ht="21.95" customHeight="1" x14ac:dyDescent="0.2">
      <c r="B136" s="1927"/>
      <c r="C136" s="2033"/>
      <c r="D136" s="2034" t="s">
        <v>1769</v>
      </c>
      <c r="E136" s="2070"/>
      <c r="F136" s="2071"/>
      <c r="G136" s="1945"/>
      <c r="H136" s="2072"/>
      <c r="I136" s="2073"/>
      <c r="J136" s="2073"/>
      <c r="K136" s="2074"/>
      <c r="L136" s="2075"/>
      <c r="M136" s="2075"/>
      <c r="N136" s="2076"/>
      <c r="O136" s="2077"/>
      <c r="P136" s="2078"/>
      <c r="Q136" s="2073"/>
      <c r="R136" s="2073"/>
      <c r="S136" s="2073"/>
      <c r="T136" s="2079"/>
      <c r="U136" s="2080"/>
      <c r="Z136" s="1956"/>
      <c r="AA136" s="1956">
        <f>Z136-G136</f>
        <v>0</v>
      </c>
      <c r="AB136" s="1836" t="s">
        <v>1769</v>
      </c>
      <c r="AF136" s="1836"/>
      <c r="AG136" s="1836"/>
      <c r="AH136" s="1836"/>
      <c r="AI136" s="1837"/>
      <c r="AJ136" s="1960">
        <f>AI136-N136</f>
        <v>0</v>
      </c>
    </row>
    <row r="137" spans="1:36" ht="21.95" customHeight="1" x14ac:dyDescent="0.2">
      <c r="B137" s="1927"/>
      <c r="C137" s="1928"/>
      <c r="D137" s="2081" t="s">
        <v>1770</v>
      </c>
      <c r="E137" s="2082"/>
      <c r="F137" s="2083"/>
      <c r="G137" s="1945"/>
      <c r="H137" s="2084"/>
      <c r="I137" s="2085"/>
      <c r="J137" s="2085"/>
      <c r="K137" s="2086"/>
      <c r="L137" s="2087"/>
      <c r="M137" s="2087"/>
      <c r="N137" s="2088"/>
      <c r="O137" s="2089"/>
      <c r="P137" s="2090"/>
      <c r="Q137" s="2085"/>
      <c r="R137" s="2085"/>
      <c r="S137" s="2085"/>
      <c r="T137" s="2091"/>
      <c r="U137" s="2092"/>
      <c r="Z137" s="1956"/>
      <c r="AA137" s="1956">
        <f>Z137-G137</f>
        <v>0</v>
      </c>
      <c r="AB137" s="1836" t="s">
        <v>1770</v>
      </c>
      <c r="AF137" s="1836"/>
      <c r="AG137" s="1836"/>
      <c r="AH137" s="1836"/>
      <c r="AI137" s="1837"/>
      <c r="AJ137" s="1960">
        <f>AI137-N137</f>
        <v>0</v>
      </c>
    </row>
    <row r="138" spans="1:36" ht="21.95" customHeight="1" x14ac:dyDescent="0.2">
      <c r="A138" s="1833">
        <f>satpek!B39</f>
        <v>20</v>
      </c>
      <c r="B138" s="1943">
        <v>1</v>
      </c>
      <c r="C138" s="1937"/>
      <c r="D138" s="1944" t="s">
        <v>1771</v>
      </c>
      <c r="E138" s="1944"/>
      <c r="F138" s="2004"/>
      <c r="G138" s="1945">
        <f>'[3]B.VOL RAB'!Q52</f>
        <v>8.2999999999999989</v>
      </c>
      <c r="H138" s="1946" t="str">
        <f>VLOOKUP($A138,satpek!$B$20:$N$144,7,0)</f>
        <v>m3</v>
      </c>
      <c r="I138" s="1947"/>
      <c r="J138" s="1947"/>
      <c r="K138" s="1948"/>
      <c r="L138" s="1949"/>
      <c r="M138" s="1950" t="str">
        <f>VLOOKUP($A138,satpek!$B$20:$N$144,5,0)</f>
        <v>A.4.1.1.1.</v>
      </c>
      <c r="N138" s="1951">
        <f>VLOOKUP($A138,satpek!$B$20:$N$144,6,0)</f>
        <v>958085.99</v>
      </c>
      <c r="O138" s="1938"/>
      <c r="P138" s="1952">
        <f t="shared" ref="P138" si="107">ROUND((G138*N138),2)</f>
        <v>7952113.7199999997</v>
      </c>
      <c r="Q138" s="1953">
        <f>VLOOKUP($A138,satpek!$B$20:$L$138,8,0)</f>
        <v>0.94805174525042479</v>
      </c>
      <c r="R138" s="1954">
        <f>VLOOKUP($A138,satpek!$B$20:$L$138,9,0)</f>
        <v>803818.67</v>
      </c>
      <c r="S138" s="1954"/>
      <c r="T138" s="1952"/>
      <c r="U138" s="1955"/>
      <c r="X138" s="1848">
        <f>P149</f>
        <v>847863.71428571432</v>
      </c>
      <c r="Y138" s="1848">
        <f>S149</f>
        <v>803818.67428571428</v>
      </c>
      <c r="Z138" s="1956">
        <v>8.2999999999999989</v>
      </c>
      <c r="AA138" s="1956">
        <f>Z138-G138</f>
        <v>0</v>
      </c>
      <c r="AB138" s="1836" t="s">
        <v>1771</v>
      </c>
      <c r="AF138" s="1836"/>
      <c r="AG138" s="1836"/>
      <c r="AH138" s="1836"/>
      <c r="AI138" s="1837">
        <v>969189.7</v>
      </c>
      <c r="AJ138" s="1960">
        <f>AI138-N138</f>
        <v>11103.709999999963</v>
      </c>
    </row>
    <row r="139" spans="1:36" ht="21.95" customHeight="1" x14ac:dyDescent="0.2">
      <c r="B139" s="2045"/>
      <c r="C139" s="2046" t="str">
        <f>SNI!D368</f>
        <v>Bahan</v>
      </c>
      <c r="D139" s="2047"/>
      <c r="E139" s="2047"/>
      <c r="F139" s="2048"/>
      <c r="G139" s="2049"/>
      <c r="H139" s="2050"/>
      <c r="I139" s="2051"/>
      <c r="J139" s="2051"/>
      <c r="K139" s="2052"/>
      <c r="L139" s="2053"/>
      <c r="M139" s="2054"/>
      <c r="N139" s="2055"/>
      <c r="O139" s="2056"/>
      <c r="P139" s="2057"/>
      <c r="Q139" s="2058"/>
      <c r="R139" s="2059"/>
      <c r="S139" s="2059"/>
      <c r="T139" s="2055"/>
      <c r="U139" s="2060"/>
      <c r="Z139" s="1956"/>
      <c r="AA139" s="1956"/>
      <c r="AF139" s="1836"/>
      <c r="AG139" s="1836"/>
      <c r="AH139" s="1836"/>
      <c r="AI139" s="1837"/>
      <c r="AJ139" s="1960"/>
    </row>
    <row r="140" spans="1:36" ht="21.95" customHeight="1" x14ac:dyDescent="0.2">
      <c r="B140" s="2045"/>
      <c r="C140" s="2046"/>
      <c r="D140" s="2047" t="str">
        <f>SNI!E368</f>
        <v>PC</v>
      </c>
      <c r="E140" s="2047"/>
      <c r="F140" s="2048"/>
      <c r="G140" s="2049">
        <f>SNI!H368</f>
        <v>247</v>
      </c>
      <c r="H140" s="2050" t="str">
        <f>SNI!G368</f>
        <v>kg</v>
      </c>
      <c r="I140" s="2051"/>
      <c r="J140" s="2051"/>
      <c r="K140" s="2052">
        <f>SNI!L368</f>
        <v>0.85140000000000005</v>
      </c>
      <c r="L140" s="2053"/>
      <c r="M140" s="2054"/>
      <c r="N140" s="2055">
        <f>SNI!I368</f>
        <v>1200</v>
      </c>
      <c r="O140" s="2056"/>
      <c r="P140" s="1969">
        <f t="shared" ref="P140" si="108">N140*G140</f>
        <v>296400</v>
      </c>
      <c r="Q140" s="1953"/>
      <c r="R140" s="1954"/>
      <c r="S140" s="1954">
        <f t="shared" ref="S140" si="109">P140*K140</f>
        <v>252354.96000000002</v>
      </c>
      <c r="T140" s="1969">
        <f t="shared" ref="T140" si="110">P140-S140</f>
        <v>44045.039999999979</v>
      </c>
      <c r="U140" s="2060"/>
      <c r="Z140" s="1956"/>
      <c r="AA140" s="1956"/>
      <c r="AF140" s="1836"/>
      <c r="AG140" s="1836"/>
      <c r="AH140" s="1836"/>
      <c r="AI140" s="1837"/>
      <c r="AJ140" s="1960"/>
    </row>
    <row r="141" spans="1:36" ht="21.95" customHeight="1" x14ac:dyDescent="0.2">
      <c r="B141" s="2045"/>
      <c r="C141" s="2046"/>
      <c r="D141" s="2047" t="str">
        <f>SNI!E369</f>
        <v>Pasir Beton</v>
      </c>
      <c r="E141" s="2047"/>
      <c r="F141" s="2048"/>
      <c r="G141" s="2049">
        <f>SNI!H369</f>
        <v>869</v>
      </c>
      <c r="H141" s="2050" t="str">
        <f>SNI!G369</f>
        <v>kg</v>
      </c>
      <c r="I141" s="2051"/>
      <c r="J141" s="2051"/>
      <c r="K141" s="2052">
        <f>SNI!L369</f>
        <v>1</v>
      </c>
      <c r="L141" s="2053"/>
      <c r="M141" s="2054"/>
      <c r="N141" s="2055">
        <f>SNI!I369</f>
        <v>185.71428571428572</v>
      </c>
      <c r="O141" s="2056"/>
      <c r="P141" s="1969">
        <f t="shared" ref="P141:P148" si="111">N141*G141</f>
        <v>161385.71428571429</v>
      </c>
      <c r="Q141" s="1953"/>
      <c r="R141" s="1954"/>
      <c r="S141" s="1954">
        <f t="shared" ref="S141:S148" si="112">P141*K141</f>
        <v>161385.71428571429</v>
      </c>
      <c r="T141" s="1969">
        <f t="shared" ref="T141:T148" si="113">P141-S141</f>
        <v>0</v>
      </c>
      <c r="U141" s="2060"/>
      <c r="Z141" s="1956"/>
      <c r="AA141" s="1956"/>
      <c r="AF141" s="1836"/>
      <c r="AG141" s="1836"/>
      <c r="AH141" s="1836"/>
      <c r="AI141" s="1837"/>
      <c r="AJ141" s="1960"/>
    </row>
    <row r="142" spans="1:36" ht="21.95" customHeight="1" x14ac:dyDescent="0.2">
      <c r="B142" s="2045"/>
      <c r="C142" s="2046"/>
      <c r="D142" s="2047" t="str">
        <f>SNI!E370</f>
        <v>Kerikil ( maks 30 mm )</v>
      </c>
      <c r="E142" s="2047"/>
      <c r="F142" s="2048"/>
      <c r="G142" s="2049">
        <f>SNI!H370</f>
        <v>999</v>
      </c>
      <c r="H142" s="2050" t="str">
        <f>SNI!G370</f>
        <v>kg</v>
      </c>
      <c r="I142" s="2051"/>
      <c r="J142" s="2051"/>
      <c r="K142" s="2052">
        <f>SNI!L370</f>
        <v>1</v>
      </c>
      <c r="L142" s="2053"/>
      <c r="M142" s="2054"/>
      <c r="N142" s="2055">
        <f>SNI!I370</f>
        <v>200</v>
      </c>
      <c r="O142" s="2056"/>
      <c r="P142" s="1969">
        <f t="shared" si="111"/>
        <v>199800</v>
      </c>
      <c r="Q142" s="1953"/>
      <c r="R142" s="1954"/>
      <c r="S142" s="1954">
        <f t="shared" si="112"/>
        <v>199800</v>
      </c>
      <c r="T142" s="1969">
        <f t="shared" si="113"/>
        <v>0</v>
      </c>
      <c r="U142" s="2060"/>
      <c r="Z142" s="1956"/>
      <c r="AA142" s="1956"/>
      <c r="AF142" s="1836"/>
      <c r="AG142" s="1836"/>
      <c r="AH142" s="1836"/>
      <c r="AI142" s="1837"/>
      <c r="AJ142" s="1960"/>
    </row>
    <row r="143" spans="1:36" ht="21.95" customHeight="1" x14ac:dyDescent="0.2">
      <c r="B143" s="2045"/>
      <c r="C143" s="2046"/>
      <c r="D143" s="2047" t="str">
        <f>SNI!E371</f>
        <v>Air</v>
      </c>
      <c r="E143" s="2047"/>
      <c r="F143" s="2048"/>
      <c r="G143" s="2049">
        <f>SNI!H371</f>
        <v>215</v>
      </c>
      <c r="H143" s="2050" t="str">
        <f>SNI!G371</f>
        <v>ltr</v>
      </c>
      <c r="I143" s="2051"/>
      <c r="J143" s="2051"/>
      <c r="K143" s="2052">
        <f>SNI!L371</f>
        <v>1</v>
      </c>
      <c r="L143" s="2053"/>
      <c r="M143" s="2054"/>
      <c r="N143" s="2055">
        <f>SNI!I371</f>
        <v>45</v>
      </c>
      <c r="O143" s="2056"/>
      <c r="P143" s="1969">
        <f t="shared" si="111"/>
        <v>9675</v>
      </c>
      <c r="Q143" s="1953"/>
      <c r="R143" s="1954"/>
      <c r="S143" s="1954">
        <f t="shared" si="112"/>
        <v>9675</v>
      </c>
      <c r="T143" s="1969">
        <f t="shared" si="113"/>
        <v>0</v>
      </c>
      <c r="U143" s="2060"/>
      <c r="Z143" s="1956"/>
      <c r="AA143" s="1956"/>
      <c r="AF143" s="1836"/>
      <c r="AG143" s="1836"/>
      <c r="AH143" s="1836"/>
      <c r="AI143" s="1837"/>
      <c r="AJ143" s="1960"/>
    </row>
    <row r="144" spans="1:36" ht="21.95" customHeight="1" x14ac:dyDescent="0.2">
      <c r="B144" s="2045"/>
      <c r="C144" s="2046" t="str">
        <f>SNI!D373</f>
        <v>Tenaga Kerja</v>
      </c>
      <c r="D144" s="2047"/>
      <c r="E144" s="2047"/>
      <c r="F144" s="2048"/>
      <c r="G144" s="2049"/>
      <c r="H144" s="2050"/>
      <c r="I144" s="2051"/>
      <c r="J144" s="2051"/>
      <c r="K144" s="2052"/>
      <c r="L144" s="2053"/>
      <c r="M144" s="2054"/>
      <c r="N144" s="2055"/>
      <c r="O144" s="2056"/>
      <c r="P144" s="1969"/>
      <c r="Q144" s="1953"/>
      <c r="R144" s="1954"/>
      <c r="S144" s="1954"/>
      <c r="T144" s="1969"/>
      <c r="U144" s="2060"/>
      <c r="Z144" s="1956"/>
      <c r="AA144" s="1956"/>
      <c r="AF144" s="1836"/>
      <c r="AG144" s="1836"/>
      <c r="AH144" s="1836"/>
      <c r="AI144" s="1837"/>
      <c r="AJ144" s="1960"/>
    </row>
    <row r="145" spans="1:36" ht="21.95" customHeight="1" x14ac:dyDescent="0.2">
      <c r="B145" s="2045"/>
      <c r="C145" s="2046"/>
      <c r="D145" s="2047" t="str">
        <f>SNI!E373</f>
        <v xml:space="preserve">Pekerja </v>
      </c>
      <c r="E145" s="2047"/>
      <c r="F145" s="2048"/>
      <c r="G145" s="2049">
        <f>SNI!H373</f>
        <v>1.65</v>
      </c>
      <c r="H145" s="2050" t="str">
        <f>SNI!G373</f>
        <v>OH</v>
      </c>
      <c r="I145" s="2051" t="str">
        <f>SNI!M373</f>
        <v>WNI</v>
      </c>
      <c r="J145" s="2051"/>
      <c r="K145" s="2052">
        <f>SNI!L373</f>
        <v>1</v>
      </c>
      <c r="L145" s="2053"/>
      <c r="M145" s="2054"/>
      <c r="N145" s="2055">
        <f>SNI!I373</f>
        <v>88300</v>
      </c>
      <c r="O145" s="2056"/>
      <c r="P145" s="1969">
        <f t="shared" si="111"/>
        <v>145695</v>
      </c>
      <c r="Q145" s="1953"/>
      <c r="R145" s="1954"/>
      <c r="S145" s="1954">
        <f t="shared" si="112"/>
        <v>145695</v>
      </c>
      <c r="T145" s="1969">
        <f t="shared" si="113"/>
        <v>0</v>
      </c>
      <c r="U145" s="2060"/>
      <c r="Z145" s="1956"/>
      <c r="AA145" s="1956"/>
      <c r="AF145" s="1836"/>
      <c r="AG145" s="1836"/>
      <c r="AH145" s="1836"/>
      <c r="AI145" s="1837"/>
      <c r="AJ145" s="1960"/>
    </row>
    <row r="146" spans="1:36" ht="21.95" customHeight="1" x14ac:dyDescent="0.2">
      <c r="B146" s="2045"/>
      <c r="C146" s="2046"/>
      <c r="D146" s="2047" t="str">
        <f>SNI!E374</f>
        <v>Tukang Batu</v>
      </c>
      <c r="E146" s="2047"/>
      <c r="F146" s="2048"/>
      <c r="G146" s="2049">
        <f>SNI!H374</f>
        <v>0.27500000000000002</v>
      </c>
      <c r="H146" s="2050" t="str">
        <f>SNI!G374</f>
        <v>OH</v>
      </c>
      <c r="I146" s="2051" t="str">
        <f>SNI!M374</f>
        <v>WNI</v>
      </c>
      <c r="J146" s="2051"/>
      <c r="K146" s="2052">
        <f>SNI!L374</f>
        <v>1</v>
      </c>
      <c r="L146" s="2053"/>
      <c r="M146" s="2054"/>
      <c r="N146" s="2055">
        <f>SNI!I374</f>
        <v>90000</v>
      </c>
      <c r="O146" s="2056"/>
      <c r="P146" s="1969">
        <f t="shared" si="111"/>
        <v>24750.000000000004</v>
      </c>
      <c r="Q146" s="1953"/>
      <c r="R146" s="1954"/>
      <c r="S146" s="1954">
        <f t="shared" si="112"/>
        <v>24750.000000000004</v>
      </c>
      <c r="T146" s="1969">
        <f t="shared" si="113"/>
        <v>0</v>
      </c>
      <c r="U146" s="2060"/>
      <c r="Z146" s="1956"/>
      <c r="AA146" s="1956"/>
      <c r="AF146" s="1836"/>
      <c r="AG146" s="1836"/>
      <c r="AH146" s="1836"/>
      <c r="AI146" s="1837"/>
      <c r="AJ146" s="1960"/>
    </row>
    <row r="147" spans="1:36" ht="21.95" customHeight="1" x14ac:dyDescent="0.2">
      <c r="B147" s="2045"/>
      <c r="C147" s="2046"/>
      <c r="D147" s="2047" t="str">
        <f>SNI!E375</f>
        <v>Kepala Tukang</v>
      </c>
      <c r="E147" s="2047"/>
      <c r="F147" s="2048"/>
      <c r="G147" s="2049">
        <f>SNI!H375</f>
        <v>2.8000000000000001E-2</v>
      </c>
      <c r="H147" s="2050" t="str">
        <f>SNI!G375</f>
        <v>OH</v>
      </c>
      <c r="I147" s="2051" t="str">
        <f>SNI!M375</f>
        <v>WNI</v>
      </c>
      <c r="J147" s="2051"/>
      <c r="K147" s="2052">
        <f>SNI!L375</f>
        <v>1</v>
      </c>
      <c r="L147" s="2053"/>
      <c r="M147" s="2054"/>
      <c r="N147" s="2055">
        <f>SNI!I375</f>
        <v>96000</v>
      </c>
      <c r="O147" s="2056"/>
      <c r="P147" s="1969">
        <f t="shared" si="111"/>
        <v>2688</v>
      </c>
      <c r="Q147" s="1953"/>
      <c r="R147" s="1954"/>
      <c r="S147" s="1954">
        <f t="shared" si="112"/>
        <v>2688</v>
      </c>
      <c r="T147" s="1969">
        <f t="shared" si="113"/>
        <v>0</v>
      </c>
      <c r="U147" s="2060"/>
      <c r="Z147" s="1956"/>
      <c r="AA147" s="1956"/>
      <c r="AF147" s="1836"/>
      <c r="AG147" s="1836"/>
      <c r="AH147" s="1836"/>
      <c r="AI147" s="1837"/>
      <c r="AJ147" s="1960"/>
    </row>
    <row r="148" spans="1:36" ht="21.95" customHeight="1" x14ac:dyDescent="0.2">
      <c r="B148" s="2045"/>
      <c r="C148" s="2046"/>
      <c r="D148" s="2047" t="str">
        <f>SNI!E376</f>
        <v>Mandor</v>
      </c>
      <c r="E148" s="2047"/>
      <c r="F148" s="2048"/>
      <c r="G148" s="2049">
        <f>SNI!H376</f>
        <v>8.3000000000000004E-2</v>
      </c>
      <c r="H148" s="2050" t="str">
        <f>SNI!G376</f>
        <v>OH</v>
      </c>
      <c r="I148" s="2051" t="str">
        <f>SNI!M376</f>
        <v>WNI</v>
      </c>
      <c r="J148" s="2051"/>
      <c r="K148" s="2052">
        <f>SNI!L376</f>
        <v>1</v>
      </c>
      <c r="L148" s="2053"/>
      <c r="M148" s="2054"/>
      <c r="N148" s="2055">
        <f>SNI!I376</f>
        <v>90000</v>
      </c>
      <c r="O148" s="2056"/>
      <c r="P148" s="1969">
        <f t="shared" si="111"/>
        <v>7470</v>
      </c>
      <c r="Q148" s="1953"/>
      <c r="R148" s="1954"/>
      <c r="S148" s="1954">
        <f t="shared" si="112"/>
        <v>7470</v>
      </c>
      <c r="T148" s="1969">
        <f t="shared" si="113"/>
        <v>0</v>
      </c>
      <c r="U148" s="2060"/>
      <c r="Z148" s="1956"/>
      <c r="AA148" s="1956"/>
      <c r="AF148" s="1836"/>
      <c r="AG148" s="1836"/>
      <c r="AH148" s="1836"/>
      <c r="AI148" s="1837"/>
      <c r="AJ148" s="1960"/>
    </row>
    <row r="149" spans="1:36" s="1957" customFormat="1" ht="21.95" customHeight="1" x14ac:dyDescent="0.2">
      <c r="A149" s="1942"/>
      <c r="B149" s="1970"/>
      <c r="C149" s="1971"/>
      <c r="D149" s="1972"/>
      <c r="E149" s="1973"/>
      <c r="F149" s="1974" t="s">
        <v>556</v>
      </c>
      <c r="G149" s="1975">
        <f>B138</f>
        <v>1</v>
      </c>
      <c r="H149" s="1976"/>
      <c r="I149" s="1977"/>
      <c r="J149" s="1977"/>
      <c r="K149" s="1978"/>
      <c r="L149" s="1979"/>
      <c r="M149" s="1980"/>
      <c r="N149" s="1981"/>
      <c r="O149" s="1982"/>
      <c r="P149" s="1983">
        <f>SUM(P140:P148)</f>
        <v>847863.71428571432</v>
      </c>
      <c r="Q149" s="1984"/>
      <c r="R149" s="1985"/>
      <c r="S149" s="1983">
        <f>SUM(S140:S148)</f>
        <v>803818.67428571428</v>
      </c>
      <c r="T149" s="1983">
        <f>SUM(T140:T148)</f>
        <v>44045.039999999979</v>
      </c>
      <c r="U149" s="1986"/>
      <c r="V149" s="1848"/>
      <c r="W149" s="1848"/>
      <c r="X149" s="1848"/>
      <c r="Y149" s="1848"/>
      <c r="Z149" s="1956"/>
      <c r="AA149" s="1956"/>
      <c r="AF149" s="1958"/>
      <c r="AG149" s="1958"/>
      <c r="AH149" s="1958"/>
      <c r="AI149" s="1959"/>
      <c r="AJ149" s="1960"/>
    </row>
    <row r="150" spans="1:36" ht="21.95" customHeight="1" x14ac:dyDescent="0.2">
      <c r="B150" s="1943"/>
      <c r="C150" s="1937"/>
      <c r="D150" s="2081" t="s">
        <v>1772</v>
      </c>
      <c r="E150" s="1944"/>
      <c r="F150" s="2004"/>
      <c r="G150" s="1945"/>
      <c r="H150" s="2093"/>
      <c r="I150" s="2094"/>
      <c r="J150" s="2094"/>
      <c r="K150" s="1935"/>
      <c r="L150" s="1950"/>
      <c r="M150" s="1950"/>
      <c r="N150" s="1951"/>
      <c r="O150" s="2095"/>
      <c r="P150" s="1952"/>
      <c r="Q150" s="2094"/>
      <c r="R150" s="2094"/>
      <c r="S150" s="2094"/>
      <c r="T150" s="2096"/>
      <c r="U150" s="2097"/>
      <c r="Z150" s="1956"/>
      <c r="AA150" s="1956">
        <f>Z150-G150</f>
        <v>0</v>
      </c>
      <c r="AB150" s="1836" t="s">
        <v>1772</v>
      </c>
      <c r="AF150" s="1836"/>
      <c r="AG150" s="1836"/>
      <c r="AH150" s="1836"/>
      <c r="AI150" s="1837"/>
      <c r="AJ150" s="1960">
        <f>AI150-N150</f>
        <v>0</v>
      </c>
    </row>
    <row r="151" spans="1:36" ht="21.95" customHeight="1" x14ac:dyDescent="0.2">
      <c r="A151" s="1833">
        <f>satpek!$B$40</f>
        <v>21</v>
      </c>
      <c r="B151" s="1943">
        <f>RAB.PERTANIAN!B41</f>
        <v>2</v>
      </c>
      <c r="C151" s="1937"/>
      <c r="D151" s="1944" t="str">
        <f>VLOOKUP($A151,satpek!$B$20:$N$144,2,0)</f>
        <v>Membuat beton mutu f'c = 21,7 Mpa - K 250</v>
      </c>
      <c r="E151" s="1944"/>
      <c r="F151" s="2004"/>
      <c r="G151" s="1945">
        <f>'[3]B.VOL RAB'!Q56</f>
        <v>41.471999999999994</v>
      </c>
      <c r="H151" s="1946" t="str">
        <f>VLOOKUP($A151,satpek!$B$20:$N$144,7,0)</f>
        <v>m3</v>
      </c>
      <c r="I151" s="1947"/>
      <c r="J151" s="1947"/>
      <c r="K151" s="1948"/>
      <c r="L151" s="1949"/>
      <c r="M151" s="1950" t="str">
        <f>VLOOKUP($A151,satpek!$B$20:$N$144,5,0)</f>
        <v>A.4.1.1.8.</v>
      </c>
      <c r="N151" s="1951">
        <f>VLOOKUP($A151,satpek!$B$20:$N$144,6,0)</f>
        <v>1115753.29</v>
      </c>
      <c r="O151" s="1938"/>
      <c r="P151" s="1952">
        <f t="shared" ref="P151:P173" si="114">ROUND((G151*N151),2)</f>
        <v>46272520.439999998</v>
      </c>
      <c r="Q151" s="1953">
        <f>VLOOKUP($A151,satpek!$B$20:$L$138,8,0)</f>
        <v>0.93065078521121514</v>
      </c>
      <c r="R151" s="1954">
        <f>VLOOKUP($A151,satpek!$B$20:$L$138,9,0)</f>
        <v>918917.40999999992</v>
      </c>
      <c r="S151" s="1954"/>
      <c r="T151" s="1952"/>
      <c r="U151" s="1955"/>
      <c r="X151" s="1848">
        <f>P162</f>
        <v>987392.28571428568</v>
      </c>
      <c r="Y151" s="1848">
        <f>S162</f>
        <v>918917.40571428579</v>
      </c>
      <c r="Z151" s="1956">
        <v>41.471999999999994</v>
      </c>
      <c r="AA151" s="1956">
        <f>Z151-G151</f>
        <v>0</v>
      </c>
      <c r="AB151" s="1836" t="s">
        <v>1905</v>
      </c>
      <c r="AF151" s="1836"/>
      <c r="AG151" s="1836"/>
      <c r="AH151" s="1836"/>
      <c r="AI151" s="1837">
        <v>1191397.42</v>
      </c>
      <c r="AJ151" s="1960">
        <f>AI151-N151</f>
        <v>75644.129999999888</v>
      </c>
    </row>
    <row r="152" spans="1:36" ht="21.95" customHeight="1" x14ac:dyDescent="0.2">
      <c r="B152" s="2045"/>
      <c r="C152" s="2046" t="str">
        <f>SNI!D389</f>
        <v>Bahan</v>
      </c>
      <c r="D152" s="2047"/>
      <c r="E152" s="2047"/>
      <c r="F152" s="2048"/>
      <c r="G152" s="2049"/>
      <c r="H152" s="2050"/>
      <c r="I152" s="2051"/>
      <c r="J152" s="2051"/>
      <c r="K152" s="2052"/>
      <c r="L152" s="2053"/>
      <c r="M152" s="2054"/>
      <c r="N152" s="2055"/>
      <c r="O152" s="2056"/>
      <c r="P152" s="2057"/>
      <c r="Q152" s="2058"/>
      <c r="R152" s="2059"/>
      <c r="S152" s="2059"/>
      <c r="T152" s="2057"/>
      <c r="U152" s="2060"/>
      <c r="Z152" s="1956"/>
      <c r="AA152" s="1956"/>
      <c r="AF152" s="1836"/>
      <c r="AG152" s="1836"/>
      <c r="AH152" s="1836"/>
      <c r="AI152" s="1837"/>
      <c r="AJ152" s="1960"/>
    </row>
    <row r="153" spans="1:36" ht="21.95" customHeight="1" x14ac:dyDescent="0.2">
      <c r="B153" s="2045"/>
      <c r="C153" s="2046"/>
      <c r="D153" s="2047" t="str">
        <f>SNI!E389</f>
        <v>PC</v>
      </c>
      <c r="E153" s="2047"/>
      <c r="F153" s="2048"/>
      <c r="G153" s="2049">
        <f>SNI!H389</f>
        <v>384</v>
      </c>
      <c r="H153" s="2050" t="str">
        <f>SNI!G389</f>
        <v>kg</v>
      </c>
      <c r="I153" s="2051"/>
      <c r="J153" s="2051"/>
      <c r="K153" s="2052">
        <f>SNI!L389</f>
        <v>0.85140000000000005</v>
      </c>
      <c r="L153" s="2053"/>
      <c r="M153" s="2054"/>
      <c r="N153" s="2055">
        <f>SNI!I389</f>
        <v>1200</v>
      </c>
      <c r="O153" s="2056"/>
      <c r="P153" s="1969">
        <f t="shared" ref="P153" si="115">N153*G153</f>
        <v>460800</v>
      </c>
      <c r="Q153" s="1953"/>
      <c r="R153" s="1954"/>
      <c r="S153" s="1954">
        <f t="shared" ref="S153" si="116">P153*K153</f>
        <v>392325.12</v>
      </c>
      <c r="T153" s="1969">
        <f t="shared" ref="T153" si="117">P153-S153</f>
        <v>68474.880000000005</v>
      </c>
      <c r="U153" s="2060"/>
      <c r="Z153" s="1956"/>
      <c r="AA153" s="1956"/>
      <c r="AF153" s="1836"/>
      <c r="AG153" s="1836"/>
      <c r="AH153" s="1836"/>
      <c r="AI153" s="1837"/>
      <c r="AJ153" s="1960"/>
    </row>
    <row r="154" spans="1:36" ht="21.95" customHeight="1" x14ac:dyDescent="0.2">
      <c r="B154" s="2045"/>
      <c r="C154" s="2046"/>
      <c r="D154" s="2047" t="str">
        <f>SNI!E390</f>
        <v>Pasir Beton</v>
      </c>
      <c r="E154" s="2047"/>
      <c r="F154" s="2048"/>
      <c r="G154" s="2049">
        <f>SNI!H390</f>
        <v>692</v>
      </c>
      <c r="H154" s="2050" t="str">
        <f>SNI!G390</f>
        <v>kg</v>
      </c>
      <c r="I154" s="2051"/>
      <c r="J154" s="2051"/>
      <c r="K154" s="2052">
        <f>SNI!L390</f>
        <v>1</v>
      </c>
      <c r="L154" s="2053"/>
      <c r="M154" s="2054"/>
      <c r="N154" s="2055">
        <f>SNI!I390</f>
        <v>185.71428571428572</v>
      </c>
      <c r="O154" s="2056"/>
      <c r="P154" s="1969">
        <f t="shared" ref="P154:P161" si="118">N154*G154</f>
        <v>128514.28571428572</v>
      </c>
      <c r="Q154" s="1953"/>
      <c r="R154" s="1954"/>
      <c r="S154" s="1954">
        <f t="shared" ref="S154:S161" si="119">P154*K154</f>
        <v>128514.28571428572</v>
      </c>
      <c r="T154" s="1969">
        <f t="shared" ref="T154:T161" si="120">P154-S154</f>
        <v>0</v>
      </c>
      <c r="U154" s="2060"/>
      <c r="Z154" s="1956"/>
      <c r="AA154" s="1956"/>
      <c r="AF154" s="1836"/>
      <c r="AG154" s="1836"/>
      <c r="AH154" s="1836"/>
      <c r="AI154" s="1837"/>
      <c r="AJ154" s="1960"/>
    </row>
    <row r="155" spans="1:36" ht="21.95" customHeight="1" x14ac:dyDescent="0.2">
      <c r="B155" s="2045"/>
      <c r="C155" s="2046"/>
      <c r="D155" s="2047" t="str">
        <f>SNI!E391</f>
        <v>Kerikil ( maks 30 mm )</v>
      </c>
      <c r="E155" s="2047"/>
      <c r="F155" s="2048"/>
      <c r="G155" s="2049">
        <f>SNI!H391</f>
        <v>1039</v>
      </c>
      <c r="H155" s="2050" t="str">
        <f>SNI!G391</f>
        <v>kg</v>
      </c>
      <c r="I155" s="2051"/>
      <c r="J155" s="2051"/>
      <c r="K155" s="2052">
        <f>SNI!L391</f>
        <v>1</v>
      </c>
      <c r="L155" s="2053"/>
      <c r="M155" s="2054"/>
      <c r="N155" s="2055">
        <f>SNI!I391</f>
        <v>200</v>
      </c>
      <c r="O155" s="2056"/>
      <c r="P155" s="1969">
        <f t="shared" si="118"/>
        <v>207800</v>
      </c>
      <c r="Q155" s="1953"/>
      <c r="R155" s="1954"/>
      <c r="S155" s="1954">
        <f t="shared" si="119"/>
        <v>207800</v>
      </c>
      <c r="T155" s="1969">
        <f t="shared" si="120"/>
        <v>0</v>
      </c>
      <c r="U155" s="2060"/>
      <c r="Z155" s="1956"/>
      <c r="AA155" s="1956"/>
      <c r="AF155" s="1836"/>
      <c r="AG155" s="1836"/>
      <c r="AH155" s="1836"/>
      <c r="AI155" s="1837"/>
      <c r="AJ155" s="1960"/>
    </row>
    <row r="156" spans="1:36" ht="21.95" customHeight="1" x14ac:dyDescent="0.2">
      <c r="B156" s="2045"/>
      <c r="C156" s="2046"/>
      <c r="D156" s="2047" t="str">
        <f>SNI!E392</f>
        <v>Air</v>
      </c>
      <c r="E156" s="2047"/>
      <c r="F156" s="2048"/>
      <c r="G156" s="2049">
        <f>SNI!H392</f>
        <v>215</v>
      </c>
      <c r="H156" s="2050" t="str">
        <f>SNI!G392</f>
        <v>ltr</v>
      </c>
      <c r="I156" s="2051"/>
      <c r="J156" s="2051"/>
      <c r="K156" s="2052">
        <f>SNI!L392</f>
        <v>1</v>
      </c>
      <c r="L156" s="2053"/>
      <c r="M156" s="2054"/>
      <c r="N156" s="2055">
        <f>SNI!I392</f>
        <v>45</v>
      </c>
      <c r="O156" s="2056"/>
      <c r="P156" s="1969">
        <f t="shared" si="118"/>
        <v>9675</v>
      </c>
      <c r="Q156" s="1953"/>
      <c r="R156" s="1954"/>
      <c r="S156" s="1954">
        <f t="shared" si="119"/>
        <v>9675</v>
      </c>
      <c r="T156" s="1969">
        <f t="shared" si="120"/>
        <v>0</v>
      </c>
      <c r="U156" s="2060"/>
      <c r="Z156" s="1956"/>
      <c r="AA156" s="1956"/>
      <c r="AF156" s="1836"/>
      <c r="AG156" s="1836"/>
      <c r="AH156" s="1836"/>
      <c r="AI156" s="1837"/>
      <c r="AJ156" s="1960"/>
    </row>
    <row r="157" spans="1:36" ht="21.95" customHeight="1" x14ac:dyDescent="0.2">
      <c r="B157" s="2045"/>
      <c r="C157" s="2046" t="str">
        <f>SNI!D394</f>
        <v>Tenaga Kerja</v>
      </c>
      <c r="D157" s="2047"/>
      <c r="E157" s="2047"/>
      <c r="F157" s="2048"/>
      <c r="G157" s="2049"/>
      <c r="H157" s="2050"/>
      <c r="I157" s="2051"/>
      <c r="J157" s="2051"/>
      <c r="K157" s="2052"/>
      <c r="L157" s="2053"/>
      <c r="M157" s="2054"/>
      <c r="N157" s="2055"/>
      <c r="O157" s="2056"/>
      <c r="P157" s="1969"/>
      <c r="Q157" s="1953"/>
      <c r="R157" s="1954"/>
      <c r="S157" s="1954"/>
      <c r="T157" s="1969"/>
      <c r="U157" s="2060"/>
      <c r="Z157" s="1956"/>
      <c r="AA157" s="1956"/>
      <c r="AF157" s="1836"/>
      <c r="AG157" s="1836"/>
      <c r="AH157" s="1836"/>
      <c r="AI157" s="1837"/>
      <c r="AJ157" s="1960"/>
    </row>
    <row r="158" spans="1:36" ht="21.95" customHeight="1" x14ac:dyDescent="0.2">
      <c r="B158" s="2045"/>
      <c r="C158" s="2046"/>
      <c r="D158" s="2047" t="str">
        <f>SNI!E394</f>
        <v xml:space="preserve">Pekerja </v>
      </c>
      <c r="E158" s="2047"/>
      <c r="F158" s="2048"/>
      <c r="G158" s="2049">
        <f>SNI!H394</f>
        <v>1.65</v>
      </c>
      <c r="H158" s="2050" t="str">
        <f>SNI!G394</f>
        <v>OH</v>
      </c>
      <c r="I158" s="2051" t="str">
        <f>SNI!M394</f>
        <v>WNI</v>
      </c>
      <c r="J158" s="2051"/>
      <c r="K158" s="2052">
        <f>SNI!L394</f>
        <v>1</v>
      </c>
      <c r="L158" s="2053"/>
      <c r="M158" s="2054"/>
      <c r="N158" s="2055">
        <f>SNI!I394</f>
        <v>88300</v>
      </c>
      <c r="O158" s="2056"/>
      <c r="P158" s="1969">
        <f t="shared" si="118"/>
        <v>145695</v>
      </c>
      <c r="Q158" s="1953"/>
      <c r="R158" s="1954"/>
      <c r="S158" s="1954">
        <f t="shared" si="119"/>
        <v>145695</v>
      </c>
      <c r="T158" s="1969">
        <f t="shared" si="120"/>
        <v>0</v>
      </c>
      <c r="U158" s="2060"/>
      <c r="Z158" s="1956"/>
      <c r="AA158" s="1956"/>
      <c r="AF158" s="1836"/>
      <c r="AG158" s="1836"/>
      <c r="AH158" s="1836"/>
      <c r="AI158" s="1837"/>
      <c r="AJ158" s="1960"/>
    </row>
    <row r="159" spans="1:36" ht="21.95" customHeight="1" x14ac:dyDescent="0.2">
      <c r="B159" s="2045"/>
      <c r="C159" s="2046"/>
      <c r="D159" s="2047" t="str">
        <f>SNI!E395</f>
        <v>Tukang Batu</v>
      </c>
      <c r="E159" s="2047"/>
      <c r="F159" s="2048"/>
      <c r="G159" s="2049">
        <f>SNI!H395</f>
        <v>0.27500000000000002</v>
      </c>
      <c r="H159" s="2050" t="str">
        <f>SNI!G395</f>
        <v>OH</v>
      </c>
      <c r="I159" s="2051" t="str">
        <f>SNI!M395</f>
        <v>WNI</v>
      </c>
      <c r="J159" s="2051"/>
      <c r="K159" s="2052">
        <f>SNI!L395</f>
        <v>1</v>
      </c>
      <c r="L159" s="2053"/>
      <c r="M159" s="2054"/>
      <c r="N159" s="2055">
        <f>SNI!I395</f>
        <v>90000</v>
      </c>
      <c r="O159" s="2056"/>
      <c r="P159" s="1969">
        <f t="shared" si="118"/>
        <v>24750.000000000004</v>
      </c>
      <c r="Q159" s="1953"/>
      <c r="R159" s="1954"/>
      <c r="S159" s="1954">
        <f t="shared" si="119"/>
        <v>24750.000000000004</v>
      </c>
      <c r="T159" s="1969">
        <f t="shared" si="120"/>
        <v>0</v>
      </c>
      <c r="U159" s="2060"/>
      <c r="Z159" s="1956"/>
      <c r="AA159" s="1956"/>
      <c r="AF159" s="1836"/>
      <c r="AG159" s="1836"/>
      <c r="AH159" s="1836"/>
      <c r="AI159" s="1837"/>
      <c r="AJ159" s="1960"/>
    </row>
    <row r="160" spans="1:36" ht="21.95" customHeight="1" x14ac:dyDescent="0.2">
      <c r="B160" s="2045"/>
      <c r="C160" s="2046"/>
      <c r="D160" s="2047" t="str">
        <f>SNI!E396</f>
        <v>Kepala Tukang</v>
      </c>
      <c r="E160" s="2047"/>
      <c r="F160" s="2048"/>
      <c r="G160" s="2049">
        <f>SNI!H396</f>
        <v>2.8000000000000001E-2</v>
      </c>
      <c r="H160" s="2050" t="str">
        <f>SNI!G396</f>
        <v>OH</v>
      </c>
      <c r="I160" s="2051" t="str">
        <f>SNI!M396</f>
        <v>WNI</v>
      </c>
      <c r="J160" s="2051"/>
      <c r="K160" s="2052">
        <f>SNI!L396</f>
        <v>1</v>
      </c>
      <c r="L160" s="2053"/>
      <c r="M160" s="2054"/>
      <c r="N160" s="2055">
        <f>SNI!I396</f>
        <v>96000</v>
      </c>
      <c r="O160" s="2056"/>
      <c r="P160" s="1969">
        <f t="shared" si="118"/>
        <v>2688</v>
      </c>
      <c r="Q160" s="1953"/>
      <c r="R160" s="1954"/>
      <c r="S160" s="1954">
        <f t="shared" si="119"/>
        <v>2688</v>
      </c>
      <c r="T160" s="1969">
        <f t="shared" si="120"/>
        <v>0</v>
      </c>
      <c r="U160" s="2060"/>
      <c r="Z160" s="1956"/>
      <c r="AA160" s="1956"/>
      <c r="AF160" s="1836"/>
      <c r="AG160" s="1836"/>
      <c r="AH160" s="1836"/>
      <c r="AI160" s="1837"/>
      <c r="AJ160" s="1960"/>
    </row>
    <row r="161" spans="1:36" ht="21.95" customHeight="1" x14ac:dyDescent="0.2">
      <c r="B161" s="2045"/>
      <c r="C161" s="2046"/>
      <c r="D161" s="2047" t="str">
        <f>SNI!E397</f>
        <v>Mandor</v>
      </c>
      <c r="E161" s="2047"/>
      <c r="F161" s="2048"/>
      <c r="G161" s="2049">
        <f>SNI!H397</f>
        <v>8.3000000000000004E-2</v>
      </c>
      <c r="H161" s="2050" t="str">
        <f>SNI!G397</f>
        <v>OH</v>
      </c>
      <c r="I161" s="2051" t="str">
        <f>SNI!M397</f>
        <v>WNI</v>
      </c>
      <c r="J161" s="2051"/>
      <c r="K161" s="2052">
        <f>SNI!L397</f>
        <v>1</v>
      </c>
      <c r="L161" s="2053"/>
      <c r="M161" s="2054"/>
      <c r="N161" s="2055">
        <f>SNI!I397</f>
        <v>90000</v>
      </c>
      <c r="O161" s="2056"/>
      <c r="P161" s="1969">
        <f t="shared" si="118"/>
        <v>7470</v>
      </c>
      <c r="Q161" s="1953"/>
      <c r="R161" s="1954"/>
      <c r="S161" s="1954">
        <f t="shared" si="119"/>
        <v>7470</v>
      </c>
      <c r="T161" s="1969">
        <f t="shared" si="120"/>
        <v>0</v>
      </c>
      <c r="U161" s="2060"/>
      <c r="Z161" s="1956"/>
      <c r="AA161" s="1956"/>
      <c r="AF161" s="1836"/>
      <c r="AG161" s="1836"/>
      <c r="AH161" s="1836"/>
      <c r="AI161" s="1837"/>
      <c r="AJ161" s="1960"/>
    </row>
    <row r="162" spans="1:36" s="1957" customFormat="1" ht="21.95" customHeight="1" x14ac:dyDescent="0.2">
      <c r="A162" s="1942"/>
      <c r="B162" s="1970"/>
      <c r="C162" s="1971"/>
      <c r="D162" s="1972"/>
      <c r="E162" s="1973"/>
      <c r="F162" s="1974" t="s">
        <v>556</v>
      </c>
      <c r="G162" s="1975">
        <f>B151</f>
        <v>2</v>
      </c>
      <c r="H162" s="1976"/>
      <c r="I162" s="1977"/>
      <c r="J162" s="1977"/>
      <c r="K162" s="1978"/>
      <c r="L162" s="1979"/>
      <c r="M162" s="1980"/>
      <c r="N162" s="1981"/>
      <c r="O162" s="1982"/>
      <c r="P162" s="1983">
        <f>SUM(P153:P161)</f>
        <v>987392.28571428568</v>
      </c>
      <c r="Q162" s="1984"/>
      <c r="R162" s="1985"/>
      <c r="S162" s="1983">
        <f>SUM(S153:S161)</f>
        <v>918917.40571428579</v>
      </c>
      <c r="T162" s="1983">
        <f>SUM(T153:T161)</f>
        <v>68474.880000000005</v>
      </c>
      <c r="U162" s="1986"/>
      <c r="V162" s="1848"/>
      <c r="W162" s="1848"/>
      <c r="X162" s="1848"/>
      <c r="Y162" s="1848"/>
      <c r="Z162" s="1956"/>
      <c r="AA162" s="1956"/>
      <c r="AF162" s="1958"/>
      <c r="AG162" s="1958"/>
      <c r="AH162" s="1958"/>
      <c r="AI162" s="1959"/>
      <c r="AJ162" s="1960"/>
    </row>
    <row r="163" spans="1:36" ht="21.95" customHeight="1" x14ac:dyDescent="0.2">
      <c r="A163" s="1833">
        <f>satpek!$B$41</f>
        <v>22</v>
      </c>
      <c r="B163" s="1943">
        <f>RAB.PERTANIAN!B42</f>
        <v>3</v>
      </c>
      <c r="C163" s="1937"/>
      <c r="D163" s="1944" t="str">
        <f>VLOOKUP($A163,satpek!$B$20:$N$144,2,0)</f>
        <v>Pembesian 1 kg dengan besi polos atau besi ulir</v>
      </c>
      <c r="E163" s="1944"/>
      <c r="F163" s="2004"/>
      <c r="G163" s="1945">
        <f>'[3]B.VOL RAB'!Q58</f>
        <v>3622.2814623302602</v>
      </c>
      <c r="H163" s="1946" t="str">
        <f>VLOOKUP($A163,satpek!$B$20:$N$144,7,0)</f>
        <v>kg</v>
      </c>
      <c r="I163" s="1947"/>
      <c r="J163" s="1947"/>
      <c r="K163" s="1948"/>
      <c r="L163" s="1949"/>
      <c r="M163" s="1950" t="str">
        <f>VLOOKUP($A163,satpek!$B$20:$N$144,5,0)</f>
        <v>A.4.1.1.17.</v>
      </c>
      <c r="N163" s="1951">
        <f>VLOOKUP($A163,satpek!$B$20:$N$144,6,0)</f>
        <v>15603.94</v>
      </c>
      <c r="O163" s="1938"/>
      <c r="P163" s="1952">
        <f t="shared" si="114"/>
        <v>56521862.600000001</v>
      </c>
      <c r="Q163" s="1953">
        <f>VLOOKUP($A163,satpek!$B$20:$L$138,8,0)</f>
        <v>0.46415793062521393</v>
      </c>
      <c r="R163" s="1954">
        <f>VLOOKUP($A163,satpek!$B$20:$L$138,9,0)</f>
        <v>7242.692500000001</v>
      </c>
      <c r="S163" s="1954">
        <f>VLOOKUP($A163,satpek!$B$20:$L$138,10,0)</f>
        <v>8184.2425250000015</v>
      </c>
      <c r="T163" s="1952">
        <f>S163*G163</f>
        <v>29645629.981522508</v>
      </c>
      <c r="U163" s="1955"/>
      <c r="X163" s="1848">
        <f>P172</f>
        <v>13808.800000000001</v>
      </c>
      <c r="Y163" s="1848">
        <f>S172</f>
        <v>7242.6925000000001</v>
      </c>
      <c r="Z163" s="1956">
        <v>3622.2814623302602</v>
      </c>
      <c r="AA163" s="1956">
        <f>Z163-G163</f>
        <v>0</v>
      </c>
      <c r="AB163" s="1836" t="s">
        <v>420</v>
      </c>
      <c r="AF163" s="1836"/>
      <c r="AG163" s="1836"/>
      <c r="AH163" s="1836"/>
      <c r="AI163" s="1837">
        <v>15438.06</v>
      </c>
      <c r="AJ163" s="1960">
        <f>AI163-N163</f>
        <v>-165.88000000000102</v>
      </c>
    </row>
    <row r="164" spans="1:36" ht="21.95" customHeight="1" x14ac:dyDescent="0.2">
      <c r="B164" s="2045"/>
      <c r="C164" s="2046" t="str">
        <f>SNI!D410</f>
        <v>Bahan</v>
      </c>
      <c r="D164" s="2047"/>
      <c r="E164" s="2047"/>
      <c r="F164" s="2048"/>
      <c r="G164" s="2049"/>
      <c r="H164" s="2050"/>
      <c r="I164" s="2051"/>
      <c r="J164" s="2051"/>
      <c r="K164" s="2052"/>
      <c r="L164" s="2053"/>
      <c r="M164" s="2054"/>
      <c r="N164" s="2055"/>
      <c r="O164" s="2056"/>
      <c r="P164" s="2057"/>
      <c r="Q164" s="2058"/>
      <c r="R164" s="2059"/>
      <c r="S164" s="2059"/>
      <c r="T164" s="2057"/>
      <c r="U164" s="2060"/>
      <c r="Z164" s="1956"/>
      <c r="AA164" s="1956"/>
      <c r="AF164" s="1836"/>
      <c r="AG164" s="1836"/>
      <c r="AH164" s="1836"/>
      <c r="AI164" s="1837"/>
      <c r="AJ164" s="1960"/>
    </row>
    <row r="165" spans="1:36" ht="21.95" customHeight="1" x14ac:dyDescent="0.2">
      <c r="B165" s="2045"/>
      <c r="C165" s="2046"/>
      <c r="D165" s="2047" t="str">
        <f>SNI!E410</f>
        <v>Besi Beton ( polos/ulir )</v>
      </c>
      <c r="E165" s="2047"/>
      <c r="F165" s="2048"/>
      <c r="G165" s="2049">
        <f>SNI!H410/10</f>
        <v>1.05</v>
      </c>
      <c r="H165" s="2050" t="str">
        <f>SNI!G410</f>
        <v>kg</v>
      </c>
      <c r="I165" s="2051"/>
      <c r="J165" s="2051"/>
      <c r="K165" s="2052">
        <f>SNI!L410</f>
        <v>0.4879</v>
      </c>
      <c r="L165" s="2053"/>
      <c r="M165" s="2054"/>
      <c r="N165" s="2055">
        <f>SNI!I410</f>
        <v>11500</v>
      </c>
      <c r="O165" s="2056"/>
      <c r="P165" s="1969">
        <f t="shared" ref="P165" si="121">N165*G165</f>
        <v>12075</v>
      </c>
      <c r="Q165" s="1953"/>
      <c r="R165" s="1954"/>
      <c r="S165" s="1954">
        <f t="shared" ref="S165" si="122">P165*K165</f>
        <v>5891.3924999999999</v>
      </c>
      <c r="T165" s="1969">
        <f t="shared" ref="T165" si="123">P165-S165</f>
        <v>6183.6075000000001</v>
      </c>
      <c r="U165" s="2060"/>
      <c r="Z165" s="1956"/>
      <c r="AA165" s="1956"/>
      <c r="AF165" s="1836"/>
      <c r="AG165" s="1836"/>
      <c r="AH165" s="1836"/>
      <c r="AI165" s="1837"/>
      <c r="AJ165" s="1960"/>
    </row>
    <row r="166" spans="1:36" ht="21.95" customHeight="1" x14ac:dyDescent="0.2">
      <c r="B166" s="2045"/>
      <c r="C166" s="2046"/>
      <c r="D166" s="2047" t="str">
        <f>SNI!E411</f>
        <v>Kawat Beton</v>
      </c>
      <c r="E166" s="2047"/>
      <c r="F166" s="2048"/>
      <c r="G166" s="2049">
        <f>SNI!H411/10</f>
        <v>1.4999999999999999E-2</v>
      </c>
      <c r="H166" s="2050" t="str">
        <f>SNI!G411</f>
        <v>kg</v>
      </c>
      <c r="I166" s="2051"/>
      <c r="J166" s="2051"/>
      <c r="K166" s="2052">
        <f>SNI!L411</f>
        <v>0</v>
      </c>
      <c r="L166" s="2053"/>
      <c r="M166" s="2054"/>
      <c r="N166" s="2055">
        <f>SNI!I411</f>
        <v>25500</v>
      </c>
      <c r="O166" s="2056"/>
      <c r="P166" s="1969">
        <f t="shared" ref="P166:P171" si="124">N166*G166</f>
        <v>382.5</v>
      </c>
      <c r="Q166" s="1953"/>
      <c r="R166" s="1954"/>
      <c r="S166" s="1954">
        <f t="shared" ref="S166:S171" si="125">P166*K166</f>
        <v>0</v>
      </c>
      <c r="T166" s="1969">
        <f t="shared" ref="T166:T171" si="126">P166-S166</f>
        <v>382.5</v>
      </c>
      <c r="U166" s="2060"/>
      <c r="Z166" s="1956"/>
      <c r="AA166" s="1956"/>
      <c r="AF166" s="1836"/>
      <c r="AG166" s="1836"/>
      <c r="AH166" s="1836"/>
      <c r="AI166" s="1837"/>
      <c r="AJ166" s="1960"/>
    </row>
    <row r="167" spans="1:36" ht="21.95" customHeight="1" x14ac:dyDescent="0.2">
      <c r="B167" s="2045"/>
      <c r="C167" s="2046" t="str">
        <f>SNI!D413</f>
        <v>Tenaga Kerja</v>
      </c>
      <c r="D167" s="2047"/>
      <c r="E167" s="2047"/>
      <c r="F167" s="2048"/>
      <c r="G167" s="2049"/>
      <c r="H167" s="2050"/>
      <c r="I167" s="2051"/>
      <c r="J167" s="2051"/>
      <c r="K167" s="2052"/>
      <c r="L167" s="2053"/>
      <c r="M167" s="2054"/>
      <c r="N167" s="2055"/>
      <c r="O167" s="2056"/>
      <c r="P167" s="1969"/>
      <c r="Q167" s="1953"/>
      <c r="R167" s="1954"/>
      <c r="S167" s="1954"/>
      <c r="T167" s="1969"/>
      <c r="U167" s="2060"/>
      <c r="Z167" s="1956"/>
      <c r="AA167" s="1956"/>
      <c r="AF167" s="1836"/>
      <c r="AG167" s="1836"/>
      <c r="AH167" s="1836"/>
      <c r="AI167" s="1837"/>
      <c r="AJ167" s="1960"/>
    </row>
    <row r="168" spans="1:36" ht="21.95" customHeight="1" x14ac:dyDescent="0.2">
      <c r="B168" s="2045"/>
      <c r="C168" s="2046"/>
      <c r="D168" s="2047" t="str">
        <f>SNI!E413</f>
        <v xml:space="preserve">Pekerja </v>
      </c>
      <c r="E168" s="2047"/>
      <c r="F168" s="2048"/>
      <c r="G168" s="2049">
        <f>SNI!H413/10</f>
        <v>7.000000000000001E-3</v>
      </c>
      <c r="H168" s="2050" t="str">
        <f>SNI!G413</f>
        <v>OH</v>
      </c>
      <c r="I168" s="2051" t="str">
        <f>SNI!M413</f>
        <v>WNI</v>
      </c>
      <c r="J168" s="2051"/>
      <c r="K168" s="2052">
        <f>SNI!L413</f>
        <v>1</v>
      </c>
      <c r="L168" s="2053"/>
      <c r="M168" s="2054"/>
      <c r="N168" s="2055">
        <f>SNI!I413</f>
        <v>88300</v>
      </c>
      <c r="O168" s="2056"/>
      <c r="P168" s="1969">
        <f t="shared" si="124"/>
        <v>618.10000000000014</v>
      </c>
      <c r="Q168" s="1953"/>
      <c r="R168" s="1954"/>
      <c r="S168" s="1954">
        <f t="shared" si="125"/>
        <v>618.10000000000014</v>
      </c>
      <c r="T168" s="1969">
        <f t="shared" si="126"/>
        <v>0</v>
      </c>
      <c r="U168" s="2060"/>
      <c r="Z168" s="1956"/>
      <c r="AA168" s="1956"/>
      <c r="AF168" s="1836"/>
      <c r="AG168" s="1836"/>
      <c r="AH168" s="1836"/>
      <c r="AI168" s="1837"/>
      <c r="AJ168" s="1960"/>
    </row>
    <row r="169" spans="1:36" ht="21.95" customHeight="1" x14ac:dyDescent="0.2">
      <c r="B169" s="2045"/>
      <c r="C169" s="2046"/>
      <c r="D169" s="2047" t="str">
        <f>SNI!E414</f>
        <v>Tukang Besi</v>
      </c>
      <c r="E169" s="2047"/>
      <c r="F169" s="2048"/>
      <c r="G169" s="2049">
        <f>SNI!H414/10</f>
        <v>7.000000000000001E-3</v>
      </c>
      <c r="H169" s="2050" t="str">
        <f>SNI!G414</f>
        <v>OH</v>
      </c>
      <c r="I169" s="2051" t="str">
        <f>SNI!M414</f>
        <v>WNI</v>
      </c>
      <c r="J169" s="2051"/>
      <c r="K169" s="2052">
        <f>SNI!L414</f>
        <v>1</v>
      </c>
      <c r="L169" s="2053"/>
      <c r="M169" s="2054"/>
      <c r="N169" s="2055">
        <f>SNI!I414</f>
        <v>90000</v>
      </c>
      <c r="O169" s="2056"/>
      <c r="P169" s="1969">
        <f t="shared" si="124"/>
        <v>630.00000000000011</v>
      </c>
      <c r="Q169" s="1953"/>
      <c r="R169" s="1954"/>
      <c r="S169" s="1954">
        <f t="shared" si="125"/>
        <v>630.00000000000011</v>
      </c>
      <c r="T169" s="1969">
        <f t="shared" si="126"/>
        <v>0</v>
      </c>
      <c r="U169" s="2060"/>
      <c r="Z169" s="1956"/>
      <c r="AA169" s="1956"/>
      <c r="AF169" s="1836"/>
      <c r="AG169" s="1836"/>
      <c r="AH169" s="1836"/>
      <c r="AI169" s="1837"/>
      <c r="AJ169" s="1960"/>
    </row>
    <row r="170" spans="1:36" ht="21.95" customHeight="1" x14ac:dyDescent="0.2">
      <c r="B170" s="2045"/>
      <c r="C170" s="2046"/>
      <c r="D170" s="2047" t="str">
        <f>SNI!E415</f>
        <v>Kepala Tukang</v>
      </c>
      <c r="E170" s="2047"/>
      <c r="F170" s="2048"/>
      <c r="G170" s="2049">
        <f>SNI!H415/10</f>
        <v>6.9999999999999999E-4</v>
      </c>
      <c r="H170" s="2050" t="str">
        <f>SNI!G415</f>
        <v>OH</v>
      </c>
      <c r="I170" s="2051" t="str">
        <f>SNI!M415</f>
        <v>WNI</v>
      </c>
      <c r="J170" s="2051"/>
      <c r="K170" s="2052">
        <f>SNI!L415</f>
        <v>1</v>
      </c>
      <c r="L170" s="2053"/>
      <c r="M170" s="2054"/>
      <c r="N170" s="2055">
        <f>SNI!I415</f>
        <v>96000</v>
      </c>
      <c r="O170" s="2056"/>
      <c r="P170" s="1969">
        <f t="shared" si="124"/>
        <v>67.2</v>
      </c>
      <c r="Q170" s="1953"/>
      <c r="R170" s="1954"/>
      <c r="S170" s="1954">
        <f t="shared" si="125"/>
        <v>67.2</v>
      </c>
      <c r="T170" s="1969">
        <f t="shared" si="126"/>
        <v>0</v>
      </c>
      <c r="U170" s="2060"/>
      <c r="Z170" s="1956"/>
      <c r="AA170" s="1956"/>
      <c r="AF170" s="1836"/>
      <c r="AG170" s="1836"/>
      <c r="AH170" s="1836"/>
      <c r="AI170" s="1837"/>
      <c r="AJ170" s="1960"/>
    </row>
    <row r="171" spans="1:36" ht="21.95" customHeight="1" x14ac:dyDescent="0.2">
      <c r="B171" s="2045"/>
      <c r="C171" s="2046"/>
      <c r="D171" s="2047" t="str">
        <f>SNI!E416</f>
        <v>Mandor</v>
      </c>
      <c r="E171" s="2047"/>
      <c r="F171" s="2048"/>
      <c r="G171" s="2049">
        <f>SNI!H416/10</f>
        <v>4.0000000000000002E-4</v>
      </c>
      <c r="H171" s="2050" t="str">
        <f>SNI!G416</f>
        <v>OH</v>
      </c>
      <c r="I171" s="2051" t="str">
        <f>SNI!M416</f>
        <v>WNI</v>
      </c>
      <c r="J171" s="2051"/>
      <c r="K171" s="2052">
        <f>SNI!L416</f>
        <v>1</v>
      </c>
      <c r="L171" s="2053"/>
      <c r="M171" s="2054"/>
      <c r="N171" s="2055">
        <f>SNI!I416</f>
        <v>90000</v>
      </c>
      <c r="O171" s="2056"/>
      <c r="P171" s="1969">
        <f t="shared" si="124"/>
        <v>36</v>
      </c>
      <c r="Q171" s="1953"/>
      <c r="R171" s="1954"/>
      <c r="S171" s="1954">
        <f t="shared" si="125"/>
        <v>36</v>
      </c>
      <c r="T171" s="1969">
        <f t="shared" si="126"/>
        <v>0</v>
      </c>
      <c r="U171" s="2060"/>
      <c r="Z171" s="1956"/>
      <c r="AA171" s="1956"/>
      <c r="AF171" s="1836"/>
      <c r="AG171" s="1836"/>
      <c r="AH171" s="1836"/>
      <c r="AI171" s="1837"/>
      <c r="AJ171" s="1960"/>
    </row>
    <row r="172" spans="1:36" s="1957" customFormat="1" ht="21.95" customHeight="1" x14ac:dyDescent="0.2">
      <c r="A172" s="1942"/>
      <c r="B172" s="1970"/>
      <c r="C172" s="1971"/>
      <c r="D172" s="1972"/>
      <c r="E172" s="1973"/>
      <c r="F172" s="1974" t="s">
        <v>556</v>
      </c>
      <c r="G172" s="1975">
        <f>B163</f>
        <v>3</v>
      </c>
      <c r="H172" s="1976"/>
      <c r="I172" s="1977"/>
      <c r="J172" s="1977"/>
      <c r="K172" s="1978"/>
      <c r="L172" s="1979"/>
      <c r="M172" s="1980"/>
      <c r="N172" s="1981"/>
      <c r="O172" s="1982"/>
      <c r="P172" s="1983">
        <f>SUM(P165:P171)</f>
        <v>13808.800000000001</v>
      </c>
      <c r="Q172" s="1984"/>
      <c r="R172" s="1985"/>
      <c r="S172" s="1983">
        <f t="shared" ref="S172:T172" si="127">SUM(S165:S171)</f>
        <v>7242.6925000000001</v>
      </c>
      <c r="T172" s="1983">
        <f t="shared" si="127"/>
        <v>6566.1075000000001</v>
      </c>
      <c r="U172" s="1986"/>
      <c r="V172" s="1848"/>
      <c r="W172" s="1848"/>
      <c r="X172" s="1848">
        <f>P183</f>
        <v>102462</v>
      </c>
      <c r="Y172" s="1848">
        <f>S183</f>
        <v>96672</v>
      </c>
      <c r="Z172" s="1956"/>
      <c r="AA172" s="1956"/>
      <c r="AF172" s="1958"/>
      <c r="AG172" s="1958"/>
      <c r="AH172" s="1958"/>
      <c r="AI172" s="1959"/>
      <c r="AJ172" s="1960"/>
    </row>
    <row r="173" spans="1:36" ht="21.95" customHeight="1" x14ac:dyDescent="0.2">
      <c r="A173" s="1833">
        <f>satpek!$B$42</f>
        <v>23</v>
      </c>
      <c r="B173" s="1943">
        <f>B163+1</f>
        <v>4</v>
      </c>
      <c r="C173" s="1937"/>
      <c r="D173" s="1944" t="str">
        <f>VLOOKUP($A173,satpek!$B$20:$N$144,2,0)</f>
        <v>Memasang bekisting untuk pondasi ( 2x pakai )</v>
      </c>
      <c r="E173" s="1944"/>
      <c r="F173" s="2004"/>
      <c r="G173" s="1945">
        <f>'[3]B.VOL RAB'!Q61</f>
        <v>138.24</v>
      </c>
      <c r="H173" s="1946" t="str">
        <f>VLOOKUP($A173,satpek!$B$20:$N$144,7,0)</f>
        <v>m2</v>
      </c>
      <c r="I173" s="1947"/>
      <c r="J173" s="1947"/>
      <c r="K173" s="1948"/>
      <c r="L173" s="1949"/>
      <c r="M173" s="1950" t="str">
        <f>VLOOKUP($A173,satpek!$B$20:$N$144,5,0)</f>
        <v>A.4.1.1.20.</v>
      </c>
      <c r="N173" s="1951">
        <f>VLOOKUP($A173,satpek!$B$20:$N$144,6,0)</f>
        <v>115782.06</v>
      </c>
      <c r="O173" s="1938"/>
      <c r="P173" s="1952">
        <f t="shared" si="114"/>
        <v>16005711.970000001</v>
      </c>
      <c r="Q173" s="1953">
        <f>VLOOKUP($A173,satpek!$B$20:$L$138,8,0)</f>
        <v>0.94349124553493002</v>
      </c>
      <c r="R173" s="1954">
        <f>VLOOKUP($A173,satpek!$B$20:$L$138,9,0)</f>
        <v>96672</v>
      </c>
      <c r="S173" s="1954"/>
      <c r="T173" s="1952"/>
      <c r="U173" s="1955"/>
      <c r="Z173" s="1956">
        <v>138.24</v>
      </c>
      <c r="AA173" s="1956">
        <f>Z173-G173</f>
        <v>0</v>
      </c>
      <c r="AB173" s="1836" t="s">
        <v>1906</v>
      </c>
      <c r="AF173" s="1836"/>
      <c r="AG173" s="1836"/>
      <c r="AH173" s="1836"/>
      <c r="AI173" s="1837">
        <v>114048.64</v>
      </c>
      <c r="AJ173" s="1960">
        <f>AI173-N173</f>
        <v>-1733.4199999999983</v>
      </c>
    </row>
    <row r="174" spans="1:36" ht="21.95" customHeight="1" x14ac:dyDescent="0.2">
      <c r="B174" s="2045"/>
      <c r="C174" s="2046" t="str">
        <f>SNI!D431</f>
        <v>Bahan</v>
      </c>
      <c r="D174" s="2047"/>
      <c r="E174" s="2047"/>
      <c r="F174" s="2048"/>
      <c r="G174" s="2049"/>
      <c r="H174" s="2050"/>
      <c r="I174" s="2051"/>
      <c r="J174" s="2051"/>
      <c r="K174" s="2052"/>
      <c r="L174" s="2053"/>
      <c r="M174" s="2054"/>
      <c r="N174" s="2055"/>
      <c r="O174" s="2056"/>
      <c r="P174" s="2057"/>
      <c r="Q174" s="2058"/>
      <c r="R174" s="2059"/>
      <c r="S174" s="2059"/>
      <c r="T174" s="2055"/>
      <c r="U174" s="2060"/>
      <c r="Z174" s="1956"/>
      <c r="AA174" s="1956"/>
      <c r="AF174" s="1836"/>
      <c r="AG174" s="1836"/>
      <c r="AH174" s="1836"/>
      <c r="AI174" s="1837"/>
      <c r="AJ174" s="1960"/>
    </row>
    <row r="175" spans="1:36" ht="21.95" customHeight="1" x14ac:dyDescent="0.2">
      <c r="B175" s="2045"/>
      <c r="C175" s="2046"/>
      <c r="D175" s="2047" t="str">
        <f>SNI!E431</f>
        <v>Kayu kelas III</v>
      </c>
      <c r="E175" s="2047"/>
      <c r="F175" s="2048"/>
      <c r="G175" s="2049">
        <f>SNI!H431</f>
        <v>0.02</v>
      </c>
      <c r="H175" s="2050" t="str">
        <f>SNI!G431</f>
        <v>m3</v>
      </c>
      <c r="I175" s="2051"/>
      <c r="J175" s="2051"/>
      <c r="K175" s="2052">
        <f>SNI!L431</f>
        <v>1</v>
      </c>
      <c r="L175" s="2053"/>
      <c r="M175" s="2054"/>
      <c r="N175" s="2055">
        <f>SNI!I431</f>
        <v>1100000</v>
      </c>
      <c r="O175" s="2056"/>
      <c r="P175" s="1969">
        <f t="shared" ref="P175" si="128">N175*G175</f>
        <v>22000</v>
      </c>
      <c r="Q175" s="1953"/>
      <c r="R175" s="1954"/>
      <c r="S175" s="1954">
        <f t="shared" ref="S175" si="129">P175*K175</f>
        <v>22000</v>
      </c>
      <c r="T175" s="1969">
        <f t="shared" ref="T175" si="130">P175-S175</f>
        <v>0</v>
      </c>
      <c r="U175" s="2060"/>
      <c r="Z175" s="1956"/>
      <c r="AA175" s="1956"/>
      <c r="AF175" s="1836"/>
      <c r="AG175" s="1836"/>
      <c r="AH175" s="1836"/>
      <c r="AI175" s="1837"/>
      <c r="AJ175" s="1960"/>
    </row>
    <row r="176" spans="1:36" ht="21.95" customHeight="1" x14ac:dyDescent="0.2">
      <c r="B176" s="2045"/>
      <c r="C176" s="2046"/>
      <c r="D176" s="2047" t="str">
        <f>SNI!E432</f>
        <v>Paku 5 cm - 10 cm</v>
      </c>
      <c r="E176" s="2047"/>
      <c r="F176" s="2048"/>
      <c r="G176" s="2049">
        <f>SNI!H432</f>
        <v>0.3</v>
      </c>
      <c r="H176" s="2050" t="str">
        <f>SNI!G432</f>
        <v>kg</v>
      </c>
      <c r="I176" s="2051"/>
      <c r="J176" s="2051"/>
      <c r="K176" s="2052">
        <f>SNI!L432</f>
        <v>0</v>
      </c>
      <c r="L176" s="2053"/>
      <c r="M176" s="2054"/>
      <c r="N176" s="2055">
        <f>SNI!I432</f>
        <v>17000</v>
      </c>
      <c r="O176" s="2056"/>
      <c r="P176" s="1969">
        <f t="shared" ref="P176:P182" si="131">N176*G176</f>
        <v>5100</v>
      </c>
      <c r="Q176" s="1953"/>
      <c r="R176" s="1954"/>
      <c r="S176" s="1954">
        <f t="shared" ref="S176:S182" si="132">P176*K176</f>
        <v>0</v>
      </c>
      <c r="T176" s="1969">
        <f t="shared" ref="T176:T182" si="133">P176-S176</f>
        <v>5100</v>
      </c>
      <c r="U176" s="2060"/>
      <c r="Z176" s="1956"/>
      <c r="AA176" s="1956"/>
      <c r="AF176" s="1836"/>
      <c r="AG176" s="1836"/>
      <c r="AH176" s="1836"/>
      <c r="AI176" s="1837"/>
      <c r="AJ176" s="1960"/>
    </row>
    <row r="177" spans="1:36" ht="21.95" customHeight="1" x14ac:dyDescent="0.2">
      <c r="B177" s="2045"/>
      <c r="C177" s="2046"/>
      <c r="D177" s="2047" t="str">
        <f>SNI!E433</f>
        <v>Minyak Bekisting</v>
      </c>
      <c r="E177" s="2047"/>
      <c r="F177" s="2048"/>
      <c r="G177" s="2049">
        <f>SNI!H433</f>
        <v>0.1</v>
      </c>
      <c r="H177" s="2050" t="str">
        <f>SNI!G433</f>
        <v>ltr</v>
      </c>
      <c r="I177" s="2051"/>
      <c r="J177" s="2051"/>
      <c r="K177" s="2052">
        <f>SNI!L433</f>
        <v>0</v>
      </c>
      <c r="L177" s="2053"/>
      <c r="M177" s="2054"/>
      <c r="N177" s="2055">
        <f>SNI!I433</f>
        <v>6900</v>
      </c>
      <c r="O177" s="2056"/>
      <c r="P177" s="1969">
        <f t="shared" si="131"/>
        <v>690</v>
      </c>
      <c r="Q177" s="1953"/>
      <c r="R177" s="1954"/>
      <c r="S177" s="1954">
        <f t="shared" si="132"/>
        <v>0</v>
      </c>
      <c r="T177" s="1969">
        <f t="shared" si="133"/>
        <v>690</v>
      </c>
      <c r="U177" s="2060"/>
      <c r="Z177" s="1956"/>
      <c r="AA177" s="1956"/>
      <c r="AF177" s="1836"/>
      <c r="AG177" s="1836"/>
      <c r="AH177" s="1836"/>
      <c r="AI177" s="1837"/>
      <c r="AJ177" s="1960"/>
    </row>
    <row r="178" spans="1:36" ht="21.95" customHeight="1" x14ac:dyDescent="0.2">
      <c r="B178" s="2045"/>
      <c r="C178" s="2046" t="str">
        <f>SNI!D435</f>
        <v>Tenaga Kerja</v>
      </c>
      <c r="D178" s="2047"/>
      <c r="E178" s="2047"/>
      <c r="F178" s="2048"/>
      <c r="G178" s="2049"/>
      <c r="H178" s="2050"/>
      <c r="I178" s="2051"/>
      <c r="J178" s="2051"/>
      <c r="K178" s="2052"/>
      <c r="L178" s="2053"/>
      <c r="M178" s="2054"/>
      <c r="N178" s="2055"/>
      <c r="O178" s="2056"/>
      <c r="P178" s="1969"/>
      <c r="Q178" s="1953"/>
      <c r="R178" s="1954"/>
      <c r="S178" s="1954"/>
      <c r="T178" s="1969"/>
      <c r="U178" s="2060"/>
      <c r="Z178" s="1956"/>
      <c r="AA178" s="1956"/>
      <c r="AF178" s="1836"/>
      <c r="AG178" s="1836"/>
      <c r="AH178" s="1836"/>
      <c r="AI178" s="1837"/>
      <c r="AJ178" s="1960"/>
    </row>
    <row r="179" spans="1:36" ht="21.95" customHeight="1" x14ac:dyDescent="0.2">
      <c r="B179" s="2045"/>
      <c r="C179" s="2046"/>
      <c r="D179" s="2047" t="str">
        <f>SNI!E435</f>
        <v xml:space="preserve">Pekerja </v>
      </c>
      <c r="E179" s="2047"/>
      <c r="F179" s="2048"/>
      <c r="G179" s="2049">
        <f>SNI!H435</f>
        <v>0.52</v>
      </c>
      <c r="H179" s="2050" t="str">
        <f>SNI!G435</f>
        <v>OH</v>
      </c>
      <c r="I179" s="2051" t="str">
        <f>SNI!M435</f>
        <v>WNI</v>
      </c>
      <c r="J179" s="2051"/>
      <c r="K179" s="2052">
        <f>SNI!L435</f>
        <v>1</v>
      </c>
      <c r="L179" s="2053"/>
      <c r="M179" s="2054"/>
      <c r="N179" s="2055">
        <f>SNI!I435</f>
        <v>88300</v>
      </c>
      <c r="O179" s="2056"/>
      <c r="P179" s="1969">
        <f t="shared" si="131"/>
        <v>45916</v>
      </c>
      <c r="Q179" s="1953"/>
      <c r="R179" s="1954"/>
      <c r="S179" s="1954">
        <f t="shared" si="132"/>
        <v>45916</v>
      </c>
      <c r="T179" s="1969">
        <f t="shared" si="133"/>
        <v>0</v>
      </c>
      <c r="U179" s="2060"/>
      <c r="Z179" s="1956"/>
      <c r="AA179" s="1956"/>
      <c r="AF179" s="1836"/>
      <c r="AG179" s="1836"/>
      <c r="AH179" s="1836"/>
      <c r="AI179" s="1837"/>
      <c r="AJ179" s="1960"/>
    </row>
    <row r="180" spans="1:36" ht="21.95" customHeight="1" x14ac:dyDescent="0.2">
      <c r="B180" s="2045"/>
      <c r="C180" s="2046"/>
      <c r="D180" s="2047" t="str">
        <f>SNI!E436</f>
        <v>Tukang Kayu</v>
      </c>
      <c r="E180" s="2047"/>
      <c r="F180" s="2048"/>
      <c r="G180" s="2049">
        <f>SNI!H436</f>
        <v>0.26</v>
      </c>
      <c r="H180" s="2050" t="str">
        <f>SNI!G436</f>
        <v>OH</v>
      </c>
      <c r="I180" s="2051" t="str">
        <f>SNI!M436</f>
        <v>WNI</v>
      </c>
      <c r="J180" s="2051"/>
      <c r="K180" s="2052">
        <f>SNI!L436</f>
        <v>1</v>
      </c>
      <c r="L180" s="2053"/>
      <c r="M180" s="2054"/>
      <c r="N180" s="2055">
        <f>SNI!I436</f>
        <v>92000</v>
      </c>
      <c r="O180" s="2056"/>
      <c r="P180" s="1969">
        <f t="shared" si="131"/>
        <v>23920</v>
      </c>
      <c r="Q180" s="1953"/>
      <c r="R180" s="1954"/>
      <c r="S180" s="1954">
        <f t="shared" si="132"/>
        <v>23920</v>
      </c>
      <c r="T180" s="1969">
        <f t="shared" si="133"/>
        <v>0</v>
      </c>
      <c r="U180" s="2060"/>
      <c r="Z180" s="1956"/>
      <c r="AA180" s="1956"/>
      <c r="AF180" s="1836"/>
      <c r="AG180" s="1836"/>
      <c r="AH180" s="1836"/>
      <c r="AI180" s="1837"/>
      <c r="AJ180" s="1960"/>
    </row>
    <row r="181" spans="1:36" ht="21.95" customHeight="1" x14ac:dyDescent="0.2">
      <c r="B181" s="2045"/>
      <c r="C181" s="2046"/>
      <c r="D181" s="2047" t="str">
        <f>SNI!E437</f>
        <v>Kepala Tukang</v>
      </c>
      <c r="E181" s="2047"/>
      <c r="F181" s="2048"/>
      <c r="G181" s="2049">
        <f>SNI!H437</f>
        <v>2.5999999999999999E-2</v>
      </c>
      <c r="H181" s="2050" t="str">
        <f>SNI!G437</f>
        <v>OH</v>
      </c>
      <c r="I181" s="2051" t="str">
        <f>SNI!M437</f>
        <v>WNI</v>
      </c>
      <c r="J181" s="2051"/>
      <c r="K181" s="2052">
        <f>SNI!L437</f>
        <v>1</v>
      </c>
      <c r="L181" s="2053"/>
      <c r="M181" s="2054"/>
      <c r="N181" s="2055">
        <f>SNI!I437</f>
        <v>96000</v>
      </c>
      <c r="O181" s="2056"/>
      <c r="P181" s="1969">
        <f t="shared" si="131"/>
        <v>2496</v>
      </c>
      <c r="Q181" s="1953"/>
      <c r="R181" s="1954"/>
      <c r="S181" s="1954">
        <f t="shared" si="132"/>
        <v>2496</v>
      </c>
      <c r="T181" s="1969">
        <f t="shared" si="133"/>
        <v>0</v>
      </c>
      <c r="U181" s="2060"/>
      <c r="Z181" s="1956"/>
      <c r="AA181" s="1956"/>
      <c r="AF181" s="1836"/>
      <c r="AG181" s="1836"/>
      <c r="AH181" s="1836"/>
      <c r="AI181" s="1837"/>
      <c r="AJ181" s="1960"/>
    </row>
    <row r="182" spans="1:36" ht="21.95" customHeight="1" x14ac:dyDescent="0.2">
      <c r="B182" s="2045"/>
      <c r="C182" s="2046"/>
      <c r="D182" s="2047" t="str">
        <f>SNI!E438</f>
        <v>Mandor</v>
      </c>
      <c r="E182" s="2047"/>
      <c r="F182" s="2048"/>
      <c r="G182" s="2049">
        <f>SNI!H438</f>
        <v>2.5999999999999999E-2</v>
      </c>
      <c r="H182" s="2050" t="str">
        <f>SNI!G438</f>
        <v>OH</v>
      </c>
      <c r="I182" s="2051" t="str">
        <f>SNI!M438</f>
        <v>WNI</v>
      </c>
      <c r="J182" s="2051"/>
      <c r="K182" s="2052">
        <f>SNI!L438</f>
        <v>1</v>
      </c>
      <c r="L182" s="2053"/>
      <c r="M182" s="2054"/>
      <c r="N182" s="2055">
        <f>SNI!I438</f>
        <v>90000</v>
      </c>
      <c r="O182" s="2056"/>
      <c r="P182" s="1969">
        <f t="shared" si="131"/>
        <v>2340</v>
      </c>
      <c r="Q182" s="1953"/>
      <c r="R182" s="1954"/>
      <c r="S182" s="1954">
        <f t="shared" si="132"/>
        <v>2340</v>
      </c>
      <c r="T182" s="1969">
        <f t="shared" si="133"/>
        <v>0</v>
      </c>
      <c r="U182" s="2060"/>
      <c r="Z182" s="1956"/>
      <c r="AA182" s="1956"/>
      <c r="AF182" s="1836"/>
      <c r="AG182" s="1836"/>
      <c r="AH182" s="1836"/>
      <c r="AI182" s="1837"/>
      <c r="AJ182" s="1960"/>
    </row>
    <row r="183" spans="1:36" s="1957" customFormat="1" ht="21.95" customHeight="1" x14ac:dyDescent="0.2">
      <c r="A183" s="1942"/>
      <c r="B183" s="1970"/>
      <c r="C183" s="1971"/>
      <c r="D183" s="1972"/>
      <c r="E183" s="1973"/>
      <c r="F183" s="1974" t="s">
        <v>556</v>
      </c>
      <c r="G183" s="1975">
        <f>B173</f>
        <v>4</v>
      </c>
      <c r="H183" s="1976"/>
      <c r="I183" s="1977"/>
      <c r="J183" s="1977"/>
      <c r="K183" s="1978"/>
      <c r="L183" s="1979"/>
      <c r="M183" s="1980"/>
      <c r="N183" s="1981"/>
      <c r="O183" s="1982"/>
      <c r="P183" s="1983">
        <f>SUM(P175:P182)</f>
        <v>102462</v>
      </c>
      <c r="Q183" s="1984"/>
      <c r="R183" s="1985"/>
      <c r="S183" s="1983">
        <f t="shared" ref="S183:T183" si="134">SUM(S175:S182)</f>
        <v>96672</v>
      </c>
      <c r="T183" s="1983">
        <f t="shared" si="134"/>
        <v>5790</v>
      </c>
      <c r="U183" s="1986"/>
      <c r="V183" s="1848"/>
      <c r="W183" s="1848"/>
      <c r="X183" s="1848"/>
      <c r="Y183" s="1848"/>
      <c r="Z183" s="1956"/>
      <c r="AA183" s="1956"/>
      <c r="AF183" s="1958"/>
      <c r="AG183" s="1958"/>
      <c r="AH183" s="1958"/>
      <c r="AI183" s="1959"/>
      <c r="AJ183" s="1960"/>
    </row>
    <row r="184" spans="1:36" ht="21.95" customHeight="1" x14ac:dyDescent="0.2">
      <c r="B184" s="1943"/>
      <c r="C184" s="1937"/>
      <c r="D184" s="2081" t="s">
        <v>1773</v>
      </c>
      <c r="E184" s="1944"/>
      <c r="F184" s="2004"/>
      <c r="G184" s="1945"/>
      <c r="H184" s="2093"/>
      <c r="I184" s="2094"/>
      <c r="J184" s="2094"/>
      <c r="K184" s="1935"/>
      <c r="L184" s="1950"/>
      <c r="M184" s="1950"/>
      <c r="N184" s="1951"/>
      <c r="O184" s="2095"/>
      <c r="P184" s="1952"/>
      <c r="Q184" s="2094"/>
      <c r="R184" s="2094"/>
      <c r="S184" s="2094"/>
      <c r="T184" s="2096"/>
      <c r="U184" s="2097"/>
      <c r="Z184" s="1956"/>
      <c r="AA184" s="1956">
        <f>Z184-G184</f>
        <v>0</v>
      </c>
      <c r="AB184" s="1836" t="s">
        <v>1773</v>
      </c>
      <c r="AF184" s="1836"/>
      <c r="AG184" s="1836"/>
      <c r="AH184" s="1836"/>
      <c r="AI184" s="1837"/>
      <c r="AJ184" s="1960">
        <f>AI184-N184</f>
        <v>0</v>
      </c>
    </row>
    <row r="185" spans="1:36" ht="21.95" customHeight="1" x14ac:dyDescent="0.2">
      <c r="A185" s="1833">
        <f>satpek!$B$40</f>
        <v>21</v>
      </c>
      <c r="B185" s="1943">
        <f>B173+1</f>
        <v>5</v>
      </c>
      <c r="C185" s="1937"/>
      <c r="D185" s="1944" t="str">
        <f>VLOOKUP($A185,satpek!$B$20:$N$144,2,0)</f>
        <v>Membuat beton mutu f'c = 21,7 Mpa - K 250</v>
      </c>
      <c r="E185" s="1944"/>
      <c r="F185" s="2004"/>
      <c r="G185" s="1945">
        <f>'[3]B.VOL RAB'!Q65</f>
        <v>0.76800000000000013</v>
      </c>
      <c r="H185" s="1946" t="str">
        <f>VLOOKUP($A185,satpek!$B$20:$N$144,7,0)</f>
        <v>m3</v>
      </c>
      <c r="I185" s="1947"/>
      <c r="J185" s="1947"/>
      <c r="K185" s="1948"/>
      <c r="L185" s="1949"/>
      <c r="M185" s="1950" t="str">
        <f>VLOOKUP($A185,satpek!$B$20:$N$144,5,0)</f>
        <v>A.4.1.1.8.</v>
      </c>
      <c r="N185" s="1951">
        <f>VLOOKUP($A185,satpek!$B$20:$N$144,6,0)</f>
        <v>1115753.29</v>
      </c>
      <c r="O185" s="1938"/>
      <c r="P185" s="1952">
        <f t="shared" ref="P185:P197" si="135">ROUND((G185*N185),2)</f>
        <v>856898.53</v>
      </c>
      <c r="Q185" s="1953">
        <f>VLOOKUP($A185,satpek!$B$20:$L$138,8,0)</f>
        <v>0.93065078521121514</v>
      </c>
      <c r="R185" s="1954">
        <f>VLOOKUP($A185,satpek!$B$20:$L$138,9,0)</f>
        <v>918917.40999999992</v>
      </c>
      <c r="S185" s="1954"/>
      <c r="T185" s="1952"/>
      <c r="U185" s="1955"/>
      <c r="X185" s="1848">
        <f>P196</f>
        <v>987392.28571428568</v>
      </c>
      <c r="Y185" s="1848">
        <f>S196</f>
        <v>918917.40571428579</v>
      </c>
      <c r="Z185" s="1956">
        <v>0.76800000000000013</v>
      </c>
      <c r="AA185" s="1956">
        <f>Z185-G185</f>
        <v>0</v>
      </c>
      <c r="AB185" s="1836" t="s">
        <v>1905</v>
      </c>
      <c r="AF185" s="1836"/>
      <c r="AG185" s="1836"/>
      <c r="AH185" s="1836"/>
      <c r="AI185" s="1837">
        <v>1191397.42</v>
      </c>
      <c r="AJ185" s="1960">
        <f>AI185-N185</f>
        <v>75644.129999999888</v>
      </c>
    </row>
    <row r="186" spans="1:36" ht="21.95" customHeight="1" x14ac:dyDescent="0.2">
      <c r="B186" s="2045"/>
      <c r="C186" s="2046" t="str">
        <f>SNI!$D$389</f>
        <v>Bahan</v>
      </c>
      <c r="D186" s="2047"/>
      <c r="E186" s="2047"/>
      <c r="F186" s="2048"/>
      <c r="G186" s="2049"/>
      <c r="H186" s="2050"/>
      <c r="I186" s="2051"/>
      <c r="J186" s="2051"/>
      <c r="K186" s="2052"/>
      <c r="L186" s="2053"/>
      <c r="M186" s="2054"/>
      <c r="N186" s="2055"/>
      <c r="O186" s="2056"/>
      <c r="P186" s="2057"/>
      <c r="Q186" s="2058"/>
      <c r="R186" s="2059"/>
      <c r="S186" s="2059"/>
      <c r="T186" s="2057"/>
      <c r="U186" s="2060"/>
      <c r="Z186" s="1956"/>
      <c r="AA186" s="1956"/>
      <c r="AF186" s="1836"/>
      <c r="AG186" s="1836"/>
      <c r="AH186" s="1836"/>
      <c r="AI186" s="1837"/>
      <c r="AJ186" s="1960"/>
    </row>
    <row r="187" spans="1:36" ht="21.95" customHeight="1" x14ac:dyDescent="0.2">
      <c r="B187" s="2045"/>
      <c r="C187" s="2046"/>
      <c r="D187" s="2047" t="str">
        <f>SNI!$E$389</f>
        <v>PC</v>
      </c>
      <c r="E187" s="2047"/>
      <c r="F187" s="2048"/>
      <c r="G187" s="2049">
        <f>SNI!$H$389</f>
        <v>384</v>
      </c>
      <c r="H187" s="2050" t="str">
        <f>SNI!$G$389</f>
        <v>kg</v>
      </c>
      <c r="I187" s="2051"/>
      <c r="J187" s="2051"/>
      <c r="K187" s="2052">
        <f>SNI!$L$389</f>
        <v>0.85140000000000005</v>
      </c>
      <c r="L187" s="2053"/>
      <c r="M187" s="2054"/>
      <c r="N187" s="2055">
        <f>SNI!$I$389</f>
        <v>1200</v>
      </c>
      <c r="O187" s="2056"/>
      <c r="P187" s="1969">
        <f t="shared" ref="P187" si="136">N187*G187</f>
        <v>460800</v>
      </c>
      <c r="Q187" s="1953"/>
      <c r="R187" s="1954"/>
      <c r="S187" s="1954">
        <f t="shared" ref="S187" si="137">P187*K187</f>
        <v>392325.12</v>
      </c>
      <c r="T187" s="1969">
        <f t="shared" ref="T187" si="138">P187-S187</f>
        <v>68474.880000000005</v>
      </c>
      <c r="U187" s="2060"/>
      <c r="Z187" s="1956"/>
      <c r="AA187" s="1956"/>
      <c r="AF187" s="1836"/>
      <c r="AG187" s="1836"/>
      <c r="AH187" s="1836"/>
      <c r="AI187" s="1837"/>
      <c r="AJ187" s="1960"/>
    </row>
    <row r="188" spans="1:36" ht="21.95" customHeight="1" x14ac:dyDescent="0.2">
      <c r="B188" s="2045"/>
      <c r="C188" s="2046"/>
      <c r="D188" s="2047" t="str">
        <f>SNI!$E$390</f>
        <v>Pasir Beton</v>
      </c>
      <c r="E188" s="2047"/>
      <c r="F188" s="2048"/>
      <c r="G188" s="2049">
        <f>SNI!$H$390</f>
        <v>692</v>
      </c>
      <c r="H188" s="2050" t="str">
        <f>SNI!$G$390</f>
        <v>kg</v>
      </c>
      <c r="I188" s="2051"/>
      <c r="J188" s="2051"/>
      <c r="K188" s="2052">
        <f>SNI!$L$390</f>
        <v>1</v>
      </c>
      <c r="L188" s="2053"/>
      <c r="M188" s="2054"/>
      <c r="N188" s="2055">
        <f>SNI!$I$390</f>
        <v>185.71428571428572</v>
      </c>
      <c r="O188" s="2056"/>
      <c r="P188" s="1969">
        <f t="shared" ref="P188:P195" si="139">N188*G188</f>
        <v>128514.28571428572</v>
      </c>
      <c r="Q188" s="1953"/>
      <c r="R188" s="1954"/>
      <c r="S188" s="1954">
        <f t="shared" ref="S188:S195" si="140">P188*K188</f>
        <v>128514.28571428572</v>
      </c>
      <c r="T188" s="1969">
        <f t="shared" ref="T188:T195" si="141">P188-S188</f>
        <v>0</v>
      </c>
      <c r="U188" s="2060"/>
      <c r="Z188" s="1956"/>
      <c r="AA188" s="1956"/>
      <c r="AF188" s="1836"/>
      <c r="AG188" s="1836"/>
      <c r="AH188" s="1836"/>
      <c r="AI188" s="1837"/>
      <c r="AJ188" s="1960"/>
    </row>
    <row r="189" spans="1:36" ht="21.95" customHeight="1" x14ac:dyDescent="0.2">
      <c r="B189" s="2045"/>
      <c r="C189" s="2046"/>
      <c r="D189" s="2047" t="str">
        <f>SNI!$E$391</f>
        <v>Kerikil ( maks 30 mm )</v>
      </c>
      <c r="E189" s="2047"/>
      <c r="F189" s="2048"/>
      <c r="G189" s="2049">
        <f>SNI!$H$391</f>
        <v>1039</v>
      </c>
      <c r="H189" s="2050" t="str">
        <f>SNI!$G$391</f>
        <v>kg</v>
      </c>
      <c r="I189" s="2051"/>
      <c r="J189" s="2051"/>
      <c r="K189" s="2052">
        <f>SNI!$L$391</f>
        <v>1</v>
      </c>
      <c r="L189" s="2053"/>
      <c r="M189" s="2054"/>
      <c r="N189" s="2055">
        <f>SNI!$I$391</f>
        <v>200</v>
      </c>
      <c r="O189" s="2056"/>
      <c r="P189" s="1969">
        <f t="shared" si="139"/>
        <v>207800</v>
      </c>
      <c r="Q189" s="1953"/>
      <c r="R189" s="1954"/>
      <c r="S189" s="1954">
        <f t="shared" si="140"/>
        <v>207800</v>
      </c>
      <c r="T189" s="1969">
        <f t="shared" si="141"/>
        <v>0</v>
      </c>
      <c r="U189" s="2060"/>
      <c r="Z189" s="1956"/>
      <c r="AA189" s="1956"/>
      <c r="AF189" s="1836"/>
      <c r="AG189" s="1836"/>
      <c r="AH189" s="1836"/>
      <c r="AI189" s="1837"/>
      <c r="AJ189" s="1960"/>
    </row>
    <row r="190" spans="1:36" ht="21.95" customHeight="1" x14ac:dyDescent="0.2">
      <c r="B190" s="2045"/>
      <c r="C190" s="2046"/>
      <c r="D190" s="2047" t="str">
        <f>SNI!$E$392</f>
        <v>Air</v>
      </c>
      <c r="E190" s="2047"/>
      <c r="F190" s="2048"/>
      <c r="G190" s="2049">
        <f>SNI!$H$392</f>
        <v>215</v>
      </c>
      <c r="H190" s="2050" t="str">
        <f>SNI!$G$392</f>
        <v>ltr</v>
      </c>
      <c r="I190" s="2051"/>
      <c r="J190" s="2051"/>
      <c r="K190" s="2052">
        <f>SNI!$L$392</f>
        <v>1</v>
      </c>
      <c r="L190" s="2053"/>
      <c r="M190" s="2054"/>
      <c r="N190" s="2055">
        <f>SNI!$I$392</f>
        <v>45</v>
      </c>
      <c r="O190" s="2056"/>
      <c r="P190" s="1969">
        <f t="shared" si="139"/>
        <v>9675</v>
      </c>
      <c r="Q190" s="1953"/>
      <c r="R190" s="1954"/>
      <c r="S190" s="1954">
        <f t="shared" si="140"/>
        <v>9675</v>
      </c>
      <c r="T190" s="1969">
        <f t="shared" si="141"/>
        <v>0</v>
      </c>
      <c r="U190" s="2060"/>
      <c r="Z190" s="1956"/>
      <c r="AA190" s="1956"/>
      <c r="AF190" s="1836"/>
      <c r="AG190" s="1836"/>
      <c r="AH190" s="1836"/>
      <c r="AI190" s="1837"/>
      <c r="AJ190" s="1960"/>
    </row>
    <row r="191" spans="1:36" ht="21.95" customHeight="1" x14ac:dyDescent="0.2">
      <c r="B191" s="2045"/>
      <c r="C191" s="2046" t="str">
        <f>SNI!$D$394</f>
        <v>Tenaga Kerja</v>
      </c>
      <c r="D191" s="2047"/>
      <c r="E191" s="2047"/>
      <c r="F191" s="2048"/>
      <c r="G191" s="2049"/>
      <c r="H191" s="2050"/>
      <c r="I191" s="2051"/>
      <c r="J191" s="2051"/>
      <c r="K191" s="2052"/>
      <c r="L191" s="2053"/>
      <c r="M191" s="2054"/>
      <c r="N191" s="2055"/>
      <c r="O191" s="2056"/>
      <c r="P191" s="1969"/>
      <c r="Q191" s="1953"/>
      <c r="R191" s="1954"/>
      <c r="S191" s="1954"/>
      <c r="T191" s="1969"/>
      <c r="U191" s="2060"/>
      <c r="Z191" s="1956"/>
      <c r="AA191" s="1956"/>
      <c r="AF191" s="1836"/>
      <c r="AG191" s="1836"/>
      <c r="AH191" s="1836"/>
      <c r="AI191" s="1837"/>
      <c r="AJ191" s="1960"/>
    </row>
    <row r="192" spans="1:36" ht="21.95" customHeight="1" x14ac:dyDescent="0.2">
      <c r="B192" s="2045"/>
      <c r="C192" s="2046"/>
      <c r="D192" s="2047" t="str">
        <f>SNI!$E$394</f>
        <v xml:space="preserve">Pekerja </v>
      </c>
      <c r="E192" s="2047"/>
      <c r="F192" s="2048"/>
      <c r="G192" s="2049">
        <f>SNI!$H$394</f>
        <v>1.65</v>
      </c>
      <c r="H192" s="2050" t="str">
        <f>SNI!$G$394</f>
        <v>OH</v>
      </c>
      <c r="I192" s="2051" t="str">
        <f>SNI!$M$394</f>
        <v>WNI</v>
      </c>
      <c r="J192" s="2051"/>
      <c r="K192" s="2052">
        <f>SNI!$L$394</f>
        <v>1</v>
      </c>
      <c r="L192" s="2053"/>
      <c r="M192" s="2054"/>
      <c r="N192" s="2055">
        <f>SNI!$I$394</f>
        <v>88300</v>
      </c>
      <c r="O192" s="2056"/>
      <c r="P192" s="1969">
        <f t="shared" si="139"/>
        <v>145695</v>
      </c>
      <c r="Q192" s="1953"/>
      <c r="R192" s="1954"/>
      <c r="S192" s="1954">
        <f t="shared" si="140"/>
        <v>145695</v>
      </c>
      <c r="T192" s="1969">
        <f t="shared" si="141"/>
        <v>0</v>
      </c>
      <c r="U192" s="2060"/>
      <c r="Z192" s="1956"/>
      <c r="AA192" s="1956"/>
      <c r="AF192" s="1836"/>
      <c r="AG192" s="1836"/>
      <c r="AH192" s="1836"/>
      <c r="AI192" s="1837"/>
      <c r="AJ192" s="1960"/>
    </row>
    <row r="193" spans="1:36" ht="21.95" customHeight="1" x14ac:dyDescent="0.2">
      <c r="B193" s="2045"/>
      <c r="C193" s="2046"/>
      <c r="D193" s="2047" t="str">
        <f>SNI!$E$395</f>
        <v>Tukang Batu</v>
      </c>
      <c r="E193" s="2047"/>
      <c r="F193" s="2048"/>
      <c r="G193" s="2049">
        <f>SNI!$H$395</f>
        <v>0.27500000000000002</v>
      </c>
      <c r="H193" s="2050" t="str">
        <f>SNI!$G$395</f>
        <v>OH</v>
      </c>
      <c r="I193" s="2051" t="str">
        <f>SNI!$M$395</f>
        <v>WNI</v>
      </c>
      <c r="J193" s="2051"/>
      <c r="K193" s="2052">
        <f>SNI!$L$395</f>
        <v>1</v>
      </c>
      <c r="L193" s="2053"/>
      <c r="M193" s="2054"/>
      <c r="N193" s="2055">
        <f>SNI!$I$395</f>
        <v>90000</v>
      </c>
      <c r="O193" s="2056"/>
      <c r="P193" s="1969">
        <f t="shared" si="139"/>
        <v>24750.000000000004</v>
      </c>
      <c r="Q193" s="1953"/>
      <c r="R193" s="1954"/>
      <c r="S193" s="1954">
        <f t="shared" si="140"/>
        <v>24750.000000000004</v>
      </c>
      <c r="T193" s="1969">
        <f t="shared" si="141"/>
        <v>0</v>
      </c>
      <c r="U193" s="2060"/>
      <c r="Z193" s="1956"/>
      <c r="AA193" s="1956"/>
      <c r="AF193" s="1836"/>
      <c r="AG193" s="1836"/>
      <c r="AH193" s="1836"/>
      <c r="AI193" s="1837"/>
      <c r="AJ193" s="1960"/>
    </row>
    <row r="194" spans="1:36" ht="21.95" customHeight="1" x14ac:dyDescent="0.2">
      <c r="B194" s="2045"/>
      <c r="C194" s="2046"/>
      <c r="D194" s="2047" t="str">
        <f>SNI!$E$396</f>
        <v>Kepala Tukang</v>
      </c>
      <c r="E194" s="2047"/>
      <c r="F194" s="2048"/>
      <c r="G194" s="2049">
        <f>SNI!$H$396</f>
        <v>2.8000000000000001E-2</v>
      </c>
      <c r="H194" s="2050" t="str">
        <f>SNI!$G$396</f>
        <v>OH</v>
      </c>
      <c r="I194" s="2051" t="str">
        <f>SNI!$M$396</f>
        <v>WNI</v>
      </c>
      <c r="J194" s="2051"/>
      <c r="K194" s="2052">
        <f>SNI!$L$396</f>
        <v>1</v>
      </c>
      <c r="L194" s="2053"/>
      <c r="M194" s="2054"/>
      <c r="N194" s="2055">
        <f>SNI!$I$396</f>
        <v>96000</v>
      </c>
      <c r="O194" s="2056"/>
      <c r="P194" s="1969">
        <f t="shared" si="139"/>
        <v>2688</v>
      </c>
      <c r="Q194" s="1953"/>
      <c r="R194" s="1954"/>
      <c r="S194" s="1954">
        <f t="shared" si="140"/>
        <v>2688</v>
      </c>
      <c r="T194" s="1969">
        <f t="shared" si="141"/>
        <v>0</v>
      </c>
      <c r="U194" s="2060"/>
      <c r="Z194" s="1956"/>
      <c r="AA194" s="1956"/>
      <c r="AF194" s="1836"/>
      <c r="AG194" s="1836"/>
      <c r="AH194" s="1836"/>
      <c r="AI194" s="1837"/>
      <c r="AJ194" s="1960"/>
    </row>
    <row r="195" spans="1:36" ht="21.95" customHeight="1" x14ac:dyDescent="0.2">
      <c r="B195" s="2045"/>
      <c r="C195" s="2046"/>
      <c r="D195" s="2047" t="str">
        <f>SNI!$E$397</f>
        <v>Mandor</v>
      </c>
      <c r="E195" s="2047"/>
      <c r="F195" s="2048"/>
      <c r="G195" s="2049">
        <f>SNI!$H$397</f>
        <v>8.3000000000000004E-2</v>
      </c>
      <c r="H195" s="2050" t="str">
        <f>SNI!$G$397</f>
        <v>OH</v>
      </c>
      <c r="I195" s="2051" t="str">
        <f>SNI!$M$397</f>
        <v>WNI</v>
      </c>
      <c r="J195" s="2051"/>
      <c r="K195" s="2052">
        <f>SNI!$L$397</f>
        <v>1</v>
      </c>
      <c r="L195" s="2053"/>
      <c r="M195" s="2054"/>
      <c r="N195" s="2055">
        <f>SNI!$I$397</f>
        <v>90000</v>
      </c>
      <c r="O195" s="2056"/>
      <c r="P195" s="1969">
        <f t="shared" si="139"/>
        <v>7470</v>
      </c>
      <c r="Q195" s="1953"/>
      <c r="R195" s="1954"/>
      <c r="S195" s="1954">
        <f t="shared" si="140"/>
        <v>7470</v>
      </c>
      <c r="T195" s="1969">
        <f t="shared" si="141"/>
        <v>0</v>
      </c>
      <c r="U195" s="2060"/>
      <c r="Z195" s="1956"/>
      <c r="AA195" s="1956"/>
      <c r="AF195" s="1836"/>
      <c r="AG195" s="1836"/>
      <c r="AH195" s="1836"/>
      <c r="AI195" s="1837"/>
      <c r="AJ195" s="1960"/>
    </row>
    <row r="196" spans="1:36" s="1957" customFormat="1" ht="21.95" customHeight="1" x14ac:dyDescent="0.2">
      <c r="A196" s="1942"/>
      <c r="B196" s="1970"/>
      <c r="C196" s="1971"/>
      <c r="D196" s="1972"/>
      <c r="E196" s="1973"/>
      <c r="F196" s="1974" t="s">
        <v>556</v>
      </c>
      <c r="G196" s="1975">
        <f>B185</f>
        <v>5</v>
      </c>
      <c r="H196" s="1976"/>
      <c r="I196" s="1977"/>
      <c r="J196" s="1977"/>
      <c r="K196" s="1978"/>
      <c r="L196" s="1979"/>
      <c r="M196" s="1980"/>
      <c r="N196" s="1981"/>
      <c r="O196" s="1982"/>
      <c r="P196" s="1983">
        <f>SUM(P187:P195)</f>
        <v>987392.28571428568</v>
      </c>
      <c r="Q196" s="1984"/>
      <c r="R196" s="1985"/>
      <c r="S196" s="1983">
        <f>SUM(S187:S195)</f>
        <v>918917.40571428579</v>
      </c>
      <c r="T196" s="1983">
        <f>SUM(T187:T195)</f>
        <v>68474.880000000005</v>
      </c>
      <c r="U196" s="1986"/>
      <c r="V196" s="1848"/>
      <c r="W196" s="1848"/>
      <c r="X196" s="1848"/>
      <c r="Y196" s="1848"/>
      <c r="Z196" s="1956"/>
      <c r="AA196" s="1956"/>
      <c r="AF196" s="1958"/>
      <c r="AG196" s="1958"/>
      <c r="AH196" s="1958"/>
      <c r="AI196" s="1959"/>
      <c r="AJ196" s="1960"/>
    </row>
    <row r="197" spans="1:36" ht="21.95" customHeight="1" x14ac:dyDescent="0.2">
      <c r="A197" s="1833">
        <f>satpek!$B$41</f>
        <v>22</v>
      </c>
      <c r="B197" s="1943">
        <f>B185+1</f>
        <v>6</v>
      </c>
      <c r="C197" s="1937"/>
      <c r="D197" s="1944" t="str">
        <f>VLOOKUP($A197,satpek!$B$20:$N$144,2,0)</f>
        <v>Pembesian 1 kg dengan besi polos atau besi ulir</v>
      </c>
      <c r="E197" s="1944"/>
      <c r="F197" s="2004"/>
      <c r="G197" s="1945">
        <f>'[3]B.VOL RAB'!Q67</f>
        <v>73.353172532374217</v>
      </c>
      <c r="H197" s="1946" t="str">
        <f>VLOOKUP($A197,satpek!$B$20:$N$144,7,0)</f>
        <v>kg</v>
      </c>
      <c r="I197" s="1947"/>
      <c r="J197" s="1947"/>
      <c r="K197" s="1948"/>
      <c r="L197" s="1949"/>
      <c r="M197" s="1950" t="str">
        <f>VLOOKUP($A197,satpek!$B$20:$N$144,5,0)</f>
        <v>A.4.1.1.17.</v>
      </c>
      <c r="N197" s="1951">
        <f>VLOOKUP($A197,satpek!$B$20:$N$144,6,0)</f>
        <v>15603.94</v>
      </c>
      <c r="O197" s="1938"/>
      <c r="P197" s="1952">
        <f t="shared" si="135"/>
        <v>1144598.5</v>
      </c>
      <c r="Q197" s="1953">
        <f>VLOOKUP($A197,satpek!$B$20:$L$138,8,0)</f>
        <v>0.46415793062521393</v>
      </c>
      <c r="R197" s="1954">
        <f>VLOOKUP($A197,satpek!$B$20:$L$138,9,0)</f>
        <v>7242.692500000001</v>
      </c>
      <c r="S197" s="1954"/>
      <c r="T197" s="1952"/>
      <c r="U197" s="1955"/>
      <c r="X197" s="1848">
        <f>P206</f>
        <v>13808.800000000001</v>
      </c>
      <c r="Y197" s="1848">
        <f>S206</f>
        <v>7242.6925000000001</v>
      </c>
      <c r="Z197" s="1956">
        <v>73.353172532374217</v>
      </c>
      <c r="AA197" s="1956">
        <f>Z197-G197</f>
        <v>0</v>
      </c>
      <c r="AB197" s="1836" t="s">
        <v>420</v>
      </c>
      <c r="AF197" s="1836"/>
      <c r="AG197" s="1836"/>
      <c r="AH197" s="1836"/>
      <c r="AI197" s="1837">
        <v>15438.06</v>
      </c>
      <c r="AJ197" s="1960">
        <f>AI197-N197</f>
        <v>-165.88000000000102</v>
      </c>
    </row>
    <row r="198" spans="1:36" ht="21.95" customHeight="1" x14ac:dyDescent="0.2">
      <c r="B198" s="2045"/>
      <c r="C198" s="2046" t="str">
        <f>SNI!$D$410</f>
        <v>Bahan</v>
      </c>
      <c r="D198" s="2047"/>
      <c r="E198" s="2047"/>
      <c r="F198" s="2048"/>
      <c r="G198" s="2049"/>
      <c r="H198" s="2050"/>
      <c r="I198" s="2051"/>
      <c r="J198" s="2051"/>
      <c r="K198" s="2052"/>
      <c r="L198" s="2053"/>
      <c r="M198" s="2054"/>
      <c r="N198" s="2055"/>
      <c r="O198" s="2056"/>
      <c r="P198" s="2057"/>
      <c r="Q198" s="2058"/>
      <c r="R198" s="2059"/>
      <c r="S198" s="2059"/>
      <c r="T198" s="2057"/>
      <c r="U198" s="2060"/>
      <c r="Z198" s="1956"/>
      <c r="AA198" s="1956"/>
      <c r="AF198" s="1836"/>
      <c r="AG198" s="1836"/>
      <c r="AH198" s="1836"/>
      <c r="AI198" s="1837"/>
      <c r="AJ198" s="1960"/>
    </row>
    <row r="199" spans="1:36" ht="21.95" customHeight="1" x14ac:dyDescent="0.2">
      <c r="B199" s="2045"/>
      <c r="C199" s="2046"/>
      <c r="D199" s="2047" t="str">
        <f>SNI!$E$410</f>
        <v>Besi Beton ( polos/ulir )</v>
      </c>
      <c r="E199" s="2047"/>
      <c r="F199" s="2048"/>
      <c r="G199" s="2049">
        <f>SNI!$H$410/10</f>
        <v>1.05</v>
      </c>
      <c r="H199" s="2050" t="str">
        <f>SNI!$G$410</f>
        <v>kg</v>
      </c>
      <c r="I199" s="2051"/>
      <c r="J199" s="2051"/>
      <c r="K199" s="2052">
        <f>SNI!$L$410</f>
        <v>0.4879</v>
      </c>
      <c r="L199" s="2053"/>
      <c r="M199" s="2054"/>
      <c r="N199" s="2055">
        <f>SNI!$I$410</f>
        <v>11500</v>
      </c>
      <c r="O199" s="2056"/>
      <c r="P199" s="1969">
        <f t="shared" ref="P199" si="142">N199*G199</f>
        <v>12075</v>
      </c>
      <c r="Q199" s="1953"/>
      <c r="R199" s="1954"/>
      <c r="S199" s="1954">
        <f t="shared" ref="S199" si="143">P199*K199</f>
        <v>5891.3924999999999</v>
      </c>
      <c r="T199" s="1969">
        <f t="shared" ref="T199" si="144">P199-S199</f>
        <v>6183.6075000000001</v>
      </c>
      <c r="U199" s="2060"/>
      <c r="Z199" s="1956"/>
      <c r="AA199" s="1956"/>
      <c r="AF199" s="1836"/>
      <c r="AG199" s="1836"/>
      <c r="AH199" s="1836"/>
      <c r="AI199" s="1837"/>
      <c r="AJ199" s="1960"/>
    </row>
    <row r="200" spans="1:36" ht="21.95" customHeight="1" x14ac:dyDescent="0.2">
      <c r="B200" s="2045"/>
      <c r="C200" s="2046"/>
      <c r="D200" s="2047" t="str">
        <f>SNI!$E$411</f>
        <v>Kawat Beton</v>
      </c>
      <c r="E200" s="2047"/>
      <c r="F200" s="2048"/>
      <c r="G200" s="2049">
        <f>SNI!$H$411/10</f>
        <v>1.4999999999999999E-2</v>
      </c>
      <c r="H200" s="2050" t="str">
        <f>SNI!G411</f>
        <v>kg</v>
      </c>
      <c r="I200" s="2051"/>
      <c r="J200" s="2051"/>
      <c r="K200" s="2052">
        <f>SNI!$L$411</f>
        <v>0</v>
      </c>
      <c r="L200" s="2053"/>
      <c r="M200" s="2054"/>
      <c r="N200" s="2055">
        <f>SNI!$I$411</f>
        <v>25500</v>
      </c>
      <c r="O200" s="2056"/>
      <c r="P200" s="1969">
        <f t="shared" ref="P200:P205" si="145">N200*G200</f>
        <v>382.5</v>
      </c>
      <c r="Q200" s="1953"/>
      <c r="R200" s="1954"/>
      <c r="S200" s="1954">
        <f t="shared" ref="S200:S205" si="146">P200*K200</f>
        <v>0</v>
      </c>
      <c r="T200" s="1969">
        <f t="shared" ref="T200:T205" si="147">P200-S200</f>
        <v>382.5</v>
      </c>
      <c r="U200" s="2060"/>
      <c r="Z200" s="1956"/>
      <c r="AA200" s="1956"/>
      <c r="AF200" s="1836"/>
      <c r="AG200" s="1836"/>
      <c r="AH200" s="1836"/>
      <c r="AI200" s="1837"/>
      <c r="AJ200" s="1960"/>
    </row>
    <row r="201" spans="1:36" ht="21.95" customHeight="1" x14ac:dyDescent="0.2">
      <c r="B201" s="2045"/>
      <c r="C201" s="2046" t="str">
        <f>SNI!$D$413</f>
        <v>Tenaga Kerja</v>
      </c>
      <c r="D201" s="2047"/>
      <c r="E201" s="2047"/>
      <c r="F201" s="2048"/>
      <c r="G201" s="2049"/>
      <c r="H201" s="2050"/>
      <c r="I201" s="2051"/>
      <c r="J201" s="2051"/>
      <c r="K201" s="2052"/>
      <c r="L201" s="2053"/>
      <c r="M201" s="2054"/>
      <c r="N201" s="2055"/>
      <c r="O201" s="2056"/>
      <c r="P201" s="1969"/>
      <c r="Q201" s="1953"/>
      <c r="R201" s="1954"/>
      <c r="S201" s="1954"/>
      <c r="T201" s="1969"/>
      <c r="U201" s="2060"/>
      <c r="Z201" s="1956"/>
      <c r="AA201" s="1956"/>
      <c r="AF201" s="1836"/>
      <c r="AG201" s="1836"/>
      <c r="AH201" s="1836"/>
      <c r="AI201" s="1837"/>
      <c r="AJ201" s="1960"/>
    </row>
    <row r="202" spans="1:36" ht="21.95" customHeight="1" x14ac:dyDescent="0.2">
      <c r="B202" s="2045"/>
      <c r="C202" s="2046"/>
      <c r="D202" s="2047" t="str">
        <f>SNI!$E$413</f>
        <v xml:space="preserve">Pekerja </v>
      </c>
      <c r="E202" s="2047"/>
      <c r="F202" s="2048"/>
      <c r="G202" s="2049">
        <f>SNI!$H$413/10</f>
        <v>7.000000000000001E-3</v>
      </c>
      <c r="H202" s="2050" t="str">
        <f>SNI!$G$413</f>
        <v>OH</v>
      </c>
      <c r="I202" s="2051" t="str">
        <f>SNI!$M$413</f>
        <v>WNI</v>
      </c>
      <c r="J202" s="2051"/>
      <c r="K202" s="2052">
        <f>SNI!$L$413</f>
        <v>1</v>
      </c>
      <c r="L202" s="2053"/>
      <c r="M202" s="2054"/>
      <c r="N202" s="2055">
        <f>SNI!$I$413</f>
        <v>88300</v>
      </c>
      <c r="O202" s="2056"/>
      <c r="P202" s="1969">
        <f t="shared" si="145"/>
        <v>618.10000000000014</v>
      </c>
      <c r="Q202" s="1953"/>
      <c r="R202" s="1954"/>
      <c r="S202" s="1954">
        <f t="shared" si="146"/>
        <v>618.10000000000014</v>
      </c>
      <c r="T202" s="1969">
        <f t="shared" si="147"/>
        <v>0</v>
      </c>
      <c r="U202" s="2060"/>
      <c r="Z202" s="1956"/>
      <c r="AA202" s="1956"/>
      <c r="AF202" s="1836"/>
      <c r="AG202" s="1836"/>
      <c r="AH202" s="1836"/>
      <c r="AI202" s="1837"/>
      <c r="AJ202" s="1960"/>
    </row>
    <row r="203" spans="1:36" ht="21.95" customHeight="1" x14ac:dyDescent="0.2">
      <c r="B203" s="2045"/>
      <c r="C203" s="2046"/>
      <c r="D203" s="2047" t="str">
        <f>SNI!$E$414</f>
        <v>Tukang Besi</v>
      </c>
      <c r="E203" s="2047"/>
      <c r="F203" s="2048"/>
      <c r="G203" s="2049">
        <f>SNI!$H$414/10</f>
        <v>7.000000000000001E-3</v>
      </c>
      <c r="H203" s="2050" t="str">
        <f>SNI!$G$414</f>
        <v>OH</v>
      </c>
      <c r="I203" s="2051" t="str">
        <f>SNI!$M$414</f>
        <v>WNI</v>
      </c>
      <c r="J203" s="2051"/>
      <c r="K203" s="2052">
        <f>SNI!$L$414</f>
        <v>1</v>
      </c>
      <c r="L203" s="2053"/>
      <c r="M203" s="2054"/>
      <c r="N203" s="2055">
        <f>SNI!$I$414</f>
        <v>90000</v>
      </c>
      <c r="O203" s="2056"/>
      <c r="P203" s="1969">
        <f t="shared" si="145"/>
        <v>630.00000000000011</v>
      </c>
      <c r="Q203" s="1953"/>
      <c r="R203" s="1954"/>
      <c r="S203" s="1954">
        <f t="shared" si="146"/>
        <v>630.00000000000011</v>
      </c>
      <c r="T203" s="1969">
        <f t="shared" si="147"/>
        <v>0</v>
      </c>
      <c r="U203" s="2060"/>
      <c r="Z203" s="1956"/>
      <c r="AA203" s="1956"/>
      <c r="AF203" s="1836"/>
      <c r="AG203" s="1836"/>
      <c r="AH203" s="1836"/>
      <c r="AI203" s="1837"/>
      <c r="AJ203" s="1960"/>
    </row>
    <row r="204" spans="1:36" ht="21.95" customHeight="1" x14ac:dyDescent="0.2">
      <c r="B204" s="2045"/>
      <c r="C204" s="2046"/>
      <c r="D204" s="2047" t="str">
        <f>SNI!$E$415</f>
        <v>Kepala Tukang</v>
      </c>
      <c r="E204" s="2047"/>
      <c r="F204" s="2048"/>
      <c r="G204" s="2049">
        <f>SNI!$H$415/10</f>
        <v>6.9999999999999999E-4</v>
      </c>
      <c r="H204" s="2050" t="str">
        <f>SNI!$G$415</f>
        <v>OH</v>
      </c>
      <c r="I204" s="2051" t="str">
        <f>SNI!$M$415</f>
        <v>WNI</v>
      </c>
      <c r="J204" s="2051"/>
      <c r="K204" s="2052">
        <f>SNI!$L$415</f>
        <v>1</v>
      </c>
      <c r="L204" s="2053"/>
      <c r="M204" s="2054"/>
      <c r="N204" s="2055">
        <f>SNI!$I$415</f>
        <v>96000</v>
      </c>
      <c r="O204" s="2056"/>
      <c r="P204" s="1969">
        <f t="shared" si="145"/>
        <v>67.2</v>
      </c>
      <c r="Q204" s="1953"/>
      <c r="R204" s="1954"/>
      <c r="S204" s="1954">
        <f t="shared" si="146"/>
        <v>67.2</v>
      </c>
      <c r="T204" s="1969">
        <f t="shared" si="147"/>
        <v>0</v>
      </c>
      <c r="U204" s="2060"/>
      <c r="Z204" s="1956"/>
      <c r="AA204" s="1956"/>
      <c r="AF204" s="1836"/>
      <c r="AG204" s="1836"/>
      <c r="AH204" s="1836"/>
      <c r="AI204" s="1837"/>
      <c r="AJ204" s="1960"/>
    </row>
    <row r="205" spans="1:36" ht="21.95" customHeight="1" x14ac:dyDescent="0.2">
      <c r="B205" s="2045"/>
      <c r="C205" s="2046"/>
      <c r="D205" s="2047" t="str">
        <f>SNI!$E$416</f>
        <v>Mandor</v>
      </c>
      <c r="E205" s="2047"/>
      <c r="F205" s="2048"/>
      <c r="G205" s="2049">
        <f>SNI!$H$416/10</f>
        <v>4.0000000000000002E-4</v>
      </c>
      <c r="H205" s="2050" t="str">
        <f>SNI!$G$416</f>
        <v>OH</v>
      </c>
      <c r="I205" s="2051" t="str">
        <f>SNI!$M$416</f>
        <v>WNI</v>
      </c>
      <c r="J205" s="2051"/>
      <c r="K205" s="2052">
        <f>SNI!$L$416</f>
        <v>1</v>
      </c>
      <c r="L205" s="2053"/>
      <c r="M205" s="2054"/>
      <c r="N205" s="2055">
        <f>SNI!$I$416</f>
        <v>90000</v>
      </c>
      <c r="O205" s="2056"/>
      <c r="P205" s="1969">
        <f t="shared" si="145"/>
        <v>36</v>
      </c>
      <c r="Q205" s="1953"/>
      <c r="R205" s="1954"/>
      <c r="S205" s="1954">
        <f t="shared" si="146"/>
        <v>36</v>
      </c>
      <c r="T205" s="1969">
        <f t="shared" si="147"/>
        <v>0</v>
      </c>
      <c r="U205" s="2060"/>
      <c r="Z205" s="1956"/>
      <c r="AA205" s="1956"/>
      <c r="AF205" s="1836"/>
      <c r="AG205" s="1836"/>
      <c r="AH205" s="1836"/>
      <c r="AI205" s="1837"/>
      <c r="AJ205" s="1960"/>
    </row>
    <row r="206" spans="1:36" s="1957" customFormat="1" ht="21.95" customHeight="1" x14ac:dyDescent="0.2">
      <c r="A206" s="1942"/>
      <c r="B206" s="1970"/>
      <c r="C206" s="1971"/>
      <c r="D206" s="1972"/>
      <c r="E206" s="1973"/>
      <c r="F206" s="1974" t="s">
        <v>556</v>
      </c>
      <c r="G206" s="1975">
        <f>B197</f>
        <v>6</v>
      </c>
      <c r="H206" s="1976"/>
      <c r="I206" s="1977"/>
      <c r="J206" s="1977"/>
      <c r="K206" s="1978"/>
      <c r="L206" s="1979"/>
      <c r="M206" s="1980"/>
      <c r="N206" s="1981"/>
      <c r="O206" s="1982"/>
      <c r="P206" s="1983">
        <f>SUM(P199:P205)</f>
        <v>13808.800000000001</v>
      </c>
      <c r="Q206" s="1984"/>
      <c r="R206" s="1985"/>
      <c r="S206" s="1983">
        <f t="shared" ref="S206:T206" si="148">SUM(S199:S205)</f>
        <v>7242.6925000000001</v>
      </c>
      <c r="T206" s="1983">
        <f t="shared" si="148"/>
        <v>6566.1075000000001</v>
      </c>
      <c r="U206" s="1986"/>
      <c r="V206" s="1848"/>
      <c r="W206" s="1848"/>
      <c r="X206" s="1848"/>
      <c r="Y206" s="1848"/>
      <c r="Z206" s="1956"/>
      <c r="AA206" s="1956"/>
      <c r="AF206" s="1958"/>
      <c r="AG206" s="1958"/>
      <c r="AH206" s="1958"/>
      <c r="AI206" s="1959"/>
      <c r="AJ206" s="1960"/>
    </row>
    <row r="207" spans="1:36" ht="21.95" customHeight="1" x14ac:dyDescent="0.2">
      <c r="A207" s="1833">
        <f>satpek!$B$42</f>
        <v>23</v>
      </c>
      <c r="B207" s="1943">
        <f t="shared" ref="B207" si="149">B197+1</f>
        <v>7</v>
      </c>
      <c r="C207" s="1937"/>
      <c r="D207" s="1944" t="str">
        <f>VLOOKUP($A207,satpek!$B$20:$N$144,2,0)</f>
        <v>Memasang bekisting untuk pondasi ( 2x pakai )</v>
      </c>
      <c r="E207" s="1944"/>
      <c r="F207" s="2004"/>
      <c r="G207" s="1945">
        <f>'[3]B.VOL RAB'!Q70</f>
        <v>3.84</v>
      </c>
      <c r="H207" s="2093" t="str">
        <f>VLOOKUP(A207,[3]Rekap!$B$12:$K$773,10)</f>
        <v>m3</v>
      </c>
      <c r="I207" s="2094"/>
      <c r="J207" s="2094"/>
      <c r="K207" s="1935"/>
      <c r="L207" s="1950"/>
      <c r="M207" s="1950" t="str">
        <f>VLOOKUP(A207,[3]Rekap!$B$12:$K$769,4)</f>
        <v>A.3.2.1.1.</v>
      </c>
      <c r="N207" s="1951">
        <f>N173</f>
        <v>115782.06</v>
      </c>
      <c r="O207" s="2095"/>
      <c r="P207" s="1952">
        <f>ROUND((G207*N207),2)</f>
        <v>444603.11</v>
      </c>
      <c r="Q207" s="1953">
        <f>VLOOKUP($A207,satpek!$B$20:$L$138,8,0)</f>
        <v>0.94349124553493002</v>
      </c>
      <c r="R207" s="1954">
        <f>VLOOKUP($A207,satpek!$B$20:$L$138,9,0)</f>
        <v>96672</v>
      </c>
      <c r="S207" s="1954">
        <f>VLOOKUP($A207,satpek!$B$20:$L$138,10,0)</f>
        <v>109239.36</v>
      </c>
      <c r="T207" s="1952">
        <f>S207*G207</f>
        <v>419479.14240000001</v>
      </c>
      <c r="U207" s="1955"/>
      <c r="X207" s="1848">
        <f>P217</f>
        <v>102462</v>
      </c>
      <c r="Y207" s="1848">
        <f>S217</f>
        <v>96672</v>
      </c>
      <c r="Z207" s="1956">
        <v>3.84</v>
      </c>
      <c r="AA207" s="1956">
        <f>Z207-G207</f>
        <v>0</v>
      </c>
      <c r="AB207" s="1836" t="s">
        <v>1906</v>
      </c>
      <c r="AF207" s="1836"/>
      <c r="AG207" s="1836"/>
      <c r="AH207" s="1836"/>
      <c r="AI207" s="1837">
        <v>114048.64</v>
      </c>
      <c r="AJ207" s="1960">
        <f>AI207-N207</f>
        <v>-1733.4199999999983</v>
      </c>
    </row>
    <row r="208" spans="1:36" ht="21.95" customHeight="1" x14ac:dyDescent="0.2">
      <c r="B208" s="2045"/>
      <c r="C208" s="2046" t="str">
        <f>SNI!D431</f>
        <v>Bahan</v>
      </c>
      <c r="D208" s="2047"/>
      <c r="E208" s="2047"/>
      <c r="F208" s="2048"/>
      <c r="G208" s="2049"/>
      <c r="H208" s="2098"/>
      <c r="I208" s="2099"/>
      <c r="J208" s="2099"/>
      <c r="K208" s="2100"/>
      <c r="L208" s="2054"/>
      <c r="M208" s="2054"/>
      <c r="N208" s="2055"/>
      <c r="O208" s="2101"/>
      <c r="P208" s="2057"/>
      <c r="Q208" s="2058"/>
      <c r="R208" s="2059"/>
      <c r="S208" s="2059"/>
      <c r="T208" s="2055"/>
      <c r="U208" s="2060"/>
      <c r="Z208" s="1956"/>
      <c r="AA208" s="1956"/>
      <c r="AF208" s="1836"/>
      <c r="AG208" s="1836"/>
      <c r="AH208" s="1836"/>
      <c r="AI208" s="1837"/>
      <c r="AJ208" s="1960"/>
    </row>
    <row r="209" spans="1:36" ht="21.95" customHeight="1" x14ac:dyDescent="0.2">
      <c r="B209" s="2045"/>
      <c r="C209" s="2046"/>
      <c r="D209" s="2047" t="str">
        <f>SNI!E431</f>
        <v>Kayu kelas III</v>
      </c>
      <c r="E209" s="2047"/>
      <c r="F209" s="2048"/>
      <c r="G209" s="2049">
        <f>SNI!H431</f>
        <v>0.02</v>
      </c>
      <c r="H209" s="2098" t="str">
        <f>SNI!G431</f>
        <v>m3</v>
      </c>
      <c r="I209" s="2099"/>
      <c r="J209" s="2099"/>
      <c r="K209" s="2100">
        <f>SNI!L431</f>
        <v>1</v>
      </c>
      <c r="L209" s="2054"/>
      <c r="M209" s="2054"/>
      <c r="N209" s="2055">
        <f>SNI!I431</f>
        <v>1100000</v>
      </c>
      <c r="O209" s="2101"/>
      <c r="P209" s="1969">
        <f t="shared" ref="P209" si="150">N209*G209</f>
        <v>22000</v>
      </c>
      <c r="Q209" s="1953"/>
      <c r="R209" s="1954"/>
      <c r="S209" s="1954">
        <f t="shared" ref="S209" si="151">P209*K209</f>
        <v>22000</v>
      </c>
      <c r="T209" s="1969">
        <f t="shared" ref="T209" si="152">P209-S209</f>
        <v>0</v>
      </c>
      <c r="U209" s="2060"/>
      <c r="Z209" s="1956"/>
      <c r="AA209" s="1956"/>
      <c r="AF209" s="1836"/>
      <c r="AG209" s="1836"/>
      <c r="AH209" s="1836"/>
      <c r="AI209" s="1837"/>
      <c r="AJ209" s="1960"/>
    </row>
    <row r="210" spans="1:36" ht="21.95" customHeight="1" x14ac:dyDescent="0.2">
      <c r="B210" s="2045"/>
      <c r="C210" s="2046"/>
      <c r="D210" s="2047" t="str">
        <f>SNI!E432</f>
        <v>Paku 5 cm - 10 cm</v>
      </c>
      <c r="E210" s="2047"/>
      <c r="F210" s="2048"/>
      <c r="G210" s="2049">
        <f>SNI!H432</f>
        <v>0.3</v>
      </c>
      <c r="H210" s="2098" t="str">
        <f>SNI!G432</f>
        <v>kg</v>
      </c>
      <c r="I210" s="2099"/>
      <c r="J210" s="2099"/>
      <c r="K210" s="2100">
        <f>SNI!L432</f>
        <v>0</v>
      </c>
      <c r="L210" s="2054"/>
      <c r="M210" s="2054"/>
      <c r="N210" s="2055">
        <f>SNI!I432</f>
        <v>17000</v>
      </c>
      <c r="O210" s="2101"/>
      <c r="P210" s="1969">
        <f t="shared" ref="P210:P216" si="153">N210*G210</f>
        <v>5100</v>
      </c>
      <c r="Q210" s="1953"/>
      <c r="R210" s="1954"/>
      <c r="S210" s="1954">
        <f t="shared" ref="S210:S216" si="154">P210*K210</f>
        <v>0</v>
      </c>
      <c r="T210" s="1969">
        <f t="shared" ref="T210:T216" si="155">P210-S210</f>
        <v>5100</v>
      </c>
      <c r="U210" s="2060"/>
      <c r="Z210" s="1956"/>
      <c r="AA210" s="1956"/>
      <c r="AF210" s="1836"/>
      <c r="AG210" s="1836"/>
      <c r="AH210" s="1836"/>
      <c r="AI210" s="1837"/>
      <c r="AJ210" s="1960"/>
    </row>
    <row r="211" spans="1:36" ht="21.95" customHeight="1" x14ac:dyDescent="0.2">
      <c r="B211" s="2045"/>
      <c r="C211" s="2046"/>
      <c r="D211" s="2047" t="str">
        <f>SNI!E433</f>
        <v>Minyak Bekisting</v>
      </c>
      <c r="E211" s="2047"/>
      <c r="F211" s="2048"/>
      <c r="G211" s="2049">
        <f>SNI!H433</f>
        <v>0.1</v>
      </c>
      <c r="H211" s="2098" t="str">
        <f>SNI!G433</f>
        <v>ltr</v>
      </c>
      <c r="I211" s="2099"/>
      <c r="J211" s="2099"/>
      <c r="K211" s="2100">
        <f>SNI!L433</f>
        <v>0</v>
      </c>
      <c r="L211" s="2054"/>
      <c r="M211" s="2054"/>
      <c r="N211" s="2055">
        <f>SNI!I433</f>
        <v>6900</v>
      </c>
      <c r="O211" s="2101"/>
      <c r="P211" s="1969">
        <f t="shared" si="153"/>
        <v>690</v>
      </c>
      <c r="Q211" s="1953"/>
      <c r="R211" s="1954"/>
      <c r="S211" s="1954">
        <f t="shared" si="154"/>
        <v>0</v>
      </c>
      <c r="T211" s="1969">
        <f t="shared" si="155"/>
        <v>690</v>
      </c>
      <c r="U211" s="2060"/>
      <c r="Z211" s="1956"/>
      <c r="AA211" s="1956"/>
      <c r="AF211" s="1836"/>
      <c r="AG211" s="1836"/>
      <c r="AH211" s="1836"/>
      <c r="AI211" s="1837"/>
      <c r="AJ211" s="1960"/>
    </row>
    <row r="212" spans="1:36" ht="21.95" customHeight="1" x14ac:dyDescent="0.2">
      <c r="B212" s="2045"/>
      <c r="C212" s="2046" t="str">
        <f>SNI!D435</f>
        <v>Tenaga Kerja</v>
      </c>
      <c r="D212" s="2047"/>
      <c r="E212" s="2047"/>
      <c r="F212" s="2048"/>
      <c r="G212" s="2049"/>
      <c r="H212" s="2098"/>
      <c r="I212" s="2099"/>
      <c r="J212" s="2099"/>
      <c r="K212" s="2100"/>
      <c r="L212" s="2054"/>
      <c r="M212" s="2054"/>
      <c r="N212" s="2055"/>
      <c r="O212" s="2101"/>
      <c r="P212" s="1969"/>
      <c r="Q212" s="1953"/>
      <c r="R212" s="1954"/>
      <c r="S212" s="1954"/>
      <c r="T212" s="1969"/>
      <c r="U212" s="2060"/>
      <c r="Z212" s="1956"/>
      <c r="AA212" s="1956"/>
      <c r="AF212" s="1836"/>
      <c r="AG212" s="1836"/>
      <c r="AH212" s="1836"/>
      <c r="AI212" s="1837"/>
      <c r="AJ212" s="1960"/>
    </row>
    <row r="213" spans="1:36" ht="21.95" customHeight="1" x14ac:dyDescent="0.2">
      <c r="B213" s="2045"/>
      <c r="C213" s="2046"/>
      <c r="D213" s="2047" t="str">
        <f>SNI!E435</f>
        <v xml:space="preserve">Pekerja </v>
      </c>
      <c r="E213" s="2047"/>
      <c r="F213" s="2048"/>
      <c r="G213" s="2049">
        <f>SNI!H435</f>
        <v>0.52</v>
      </c>
      <c r="H213" s="2098" t="str">
        <f>SNI!G435</f>
        <v>OH</v>
      </c>
      <c r="I213" s="2051" t="str">
        <f>SNI!$M$315</f>
        <v>WNI</v>
      </c>
      <c r="J213" s="2099"/>
      <c r="K213" s="2100">
        <f>SNI!L435</f>
        <v>1</v>
      </c>
      <c r="L213" s="2054"/>
      <c r="M213" s="2054"/>
      <c r="N213" s="2055">
        <f>SNI!I435</f>
        <v>88300</v>
      </c>
      <c r="O213" s="2101"/>
      <c r="P213" s="1969">
        <f t="shared" si="153"/>
        <v>45916</v>
      </c>
      <c r="Q213" s="1953"/>
      <c r="R213" s="1954"/>
      <c r="S213" s="1954">
        <f t="shared" si="154"/>
        <v>45916</v>
      </c>
      <c r="T213" s="1969">
        <f t="shared" si="155"/>
        <v>0</v>
      </c>
      <c r="U213" s="2060"/>
      <c r="Z213" s="1956"/>
      <c r="AA213" s="1956"/>
      <c r="AF213" s="1836"/>
      <c r="AG213" s="1836"/>
      <c r="AH213" s="1836"/>
      <c r="AI213" s="1837"/>
      <c r="AJ213" s="1960"/>
    </row>
    <row r="214" spans="1:36" ht="21.95" customHeight="1" x14ac:dyDescent="0.2">
      <c r="B214" s="2045"/>
      <c r="C214" s="2046"/>
      <c r="D214" s="2047" t="str">
        <f>SNI!E436</f>
        <v>Tukang Kayu</v>
      </c>
      <c r="E214" s="2047"/>
      <c r="F214" s="2048"/>
      <c r="G214" s="2049">
        <f>SNI!H436</f>
        <v>0.26</v>
      </c>
      <c r="H214" s="2098" t="str">
        <f>SNI!G436</f>
        <v>OH</v>
      </c>
      <c r="I214" s="2051" t="str">
        <f>SNI!$M$315</f>
        <v>WNI</v>
      </c>
      <c r="J214" s="2099"/>
      <c r="K214" s="2100">
        <f>SNI!L436</f>
        <v>1</v>
      </c>
      <c r="L214" s="2054"/>
      <c r="M214" s="2054"/>
      <c r="N214" s="2055">
        <f>SNI!I436</f>
        <v>92000</v>
      </c>
      <c r="O214" s="2101"/>
      <c r="P214" s="1969">
        <f t="shared" si="153"/>
        <v>23920</v>
      </c>
      <c r="Q214" s="1953"/>
      <c r="R214" s="1954"/>
      <c r="S214" s="1954">
        <f t="shared" si="154"/>
        <v>23920</v>
      </c>
      <c r="T214" s="1969">
        <f t="shared" si="155"/>
        <v>0</v>
      </c>
      <c r="U214" s="2060"/>
      <c r="Z214" s="1956"/>
      <c r="AA214" s="1956"/>
      <c r="AF214" s="1836"/>
      <c r="AG214" s="1836"/>
      <c r="AH214" s="1836"/>
      <c r="AI214" s="1837"/>
      <c r="AJ214" s="1960"/>
    </row>
    <row r="215" spans="1:36" ht="21.95" customHeight="1" x14ac:dyDescent="0.2">
      <c r="B215" s="2045"/>
      <c r="C215" s="2046"/>
      <c r="D215" s="2047" t="str">
        <f>SNI!E437</f>
        <v>Kepala Tukang</v>
      </c>
      <c r="E215" s="2047"/>
      <c r="F215" s="2048"/>
      <c r="G215" s="2049">
        <f>SNI!H437</f>
        <v>2.5999999999999999E-2</v>
      </c>
      <c r="H215" s="2098" t="str">
        <f>SNI!G437</f>
        <v>OH</v>
      </c>
      <c r="I215" s="2051" t="str">
        <f>SNI!$M$315</f>
        <v>WNI</v>
      </c>
      <c r="J215" s="2099"/>
      <c r="K215" s="2100">
        <f>SNI!L437</f>
        <v>1</v>
      </c>
      <c r="L215" s="2054"/>
      <c r="M215" s="2054"/>
      <c r="N215" s="2055">
        <f>SNI!I437</f>
        <v>96000</v>
      </c>
      <c r="O215" s="2101"/>
      <c r="P215" s="1969">
        <f t="shared" si="153"/>
        <v>2496</v>
      </c>
      <c r="Q215" s="1953"/>
      <c r="R215" s="1954"/>
      <c r="S215" s="1954">
        <f t="shared" si="154"/>
        <v>2496</v>
      </c>
      <c r="T215" s="1969">
        <f t="shared" si="155"/>
        <v>0</v>
      </c>
      <c r="U215" s="2060"/>
      <c r="Z215" s="1956"/>
      <c r="AA215" s="1956"/>
      <c r="AF215" s="1836"/>
      <c r="AG215" s="1836"/>
      <c r="AH215" s="1836"/>
      <c r="AI215" s="1837"/>
      <c r="AJ215" s="1960"/>
    </row>
    <row r="216" spans="1:36" ht="21.95" customHeight="1" x14ac:dyDescent="0.2">
      <c r="B216" s="2045"/>
      <c r="C216" s="2046"/>
      <c r="D216" s="2047" t="str">
        <f>SNI!E438</f>
        <v>Mandor</v>
      </c>
      <c r="E216" s="2047"/>
      <c r="F216" s="2048"/>
      <c r="G216" s="2049">
        <f>SNI!H438</f>
        <v>2.5999999999999999E-2</v>
      </c>
      <c r="H216" s="2098" t="str">
        <f>SNI!G438</f>
        <v>OH</v>
      </c>
      <c r="I216" s="2051" t="str">
        <f>SNI!$M$315</f>
        <v>WNI</v>
      </c>
      <c r="J216" s="2099"/>
      <c r="K216" s="2100">
        <f>SNI!L438</f>
        <v>1</v>
      </c>
      <c r="L216" s="2054"/>
      <c r="M216" s="2054"/>
      <c r="N216" s="2055">
        <f>SNI!I438</f>
        <v>90000</v>
      </c>
      <c r="O216" s="2101"/>
      <c r="P216" s="1969">
        <f t="shared" si="153"/>
        <v>2340</v>
      </c>
      <c r="Q216" s="1953"/>
      <c r="R216" s="1954"/>
      <c r="S216" s="1954">
        <f t="shared" si="154"/>
        <v>2340</v>
      </c>
      <c r="T216" s="1969">
        <f t="shared" si="155"/>
        <v>0</v>
      </c>
      <c r="U216" s="2060"/>
      <c r="Z216" s="1956"/>
      <c r="AA216" s="1956"/>
      <c r="AF216" s="1836"/>
      <c r="AG216" s="1836"/>
      <c r="AH216" s="1836"/>
      <c r="AI216" s="1837"/>
      <c r="AJ216" s="1960"/>
    </row>
    <row r="217" spans="1:36" s="1957" customFormat="1" ht="21.95" customHeight="1" x14ac:dyDescent="0.2">
      <c r="A217" s="1942"/>
      <c r="B217" s="1970"/>
      <c r="C217" s="1971"/>
      <c r="D217" s="1972"/>
      <c r="E217" s="1973"/>
      <c r="F217" s="1974" t="s">
        <v>556</v>
      </c>
      <c r="G217" s="1975">
        <f>B207</f>
        <v>7</v>
      </c>
      <c r="H217" s="1976"/>
      <c r="I217" s="1977"/>
      <c r="J217" s="1977"/>
      <c r="K217" s="1978"/>
      <c r="L217" s="1979"/>
      <c r="M217" s="1980"/>
      <c r="N217" s="1981"/>
      <c r="O217" s="1982"/>
      <c r="P217" s="1983">
        <f>SUM(P209:P216)</f>
        <v>102462</v>
      </c>
      <c r="Q217" s="1984"/>
      <c r="R217" s="1985"/>
      <c r="S217" s="1983">
        <f t="shared" ref="S217:T217" si="156">SUM(S209:S216)</f>
        <v>96672</v>
      </c>
      <c r="T217" s="1983">
        <f t="shared" si="156"/>
        <v>5790</v>
      </c>
      <c r="U217" s="1986"/>
      <c r="V217" s="1848"/>
      <c r="W217" s="1848"/>
      <c r="X217" s="1848"/>
      <c r="Y217" s="1848"/>
      <c r="Z217" s="1956"/>
      <c r="AA217" s="1956"/>
      <c r="AF217" s="1958"/>
      <c r="AG217" s="1958"/>
      <c r="AH217" s="1958"/>
      <c r="AI217" s="1959"/>
      <c r="AJ217" s="1960"/>
    </row>
    <row r="218" spans="1:36" ht="21.95" customHeight="1" x14ac:dyDescent="0.2">
      <c r="B218" s="2102"/>
      <c r="C218" s="2103"/>
      <c r="D218" s="2081" t="s">
        <v>1774</v>
      </c>
      <c r="E218" s="1930"/>
      <c r="F218" s="1931"/>
      <c r="G218" s="1945"/>
      <c r="H218" s="1933"/>
      <c r="I218" s="1934"/>
      <c r="J218" s="1934"/>
      <c r="K218" s="1935"/>
      <c r="L218" s="1936"/>
      <c r="M218" s="1936"/>
      <c r="N218" s="1951"/>
      <c r="O218" s="2066"/>
      <c r="P218" s="2067"/>
      <c r="Q218" s="1934"/>
      <c r="R218" s="1934"/>
      <c r="S218" s="1934"/>
      <c r="T218" s="1940"/>
      <c r="U218" s="1941"/>
      <c r="Z218" s="1956"/>
      <c r="AA218" s="1956">
        <f>Z218-G218</f>
        <v>0</v>
      </c>
      <c r="AB218" s="1836" t="s">
        <v>1774</v>
      </c>
      <c r="AF218" s="1836"/>
      <c r="AG218" s="1836"/>
      <c r="AH218" s="1836"/>
      <c r="AI218" s="1837"/>
      <c r="AJ218" s="1960">
        <f>AI218-N218</f>
        <v>0</v>
      </c>
    </row>
    <row r="219" spans="1:36" ht="21.95" customHeight="1" x14ac:dyDescent="0.2">
      <c r="B219" s="2102"/>
      <c r="C219" s="2103"/>
      <c r="D219" s="2081" t="s">
        <v>1775</v>
      </c>
      <c r="E219" s="1930"/>
      <c r="F219" s="1931"/>
      <c r="G219" s="1945"/>
      <c r="H219" s="1933"/>
      <c r="I219" s="1934"/>
      <c r="J219" s="1934"/>
      <c r="K219" s="1935"/>
      <c r="L219" s="1936"/>
      <c r="M219" s="1936"/>
      <c r="N219" s="1951"/>
      <c r="O219" s="2066"/>
      <c r="P219" s="2067"/>
      <c r="Q219" s="1934"/>
      <c r="R219" s="1934"/>
      <c r="S219" s="1934"/>
      <c r="T219" s="1940"/>
      <c r="U219" s="1941"/>
      <c r="Z219" s="1956"/>
      <c r="AA219" s="1956">
        <f>Z219-G219</f>
        <v>0</v>
      </c>
      <c r="AB219" s="1836" t="s">
        <v>1775</v>
      </c>
      <c r="AF219" s="1836"/>
      <c r="AG219" s="1836"/>
      <c r="AH219" s="1836"/>
      <c r="AI219" s="1837"/>
      <c r="AJ219" s="1960">
        <f>AI219-N219</f>
        <v>0</v>
      </c>
    </row>
    <row r="220" spans="1:36" ht="21.95" customHeight="1" x14ac:dyDescent="0.2">
      <c r="A220" s="1833">
        <f>satpek!$B$40</f>
        <v>21</v>
      </c>
      <c r="B220" s="1943">
        <f>B207+1</f>
        <v>8</v>
      </c>
      <c r="C220" s="1937"/>
      <c r="D220" s="1944" t="str">
        <f>VLOOKUP($A220,satpek!$B$20:$N$144,2,0)</f>
        <v>Membuat beton mutu f'c = 21,7 Mpa - K 250</v>
      </c>
      <c r="E220" s="1944"/>
      <c r="F220" s="2004"/>
      <c r="G220" s="1945">
        <f>'[3]B.VOL RAB'!Q75</f>
        <v>24.736000000000008</v>
      </c>
      <c r="H220" s="1946" t="str">
        <f>VLOOKUP($A220,satpek!$B$20:$N$144,7,0)</f>
        <v>m3</v>
      </c>
      <c r="I220" s="1947"/>
      <c r="J220" s="1947"/>
      <c r="K220" s="1948"/>
      <c r="L220" s="1949"/>
      <c r="M220" s="1950" t="str">
        <f>VLOOKUP($A220,satpek!$B$20:$N$144,5,0)</f>
        <v>A.4.1.1.8.</v>
      </c>
      <c r="N220" s="1951">
        <f>VLOOKUP($A220,satpek!$B$20:$N$144,6,0)</f>
        <v>1115753.29</v>
      </c>
      <c r="O220" s="1938"/>
      <c r="P220" s="1952">
        <f t="shared" ref="P220:P242" si="157">ROUND((G220*N220),2)</f>
        <v>27599273.379999999</v>
      </c>
      <c r="Q220" s="1953">
        <f>VLOOKUP($A220,satpek!$B$20:$L$138,8,0)</f>
        <v>0.93065078521121514</v>
      </c>
      <c r="R220" s="1954">
        <f>VLOOKUP($A220,satpek!$B$20:$L$138,9,0)</f>
        <v>918917.40999999992</v>
      </c>
      <c r="S220" s="1954">
        <f>VLOOKUP($A220,satpek!$B$20:$L$138,10,0)</f>
        <v>1038376.6732999999</v>
      </c>
      <c r="T220" s="1952">
        <f>S220*G220</f>
        <v>25685285.390748806</v>
      </c>
      <c r="U220" s="1955"/>
      <c r="X220" s="1848">
        <f>P231</f>
        <v>987392.28571428568</v>
      </c>
      <c r="Y220" s="1848">
        <f>S231</f>
        <v>918917.40571428579</v>
      </c>
      <c r="Z220" s="1956">
        <v>24.736000000000008</v>
      </c>
      <c r="AA220" s="1956">
        <f>Z220-G220</f>
        <v>0</v>
      </c>
      <c r="AB220" s="1836" t="s">
        <v>1905</v>
      </c>
      <c r="AF220" s="1836"/>
      <c r="AG220" s="1836"/>
      <c r="AH220" s="1836"/>
      <c r="AI220" s="1837">
        <v>1191397.42</v>
      </c>
      <c r="AJ220" s="1960">
        <f>AI220-N220</f>
        <v>75644.129999999888</v>
      </c>
    </row>
    <row r="221" spans="1:36" ht="21.95" customHeight="1" x14ac:dyDescent="0.2">
      <c r="B221" s="2045"/>
      <c r="C221" s="2046" t="str">
        <f>SNI!$D$389</f>
        <v>Bahan</v>
      </c>
      <c r="D221" s="2047"/>
      <c r="E221" s="2047"/>
      <c r="F221" s="2048"/>
      <c r="G221" s="2049"/>
      <c r="H221" s="2050"/>
      <c r="I221" s="2051"/>
      <c r="J221" s="2051"/>
      <c r="K221" s="2052"/>
      <c r="L221" s="2053"/>
      <c r="M221" s="2054"/>
      <c r="N221" s="2055"/>
      <c r="O221" s="2056"/>
      <c r="P221" s="2057"/>
      <c r="Q221" s="2058"/>
      <c r="R221" s="2059"/>
      <c r="S221" s="2059"/>
      <c r="T221" s="2057"/>
      <c r="U221" s="2060"/>
      <c r="Z221" s="1956"/>
      <c r="AA221" s="1956"/>
      <c r="AF221" s="1836"/>
      <c r="AG221" s="1836"/>
      <c r="AH221" s="1836"/>
      <c r="AI221" s="1837"/>
      <c r="AJ221" s="1960"/>
    </row>
    <row r="222" spans="1:36" ht="21.95" customHeight="1" x14ac:dyDescent="0.2">
      <c r="B222" s="2045"/>
      <c r="C222" s="2046"/>
      <c r="D222" s="2047" t="str">
        <f>SNI!$E$389</f>
        <v>PC</v>
      </c>
      <c r="E222" s="2047"/>
      <c r="F222" s="2048"/>
      <c r="G222" s="2049">
        <f>SNI!$H$389</f>
        <v>384</v>
      </c>
      <c r="H222" s="2050" t="str">
        <f>SNI!$G$389</f>
        <v>kg</v>
      </c>
      <c r="I222" s="2051"/>
      <c r="J222" s="2051"/>
      <c r="K222" s="2052">
        <f>SNI!$L$389</f>
        <v>0.85140000000000005</v>
      </c>
      <c r="L222" s="2053"/>
      <c r="M222" s="2054"/>
      <c r="N222" s="2055">
        <f>SNI!$I$389</f>
        <v>1200</v>
      </c>
      <c r="O222" s="2056"/>
      <c r="P222" s="1969">
        <f t="shared" ref="P222:P225" si="158">N222*G222</f>
        <v>460800</v>
      </c>
      <c r="Q222" s="1953"/>
      <c r="R222" s="1954"/>
      <c r="S222" s="1954">
        <f t="shared" ref="S222:S225" si="159">P222*K222</f>
        <v>392325.12</v>
      </c>
      <c r="T222" s="1969">
        <f t="shared" ref="T222:T225" si="160">P222-S222</f>
        <v>68474.880000000005</v>
      </c>
      <c r="U222" s="2060"/>
      <c r="Z222" s="1956"/>
      <c r="AA222" s="1956"/>
      <c r="AF222" s="1836"/>
      <c r="AG222" s="1836"/>
      <c r="AH222" s="1836"/>
      <c r="AI222" s="1837"/>
      <c r="AJ222" s="1960"/>
    </row>
    <row r="223" spans="1:36" ht="21.95" customHeight="1" x14ac:dyDescent="0.2">
      <c r="B223" s="2045"/>
      <c r="C223" s="2046"/>
      <c r="D223" s="2047" t="str">
        <f>SNI!$E$390</f>
        <v>Pasir Beton</v>
      </c>
      <c r="E223" s="2047"/>
      <c r="F223" s="2048"/>
      <c r="G223" s="2049">
        <f>SNI!$H$390</f>
        <v>692</v>
      </c>
      <c r="H223" s="2050" t="str">
        <f>SNI!$G$390</f>
        <v>kg</v>
      </c>
      <c r="I223" s="2051"/>
      <c r="J223" s="2051"/>
      <c r="K223" s="2052">
        <f>SNI!$L$390</f>
        <v>1</v>
      </c>
      <c r="L223" s="2053"/>
      <c r="M223" s="2054"/>
      <c r="N223" s="2055">
        <f>SNI!$I$390</f>
        <v>185.71428571428572</v>
      </c>
      <c r="O223" s="2056"/>
      <c r="P223" s="1969">
        <f t="shared" si="158"/>
        <v>128514.28571428572</v>
      </c>
      <c r="Q223" s="1953"/>
      <c r="R223" s="1954"/>
      <c r="S223" s="1954">
        <f t="shared" si="159"/>
        <v>128514.28571428572</v>
      </c>
      <c r="T223" s="1969">
        <f t="shared" si="160"/>
        <v>0</v>
      </c>
      <c r="U223" s="2060"/>
      <c r="Z223" s="1956"/>
      <c r="AA223" s="1956"/>
      <c r="AF223" s="1836"/>
      <c r="AG223" s="1836"/>
      <c r="AH223" s="1836"/>
      <c r="AI223" s="1837"/>
      <c r="AJ223" s="1960"/>
    </row>
    <row r="224" spans="1:36" ht="21.95" customHeight="1" x14ac:dyDescent="0.2">
      <c r="B224" s="2045"/>
      <c r="C224" s="2046"/>
      <c r="D224" s="2047" t="str">
        <f>SNI!$E$391</f>
        <v>Kerikil ( maks 30 mm )</v>
      </c>
      <c r="E224" s="2047"/>
      <c r="F224" s="2048"/>
      <c r="G224" s="2049">
        <f>SNI!$H$391</f>
        <v>1039</v>
      </c>
      <c r="H224" s="2050" t="str">
        <f>SNI!$G$391</f>
        <v>kg</v>
      </c>
      <c r="I224" s="2051"/>
      <c r="J224" s="2051"/>
      <c r="K224" s="2052">
        <f>SNI!$L$391</f>
        <v>1</v>
      </c>
      <c r="L224" s="2053"/>
      <c r="M224" s="2054"/>
      <c r="N224" s="2055">
        <f>SNI!$I$391</f>
        <v>200</v>
      </c>
      <c r="O224" s="2056"/>
      <c r="P224" s="1969">
        <f t="shared" si="158"/>
        <v>207800</v>
      </c>
      <c r="Q224" s="1953"/>
      <c r="R224" s="1954"/>
      <c r="S224" s="1954">
        <f t="shared" si="159"/>
        <v>207800</v>
      </c>
      <c r="T224" s="1969">
        <f t="shared" si="160"/>
        <v>0</v>
      </c>
      <c r="U224" s="2060"/>
      <c r="Z224" s="1956"/>
      <c r="AA224" s="1956"/>
      <c r="AF224" s="1836"/>
      <c r="AG224" s="1836"/>
      <c r="AH224" s="1836"/>
      <c r="AI224" s="1837"/>
      <c r="AJ224" s="1960"/>
    </row>
    <row r="225" spans="1:36" ht="21.95" customHeight="1" x14ac:dyDescent="0.2">
      <c r="B225" s="2045"/>
      <c r="C225" s="2046"/>
      <c r="D225" s="2047" t="str">
        <f>SNI!$E$392</f>
        <v>Air</v>
      </c>
      <c r="E225" s="2047"/>
      <c r="F225" s="2048"/>
      <c r="G225" s="2049">
        <f>SNI!$H$392</f>
        <v>215</v>
      </c>
      <c r="H225" s="2050" t="str">
        <f>SNI!$G$392</f>
        <v>ltr</v>
      </c>
      <c r="I225" s="2051"/>
      <c r="J225" s="2051"/>
      <c r="K225" s="2052">
        <f>SNI!$L$392</f>
        <v>1</v>
      </c>
      <c r="L225" s="2053"/>
      <c r="M225" s="2054"/>
      <c r="N225" s="2055">
        <f>SNI!$I$392</f>
        <v>45</v>
      </c>
      <c r="O225" s="2056"/>
      <c r="P225" s="1969">
        <f t="shared" si="158"/>
        <v>9675</v>
      </c>
      <c r="Q225" s="1953"/>
      <c r="R225" s="1954"/>
      <c r="S225" s="1954">
        <f t="shared" si="159"/>
        <v>9675</v>
      </c>
      <c r="T225" s="1969">
        <f t="shared" si="160"/>
        <v>0</v>
      </c>
      <c r="U225" s="2060"/>
      <c r="Z225" s="1956"/>
      <c r="AA225" s="1956"/>
      <c r="AF225" s="1836"/>
      <c r="AG225" s="1836"/>
      <c r="AH225" s="1836"/>
      <c r="AI225" s="1837"/>
      <c r="AJ225" s="1960"/>
    </row>
    <row r="226" spans="1:36" ht="21.95" customHeight="1" x14ac:dyDescent="0.2">
      <c r="B226" s="2045"/>
      <c r="C226" s="2046" t="str">
        <f>SNI!$D$394</f>
        <v>Tenaga Kerja</v>
      </c>
      <c r="D226" s="2047"/>
      <c r="E226" s="2047"/>
      <c r="F226" s="2048"/>
      <c r="G226" s="2049"/>
      <c r="H226" s="2050"/>
      <c r="I226" s="2051"/>
      <c r="J226" s="2051"/>
      <c r="K226" s="2052"/>
      <c r="L226" s="2053"/>
      <c r="M226" s="2054"/>
      <c r="N226" s="2055"/>
      <c r="O226" s="2056"/>
      <c r="P226" s="1969"/>
      <c r="Q226" s="1953"/>
      <c r="R226" s="1954"/>
      <c r="S226" s="1954"/>
      <c r="T226" s="1969"/>
      <c r="U226" s="2060"/>
      <c r="Z226" s="1956"/>
      <c r="AA226" s="1956"/>
      <c r="AF226" s="1836"/>
      <c r="AG226" s="1836"/>
      <c r="AH226" s="1836"/>
      <c r="AI226" s="1837"/>
      <c r="AJ226" s="1960"/>
    </row>
    <row r="227" spans="1:36" ht="21.95" customHeight="1" x14ac:dyDescent="0.2">
      <c r="B227" s="2045"/>
      <c r="C227" s="2046"/>
      <c r="D227" s="2047" t="str">
        <f>SNI!$E$394</f>
        <v xml:space="preserve">Pekerja </v>
      </c>
      <c r="E227" s="2047"/>
      <c r="F227" s="2048"/>
      <c r="G227" s="2049">
        <f>SNI!$H$394</f>
        <v>1.65</v>
      </c>
      <c r="H227" s="2050" t="str">
        <f>SNI!$G$394</f>
        <v>OH</v>
      </c>
      <c r="I227" s="2051" t="str">
        <f>SNI!$M$394</f>
        <v>WNI</v>
      </c>
      <c r="J227" s="2051"/>
      <c r="K227" s="2052">
        <f>SNI!$L$394</f>
        <v>1</v>
      </c>
      <c r="L227" s="2053"/>
      <c r="M227" s="2054"/>
      <c r="N227" s="2055">
        <f>SNI!$I$394</f>
        <v>88300</v>
      </c>
      <c r="O227" s="2056"/>
      <c r="P227" s="1969">
        <f t="shared" ref="P227:P230" si="161">N227*G227</f>
        <v>145695</v>
      </c>
      <c r="Q227" s="1953"/>
      <c r="R227" s="1954"/>
      <c r="S227" s="1954">
        <f t="shared" ref="S227:S230" si="162">P227*K227</f>
        <v>145695</v>
      </c>
      <c r="T227" s="1969">
        <f t="shared" ref="T227:T230" si="163">P227-S227</f>
        <v>0</v>
      </c>
      <c r="U227" s="2060"/>
      <c r="Z227" s="1956"/>
      <c r="AA227" s="1956"/>
      <c r="AF227" s="1836"/>
      <c r="AG227" s="1836"/>
      <c r="AH227" s="1836"/>
      <c r="AI227" s="1837"/>
      <c r="AJ227" s="1960"/>
    </row>
    <row r="228" spans="1:36" ht="21.95" customHeight="1" x14ac:dyDescent="0.2">
      <c r="B228" s="2045"/>
      <c r="C228" s="2046"/>
      <c r="D228" s="2047" t="str">
        <f>SNI!$E$395</f>
        <v>Tukang Batu</v>
      </c>
      <c r="E228" s="2047"/>
      <c r="F228" s="2048"/>
      <c r="G228" s="2049">
        <f>SNI!$H$395</f>
        <v>0.27500000000000002</v>
      </c>
      <c r="H228" s="2050" t="str">
        <f>SNI!$G$395</f>
        <v>OH</v>
      </c>
      <c r="I228" s="2051" t="str">
        <f>SNI!$M$395</f>
        <v>WNI</v>
      </c>
      <c r="J228" s="2051"/>
      <c r="K228" s="2052">
        <f>SNI!$L$395</f>
        <v>1</v>
      </c>
      <c r="L228" s="2053"/>
      <c r="M228" s="2054"/>
      <c r="N228" s="2055">
        <f>SNI!$I$395</f>
        <v>90000</v>
      </c>
      <c r="O228" s="2056"/>
      <c r="P228" s="1969">
        <f t="shared" si="161"/>
        <v>24750.000000000004</v>
      </c>
      <c r="Q228" s="1953"/>
      <c r="R228" s="1954"/>
      <c r="S228" s="1954">
        <f t="shared" si="162"/>
        <v>24750.000000000004</v>
      </c>
      <c r="T228" s="1969">
        <f t="shared" si="163"/>
        <v>0</v>
      </c>
      <c r="U228" s="2060"/>
      <c r="Z228" s="1956"/>
      <c r="AA228" s="1956"/>
      <c r="AF228" s="1836"/>
      <c r="AG228" s="1836"/>
      <c r="AH228" s="1836"/>
      <c r="AI228" s="1837"/>
      <c r="AJ228" s="1960"/>
    </row>
    <row r="229" spans="1:36" ht="21.95" customHeight="1" x14ac:dyDescent="0.2">
      <c r="B229" s="2045"/>
      <c r="C229" s="2046"/>
      <c r="D229" s="2047" t="str">
        <f>SNI!$E$396</f>
        <v>Kepala Tukang</v>
      </c>
      <c r="E229" s="2047"/>
      <c r="F229" s="2048"/>
      <c r="G229" s="2049">
        <f>SNI!$H$396</f>
        <v>2.8000000000000001E-2</v>
      </c>
      <c r="H229" s="2050" t="str">
        <f>SNI!$G$396</f>
        <v>OH</v>
      </c>
      <c r="I229" s="2051" t="str">
        <f>SNI!$M$396</f>
        <v>WNI</v>
      </c>
      <c r="J229" s="2051"/>
      <c r="K229" s="2052">
        <f>SNI!$L$396</f>
        <v>1</v>
      </c>
      <c r="L229" s="2053"/>
      <c r="M229" s="2054"/>
      <c r="N229" s="2055">
        <f>SNI!$I$396</f>
        <v>96000</v>
      </c>
      <c r="O229" s="2056"/>
      <c r="P229" s="1969">
        <f t="shared" si="161"/>
        <v>2688</v>
      </c>
      <c r="Q229" s="1953"/>
      <c r="R229" s="1954"/>
      <c r="S229" s="1954">
        <f t="shared" si="162"/>
        <v>2688</v>
      </c>
      <c r="T229" s="1969">
        <f t="shared" si="163"/>
        <v>0</v>
      </c>
      <c r="U229" s="2060"/>
      <c r="Z229" s="1956"/>
      <c r="AA229" s="1956"/>
      <c r="AF229" s="1836"/>
      <c r="AG229" s="1836"/>
      <c r="AH229" s="1836"/>
      <c r="AI229" s="1837"/>
      <c r="AJ229" s="1960"/>
    </row>
    <row r="230" spans="1:36" ht="21.95" customHeight="1" x14ac:dyDescent="0.2">
      <c r="B230" s="2045"/>
      <c r="C230" s="2046"/>
      <c r="D230" s="2047" t="str">
        <f>SNI!$E$397</f>
        <v>Mandor</v>
      </c>
      <c r="E230" s="2047"/>
      <c r="F230" s="2048"/>
      <c r="G230" s="2049">
        <f>SNI!$H$397</f>
        <v>8.3000000000000004E-2</v>
      </c>
      <c r="H230" s="2050" t="str">
        <f>SNI!$G$397</f>
        <v>OH</v>
      </c>
      <c r="I230" s="2051" t="str">
        <f>SNI!$M$397</f>
        <v>WNI</v>
      </c>
      <c r="J230" s="2051"/>
      <c r="K230" s="2052">
        <f>SNI!$L$397</f>
        <v>1</v>
      </c>
      <c r="L230" s="2053"/>
      <c r="M230" s="2054"/>
      <c r="N230" s="2055">
        <f>SNI!$I$397</f>
        <v>90000</v>
      </c>
      <c r="O230" s="2056"/>
      <c r="P230" s="1969">
        <f t="shared" si="161"/>
        <v>7470</v>
      </c>
      <c r="Q230" s="1953"/>
      <c r="R230" s="1954"/>
      <c r="S230" s="1954">
        <f t="shared" si="162"/>
        <v>7470</v>
      </c>
      <c r="T230" s="1969">
        <f t="shared" si="163"/>
        <v>0</v>
      </c>
      <c r="U230" s="2060"/>
      <c r="Z230" s="1956"/>
      <c r="AA230" s="1956"/>
      <c r="AF230" s="1836"/>
      <c r="AG230" s="1836"/>
      <c r="AH230" s="1836"/>
      <c r="AI230" s="1837"/>
      <c r="AJ230" s="1960"/>
    </row>
    <row r="231" spans="1:36" s="1957" customFormat="1" ht="21.95" customHeight="1" x14ac:dyDescent="0.2">
      <c r="A231" s="1942"/>
      <c r="B231" s="1970"/>
      <c r="C231" s="1971"/>
      <c r="D231" s="1972"/>
      <c r="E231" s="1973"/>
      <c r="F231" s="1974" t="s">
        <v>556</v>
      </c>
      <c r="G231" s="1975">
        <f>B220</f>
        <v>8</v>
      </c>
      <c r="H231" s="1976"/>
      <c r="I231" s="1977"/>
      <c r="J231" s="1977"/>
      <c r="K231" s="1978"/>
      <c r="L231" s="1979"/>
      <c r="M231" s="1980"/>
      <c r="N231" s="1981"/>
      <c r="O231" s="1982"/>
      <c r="P231" s="1983">
        <f>SUM(P222:P230)</f>
        <v>987392.28571428568</v>
      </c>
      <c r="Q231" s="1984"/>
      <c r="R231" s="1985"/>
      <c r="S231" s="1983">
        <f>SUM(S222:S230)</f>
        <v>918917.40571428579</v>
      </c>
      <c r="T231" s="1983">
        <f>SUM(T222:T230)</f>
        <v>68474.880000000005</v>
      </c>
      <c r="U231" s="1986"/>
      <c r="V231" s="1848"/>
      <c r="W231" s="1848"/>
      <c r="X231" s="1848"/>
      <c r="Y231" s="1848"/>
      <c r="Z231" s="1956"/>
      <c r="AA231" s="1956"/>
      <c r="AF231" s="1958"/>
      <c r="AG231" s="1958"/>
      <c r="AH231" s="1958"/>
      <c r="AI231" s="1959"/>
      <c r="AJ231" s="1960"/>
    </row>
    <row r="232" spans="1:36" ht="21.95" customHeight="1" x14ac:dyDescent="0.2">
      <c r="A232" s="1833">
        <f>satpek!$B$41</f>
        <v>22</v>
      </c>
      <c r="B232" s="1943">
        <f>B220+1</f>
        <v>9</v>
      </c>
      <c r="C232" s="1937"/>
      <c r="D232" s="1944" t="str">
        <f>VLOOKUP($A232,satpek!$B$20:$N$144,2,0)</f>
        <v>Pembesian 1 kg dengan besi polos atau besi ulir</v>
      </c>
      <c r="E232" s="1944"/>
      <c r="F232" s="2004"/>
      <c r="G232" s="1945">
        <f>'[3]B.VOL RAB'!Q77</f>
        <v>4504.2409055814333</v>
      </c>
      <c r="H232" s="1946" t="str">
        <f>VLOOKUP($A232,satpek!$B$20:$N$144,7,0)</f>
        <v>kg</v>
      </c>
      <c r="I232" s="1947"/>
      <c r="J232" s="1947"/>
      <c r="K232" s="1948"/>
      <c r="L232" s="1949"/>
      <c r="M232" s="1950" t="str">
        <f>VLOOKUP($A232,satpek!$B$20:$N$144,5,0)</f>
        <v>A.4.1.1.17.</v>
      </c>
      <c r="N232" s="1951">
        <f>VLOOKUP($A232,satpek!$B$20:$N$144,6,0)</f>
        <v>15603.94</v>
      </c>
      <c r="O232" s="1938"/>
      <c r="P232" s="1952">
        <f t="shared" si="157"/>
        <v>70283904.840000004</v>
      </c>
      <c r="Q232" s="1953">
        <f>VLOOKUP($A232,satpek!$B$20:$L$138,8,0)</f>
        <v>0.46415793062521393</v>
      </c>
      <c r="R232" s="1954">
        <f>VLOOKUP($A232,satpek!$B$20:$L$138,9,0)</f>
        <v>7242.692500000001</v>
      </c>
      <c r="S232" s="1954">
        <f>VLOOKUP($A232,satpek!$B$20:$L$138,10,0)</f>
        <v>8184.2425250000015</v>
      </c>
      <c r="T232" s="1952">
        <f>S232*G232</f>
        <v>36863799.962304085</v>
      </c>
      <c r="U232" s="1955"/>
      <c r="X232" s="1848">
        <f>P241</f>
        <v>13808.800000000001</v>
      </c>
      <c r="Y232" s="1848">
        <f>S241</f>
        <v>7242.6925000000001</v>
      </c>
      <c r="Z232" s="1956">
        <v>4504.2409055814333</v>
      </c>
      <c r="AA232" s="1956">
        <f>Z232-G232</f>
        <v>0</v>
      </c>
      <c r="AB232" s="1836" t="s">
        <v>420</v>
      </c>
      <c r="AF232" s="1836"/>
      <c r="AG232" s="1836"/>
      <c r="AH232" s="1836"/>
      <c r="AI232" s="1837">
        <v>15438.06</v>
      </c>
      <c r="AJ232" s="1960">
        <f>AI232-N232</f>
        <v>-165.88000000000102</v>
      </c>
    </row>
    <row r="233" spans="1:36" ht="21.95" customHeight="1" x14ac:dyDescent="0.2">
      <c r="B233" s="2045"/>
      <c r="C233" s="2046" t="str">
        <f>SNI!$D$410</f>
        <v>Bahan</v>
      </c>
      <c r="D233" s="2047"/>
      <c r="E233" s="2047"/>
      <c r="F233" s="2048"/>
      <c r="G233" s="2049"/>
      <c r="H233" s="2050"/>
      <c r="I233" s="2051"/>
      <c r="J233" s="2051"/>
      <c r="K233" s="2052"/>
      <c r="L233" s="2053"/>
      <c r="M233" s="2054"/>
      <c r="N233" s="2055"/>
      <c r="O233" s="2056"/>
      <c r="P233" s="2057"/>
      <c r="Q233" s="2058"/>
      <c r="R233" s="2059"/>
      <c r="S233" s="2059"/>
      <c r="T233" s="2057"/>
      <c r="U233" s="2060"/>
      <c r="Z233" s="1956"/>
      <c r="AA233" s="1956"/>
      <c r="AF233" s="1836"/>
      <c r="AG233" s="1836"/>
      <c r="AH233" s="1836"/>
      <c r="AI233" s="1837"/>
      <c r="AJ233" s="1960"/>
    </row>
    <row r="234" spans="1:36" ht="21.95" customHeight="1" x14ac:dyDescent="0.2">
      <c r="B234" s="2045"/>
      <c r="C234" s="2046"/>
      <c r="D234" s="2047" t="str">
        <f>SNI!$E$410</f>
        <v>Besi Beton ( polos/ulir )</v>
      </c>
      <c r="E234" s="2047"/>
      <c r="F234" s="2048"/>
      <c r="G234" s="2049">
        <f>SNI!$H$410/10</f>
        <v>1.05</v>
      </c>
      <c r="H234" s="2050" t="str">
        <f>SNI!$G$410</f>
        <v>kg</v>
      </c>
      <c r="I234" s="2051"/>
      <c r="J234" s="2051"/>
      <c r="K234" s="2052">
        <f>SNI!$L$410</f>
        <v>0.4879</v>
      </c>
      <c r="L234" s="2053"/>
      <c r="M234" s="2054"/>
      <c r="N234" s="2055">
        <f>SNI!$I$410</f>
        <v>11500</v>
      </c>
      <c r="O234" s="2056"/>
      <c r="P234" s="1969">
        <f t="shared" ref="P234:P235" si="164">N234*G234</f>
        <v>12075</v>
      </c>
      <c r="Q234" s="1953"/>
      <c r="R234" s="1954"/>
      <c r="S234" s="1954">
        <f t="shared" ref="S234:S235" si="165">P234*K234</f>
        <v>5891.3924999999999</v>
      </c>
      <c r="T234" s="1969">
        <f t="shared" ref="T234:T235" si="166">P234-S234</f>
        <v>6183.6075000000001</v>
      </c>
      <c r="U234" s="2060"/>
      <c r="Z234" s="1956"/>
      <c r="AA234" s="1956"/>
      <c r="AF234" s="1836"/>
      <c r="AG234" s="1836"/>
      <c r="AH234" s="1836"/>
      <c r="AI234" s="1837"/>
      <c r="AJ234" s="1960"/>
    </row>
    <row r="235" spans="1:36" ht="21.95" customHeight="1" x14ac:dyDescent="0.2">
      <c r="B235" s="2045"/>
      <c r="C235" s="2046"/>
      <c r="D235" s="2047" t="str">
        <f>SNI!$E$411</f>
        <v>Kawat Beton</v>
      </c>
      <c r="E235" s="2047"/>
      <c r="F235" s="2048"/>
      <c r="G235" s="2049">
        <f>SNI!$H$411/10</f>
        <v>1.4999999999999999E-2</v>
      </c>
      <c r="H235" s="2050">
        <f>SNI!G446</f>
        <v>0</v>
      </c>
      <c r="I235" s="2051"/>
      <c r="J235" s="2051"/>
      <c r="K235" s="2052">
        <f>SNI!$L$411</f>
        <v>0</v>
      </c>
      <c r="L235" s="2053"/>
      <c r="M235" s="2054"/>
      <c r="N235" s="2055">
        <f>SNI!$I$411</f>
        <v>25500</v>
      </c>
      <c r="O235" s="2056"/>
      <c r="P235" s="1969">
        <f t="shared" si="164"/>
        <v>382.5</v>
      </c>
      <c r="Q235" s="1953"/>
      <c r="R235" s="1954"/>
      <c r="S235" s="1954">
        <f t="shared" si="165"/>
        <v>0</v>
      </c>
      <c r="T235" s="1969">
        <f t="shared" si="166"/>
        <v>382.5</v>
      </c>
      <c r="U235" s="2060"/>
      <c r="Z235" s="1956"/>
      <c r="AA235" s="1956"/>
      <c r="AF235" s="1836"/>
      <c r="AG235" s="1836"/>
      <c r="AH235" s="1836"/>
      <c r="AI235" s="1837"/>
      <c r="AJ235" s="1960"/>
    </row>
    <row r="236" spans="1:36" ht="21.95" customHeight="1" x14ac:dyDescent="0.2">
      <c r="B236" s="2045"/>
      <c r="C236" s="2046" t="str">
        <f>SNI!$D$413</f>
        <v>Tenaga Kerja</v>
      </c>
      <c r="D236" s="2047"/>
      <c r="E236" s="2047"/>
      <c r="F236" s="2048"/>
      <c r="G236" s="2049"/>
      <c r="H236" s="2050"/>
      <c r="I236" s="2051"/>
      <c r="J236" s="2051"/>
      <c r="K236" s="2052"/>
      <c r="L236" s="2053"/>
      <c r="M236" s="2054"/>
      <c r="N236" s="2055"/>
      <c r="O236" s="2056"/>
      <c r="P236" s="1969"/>
      <c r="Q236" s="1953"/>
      <c r="R236" s="1954"/>
      <c r="S236" s="1954"/>
      <c r="T236" s="1969"/>
      <c r="U236" s="2060"/>
      <c r="Z236" s="1956"/>
      <c r="AA236" s="1956"/>
      <c r="AF236" s="1836"/>
      <c r="AG236" s="1836"/>
      <c r="AH236" s="1836"/>
      <c r="AI236" s="1837"/>
      <c r="AJ236" s="1960"/>
    </row>
    <row r="237" spans="1:36" ht="21.95" customHeight="1" x14ac:dyDescent="0.2">
      <c r="B237" s="2045"/>
      <c r="C237" s="2046"/>
      <c r="D237" s="2047" t="str">
        <f>SNI!$E$413</f>
        <v xml:space="preserve">Pekerja </v>
      </c>
      <c r="E237" s="2047"/>
      <c r="F237" s="2048"/>
      <c r="G237" s="2049">
        <f>SNI!$H$413/10</f>
        <v>7.000000000000001E-3</v>
      </c>
      <c r="H237" s="2050" t="str">
        <f>SNI!$G$413</f>
        <v>OH</v>
      </c>
      <c r="I237" s="2051" t="str">
        <f>SNI!$M$413</f>
        <v>WNI</v>
      </c>
      <c r="J237" s="2051"/>
      <c r="K237" s="2052">
        <f>SNI!$L$413</f>
        <v>1</v>
      </c>
      <c r="L237" s="2053"/>
      <c r="M237" s="2054"/>
      <c r="N237" s="2055">
        <f>SNI!$I$413</f>
        <v>88300</v>
      </c>
      <c r="O237" s="2056"/>
      <c r="P237" s="1969">
        <f t="shared" ref="P237:P240" si="167">N237*G237</f>
        <v>618.10000000000014</v>
      </c>
      <c r="Q237" s="1953"/>
      <c r="R237" s="1954"/>
      <c r="S237" s="1954">
        <f t="shared" ref="S237:S240" si="168">P237*K237</f>
        <v>618.10000000000014</v>
      </c>
      <c r="T237" s="1969">
        <f t="shared" ref="T237:T240" si="169">P237-S237</f>
        <v>0</v>
      </c>
      <c r="U237" s="2060"/>
      <c r="Z237" s="1956"/>
      <c r="AA237" s="1956"/>
      <c r="AF237" s="1836"/>
      <c r="AG237" s="1836"/>
      <c r="AH237" s="1836"/>
      <c r="AI237" s="1837"/>
      <c r="AJ237" s="1960"/>
    </row>
    <row r="238" spans="1:36" ht="21.95" customHeight="1" x14ac:dyDescent="0.2">
      <c r="B238" s="2045"/>
      <c r="C238" s="2046"/>
      <c r="D238" s="2047" t="str">
        <f>SNI!$E$414</f>
        <v>Tukang Besi</v>
      </c>
      <c r="E238" s="2047"/>
      <c r="F238" s="2048"/>
      <c r="G238" s="2049">
        <f>SNI!$H$414/10</f>
        <v>7.000000000000001E-3</v>
      </c>
      <c r="H238" s="2050" t="str">
        <f>SNI!$G$414</f>
        <v>OH</v>
      </c>
      <c r="I238" s="2051" t="str">
        <f>SNI!$M$414</f>
        <v>WNI</v>
      </c>
      <c r="J238" s="2051"/>
      <c r="K238" s="2052">
        <f>SNI!$L$414</f>
        <v>1</v>
      </c>
      <c r="L238" s="2053"/>
      <c r="M238" s="2054"/>
      <c r="N238" s="2055">
        <f>SNI!$I$414</f>
        <v>90000</v>
      </c>
      <c r="O238" s="2056"/>
      <c r="P238" s="1969">
        <f t="shared" si="167"/>
        <v>630.00000000000011</v>
      </c>
      <c r="Q238" s="1953"/>
      <c r="R238" s="1954"/>
      <c r="S238" s="1954">
        <f t="shared" si="168"/>
        <v>630.00000000000011</v>
      </c>
      <c r="T238" s="1969">
        <f t="shared" si="169"/>
        <v>0</v>
      </c>
      <c r="U238" s="2060"/>
      <c r="Z238" s="1956"/>
      <c r="AA238" s="1956"/>
      <c r="AF238" s="1836"/>
      <c r="AG238" s="1836"/>
      <c r="AH238" s="1836"/>
      <c r="AI238" s="1837"/>
      <c r="AJ238" s="1960"/>
    </row>
    <row r="239" spans="1:36" ht="21.95" customHeight="1" x14ac:dyDescent="0.2">
      <c r="B239" s="2045"/>
      <c r="C239" s="2046"/>
      <c r="D239" s="2047" t="str">
        <f>SNI!$E$415</f>
        <v>Kepala Tukang</v>
      </c>
      <c r="E239" s="2047"/>
      <c r="F239" s="2048"/>
      <c r="G239" s="2049">
        <f>SNI!$H$415/10</f>
        <v>6.9999999999999999E-4</v>
      </c>
      <c r="H239" s="2050" t="str">
        <f>SNI!$G$415</f>
        <v>OH</v>
      </c>
      <c r="I239" s="2051" t="str">
        <f>SNI!$M$415</f>
        <v>WNI</v>
      </c>
      <c r="J239" s="2051"/>
      <c r="K239" s="2052">
        <f>SNI!$L$415</f>
        <v>1</v>
      </c>
      <c r="L239" s="2053"/>
      <c r="M239" s="2054"/>
      <c r="N239" s="2055">
        <f>SNI!$I$415</f>
        <v>96000</v>
      </c>
      <c r="O239" s="2056"/>
      <c r="P239" s="1969">
        <f t="shared" si="167"/>
        <v>67.2</v>
      </c>
      <c r="Q239" s="1953"/>
      <c r="R239" s="1954"/>
      <c r="S239" s="1954">
        <f t="shared" si="168"/>
        <v>67.2</v>
      </c>
      <c r="T239" s="1969">
        <f t="shared" si="169"/>
        <v>0</v>
      </c>
      <c r="U239" s="2060"/>
      <c r="Z239" s="1956"/>
      <c r="AA239" s="1956"/>
      <c r="AF239" s="1836"/>
      <c r="AG239" s="1836"/>
      <c r="AH239" s="1836"/>
      <c r="AI239" s="1837"/>
      <c r="AJ239" s="1960"/>
    </row>
    <row r="240" spans="1:36" ht="21.95" customHeight="1" x14ac:dyDescent="0.2">
      <c r="B240" s="2045"/>
      <c r="C240" s="2046"/>
      <c r="D240" s="2047" t="str">
        <f>SNI!$E$416</f>
        <v>Mandor</v>
      </c>
      <c r="E240" s="2047"/>
      <c r="F240" s="2048"/>
      <c r="G240" s="2049">
        <f>SNI!$H$416/10</f>
        <v>4.0000000000000002E-4</v>
      </c>
      <c r="H240" s="2050" t="str">
        <f>SNI!$G$416</f>
        <v>OH</v>
      </c>
      <c r="I240" s="2051" t="str">
        <f>SNI!$M$416</f>
        <v>WNI</v>
      </c>
      <c r="J240" s="2051"/>
      <c r="K240" s="2052">
        <f>SNI!$L$416</f>
        <v>1</v>
      </c>
      <c r="L240" s="2053"/>
      <c r="M240" s="2054"/>
      <c r="N240" s="2055">
        <f>SNI!$I$416</f>
        <v>90000</v>
      </c>
      <c r="O240" s="2056"/>
      <c r="P240" s="1969">
        <f t="shared" si="167"/>
        <v>36</v>
      </c>
      <c r="Q240" s="1953"/>
      <c r="R240" s="1954"/>
      <c r="S240" s="1954">
        <f t="shared" si="168"/>
        <v>36</v>
      </c>
      <c r="T240" s="1969">
        <f t="shared" si="169"/>
        <v>0</v>
      </c>
      <c r="U240" s="2060"/>
      <c r="Z240" s="1956"/>
      <c r="AA240" s="1956"/>
      <c r="AF240" s="1836"/>
      <c r="AG240" s="1836"/>
      <c r="AH240" s="1836"/>
      <c r="AI240" s="1837"/>
      <c r="AJ240" s="1960"/>
    </row>
    <row r="241" spans="1:36" s="1957" customFormat="1" ht="21.95" customHeight="1" x14ac:dyDescent="0.2">
      <c r="A241" s="1942"/>
      <c r="B241" s="1970"/>
      <c r="C241" s="1971"/>
      <c r="D241" s="1972"/>
      <c r="E241" s="1973"/>
      <c r="F241" s="1974" t="s">
        <v>556</v>
      </c>
      <c r="G241" s="1975">
        <f>B232</f>
        <v>9</v>
      </c>
      <c r="H241" s="1976"/>
      <c r="I241" s="1977"/>
      <c r="J241" s="1977"/>
      <c r="K241" s="1978"/>
      <c r="L241" s="1979"/>
      <c r="M241" s="1980"/>
      <c r="N241" s="1981"/>
      <c r="O241" s="1982"/>
      <c r="P241" s="1983">
        <f>SUM(P234:P240)</f>
        <v>13808.800000000001</v>
      </c>
      <c r="Q241" s="1984"/>
      <c r="R241" s="1985"/>
      <c r="S241" s="1983">
        <f t="shared" ref="S241" si="170">SUM(S234:S240)</f>
        <v>7242.6925000000001</v>
      </c>
      <c r="T241" s="1983">
        <f t="shared" ref="T241" si="171">SUM(T234:T240)</f>
        <v>6566.1075000000001</v>
      </c>
      <c r="U241" s="1986"/>
      <c r="V241" s="1848"/>
      <c r="W241" s="1848"/>
      <c r="X241" s="1848"/>
      <c r="Y241" s="1848"/>
      <c r="Z241" s="1956"/>
      <c r="AA241" s="1956"/>
      <c r="AF241" s="1958"/>
      <c r="AG241" s="1958"/>
      <c r="AH241" s="1958"/>
      <c r="AI241" s="1959"/>
      <c r="AJ241" s="1960"/>
    </row>
    <row r="242" spans="1:36" ht="21.95" customHeight="1" x14ac:dyDescent="0.2">
      <c r="A242" s="1833">
        <f>satpek!$B$43</f>
        <v>24</v>
      </c>
      <c r="B242" s="1943">
        <f>B232+1</f>
        <v>10</v>
      </c>
      <c r="C242" s="1937"/>
      <c r="D242" s="1944" t="str">
        <f>VLOOKUP($A242,satpek!$B$20:$N$144,2,0)</f>
        <v>Memasang bekisting untuk sloof (2 kali pakai)</v>
      </c>
      <c r="E242" s="1944"/>
      <c r="F242" s="2004"/>
      <c r="G242" s="1945">
        <f>'[3]B.VOL RAB'!Q81</f>
        <v>247.36000000000004</v>
      </c>
      <c r="H242" s="1946" t="str">
        <f>VLOOKUP($A242,satpek!$B$20:$N$144,7,0)</f>
        <v>m2</v>
      </c>
      <c r="I242" s="1947"/>
      <c r="J242" s="1947"/>
      <c r="K242" s="1948"/>
      <c r="L242" s="1949"/>
      <c r="M242" s="1950" t="str">
        <f>VLOOKUP($A242,satpek!$B$20:$N$144,5,0)</f>
        <v>A.4.1.1.21.</v>
      </c>
      <c r="N242" s="1951">
        <f>VLOOKUP($A242,satpek!$B$20:$N$144,6,0)</f>
        <v>118889.56</v>
      </c>
      <c r="O242" s="1938"/>
      <c r="P242" s="1952">
        <f t="shared" si="157"/>
        <v>29408521.559999999</v>
      </c>
      <c r="Q242" s="1953">
        <f>VLOOKUP($A242,satpek!$B$20:$L$138,8,0)</f>
        <v>0.94496825457172184</v>
      </c>
      <c r="R242" s="1954">
        <f>VLOOKUP($A242,satpek!$B$20:$L$138,9,0)</f>
        <v>99422</v>
      </c>
      <c r="S242" s="1954">
        <f>VLOOKUP($A242,satpek!$B$20:$L$138,10,0)</f>
        <v>112346.86</v>
      </c>
      <c r="T242" s="1952">
        <f>S242*G242</f>
        <v>27790119.289600004</v>
      </c>
      <c r="U242" s="1955"/>
      <c r="X242" s="1848">
        <f>P252</f>
        <v>105212</v>
      </c>
      <c r="Y242" s="1848">
        <f>S252</f>
        <v>99422</v>
      </c>
      <c r="Z242" s="1956">
        <v>247.36000000000004</v>
      </c>
      <c r="AA242" s="1956">
        <f>Z242-G242</f>
        <v>0</v>
      </c>
      <c r="AB242" s="1836" t="s">
        <v>1907</v>
      </c>
      <c r="AF242" s="1836"/>
      <c r="AG242" s="1836"/>
      <c r="AH242" s="1836"/>
      <c r="AI242" s="1837">
        <v>117156.14</v>
      </c>
      <c r="AJ242" s="1960">
        <f>AI242-N242</f>
        <v>-1733.4199999999983</v>
      </c>
    </row>
    <row r="243" spans="1:36" ht="21.95" customHeight="1" x14ac:dyDescent="0.2">
      <c r="B243" s="2045"/>
      <c r="C243" s="2046" t="str">
        <f>SNI!$D$452</f>
        <v>Bahan</v>
      </c>
      <c r="D243" s="2047"/>
      <c r="E243" s="2047"/>
      <c r="F243" s="2048"/>
      <c r="G243" s="2049"/>
      <c r="H243" s="2050"/>
      <c r="I243" s="2051"/>
      <c r="J243" s="2051"/>
      <c r="K243" s="2052"/>
      <c r="L243" s="2053"/>
      <c r="M243" s="2054"/>
      <c r="N243" s="2055"/>
      <c r="O243" s="2056"/>
      <c r="P243" s="2057"/>
      <c r="Q243" s="2058"/>
      <c r="R243" s="2059"/>
      <c r="S243" s="2059"/>
      <c r="T243" s="2055"/>
      <c r="U243" s="2060"/>
      <c r="Z243" s="1956"/>
      <c r="AA243" s="1956"/>
      <c r="AF243" s="1836"/>
      <c r="AG243" s="1836"/>
      <c r="AH243" s="1836"/>
      <c r="AI243" s="1837"/>
      <c r="AJ243" s="1960"/>
    </row>
    <row r="244" spans="1:36" ht="21.95" customHeight="1" x14ac:dyDescent="0.2">
      <c r="B244" s="2045"/>
      <c r="C244" s="2046"/>
      <c r="D244" s="2047" t="str">
        <f>SNI!$E$452</f>
        <v>Kayu kelas III</v>
      </c>
      <c r="E244" s="2047"/>
      <c r="F244" s="2048"/>
      <c r="G244" s="2049">
        <f>SNI!H452</f>
        <v>2.2499999999999999E-2</v>
      </c>
      <c r="H244" s="2050" t="str">
        <f>SNI!G452</f>
        <v>m3</v>
      </c>
      <c r="I244" s="2051"/>
      <c r="J244" s="2051"/>
      <c r="K244" s="2052">
        <f>SNI!$L$452</f>
        <v>1</v>
      </c>
      <c r="L244" s="2053"/>
      <c r="M244" s="2054"/>
      <c r="N244" s="2055">
        <f>SNI!$I$452</f>
        <v>1100000</v>
      </c>
      <c r="O244" s="2056"/>
      <c r="P244" s="1969">
        <f t="shared" ref="P244" si="172">N244*G244</f>
        <v>24750</v>
      </c>
      <c r="Q244" s="1953"/>
      <c r="R244" s="1954"/>
      <c r="S244" s="1954">
        <f t="shared" ref="S244" si="173">P244*K244</f>
        <v>24750</v>
      </c>
      <c r="T244" s="1969">
        <f t="shared" ref="T244" si="174">P244-S244</f>
        <v>0</v>
      </c>
      <c r="U244" s="2060"/>
      <c r="Z244" s="1956"/>
      <c r="AA244" s="1956"/>
      <c r="AF244" s="1836"/>
      <c r="AG244" s="1836"/>
      <c r="AH244" s="1836"/>
      <c r="AI244" s="1837"/>
      <c r="AJ244" s="1960"/>
    </row>
    <row r="245" spans="1:36" ht="21.95" customHeight="1" x14ac:dyDescent="0.2">
      <c r="B245" s="2045"/>
      <c r="C245" s="2046"/>
      <c r="D245" s="2047" t="str">
        <f>SNI!$E$453</f>
        <v>Paku 5 cm - 10 cm</v>
      </c>
      <c r="E245" s="2047"/>
      <c r="F245" s="2048"/>
      <c r="G245" s="2049">
        <f>SNI!$H$453</f>
        <v>0.3</v>
      </c>
      <c r="H245" s="2050" t="str">
        <f>SNI!$G$453</f>
        <v>kg</v>
      </c>
      <c r="I245" s="2051"/>
      <c r="J245" s="2051"/>
      <c r="K245" s="2052">
        <f>SNI!$L$453</f>
        <v>0</v>
      </c>
      <c r="L245" s="2053"/>
      <c r="M245" s="2054"/>
      <c r="N245" s="2055">
        <f>SNI!$I$453</f>
        <v>17000</v>
      </c>
      <c r="O245" s="2056"/>
      <c r="P245" s="1969">
        <f t="shared" ref="P245:P251" si="175">N245*G245</f>
        <v>5100</v>
      </c>
      <c r="Q245" s="1953"/>
      <c r="R245" s="1954"/>
      <c r="S245" s="1954">
        <f t="shared" ref="S245:S251" si="176">P245*K245</f>
        <v>0</v>
      </c>
      <c r="T245" s="1969">
        <f t="shared" ref="T245:T251" si="177">P245-S245</f>
        <v>5100</v>
      </c>
      <c r="U245" s="2060"/>
      <c r="Z245" s="1956"/>
      <c r="AA245" s="1956"/>
      <c r="AF245" s="1836"/>
      <c r="AG245" s="1836"/>
      <c r="AH245" s="1836"/>
      <c r="AI245" s="1837"/>
      <c r="AJ245" s="1960"/>
    </row>
    <row r="246" spans="1:36" ht="21.95" customHeight="1" x14ac:dyDescent="0.2">
      <c r="B246" s="2045"/>
      <c r="C246" s="2046"/>
      <c r="D246" s="2047" t="str">
        <f>SNI!$E$454</f>
        <v>Minyak Bekisting</v>
      </c>
      <c r="E246" s="2047"/>
      <c r="F246" s="2048"/>
      <c r="G246" s="2049">
        <f>SNI!H454</f>
        <v>0.1</v>
      </c>
      <c r="H246" s="2050" t="str">
        <f>SNI!$G$454</f>
        <v>ltr</v>
      </c>
      <c r="I246" s="2051"/>
      <c r="J246" s="2051"/>
      <c r="K246" s="2052">
        <f>SNI!$L$454</f>
        <v>0</v>
      </c>
      <c r="L246" s="2053"/>
      <c r="M246" s="2054"/>
      <c r="N246" s="2055">
        <f>SNI!$I$454</f>
        <v>6900</v>
      </c>
      <c r="O246" s="2056"/>
      <c r="P246" s="1969">
        <f t="shared" si="175"/>
        <v>690</v>
      </c>
      <c r="Q246" s="1953"/>
      <c r="R246" s="1954"/>
      <c r="S246" s="1954">
        <f t="shared" si="176"/>
        <v>0</v>
      </c>
      <c r="T246" s="1969">
        <f t="shared" si="177"/>
        <v>690</v>
      </c>
      <c r="U246" s="2060"/>
      <c r="Z246" s="1956"/>
      <c r="AA246" s="1956"/>
      <c r="AF246" s="1836"/>
      <c r="AG246" s="1836"/>
      <c r="AH246" s="1836"/>
      <c r="AI246" s="1837"/>
      <c r="AJ246" s="1960"/>
    </row>
    <row r="247" spans="1:36" ht="21.95" customHeight="1" x14ac:dyDescent="0.2">
      <c r="B247" s="2045"/>
      <c r="C247" s="2046" t="str">
        <f>SNI!$D$456</f>
        <v>Tenaga Kerja</v>
      </c>
      <c r="D247" s="2047"/>
      <c r="E247" s="2047"/>
      <c r="F247" s="2048"/>
      <c r="G247" s="2049"/>
      <c r="H247" s="2050"/>
      <c r="I247" s="2051"/>
      <c r="J247" s="2051"/>
      <c r="K247" s="2052"/>
      <c r="L247" s="2053"/>
      <c r="M247" s="2054"/>
      <c r="N247" s="2055"/>
      <c r="O247" s="2056"/>
      <c r="P247" s="1969"/>
      <c r="Q247" s="1953"/>
      <c r="R247" s="1954"/>
      <c r="S247" s="1954"/>
      <c r="T247" s="1969"/>
      <c r="U247" s="2060"/>
      <c r="Z247" s="1956"/>
      <c r="AA247" s="1956"/>
      <c r="AF247" s="1836"/>
      <c r="AG247" s="1836"/>
      <c r="AH247" s="1836"/>
      <c r="AI247" s="1837"/>
      <c r="AJ247" s="1960"/>
    </row>
    <row r="248" spans="1:36" ht="21.95" customHeight="1" x14ac:dyDescent="0.2">
      <c r="B248" s="2045"/>
      <c r="C248" s="2046"/>
      <c r="D248" s="2047" t="str">
        <f>SNI!$E$456</f>
        <v xml:space="preserve">Pekerja </v>
      </c>
      <c r="E248" s="2047"/>
      <c r="F248" s="2048"/>
      <c r="G248" s="2049">
        <f>SNI!$H$456</f>
        <v>0.52</v>
      </c>
      <c r="H248" s="2050" t="str">
        <f>SNI!$G$456</f>
        <v>OH</v>
      </c>
      <c r="I248" s="2051" t="str">
        <f>SNI!$M$456</f>
        <v>WNI</v>
      </c>
      <c r="J248" s="2051"/>
      <c r="K248" s="2052">
        <f>SNI!$L$456</f>
        <v>1</v>
      </c>
      <c r="L248" s="2053"/>
      <c r="M248" s="2054"/>
      <c r="N248" s="2055">
        <f>SNI!$I$456</f>
        <v>88300</v>
      </c>
      <c r="O248" s="2056"/>
      <c r="P248" s="1969">
        <f t="shared" si="175"/>
        <v>45916</v>
      </c>
      <c r="Q248" s="1953"/>
      <c r="R248" s="1954"/>
      <c r="S248" s="1954">
        <f t="shared" si="176"/>
        <v>45916</v>
      </c>
      <c r="T248" s="1969">
        <f t="shared" si="177"/>
        <v>0</v>
      </c>
      <c r="U248" s="2060"/>
      <c r="Z248" s="1956"/>
      <c r="AA248" s="1956"/>
      <c r="AF248" s="1836"/>
      <c r="AG248" s="1836"/>
      <c r="AH248" s="1836"/>
      <c r="AI248" s="1837"/>
      <c r="AJ248" s="1960"/>
    </row>
    <row r="249" spans="1:36" ht="21.95" customHeight="1" x14ac:dyDescent="0.2">
      <c r="B249" s="2045"/>
      <c r="C249" s="2046"/>
      <c r="D249" s="2047" t="str">
        <f>SNI!$E$457</f>
        <v>Tukang Kayu</v>
      </c>
      <c r="E249" s="2047"/>
      <c r="F249" s="2048"/>
      <c r="G249" s="2049">
        <f>SNI!$H$457</f>
        <v>0.26</v>
      </c>
      <c r="H249" s="2050" t="str">
        <f>SNI!$G$457</f>
        <v>OH</v>
      </c>
      <c r="I249" s="2051" t="str">
        <f>SNI!$M$457</f>
        <v>WNI</v>
      </c>
      <c r="J249" s="2051"/>
      <c r="K249" s="2052">
        <f>SNI!$L$457</f>
        <v>1</v>
      </c>
      <c r="L249" s="2053"/>
      <c r="M249" s="2054"/>
      <c r="N249" s="2055">
        <f>SNI!$I$457</f>
        <v>92000</v>
      </c>
      <c r="O249" s="2056"/>
      <c r="P249" s="1969">
        <f t="shared" si="175"/>
        <v>23920</v>
      </c>
      <c r="Q249" s="1953"/>
      <c r="R249" s="1954"/>
      <c r="S249" s="1954">
        <f t="shared" si="176"/>
        <v>23920</v>
      </c>
      <c r="T249" s="1969">
        <f t="shared" si="177"/>
        <v>0</v>
      </c>
      <c r="U249" s="2060"/>
      <c r="Z249" s="1956"/>
      <c r="AA249" s="1956"/>
      <c r="AF249" s="1836"/>
      <c r="AG249" s="1836"/>
      <c r="AH249" s="1836"/>
      <c r="AI249" s="1837"/>
      <c r="AJ249" s="1960"/>
    </row>
    <row r="250" spans="1:36" ht="21.95" customHeight="1" x14ac:dyDescent="0.2">
      <c r="B250" s="2045"/>
      <c r="C250" s="2046"/>
      <c r="D250" s="2047" t="str">
        <f>SNI!$E$458</f>
        <v>Kepala Tukang</v>
      </c>
      <c r="E250" s="2047"/>
      <c r="F250" s="2048"/>
      <c r="G250" s="2049">
        <f>SNI!$H$458</f>
        <v>2.5999999999999999E-2</v>
      </c>
      <c r="H250" s="2050" t="str">
        <f>SNI!$G$458</f>
        <v>OH</v>
      </c>
      <c r="I250" s="2051" t="str">
        <f>SNI!$M$458</f>
        <v>WNI</v>
      </c>
      <c r="J250" s="2051"/>
      <c r="K250" s="2052">
        <f>SNI!$L$458</f>
        <v>1</v>
      </c>
      <c r="L250" s="2053"/>
      <c r="M250" s="2054"/>
      <c r="N250" s="2055">
        <f>SNI!$I$458</f>
        <v>96000</v>
      </c>
      <c r="O250" s="2056"/>
      <c r="P250" s="1969">
        <f t="shared" si="175"/>
        <v>2496</v>
      </c>
      <c r="Q250" s="1953"/>
      <c r="R250" s="1954"/>
      <c r="S250" s="1954">
        <f t="shared" si="176"/>
        <v>2496</v>
      </c>
      <c r="T250" s="1969">
        <f t="shared" si="177"/>
        <v>0</v>
      </c>
      <c r="U250" s="2060"/>
      <c r="Z250" s="1956"/>
      <c r="AA250" s="1956"/>
      <c r="AF250" s="1836"/>
      <c r="AG250" s="1836"/>
      <c r="AH250" s="1836"/>
      <c r="AI250" s="1837"/>
      <c r="AJ250" s="1960"/>
    </row>
    <row r="251" spans="1:36" ht="21.95" customHeight="1" x14ac:dyDescent="0.2">
      <c r="B251" s="2045"/>
      <c r="C251" s="2046"/>
      <c r="D251" s="2047" t="str">
        <f>SNI!E459</f>
        <v>Mandor</v>
      </c>
      <c r="E251" s="2047"/>
      <c r="F251" s="2048"/>
      <c r="G251" s="2049">
        <f>SNI!$H$459</f>
        <v>2.5999999999999999E-2</v>
      </c>
      <c r="H251" s="2050" t="str">
        <f>SNI!$G$459</f>
        <v>OH</v>
      </c>
      <c r="I251" s="2051" t="str">
        <f>SNI!$M$459</f>
        <v>WNI</v>
      </c>
      <c r="J251" s="2051"/>
      <c r="K251" s="2052">
        <f>SNI!$L$459</f>
        <v>1</v>
      </c>
      <c r="L251" s="2053"/>
      <c r="M251" s="2054"/>
      <c r="N251" s="2055">
        <f>SNI!$I$459</f>
        <v>90000</v>
      </c>
      <c r="O251" s="2056"/>
      <c r="P251" s="1969">
        <f t="shared" si="175"/>
        <v>2340</v>
      </c>
      <c r="Q251" s="1953"/>
      <c r="R251" s="1954"/>
      <c r="S251" s="1954">
        <f t="shared" si="176"/>
        <v>2340</v>
      </c>
      <c r="T251" s="1969">
        <f t="shared" si="177"/>
        <v>0</v>
      </c>
      <c r="U251" s="2060"/>
      <c r="Z251" s="1956"/>
      <c r="AA251" s="1956"/>
      <c r="AF251" s="1836"/>
      <c r="AG251" s="1836"/>
      <c r="AH251" s="1836"/>
      <c r="AI251" s="1837"/>
      <c r="AJ251" s="1960"/>
    </row>
    <row r="252" spans="1:36" s="1957" customFormat="1" ht="21.95" customHeight="1" x14ac:dyDescent="0.2">
      <c r="A252" s="1942"/>
      <c r="B252" s="1970"/>
      <c r="C252" s="1971"/>
      <c r="D252" s="1972"/>
      <c r="E252" s="1973"/>
      <c r="F252" s="1974" t="s">
        <v>556</v>
      </c>
      <c r="G252" s="1975">
        <f>B242</f>
        <v>10</v>
      </c>
      <c r="H252" s="1976"/>
      <c r="I252" s="1977"/>
      <c r="J252" s="1977"/>
      <c r="K252" s="1978"/>
      <c r="L252" s="1979"/>
      <c r="M252" s="1980"/>
      <c r="N252" s="1981"/>
      <c r="O252" s="1982"/>
      <c r="P252" s="1983">
        <f>SUM(P244:P251)</f>
        <v>105212</v>
      </c>
      <c r="Q252" s="1984"/>
      <c r="R252" s="1985"/>
      <c r="S252" s="1983">
        <f t="shared" ref="S252:T252" si="178">SUM(S244:S251)</f>
        <v>99422</v>
      </c>
      <c r="T252" s="1983">
        <f t="shared" si="178"/>
        <v>5790</v>
      </c>
      <c r="U252" s="1986"/>
      <c r="V252" s="1848"/>
      <c r="W252" s="1848"/>
      <c r="X252" s="1848"/>
      <c r="Y252" s="1848"/>
      <c r="Z252" s="1956"/>
      <c r="AA252" s="1956"/>
      <c r="AF252" s="1958"/>
      <c r="AG252" s="1958"/>
      <c r="AH252" s="1958"/>
      <c r="AI252" s="1959"/>
      <c r="AJ252" s="1960"/>
    </row>
    <row r="253" spans="1:36" ht="21.95" customHeight="1" x14ac:dyDescent="0.2">
      <c r="B253" s="2102"/>
      <c r="C253" s="2103"/>
      <c r="D253" s="2081" t="s">
        <v>1776</v>
      </c>
      <c r="E253" s="1930"/>
      <c r="F253" s="1931"/>
      <c r="G253" s="1945"/>
      <c r="H253" s="1933"/>
      <c r="I253" s="1934"/>
      <c r="J253" s="1934"/>
      <c r="K253" s="1935"/>
      <c r="L253" s="1936"/>
      <c r="M253" s="1936"/>
      <c r="N253" s="1951"/>
      <c r="O253" s="2066"/>
      <c r="P253" s="2067"/>
      <c r="Q253" s="1934"/>
      <c r="R253" s="1934"/>
      <c r="S253" s="1934"/>
      <c r="T253" s="1940"/>
      <c r="U253" s="1941"/>
      <c r="Z253" s="1956"/>
      <c r="AA253" s="1956">
        <f>Z253-G253</f>
        <v>0</v>
      </c>
      <c r="AB253" s="1836" t="s">
        <v>1776</v>
      </c>
      <c r="AF253" s="1836"/>
      <c r="AG253" s="1836"/>
      <c r="AH253" s="1836"/>
      <c r="AI253" s="1837"/>
      <c r="AJ253" s="1960">
        <f>AI253-N253</f>
        <v>0</v>
      </c>
    </row>
    <row r="254" spans="1:36" ht="21.95" customHeight="1" x14ac:dyDescent="0.2">
      <c r="A254" s="1833">
        <f>satpek!$B$40</f>
        <v>21</v>
      </c>
      <c r="B254" s="1943">
        <f>B242+1</f>
        <v>11</v>
      </c>
      <c r="C254" s="1937"/>
      <c r="D254" s="1944" t="str">
        <f>VLOOKUP($A254,satpek!$B$20:$N$144,2,0)</f>
        <v>Membuat beton mutu f'c = 21,7 Mpa - K 250</v>
      </c>
      <c r="E254" s="1944"/>
      <c r="F254" s="2004"/>
      <c r="G254" s="1945">
        <f>'[3]B.VOL RAB'!Q85</f>
        <v>13.343999999999998</v>
      </c>
      <c r="H254" s="1946" t="str">
        <f>VLOOKUP($A254,satpek!$B$20:$N$144,7,0)</f>
        <v>m3</v>
      </c>
      <c r="I254" s="1947"/>
      <c r="J254" s="1947"/>
      <c r="K254" s="1948"/>
      <c r="L254" s="1949"/>
      <c r="M254" s="1950" t="str">
        <f>VLOOKUP($A254,satpek!$B$20:$N$144,5,0)</f>
        <v>A.4.1.1.8.</v>
      </c>
      <c r="N254" s="1951">
        <f>VLOOKUP($A254,satpek!$B$20:$N$144,6,0)</f>
        <v>1115753.29</v>
      </c>
      <c r="O254" s="1938"/>
      <c r="P254" s="1952">
        <f t="shared" ref="P254:P276" si="179">ROUND((G254*N254),2)</f>
        <v>14888611.9</v>
      </c>
      <c r="Q254" s="1953">
        <f>VLOOKUP($A254,satpek!$B$20:$L$138,8,0)</f>
        <v>0.93065078521121514</v>
      </c>
      <c r="R254" s="1954">
        <f>VLOOKUP($A254,satpek!$B$20:$L$138,9,0)</f>
        <v>918917.40999999992</v>
      </c>
      <c r="S254" s="1954">
        <f>VLOOKUP($A254,satpek!$B$20:$L$138,10,0)</f>
        <v>1038376.6732999999</v>
      </c>
      <c r="T254" s="1952">
        <f>S254*G254</f>
        <v>13856098.328515196</v>
      </c>
      <c r="U254" s="1955"/>
      <c r="X254" s="1848">
        <f>P265</f>
        <v>987392.28571428568</v>
      </c>
      <c r="Y254" s="1848">
        <f>S265</f>
        <v>918917.40571428579</v>
      </c>
      <c r="Z254" s="1956">
        <v>13.343999999999998</v>
      </c>
      <c r="AA254" s="1956">
        <f>Z254-G254</f>
        <v>0</v>
      </c>
      <c r="AB254" s="1836" t="s">
        <v>1905</v>
      </c>
      <c r="AF254" s="1836"/>
      <c r="AG254" s="1836"/>
      <c r="AH254" s="1836"/>
      <c r="AI254" s="1837">
        <v>1191397.42</v>
      </c>
      <c r="AJ254" s="1960">
        <f>AI254-N254</f>
        <v>75644.129999999888</v>
      </c>
    </row>
    <row r="255" spans="1:36" ht="21.95" customHeight="1" x14ac:dyDescent="0.2">
      <c r="B255" s="2045"/>
      <c r="C255" s="2046" t="str">
        <f>SNI!$D$389</f>
        <v>Bahan</v>
      </c>
      <c r="D255" s="2047"/>
      <c r="E255" s="2047"/>
      <c r="F255" s="2048"/>
      <c r="G255" s="2049"/>
      <c r="H255" s="2050"/>
      <c r="I255" s="2051"/>
      <c r="J255" s="2051"/>
      <c r="K255" s="2052"/>
      <c r="L255" s="2053"/>
      <c r="M255" s="2054"/>
      <c r="N255" s="2055"/>
      <c r="O255" s="2056"/>
      <c r="P255" s="2057"/>
      <c r="Q255" s="2058"/>
      <c r="R255" s="2059"/>
      <c r="S255" s="2059"/>
      <c r="T255" s="2057"/>
      <c r="U255" s="2060"/>
      <c r="Z255" s="1956"/>
      <c r="AA255" s="1956"/>
      <c r="AF255" s="1836"/>
      <c r="AG255" s="1836"/>
      <c r="AH255" s="1836"/>
      <c r="AI255" s="1837"/>
      <c r="AJ255" s="1960"/>
    </row>
    <row r="256" spans="1:36" ht="21.95" customHeight="1" x14ac:dyDescent="0.2">
      <c r="B256" s="2045"/>
      <c r="C256" s="2046"/>
      <c r="D256" s="2047" t="str">
        <f>SNI!$E$389</f>
        <v>PC</v>
      </c>
      <c r="E256" s="2047"/>
      <c r="F256" s="2048"/>
      <c r="G256" s="2049">
        <f>SNI!$H$389</f>
        <v>384</v>
      </c>
      <c r="H256" s="2050" t="str">
        <f>SNI!$G$389</f>
        <v>kg</v>
      </c>
      <c r="I256" s="2051"/>
      <c r="J256" s="2051"/>
      <c r="K256" s="2052">
        <f>SNI!$L$389</f>
        <v>0.85140000000000005</v>
      </c>
      <c r="L256" s="2053"/>
      <c r="M256" s="2054"/>
      <c r="N256" s="2055">
        <f>SNI!$I$389</f>
        <v>1200</v>
      </c>
      <c r="O256" s="2056"/>
      <c r="P256" s="1969">
        <f t="shared" ref="P256:P259" si="180">N256*G256</f>
        <v>460800</v>
      </c>
      <c r="Q256" s="1953"/>
      <c r="R256" s="1954"/>
      <c r="S256" s="1954">
        <f t="shared" ref="S256:S259" si="181">P256*K256</f>
        <v>392325.12</v>
      </c>
      <c r="T256" s="1969">
        <f t="shared" ref="T256:T259" si="182">P256-S256</f>
        <v>68474.880000000005</v>
      </c>
      <c r="U256" s="2060"/>
      <c r="Z256" s="1956"/>
      <c r="AA256" s="1956"/>
      <c r="AF256" s="1836"/>
      <c r="AG256" s="1836"/>
      <c r="AH256" s="1836"/>
      <c r="AI256" s="1837"/>
      <c r="AJ256" s="1960"/>
    </row>
    <row r="257" spans="1:36" ht="21.95" customHeight="1" x14ac:dyDescent="0.2">
      <c r="B257" s="2045"/>
      <c r="C257" s="2046"/>
      <c r="D257" s="2047" t="str">
        <f>SNI!$E$390</f>
        <v>Pasir Beton</v>
      </c>
      <c r="E257" s="2047"/>
      <c r="F257" s="2048"/>
      <c r="G257" s="2049">
        <f>SNI!$H$390</f>
        <v>692</v>
      </c>
      <c r="H257" s="2050" t="str">
        <f>SNI!$G$390</f>
        <v>kg</v>
      </c>
      <c r="I257" s="2051"/>
      <c r="J257" s="2051"/>
      <c r="K257" s="2052">
        <f>SNI!$L$390</f>
        <v>1</v>
      </c>
      <c r="L257" s="2053"/>
      <c r="M257" s="2054"/>
      <c r="N257" s="2055">
        <f>SNI!$I$390</f>
        <v>185.71428571428572</v>
      </c>
      <c r="O257" s="2056"/>
      <c r="P257" s="1969">
        <f t="shared" si="180"/>
        <v>128514.28571428572</v>
      </c>
      <c r="Q257" s="1953"/>
      <c r="R257" s="1954"/>
      <c r="S257" s="1954">
        <f t="shared" si="181"/>
        <v>128514.28571428572</v>
      </c>
      <c r="T257" s="1969">
        <f t="shared" si="182"/>
        <v>0</v>
      </c>
      <c r="U257" s="2060"/>
      <c r="Z257" s="1956"/>
      <c r="AA257" s="1956"/>
      <c r="AF257" s="1836"/>
      <c r="AG257" s="1836"/>
      <c r="AH257" s="1836"/>
      <c r="AI257" s="1837"/>
      <c r="AJ257" s="1960"/>
    </row>
    <row r="258" spans="1:36" ht="21.95" customHeight="1" x14ac:dyDescent="0.2">
      <c r="B258" s="2045"/>
      <c r="C258" s="2046"/>
      <c r="D258" s="2047" t="str">
        <f>SNI!$E$391</f>
        <v>Kerikil ( maks 30 mm )</v>
      </c>
      <c r="E258" s="2047"/>
      <c r="F258" s="2048"/>
      <c r="G258" s="2049">
        <f>SNI!$H$391</f>
        <v>1039</v>
      </c>
      <c r="H258" s="2050" t="str">
        <f>SNI!$G$391</f>
        <v>kg</v>
      </c>
      <c r="I258" s="2051"/>
      <c r="J258" s="2051"/>
      <c r="K258" s="2052">
        <f>SNI!$L$391</f>
        <v>1</v>
      </c>
      <c r="L258" s="2053"/>
      <c r="M258" s="2054"/>
      <c r="N258" s="2055">
        <f>SNI!$I$391</f>
        <v>200</v>
      </c>
      <c r="O258" s="2056"/>
      <c r="P258" s="1969">
        <f t="shared" si="180"/>
        <v>207800</v>
      </c>
      <c r="Q258" s="1953"/>
      <c r="R258" s="1954"/>
      <c r="S258" s="1954">
        <f t="shared" si="181"/>
        <v>207800</v>
      </c>
      <c r="T258" s="1969">
        <f t="shared" si="182"/>
        <v>0</v>
      </c>
      <c r="U258" s="2060"/>
      <c r="Z258" s="1956"/>
      <c r="AA258" s="1956"/>
      <c r="AF258" s="1836"/>
      <c r="AG258" s="1836"/>
      <c r="AH258" s="1836"/>
      <c r="AI258" s="1837"/>
      <c r="AJ258" s="1960"/>
    </row>
    <row r="259" spans="1:36" ht="21.95" customHeight="1" x14ac:dyDescent="0.2">
      <c r="B259" s="2045"/>
      <c r="C259" s="2046"/>
      <c r="D259" s="2047" t="str">
        <f>SNI!$E$392</f>
        <v>Air</v>
      </c>
      <c r="E259" s="2047"/>
      <c r="F259" s="2048"/>
      <c r="G259" s="2049">
        <f>SNI!$H$392</f>
        <v>215</v>
      </c>
      <c r="H259" s="2050" t="str">
        <f>SNI!$G$392</f>
        <v>ltr</v>
      </c>
      <c r="I259" s="2051"/>
      <c r="J259" s="2051"/>
      <c r="K259" s="2052">
        <f>SNI!$L$392</f>
        <v>1</v>
      </c>
      <c r="L259" s="2053"/>
      <c r="M259" s="2054"/>
      <c r="N259" s="2055">
        <f>SNI!$I$392</f>
        <v>45</v>
      </c>
      <c r="O259" s="2056"/>
      <c r="P259" s="1969">
        <f t="shared" si="180"/>
        <v>9675</v>
      </c>
      <c r="Q259" s="1953"/>
      <c r="R259" s="1954"/>
      <c r="S259" s="1954">
        <f t="shared" si="181"/>
        <v>9675</v>
      </c>
      <c r="T259" s="1969">
        <f t="shared" si="182"/>
        <v>0</v>
      </c>
      <c r="U259" s="2060"/>
      <c r="Z259" s="1956"/>
      <c r="AA259" s="1956"/>
      <c r="AF259" s="1836"/>
      <c r="AG259" s="1836"/>
      <c r="AH259" s="1836"/>
      <c r="AI259" s="1837"/>
      <c r="AJ259" s="1960"/>
    </row>
    <row r="260" spans="1:36" ht="21.95" customHeight="1" x14ac:dyDescent="0.2">
      <c r="B260" s="2045"/>
      <c r="C260" s="2046" t="str">
        <f>SNI!$D$394</f>
        <v>Tenaga Kerja</v>
      </c>
      <c r="D260" s="2047"/>
      <c r="E260" s="2047"/>
      <c r="F260" s="2048"/>
      <c r="G260" s="2049"/>
      <c r="H260" s="2050"/>
      <c r="I260" s="2051"/>
      <c r="J260" s="2051"/>
      <c r="K260" s="2052"/>
      <c r="L260" s="2053"/>
      <c r="M260" s="2054"/>
      <c r="N260" s="2055"/>
      <c r="O260" s="2056"/>
      <c r="P260" s="1969"/>
      <c r="Q260" s="1953"/>
      <c r="R260" s="1954"/>
      <c r="S260" s="1954"/>
      <c r="T260" s="1969"/>
      <c r="U260" s="2060"/>
      <c r="Z260" s="1956"/>
      <c r="AA260" s="1956"/>
      <c r="AF260" s="1836"/>
      <c r="AG260" s="1836"/>
      <c r="AH260" s="1836"/>
      <c r="AI260" s="1837"/>
      <c r="AJ260" s="1960"/>
    </row>
    <row r="261" spans="1:36" ht="21.95" customHeight="1" x14ac:dyDescent="0.2">
      <c r="B261" s="2045"/>
      <c r="C261" s="2046"/>
      <c r="D261" s="2047" t="str">
        <f>SNI!$E$394</f>
        <v xml:space="preserve">Pekerja </v>
      </c>
      <c r="E261" s="2047"/>
      <c r="F261" s="2048"/>
      <c r="G261" s="2049">
        <f>SNI!$H$394</f>
        <v>1.65</v>
      </c>
      <c r="H261" s="2050" t="str">
        <f>SNI!$G$394</f>
        <v>OH</v>
      </c>
      <c r="I261" s="2051" t="str">
        <f>SNI!$M$394</f>
        <v>WNI</v>
      </c>
      <c r="J261" s="2051"/>
      <c r="K261" s="2052">
        <f>SNI!$L$394</f>
        <v>1</v>
      </c>
      <c r="L261" s="2053"/>
      <c r="M261" s="2054"/>
      <c r="N261" s="2055">
        <f>SNI!$I$394</f>
        <v>88300</v>
      </c>
      <c r="O261" s="2056"/>
      <c r="P261" s="1969">
        <f t="shared" ref="P261:P264" si="183">N261*G261</f>
        <v>145695</v>
      </c>
      <c r="Q261" s="1953"/>
      <c r="R261" s="1954"/>
      <c r="S261" s="1954">
        <f t="shared" ref="S261:S264" si="184">P261*K261</f>
        <v>145695</v>
      </c>
      <c r="T261" s="1969">
        <f t="shared" ref="T261:T264" si="185">P261-S261</f>
        <v>0</v>
      </c>
      <c r="U261" s="2060"/>
      <c r="Z261" s="1956"/>
      <c r="AA261" s="1956"/>
      <c r="AF261" s="1836"/>
      <c r="AG261" s="1836"/>
      <c r="AH261" s="1836"/>
      <c r="AI261" s="1837"/>
      <c r="AJ261" s="1960"/>
    </row>
    <row r="262" spans="1:36" ht="21.95" customHeight="1" x14ac:dyDescent="0.2">
      <c r="B262" s="2045"/>
      <c r="C262" s="2046"/>
      <c r="D262" s="2047" t="str">
        <f>SNI!$E$395</f>
        <v>Tukang Batu</v>
      </c>
      <c r="E262" s="2047"/>
      <c r="F262" s="2048"/>
      <c r="G262" s="2049">
        <f>SNI!$H$395</f>
        <v>0.27500000000000002</v>
      </c>
      <c r="H262" s="2050" t="str">
        <f>SNI!$G$395</f>
        <v>OH</v>
      </c>
      <c r="I262" s="2051" t="str">
        <f>SNI!$M$395</f>
        <v>WNI</v>
      </c>
      <c r="J262" s="2051"/>
      <c r="K262" s="2052">
        <f>SNI!$L$395</f>
        <v>1</v>
      </c>
      <c r="L262" s="2053"/>
      <c r="M262" s="2054"/>
      <c r="N262" s="2055">
        <f>SNI!$I$395</f>
        <v>90000</v>
      </c>
      <c r="O262" s="2056"/>
      <c r="P262" s="1969">
        <f t="shared" si="183"/>
        <v>24750.000000000004</v>
      </c>
      <c r="Q262" s="1953"/>
      <c r="R262" s="1954"/>
      <c r="S262" s="1954">
        <f t="shared" si="184"/>
        <v>24750.000000000004</v>
      </c>
      <c r="T262" s="1969">
        <f t="shared" si="185"/>
        <v>0</v>
      </c>
      <c r="U262" s="2060"/>
      <c r="Z262" s="1956"/>
      <c r="AA262" s="1956"/>
      <c r="AF262" s="1836"/>
      <c r="AG262" s="1836"/>
      <c r="AH262" s="1836"/>
      <c r="AI262" s="1837"/>
      <c r="AJ262" s="1960"/>
    </row>
    <row r="263" spans="1:36" ht="21.95" customHeight="1" x14ac:dyDescent="0.2">
      <c r="B263" s="2045"/>
      <c r="C263" s="2046"/>
      <c r="D263" s="2047" t="str">
        <f>SNI!$E$396</f>
        <v>Kepala Tukang</v>
      </c>
      <c r="E263" s="2047"/>
      <c r="F263" s="2048"/>
      <c r="G263" s="2049">
        <f>SNI!$H$396</f>
        <v>2.8000000000000001E-2</v>
      </c>
      <c r="H263" s="2050" t="str">
        <f>SNI!$G$396</f>
        <v>OH</v>
      </c>
      <c r="I263" s="2051" t="str">
        <f>SNI!$M$396</f>
        <v>WNI</v>
      </c>
      <c r="J263" s="2051"/>
      <c r="K263" s="2052">
        <f>SNI!$L$396</f>
        <v>1</v>
      </c>
      <c r="L263" s="2053"/>
      <c r="M263" s="2054"/>
      <c r="N263" s="2055">
        <f>SNI!$I$396</f>
        <v>96000</v>
      </c>
      <c r="O263" s="2056"/>
      <c r="P263" s="1969">
        <f t="shared" si="183"/>
        <v>2688</v>
      </c>
      <c r="Q263" s="1953"/>
      <c r="R263" s="1954"/>
      <c r="S263" s="1954">
        <f t="shared" si="184"/>
        <v>2688</v>
      </c>
      <c r="T263" s="1969">
        <f t="shared" si="185"/>
        <v>0</v>
      </c>
      <c r="U263" s="2060"/>
      <c r="Z263" s="1956"/>
      <c r="AA263" s="1956"/>
      <c r="AF263" s="1836"/>
      <c r="AG263" s="1836"/>
      <c r="AH263" s="1836"/>
      <c r="AI263" s="1837"/>
      <c r="AJ263" s="1960"/>
    </row>
    <row r="264" spans="1:36" ht="21.95" customHeight="1" x14ac:dyDescent="0.2">
      <c r="B264" s="2045"/>
      <c r="C264" s="2046"/>
      <c r="D264" s="2047" t="str">
        <f>SNI!$E$397</f>
        <v>Mandor</v>
      </c>
      <c r="E264" s="2047"/>
      <c r="F264" s="2048"/>
      <c r="G264" s="2049">
        <f>SNI!$H$397</f>
        <v>8.3000000000000004E-2</v>
      </c>
      <c r="H264" s="2050" t="str">
        <f>SNI!$G$397</f>
        <v>OH</v>
      </c>
      <c r="I264" s="2051" t="str">
        <f>SNI!$M$397</f>
        <v>WNI</v>
      </c>
      <c r="J264" s="2051"/>
      <c r="K264" s="2052">
        <f>SNI!$L$397</f>
        <v>1</v>
      </c>
      <c r="L264" s="2053"/>
      <c r="M264" s="2054"/>
      <c r="N264" s="2055">
        <f>SNI!$I$397</f>
        <v>90000</v>
      </c>
      <c r="O264" s="2056"/>
      <c r="P264" s="1969">
        <f t="shared" si="183"/>
        <v>7470</v>
      </c>
      <c r="Q264" s="1953"/>
      <c r="R264" s="1954"/>
      <c r="S264" s="1954">
        <f t="shared" si="184"/>
        <v>7470</v>
      </c>
      <c r="T264" s="1969">
        <f t="shared" si="185"/>
        <v>0</v>
      </c>
      <c r="U264" s="2060"/>
      <c r="Z264" s="1956"/>
      <c r="AA264" s="1956"/>
      <c r="AF264" s="1836"/>
      <c r="AG264" s="1836"/>
      <c r="AH264" s="1836"/>
      <c r="AI264" s="1837"/>
      <c r="AJ264" s="1960"/>
    </row>
    <row r="265" spans="1:36" s="1957" customFormat="1" ht="21.95" customHeight="1" x14ac:dyDescent="0.2">
      <c r="A265" s="1942"/>
      <c r="B265" s="1970"/>
      <c r="C265" s="1971"/>
      <c r="D265" s="1972"/>
      <c r="E265" s="1973"/>
      <c r="F265" s="1974" t="s">
        <v>556</v>
      </c>
      <c r="G265" s="1975">
        <f>B254</f>
        <v>11</v>
      </c>
      <c r="H265" s="1976"/>
      <c r="I265" s="1977"/>
      <c r="J265" s="1977"/>
      <c r="K265" s="1978"/>
      <c r="L265" s="1979"/>
      <c r="M265" s="1980"/>
      <c r="N265" s="1981"/>
      <c r="O265" s="1982"/>
      <c r="P265" s="1983">
        <f>SUM(P256:P264)</f>
        <v>987392.28571428568</v>
      </c>
      <c r="Q265" s="1984"/>
      <c r="R265" s="1985"/>
      <c r="S265" s="1983">
        <f>SUM(S256:S264)</f>
        <v>918917.40571428579</v>
      </c>
      <c r="T265" s="1983">
        <f>SUM(T256:T264)</f>
        <v>68474.880000000005</v>
      </c>
      <c r="U265" s="1986"/>
      <c r="V265" s="1848"/>
      <c r="W265" s="1848"/>
      <c r="X265" s="1848"/>
      <c r="Y265" s="1848"/>
      <c r="Z265" s="1956"/>
      <c r="AA265" s="1956"/>
      <c r="AF265" s="1958"/>
      <c r="AG265" s="1958"/>
      <c r="AH265" s="1958"/>
      <c r="AI265" s="1959"/>
      <c r="AJ265" s="1960"/>
    </row>
    <row r="266" spans="1:36" ht="21.95" customHeight="1" x14ac:dyDescent="0.2">
      <c r="A266" s="1833">
        <f>satpek!$B$41</f>
        <v>22</v>
      </c>
      <c r="B266" s="1943">
        <f>B254+1</f>
        <v>12</v>
      </c>
      <c r="C266" s="1937"/>
      <c r="D266" s="1944" t="str">
        <f>VLOOKUP($A266,satpek!$B$20:$N$144,2,0)</f>
        <v>Pembesian 1 kg dengan besi polos atau besi ulir</v>
      </c>
      <c r="E266" s="1944"/>
      <c r="F266" s="2004"/>
      <c r="G266" s="1945">
        <f>'[3]B.VOL RAB'!Q87</f>
        <v>2070.8000451047028</v>
      </c>
      <c r="H266" s="1946" t="str">
        <f>VLOOKUP($A266,satpek!$B$20:$N$144,7,0)</f>
        <v>kg</v>
      </c>
      <c r="I266" s="1947"/>
      <c r="J266" s="1947"/>
      <c r="K266" s="1948"/>
      <c r="L266" s="1949"/>
      <c r="M266" s="1950" t="str">
        <f>VLOOKUP($A266,satpek!$B$20:$N$144,5,0)</f>
        <v>A.4.1.1.17.</v>
      </c>
      <c r="N266" s="1951">
        <f>VLOOKUP($A266,satpek!$B$20:$N$144,6,0)</f>
        <v>15603.94</v>
      </c>
      <c r="O266" s="1938"/>
      <c r="P266" s="1952">
        <f t="shared" si="179"/>
        <v>32312639.66</v>
      </c>
      <c r="Q266" s="1953">
        <f>VLOOKUP($A266,satpek!$B$20:$L$138,8,0)</f>
        <v>0.46415793062521393</v>
      </c>
      <c r="R266" s="1954">
        <f>VLOOKUP($A266,satpek!$B$20:$L$138,9,0)</f>
        <v>7242.692500000001</v>
      </c>
      <c r="S266" s="1954">
        <f>VLOOKUP($A266,satpek!$B$20:$L$138,10,0)</f>
        <v>8184.2425250000015</v>
      </c>
      <c r="T266" s="1952">
        <f>S266*G266</f>
        <v>16947929.78991783</v>
      </c>
      <c r="U266" s="1955"/>
      <c r="X266" s="1848">
        <f>P275</f>
        <v>13808.800000000001</v>
      </c>
      <c r="Y266" s="1848">
        <f>S275</f>
        <v>7242.6925000000001</v>
      </c>
      <c r="Z266" s="1956">
        <v>2070.8000451047028</v>
      </c>
      <c r="AA266" s="1956">
        <f>Z266-G266</f>
        <v>0</v>
      </c>
      <c r="AB266" s="1836" t="s">
        <v>420</v>
      </c>
      <c r="AF266" s="1836"/>
      <c r="AG266" s="1836"/>
      <c r="AH266" s="1836"/>
      <c r="AI266" s="1837">
        <v>15438.06</v>
      </c>
      <c r="AJ266" s="1960">
        <f>AI266-N266</f>
        <v>-165.88000000000102</v>
      </c>
    </row>
    <row r="267" spans="1:36" ht="21.95" customHeight="1" x14ac:dyDescent="0.2">
      <c r="B267" s="2045"/>
      <c r="C267" s="2046" t="str">
        <f>SNI!$D$410</f>
        <v>Bahan</v>
      </c>
      <c r="D267" s="2047"/>
      <c r="E267" s="2047"/>
      <c r="F267" s="2048"/>
      <c r="G267" s="2049"/>
      <c r="H267" s="2050"/>
      <c r="I267" s="2051"/>
      <c r="J267" s="2051"/>
      <c r="K267" s="2052"/>
      <c r="L267" s="2053"/>
      <c r="M267" s="2054"/>
      <c r="N267" s="2055"/>
      <c r="O267" s="2056"/>
      <c r="P267" s="2057"/>
      <c r="Q267" s="2058"/>
      <c r="R267" s="2059"/>
      <c r="S267" s="2059"/>
      <c r="T267" s="2057"/>
      <c r="U267" s="2060"/>
      <c r="Z267" s="1956"/>
      <c r="AA267" s="1956"/>
      <c r="AF267" s="1836"/>
      <c r="AG267" s="1836"/>
      <c r="AH267" s="1836"/>
      <c r="AI267" s="1837"/>
      <c r="AJ267" s="1960"/>
    </row>
    <row r="268" spans="1:36" ht="21.95" customHeight="1" x14ac:dyDescent="0.2">
      <c r="B268" s="2045"/>
      <c r="C268" s="2046"/>
      <c r="D268" s="2047" t="str">
        <f>SNI!$E$410</f>
        <v>Besi Beton ( polos/ulir )</v>
      </c>
      <c r="E268" s="2047"/>
      <c r="F268" s="2048"/>
      <c r="G268" s="2049">
        <f>SNI!$H$410/10</f>
        <v>1.05</v>
      </c>
      <c r="H268" s="2050" t="str">
        <f>SNI!$G$410</f>
        <v>kg</v>
      </c>
      <c r="I268" s="2051"/>
      <c r="J268" s="2051"/>
      <c r="K268" s="2052">
        <f>SNI!$L$410</f>
        <v>0.4879</v>
      </c>
      <c r="L268" s="2053"/>
      <c r="M268" s="2054"/>
      <c r="N268" s="2055">
        <f>SNI!$I$410</f>
        <v>11500</v>
      </c>
      <c r="O268" s="2056"/>
      <c r="P268" s="1969">
        <f t="shared" ref="P268:P269" si="186">N268*G268</f>
        <v>12075</v>
      </c>
      <c r="Q268" s="1953"/>
      <c r="R268" s="1954"/>
      <c r="S268" s="1954">
        <f t="shared" ref="S268:S269" si="187">P268*K268</f>
        <v>5891.3924999999999</v>
      </c>
      <c r="T268" s="1969">
        <f t="shared" ref="T268:T269" si="188">P268-S268</f>
        <v>6183.6075000000001</v>
      </c>
      <c r="U268" s="2060"/>
      <c r="Z268" s="1956"/>
      <c r="AA268" s="1956"/>
      <c r="AF268" s="1836"/>
      <c r="AG268" s="1836"/>
      <c r="AH268" s="1836"/>
      <c r="AI268" s="1837"/>
      <c r="AJ268" s="1960"/>
    </row>
    <row r="269" spans="1:36" ht="21.95" customHeight="1" x14ac:dyDescent="0.2">
      <c r="B269" s="2045"/>
      <c r="C269" s="2046"/>
      <c r="D269" s="2047" t="str">
        <f>SNI!$E$411</f>
        <v>Kawat Beton</v>
      </c>
      <c r="E269" s="2047"/>
      <c r="F269" s="2048"/>
      <c r="G269" s="2049">
        <f>SNI!$H$411/10</f>
        <v>1.4999999999999999E-2</v>
      </c>
      <c r="H269" s="2050">
        <f>SNI!G480</f>
        <v>0</v>
      </c>
      <c r="I269" s="2051"/>
      <c r="J269" s="2051"/>
      <c r="K269" s="2052">
        <f>SNI!$L$411</f>
        <v>0</v>
      </c>
      <c r="L269" s="2053"/>
      <c r="M269" s="2054"/>
      <c r="N269" s="2055">
        <f>SNI!$I$411</f>
        <v>25500</v>
      </c>
      <c r="O269" s="2056"/>
      <c r="P269" s="1969">
        <f t="shared" si="186"/>
        <v>382.5</v>
      </c>
      <c r="Q269" s="1953"/>
      <c r="R269" s="1954"/>
      <c r="S269" s="1954">
        <f t="shared" si="187"/>
        <v>0</v>
      </c>
      <c r="T269" s="1969">
        <f t="shared" si="188"/>
        <v>382.5</v>
      </c>
      <c r="U269" s="2060"/>
      <c r="Z269" s="1956"/>
      <c r="AA269" s="1956"/>
      <c r="AF269" s="1836"/>
      <c r="AG269" s="1836"/>
      <c r="AH269" s="1836"/>
      <c r="AI269" s="1837"/>
      <c r="AJ269" s="1960"/>
    </row>
    <row r="270" spans="1:36" ht="21.95" customHeight="1" x14ac:dyDescent="0.2">
      <c r="B270" s="2045"/>
      <c r="C270" s="2046" t="str">
        <f>SNI!$D$413</f>
        <v>Tenaga Kerja</v>
      </c>
      <c r="D270" s="2047"/>
      <c r="E270" s="2047"/>
      <c r="F270" s="2048"/>
      <c r="G270" s="2049"/>
      <c r="H270" s="2050"/>
      <c r="I270" s="2051"/>
      <c r="J270" s="2051"/>
      <c r="K270" s="2052"/>
      <c r="L270" s="2053"/>
      <c r="M270" s="2054"/>
      <c r="N270" s="2055"/>
      <c r="O270" s="2056"/>
      <c r="P270" s="1969"/>
      <c r="Q270" s="1953"/>
      <c r="R270" s="1954"/>
      <c r="S270" s="1954"/>
      <c r="T270" s="1969"/>
      <c r="U270" s="2060"/>
      <c r="Z270" s="1956"/>
      <c r="AA270" s="1956"/>
      <c r="AF270" s="1836"/>
      <c r="AG270" s="1836"/>
      <c r="AH270" s="1836"/>
      <c r="AI270" s="1837"/>
      <c r="AJ270" s="1960"/>
    </row>
    <row r="271" spans="1:36" ht="21.95" customHeight="1" x14ac:dyDescent="0.2">
      <c r="B271" s="2045"/>
      <c r="C271" s="2046"/>
      <c r="D271" s="2047" t="str">
        <f>SNI!$E$413</f>
        <v xml:space="preserve">Pekerja </v>
      </c>
      <c r="E271" s="2047"/>
      <c r="F271" s="2048"/>
      <c r="G271" s="2049">
        <f>SNI!$H$413/10</f>
        <v>7.000000000000001E-3</v>
      </c>
      <c r="H271" s="2050" t="str">
        <f>SNI!$G$413</f>
        <v>OH</v>
      </c>
      <c r="I271" s="2051" t="str">
        <f>SNI!$M$413</f>
        <v>WNI</v>
      </c>
      <c r="J271" s="2051"/>
      <c r="K271" s="2052">
        <f>SNI!$L$413</f>
        <v>1</v>
      </c>
      <c r="L271" s="2053"/>
      <c r="M271" s="2054"/>
      <c r="N271" s="2055">
        <f>SNI!$I$413</f>
        <v>88300</v>
      </c>
      <c r="O271" s="2056"/>
      <c r="P271" s="1969">
        <f t="shared" ref="P271:P274" si="189">N271*G271</f>
        <v>618.10000000000014</v>
      </c>
      <c r="Q271" s="1953"/>
      <c r="R271" s="1954"/>
      <c r="S271" s="1954">
        <f t="shared" ref="S271:S274" si="190">P271*K271</f>
        <v>618.10000000000014</v>
      </c>
      <c r="T271" s="1969">
        <f t="shared" ref="T271:T274" si="191">P271-S271</f>
        <v>0</v>
      </c>
      <c r="U271" s="2060"/>
      <c r="Z271" s="1956"/>
      <c r="AA271" s="1956"/>
      <c r="AF271" s="1836"/>
      <c r="AG271" s="1836"/>
      <c r="AH271" s="1836"/>
      <c r="AI271" s="1837"/>
      <c r="AJ271" s="1960"/>
    </row>
    <row r="272" spans="1:36" ht="21.95" customHeight="1" x14ac:dyDescent="0.2">
      <c r="B272" s="2045"/>
      <c r="C272" s="2046"/>
      <c r="D272" s="2047" t="str">
        <f>SNI!$E$414</f>
        <v>Tukang Besi</v>
      </c>
      <c r="E272" s="2047"/>
      <c r="F272" s="2048"/>
      <c r="G272" s="2049">
        <f>SNI!$H$414/10</f>
        <v>7.000000000000001E-3</v>
      </c>
      <c r="H272" s="2050" t="str">
        <f>SNI!$G$414</f>
        <v>OH</v>
      </c>
      <c r="I272" s="2051" t="str">
        <f>SNI!$M$414</f>
        <v>WNI</v>
      </c>
      <c r="J272" s="2051"/>
      <c r="K272" s="2052">
        <f>SNI!$L$414</f>
        <v>1</v>
      </c>
      <c r="L272" s="2053"/>
      <c r="M272" s="2054"/>
      <c r="N272" s="2055">
        <f>SNI!$I$414</f>
        <v>90000</v>
      </c>
      <c r="O272" s="2056"/>
      <c r="P272" s="1969">
        <f t="shared" si="189"/>
        <v>630.00000000000011</v>
      </c>
      <c r="Q272" s="1953"/>
      <c r="R272" s="1954"/>
      <c r="S272" s="1954">
        <f t="shared" si="190"/>
        <v>630.00000000000011</v>
      </c>
      <c r="T272" s="1969">
        <f t="shared" si="191"/>
        <v>0</v>
      </c>
      <c r="U272" s="2060"/>
      <c r="Z272" s="1956"/>
      <c r="AA272" s="1956"/>
      <c r="AF272" s="1836"/>
      <c r="AG272" s="1836"/>
      <c r="AH272" s="1836"/>
      <c r="AI272" s="1837"/>
      <c r="AJ272" s="1960"/>
    </row>
    <row r="273" spans="1:36" ht="21.95" customHeight="1" x14ac:dyDescent="0.2">
      <c r="B273" s="2045"/>
      <c r="C273" s="2046"/>
      <c r="D273" s="2047" t="str">
        <f>SNI!$E$415</f>
        <v>Kepala Tukang</v>
      </c>
      <c r="E273" s="2047"/>
      <c r="F273" s="2048"/>
      <c r="G273" s="2049">
        <f>SNI!$H$415/10</f>
        <v>6.9999999999999999E-4</v>
      </c>
      <c r="H273" s="2050" t="str">
        <f>SNI!$G$415</f>
        <v>OH</v>
      </c>
      <c r="I273" s="2051" t="str">
        <f>SNI!$M$415</f>
        <v>WNI</v>
      </c>
      <c r="J273" s="2051"/>
      <c r="K273" s="2052">
        <f>SNI!$L$415</f>
        <v>1</v>
      </c>
      <c r="L273" s="2053"/>
      <c r="M273" s="2054"/>
      <c r="N273" s="2055">
        <f>SNI!$I$415</f>
        <v>96000</v>
      </c>
      <c r="O273" s="2056"/>
      <c r="P273" s="1969">
        <f t="shared" si="189"/>
        <v>67.2</v>
      </c>
      <c r="Q273" s="1953"/>
      <c r="R273" s="1954"/>
      <c r="S273" s="1954">
        <f t="shared" si="190"/>
        <v>67.2</v>
      </c>
      <c r="T273" s="1969">
        <f t="shared" si="191"/>
        <v>0</v>
      </c>
      <c r="U273" s="2060"/>
      <c r="Z273" s="1956"/>
      <c r="AA273" s="1956"/>
      <c r="AF273" s="1836"/>
      <c r="AG273" s="1836"/>
      <c r="AH273" s="1836"/>
      <c r="AI273" s="1837"/>
      <c r="AJ273" s="1960"/>
    </row>
    <row r="274" spans="1:36" ht="21.95" customHeight="1" x14ac:dyDescent="0.2">
      <c r="B274" s="2045"/>
      <c r="C274" s="2046"/>
      <c r="D274" s="2047" t="str">
        <f>SNI!$E$416</f>
        <v>Mandor</v>
      </c>
      <c r="E274" s="2047"/>
      <c r="F274" s="2048"/>
      <c r="G274" s="2049">
        <f>SNI!$H$416/10</f>
        <v>4.0000000000000002E-4</v>
      </c>
      <c r="H274" s="2050" t="str">
        <f>SNI!$G$416</f>
        <v>OH</v>
      </c>
      <c r="I274" s="2051" t="str">
        <f>SNI!$M$416</f>
        <v>WNI</v>
      </c>
      <c r="J274" s="2051"/>
      <c r="K274" s="2052">
        <f>SNI!$L$416</f>
        <v>1</v>
      </c>
      <c r="L274" s="2053"/>
      <c r="M274" s="2054"/>
      <c r="N274" s="2055">
        <f>SNI!$I$416</f>
        <v>90000</v>
      </c>
      <c r="O274" s="2056"/>
      <c r="P274" s="1969">
        <f t="shared" si="189"/>
        <v>36</v>
      </c>
      <c r="Q274" s="1953"/>
      <c r="R274" s="1954"/>
      <c r="S274" s="1954">
        <f t="shared" si="190"/>
        <v>36</v>
      </c>
      <c r="T274" s="1969">
        <f t="shared" si="191"/>
        <v>0</v>
      </c>
      <c r="U274" s="2060"/>
      <c r="Z274" s="1956"/>
      <c r="AA274" s="1956"/>
      <c r="AF274" s="1836"/>
      <c r="AG274" s="1836"/>
      <c r="AH274" s="1836"/>
      <c r="AI274" s="1837"/>
      <c r="AJ274" s="1960"/>
    </row>
    <row r="275" spans="1:36" s="1957" customFormat="1" ht="21.95" customHeight="1" x14ac:dyDescent="0.2">
      <c r="A275" s="1942"/>
      <c r="B275" s="1970"/>
      <c r="C275" s="1971"/>
      <c r="D275" s="1972"/>
      <c r="E275" s="1973"/>
      <c r="F275" s="1974" t="s">
        <v>556</v>
      </c>
      <c r="G275" s="1975">
        <f>B266</f>
        <v>12</v>
      </c>
      <c r="H275" s="1976"/>
      <c r="I275" s="1977"/>
      <c r="J275" s="1977"/>
      <c r="K275" s="1978"/>
      <c r="L275" s="1979"/>
      <c r="M275" s="1980"/>
      <c r="N275" s="1981"/>
      <c r="O275" s="1982"/>
      <c r="P275" s="1983">
        <f>SUM(P268:P274)</f>
        <v>13808.800000000001</v>
      </c>
      <c r="Q275" s="1984"/>
      <c r="R275" s="1985"/>
      <c r="S275" s="1983">
        <f t="shared" ref="S275" si="192">SUM(S268:S274)</f>
        <v>7242.6925000000001</v>
      </c>
      <c r="T275" s="1983">
        <f t="shared" ref="T275" si="193">SUM(T268:T274)</f>
        <v>6566.1075000000001</v>
      </c>
      <c r="U275" s="1986"/>
      <c r="V275" s="1848"/>
      <c r="W275" s="1848"/>
      <c r="X275" s="1848"/>
      <c r="Y275" s="1848"/>
      <c r="Z275" s="1956"/>
      <c r="AA275" s="1956"/>
      <c r="AF275" s="1958"/>
      <c r="AG275" s="1958"/>
      <c r="AH275" s="1958"/>
      <c r="AI275" s="1959"/>
      <c r="AJ275" s="1960"/>
    </row>
    <row r="276" spans="1:36" ht="21.95" customHeight="1" x14ac:dyDescent="0.2">
      <c r="A276" s="1833">
        <f>satpek!$B$43</f>
        <v>24</v>
      </c>
      <c r="B276" s="1943">
        <f>B266+1</f>
        <v>13</v>
      </c>
      <c r="C276" s="1937"/>
      <c r="D276" s="1944" t="str">
        <f>VLOOKUP($A276,satpek!$B$20:$N$144,2,0)</f>
        <v>Memasang bekisting untuk sloof (2 kali pakai)</v>
      </c>
      <c r="E276" s="1944"/>
      <c r="F276" s="2004"/>
      <c r="G276" s="1945">
        <f>'[3]B.VOL RAB'!Q90</f>
        <v>133.43999999999997</v>
      </c>
      <c r="H276" s="1946" t="str">
        <f>VLOOKUP($A276,satpek!$B$20:$N$144,7,0)</f>
        <v>m2</v>
      </c>
      <c r="I276" s="1947"/>
      <c r="J276" s="1947"/>
      <c r="K276" s="1948"/>
      <c r="L276" s="1949"/>
      <c r="M276" s="1950" t="str">
        <f>VLOOKUP($A276,satpek!$B$20:$N$144,5,0)</f>
        <v>A.4.1.1.21.</v>
      </c>
      <c r="N276" s="1951">
        <f>VLOOKUP($A276,satpek!$B$20:$N$144,6,0)</f>
        <v>118889.56</v>
      </c>
      <c r="O276" s="1938"/>
      <c r="P276" s="1952">
        <f t="shared" si="179"/>
        <v>15864622.890000001</v>
      </c>
      <c r="Q276" s="1953">
        <f>VLOOKUP($A276,satpek!$B$20:$L$138,8,0)</f>
        <v>0.94496825457172184</v>
      </c>
      <c r="R276" s="1954">
        <f>VLOOKUP($A276,satpek!$B$20:$L$138,9,0)</f>
        <v>99422</v>
      </c>
      <c r="S276" s="1954">
        <f>VLOOKUP($A276,satpek!$B$20:$L$138,10,0)</f>
        <v>112346.86</v>
      </c>
      <c r="T276" s="1952">
        <f>S276*G276</f>
        <v>14991564.998399997</v>
      </c>
      <c r="U276" s="1955"/>
      <c r="X276" s="1848">
        <f>P285</f>
        <v>13808.800000000001</v>
      </c>
      <c r="Y276" s="1848">
        <f>S285</f>
        <v>7242.6925000000001</v>
      </c>
      <c r="Z276" s="1956">
        <v>133.43999999999997</v>
      </c>
      <c r="AA276" s="1956">
        <f>Z276-G276</f>
        <v>0</v>
      </c>
      <c r="AB276" s="1836" t="s">
        <v>1907</v>
      </c>
      <c r="AF276" s="1836"/>
      <c r="AG276" s="1836"/>
      <c r="AH276" s="1836"/>
      <c r="AI276" s="1837">
        <v>117156.14</v>
      </c>
      <c r="AJ276" s="1960">
        <f>AI276-N276</f>
        <v>-1733.4199999999983</v>
      </c>
    </row>
    <row r="277" spans="1:36" ht="21.95" customHeight="1" x14ac:dyDescent="0.2">
      <c r="B277" s="2045"/>
      <c r="C277" s="2046" t="str">
        <f>SNI!$D$410</f>
        <v>Bahan</v>
      </c>
      <c r="D277" s="2047"/>
      <c r="E277" s="2047"/>
      <c r="F277" s="2048"/>
      <c r="G277" s="2049"/>
      <c r="H277" s="2050"/>
      <c r="I277" s="2051"/>
      <c r="J277" s="2051"/>
      <c r="K277" s="2052"/>
      <c r="L277" s="2053"/>
      <c r="M277" s="2054"/>
      <c r="N277" s="2055"/>
      <c r="O277" s="2056"/>
      <c r="P277" s="2057"/>
      <c r="Q277" s="2058"/>
      <c r="R277" s="2059"/>
      <c r="S277" s="2059"/>
      <c r="T277" s="2057"/>
      <c r="U277" s="2060"/>
      <c r="Z277" s="1956"/>
      <c r="AA277" s="1956"/>
      <c r="AF277" s="1836"/>
      <c r="AG277" s="1836"/>
      <c r="AH277" s="1836"/>
      <c r="AI277" s="1837"/>
      <c r="AJ277" s="1960"/>
    </row>
    <row r="278" spans="1:36" ht="21.95" customHeight="1" x14ac:dyDescent="0.2">
      <c r="B278" s="2045"/>
      <c r="C278" s="2046"/>
      <c r="D278" s="2047" t="str">
        <f>SNI!$E$410</f>
        <v>Besi Beton ( polos/ulir )</v>
      </c>
      <c r="E278" s="2047"/>
      <c r="F278" s="2048"/>
      <c r="G278" s="2049">
        <f>SNI!$H$410/10</f>
        <v>1.05</v>
      </c>
      <c r="H278" s="2050" t="str">
        <f>SNI!$G$410</f>
        <v>kg</v>
      </c>
      <c r="I278" s="2051"/>
      <c r="J278" s="2051"/>
      <c r="K278" s="2052">
        <f>SNI!$L$410</f>
        <v>0.4879</v>
      </c>
      <c r="L278" s="2053"/>
      <c r="M278" s="2054"/>
      <c r="N278" s="2055">
        <f>SNI!$I$410</f>
        <v>11500</v>
      </c>
      <c r="O278" s="2056"/>
      <c r="P278" s="1969">
        <f t="shared" ref="P278:P279" si="194">N278*G278</f>
        <v>12075</v>
      </c>
      <c r="Q278" s="1953"/>
      <c r="R278" s="1954"/>
      <c r="S278" s="1954">
        <f t="shared" ref="S278:S279" si="195">P278*K278</f>
        <v>5891.3924999999999</v>
      </c>
      <c r="T278" s="1969">
        <f t="shared" ref="T278:T279" si="196">P278-S278</f>
        <v>6183.6075000000001</v>
      </c>
      <c r="U278" s="2060"/>
      <c r="Z278" s="1956"/>
      <c r="AA278" s="1956"/>
      <c r="AF278" s="1836"/>
      <c r="AG278" s="1836"/>
      <c r="AH278" s="1836"/>
      <c r="AI278" s="1837"/>
      <c r="AJ278" s="1960"/>
    </row>
    <row r="279" spans="1:36" ht="21.95" customHeight="1" x14ac:dyDescent="0.2">
      <c r="B279" s="2045"/>
      <c r="C279" s="2046"/>
      <c r="D279" s="2047" t="str">
        <f>SNI!$E$411</f>
        <v>Kawat Beton</v>
      </c>
      <c r="E279" s="2047"/>
      <c r="F279" s="2048"/>
      <c r="G279" s="2049">
        <f>SNI!$H$411/10</f>
        <v>1.4999999999999999E-2</v>
      </c>
      <c r="H279" s="2050">
        <f>SNI!G490</f>
        <v>0</v>
      </c>
      <c r="I279" s="2051"/>
      <c r="J279" s="2051"/>
      <c r="K279" s="2052">
        <f>SNI!$L$411</f>
        <v>0</v>
      </c>
      <c r="L279" s="2053"/>
      <c r="M279" s="2054"/>
      <c r="N279" s="2055">
        <f>SNI!$I$411</f>
        <v>25500</v>
      </c>
      <c r="O279" s="2056"/>
      <c r="P279" s="1969">
        <f t="shared" si="194"/>
        <v>382.5</v>
      </c>
      <c r="Q279" s="1953"/>
      <c r="R279" s="1954"/>
      <c r="S279" s="1954">
        <f t="shared" si="195"/>
        <v>0</v>
      </c>
      <c r="T279" s="1969">
        <f t="shared" si="196"/>
        <v>382.5</v>
      </c>
      <c r="U279" s="2060"/>
      <c r="Z279" s="1956"/>
      <c r="AA279" s="1956"/>
      <c r="AF279" s="1836"/>
      <c r="AG279" s="1836"/>
      <c r="AH279" s="1836"/>
      <c r="AI279" s="1837"/>
      <c r="AJ279" s="1960"/>
    </row>
    <row r="280" spans="1:36" ht="21.95" customHeight="1" x14ac:dyDescent="0.2">
      <c r="B280" s="2045"/>
      <c r="C280" s="2046" t="str">
        <f>SNI!$D$413</f>
        <v>Tenaga Kerja</v>
      </c>
      <c r="D280" s="2047"/>
      <c r="E280" s="2047"/>
      <c r="F280" s="2048"/>
      <c r="G280" s="2049"/>
      <c r="H280" s="2050"/>
      <c r="I280" s="2051"/>
      <c r="J280" s="2051"/>
      <c r="K280" s="2052"/>
      <c r="L280" s="2053"/>
      <c r="M280" s="2054"/>
      <c r="N280" s="2055"/>
      <c r="O280" s="2056"/>
      <c r="P280" s="1969"/>
      <c r="Q280" s="1953"/>
      <c r="R280" s="1954"/>
      <c r="S280" s="1954"/>
      <c r="T280" s="1969"/>
      <c r="U280" s="2060"/>
      <c r="Z280" s="1956"/>
      <c r="AA280" s="1956"/>
      <c r="AF280" s="1836"/>
      <c r="AG280" s="1836"/>
      <c r="AH280" s="1836"/>
      <c r="AI280" s="1837"/>
      <c r="AJ280" s="1960"/>
    </row>
    <row r="281" spans="1:36" ht="21.95" customHeight="1" x14ac:dyDescent="0.2">
      <c r="B281" s="2045"/>
      <c r="C281" s="2046"/>
      <c r="D281" s="2047" t="str">
        <f>SNI!$E$413</f>
        <v xml:space="preserve">Pekerja </v>
      </c>
      <c r="E281" s="2047"/>
      <c r="F281" s="2048"/>
      <c r="G281" s="2049">
        <f>SNI!$H$413/10</f>
        <v>7.000000000000001E-3</v>
      </c>
      <c r="H281" s="2050" t="str">
        <f>SNI!$G$413</f>
        <v>OH</v>
      </c>
      <c r="I281" s="2051" t="str">
        <f>SNI!$M$413</f>
        <v>WNI</v>
      </c>
      <c r="J281" s="2051"/>
      <c r="K281" s="2052">
        <f>SNI!$L$413</f>
        <v>1</v>
      </c>
      <c r="L281" s="2053"/>
      <c r="M281" s="2054"/>
      <c r="N281" s="2055">
        <f>SNI!$I$413</f>
        <v>88300</v>
      </c>
      <c r="O281" s="2056"/>
      <c r="P281" s="1969">
        <f t="shared" ref="P281:P284" si="197">N281*G281</f>
        <v>618.10000000000014</v>
      </c>
      <c r="Q281" s="1953"/>
      <c r="R281" s="1954"/>
      <c r="S281" s="1954">
        <f t="shared" ref="S281:S284" si="198">P281*K281</f>
        <v>618.10000000000014</v>
      </c>
      <c r="T281" s="1969">
        <f t="shared" ref="T281:T284" si="199">P281-S281</f>
        <v>0</v>
      </c>
      <c r="U281" s="2060"/>
      <c r="Z281" s="1956"/>
      <c r="AA281" s="1956"/>
      <c r="AF281" s="1836"/>
      <c r="AG281" s="1836"/>
      <c r="AH281" s="1836"/>
      <c r="AI281" s="1837"/>
      <c r="AJ281" s="1960"/>
    </row>
    <row r="282" spans="1:36" ht="21.95" customHeight="1" x14ac:dyDescent="0.2">
      <c r="B282" s="2045"/>
      <c r="C282" s="2046"/>
      <c r="D282" s="2047" t="str">
        <f>SNI!$E$414</f>
        <v>Tukang Besi</v>
      </c>
      <c r="E282" s="2047"/>
      <c r="F282" s="2048"/>
      <c r="G282" s="2049">
        <f>SNI!$H$414/10</f>
        <v>7.000000000000001E-3</v>
      </c>
      <c r="H282" s="2050" t="str">
        <f>SNI!$G$414</f>
        <v>OH</v>
      </c>
      <c r="I282" s="2051" t="str">
        <f>SNI!$M$414</f>
        <v>WNI</v>
      </c>
      <c r="J282" s="2051"/>
      <c r="K282" s="2052">
        <f>SNI!$L$414</f>
        <v>1</v>
      </c>
      <c r="L282" s="2053"/>
      <c r="M282" s="2054"/>
      <c r="N282" s="2055">
        <f>SNI!$I$414</f>
        <v>90000</v>
      </c>
      <c r="O282" s="2056"/>
      <c r="P282" s="1969">
        <f t="shared" si="197"/>
        <v>630.00000000000011</v>
      </c>
      <c r="Q282" s="1953"/>
      <c r="R282" s="1954"/>
      <c r="S282" s="1954">
        <f t="shared" si="198"/>
        <v>630.00000000000011</v>
      </c>
      <c r="T282" s="1969">
        <f t="shared" si="199"/>
        <v>0</v>
      </c>
      <c r="U282" s="2060"/>
      <c r="Z282" s="1956"/>
      <c r="AA282" s="1956"/>
      <c r="AF282" s="1836"/>
      <c r="AG282" s="1836"/>
      <c r="AH282" s="1836"/>
      <c r="AI282" s="1837"/>
      <c r="AJ282" s="1960"/>
    </row>
    <row r="283" spans="1:36" ht="21.95" customHeight="1" x14ac:dyDescent="0.2">
      <c r="B283" s="2045"/>
      <c r="C283" s="2046"/>
      <c r="D283" s="2047" t="str">
        <f>SNI!$E$415</f>
        <v>Kepala Tukang</v>
      </c>
      <c r="E283" s="2047"/>
      <c r="F283" s="2048"/>
      <c r="G283" s="2049">
        <f>SNI!$H$415/10</f>
        <v>6.9999999999999999E-4</v>
      </c>
      <c r="H283" s="2050" t="str">
        <f>SNI!$G$415</f>
        <v>OH</v>
      </c>
      <c r="I283" s="2051" t="str">
        <f>SNI!$M$415</f>
        <v>WNI</v>
      </c>
      <c r="J283" s="2051"/>
      <c r="K283" s="2052">
        <f>SNI!$L$415</f>
        <v>1</v>
      </c>
      <c r="L283" s="2053"/>
      <c r="M283" s="2054"/>
      <c r="N283" s="2055">
        <f>SNI!$I$415</f>
        <v>96000</v>
      </c>
      <c r="O283" s="2056"/>
      <c r="P283" s="1969">
        <f t="shared" si="197"/>
        <v>67.2</v>
      </c>
      <c r="Q283" s="1953"/>
      <c r="R283" s="1954"/>
      <c r="S283" s="1954">
        <f t="shared" si="198"/>
        <v>67.2</v>
      </c>
      <c r="T283" s="1969">
        <f t="shared" si="199"/>
        <v>0</v>
      </c>
      <c r="U283" s="2060"/>
      <c r="Z283" s="1956"/>
      <c r="AA283" s="1956"/>
      <c r="AF283" s="1836"/>
      <c r="AG283" s="1836"/>
      <c r="AH283" s="1836"/>
      <c r="AI283" s="1837"/>
      <c r="AJ283" s="1960"/>
    </row>
    <row r="284" spans="1:36" ht="21.95" customHeight="1" x14ac:dyDescent="0.2">
      <c r="B284" s="2045"/>
      <c r="C284" s="2046"/>
      <c r="D284" s="2047" t="str">
        <f>SNI!$E$416</f>
        <v>Mandor</v>
      </c>
      <c r="E284" s="2047"/>
      <c r="F284" s="2048"/>
      <c r="G284" s="2049">
        <f>SNI!$H$416/10</f>
        <v>4.0000000000000002E-4</v>
      </c>
      <c r="H284" s="2050" t="str">
        <f>SNI!$G$416</f>
        <v>OH</v>
      </c>
      <c r="I284" s="2051" t="str">
        <f>SNI!$M$416</f>
        <v>WNI</v>
      </c>
      <c r="J284" s="2051"/>
      <c r="K284" s="2052">
        <f>SNI!$L$416</f>
        <v>1</v>
      </c>
      <c r="L284" s="2053"/>
      <c r="M284" s="2054"/>
      <c r="N284" s="2055">
        <f>SNI!$I$416</f>
        <v>90000</v>
      </c>
      <c r="O284" s="2056"/>
      <c r="P284" s="1969">
        <f t="shared" si="197"/>
        <v>36</v>
      </c>
      <c r="Q284" s="1953"/>
      <c r="R284" s="1954"/>
      <c r="S284" s="1954">
        <f t="shared" si="198"/>
        <v>36</v>
      </c>
      <c r="T284" s="1969">
        <f t="shared" si="199"/>
        <v>0</v>
      </c>
      <c r="U284" s="2060"/>
      <c r="Z284" s="1956"/>
      <c r="AA284" s="1956"/>
      <c r="AF284" s="1836"/>
      <c r="AG284" s="1836"/>
      <c r="AH284" s="1836"/>
      <c r="AI284" s="1837"/>
      <c r="AJ284" s="1960"/>
    </row>
    <row r="285" spans="1:36" s="1957" customFormat="1" ht="21.95" customHeight="1" x14ac:dyDescent="0.2">
      <c r="A285" s="1942"/>
      <c r="B285" s="1970"/>
      <c r="C285" s="1971"/>
      <c r="D285" s="1972"/>
      <c r="E285" s="1973"/>
      <c r="F285" s="1974" t="s">
        <v>556</v>
      </c>
      <c r="G285" s="1975">
        <f>B276</f>
        <v>13</v>
      </c>
      <c r="H285" s="1976"/>
      <c r="I285" s="1977"/>
      <c r="J285" s="1977"/>
      <c r="K285" s="1978"/>
      <c r="L285" s="1979"/>
      <c r="M285" s="1980"/>
      <c r="N285" s="1981"/>
      <c r="O285" s="1982"/>
      <c r="P285" s="1983">
        <f>SUM(P278:P284)</f>
        <v>13808.800000000001</v>
      </c>
      <c r="Q285" s="1984"/>
      <c r="R285" s="1985"/>
      <c r="S285" s="1983">
        <f t="shared" ref="S285" si="200">SUM(S278:S284)</f>
        <v>7242.6925000000001</v>
      </c>
      <c r="T285" s="1983">
        <f t="shared" ref="T285" si="201">SUM(T278:T284)</f>
        <v>6566.1075000000001</v>
      </c>
      <c r="U285" s="1986"/>
      <c r="V285" s="1848"/>
      <c r="W285" s="1848"/>
      <c r="X285" s="1848"/>
      <c r="Y285" s="1848"/>
      <c r="Z285" s="1956"/>
      <c r="AA285" s="1956"/>
      <c r="AF285" s="1958"/>
      <c r="AG285" s="1958"/>
      <c r="AH285" s="1958"/>
      <c r="AI285" s="1959"/>
      <c r="AJ285" s="1960"/>
    </row>
    <row r="286" spans="1:36" ht="21.95" customHeight="1" x14ac:dyDescent="0.2">
      <c r="B286" s="2102"/>
      <c r="C286" s="2103"/>
      <c r="D286" s="2081" t="s">
        <v>1777</v>
      </c>
      <c r="E286" s="1930"/>
      <c r="F286" s="1931"/>
      <c r="G286" s="1945"/>
      <c r="H286" s="1933"/>
      <c r="I286" s="1934"/>
      <c r="J286" s="1934"/>
      <c r="K286" s="1935"/>
      <c r="L286" s="1936"/>
      <c r="M286" s="1936"/>
      <c r="N286" s="1951"/>
      <c r="O286" s="2066"/>
      <c r="P286" s="2067"/>
      <c r="Q286" s="1934"/>
      <c r="R286" s="1934"/>
      <c r="S286" s="1934"/>
      <c r="T286" s="1940"/>
      <c r="U286" s="1941"/>
      <c r="Z286" s="1956"/>
      <c r="AA286" s="1956">
        <f>Z286-G286</f>
        <v>0</v>
      </c>
      <c r="AB286" s="1836" t="s">
        <v>1777</v>
      </c>
      <c r="AF286" s="1836"/>
      <c r="AG286" s="1836"/>
      <c r="AH286" s="1836"/>
      <c r="AI286" s="1837"/>
      <c r="AJ286" s="1960">
        <f>AI286-N286</f>
        <v>0</v>
      </c>
    </row>
    <row r="287" spans="1:36" ht="21.95" customHeight="1" x14ac:dyDescent="0.2">
      <c r="A287" s="1833">
        <f>satpek!$B$40</f>
        <v>21</v>
      </c>
      <c r="B287" s="1943">
        <f>B276+1</f>
        <v>14</v>
      </c>
      <c r="C287" s="1937"/>
      <c r="D287" s="1944" t="str">
        <f>VLOOKUP($A287,satpek!$B$20:$N$144,2,0)</f>
        <v>Membuat beton mutu f'c = 21,7 Mpa - K 250</v>
      </c>
      <c r="E287" s="1944"/>
      <c r="F287" s="2004"/>
      <c r="G287" s="1945">
        <f>'[3]B.VOL RAB'!Q93</f>
        <v>2.4750000000000001</v>
      </c>
      <c r="H287" s="1946" t="str">
        <f>VLOOKUP($A287,satpek!$B$20:$N$144,7,0)</f>
        <v>m3</v>
      </c>
      <c r="I287" s="1947"/>
      <c r="J287" s="1947"/>
      <c r="K287" s="1948"/>
      <c r="L287" s="1949"/>
      <c r="M287" s="1950" t="str">
        <f>VLOOKUP($A287,satpek!$B$20:$N$144,5,0)</f>
        <v>A.4.1.1.8.</v>
      </c>
      <c r="N287" s="1951">
        <f>VLOOKUP($A287,satpek!$B$20:$N$144,6,0)</f>
        <v>1115753.29</v>
      </c>
      <c r="O287" s="1938"/>
      <c r="P287" s="1952">
        <f t="shared" ref="P287:P309" si="202">ROUND((G287*N287),2)</f>
        <v>2761489.39</v>
      </c>
      <c r="Q287" s="1953">
        <f>VLOOKUP($A287,satpek!$B$20:$L$138,8,0)</f>
        <v>0.93065078521121514</v>
      </c>
      <c r="R287" s="1954">
        <f>VLOOKUP($A287,satpek!$B$20:$L$138,9,0)</f>
        <v>918917.40999999992</v>
      </c>
      <c r="S287" s="1954">
        <f>VLOOKUP($A287,satpek!$B$20:$L$138,10,0)</f>
        <v>1038376.6732999999</v>
      </c>
      <c r="T287" s="1952">
        <f>S287*G287</f>
        <v>2569982.2664174996</v>
      </c>
      <c r="U287" s="1955"/>
      <c r="X287" s="1848">
        <f>P298</f>
        <v>987392.28571428568</v>
      </c>
      <c r="Y287" s="1848">
        <f>S298</f>
        <v>918917.40571428579</v>
      </c>
      <c r="Z287" s="1956">
        <v>2.4750000000000001</v>
      </c>
      <c r="AA287" s="1956">
        <f>Z287-G287</f>
        <v>0</v>
      </c>
      <c r="AB287" s="1836" t="s">
        <v>1905</v>
      </c>
      <c r="AF287" s="1836"/>
      <c r="AG287" s="1836"/>
      <c r="AH287" s="1836"/>
      <c r="AI287" s="1837">
        <v>1191397.42</v>
      </c>
      <c r="AJ287" s="1960">
        <f>AI287-N287</f>
        <v>75644.129999999888</v>
      </c>
    </row>
    <row r="288" spans="1:36" ht="21.95" customHeight="1" x14ac:dyDescent="0.2">
      <c r="B288" s="2045"/>
      <c r="C288" s="2046" t="str">
        <f>SNI!$D$389</f>
        <v>Bahan</v>
      </c>
      <c r="D288" s="2047"/>
      <c r="E288" s="2047"/>
      <c r="F288" s="2048"/>
      <c r="G288" s="2049"/>
      <c r="H288" s="2050"/>
      <c r="I288" s="2051"/>
      <c r="J288" s="2051"/>
      <c r="K288" s="2052"/>
      <c r="L288" s="2053"/>
      <c r="M288" s="2054"/>
      <c r="N288" s="2055"/>
      <c r="O288" s="2056"/>
      <c r="P288" s="2057"/>
      <c r="Q288" s="2058"/>
      <c r="R288" s="2059"/>
      <c r="S288" s="2059"/>
      <c r="T288" s="2057"/>
      <c r="U288" s="2060"/>
      <c r="Z288" s="1956"/>
      <c r="AA288" s="1956"/>
      <c r="AF288" s="1836"/>
      <c r="AG288" s="1836"/>
      <c r="AH288" s="1836"/>
      <c r="AI288" s="1837"/>
      <c r="AJ288" s="1960"/>
    </row>
    <row r="289" spans="1:36" ht="21.95" customHeight="1" x14ac:dyDescent="0.2">
      <c r="B289" s="2045"/>
      <c r="C289" s="2046"/>
      <c r="D289" s="2047" t="str">
        <f>SNI!$E$389</f>
        <v>PC</v>
      </c>
      <c r="E289" s="2047"/>
      <c r="F289" s="2048"/>
      <c r="G289" s="2049">
        <f>SNI!$H$389</f>
        <v>384</v>
      </c>
      <c r="H289" s="2050" t="str">
        <f>SNI!$G$389</f>
        <v>kg</v>
      </c>
      <c r="I289" s="2051"/>
      <c r="J289" s="2051"/>
      <c r="K289" s="2052">
        <f>SNI!$L$389</f>
        <v>0.85140000000000005</v>
      </c>
      <c r="L289" s="2053"/>
      <c r="M289" s="2054"/>
      <c r="N289" s="2055">
        <f>SNI!$I$389</f>
        <v>1200</v>
      </c>
      <c r="O289" s="2056"/>
      <c r="P289" s="1969">
        <f t="shared" ref="P289:P292" si="203">N289*G289</f>
        <v>460800</v>
      </c>
      <c r="Q289" s="1953"/>
      <c r="R289" s="1954"/>
      <c r="S289" s="1954">
        <f t="shared" ref="S289:S292" si="204">P289*K289</f>
        <v>392325.12</v>
      </c>
      <c r="T289" s="1969">
        <f t="shared" ref="T289:T292" si="205">P289-S289</f>
        <v>68474.880000000005</v>
      </c>
      <c r="U289" s="2060"/>
      <c r="Z289" s="1956"/>
      <c r="AA289" s="1956"/>
      <c r="AF289" s="1836"/>
      <c r="AG289" s="1836"/>
      <c r="AH289" s="1836"/>
      <c r="AI289" s="1837"/>
      <c r="AJ289" s="1960"/>
    </row>
    <row r="290" spans="1:36" ht="21.95" customHeight="1" x14ac:dyDescent="0.2">
      <c r="B290" s="2045"/>
      <c r="C290" s="2046"/>
      <c r="D290" s="2047" t="str">
        <f>SNI!$E$390</f>
        <v>Pasir Beton</v>
      </c>
      <c r="E290" s="2047"/>
      <c r="F290" s="2048"/>
      <c r="G290" s="2049">
        <f>SNI!$H$390</f>
        <v>692</v>
      </c>
      <c r="H290" s="2050" t="str">
        <f>SNI!$G$390</f>
        <v>kg</v>
      </c>
      <c r="I290" s="2051"/>
      <c r="J290" s="2051"/>
      <c r="K290" s="2052">
        <f>SNI!$L$390</f>
        <v>1</v>
      </c>
      <c r="L290" s="2053"/>
      <c r="M290" s="2054"/>
      <c r="N290" s="2055">
        <f>SNI!$I$390</f>
        <v>185.71428571428572</v>
      </c>
      <c r="O290" s="2056"/>
      <c r="P290" s="1969">
        <f t="shared" si="203"/>
        <v>128514.28571428572</v>
      </c>
      <c r="Q290" s="1953"/>
      <c r="R290" s="1954"/>
      <c r="S290" s="1954">
        <f t="shared" si="204"/>
        <v>128514.28571428572</v>
      </c>
      <c r="T290" s="1969">
        <f t="shared" si="205"/>
        <v>0</v>
      </c>
      <c r="U290" s="2060"/>
      <c r="Z290" s="1956"/>
      <c r="AA290" s="1956"/>
      <c r="AF290" s="1836"/>
      <c r="AG290" s="1836"/>
      <c r="AH290" s="1836"/>
      <c r="AI290" s="1837"/>
      <c r="AJ290" s="1960"/>
    </row>
    <row r="291" spans="1:36" ht="21.95" customHeight="1" x14ac:dyDescent="0.2">
      <c r="B291" s="2045"/>
      <c r="C291" s="2046"/>
      <c r="D291" s="2047" t="str">
        <f>SNI!$E$391</f>
        <v>Kerikil ( maks 30 mm )</v>
      </c>
      <c r="E291" s="2047"/>
      <c r="F291" s="2048"/>
      <c r="G291" s="2049">
        <f>SNI!$H$391</f>
        <v>1039</v>
      </c>
      <c r="H291" s="2050" t="str">
        <f>SNI!$G$391</f>
        <v>kg</v>
      </c>
      <c r="I291" s="2051"/>
      <c r="J291" s="2051"/>
      <c r="K291" s="2052">
        <f>SNI!$L$391</f>
        <v>1</v>
      </c>
      <c r="L291" s="2053"/>
      <c r="M291" s="2054"/>
      <c r="N291" s="2055">
        <f>SNI!$I$391</f>
        <v>200</v>
      </c>
      <c r="O291" s="2056"/>
      <c r="P291" s="1969">
        <f t="shared" si="203"/>
        <v>207800</v>
      </c>
      <c r="Q291" s="1953"/>
      <c r="R291" s="1954"/>
      <c r="S291" s="1954">
        <f t="shared" si="204"/>
        <v>207800</v>
      </c>
      <c r="T291" s="1969">
        <f t="shared" si="205"/>
        <v>0</v>
      </c>
      <c r="U291" s="2060"/>
      <c r="Z291" s="1956"/>
      <c r="AA291" s="1956"/>
      <c r="AF291" s="1836"/>
      <c r="AG291" s="1836"/>
      <c r="AH291" s="1836"/>
      <c r="AI291" s="1837"/>
      <c r="AJ291" s="1960"/>
    </row>
    <row r="292" spans="1:36" ht="21.95" customHeight="1" x14ac:dyDescent="0.2">
      <c r="B292" s="2045"/>
      <c r="C292" s="2046"/>
      <c r="D292" s="2047" t="str">
        <f>SNI!$E$392</f>
        <v>Air</v>
      </c>
      <c r="E292" s="2047"/>
      <c r="F292" s="2048"/>
      <c r="G292" s="2049">
        <f>SNI!$H$392</f>
        <v>215</v>
      </c>
      <c r="H292" s="2050" t="str">
        <f>SNI!$G$392</f>
        <v>ltr</v>
      </c>
      <c r="I292" s="2051"/>
      <c r="J292" s="2051"/>
      <c r="K292" s="2052">
        <f>SNI!$L$392</f>
        <v>1</v>
      </c>
      <c r="L292" s="2053"/>
      <c r="M292" s="2054"/>
      <c r="N292" s="2055">
        <f>SNI!$I$392</f>
        <v>45</v>
      </c>
      <c r="O292" s="2056"/>
      <c r="P292" s="1969">
        <f t="shared" si="203"/>
        <v>9675</v>
      </c>
      <c r="Q292" s="1953"/>
      <c r="R292" s="1954"/>
      <c r="S292" s="1954">
        <f t="shared" si="204"/>
        <v>9675</v>
      </c>
      <c r="T292" s="1969">
        <f t="shared" si="205"/>
        <v>0</v>
      </c>
      <c r="U292" s="2060"/>
      <c r="Z292" s="1956"/>
      <c r="AA292" s="1956"/>
      <c r="AF292" s="1836"/>
      <c r="AG292" s="1836"/>
      <c r="AH292" s="1836"/>
      <c r="AI292" s="1837"/>
      <c r="AJ292" s="1960"/>
    </row>
    <row r="293" spans="1:36" ht="21.95" customHeight="1" x14ac:dyDescent="0.2">
      <c r="B293" s="2045"/>
      <c r="C293" s="2046" t="str">
        <f>SNI!$D$394</f>
        <v>Tenaga Kerja</v>
      </c>
      <c r="D293" s="2047"/>
      <c r="E293" s="2047"/>
      <c r="F293" s="2048"/>
      <c r="G293" s="2049"/>
      <c r="H293" s="2050"/>
      <c r="I293" s="2051"/>
      <c r="J293" s="2051"/>
      <c r="K293" s="2052"/>
      <c r="L293" s="2053"/>
      <c r="M293" s="2054"/>
      <c r="N293" s="2055"/>
      <c r="O293" s="2056"/>
      <c r="P293" s="1969"/>
      <c r="Q293" s="1953"/>
      <c r="R293" s="1954"/>
      <c r="S293" s="1954"/>
      <c r="T293" s="1969"/>
      <c r="U293" s="2060"/>
      <c r="Z293" s="1956"/>
      <c r="AA293" s="1956"/>
      <c r="AF293" s="1836"/>
      <c r="AG293" s="1836"/>
      <c r="AH293" s="1836"/>
      <c r="AI293" s="1837"/>
      <c r="AJ293" s="1960"/>
    </row>
    <row r="294" spans="1:36" ht="21.95" customHeight="1" x14ac:dyDescent="0.2">
      <c r="B294" s="2045"/>
      <c r="C294" s="2046"/>
      <c r="D294" s="2047" t="str">
        <f>SNI!$E$394</f>
        <v xml:space="preserve">Pekerja </v>
      </c>
      <c r="E294" s="2047"/>
      <c r="F294" s="2048"/>
      <c r="G294" s="2049">
        <f>SNI!$H$394</f>
        <v>1.65</v>
      </c>
      <c r="H294" s="2050" t="str">
        <f>SNI!$G$394</f>
        <v>OH</v>
      </c>
      <c r="I294" s="2051" t="str">
        <f>SNI!$M$394</f>
        <v>WNI</v>
      </c>
      <c r="J294" s="2051"/>
      <c r="K294" s="2052">
        <f>SNI!$L$394</f>
        <v>1</v>
      </c>
      <c r="L294" s="2053"/>
      <c r="M294" s="2054"/>
      <c r="N294" s="2055">
        <f>SNI!$I$394</f>
        <v>88300</v>
      </c>
      <c r="O294" s="2056"/>
      <c r="P294" s="1969">
        <f t="shared" ref="P294:P297" si="206">N294*G294</f>
        <v>145695</v>
      </c>
      <c r="Q294" s="1953"/>
      <c r="R294" s="1954"/>
      <c r="S294" s="1954">
        <f t="shared" ref="S294:S297" si="207">P294*K294</f>
        <v>145695</v>
      </c>
      <c r="T294" s="1969">
        <f t="shared" ref="T294:T297" si="208">P294-S294</f>
        <v>0</v>
      </c>
      <c r="U294" s="2060"/>
      <c r="Z294" s="1956"/>
      <c r="AA294" s="1956"/>
      <c r="AF294" s="1836"/>
      <c r="AG294" s="1836"/>
      <c r="AH294" s="1836"/>
      <c r="AI294" s="1837"/>
      <c r="AJ294" s="1960"/>
    </row>
    <row r="295" spans="1:36" ht="21.95" customHeight="1" x14ac:dyDescent="0.2">
      <c r="B295" s="2045"/>
      <c r="C295" s="2046"/>
      <c r="D295" s="2047" t="str">
        <f>SNI!$E$395</f>
        <v>Tukang Batu</v>
      </c>
      <c r="E295" s="2047"/>
      <c r="F295" s="2048"/>
      <c r="G295" s="2049">
        <f>SNI!$H$395</f>
        <v>0.27500000000000002</v>
      </c>
      <c r="H295" s="2050" t="str">
        <f>SNI!$G$395</f>
        <v>OH</v>
      </c>
      <c r="I295" s="2051" t="str">
        <f>SNI!$M$395</f>
        <v>WNI</v>
      </c>
      <c r="J295" s="2051"/>
      <c r="K295" s="2052">
        <f>SNI!$L$395</f>
        <v>1</v>
      </c>
      <c r="L295" s="2053"/>
      <c r="M295" s="2054"/>
      <c r="N295" s="2055">
        <f>SNI!$I$395</f>
        <v>90000</v>
      </c>
      <c r="O295" s="2056"/>
      <c r="P295" s="1969">
        <f t="shared" si="206"/>
        <v>24750.000000000004</v>
      </c>
      <c r="Q295" s="1953"/>
      <c r="R295" s="1954"/>
      <c r="S295" s="1954">
        <f t="shared" si="207"/>
        <v>24750.000000000004</v>
      </c>
      <c r="T295" s="1969">
        <f t="shared" si="208"/>
        <v>0</v>
      </c>
      <c r="U295" s="2060"/>
      <c r="Z295" s="1956"/>
      <c r="AA295" s="1956"/>
      <c r="AF295" s="1836"/>
      <c r="AG295" s="1836"/>
      <c r="AH295" s="1836"/>
      <c r="AI295" s="1837"/>
      <c r="AJ295" s="1960"/>
    </row>
    <row r="296" spans="1:36" ht="21.95" customHeight="1" x14ac:dyDescent="0.2">
      <c r="B296" s="2045"/>
      <c r="C296" s="2046"/>
      <c r="D296" s="2047" t="str">
        <f>SNI!$E$396</f>
        <v>Kepala Tukang</v>
      </c>
      <c r="E296" s="2047"/>
      <c r="F296" s="2048"/>
      <c r="G296" s="2049">
        <f>SNI!$H$396</f>
        <v>2.8000000000000001E-2</v>
      </c>
      <c r="H296" s="2050" t="str">
        <f>SNI!$G$396</f>
        <v>OH</v>
      </c>
      <c r="I296" s="2051" t="str">
        <f>SNI!$M$396</f>
        <v>WNI</v>
      </c>
      <c r="J296" s="2051"/>
      <c r="K296" s="2052">
        <f>SNI!$L$396</f>
        <v>1</v>
      </c>
      <c r="L296" s="2053"/>
      <c r="M296" s="2054"/>
      <c r="N296" s="2055">
        <f>SNI!$I$396</f>
        <v>96000</v>
      </c>
      <c r="O296" s="2056"/>
      <c r="P296" s="1969">
        <f t="shared" si="206"/>
        <v>2688</v>
      </c>
      <c r="Q296" s="1953"/>
      <c r="R296" s="1954"/>
      <c r="S296" s="1954">
        <f t="shared" si="207"/>
        <v>2688</v>
      </c>
      <c r="T296" s="1969">
        <f t="shared" si="208"/>
        <v>0</v>
      </c>
      <c r="U296" s="2060"/>
      <c r="Z296" s="1956"/>
      <c r="AA296" s="1956"/>
      <c r="AF296" s="1836"/>
      <c r="AG296" s="1836"/>
      <c r="AH296" s="1836"/>
      <c r="AI296" s="1837"/>
      <c r="AJ296" s="1960"/>
    </row>
    <row r="297" spans="1:36" ht="21.95" customHeight="1" x14ac:dyDescent="0.2">
      <c r="B297" s="2045"/>
      <c r="C297" s="2046"/>
      <c r="D297" s="2047" t="str">
        <f>SNI!$E$397</f>
        <v>Mandor</v>
      </c>
      <c r="E297" s="2047"/>
      <c r="F297" s="2048"/>
      <c r="G297" s="2049">
        <f>SNI!$H$397</f>
        <v>8.3000000000000004E-2</v>
      </c>
      <c r="H297" s="2050" t="str">
        <f>SNI!$G$397</f>
        <v>OH</v>
      </c>
      <c r="I297" s="2051" t="str">
        <f>SNI!$M$397</f>
        <v>WNI</v>
      </c>
      <c r="J297" s="2051"/>
      <c r="K297" s="2052">
        <f>SNI!$L$397</f>
        <v>1</v>
      </c>
      <c r="L297" s="2053"/>
      <c r="M297" s="2054"/>
      <c r="N297" s="2055">
        <f>SNI!$I$397</f>
        <v>90000</v>
      </c>
      <c r="O297" s="2056"/>
      <c r="P297" s="1969">
        <f t="shared" si="206"/>
        <v>7470</v>
      </c>
      <c r="Q297" s="1953"/>
      <c r="R297" s="1954"/>
      <c r="S297" s="1954">
        <f t="shared" si="207"/>
        <v>7470</v>
      </c>
      <c r="T297" s="1969">
        <f t="shared" si="208"/>
        <v>0</v>
      </c>
      <c r="U297" s="2060"/>
      <c r="Z297" s="1956"/>
      <c r="AA297" s="1956"/>
      <c r="AF297" s="1836"/>
      <c r="AG297" s="1836"/>
      <c r="AH297" s="1836"/>
      <c r="AI297" s="1837"/>
      <c r="AJ297" s="1960"/>
    </row>
    <row r="298" spans="1:36" s="1957" customFormat="1" ht="21.95" customHeight="1" x14ac:dyDescent="0.2">
      <c r="A298" s="1942"/>
      <c r="B298" s="1970"/>
      <c r="C298" s="1971"/>
      <c r="D298" s="1972"/>
      <c r="E298" s="1973"/>
      <c r="F298" s="1974" t="s">
        <v>556</v>
      </c>
      <c r="G298" s="1975">
        <f>B287</f>
        <v>14</v>
      </c>
      <c r="H298" s="1976"/>
      <c r="I298" s="1977"/>
      <c r="J298" s="1977"/>
      <c r="K298" s="1978"/>
      <c r="L298" s="1979"/>
      <c r="M298" s="1980"/>
      <c r="N298" s="1981"/>
      <c r="O298" s="1982"/>
      <c r="P298" s="1983">
        <f>SUM(P289:P297)</f>
        <v>987392.28571428568</v>
      </c>
      <c r="Q298" s="1984"/>
      <c r="R298" s="1985"/>
      <c r="S298" s="1983">
        <f>SUM(S289:S297)</f>
        <v>918917.40571428579</v>
      </c>
      <c r="T298" s="1983">
        <f>SUM(T289:T297)</f>
        <v>68474.880000000005</v>
      </c>
      <c r="U298" s="1986"/>
      <c r="V298" s="1848"/>
      <c r="W298" s="1848"/>
      <c r="X298" s="1848"/>
      <c r="Y298" s="1848"/>
      <c r="Z298" s="1956"/>
      <c r="AA298" s="1956"/>
      <c r="AF298" s="1958"/>
      <c r="AG298" s="1958"/>
      <c r="AH298" s="1958"/>
      <c r="AI298" s="1959"/>
      <c r="AJ298" s="1960"/>
    </row>
    <row r="299" spans="1:36" ht="21.95" customHeight="1" x14ac:dyDescent="0.2">
      <c r="A299" s="1833">
        <f>satpek!$B$41</f>
        <v>22</v>
      </c>
      <c r="B299" s="1943">
        <f t="shared" ref="B299" si="209">B287+1</f>
        <v>15</v>
      </c>
      <c r="C299" s="1937"/>
      <c r="D299" s="1944" t="str">
        <f>VLOOKUP($A299,satpek!$B$20:$N$144,2,0)</f>
        <v>Pembesian 1 kg dengan besi polos atau besi ulir</v>
      </c>
      <c r="E299" s="1944"/>
      <c r="F299" s="2004"/>
      <c r="G299" s="1945">
        <f>'[3]B.VOL RAB'!Q95</f>
        <v>547.33738272710912</v>
      </c>
      <c r="H299" s="1946" t="str">
        <f>VLOOKUP($A299,satpek!$B$20:$N$144,7,0)</f>
        <v>kg</v>
      </c>
      <c r="I299" s="1947"/>
      <c r="J299" s="1947"/>
      <c r="K299" s="1948"/>
      <c r="L299" s="1949"/>
      <c r="M299" s="1950" t="str">
        <f>VLOOKUP($A299,satpek!$B$20:$N$144,5,0)</f>
        <v>A.4.1.1.17.</v>
      </c>
      <c r="N299" s="1951">
        <f>VLOOKUP($A299,satpek!$B$20:$N$144,6,0)</f>
        <v>15603.94</v>
      </c>
      <c r="O299" s="1938"/>
      <c r="P299" s="1952">
        <f t="shared" si="202"/>
        <v>8540619.6799999997</v>
      </c>
      <c r="Q299" s="1953">
        <f>VLOOKUP($A299,satpek!$B$20:$L$138,8,0)</f>
        <v>0.46415793062521393</v>
      </c>
      <c r="R299" s="1954">
        <f>VLOOKUP($A299,satpek!$B$20:$L$138,9,0)</f>
        <v>7242.692500000001</v>
      </c>
      <c r="S299" s="1954">
        <f>VLOOKUP($A299,satpek!$B$20:$L$138,10,0)</f>
        <v>8184.2425250000015</v>
      </c>
      <c r="T299" s="1952">
        <f>S299*G299</f>
        <v>4479541.8832374075</v>
      </c>
      <c r="U299" s="1955"/>
      <c r="X299" s="1848">
        <f>P308</f>
        <v>13808.800000000001</v>
      </c>
      <c r="Y299" s="1848">
        <f>S308</f>
        <v>7242.6925000000001</v>
      </c>
      <c r="Z299" s="1956">
        <v>547.33738272710912</v>
      </c>
      <c r="AA299" s="1956">
        <f>Z299-G299</f>
        <v>0</v>
      </c>
      <c r="AB299" s="1836" t="s">
        <v>420</v>
      </c>
      <c r="AF299" s="1836"/>
      <c r="AG299" s="1836"/>
      <c r="AH299" s="1836"/>
      <c r="AI299" s="1837">
        <v>15438.06</v>
      </c>
      <c r="AJ299" s="1960">
        <f>AI299-N299</f>
        <v>-165.88000000000102</v>
      </c>
    </row>
    <row r="300" spans="1:36" ht="21.95" customHeight="1" x14ac:dyDescent="0.2">
      <c r="B300" s="2045"/>
      <c r="C300" s="2046" t="str">
        <f>SNI!$D$410</f>
        <v>Bahan</v>
      </c>
      <c r="D300" s="2047"/>
      <c r="E300" s="2047"/>
      <c r="F300" s="2048"/>
      <c r="G300" s="2049"/>
      <c r="H300" s="2050"/>
      <c r="I300" s="2051"/>
      <c r="J300" s="2051"/>
      <c r="K300" s="2052"/>
      <c r="L300" s="2053"/>
      <c r="M300" s="2054"/>
      <c r="N300" s="2055"/>
      <c r="O300" s="2056"/>
      <c r="P300" s="2057"/>
      <c r="Q300" s="2058"/>
      <c r="R300" s="2059"/>
      <c r="S300" s="2059"/>
      <c r="T300" s="2057"/>
      <c r="U300" s="2060"/>
      <c r="Z300" s="1956"/>
      <c r="AA300" s="1956"/>
      <c r="AF300" s="1836"/>
      <c r="AG300" s="1836"/>
      <c r="AH300" s="1836"/>
      <c r="AI300" s="1837"/>
      <c r="AJ300" s="1960"/>
    </row>
    <row r="301" spans="1:36" ht="21.95" customHeight="1" x14ac:dyDescent="0.2">
      <c r="B301" s="2045"/>
      <c r="C301" s="2046"/>
      <c r="D301" s="2047" t="str">
        <f>SNI!$E$410</f>
        <v>Besi Beton ( polos/ulir )</v>
      </c>
      <c r="E301" s="2047"/>
      <c r="F301" s="2048"/>
      <c r="G301" s="2049">
        <f>SNI!$H$410/10</f>
        <v>1.05</v>
      </c>
      <c r="H301" s="2050" t="str">
        <f>SNI!$G$410</f>
        <v>kg</v>
      </c>
      <c r="I301" s="2051"/>
      <c r="J301" s="2051"/>
      <c r="K301" s="2052">
        <f>SNI!$L$410</f>
        <v>0.4879</v>
      </c>
      <c r="L301" s="2053"/>
      <c r="M301" s="2054"/>
      <c r="N301" s="2055">
        <f>SNI!$I$410</f>
        <v>11500</v>
      </c>
      <c r="O301" s="2056"/>
      <c r="P301" s="1969">
        <f t="shared" ref="P301:P302" si="210">N301*G301</f>
        <v>12075</v>
      </c>
      <c r="Q301" s="1953"/>
      <c r="R301" s="1954"/>
      <c r="S301" s="1954">
        <f t="shared" ref="S301:S302" si="211">P301*K301</f>
        <v>5891.3924999999999</v>
      </c>
      <c r="T301" s="1969">
        <f t="shared" ref="T301:T302" si="212">P301-S301</f>
        <v>6183.6075000000001</v>
      </c>
      <c r="U301" s="2060"/>
      <c r="Z301" s="1956"/>
      <c r="AA301" s="1956"/>
      <c r="AF301" s="1836"/>
      <c r="AG301" s="1836"/>
      <c r="AH301" s="1836"/>
      <c r="AI301" s="1837"/>
      <c r="AJ301" s="1960"/>
    </row>
    <row r="302" spans="1:36" ht="21.95" customHeight="1" x14ac:dyDescent="0.2">
      <c r="B302" s="2045"/>
      <c r="C302" s="2046"/>
      <c r="D302" s="2047" t="str">
        <f>SNI!$E$411</f>
        <v>Kawat Beton</v>
      </c>
      <c r="E302" s="2047"/>
      <c r="F302" s="2048"/>
      <c r="G302" s="2049">
        <f>SNI!$H$411/10</f>
        <v>1.4999999999999999E-2</v>
      </c>
      <c r="H302" s="2050">
        <f>SNI!G513</f>
        <v>0</v>
      </c>
      <c r="I302" s="2051"/>
      <c r="J302" s="2051"/>
      <c r="K302" s="2052">
        <f>SNI!$L$411</f>
        <v>0</v>
      </c>
      <c r="L302" s="2053"/>
      <c r="M302" s="2054"/>
      <c r="N302" s="2055">
        <f>SNI!$I$411</f>
        <v>25500</v>
      </c>
      <c r="O302" s="2056"/>
      <c r="P302" s="1969">
        <f t="shared" si="210"/>
        <v>382.5</v>
      </c>
      <c r="Q302" s="1953"/>
      <c r="R302" s="1954"/>
      <c r="S302" s="1954">
        <f t="shared" si="211"/>
        <v>0</v>
      </c>
      <c r="T302" s="1969">
        <f t="shared" si="212"/>
        <v>382.5</v>
      </c>
      <c r="U302" s="2060"/>
      <c r="Z302" s="1956"/>
      <c r="AA302" s="1956"/>
      <c r="AF302" s="1836"/>
      <c r="AG302" s="1836"/>
      <c r="AH302" s="1836"/>
      <c r="AI302" s="1837"/>
      <c r="AJ302" s="1960"/>
    </row>
    <row r="303" spans="1:36" ht="21.95" customHeight="1" x14ac:dyDescent="0.2">
      <c r="B303" s="2045"/>
      <c r="C303" s="2046" t="str">
        <f>SNI!$D$413</f>
        <v>Tenaga Kerja</v>
      </c>
      <c r="D303" s="2047"/>
      <c r="E303" s="2047"/>
      <c r="F303" s="2048"/>
      <c r="G303" s="2049"/>
      <c r="H303" s="2050"/>
      <c r="I303" s="2051"/>
      <c r="J303" s="2051"/>
      <c r="K303" s="2052"/>
      <c r="L303" s="2053"/>
      <c r="M303" s="2054"/>
      <c r="N303" s="2055"/>
      <c r="O303" s="2056"/>
      <c r="P303" s="1969"/>
      <c r="Q303" s="1953"/>
      <c r="R303" s="1954"/>
      <c r="S303" s="1954"/>
      <c r="T303" s="1969"/>
      <c r="U303" s="2060"/>
      <c r="Z303" s="1956"/>
      <c r="AA303" s="1956"/>
      <c r="AF303" s="1836"/>
      <c r="AG303" s="1836"/>
      <c r="AH303" s="1836"/>
      <c r="AI303" s="1837"/>
      <c r="AJ303" s="1960"/>
    </row>
    <row r="304" spans="1:36" ht="21.95" customHeight="1" x14ac:dyDescent="0.2">
      <c r="B304" s="2045"/>
      <c r="C304" s="2046"/>
      <c r="D304" s="2047" t="str">
        <f>SNI!$E$413</f>
        <v xml:space="preserve">Pekerja </v>
      </c>
      <c r="E304" s="2047"/>
      <c r="F304" s="2048"/>
      <c r="G304" s="2049">
        <f>SNI!$H$413/10</f>
        <v>7.000000000000001E-3</v>
      </c>
      <c r="H304" s="2050" t="str">
        <f>SNI!$G$413</f>
        <v>OH</v>
      </c>
      <c r="I304" s="2051" t="str">
        <f>SNI!$M$413</f>
        <v>WNI</v>
      </c>
      <c r="J304" s="2051"/>
      <c r="K304" s="2052">
        <f>SNI!$L$413</f>
        <v>1</v>
      </c>
      <c r="L304" s="2053"/>
      <c r="M304" s="2054"/>
      <c r="N304" s="2055">
        <f>SNI!$I$413</f>
        <v>88300</v>
      </c>
      <c r="O304" s="2056"/>
      <c r="P304" s="1969">
        <f t="shared" ref="P304:P307" si="213">N304*G304</f>
        <v>618.10000000000014</v>
      </c>
      <c r="Q304" s="1953"/>
      <c r="R304" s="1954"/>
      <c r="S304" s="1954">
        <f t="shared" ref="S304:S307" si="214">P304*K304</f>
        <v>618.10000000000014</v>
      </c>
      <c r="T304" s="1969">
        <f t="shared" ref="T304:T307" si="215">P304-S304</f>
        <v>0</v>
      </c>
      <c r="U304" s="2060"/>
      <c r="Z304" s="1956"/>
      <c r="AA304" s="1956"/>
      <c r="AF304" s="1836"/>
      <c r="AG304" s="1836"/>
      <c r="AH304" s="1836"/>
      <c r="AI304" s="1837"/>
      <c r="AJ304" s="1960"/>
    </row>
    <row r="305" spans="1:36" ht="21.95" customHeight="1" x14ac:dyDescent="0.2">
      <c r="B305" s="2045"/>
      <c r="C305" s="2046"/>
      <c r="D305" s="2047" t="str">
        <f>SNI!$E$414</f>
        <v>Tukang Besi</v>
      </c>
      <c r="E305" s="2047"/>
      <c r="F305" s="2048"/>
      <c r="G305" s="2049">
        <f>SNI!$H$414/10</f>
        <v>7.000000000000001E-3</v>
      </c>
      <c r="H305" s="2050" t="str">
        <f>SNI!$G$414</f>
        <v>OH</v>
      </c>
      <c r="I305" s="2051" t="str">
        <f>SNI!$M$414</f>
        <v>WNI</v>
      </c>
      <c r="J305" s="2051"/>
      <c r="K305" s="2052">
        <f>SNI!$L$414</f>
        <v>1</v>
      </c>
      <c r="L305" s="2053"/>
      <c r="M305" s="2054"/>
      <c r="N305" s="2055">
        <f>SNI!$I$414</f>
        <v>90000</v>
      </c>
      <c r="O305" s="2056"/>
      <c r="P305" s="1969">
        <f t="shared" si="213"/>
        <v>630.00000000000011</v>
      </c>
      <c r="Q305" s="1953"/>
      <c r="R305" s="1954"/>
      <c r="S305" s="1954">
        <f t="shared" si="214"/>
        <v>630.00000000000011</v>
      </c>
      <c r="T305" s="1969">
        <f t="shared" si="215"/>
        <v>0</v>
      </c>
      <c r="U305" s="2060"/>
      <c r="Z305" s="1956"/>
      <c r="AA305" s="1956"/>
      <c r="AF305" s="1836"/>
      <c r="AG305" s="1836"/>
      <c r="AH305" s="1836"/>
      <c r="AI305" s="1837"/>
      <c r="AJ305" s="1960"/>
    </row>
    <row r="306" spans="1:36" ht="21.95" customHeight="1" x14ac:dyDescent="0.2">
      <c r="B306" s="2045"/>
      <c r="C306" s="2046"/>
      <c r="D306" s="2047" t="str">
        <f>SNI!$E$415</f>
        <v>Kepala Tukang</v>
      </c>
      <c r="E306" s="2047"/>
      <c r="F306" s="2048"/>
      <c r="G306" s="2049">
        <f>SNI!$H$415/10</f>
        <v>6.9999999999999999E-4</v>
      </c>
      <c r="H306" s="2050" t="str">
        <f>SNI!$G$415</f>
        <v>OH</v>
      </c>
      <c r="I306" s="2051" t="str">
        <f>SNI!$M$415</f>
        <v>WNI</v>
      </c>
      <c r="J306" s="2051"/>
      <c r="K306" s="2052">
        <f>SNI!$L$415</f>
        <v>1</v>
      </c>
      <c r="L306" s="2053"/>
      <c r="M306" s="2054"/>
      <c r="N306" s="2055">
        <f>SNI!$I$415</f>
        <v>96000</v>
      </c>
      <c r="O306" s="2056"/>
      <c r="P306" s="1969">
        <f t="shared" si="213"/>
        <v>67.2</v>
      </c>
      <c r="Q306" s="1953"/>
      <c r="R306" s="1954"/>
      <c r="S306" s="1954">
        <f t="shared" si="214"/>
        <v>67.2</v>
      </c>
      <c r="T306" s="1969">
        <f t="shared" si="215"/>
        <v>0</v>
      </c>
      <c r="U306" s="2060"/>
      <c r="Z306" s="1956"/>
      <c r="AA306" s="1956"/>
      <c r="AF306" s="1836"/>
      <c r="AG306" s="1836"/>
      <c r="AH306" s="1836"/>
      <c r="AI306" s="1837"/>
      <c r="AJ306" s="1960"/>
    </row>
    <row r="307" spans="1:36" ht="21.95" customHeight="1" x14ac:dyDescent="0.2">
      <c r="B307" s="2045"/>
      <c r="C307" s="2046"/>
      <c r="D307" s="2047" t="str">
        <f>SNI!$E$416</f>
        <v>Mandor</v>
      </c>
      <c r="E307" s="2047"/>
      <c r="F307" s="2048"/>
      <c r="G307" s="2049">
        <f>SNI!$H$416/10</f>
        <v>4.0000000000000002E-4</v>
      </c>
      <c r="H307" s="2050" t="str">
        <f>SNI!$G$416</f>
        <v>OH</v>
      </c>
      <c r="I307" s="2051" t="str">
        <f>SNI!$M$416</f>
        <v>WNI</v>
      </c>
      <c r="J307" s="2051"/>
      <c r="K307" s="2052">
        <f>SNI!$L$416</f>
        <v>1</v>
      </c>
      <c r="L307" s="2053"/>
      <c r="M307" s="2054"/>
      <c r="N307" s="2055">
        <f>SNI!$I$416</f>
        <v>90000</v>
      </c>
      <c r="O307" s="2056"/>
      <c r="P307" s="1969">
        <f t="shared" si="213"/>
        <v>36</v>
      </c>
      <c r="Q307" s="1953"/>
      <c r="R307" s="1954"/>
      <c r="S307" s="1954">
        <f t="shared" si="214"/>
        <v>36</v>
      </c>
      <c r="T307" s="1969">
        <f t="shared" si="215"/>
        <v>0</v>
      </c>
      <c r="U307" s="2060"/>
      <c r="Z307" s="1956"/>
      <c r="AA307" s="1956"/>
      <c r="AF307" s="1836"/>
      <c r="AG307" s="1836"/>
      <c r="AH307" s="1836"/>
      <c r="AI307" s="1837"/>
      <c r="AJ307" s="1960"/>
    </row>
    <row r="308" spans="1:36" s="1957" customFormat="1" ht="21.95" customHeight="1" x14ac:dyDescent="0.2">
      <c r="A308" s="1942"/>
      <c r="B308" s="1970"/>
      <c r="C308" s="1971"/>
      <c r="D308" s="1972"/>
      <c r="E308" s="1973"/>
      <c r="F308" s="1974" t="s">
        <v>556</v>
      </c>
      <c r="G308" s="1975">
        <f>B299</f>
        <v>15</v>
      </c>
      <c r="H308" s="1976"/>
      <c r="I308" s="1977"/>
      <c r="J308" s="1977"/>
      <c r="K308" s="1978"/>
      <c r="L308" s="1979"/>
      <c r="M308" s="1980"/>
      <c r="N308" s="1981"/>
      <c r="O308" s="1982"/>
      <c r="P308" s="1983">
        <f>SUM(P301:P307)</f>
        <v>13808.800000000001</v>
      </c>
      <c r="Q308" s="1984"/>
      <c r="R308" s="1985"/>
      <c r="S308" s="1983">
        <f t="shared" ref="S308" si="216">SUM(S301:S307)</f>
        <v>7242.6925000000001</v>
      </c>
      <c r="T308" s="1983">
        <f t="shared" ref="T308" si="217">SUM(T301:T307)</f>
        <v>6566.1075000000001</v>
      </c>
      <c r="U308" s="1986"/>
      <c r="V308" s="1848"/>
      <c r="W308" s="1848"/>
      <c r="X308" s="1848"/>
      <c r="Y308" s="1848"/>
      <c r="Z308" s="1956"/>
      <c r="AA308" s="1956"/>
      <c r="AF308" s="1958"/>
      <c r="AG308" s="1958"/>
      <c r="AH308" s="1958"/>
      <c r="AI308" s="1959"/>
      <c r="AJ308" s="1960"/>
    </row>
    <row r="309" spans="1:36" ht="21.95" customHeight="1" x14ac:dyDescent="0.2">
      <c r="A309" s="1833">
        <f>satpek!$B$43</f>
        <v>24</v>
      </c>
      <c r="B309" s="1943">
        <f>B299+1</f>
        <v>16</v>
      </c>
      <c r="C309" s="1937"/>
      <c r="D309" s="1944" t="str">
        <f>VLOOKUP($A309,satpek!$B$20:$N$144,2,0)</f>
        <v>Memasang bekisting untuk sloof (2 kali pakai)</v>
      </c>
      <c r="E309" s="1944"/>
      <c r="F309" s="2004"/>
      <c r="G309" s="1945">
        <f>'[3]B.VOL RAB'!Q97</f>
        <v>33</v>
      </c>
      <c r="H309" s="1946" t="str">
        <f>VLOOKUP($A309,satpek!$B$20:$N$144,7,0)</f>
        <v>m2</v>
      </c>
      <c r="I309" s="1947"/>
      <c r="J309" s="1947"/>
      <c r="K309" s="1948"/>
      <c r="L309" s="1949"/>
      <c r="M309" s="1950" t="str">
        <f>VLOOKUP($A309,satpek!$B$20:$N$144,5,0)</f>
        <v>A.4.1.1.21.</v>
      </c>
      <c r="N309" s="1951">
        <f>VLOOKUP($A309,satpek!$B$20:$N$144,6,0)</f>
        <v>118889.56</v>
      </c>
      <c r="O309" s="1938"/>
      <c r="P309" s="1952">
        <f t="shared" si="202"/>
        <v>3923355.48</v>
      </c>
      <c r="Q309" s="1953">
        <f>VLOOKUP($A309,satpek!$B$20:$L$138,8,0)</f>
        <v>0.94496825457172184</v>
      </c>
      <c r="R309" s="1954">
        <f>VLOOKUP($A309,satpek!$B$20:$L$138,9,0)</f>
        <v>99422</v>
      </c>
      <c r="S309" s="1954">
        <f>VLOOKUP($A309,satpek!$B$20:$L$138,10,0)</f>
        <v>112346.86</v>
      </c>
      <c r="T309" s="1952">
        <f>S309*G309</f>
        <v>3707446.38</v>
      </c>
      <c r="U309" s="1955"/>
      <c r="X309" s="1848">
        <f>P318</f>
        <v>13808.800000000001</v>
      </c>
      <c r="Y309" s="1848">
        <f>S318</f>
        <v>7242.6925000000001</v>
      </c>
      <c r="Z309" s="1956">
        <v>33</v>
      </c>
      <c r="AA309" s="1956">
        <f>Z309-G309</f>
        <v>0</v>
      </c>
      <c r="AB309" s="1836" t="s">
        <v>1907</v>
      </c>
      <c r="AF309" s="1836"/>
      <c r="AG309" s="1836"/>
      <c r="AH309" s="1836"/>
      <c r="AI309" s="1837">
        <v>117156.14</v>
      </c>
      <c r="AJ309" s="1960">
        <f>AI309-N309</f>
        <v>-1733.4199999999983</v>
      </c>
    </row>
    <row r="310" spans="1:36" ht="21.95" customHeight="1" x14ac:dyDescent="0.2">
      <c r="B310" s="2045"/>
      <c r="C310" s="2046" t="str">
        <f>SNI!$D$410</f>
        <v>Bahan</v>
      </c>
      <c r="D310" s="2047"/>
      <c r="E310" s="2047"/>
      <c r="F310" s="2048"/>
      <c r="G310" s="2049"/>
      <c r="H310" s="2050"/>
      <c r="I310" s="2051"/>
      <c r="J310" s="2051"/>
      <c r="K310" s="2052"/>
      <c r="L310" s="2053"/>
      <c r="M310" s="2054"/>
      <c r="N310" s="2055"/>
      <c r="O310" s="2056"/>
      <c r="P310" s="2057"/>
      <c r="Q310" s="2058"/>
      <c r="R310" s="2059"/>
      <c r="S310" s="2059"/>
      <c r="T310" s="2057"/>
      <c r="U310" s="2060"/>
      <c r="Z310" s="1956"/>
      <c r="AA310" s="1956"/>
      <c r="AF310" s="1836"/>
      <c r="AG310" s="1836"/>
      <c r="AH310" s="1836"/>
      <c r="AI310" s="1837"/>
      <c r="AJ310" s="1960"/>
    </row>
    <row r="311" spans="1:36" ht="21.95" customHeight="1" x14ac:dyDescent="0.2">
      <c r="B311" s="2045"/>
      <c r="C311" s="2046"/>
      <c r="D311" s="2047" t="str">
        <f>SNI!$E$410</f>
        <v>Besi Beton ( polos/ulir )</v>
      </c>
      <c r="E311" s="2047"/>
      <c r="F311" s="2048"/>
      <c r="G311" s="2049">
        <f>SNI!$H$410/10</f>
        <v>1.05</v>
      </c>
      <c r="H311" s="2050" t="str">
        <f>SNI!$G$410</f>
        <v>kg</v>
      </c>
      <c r="I311" s="2051"/>
      <c r="J311" s="2051"/>
      <c r="K311" s="2052">
        <f>SNI!$L$410</f>
        <v>0.4879</v>
      </c>
      <c r="L311" s="2053"/>
      <c r="M311" s="2054"/>
      <c r="N311" s="2055">
        <f>SNI!$I$410</f>
        <v>11500</v>
      </c>
      <c r="O311" s="2056"/>
      <c r="P311" s="1969">
        <f t="shared" ref="P311:P312" si="218">N311*G311</f>
        <v>12075</v>
      </c>
      <c r="Q311" s="1953"/>
      <c r="R311" s="1954"/>
      <c r="S311" s="1954">
        <f t="shared" ref="S311:S312" si="219">P311*K311</f>
        <v>5891.3924999999999</v>
      </c>
      <c r="T311" s="1969">
        <f t="shared" ref="T311:T312" si="220">P311-S311</f>
        <v>6183.6075000000001</v>
      </c>
      <c r="U311" s="2060"/>
      <c r="Z311" s="1956"/>
      <c r="AA311" s="1956"/>
      <c r="AF311" s="1836"/>
      <c r="AG311" s="1836"/>
      <c r="AH311" s="1836"/>
      <c r="AI311" s="1837"/>
      <c r="AJ311" s="1960"/>
    </row>
    <row r="312" spans="1:36" ht="21.95" customHeight="1" x14ac:dyDescent="0.2">
      <c r="B312" s="2045"/>
      <c r="C312" s="2046"/>
      <c r="D312" s="2047" t="str">
        <f>SNI!$E$411</f>
        <v>Kawat Beton</v>
      </c>
      <c r="E312" s="2047"/>
      <c r="F312" s="2048"/>
      <c r="G312" s="2049">
        <f>SNI!$H$411/10</f>
        <v>1.4999999999999999E-2</v>
      </c>
      <c r="H312" s="2050" t="str">
        <f>SNI!G523</f>
        <v>kg</v>
      </c>
      <c r="I312" s="2051"/>
      <c r="J312" s="2051"/>
      <c r="K312" s="2052">
        <f>SNI!$L$411</f>
        <v>0</v>
      </c>
      <c r="L312" s="2053"/>
      <c r="M312" s="2054"/>
      <c r="N312" s="2055">
        <f>SNI!$I$411</f>
        <v>25500</v>
      </c>
      <c r="O312" s="2056"/>
      <c r="P312" s="1969">
        <f t="shared" si="218"/>
        <v>382.5</v>
      </c>
      <c r="Q312" s="1953"/>
      <c r="R312" s="1954"/>
      <c r="S312" s="1954">
        <f t="shared" si="219"/>
        <v>0</v>
      </c>
      <c r="T312" s="1969">
        <f t="shared" si="220"/>
        <v>382.5</v>
      </c>
      <c r="U312" s="2060"/>
      <c r="Z312" s="1956"/>
      <c r="AA312" s="1956"/>
      <c r="AF312" s="1836"/>
      <c r="AG312" s="1836"/>
      <c r="AH312" s="1836"/>
      <c r="AI312" s="1837"/>
      <c r="AJ312" s="1960"/>
    </row>
    <row r="313" spans="1:36" ht="21.95" customHeight="1" x14ac:dyDescent="0.2">
      <c r="B313" s="2045"/>
      <c r="C313" s="2046" t="str">
        <f>SNI!$D$413</f>
        <v>Tenaga Kerja</v>
      </c>
      <c r="D313" s="2047"/>
      <c r="E313" s="2047"/>
      <c r="F313" s="2048"/>
      <c r="G313" s="2049"/>
      <c r="H313" s="2050"/>
      <c r="I313" s="2051"/>
      <c r="J313" s="2051"/>
      <c r="K313" s="2052"/>
      <c r="L313" s="2053"/>
      <c r="M313" s="2054"/>
      <c r="N313" s="2055"/>
      <c r="O313" s="2056"/>
      <c r="P313" s="1969"/>
      <c r="Q313" s="1953"/>
      <c r="R313" s="1954"/>
      <c r="S313" s="1954"/>
      <c r="T313" s="1969"/>
      <c r="U313" s="2060"/>
      <c r="Z313" s="1956"/>
      <c r="AA313" s="1956"/>
      <c r="AF313" s="1836"/>
      <c r="AG313" s="1836"/>
      <c r="AH313" s="1836"/>
      <c r="AI313" s="1837"/>
      <c r="AJ313" s="1960"/>
    </row>
    <row r="314" spans="1:36" ht="21.95" customHeight="1" x14ac:dyDescent="0.2">
      <c r="B314" s="2045"/>
      <c r="C314" s="2046"/>
      <c r="D314" s="2047" t="str">
        <f>SNI!$E$413</f>
        <v xml:space="preserve">Pekerja </v>
      </c>
      <c r="E314" s="2047"/>
      <c r="F314" s="2048"/>
      <c r="G314" s="2049">
        <f>SNI!$H$413/10</f>
        <v>7.000000000000001E-3</v>
      </c>
      <c r="H314" s="2050" t="str">
        <f>SNI!$G$413</f>
        <v>OH</v>
      </c>
      <c r="I314" s="2051" t="str">
        <f>SNI!$M$413</f>
        <v>WNI</v>
      </c>
      <c r="J314" s="2051"/>
      <c r="K314" s="2052">
        <f>SNI!$L$413</f>
        <v>1</v>
      </c>
      <c r="L314" s="2053"/>
      <c r="M314" s="2054"/>
      <c r="N314" s="2055">
        <f>SNI!$I$413</f>
        <v>88300</v>
      </c>
      <c r="O314" s="2056"/>
      <c r="P314" s="1969">
        <f t="shared" ref="P314:P317" si="221">N314*G314</f>
        <v>618.10000000000014</v>
      </c>
      <c r="Q314" s="1953"/>
      <c r="R314" s="1954"/>
      <c r="S314" s="1954">
        <f t="shared" ref="S314:S317" si="222">P314*K314</f>
        <v>618.10000000000014</v>
      </c>
      <c r="T314" s="1969">
        <f t="shared" ref="T314:T317" si="223">P314-S314</f>
        <v>0</v>
      </c>
      <c r="U314" s="2060"/>
      <c r="Z314" s="1956"/>
      <c r="AA314" s="1956"/>
      <c r="AF314" s="1836"/>
      <c r="AG314" s="1836"/>
      <c r="AH314" s="1836"/>
      <c r="AI314" s="1837"/>
      <c r="AJ314" s="1960"/>
    </row>
    <row r="315" spans="1:36" ht="21.95" customHeight="1" x14ac:dyDescent="0.2">
      <c r="B315" s="2045"/>
      <c r="C315" s="2046"/>
      <c r="D315" s="2047" t="str">
        <f>SNI!$E$414</f>
        <v>Tukang Besi</v>
      </c>
      <c r="E315" s="2047"/>
      <c r="F315" s="2048"/>
      <c r="G315" s="2049">
        <f>SNI!$H$414/10</f>
        <v>7.000000000000001E-3</v>
      </c>
      <c r="H315" s="2050" t="str">
        <f>SNI!$G$414</f>
        <v>OH</v>
      </c>
      <c r="I315" s="2051" t="str">
        <f>SNI!$M$414</f>
        <v>WNI</v>
      </c>
      <c r="J315" s="2051"/>
      <c r="K315" s="2052">
        <f>SNI!$L$414</f>
        <v>1</v>
      </c>
      <c r="L315" s="2053"/>
      <c r="M315" s="2054"/>
      <c r="N315" s="2055">
        <f>SNI!$I$414</f>
        <v>90000</v>
      </c>
      <c r="O315" s="2056"/>
      <c r="P315" s="1969">
        <f t="shared" si="221"/>
        <v>630.00000000000011</v>
      </c>
      <c r="Q315" s="1953"/>
      <c r="R315" s="1954"/>
      <c r="S315" s="1954">
        <f t="shared" si="222"/>
        <v>630.00000000000011</v>
      </c>
      <c r="T315" s="1969">
        <f t="shared" si="223"/>
        <v>0</v>
      </c>
      <c r="U315" s="2060"/>
      <c r="Z315" s="1956"/>
      <c r="AA315" s="1956"/>
      <c r="AF315" s="1836"/>
      <c r="AG315" s="1836"/>
      <c r="AH315" s="1836"/>
      <c r="AI315" s="1837"/>
      <c r="AJ315" s="1960"/>
    </row>
    <row r="316" spans="1:36" ht="21.95" customHeight="1" x14ac:dyDescent="0.2">
      <c r="B316" s="2045"/>
      <c r="C316" s="2046"/>
      <c r="D316" s="2047" t="str">
        <f>SNI!$E$415</f>
        <v>Kepala Tukang</v>
      </c>
      <c r="E316" s="2047"/>
      <c r="F316" s="2048"/>
      <c r="G316" s="2049">
        <f>SNI!$H$415/10</f>
        <v>6.9999999999999999E-4</v>
      </c>
      <c r="H316" s="2050" t="str">
        <f>SNI!$G$415</f>
        <v>OH</v>
      </c>
      <c r="I316" s="2051" t="str">
        <f>SNI!$M$415</f>
        <v>WNI</v>
      </c>
      <c r="J316" s="2051"/>
      <c r="K316" s="2052">
        <f>SNI!$L$415</f>
        <v>1</v>
      </c>
      <c r="L316" s="2053"/>
      <c r="M316" s="2054"/>
      <c r="N316" s="2055">
        <f>SNI!$I$415</f>
        <v>96000</v>
      </c>
      <c r="O316" s="2056"/>
      <c r="P316" s="1969">
        <f t="shared" si="221"/>
        <v>67.2</v>
      </c>
      <c r="Q316" s="1953"/>
      <c r="R316" s="1954"/>
      <c r="S316" s="1954">
        <f t="shared" si="222"/>
        <v>67.2</v>
      </c>
      <c r="T316" s="1969">
        <f t="shared" si="223"/>
        <v>0</v>
      </c>
      <c r="U316" s="2060"/>
      <c r="Z316" s="1956"/>
      <c r="AA316" s="1956"/>
      <c r="AF316" s="1836"/>
      <c r="AG316" s="1836"/>
      <c r="AH316" s="1836"/>
      <c r="AI316" s="1837"/>
      <c r="AJ316" s="1960"/>
    </row>
    <row r="317" spans="1:36" ht="21.95" customHeight="1" x14ac:dyDescent="0.2">
      <c r="B317" s="2045"/>
      <c r="C317" s="2046"/>
      <c r="D317" s="2047" t="str">
        <f>SNI!$E$416</f>
        <v>Mandor</v>
      </c>
      <c r="E317" s="2047"/>
      <c r="F317" s="2048"/>
      <c r="G317" s="2049">
        <f>SNI!$H$416/10</f>
        <v>4.0000000000000002E-4</v>
      </c>
      <c r="H317" s="2050" t="str">
        <f>SNI!$G$416</f>
        <v>OH</v>
      </c>
      <c r="I317" s="2051" t="str">
        <f>SNI!$M$416</f>
        <v>WNI</v>
      </c>
      <c r="J317" s="2051"/>
      <c r="K317" s="2052">
        <f>SNI!$L$416</f>
        <v>1</v>
      </c>
      <c r="L317" s="2053"/>
      <c r="M317" s="2054"/>
      <c r="N317" s="2055">
        <f>SNI!$I$416</f>
        <v>90000</v>
      </c>
      <c r="O317" s="2056"/>
      <c r="P317" s="1969">
        <f t="shared" si="221"/>
        <v>36</v>
      </c>
      <c r="Q317" s="1953"/>
      <c r="R317" s="1954"/>
      <c r="S317" s="1954">
        <f t="shared" si="222"/>
        <v>36</v>
      </c>
      <c r="T317" s="1969">
        <f t="shared" si="223"/>
        <v>0</v>
      </c>
      <c r="U317" s="2060"/>
      <c r="Z317" s="1956"/>
      <c r="AA317" s="1956"/>
      <c r="AF317" s="1836"/>
      <c r="AG317" s="1836"/>
      <c r="AH317" s="1836"/>
      <c r="AI317" s="1837"/>
      <c r="AJ317" s="1960"/>
    </row>
    <row r="318" spans="1:36" s="1957" customFormat="1" ht="21.95" customHeight="1" x14ac:dyDescent="0.2">
      <c r="A318" s="1942"/>
      <c r="B318" s="1970"/>
      <c r="C318" s="1971"/>
      <c r="D318" s="1972"/>
      <c r="E318" s="1973"/>
      <c r="F318" s="1974" t="s">
        <v>556</v>
      </c>
      <c r="G318" s="1975">
        <f>B309</f>
        <v>16</v>
      </c>
      <c r="H318" s="1976"/>
      <c r="I318" s="1977"/>
      <c r="J318" s="1977"/>
      <c r="K318" s="1978"/>
      <c r="L318" s="1979"/>
      <c r="M318" s="1980"/>
      <c r="N318" s="1981"/>
      <c r="O318" s="1982"/>
      <c r="P318" s="1983">
        <f>SUM(P311:P317)</f>
        <v>13808.800000000001</v>
      </c>
      <c r="Q318" s="1984"/>
      <c r="R318" s="1985"/>
      <c r="S318" s="1983">
        <f t="shared" ref="S318" si="224">SUM(S311:S317)</f>
        <v>7242.6925000000001</v>
      </c>
      <c r="T318" s="1983">
        <f t="shared" ref="T318" si="225">SUM(T311:T317)</f>
        <v>6566.1075000000001</v>
      </c>
      <c r="U318" s="1986"/>
      <c r="V318" s="1848"/>
      <c r="W318" s="1848"/>
      <c r="X318" s="1848"/>
      <c r="Y318" s="1848"/>
      <c r="Z318" s="1956"/>
      <c r="AA318" s="1956"/>
      <c r="AF318" s="1958"/>
      <c r="AG318" s="1958"/>
      <c r="AH318" s="1958"/>
      <c r="AI318" s="1959"/>
      <c r="AJ318" s="1960"/>
    </row>
    <row r="319" spans="1:36" ht="21.95" customHeight="1" x14ac:dyDescent="0.2">
      <c r="B319" s="2102"/>
      <c r="C319" s="2103"/>
      <c r="D319" s="2081" t="s">
        <v>1778</v>
      </c>
      <c r="E319" s="1930"/>
      <c r="F319" s="1931"/>
      <c r="G319" s="1945"/>
      <c r="H319" s="1933"/>
      <c r="I319" s="1934"/>
      <c r="J319" s="1934"/>
      <c r="K319" s="1935"/>
      <c r="L319" s="1936"/>
      <c r="M319" s="1936"/>
      <c r="N319" s="1951"/>
      <c r="O319" s="2066"/>
      <c r="P319" s="2067"/>
      <c r="Q319" s="1934"/>
      <c r="R319" s="1934"/>
      <c r="S319" s="1934"/>
      <c r="T319" s="1940"/>
      <c r="U319" s="1941"/>
      <c r="Z319" s="1956"/>
      <c r="AA319" s="1956">
        <f>Z319-G319</f>
        <v>0</v>
      </c>
      <c r="AB319" s="1836" t="s">
        <v>1778</v>
      </c>
      <c r="AF319" s="1836"/>
      <c r="AG319" s="1836"/>
      <c r="AH319" s="1836"/>
      <c r="AI319" s="1837"/>
      <c r="AJ319" s="1960">
        <f>AI319-N319</f>
        <v>0</v>
      </c>
    </row>
    <row r="320" spans="1:36" ht="21.95" customHeight="1" x14ac:dyDescent="0.2">
      <c r="B320" s="2102"/>
      <c r="C320" s="2103"/>
      <c r="D320" s="2081" t="s">
        <v>1779</v>
      </c>
      <c r="E320" s="1930"/>
      <c r="F320" s="1931"/>
      <c r="G320" s="1945"/>
      <c r="H320" s="1933"/>
      <c r="I320" s="1934"/>
      <c r="J320" s="1934"/>
      <c r="K320" s="1935"/>
      <c r="L320" s="1936"/>
      <c r="M320" s="1936"/>
      <c r="N320" s="1951"/>
      <c r="O320" s="2066"/>
      <c r="P320" s="2067"/>
      <c r="Q320" s="1934"/>
      <c r="R320" s="1934"/>
      <c r="S320" s="1934"/>
      <c r="T320" s="1940"/>
      <c r="U320" s="1941"/>
      <c r="Z320" s="1956"/>
      <c r="AA320" s="1956">
        <f>Z320-G320</f>
        <v>0</v>
      </c>
      <c r="AB320" s="1836" t="s">
        <v>1779</v>
      </c>
      <c r="AF320" s="1836"/>
      <c r="AG320" s="1836"/>
      <c r="AH320" s="1836"/>
      <c r="AI320" s="1837"/>
      <c r="AJ320" s="1960">
        <f>AI320-N320</f>
        <v>0</v>
      </c>
    </row>
    <row r="321" spans="1:36" ht="21.95" customHeight="1" x14ac:dyDescent="0.2">
      <c r="A321" s="1833">
        <f>satpek!$B$40</f>
        <v>21</v>
      </c>
      <c r="B321" s="1943">
        <f>B309+1</f>
        <v>17</v>
      </c>
      <c r="C321" s="1937"/>
      <c r="D321" s="1944" t="str">
        <f>VLOOKUP($A321,satpek!$B$20:$N$144,2,0)</f>
        <v>Membuat beton mutu f'c = 21,7 Mpa - K 250</v>
      </c>
      <c r="E321" s="1944"/>
      <c r="F321" s="2004"/>
      <c r="G321" s="1945">
        <f>'[3]B.VOL RAB'!Q102</f>
        <v>14.400000000000002</v>
      </c>
      <c r="H321" s="1946" t="str">
        <f>VLOOKUP($A321,satpek!$B$20:$N$144,7,0)</f>
        <v>m3</v>
      </c>
      <c r="I321" s="1947"/>
      <c r="J321" s="1947"/>
      <c r="K321" s="1948"/>
      <c r="L321" s="1949"/>
      <c r="M321" s="1950" t="str">
        <f>VLOOKUP($A321,satpek!$B$20:$N$144,5,0)</f>
        <v>A.4.1.1.8.</v>
      </c>
      <c r="N321" s="1951">
        <f>VLOOKUP($A321,satpek!$B$20:$N$144,6,0)</f>
        <v>1115753.29</v>
      </c>
      <c r="O321" s="1938"/>
      <c r="P321" s="1952">
        <f t="shared" ref="P321:P343" si="226">ROUND((G321*N321),2)</f>
        <v>16066847.380000001</v>
      </c>
      <c r="Q321" s="1953">
        <f>VLOOKUP($A321,satpek!$B$20:$L$138,8,0)</f>
        <v>0.93065078521121514</v>
      </c>
      <c r="R321" s="1954">
        <f>VLOOKUP($A321,satpek!$B$20:$L$138,9,0)</f>
        <v>918917.40999999992</v>
      </c>
      <c r="S321" s="1954">
        <f>VLOOKUP($A321,satpek!$B$20:$L$138,10,0)</f>
        <v>1038376.6732999999</v>
      </c>
      <c r="T321" s="1952">
        <f>S321*G321</f>
        <v>14952624.095520001</v>
      </c>
      <c r="U321" s="1955"/>
      <c r="X321" s="1848">
        <f>P332</f>
        <v>987392.28571428568</v>
      </c>
      <c r="Y321" s="1848">
        <f>S332</f>
        <v>918917.40571428579</v>
      </c>
      <c r="Z321" s="1956">
        <v>16.2</v>
      </c>
      <c r="AA321" s="1956">
        <f>Z321-G321</f>
        <v>1.7999999999999972</v>
      </c>
      <c r="AB321" s="1836" t="s">
        <v>1905</v>
      </c>
      <c r="AF321" s="1836"/>
      <c r="AG321" s="1836"/>
      <c r="AH321" s="1836"/>
      <c r="AI321" s="1837">
        <v>1191397.42</v>
      </c>
      <c r="AJ321" s="1960">
        <f>AI321-N321</f>
        <v>75644.129999999888</v>
      </c>
    </row>
    <row r="322" spans="1:36" ht="21.95" customHeight="1" x14ac:dyDescent="0.2">
      <c r="B322" s="2045"/>
      <c r="C322" s="2046" t="str">
        <f>SNI!$D$389</f>
        <v>Bahan</v>
      </c>
      <c r="D322" s="2047"/>
      <c r="E322" s="2047"/>
      <c r="F322" s="2048"/>
      <c r="G322" s="2049"/>
      <c r="H322" s="2050"/>
      <c r="I322" s="2051"/>
      <c r="J322" s="2051"/>
      <c r="K322" s="2052"/>
      <c r="L322" s="2053"/>
      <c r="M322" s="2054"/>
      <c r="N322" s="2055"/>
      <c r="O322" s="2056"/>
      <c r="P322" s="2057"/>
      <c r="Q322" s="2058"/>
      <c r="R322" s="2059"/>
      <c r="S322" s="2059"/>
      <c r="T322" s="2057"/>
      <c r="U322" s="2060"/>
      <c r="Z322" s="1956"/>
      <c r="AA322" s="1956"/>
      <c r="AF322" s="1836"/>
      <c r="AG322" s="1836"/>
      <c r="AH322" s="1836"/>
      <c r="AI322" s="1837"/>
      <c r="AJ322" s="1960"/>
    </row>
    <row r="323" spans="1:36" ht="21.95" customHeight="1" x14ac:dyDescent="0.2">
      <c r="B323" s="2045"/>
      <c r="C323" s="2046"/>
      <c r="D323" s="2047" t="str">
        <f>SNI!$E$389</f>
        <v>PC</v>
      </c>
      <c r="E323" s="2047"/>
      <c r="F323" s="2048"/>
      <c r="G323" s="2049">
        <f>SNI!$H$389</f>
        <v>384</v>
      </c>
      <c r="H323" s="2050" t="str">
        <f>SNI!$G$389</f>
        <v>kg</v>
      </c>
      <c r="I323" s="2051"/>
      <c r="J323" s="2051"/>
      <c r="K323" s="2052">
        <f>SNI!$L$389</f>
        <v>0.85140000000000005</v>
      </c>
      <c r="L323" s="2053"/>
      <c r="M323" s="2054"/>
      <c r="N323" s="2055">
        <f>SNI!$I$389</f>
        <v>1200</v>
      </c>
      <c r="O323" s="2056"/>
      <c r="P323" s="1969">
        <f t="shared" ref="P323:P326" si="227">N323*G323</f>
        <v>460800</v>
      </c>
      <c r="Q323" s="1953"/>
      <c r="R323" s="1954"/>
      <c r="S323" s="1954">
        <f t="shared" ref="S323:S326" si="228">P323*K323</f>
        <v>392325.12</v>
      </c>
      <c r="T323" s="1969">
        <f t="shared" ref="T323:T326" si="229">P323-S323</f>
        <v>68474.880000000005</v>
      </c>
      <c r="U323" s="2060"/>
      <c r="Z323" s="1956"/>
      <c r="AA323" s="1956"/>
      <c r="AF323" s="1836"/>
      <c r="AG323" s="1836"/>
      <c r="AH323" s="1836"/>
      <c r="AI323" s="1837"/>
      <c r="AJ323" s="1960"/>
    </row>
    <row r="324" spans="1:36" ht="21.95" customHeight="1" x14ac:dyDescent="0.2">
      <c r="B324" s="2045"/>
      <c r="C324" s="2046"/>
      <c r="D324" s="2047" t="str">
        <f>SNI!$E$390</f>
        <v>Pasir Beton</v>
      </c>
      <c r="E324" s="2047"/>
      <c r="F324" s="2048"/>
      <c r="G324" s="2049">
        <f>SNI!$H$390</f>
        <v>692</v>
      </c>
      <c r="H324" s="2050" t="str">
        <f>SNI!$G$390</f>
        <v>kg</v>
      </c>
      <c r="I324" s="2051"/>
      <c r="J324" s="2051"/>
      <c r="K324" s="2052">
        <f>SNI!$L$390</f>
        <v>1</v>
      </c>
      <c r="L324" s="2053"/>
      <c r="M324" s="2054"/>
      <c r="N324" s="2055">
        <f>SNI!$I$390</f>
        <v>185.71428571428572</v>
      </c>
      <c r="O324" s="2056"/>
      <c r="P324" s="1969">
        <f t="shared" si="227"/>
        <v>128514.28571428572</v>
      </c>
      <c r="Q324" s="1953"/>
      <c r="R324" s="1954"/>
      <c r="S324" s="1954">
        <f t="shared" si="228"/>
        <v>128514.28571428572</v>
      </c>
      <c r="T324" s="1969">
        <f t="shared" si="229"/>
        <v>0</v>
      </c>
      <c r="U324" s="2060"/>
      <c r="Z324" s="1956"/>
      <c r="AA324" s="1956"/>
      <c r="AF324" s="1836"/>
      <c r="AG324" s="1836"/>
      <c r="AH324" s="1836"/>
      <c r="AI324" s="1837"/>
      <c r="AJ324" s="1960"/>
    </row>
    <row r="325" spans="1:36" ht="21.95" customHeight="1" x14ac:dyDescent="0.2">
      <c r="B325" s="2045"/>
      <c r="C325" s="2046"/>
      <c r="D325" s="2047" t="str">
        <f>SNI!$E$391</f>
        <v>Kerikil ( maks 30 mm )</v>
      </c>
      <c r="E325" s="2047"/>
      <c r="F325" s="2048"/>
      <c r="G325" s="2049">
        <f>SNI!$H$391</f>
        <v>1039</v>
      </c>
      <c r="H325" s="2050" t="str">
        <f>SNI!$G$391</f>
        <v>kg</v>
      </c>
      <c r="I325" s="2051"/>
      <c r="J325" s="2051"/>
      <c r="K325" s="2052">
        <f>SNI!$L$391</f>
        <v>1</v>
      </c>
      <c r="L325" s="2053"/>
      <c r="M325" s="2054"/>
      <c r="N325" s="2055">
        <f>SNI!$I$391</f>
        <v>200</v>
      </c>
      <c r="O325" s="2056"/>
      <c r="P325" s="1969">
        <f t="shared" si="227"/>
        <v>207800</v>
      </c>
      <c r="Q325" s="1953"/>
      <c r="R325" s="1954"/>
      <c r="S325" s="1954">
        <f t="shared" si="228"/>
        <v>207800</v>
      </c>
      <c r="T325" s="1969">
        <f t="shared" si="229"/>
        <v>0</v>
      </c>
      <c r="U325" s="2060"/>
      <c r="Z325" s="1956"/>
      <c r="AA325" s="1956"/>
      <c r="AF325" s="1836"/>
      <c r="AG325" s="1836"/>
      <c r="AH325" s="1836"/>
      <c r="AI325" s="1837"/>
      <c r="AJ325" s="1960"/>
    </row>
    <row r="326" spans="1:36" ht="21.95" customHeight="1" x14ac:dyDescent="0.2">
      <c r="B326" s="2045"/>
      <c r="C326" s="2046"/>
      <c r="D326" s="2047" t="str">
        <f>SNI!$E$392</f>
        <v>Air</v>
      </c>
      <c r="E326" s="2047"/>
      <c r="F326" s="2048"/>
      <c r="G326" s="2049">
        <f>SNI!$H$392</f>
        <v>215</v>
      </c>
      <c r="H326" s="2050" t="str">
        <f>SNI!$G$392</f>
        <v>ltr</v>
      </c>
      <c r="I326" s="2051"/>
      <c r="J326" s="2051"/>
      <c r="K326" s="2052">
        <f>SNI!$L$392</f>
        <v>1</v>
      </c>
      <c r="L326" s="2053"/>
      <c r="M326" s="2054"/>
      <c r="N326" s="2055">
        <f>SNI!$I$392</f>
        <v>45</v>
      </c>
      <c r="O326" s="2056"/>
      <c r="P326" s="1969">
        <f t="shared" si="227"/>
        <v>9675</v>
      </c>
      <c r="Q326" s="1953"/>
      <c r="R326" s="1954"/>
      <c r="S326" s="1954">
        <f t="shared" si="228"/>
        <v>9675</v>
      </c>
      <c r="T326" s="1969">
        <f t="shared" si="229"/>
        <v>0</v>
      </c>
      <c r="U326" s="2060"/>
      <c r="Z326" s="1956"/>
      <c r="AA326" s="1956"/>
      <c r="AF326" s="1836"/>
      <c r="AG326" s="1836"/>
      <c r="AH326" s="1836"/>
      <c r="AI326" s="1837"/>
      <c r="AJ326" s="1960"/>
    </row>
    <row r="327" spans="1:36" ht="21.95" customHeight="1" x14ac:dyDescent="0.2">
      <c r="B327" s="2045"/>
      <c r="C327" s="2046" t="str">
        <f>SNI!$D$394</f>
        <v>Tenaga Kerja</v>
      </c>
      <c r="D327" s="2047"/>
      <c r="E327" s="2047"/>
      <c r="F327" s="2048"/>
      <c r="G327" s="2049"/>
      <c r="H327" s="2050"/>
      <c r="I327" s="2051"/>
      <c r="J327" s="2051"/>
      <c r="K327" s="2052"/>
      <c r="L327" s="2053"/>
      <c r="M327" s="2054"/>
      <c r="N327" s="2055"/>
      <c r="O327" s="2056"/>
      <c r="P327" s="1969"/>
      <c r="Q327" s="1953"/>
      <c r="R327" s="1954"/>
      <c r="S327" s="1954"/>
      <c r="T327" s="1969"/>
      <c r="U327" s="2060"/>
      <c r="Z327" s="1956"/>
      <c r="AA327" s="1956"/>
      <c r="AF327" s="1836"/>
      <c r="AG327" s="1836"/>
      <c r="AH327" s="1836"/>
      <c r="AI327" s="1837"/>
      <c r="AJ327" s="1960"/>
    </row>
    <row r="328" spans="1:36" ht="21.95" customHeight="1" x14ac:dyDescent="0.2">
      <c r="B328" s="2045"/>
      <c r="C328" s="2046"/>
      <c r="D328" s="2047" t="str">
        <f>SNI!$E$394</f>
        <v xml:space="preserve">Pekerja </v>
      </c>
      <c r="E328" s="2047"/>
      <c r="F328" s="2048"/>
      <c r="G328" s="2049">
        <f>SNI!$H$394</f>
        <v>1.65</v>
      </c>
      <c r="H328" s="2050" t="str">
        <f>SNI!$G$394</f>
        <v>OH</v>
      </c>
      <c r="I328" s="2051" t="str">
        <f>SNI!$M$394</f>
        <v>WNI</v>
      </c>
      <c r="J328" s="2051"/>
      <c r="K328" s="2052">
        <f>SNI!$L$394</f>
        <v>1</v>
      </c>
      <c r="L328" s="2053"/>
      <c r="M328" s="2054"/>
      <c r="N328" s="2055">
        <f>SNI!$I$394</f>
        <v>88300</v>
      </c>
      <c r="O328" s="2056"/>
      <c r="P328" s="1969">
        <f t="shared" ref="P328:P331" si="230">N328*G328</f>
        <v>145695</v>
      </c>
      <c r="Q328" s="1953"/>
      <c r="R328" s="1954"/>
      <c r="S328" s="1954">
        <f t="shared" ref="S328:S331" si="231">P328*K328</f>
        <v>145695</v>
      </c>
      <c r="T328" s="1969">
        <f t="shared" ref="T328:T331" si="232">P328-S328</f>
        <v>0</v>
      </c>
      <c r="U328" s="2060"/>
      <c r="Z328" s="1956"/>
      <c r="AA328" s="1956"/>
      <c r="AF328" s="1836"/>
      <c r="AG328" s="1836"/>
      <c r="AH328" s="1836"/>
      <c r="AI328" s="1837"/>
      <c r="AJ328" s="1960"/>
    </row>
    <row r="329" spans="1:36" ht="21.95" customHeight="1" x14ac:dyDescent="0.2">
      <c r="B329" s="2045"/>
      <c r="C329" s="2046"/>
      <c r="D329" s="2047" t="str">
        <f>SNI!$E$395</f>
        <v>Tukang Batu</v>
      </c>
      <c r="E329" s="2047"/>
      <c r="F329" s="2048"/>
      <c r="G329" s="2049">
        <f>SNI!$H$395</f>
        <v>0.27500000000000002</v>
      </c>
      <c r="H329" s="2050" t="str">
        <f>SNI!$G$395</f>
        <v>OH</v>
      </c>
      <c r="I329" s="2051" t="str">
        <f>SNI!$M$395</f>
        <v>WNI</v>
      </c>
      <c r="J329" s="2051"/>
      <c r="K329" s="2052">
        <f>SNI!$L$395</f>
        <v>1</v>
      </c>
      <c r="L329" s="2053"/>
      <c r="M329" s="2054"/>
      <c r="N329" s="2055">
        <f>SNI!$I$395</f>
        <v>90000</v>
      </c>
      <c r="O329" s="2056"/>
      <c r="P329" s="1969">
        <f t="shared" si="230"/>
        <v>24750.000000000004</v>
      </c>
      <c r="Q329" s="1953"/>
      <c r="R329" s="1954"/>
      <c r="S329" s="1954">
        <f t="shared" si="231"/>
        <v>24750.000000000004</v>
      </c>
      <c r="T329" s="1969">
        <f t="shared" si="232"/>
        <v>0</v>
      </c>
      <c r="U329" s="2060"/>
      <c r="Z329" s="1956"/>
      <c r="AA329" s="1956"/>
      <c r="AF329" s="1836"/>
      <c r="AG329" s="1836"/>
      <c r="AH329" s="1836"/>
      <c r="AI329" s="1837"/>
      <c r="AJ329" s="1960"/>
    </row>
    <row r="330" spans="1:36" ht="21.95" customHeight="1" x14ac:dyDescent="0.2">
      <c r="B330" s="2045"/>
      <c r="C330" s="2046"/>
      <c r="D330" s="2047" t="str">
        <f>SNI!$E$396</f>
        <v>Kepala Tukang</v>
      </c>
      <c r="E330" s="2047"/>
      <c r="F330" s="2048"/>
      <c r="G330" s="2049">
        <f>SNI!$H$396</f>
        <v>2.8000000000000001E-2</v>
      </c>
      <c r="H330" s="2050" t="str">
        <f>SNI!$G$396</f>
        <v>OH</v>
      </c>
      <c r="I330" s="2051" t="str">
        <f>SNI!$M$396</f>
        <v>WNI</v>
      </c>
      <c r="J330" s="2051"/>
      <c r="K330" s="2052">
        <f>SNI!$L$396</f>
        <v>1</v>
      </c>
      <c r="L330" s="2053"/>
      <c r="M330" s="2054"/>
      <c r="N330" s="2055">
        <f>SNI!$I$396</f>
        <v>96000</v>
      </c>
      <c r="O330" s="2056"/>
      <c r="P330" s="1969">
        <f t="shared" si="230"/>
        <v>2688</v>
      </c>
      <c r="Q330" s="1953"/>
      <c r="R330" s="1954"/>
      <c r="S330" s="1954">
        <f t="shared" si="231"/>
        <v>2688</v>
      </c>
      <c r="T330" s="1969">
        <f t="shared" si="232"/>
        <v>0</v>
      </c>
      <c r="U330" s="2060"/>
      <c r="Z330" s="1956"/>
      <c r="AA330" s="1956"/>
      <c r="AF330" s="1836"/>
      <c r="AG330" s="1836"/>
      <c r="AH330" s="1836"/>
      <c r="AI330" s="1837"/>
      <c r="AJ330" s="1960"/>
    </row>
    <row r="331" spans="1:36" ht="21.95" customHeight="1" x14ac:dyDescent="0.2">
      <c r="B331" s="2045"/>
      <c r="C331" s="2046"/>
      <c r="D331" s="2047" t="str">
        <f>SNI!$E$397</f>
        <v>Mandor</v>
      </c>
      <c r="E331" s="2047"/>
      <c r="F331" s="2048"/>
      <c r="G331" s="2049">
        <f>SNI!$H$397</f>
        <v>8.3000000000000004E-2</v>
      </c>
      <c r="H331" s="2050" t="str">
        <f>SNI!$G$397</f>
        <v>OH</v>
      </c>
      <c r="I331" s="2051" t="str">
        <f>SNI!$M$397</f>
        <v>WNI</v>
      </c>
      <c r="J331" s="2051"/>
      <c r="K331" s="2052">
        <f>SNI!$L$397</f>
        <v>1</v>
      </c>
      <c r="L331" s="2053"/>
      <c r="M331" s="2054"/>
      <c r="N331" s="2055">
        <f>SNI!$I$397</f>
        <v>90000</v>
      </c>
      <c r="O331" s="2056"/>
      <c r="P331" s="1969">
        <f t="shared" si="230"/>
        <v>7470</v>
      </c>
      <c r="Q331" s="1953"/>
      <c r="R331" s="1954"/>
      <c r="S331" s="1954">
        <f t="shared" si="231"/>
        <v>7470</v>
      </c>
      <c r="T331" s="1969">
        <f t="shared" si="232"/>
        <v>0</v>
      </c>
      <c r="U331" s="2060"/>
      <c r="Z331" s="1956"/>
      <c r="AA331" s="1956"/>
      <c r="AF331" s="1836"/>
      <c r="AG331" s="1836"/>
      <c r="AH331" s="1836"/>
      <c r="AI331" s="1837"/>
      <c r="AJ331" s="1960"/>
    </row>
    <row r="332" spans="1:36" s="1957" customFormat="1" ht="21.95" customHeight="1" x14ac:dyDescent="0.2">
      <c r="A332" s="1942"/>
      <c r="B332" s="1970"/>
      <c r="C332" s="1971"/>
      <c r="D332" s="1972"/>
      <c r="E332" s="1973"/>
      <c r="F332" s="1974" t="s">
        <v>556</v>
      </c>
      <c r="G332" s="1975">
        <f>B321</f>
        <v>17</v>
      </c>
      <c r="H332" s="1976"/>
      <c r="I332" s="1977"/>
      <c r="J332" s="1977"/>
      <c r="K332" s="1978"/>
      <c r="L332" s="1979"/>
      <c r="M332" s="1980"/>
      <c r="N332" s="1981"/>
      <c r="O332" s="1982"/>
      <c r="P332" s="1983">
        <f>SUM(P323:P331)</f>
        <v>987392.28571428568</v>
      </c>
      <c r="Q332" s="1984"/>
      <c r="R332" s="1985"/>
      <c r="S332" s="1983">
        <f>SUM(S323:S331)</f>
        <v>918917.40571428579</v>
      </c>
      <c r="T332" s="1983">
        <f>SUM(T323:T331)</f>
        <v>68474.880000000005</v>
      </c>
      <c r="U332" s="1986"/>
      <c r="V332" s="1848"/>
      <c r="W332" s="1848"/>
      <c r="X332" s="1848"/>
      <c r="Y332" s="1848"/>
      <c r="Z332" s="1956"/>
      <c r="AA332" s="1956"/>
      <c r="AF332" s="1958"/>
      <c r="AG332" s="1958"/>
      <c r="AH332" s="1958"/>
      <c r="AI332" s="1959"/>
      <c r="AJ332" s="1960"/>
    </row>
    <row r="333" spans="1:36" ht="21.95" customHeight="1" x14ac:dyDescent="0.2">
      <c r="A333" s="1833">
        <f>satpek!$B$41</f>
        <v>22</v>
      </c>
      <c r="B333" s="1943">
        <f>B321+1</f>
        <v>18</v>
      </c>
      <c r="C333" s="1937"/>
      <c r="D333" s="1944" t="str">
        <f>VLOOKUP($A333,satpek!$B$20:$N$144,2,0)</f>
        <v>Pembesian 1 kg dengan besi polos atau besi ulir</v>
      </c>
      <c r="E333" s="1944"/>
      <c r="F333" s="2004"/>
      <c r="G333" s="1945">
        <f>'[3]B.VOL RAB'!Q104</f>
        <v>1991.5889437187145</v>
      </c>
      <c r="H333" s="1946" t="str">
        <f>VLOOKUP($A333,satpek!$B$20:$N$144,7,0)</f>
        <v>kg</v>
      </c>
      <c r="I333" s="1947"/>
      <c r="J333" s="1947"/>
      <c r="K333" s="1948"/>
      <c r="L333" s="1949"/>
      <c r="M333" s="1950" t="str">
        <f>VLOOKUP($A333,satpek!$B$20:$N$144,5,0)</f>
        <v>A.4.1.1.17.</v>
      </c>
      <c r="N333" s="1951">
        <f>VLOOKUP($A333,satpek!$B$20:$N$144,6,0)</f>
        <v>15603.94</v>
      </c>
      <c r="O333" s="1938"/>
      <c r="P333" s="1952">
        <f t="shared" si="226"/>
        <v>31076634.379999999</v>
      </c>
      <c r="Q333" s="1953">
        <f>VLOOKUP($A333,satpek!$B$20:$L$138,8,0)</f>
        <v>0.46415793062521393</v>
      </c>
      <c r="R333" s="1954">
        <f>VLOOKUP($A333,satpek!$B$20:$L$138,9,0)</f>
        <v>7242.692500000001</v>
      </c>
      <c r="S333" s="1954">
        <f>VLOOKUP($A333,satpek!$B$20:$L$138,10,0)</f>
        <v>8184.2425250000015</v>
      </c>
      <c r="T333" s="1952">
        <f>S333*G333</f>
        <v>16299646.925502539</v>
      </c>
      <c r="U333" s="1955"/>
      <c r="X333" s="1848">
        <f>P342</f>
        <v>13808.800000000001</v>
      </c>
      <c r="Y333" s="1848">
        <f>S342</f>
        <v>7242.6925000000001</v>
      </c>
      <c r="Z333" s="1956">
        <v>2046.154983775577</v>
      </c>
      <c r="AA333" s="1956">
        <f>Z333-G333</f>
        <v>54.566040056862448</v>
      </c>
      <c r="AB333" s="1836" t="s">
        <v>420</v>
      </c>
      <c r="AF333" s="1836"/>
      <c r="AG333" s="1836"/>
      <c r="AH333" s="1836"/>
      <c r="AI333" s="1837">
        <v>15438.06</v>
      </c>
      <c r="AJ333" s="1960">
        <f>AI333-N333</f>
        <v>-165.88000000000102</v>
      </c>
    </row>
    <row r="334" spans="1:36" ht="21.95" customHeight="1" x14ac:dyDescent="0.2">
      <c r="B334" s="2045"/>
      <c r="C334" s="2046" t="str">
        <f>SNI!$D$410</f>
        <v>Bahan</v>
      </c>
      <c r="D334" s="2047"/>
      <c r="E334" s="2047"/>
      <c r="F334" s="2048"/>
      <c r="G334" s="2049"/>
      <c r="H334" s="2050"/>
      <c r="I334" s="2051"/>
      <c r="J334" s="2051"/>
      <c r="K334" s="2052"/>
      <c r="L334" s="2053"/>
      <c r="M334" s="2054"/>
      <c r="N334" s="2055"/>
      <c r="O334" s="2056"/>
      <c r="P334" s="2057"/>
      <c r="Q334" s="2058"/>
      <c r="R334" s="2059"/>
      <c r="S334" s="2059"/>
      <c r="T334" s="2057"/>
      <c r="U334" s="2060"/>
      <c r="Z334" s="1956"/>
      <c r="AA334" s="1956"/>
      <c r="AF334" s="1836"/>
      <c r="AG334" s="1836"/>
      <c r="AH334" s="1836"/>
      <c r="AI334" s="1837"/>
      <c r="AJ334" s="1960"/>
    </row>
    <row r="335" spans="1:36" ht="21.95" customHeight="1" x14ac:dyDescent="0.2">
      <c r="B335" s="2045"/>
      <c r="C335" s="2046"/>
      <c r="D335" s="2047" t="str">
        <f>SNI!$E$410</f>
        <v>Besi Beton ( polos/ulir )</v>
      </c>
      <c r="E335" s="2047"/>
      <c r="F335" s="2048"/>
      <c r="G335" s="2049">
        <f>SNI!$H$410/10</f>
        <v>1.05</v>
      </c>
      <c r="H335" s="2050" t="str">
        <f>SNI!$G$410</f>
        <v>kg</v>
      </c>
      <c r="I335" s="2051"/>
      <c r="J335" s="2051"/>
      <c r="K335" s="2052">
        <f>SNI!$L$410</f>
        <v>0.4879</v>
      </c>
      <c r="L335" s="2053"/>
      <c r="M335" s="2054"/>
      <c r="N335" s="2055">
        <f>SNI!$I$410</f>
        <v>11500</v>
      </c>
      <c r="O335" s="2056"/>
      <c r="P335" s="1969">
        <f t="shared" ref="P335:P336" si="233">N335*G335</f>
        <v>12075</v>
      </c>
      <c r="Q335" s="1953"/>
      <c r="R335" s="1954"/>
      <c r="S335" s="1954">
        <f t="shared" ref="S335:S336" si="234">P335*K335</f>
        <v>5891.3924999999999</v>
      </c>
      <c r="T335" s="1969">
        <f t="shared" ref="T335:T336" si="235">P335-S335</f>
        <v>6183.6075000000001</v>
      </c>
      <c r="U335" s="2060"/>
      <c r="Z335" s="1956"/>
      <c r="AA335" s="1956"/>
      <c r="AF335" s="1836"/>
      <c r="AG335" s="1836"/>
      <c r="AH335" s="1836"/>
      <c r="AI335" s="1837"/>
      <c r="AJ335" s="1960"/>
    </row>
    <row r="336" spans="1:36" ht="21.95" customHeight="1" x14ac:dyDescent="0.2">
      <c r="B336" s="2045"/>
      <c r="C336" s="2046"/>
      <c r="D336" s="2047" t="str">
        <f>SNI!$E$411</f>
        <v>Kawat Beton</v>
      </c>
      <c r="E336" s="2047"/>
      <c r="F336" s="2048"/>
      <c r="G336" s="2049">
        <f>SNI!$H$411/10</f>
        <v>1.4999999999999999E-2</v>
      </c>
      <c r="H336" s="2050" t="str">
        <f>SNI!G547</f>
        <v>m3</v>
      </c>
      <c r="I336" s="2051"/>
      <c r="J336" s="2051"/>
      <c r="K336" s="2052">
        <f>SNI!$L$411</f>
        <v>0</v>
      </c>
      <c r="L336" s="2053"/>
      <c r="M336" s="2054"/>
      <c r="N336" s="2055">
        <f>SNI!$I$411</f>
        <v>25500</v>
      </c>
      <c r="O336" s="2056"/>
      <c r="P336" s="1969">
        <f t="shared" si="233"/>
        <v>382.5</v>
      </c>
      <c r="Q336" s="1953"/>
      <c r="R336" s="1954"/>
      <c r="S336" s="1954">
        <f t="shared" si="234"/>
        <v>0</v>
      </c>
      <c r="T336" s="1969">
        <f t="shared" si="235"/>
        <v>382.5</v>
      </c>
      <c r="U336" s="2060"/>
      <c r="Z336" s="1956"/>
      <c r="AA336" s="1956"/>
      <c r="AF336" s="1836"/>
      <c r="AG336" s="1836"/>
      <c r="AH336" s="1836"/>
      <c r="AI336" s="1837"/>
      <c r="AJ336" s="1960"/>
    </row>
    <row r="337" spans="1:36" ht="21.95" customHeight="1" x14ac:dyDescent="0.2">
      <c r="B337" s="2045"/>
      <c r="C337" s="2046" t="str">
        <f>SNI!$D$413</f>
        <v>Tenaga Kerja</v>
      </c>
      <c r="D337" s="2047"/>
      <c r="E337" s="2047"/>
      <c r="F337" s="2048"/>
      <c r="G337" s="2049"/>
      <c r="H337" s="2050"/>
      <c r="I337" s="2051"/>
      <c r="J337" s="2051"/>
      <c r="K337" s="2052"/>
      <c r="L337" s="2053"/>
      <c r="M337" s="2054"/>
      <c r="N337" s="2055"/>
      <c r="O337" s="2056"/>
      <c r="P337" s="1969"/>
      <c r="Q337" s="1953"/>
      <c r="R337" s="1954"/>
      <c r="S337" s="1954"/>
      <c r="T337" s="1969"/>
      <c r="U337" s="2060"/>
      <c r="Z337" s="1956"/>
      <c r="AA337" s="1956"/>
      <c r="AF337" s="1836"/>
      <c r="AG337" s="1836"/>
      <c r="AH337" s="1836"/>
      <c r="AI337" s="1837"/>
      <c r="AJ337" s="1960"/>
    </row>
    <row r="338" spans="1:36" ht="21.95" customHeight="1" x14ac:dyDescent="0.2">
      <c r="B338" s="2045"/>
      <c r="C338" s="2046"/>
      <c r="D338" s="2047" t="str">
        <f>SNI!$E$413</f>
        <v xml:space="preserve">Pekerja </v>
      </c>
      <c r="E338" s="2047"/>
      <c r="F338" s="2048"/>
      <c r="G338" s="2049">
        <f>SNI!$H$413/10</f>
        <v>7.000000000000001E-3</v>
      </c>
      <c r="H338" s="2050" t="str">
        <f>SNI!$G$413</f>
        <v>OH</v>
      </c>
      <c r="I338" s="2051" t="str">
        <f>SNI!$M$413</f>
        <v>WNI</v>
      </c>
      <c r="J338" s="2051"/>
      <c r="K338" s="2052">
        <f>SNI!$L$413</f>
        <v>1</v>
      </c>
      <c r="L338" s="2053"/>
      <c r="M338" s="2054"/>
      <c r="N338" s="2055">
        <f>SNI!$I$413</f>
        <v>88300</v>
      </c>
      <c r="O338" s="2056"/>
      <c r="P338" s="1969">
        <f t="shared" ref="P338:P341" si="236">N338*G338</f>
        <v>618.10000000000014</v>
      </c>
      <c r="Q338" s="1953"/>
      <c r="R338" s="1954"/>
      <c r="S338" s="1954">
        <f t="shared" ref="S338:S341" si="237">P338*K338</f>
        <v>618.10000000000014</v>
      </c>
      <c r="T338" s="1969">
        <f t="shared" ref="T338:T341" si="238">P338-S338</f>
        <v>0</v>
      </c>
      <c r="U338" s="2060"/>
      <c r="Z338" s="1956"/>
      <c r="AA338" s="1956"/>
      <c r="AF338" s="1836"/>
      <c r="AG338" s="1836"/>
      <c r="AH338" s="1836"/>
      <c r="AI338" s="1837"/>
      <c r="AJ338" s="1960"/>
    </row>
    <row r="339" spans="1:36" ht="21.95" customHeight="1" x14ac:dyDescent="0.2">
      <c r="B339" s="2045"/>
      <c r="C339" s="2046"/>
      <c r="D339" s="2047" t="str">
        <f>SNI!$E$414</f>
        <v>Tukang Besi</v>
      </c>
      <c r="E339" s="2047"/>
      <c r="F339" s="2048"/>
      <c r="G339" s="2049">
        <f>SNI!$H$414/10</f>
        <v>7.000000000000001E-3</v>
      </c>
      <c r="H339" s="2050" t="str">
        <f>SNI!$G$414</f>
        <v>OH</v>
      </c>
      <c r="I339" s="2051" t="str">
        <f>SNI!$M$414</f>
        <v>WNI</v>
      </c>
      <c r="J339" s="2051"/>
      <c r="K339" s="2052">
        <f>SNI!$L$414</f>
        <v>1</v>
      </c>
      <c r="L339" s="2053"/>
      <c r="M339" s="2054"/>
      <c r="N339" s="2055">
        <f>SNI!$I$414</f>
        <v>90000</v>
      </c>
      <c r="O339" s="2056"/>
      <c r="P339" s="1969">
        <f t="shared" si="236"/>
        <v>630.00000000000011</v>
      </c>
      <c r="Q339" s="1953"/>
      <c r="R339" s="1954"/>
      <c r="S339" s="1954">
        <f t="shared" si="237"/>
        <v>630.00000000000011</v>
      </c>
      <c r="T339" s="1969">
        <f t="shared" si="238"/>
        <v>0</v>
      </c>
      <c r="U339" s="2060"/>
      <c r="Z339" s="1956"/>
      <c r="AA339" s="1956"/>
      <c r="AF339" s="1836"/>
      <c r="AG339" s="1836"/>
      <c r="AH339" s="1836"/>
      <c r="AI339" s="1837"/>
      <c r="AJ339" s="1960"/>
    </row>
    <row r="340" spans="1:36" ht="21.95" customHeight="1" x14ac:dyDescent="0.2">
      <c r="B340" s="2045"/>
      <c r="C340" s="2046"/>
      <c r="D340" s="2047" t="str">
        <f>SNI!$E$415</f>
        <v>Kepala Tukang</v>
      </c>
      <c r="E340" s="2047"/>
      <c r="F340" s="2048"/>
      <c r="G340" s="2049">
        <f>SNI!$H$415/10</f>
        <v>6.9999999999999999E-4</v>
      </c>
      <c r="H340" s="2050" t="str">
        <f>SNI!$G$415</f>
        <v>OH</v>
      </c>
      <c r="I340" s="2051" t="str">
        <f>SNI!$M$415</f>
        <v>WNI</v>
      </c>
      <c r="J340" s="2051"/>
      <c r="K340" s="2052">
        <f>SNI!$L$415</f>
        <v>1</v>
      </c>
      <c r="L340" s="2053"/>
      <c r="M340" s="2054"/>
      <c r="N340" s="2055">
        <f>SNI!$I$415</f>
        <v>96000</v>
      </c>
      <c r="O340" s="2056"/>
      <c r="P340" s="1969">
        <f t="shared" si="236"/>
        <v>67.2</v>
      </c>
      <c r="Q340" s="1953"/>
      <c r="R340" s="1954"/>
      <c r="S340" s="1954">
        <f t="shared" si="237"/>
        <v>67.2</v>
      </c>
      <c r="T340" s="1969">
        <f t="shared" si="238"/>
        <v>0</v>
      </c>
      <c r="U340" s="2060"/>
      <c r="Z340" s="1956"/>
      <c r="AA340" s="1956"/>
      <c r="AF340" s="1836"/>
      <c r="AG340" s="1836"/>
      <c r="AH340" s="1836"/>
      <c r="AI340" s="1837"/>
      <c r="AJ340" s="1960"/>
    </row>
    <row r="341" spans="1:36" ht="21.95" customHeight="1" x14ac:dyDescent="0.2">
      <c r="B341" s="2045"/>
      <c r="C341" s="2046"/>
      <c r="D341" s="2047" t="str">
        <f>SNI!$E$416</f>
        <v>Mandor</v>
      </c>
      <c r="E341" s="2047"/>
      <c r="F341" s="2048"/>
      <c r="G341" s="2049">
        <f>SNI!$H$416/10</f>
        <v>4.0000000000000002E-4</v>
      </c>
      <c r="H341" s="2050" t="str">
        <f>SNI!$G$416</f>
        <v>OH</v>
      </c>
      <c r="I341" s="2051" t="str">
        <f>SNI!$M$416</f>
        <v>WNI</v>
      </c>
      <c r="J341" s="2051"/>
      <c r="K341" s="2052">
        <f>SNI!$L$416</f>
        <v>1</v>
      </c>
      <c r="L341" s="2053"/>
      <c r="M341" s="2054"/>
      <c r="N341" s="2055">
        <f>SNI!$I$416</f>
        <v>90000</v>
      </c>
      <c r="O341" s="2056"/>
      <c r="P341" s="1969">
        <f t="shared" si="236"/>
        <v>36</v>
      </c>
      <c r="Q341" s="1953"/>
      <c r="R341" s="1954"/>
      <c r="S341" s="1954">
        <f t="shared" si="237"/>
        <v>36</v>
      </c>
      <c r="T341" s="1969">
        <f t="shared" si="238"/>
        <v>0</v>
      </c>
      <c r="U341" s="2060"/>
      <c r="Z341" s="1956"/>
      <c r="AA341" s="1956"/>
      <c r="AF341" s="1836"/>
      <c r="AG341" s="1836"/>
      <c r="AH341" s="1836"/>
      <c r="AI341" s="1837"/>
      <c r="AJ341" s="1960"/>
    </row>
    <row r="342" spans="1:36" s="1957" customFormat="1" ht="21.95" customHeight="1" x14ac:dyDescent="0.2">
      <c r="A342" s="1942"/>
      <c r="B342" s="1970"/>
      <c r="C342" s="1971"/>
      <c r="D342" s="1972"/>
      <c r="E342" s="1973"/>
      <c r="F342" s="1974" t="s">
        <v>556</v>
      </c>
      <c r="G342" s="1975">
        <f>B333</f>
        <v>18</v>
      </c>
      <c r="H342" s="1976"/>
      <c r="I342" s="1977"/>
      <c r="J342" s="1977"/>
      <c r="K342" s="1978"/>
      <c r="L342" s="1979"/>
      <c r="M342" s="1980"/>
      <c r="N342" s="1981"/>
      <c r="O342" s="1982"/>
      <c r="P342" s="1983">
        <f>SUM(P335:P341)</f>
        <v>13808.800000000001</v>
      </c>
      <c r="Q342" s="1984"/>
      <c r="R342" s="1985"/>
      <c r="S342" s="1983">
        <f t="shared" ref="S342" si="239">SUM(S335:S341)</f>
        <v>7242.6925000000001</v>
      </c>
      <c r="T342" s="1983">
        <f t="shared" ref="T342" si="240">SUM(T335:T341)</f>
        <v>6566.1075000000001</v>
      </c>
      <c r="U342" s="1986"/>
      <c r="V342" s="1848"/>
      <c r="W342" s="1848"/>
      <c r="X342" s="1848"/>
      <c r="Y342" s="1848"/>
      <c r="Z342" s="1956"/>
      <c r="AA342" s="1956"/>
      <c r="AF342" s="1958"/>
      <c r="AG342" s="1958"/>
      <c r="AH342" s="1958"/>
      <c r="AI342" s="1959"/>
      <c r="AJ342" s="1960"/>
    </row>
    <row r="343" spans="1:36" ht="21.95" customHeight="1" x14ac:dyDescent="0.2">
      <c r="A343" s="1833">
        <f>satpek!$B$44</f>
        <v>25</v>
      </c>
      <c r="B343" s="1943">
        <f>B333+1</f>
        <v>19</v>
      </c>
      <c r="C343" s="1937"/>
      <c r="D343" s="1944" t="str">
        <f>VLOOKUP($A343,satpek!$B$20:$N$144,2,0)</f>
        <v>Memasang bekisting untuk kolom (2 kali pakai)</v>
      </c>
      <c r="E343" s="1944"/>
      <c r="F343" s="2004"/>
      <c r="G343" s="1945">
        <f>'[3]B.VOL RAB'!Q106</f>
        <v>57.600000000000009</v>
      </c>
      <c r="H343" s="1946" t="str">
        <f>VLOOKUP($A343,satpek!$B$20:$N$144,7,0)</f>
        <v>m2</v>
      </c>
      <c r="I343" s="1947"/>
      <c r="J343" s="1947"/>
      <c r="K343" s="1948"/>
      <c r="L343" s="1949"/>
      <c r="M343" s="1950" t="str">
        <f>VLOOKUP($A343,satpek!$B$20:$N$144,5,0)</f>
        <v>A.4.1.1.22.</v>
      </c>
      <c r="N343" s="1951">
        <f>VLOOKUP($A343,satpek!$B$20:$N$144,6,0)</f>
        <v>192050.28</v>
      </c>
      <c r="O343" s="1938"/>
      <c r="P343" s="1952">
        <f t="shared" si="226"/>
        <v>11062096.130000001</v>
      </c>
      <c r="Q343" s="1953">
        <f>VLOOKUP($A343,satpek!$B$20:$L$138,8,0)</f>
        <v>0.82830850337734474</v>
      </c>
      <c r="R343" s="1954">
        <f>VLOOKUP($A343,satpek!$B$20:$L$138,9,0)</f>
        <v>140776</v>
      </c>
      <c r="S343" s="1954">
        <f>VLOOKUP($A343,satpek!$B$20:$L$138,10,0)</f>
        <v>159076.88</v>
      </c>
      <c r="T343" s="1952">
        <f>S343*G343</f>
        <v>9162828.2880000025</v>
      </c>
      <c r="U343" s="1955"/>
      <c r="X343" s="1848">
        <f>P357</f>
        <v>169956</v>
      </c>
      <c r="Y343" s="1848">
        <f>S357</f>
        <v>140776</v>
      </c>
      <c r="Z343" s="1956">
        <v>64.8</v>
      </c>
      <c r="AA343" s="1956">
        <f>Z343-G343</f>
        <v>7.1999999999999886</v>
      </c>
      <c r="AB343" s="1836" t="s">
        <v>1908</v>
      </c>
      <c r="AF343" s="1836"/>
      <c r="AG343" s="1836"/>
      <c r="AH343" s="1836"/>
      <c r="AI343" s="1837">
        <v>193211.91999999998</v>
      </c>
      <c r="AJ343" s="1960">
        <f>AI343-N343</f>
        <v>1161.6399999999849</v>
      </c>
    </row>
    <row r="344" spans="1:36" ht="21.95" customHeight="1" x14ac:dyDescent="0.2">
      <c r="B344" s="2045"/>
      <c r="C344" s="2046" t="str">
        <f>SNI!$D$473</f>
        <v>Bahan</v>
      </c>
      <c r="D344" s="2047"/>
      <c r="E344" s="2047"/>
      <c r="F344" s="2048"/>
      <c r="G344" s="2049"/>
      <c r="H344" s="2050"/>
      <c r="I344" s="2051"/>
      <c r="J344" s="2051"/>
      <c r="K344" s="2052"/>
      <c r="L344" s="2053"/>
      <c r="M344" s="2054"/>
      <c r="N344" s="2055"/>
      <c r="O344" s="2056"/>
      <c r="P344" s="2057"/>
      <c r="Q344" s="2058"/>
      <c r="R344" s="2059"/>
      <c r="S344" s="2059"/>
      <c r="T344" s="2055"/>
      <c r="U344" s="2060"/>
      <c r="Z344" s="1956"/>
      <c r="AA344" s="1956"/>
      <c r="AF344" s="1836"/>
      <c r="AG344" s="1836"/>
      <c r="AH344" s="1836"/>
      <c r="AI344" s="1837"/>
      <c r="AJ344" s="1960"/>
    </row>
    <row r="345" spans="1:36" ht="21.95" customHeight="1" x14ac:dyDescent="0.2">
      <c r="B345" s="2045"/>
      <c r="C345" s="2046"/>
      <c r="D345" s="2047" t="str">
        <f>SNI!$E$473</f>
        <v>Kayu kelas III</v>
      </c>
      <c r="E345" s="2047"/>
      <c r="F345" s="2048"/>
      <c r="G345" s="2049">
        <f>SNI!$H$473</f>
        <v>0.02</v>
      </c>
      <c r="H345" s="2050" t="str">
        <f>SNI!$G$473</f>
        <v>m3</v>
      </c>
      <c r="I345" s="2051"/>
      <c r="J345" s="2051"/>
      <c r="K345" s="2052">
        <f>SNI!$L$473</f>
        <v>1</v>
      </c>
      <c r="L345" s="2053"/>
      <c r="M345" s="2054"/>
      <c r="N345" s="2055">
        <f>SNI!$I$473</f>
        <v>1100000</v>
      </c>
      <c r="O345" s="2056"/>
      <c r="P345" s="1969">
        <f t="shared" ref="P345" si="241">N345*G345</f>
        <v>22000</v>
      </c>
      <c r="Q345" s="1953"/>
      <c r="R345" s="1954"/>
      <c r="S345" s="1954">
        <f t="shared" ref="S345" si="242">P345*K345</f>
        <v>22000</v>
      </c>
      <c r="T345" s="1969">
        <f t="shared" ref="T345" si="243">P345-S345</f>
        <v>0</v>
      </c>
      <c r="U345" s="2060"/>
      <c r="Z345" s="1956"/>
      <c r="AA345" s="1956"/>
      <c r="AF345" s="1836"/>
      <c r="AG345" s="1836"/>
      <c r="AH345" s="1836"/>
      <c r="AI345" s="1837"/>
      <c r="AJ345" s="1960"/>
    </row>
    <row r="346" spans="1:36" ht="21.95" customHeight="1" x14ac:dyDescent="0.2">
      <c r="B346" s="2045"/>
      <c r="C346" s="2046"/>
      <c r="D346" s="2047" t="str">
        <f>SNI!$E$474</f>
        <v>Paku 5 cm - 12 cm</v>
      </c>
      <c r="E346" s="2047"/>
      <c r="F346" s="2048"/>
      <c r="G346" s="2049">
        <f>SNI!$H$474</f>
        <v>0.4</v>
      </c>
      <c r="H346" s="2050" t="str">
        <f>SNI!$G$474</f>
        <v>kg</v>
      </c>
      <c r="I346" s="2051"/>
      <c r="J346" s="2051"/>
      <c r="K346" s="2052">
        <f>SNI!$L$474</f>
        <v>0</v>
      </c>
      <c r="L346" s="2053"/>
      <c r="M346" s="2054"/>
      <c r="N346" s="2055">
        <f>SNI!$I$474</f>
        <v>17000</v>
      </c>
      <c r="O346" s="2056"/>
      <c r="P346" s="1969">
        <f t="shared" ref="P346:P355" si="244">N346*G346</f>
        <v>6800</v>
      </c>
      <c r="Q346" s="1953"/>
      <c r="R346" s="1954"/>
      <c r="S346" s="1954">
        <f t="shared" ref="S346:S355" si="245">P346*K346</f>
        <v>0</v>
      </c>
      <c r="T346" s="1969">
        <f t="shared" ref="T346:T355" si="246">P346-S346</f>
        <v>6800</v>
      </c>
      <c r="U346" s="2060"/>
      <c r="Z346" s="1956"/>
      <c r="AA346" s="1956"/>
      <c r="AF346" s="1836"/>
      <c r="AG346" s="1836"/>
      <c r="AH346" s="1836"/>
      <c r="AI346" s="1837"/>
      <c r="AJ346" s="1960"/>
    </row>
    <row r="347" spans="1:36" ht="21.95" customHeight="1" x14ac:dyDescent="0.2">
      <c r="B347" s="2045"/>
      <c r="C347" s="2046"/>
      <c r="D347" s="2047" t="str">
        <f>SNI!$E$475</f>
        <v>Minyak Bekisting</v>
      </c>
      <c r="E347" s="2047"/>
      <c r="F347" s="2048"/>
      <c r="G347" s="2049">
        <f>SNI!$H$475</f>
        <v>0.2</v>
      </c>
      <c r="H347" s="2050" t="str">
        <f>SNI!$G$475</f>
        <v>ltr</v>
      </c>
      <c r="I347" s="2051"/>
      <c r="J347" s="2051"/>
      <c r="K347" s="2052">
        <f>SNI!$L$475</f>
        <v>0</v>
      </c>
      <c r="L347" s="2053"/>
      <c r="M347" s="2054"/>
      <c r="N347" s="2055">
        <f>SNI!$I$475</f>
        <v>6900</v>
      </c>
      <c r="O347" s="2056"/>
      <c r="P347" s="1969">
        <f t="shared" si="244"/>
        <v>1380</v>
      </c>
      <c r="Q347" s="1953"/>
      <c r="R347" s="1954"/>
      <c r="S347" s="1954">
        <f t="shared" si="245"/>
        <v>0</v>
      </c>
      <c r="T347" s="1969">
        <f t="shared" si="246"/>
        <v>1380</v>
      </c>
      <c r="U347" s="2060"/>
      <c r="Z347" s="1956"/>
      <c r="AA347" s="1956"/>
      <c r="AF347" s="1836"/>
      <c r="AG347" s="1836"/>
      <c r="AH347" s="1836"/>
      <c r="AI347" s="1837"/>
      <c r="AJ347" s="1960"/>
    </row>
    <row r="348" spans="1:36" ht="21.95" customHeight="1" x14ac:dyDescent="0.2">
      <c r="B348" s="2045"/>
      <c r="C348" s="2046"/>
      <c r="D348" s="2047" t="str">
        <f>SNI!$E$476</f>
        <v>Balok kayu kelas II</v>
      </c>
      <c r="E348" s="2047"/>
      <c r="F348" s="2048"/>
      <c r="G348" s="2049">
        <f>SNI!$H$476</f>
        <v>7.4999999999999997E-3</v>
      </c>
      <c r="H348" s="2050" t="str">
        <f>SNI!$G$476</f>
        <v>m3</v>
      </c>
      <c r="I348" s="2051"/>
      <c r="J348" s="2051"/>
      <c r="K348" s="2052">
        <f>SNI!$L$476</f>
        <v>1</v>
      </c>
      <c r="L348" s="2053"/>
      <c r="M348" s="2054"/>
      <c r="N348" s="2055">
        <f>SNI!$I$476</f>
        <v>1600000</v>
      </c>
      <c r="O348" s="2056"/>
      <c r="P348" s="1969">
        <f t="shared" si="244"/>
        <v>12000</v>
      </c>
      <c r="Q348" s="1953"/>
      <c r="R348" s="1954"/>
      <c r="S348" s="1954">
        <f t="shared" si="245"/>
        <v>12000</v>
      </c>
      <c r="T348" s="1969">
        <f t="shared" si="246"/>
        <v>0</v>
      </c>
      <c r="U348" s="2060"/>
      <c r="Z348" s="1956"/>
      <c r="AA348" s="1956"/>
      <c r="AF348" s="1836"/>
      <c r="AG348" s="1836"/>
      <c r="AH348" s="1836"/>
      <c r="AI348" s="1837"/>
      <c r="AJ348" s="1960"/>
    </row>
    <row r="349" spans="1:36" ht="21.95" customHeight="1" x14ac:dyDescent="0.2">
      <c r="B349" s="2045"/>
      <c r="C349" s="2046"/>
      <c r="D349" s="2047" t="str">
        <f>SNI!$E$477</f>
        <v>Plywood tebal 9 mm</v>
      </c>
      <c r="E349" s="2047"/>
      <c r="F349" s="2048"/>
      <c r="G349" s="2049">
        <f>SNI!$H$477</f>
        <v>0.17499999999999999</v>
      </c>
      <c r="H349" s="2050" t="str">
        <f>SNI!$G$477</f>
        <v>lbr</v>
      </c>
      <c r="I349" s="2051"/>
      <c r="J349" s="2051"/>
      <c r="K349" s="2052">
        <f>SNI!$L$477</f>
        <v>0</v>
      </c>
      <c r="L349" s="2053"/>
      <c r="M349" s="2054"/>
      <c r="N349" s="2055">
        <f>SNI!$I$477</f>
        <v>120000</v>
      </c>
      <c r="O349" s="2056"/>
      <c r="P349" s="1969">
        <f t="shared" si="244"/>
        <v>21000</v>
      </c>
      <c r="Q349" s="1953"/>
      <c r="R349" s="1954"/>
      <c r="S349" s="1954">
        <f t="shared" si="245"/>
        <v>0</v>
      </c>
      <c r="T349" s="1969">
        <f t="shared" si="246"/>
        <v>21000</v>
      </c>
      <c r="U349" s="2060"/>
      <c r="Z349" s="1956"/>
      <c r="AA349" s="1956"/>
      <c r="AF349" s="1836"/>
      <c r="AG349" s="1836"/>
      <c r="AH349" s="1836"/>
      <c r="AI349" s="1837"/>
      <c r="AJ349" s="1960"/>
    </row>
    <row r="350" spans="1:36" ht="21.95" customHeight="1" x14ac:dyDescent="0.2">
      <c r="B350" s="2045"/>
      <c r="C350" s="2046"/>
      <c r="D350" s="2047" t="str">
        <f>SNI!$E$478</f>
        <v>Dolken kayu galam,</v>
      </c>
      <c r="E350" s="2047"/>
      <c r="F350" s="2048"/>
      <c r="G350" s="2049">
        <f>SNI!$H$478</f>
        <v>1</v>
      </c>
      <c r="H350" s="2050" t="str">
        <f>SNI!$G$478</f>
        <v>btg</v>
      </c>
      <c r="I350" s="2051"/>
      <c r="J350" s="2051"/>
      <c r="K350" s="2052">
        <f>SNI!$L$478</f>
        <v>1</v>
      </c>
      <c r="L350" s="2053"/>
      <c r="M350" s="2054"/>
      <c r="N350" s="2055">
        <f>SNI!$I$478</f>
        <v>12000</v>
      </c>
      <c r="O350" s="2056"/>
      <c r="P350" s="1969">
        <f t="shared" si="244"/>
        <v>12000</v>
      </c>
      <c r="Q350" s="1953"/>
      <c r="R350" s="1954"/>
      <c r="S350" s="1954">
        <f t="shared" si="245"/>
        <v>12000</v>
      </c>
      <c r="T350" s="1969">
        <f t="shared" si="246"/>
        <v>0</v>
      </c>
      <c r="U350" s="2060"/>
      <c r="Z350" s="1956"/>
      <c r="AA350" s="1956"/>
      <c r="AF350" s="1836"/>
      <c r="AG350" s="1836"/>
      <c r="AH350" s="1836"/>
      <c r="AI350" s="1837"/>
      <c r="AJ350" s="1960"/>
    </row>
    <row r="351" spans="1:36" ht="21.95" customHeight="1" x14ac:dyDescent="0.2">
      <c r="B351" s="2045"/>
      <c r="C351" s="2046"/>
      <c r="D351" s="2047" t="str">
        <f>SNI!$E$479</f>
        <v>Ø (8 - 10) cm, panj 4 m</v>
      </c>
      <c r="E351" s="2047"/>
      <c r="F351" s="2048"/>
      <c r="G351" s="2049"/>
      <c r="H351" s="2050"/>
      <c r="I351" s="2051"/>
      <c r="J351" s="2051"/>
      <c r="K351" s="2052"/>
      <c r="L351" s="2053"/>
      <c r="M351" s="2054"/>
      <c r="N351" s="2055"/>
      <c r="O351" s="2056"/>
      <c r="P351" s="1969"/>
      <c r="Q351" s="1953"/>
      <c r="R351" s="1954"/>
      <c r="S351" s="1954"/>
      <c r="T351" s="1969"/>
      <c r="U351" s="2060"/>
      <c r="Z351" s="1956"/>
      <c r="AA351" s="1956"/>
      <c r="AF351" s="1836"/>
      <c r="AG351" s="1836"/>
      <c r="AH351" s="1836"/>
      <c r="AI351" s="1837"/>
      <c r="AJ351" s="1960"/>
    </row>
    <row r="352" spans="1:36" ht="21.95" customHeight="1" x14ac:dyDescent="0.2">
      <c r="B352" s="2045"/>
      <c r="C352" s="2046" t="str">
        <f>SNI!$D$481</f>
        <v>Tenaga Kerja</v>
      </c>
      <c r="D352" s="2047"/>
      <c r="E352" s="2047"/>
      <c r="F352" s="2048"/>
      <c r="G352" s="2049"/>
      <c r="H352" s="2050"/>
      <c r="I352" s="2051"/>
      <c r="J352" s="2051"/>
      <c r="K352" s="2052"/>
      <c r="L352" s="2053"/>
      <c r="M352" s="2054"/>
      <c r="N352" s="2055"/>
      <c r="O352" s="2056"/>
      <c r="P352" s="1969"/>
      <c r="Q352" s="1953"/>
      <c r="R352" s="1954"/>
      <c r="S352" s="1954"/>
      <c r="T352" s="1969"/>
      <c r="U352" s="2060"/>
      <c r="Z352" s="1956"/>
      <c r="AA352" s="1956"/>
      <c r="AF352" s="1836"/>
      <c r="AG352" s="1836"/>
      <c r="AH352" s="1836"/>
      <c r="AI352" s="1837"/>
      <c r="AJ352" s="1960"/>
    </row>
    <row r="353" spans="1:36" ht="21.95" customHeight="1" x14ac:dyDescent="0.2">
      <c r="B353" s="2045"/>
      <c r="C353" s="2046"/>
      <c r="D353" s="2047" t="str">
        <f>SNI!$E$481</f>
        <v xml:space="preserve">Pekerja </v>
      </c>
      <c r="E353" s="2047"/>
      <c r="F353" s="2048"/>
      <c r="G353" s="2049">
        <f>SNI!$H$481</f>
        <v>0.66</v>
      </c>
      <c r="H353" s="2050" t="str">
        <f>SNI!$G$481</f>
        <v>OH</v>
      </c>
      <c r="I353" s="2051" t="str">
        <f>SNI!$M$481</f>
        <v>WNI</v>
      </c>
      <c r="J353" s="2051"/>
      <c r="K353" s="2052">
        <f>SNI!$L$481</f>
        <v>1</v>
      </c>
      <c r="L353" s="2053"/>
      <c r="M353" s="2054"/>
      <c r="N353" s="2055">
        <f>SNI!$I$481</f>
        <v>88300</v>
      </c>
      <c r="O353" s="2056"/>
      <c r="P353" s="1969">
        <f t="shared" si="244"/>
        <v>58278</v>
      </c>
      <c r="Q353" s="1953"/>
      <c r="R353" s="1954"/>
      <c r="S353" s="1954">
        <f t="shared" si="245"/>
        <v>58278</v>
      </c>
      <c r="T353" s="1969">
        <f t="shared" si="246"/>
        <v>0</v>
      </c>
      <c r="U353" s="2060"/>
      <c r="Z353" s="1956"/>
      <c r="AA353" s="1956"/>
      <c r="AF353" s="1836"/>
      <c r="AG353" s="1836"/>
      <c r="AH353" s="1836"/>
      <c r="AI353" s="1837"/>
      <c r="AJ353" s="1960"/>
    </row>
    <row r="354" spans="1:36" ht="21.95" customHeight="1" x14ac:dyDescent="0.2">
      <c r="B354" s="2045"/>
      <c r="C354" s="2046"/>
      <c r="D354" s="2047" t="str">
        <f>SNI!$E$482</f>
        <v>Tukang Kayu</v>
      </c>
      <c r="E354" s="2047"/>
      <c r="F354" s="2048"/>
      <c r="G354" s="2049">
        <f>SNI!$H$482</f>
        <v>0.33</v>
      </c>
      <c r="H354" s="2050" t="str">
        <f>SNI!$G$482</f>
        <v>OH</v>
      </c>
      <c r="I354" s="2051" t="str">
        <f>SNI!$M$482</f>
        <v>WNI</v>
      </c>
      <c r="J354" s="2051"/>
      <c r="K354" s="2052">
        <f>SNI!$L$482</f>
        <v>1</v>
      </c>
      <c r="L354" s="2053"/>
      <c r="M354" s="2054"/>
      <c r="N354" s="2055">
        <f>SNI!$I$482</f>
        <v>92000</v>
      </c>
      <c r="O354" s="2056"/>
      <c r="P354" s="1969">
        <f t="shared" si="244"/>
        <v>30360</v>
      </c>
      <c r="Q354" s="1953"/>
      <c r="R354" s="1954"/>
      <c r="S354" s="1954">
        <f t="shared" si="245"/>
        <v>30360</v>
      </c>
      <c r="T354" s="1969">
        <f t="shared" si="246"/>
        <v>0</v>
      </c>
      <c r="U354" s="2060"/>
      <c r="Z354" s="1956"/>
      <c r="AA354" s="1956"/>
      <c r="AF354" s="1836"/>
      <c r="AG354" s="1836"/>
      <c r="AH354" s="1836"/>
      <c r="AI354" s="1837"/>
      <c r="AJ354" s="1960"/>
    </row>
    <row r="355" spans="1:36" ht="21.95" customHeight="1" x14ac:dyDescent="0.2">
      <c r="B355" s="2045"/>
      <c r="C355" s="2046"/>
      <c r="D355" s="2047" t="str">
        <f>SNI!$E$483</f>
        <v>Kepala Tukang</v>
      </c>
      <c r="E355" s="2047"/>
      <c r="F355" s="2048"/>
      <c r="G355" s="2049">
        <f>SNI!$H$483</f>
        <v>3.3000000000000002E-2</v>
      </c>
      <c r="H355" s="2050" t="str">
        <f>SNI!$G$483</f>
        <v>OH</v>
      </c>
      <c r="I355" s="2051" t="str">
        <f>SNI!$M$483</f>
        <v>WNI</v>
      </c>
      <c r="J355" s="2051"/>
      <c r="K355" s="2052">
        <f>SNI!$L$483</f>
        <v>1</v>
      </c>
      <c r="L355" s="2053"/>
      <c r="M355" s="2054"/>
      <c r="N355" s="2055">
        <f>SNI!$I$483</f>
        <v>96000</v>
      </c>
      <c r="O355" s="2056"/>
      <c r="P355" s="1969">
        <f t="shared" si="244"/>
        <v>3168</v>
      </c>
      <c r="Q355" s="1953"/>
      <c r="R355" s="1954"/>
      <c r="S355" s="1954">
        <f t="shared" si="245"/>
        <v>3168</v>
      </c>
      <c r="T355" s="1969">
        <f t="shared" si="246"/>
        <v>0</v>
      </c>
      <c r="U355" s="2060"/>
      <c r="Z355" s="1956"/>
      <c r="AA355" s="1956"/>
      <c r="AF355" s="1836"/>
      <c r="AG355" s="1836"/>
      <c r="AH355" s="1836"/>
      <c r="AI355" s="1837"/>
      <c r="AJ355" s="1960"/>
    </row>
    <row r="356" spans="1:36" ht="21.95" customHeight="1" x14ac:dyDescent="0.2">
      <c r="B356" s="2045"/>
      <c r="C356" s="2046"/>
      <c r="D356" s="2047" t="str">
        <f>SNI!$E$484</f>
        <v>Mandor</v>
      </c>
      <c r="E356" s="2047"/>
      <c r="F356" s="2048"/>
      <c r="G356" s="2049">
        <f>SNI!$H$484</f>
        <v>3.3000000000000002E-2</v>
      </c>
      <c r="H356" s="2050" t="str">
        <f>SNI!$G$484</f>
        <v>OH</v>
      </c>
      <c r="I356" s="2051" t="str">
        <f>SNI!$M$484</f>
        <v>WNI</v>
      </c>
      <c r="J356" s="2051"/>
      <c r="K356" s="2052">
        <f>SNI!$L$484</f>
        <v>1</v>
      </c>
      <c r="L356" s="2053"/>
      <c r="M356" s="2054"/>
      <c r="N356" s="2055">
        <f>SNI!$I$484</f>
        <v>90000</v>
      </c>
      <c r="O356" s="2056"/>
      <c r="P356" s="1969">
        <f t="shared" ref="P356" si="247">N356*G356</f>
        <v>2970</v>
      </c>
      <c r="Q356" s="1953"/>
      <c r="R356" s="1954"/>
      <c r="S356" s="1954">
        <f t="shared" ref="S356" si="248">P356*K356</f>
        <v>2970</v>
      </c>
      <c r="T356" s="1969">
        <f t="shared" ref="T356" si="249">P356-S356</f>
        <v>0</v>
      </c>
      <c r="U356" s="2060"/>
      <c r="Z356" s="1956"/>
      <c r="AA356" s="1956"/>
      <c r="AF356" s="1836"/>
      <c r="AG356" s="1836"/>
      <c r="AH356" s="1836"/>
      <c r="AI356" s="1837"/>
      <c r="AJ356" s="1960"/>
    </row>
    <row r="357" spans="1:36" s="1957" customFormat="1" ht="21.95" customHeight="1" x14ac:dyDescent="0.2">
      <c r="A357" s="1942"/>
      <c r="B357" s="1970"/>
      <c r="C357" s="1971"/>
      <c r="D357" s="1972"/>
      <c r="E357" s="1973"/>
      <c r="F357" s="1974" t="s">
        <v>556</v>
      </c>
      <c r="G357" s="1975">
        <f>B343</f>
        <v>19</v>
      </c>
      <c r="H357" s="1976"/>
      <c r="I357" s="1977"/>
      <c r="J357" s="1977"/>
      <c r="K357" s="1978"/>
      <c r="L357" s="1979"/>
      <c r="M357" s="1980"/>
      <c r="N357" s="1981"/>
      <c r="O357" s="1982"/>
      <c r="P357" s="1983">
        <f>SUM(P345:P356)</f>
        <v>169956</v>
      </c>
      <c r="Q357" s="1984"/>
      <c r="R357" s="1985"/>
      <c r="S357" s="1983">
        <f t="shared" ref="S357:T357" si="250">SUM(S345:S356)</f>
        <v>140776</v>
      </c>
      <c r="T357" s="1983">
        <f t="shared" si="250"/>
        <v>29180</v>
      </c>
      <c r="U357" s="1986"/>
      <c r="V357" s="1848"/>
      <c r="W357" s="1848"/>
      <c r="X357" s="1848"/>
      <c r="Y357" s="1848"/>
      <c r="Z357" s="1956"/>
      <c r="AA357" s="1956"/>
      <c r="AF357" s="1958"/>
      <c r="AG357" s="1958"/>
      <c r="AH357" s="1958"/>
      <c r="AI357" s="1959"/>
      <c r="AJ357" s="1960"/>
    </row>
    <row r="358" spans="1:36" ht="21.95" customHeight="1" x14ac:dyDescent="0.2">
      <c r="B358" s="2102"/>
      <c r="C358" s="2103"/>
      <c r="D358" s="2081" t="s">
        <v>1780</v>
      </c>
      <c r="E358" s="1930"/>
      <c r="F358" s="1931"/>
      <c r="G358" s="1945"/>
      <c r="H358" s="1933"/>
      <c r="I358" s="1934"/>
      <c r="J358" s="1934"/>
      <c r="K358" s="1935"/>
      <c r="L358" s="1936"/>
      <c r="M358" s="1936"/>
      <c r="N358" s="1951"/>
      <c r="O358" s="2066"/>
      <c r="P358" s="2067"/>
      <c r="Q358" s="1934"/>
      <c r="R358" s="1934"/>
      <c r="S358" s="1934"/>
      <c r="T358" s="1940"/>
      <c r="U358" s="1941"/>
      <c r="Z358" s="1956"/>
      <c r="AA358" s="1956">
        <f>Z358-G358</f>
        <v>0</v>
      </c>
      <c r="AB358" s="1836" t="s">
        <v>1780</v>
      </c>
      <c r="AF358" s="1836"/>
      <c r="AG358" s="1836"/>
      <c r="AH358" s="1836"/>
      <c r="AI358" s="1837"/>
      <c r="AJ358" s="1960">
        <f>AI358-N358</f>
        <v>0</v>
      </c>
    </row>
    <row r="359" spans="1:36" ht="21.95" customHeight="1" x14ac:dyDescent="0.2">
      <c r="A359" s="1833">
        <f>satpek!$B$40</f>
        <v>21</v>
      </c>
      <c r="B359" s="1943">
        <f>B343+1</f>
        <v>20</v>
      </c>
      <c r="C359" s="1937"/>
      <c r="D359" s="1944" t="str">
        <f>VLOOKUP($A359,satpek!$B$20:$N$144,2,0)</f>
        <v>Membuat beton mutu f'c = 21,7 Mpa - K 250</v>
      </c>
      <c r="E359" s="1944"/>
      <c r="F359" s="2004"/>
      <c r="G359" s="1945">
        <f>'[3]B.VOL RAB'!Q110</f>
        <v>38.400000000000006</v>
      </c>
      <c r="H359" s="1946" t="str">
        <f>VLOOKUP($A359,satpek!$B$20:$N$144,7,0)</f>
        <v>m3</v>
      </c>
      <c r="I359" s="1947"/>
      <c r="J359" s="1947"/>
      <c r="K359" s="1948"/>
      <c r="L359" s="1949"/>
      <c r="M359" s="1950" t="str">
        <f>VLOOKUP($A359,satpek!$B$20:$N$144,5,0)</f>
        <v>A.4.1.1.8.</v>
      </c>
      <c r="N359" s="1951">
        <f>VLOOKUP($A359,satpek!$B$20:$N$144,6,0)</f>
        <v>1115753.29</v>
      </c>
      <c r="O359" s="1938"/>
      <c r="P359" s="1952">
        <f t="shared" ref="P359:P381" si="251">ROUND((G359*N359),2)</f>
        <v>42844926.340000004</v>
      </c>
      <c r="Q359" s="1953">
        <f>VLOOKUP($A359,satpek!$B$20:$L$138,8,0)</f>
        <v>0.93065078521121514</v>
      </c>
      <c r="R359" s="1954">
        <f>VLOOKUP($A359,satpek!$B$20:$L$138,9,0)</f>
        <v>918917.40999999992</v>
      </c>
      <c r="S359" s="1954">
        <f>VLOOKUP($A359,satpek!$B$20:$L$138,10,0)</f>
        <v>1038376.6732999999</v>
      </c>
      <c r="T359" s="1952">
        <f>S359*G359</f>
        <v>39873664.254720002</v>
      </c>
      <c r="U359" s="1955"/>
      <c r="X359" s="1848">
        <f>P370</f>
        <v>987392.28571428568</v>
      </c>
      <c r="Y359" s="1848">
        <f>S370</f>
        <v>918917.40571428579</v>
      </c>
      <c r="Z359" s="1956">
        <v>41.04</v>
      </c>
      <c r="AA359" s="1956">
        <f>Z359-G359</f>
        <v>2.6399999999999935</v>
      </c>
      <c r="AB359" s="1836" t="s">
        <v>1905</v>
      </c>
      <c r="AF359" s="1836"/>
      <c r="AG359" s="1836"/>
      <c r="AH359" s="1836"/>
      <c r="AI359" s="1837">
        <v>1191397.42</v>
      </c>
      <c r="AJ359" s="1960">
        <f>AI359-N359</f>
        <v>75644.129999999888</v>
      </c>
    </row>
    <row r="360" spans="1:36" ht="21.95" customHeight="1" x14ac:dyDescent="0.2">
      <c r="B360" s="2045"/>
      <c r="C360" s="2046" t="str">
        <f>SNI!$D$389</f>
        <v>Bahan</v>
      </c>
      <c r="D360" s="2047"/>
      <c r="E360" s="2047"/>
      <c r="F360" s="2048"/>
      <c r="G360" s="2049"/>
      <c r="H360" s="2050"/>
      <c r="I360" s="2051"/>
      <c r="J360" s="2051"/>
      <c r="K360" s="2052"/>
      <c r="L360" s="2053"/>
      <c r="M360" s="2054"/>
      <c r="N360" s="2055"/>
      <c r="O360" s="2056"/>
      <c r="P360" s="2057"/>
      <c r="Q360" s="2058"/>
      <c r="R360" s="2059"/>
      <c r="S360" s="2059"/>
      <c r="T360" s="2057"/>
      <c r="U360" s="2060"/>
      <c r="Z360" s="1956"/>
      <c r="AA360" s="1956"/>
      <c r="AF360" s="1836"/>
      <c r="AG360" s="1836"/>
      <c r="AH360" s="1836"/>
      <c r="AI360" s="1837"/>
      <c r="AJ360" s="1960"/>
    </row>
    <row r="361" spans="1:36" ht="21.95" customHeight="1" x14ac:dyDescent="0.2">
      <c r="B361" s="2045"/>
      <c r="C361" s="2046"/>
      <c r="D361" s="2047" t="str">
        <f>SNI!$E$389</f>
        <v>PC</v>
      </c>
      <c r="E361" s="2047"/>
      <c r="F361" s="2048"/>
      <c r="G361" s="2049">
        <f>SNI!$H$389</f>
        <v>384</v>
      </c>
      <c r="H361" s="2050" t="str">
        <f>SNI!$G$389</f>
        <v>kg</v>
      </c>
      <c r="I361" s="2051"/>
      <c r="J361" s="2051"/>
      <c r="K361" s="2052">
        <f>SNI!$L$389</f>
        <v>0.85140000000000005</v>
      </c>
      <c r="L361" s="2053"/>
      <c r="M361" s="2054"/>
      <c r="N361" s="2055">
        <f>SNI!$I$389</f>
        <v>1200</v>
      </c>
      <c r="O361" s="2056"/>
      <c r="P361" s="1969">
        <f t="shared" ref="P361:P364" si="252">N361*G361</f>
        <v>460800</v>
      </c>
      <c r="Q361" s="1953"/>
      <c r="R361" s="1954"/>
      <c r="S361" s="1954">
        <f t="shared" ref="S361:S364" si="253">P361*K361</f>
        <v>392325.12</v>
      </c>
      <c r="T361" s="1969">
        <f t="shared" ref="T361:T364" si="254">P361-S361</f>
        <v>68474.880000000005</v>
      </c>
      <c r="U361" s="2060"/>
      <c r="Z361" s="1956"/>
      <c r="AA361" s="1956"/>
      <c r="AF361" s="1836"/>
      <c r="AG361" s="1836"/>
      <c r="AH361" s="1836"/>
      <c r="AI361" s="1837"/>
      <c r="AJ361" s="1960"/>
    </row>
    <row r="362" spans="1:36" ht="21.95" customHeight="1" x14ac:dyDescent="0.2">
      <c r="B362" s="2045"/>
      <c r="C362" s="2046"/>
      <c r="D362" s="2047" t="str">
        <f>SNI!$E$390</f>
        <v>Pasir Beton</v>
      </c>
      <c r="E362" s="2047"/>
      <c r="F362" s="2048"/>
      <c r="G362" s="2049">
        <f>SNI!$H$390</f>
        <v>692</v>
      </c>
      <c r="H362" s="2050" t="str">
        <f>SNI!$G$390</f>
        <v>kg</v>
      </c>
      <c r="I362" s="2051"/>
      <c r="J362" s="2051"/>
      <c r="K362" s="2052">
        <f>SNI!$L$390</f>
        <v>1</v>
      </c>
      <c r="L362" s="2053"/>
      <c r="M362" s="2054"/>
      <c r="N362" s="2055">
        <f>SNI!$I$390</f>
        <v>185.71428571428572</v>
      </c>
      <c r="O362" s="2056"/>
      <c r="P362" s="1969">
        <f t="shared" si="252"/>
        <v>128514.28571428572</v>
      </c>
      <c r="Q362" s="1953"/>
      <c r="R362" s="1954"/>
      <c r="S362" s="1954">
        <f t="shared" si="253"/>
        <v>128514.28571428572</v>
      </c>
      <c r="T362" s="1969">
        <f t="shared" si="254"/>
        <v>0</v>
      </c>
      <c r="U362" s="2060"/>
      <c r="Z362" s="1956"/>
      <c r="AA362" s="1956"/>
      <c r="AF362" s="1836"/>
      <c r="AG362" s="1836"/>
      <c r="AH362" s="1836"/>
      <c r="AI362" s="1837"/>
      <c r="AJ362" s="1960"/>
    </row>
    <row r="363" spans="1:36" ht="21.95" customHeight="1" x14ac:dyDescent="0.2">
      <c r="B363" s="2045"/>
      <c r="C363" s="2046"/>
      <c r="D363" s="2047" t="str">
        <f>SNI!$E$391</f>
        <v>Kerikil ( maks 30 mm )</v>
      </c>
      <c r="E363" s="2047"/>
      <c r="F363" s="2048"/>
      <c r="G363" s="2049">
        <f>SNI!$H$391</f>
        <v>1039</v>
      </c>
      <c r="H363" s="2050" t="str">
        <f>SNI!$G$391</f>
        <v>kg</v>
      </c>
      <c r="I363" s="2051"/>
      <c r="J363" s="2051"/>
      <c r="K363" s="2052">
        <f>SNI!$L$391</f>
        <v>1</v>
      </c>
      <c r="L363" s="2053"/>
      <c r="M363" s="2054"/>
      <c r="N363" s="2055">
        <f>SNI!$I$391</f>
        <v>200</v>
      </c>
      <c r="O363" s="2056"/>
      <c r="P363" s="1969">
        <f t="shared" si="252"/>
        <v>207800</v>
      </c>
      <c r="Q363" s="1953"/>
      <c r="R363" s="1954"/>
      <c r="S363" s="1954">
        <f t="shared" si="253"/>
        <v>207800</v>
      </c>
      <c r="T363" s="1969">
        <f t="shared" si="254"/>
        <v>0</v>
      </c>
      <c r="U363" s="2060"/>
      <c r="Z363" s="1956"/>
      <c r="AA363" s="1956"/>
      <c r="AF363" s="1836"/>
      <c r="AG363" s="1836"/>
      <c r="AH363" s="1836"/>
      <c r="AI363" s="1837"/>
      <c r="AJ363" s="1960"/>
    </row>
    <row r="364" spans="1:36" ht="21.95" customHeight="1" x14ac:dyDescent="0.2">
      <c r="B364" s="2045"/>
      <c r="C364" s="2046"/>
      <c r="D364" s="2047" t="str">
        <f>SNI!$E$392</f>
        <v>Air</v>
      </c>
      <c r="E364" s="2047"/>
      <c r="F364" s="2048"/>
      <c r="G364" s="2049">
        <f>SNI!$H$392</f>
        <v>215</v>
      </c>
      <c r="H364" s="2050" t="str">
        <f>SNI!$G$392</f>
        <v>ltr</v>
      </c>
      <c r="I364" s="2051"/>
      <c r="J364" s="2051"/>
      <c r="K364" s="2052">
        <f>SNI!$L$392</f>
        <v>1</v>
      </c>
      <c r="L364" s="2053"/>
      <c r="M364" s="2054"/>
      <c r="N364" s="2055">
        <f>SNI!$I$392</f>
        <v>45</v>
      </c>
      <c r="O364" s="2056"/>
      <c r="P364" s="1969">
        <f t="shared" si="252"/>
        <v>9675</v>
      </c>
      <c r="Q364" s="1953"/>
      <c r="R364" s="1954"/>
      <c r="S364" s="1954">
        <f t="shared" si="253"/>
        <v>9675</v>
      </c>
      <c r="T364" s="1969">
        <f t="shared" si="254"/>
        <v>0</v>
      </c>
      <c r="U364" s="2060"/>
      <c r="Z364" s="1956"/>
      <c r="AA364" s="1956"/>
      <c r="AF364" s="1836"/>
      <c r="AG364" s="1836"/>
      <c r="AH364" s="1836"/>
      <c r="AI364" s="1837"/>
      <c r="AJ364" s="1960"/>
    </row>
    <row r="365" spans="1:36" ht="21.95" customHeight="1" x14ac:dyDescent="0.2">
      <c r="B365" s="2045"/>
      <c r="C365" s="2046" t="str">
        <f>SNI!$D$394</f>
        <v>Tenaga Kerja</v>
      </c>
      <c r="D365" s="2047"/>
      <c r="E365" s="2047"/>
      <c r="F365" s="2048"/>
      <c r="G365" s="2049"/>
      <c r="H365" s="2050"/>
      <c r="I365" s="2051"/>
      <c r="J365" s="2051"/>
      <c r="K365" s="2052"/>
      <c r="L365" s="2053"/>
      <c r="M365" s="2054"/>
      <c r="N365" s="2055"/>
      <c r="O365" s="2056"/>
      <c r="P365" s="1969"/>
      <c r="Q365" s="1953"/>
      <c r="R365" s="1954"/>
      <c r="S365" s="1954"/>
      <c r="T365" s="1969"/>
      <c r="U365" s="2060"/>
      <c r="Z365" s="1956"/>
      <c r="AA365" s="1956"/>
      <c r="AF365" s="1836"/>
      <c r="AG365" s="1836"/>
      <c r="AH365" s="1836"/>
      <c r="AI365" s="1837"/>
      <c r="AJ365" s="1960"/>
    </row>
    <row r="366" spans="1:36" ht="21.95" customHeight="1" x14ac:dyDescent="0.2">
      <c r="B366" s="2045"/>
      <c r="C366" s="2046"/>
      <c r="D366" s="2047" t="str">
        <f>SNI!$E$394</f>
        <v xml:space="preserve">Pekerja </v>
      </c>
      <c r="E366" s="2047"/>
      <c r="F366" s="2048"/>
      <c r="G366" s="2049">
        <f>SNI!$H$394</f>
        <v>1.65</v>
      </c>
      <c r="H366" s="2050" t="str">
        <f>SNI!$G$394</f>
        <v>OH</v>
      </c>
      <c r="I366" s="2051" t="str">
        <f>SNI!$M$394</f>
        <v>WNI</v>
      </c>
      <c r="J366" s="2051"/>
      <c r="K366" s="2052">
        <f>SNI!$L$394</f>
        <v>1</v>
      </c>
      <c r="L366" s="2053"/>
      <c r="M366" s="2054"/>
      <c r="N366" s="2055">
        <f>SNI!$I$394</f>
        <v>88300</v>
      </c>
      <c r="O366" s="2056"/>
      <c r="P366" s="1969">
        <f t="shared" ref="P366:P369" si="255">N366*G366</f>
        <v>145695</v>
      </c>
      <c r="Q366" s="1953"/>
      <c r="R366" s="1954"/>
      <c r="S366" s="1954">
        <f t="shared" ref="S366:S369" si="256">P366*K366</f>
        <v>145695</v>
      </c>
      <c r="T366" s="1969">
        <f t="shared" ref="T366:T369" si="257">P366-S366</f>
        <v>0</v>
      </c>
      <c r="U366" s="2060"/>
      <c r="Z366" s="1956"/>
      <c r="AA366" s="1956"/>
      <c r="AF366" s="1836"/>
      <c r="AG366" s="1836"/>
      <c r="AH366" s="1836"/>
      <c r="AI366" s="1837"/>
      <c r="AJ366" s="1960"/>
    </row>
    <row r="367" spans="1:36" ht="21.95" customHeight="1" x14ac:dyDescent="0.2">
      <c r="B367" s="2045"/>
      <c r="C367" s="2046"/>
      <c r="D367" s="2047" t="str">
        <f>SNI!$E$395</f>
        <v>Tukang Batu</v>
      </c>
      <c r="E367" s="2047"/>
      <c r="F367" s="2048"/>
      <c r="G367" s="2049">
        <f>SNI!$H$395</f>
        <v>0.27500000000000002</v>
      </c>
      <c r="H367" s="2050" t="str">
        <f>SNI!$G$395</f>
        <v>OH</v>
      </c>
      <c r="I367" s="2051" t="str">
        <f>SNI!$M$395</f>
        <v>WNI</v>
      </c>
      <c r="J367" s="2051"/>
      <c r="K367" s="2052">
        <f>SNI!$L$395</f>
        <v>1</v>
      </c>
      <c r="L367" s="2053"/>
      <c r="M367" s="2054"/>
      <c r="N367" s="2055">
        <f>SNI!$I$395</f>
        <v>90000</v>
      </c>
      <c r="O367" s="2056"/>
      <c r="P367" s="1969">
        <f t="shared" si="255"/>
        <v>24750.000000000004</v>
      </c>
      <c r="Q367" s="1953"/>
      <c r="R367" s="1954"/>
      <c r="S367" s="1954">
        <f t="shared" si="256"/>
        <v>24750.000000000004</v>
      </c>
      <c r="T367" s="1969">
        <f t="shared" si="257"/>
        <v>0</v>
      </c>
      <c r="U367" s="2060"/>
      <c r="Z367" s="1956"/>
      <c r="AA367" s="1956"/>
      <c r="AF367" s="1836"/>
      <c r="AG367" s="1836"/>
      <c r="AH367" s="1836"/>
      <c r="AI367" s="1837"/>
      <c r="AJ367" s="1960"/>
    </row>
    <row r="368" spans="1:36" ht="21.95" customHeight="1" x14ac:dyDescent="0.2">
      <c r="B368" s="2045"/>
      <c r="C368" s="2046"/>
      <c r="D368" s="2047" t="str">
        <f>SNI!$E$396</f>
        <v>Kepala Tukang</v>
      </c>
      <c r="E368" s="2047"/>
      <c r="F368" s="2048"/>
      <c r="G368" s="2049">
        <f>SNI!$H$396</f>
        <v>2.8000000000000001E-2</v>
      </c>
      <c r="H368" s="2050" t="str">
        <f>SNI!$G$396</f>
        <v>OH</v>
      </c>
      <c r="I368" s="2051" t="str">
        <f>SNI!$M$396</f>
        <v>WNI</v>
      </c>
      <c r="J368" s="2051"/>
      <c r="K368" s="2052">
        <f>SNI!$L$396</f>
        <v>1</v>
      </c>
      <c r="L368" s="2053"/>
      <c r="M368" s="2054"/>
      <c r="N368" s="2055">
        <f>SNI!$I$396</f>
        <v>96000</v>
      </c>
      <c r="O368" s="2056"/>
      <c r="P368" s="1969">
        <f t="shared" si="255"/>
        <v>2688</v>
      </c>
      <c r="Q368" s="1953"/>
      <c r="R368" s="1954"/>
      <c r="S368" s="1954">
        <f t="shared" si="256"/>
        <v>2688</v>
      </c>
      <c r="T368" s="1969">
        <f t="shared" si="257"/>
        <v>0</v>
      </c>
      <c r="U368" s="2060"/>
      <c r="Z368" s="1956"/>
      <c r="AA368" s="1956"/>
      <c r="AF368" s="1836"/>
      <c r="AG368" s="1836"/>
      <c r="AH368" s="1836"/>
      <c r="AI368" s="1837"/>
      <c r="AJ368" s="1960"/>
    </row>
    <row r="369" spans="1:36" ht="21.95" customHeight="1" x14ac:dyDescent="0.2">
      <c r="B369" s="2045"/>
      <c r="C369" s="2046"/>
      <c r="D369" s="2047" t="str">
        <f>SNI!$E$397</f>
        <v>Mandor</v>
      </c>
      <c r="E369" s="2047"/>
      <c r="F369" s="2048"/>
      <c r="G369" s="2049">
        <f>SNI!$H$397</f>
        <v>8.3000000000000004E-2</v>
      </c>
      <c r="H369" s="2050" t="str">
        <f>SNI!$G$397</f>
        <v>OH</v>
      </c>
      <c r="I369" s="2051" t="str">
        <f>SNI!$M$397</f>
        <v>WNI</v>
      </c>
      <c r="J369" s="2051"/>
      <c r="K369" s="2052">
        <f>SNI!$L$397</f>
        <v>1</v>
      </c>
      <c r="L369" s="2053"/>
      <c r="M369" s="2054"/>
      <c r="N369" s="2055">
        <f>SNI!$I$397</f>
        <v>90000</v>
      </c>
      <c r="O369" s="2056"/>
      <c r="P369" s="1969">
        <f t="shared" si="255"/>
        <v>7470</v>
      </c>
      <c r="Q369" s="1953"/>
      <c r="R369" s="1954"/>
      <c r="S369" s="1954">
        <f t="shared" si="256"/>
        <v>7470</v>
      </c>
      <c r="T369" s="1969">
        <f t="shared" si="257"/>
        <v>0</v>
      </c>
      <c r="U369" s="2060"/>
      <c r="Z369" s="1956"/>
      <c r="AA369" s="1956"/>
      <c r="AF369" s="1836"/>
      <c r="AG369" s="1836"/>
      <c r="AH369" s="1836"/>
      <c r="AI369" s="1837"/>
      <c r="AJ369" s="1960"/>
    </row>
    <row r="370" spans="1:36" s="1957" customFormat="1" ht="21.95" customHeight="1" x14ac:dyDescent="0.2">
      <c r="A370" s="1942"/>
      <c r="B370" s="1970"/>
      <c r="C370" s="1971"/>
      <c r="D370" s="1972"/>
      <c r="E370" s="1973"/>
      <c r="F370" s="1974" t="s">
        <v>556</v>
      </c>
      <c r="G370" s="1975">
        <f>B359</f>
        <v>20</v>
      </c>
      <c r="H370" s="1976"/>
      <c r="I370" s="1977"/>
      <c r="J370" s="1977"/>
      <c r="K370" s="1978"/>
      <c r="L370" s="1979"/>
      <c r="M370" s="1980"/>
      <c r="N370" s="1981"/>
      <c r="O370" s="1982"/>
      <c r="P370" s="1983">
        <f>SUM(P361:P369)</f>
        <v>987392.28571428568</v>
      </c>
      <c r="Q370" s="1984"/>
      <c r="R370" s="1985"/>
      <c r="S370" s="1983">
        <f>SUM(S361:S369)</f>
        <v>918917.40571428579</v>
      </c>
      <c r="T370" s="1983">
        <f>SUM(T361:T369)</f>
        <v>68474.880000000005</v>
      </c>
      <c r="U370" s="1986"/>
      <c r="V370" s="1848"/>
      <c r="W370" s="1848"/>
      <c r="X370" s="1848"/>
      <c r="Y370" s="1848"/>
      <c r="Z370" s="1956"/>
      <c r="AA370" s="1956"/>
      <c r="AF370" s="1958"/>
      <c r="AG370" s="1958"/>
      <c r="AH370" s="1958"/>
      <c r="AI370" s="1959"/>
      <c r="AJ370" s="1960"/>
    </row>
    <row r="371" spans="1:36" ht="21.95" customHeight="1" x14ac:dyDescent="0.2">
      <c r="A371" s="1833">
        <f>satpek!$B$41</f>
        <v>22</v>
      </c>
      <c r="B371" s="1943">
        <f>B359+1</f>
        <v>21</v>
      </c>
      <c r="C371" s="1937"/>
      <c r="D371" s="1944" t="str">
        <f>VLOOKUP($A371,satpek!$B$20:$N$144,2,0)</f>
        <v>Pembesian 1 kg dengan besi polos atau besi ulir</v>
      </c>
      <c r="E371" s="1944"/>
      <c r="F371" s="2004"/>
      <c r="G371" s="1945">
        <f>'[3]B.VOL RAB'!Q112</f>
        <v>5309.0542372417713</v>
      </c>
      <c r="H371" s="1946" t="str">
        <f>VLOOKUP($A371,satpek!$B$20:$N$144,7,0)</f>
        <v>kg</v>
      </c>
      <c r="I371" s="1947"/>
      <c r="J371" s="1947"/>
      <c r="K371" s="1948"/>
      <c r="L371" s="1949"/>
      <c r="M371" s="1950" t="str">
        <f>VLOOKUP($A371,satpek!$B$20:$N$144,5,0)</f>
        <v>A.4.1.1.17.</v>
      </c>
      <c r="N371" s="1951">
        <f>VLOOKUP($A371,satpek!$B$20:$N$144,6,0)</f>
        <v>15603.94</v>
      </c>
      <c r="O371" s="1938"/>
      <c r="P371" s="1952">
        <f t="shared" si="251"/>
        <v>82842163.769999996</v>
      </c>
      <c r="Q371" s="1953">
        <f>VLOOKUP($A371,satpek!$B$20:$L$138,8,0)</f>
        <v>0.46415793062521393</v>
      </c>
      <c r="R371" s="1954">
        <f>VLOOKUP($A371,satpek!$B$20:$L$138,9,0)</f>
        <v>7242.692500000001</v>
      </c>
      <c r="S371" s="1954">
        <f>VLOOKUP($A371,satpek!$B$20:$L$138,10,0)</f>
        <v>8184.2425250000015</v>
      </c>
      <c r="T371" s="1952">
        <f>S371*G371</f>
        <v>43450587.455965549</v>
      </c>
      <c r="U371" s="1955"/>
      <c r="X371" s="1848">
        <f>P380</f>
        <v>13808.800000000001</v>
      </c>
      <c r="Y371" s="1848">
        <f>S380</f>
        <v>7242.6925000000001</v>
      </c>
      <c r="Z371" s="1956">
        <v>5668.791571739398</v>
      </c>
      <c r="AA371" s="1956">
        <f>Z371-G371</f>
        <v>359.73733449762676</v>
      </c>
      <c r="AB371" s="1836" t="s">
        <v>420</v>
      </c>
      <c r="AF371" s="1836"/>
      <c r="AG371" s="1836"/>
      <c r="AH371" s="1836"/>
      <c r="AI371" s="1837">
        <v>15438.06</v>
      </c>
      <c r="AJ371" s="1960">
        <f>AI371-N371</f>
        <v>-165.88000000000102</v>
      </c>
    </row>
    <row r="372" spans="1:36" ht="21.95" customHeight="1" x14ac:dyDescent="0.2">
      <c r="B372" s="2045"/>
      <c r="C372" s="2046" t="str">
        <f>SNI!$D$410</f>
        <v>Bahan</v>
      </c>
      <c r="D372" s="2047"/>
      <c r="E372" s="2047"/>
      <c r="F372" s="2048"/>
      <c r="G372" s="2049"/>
      <c r="H372" s="2050"/>
      <c r="I372" s="2051"/>
      <c r="J372" s="2051"/>
      <c r="K372" s="2052"/>
      <c r="L372" s="2053"/>
      <c r="M372" s="2054"/>
      <c r="N372" s="2055"/>
      <c r="O372" s="2056"/>
      <c r="P372" s="2057"/>
      <c r="Q372" s="2058"/>
      <c r="R372" s="2059"/>
      <c r="S372" s="2059"/>
      <c r="T372" s="2057"/>
      <c r="U372" s="2060"/>
      <c r="Z372" s="1956"/>
      <c r="AA372" s="1956"/>
      <c r="AF372" s="1836"/>
      <c r="AG372" s="1836"/>
      <c r="AH372" s="1836"/>
      <c r="AI372" s="1837"/>
      <c r="AJ372" s="1960"/>
    </row>
    <row r="373" spans="1:36" ht="21.95" customHeight="1" x14ac:dyDescent="0.2">
      <c r="B373" s="2045"/>
      <c r="C373" s="2046"/>
      <c r="D373" s="2047" t="str">
        <f>SNI!$E$410</f>
        <v>Besi Beton ( polos/ulir )</v>
      </c>
      <c r="E373" s="2047"/>
      <c r="F373" s="2048"/>
      <c r="G373" s="2049">
        <f>SNI!$H$410/10</f>
        <v>1.05</v>
      </c>
      <c r="H373" s="2050" t="str">
        <f>SNI!$G$410</f>
        <v>kg</v>
      </c>
      <c r="I373" s="2051"/>
      <c r="J373" s="2051"/>
      <c r="K373" s="2052">
        <f>SNI!$L$410</f>
        <v>0.4879</v>
      </c>
      <c r="L373" s="2053"/>
      <c r="M373" s="2054"/>
      <c r="N373" s="2055">
        <f>SNI!$I$410</f>
        <v>11500</v>
      </c>
      <c r="O373" s="2056"/>
      <c r="P373" s="1969">
        <f t="shared" ref="P373:P374" si="258">N373*G373</f>
        <v>12075</v>
      </c>
      <c r="Q373" s="1953"/>
      <c r="R373" s="1954"/>
      <c r="S373" s="1954">
        <f t="shared" ref="S373:S374" si="259">P373*K373</f>
        <v>5891.3924999999999</v>
      </c>
      <c r="T373" s="1969">
        <f t="shared" ref="T373:T374" si="260">P373-S373</f>
        <v>6183.6075000000001</v>
      </c>
      <c r="U373" s="2060"/>
      <c r="Z373" s="1956"/>
      <c r="AA373" s="1956"/>
      <c r="AF373" s="1836"/>
      <c r="AG373" s="1836"/>
      <c r="AH373" s="1836"/>
      <c r="AI373" s="1837"/>
      <c r="AJ373" s="1960"/>
    </row>
    <row r="374" spans="1:36" ht="21.95" customHeight="1" x14ac:dyDescent="0.2">
      <c r="B374" s="2045"/>
      <c r="C374" s="2046"/>
      <c r="D374" s="2047" t="str">
        <f>SNI!$E$411</f>
        <v>Kawat Beton</v>
      </c>
      <c r="E374" s="2047"/>
      <c r="F374" s="2048"/>
      <c r="G374" s="2049">
        <f>SNI!$H$411/10</f>
        <v>1.4999999999999999E-2</v>
      </c>
      <c r="H374" s="2050" t="str">
        <f>SNI!G585</f>
        <v>OH</v>
      </c>
      <c r="I374" s="2051"/>
      <c r="J374" s="2051"/>
      <c r="K374" s="2052">
        <f>SNI!$L$411</f>
        <v>0</v>
      </c>
      <c r="L374" s="2053"/>
      <c r="M374" s="2054"/>
      <c r="N374" s="2055">
        <f>SNI!$I$411</f>
        <v>25500</v>
      </c>
      <c r="O374" s="2056"/>
      <c r="P374" s="1969">
        <f t="shared" si="258"/>
        <v>382.5</v>
      </c>
      <c r="Q374" s="1953"/>
      <c r="R374" s="1954"/>
      <c r="S374" s="1954">
        <f t="shared" si="259"/>
        <v>0</v>
      </c>
      <c r="T374" s="1969">
        <f t="shared" si="260"/>
        <v>382.5</v>
      </c>
      <c r="U374" s="2060"/>
      <c r="Z374" s="1956"/>
      <c r="AA374" s="1956"/>
      <c r="AF374" s="1836"/>
      <c r="AG374" s="1836"/>
      <c r="AH374" s="1836"/>
      <c r="AI374" s="1837"/>
      <c r="AJ374" s="1960"/>
    </row>
    <row r="375" spans="1:36" ht="21.95" customHeight="1" x14ac:dyDescent="0.2">
      <c r="B375" s="2045"/>
      <c r="C375" s="2046" t="str">
        <f>SNI!$D$413</f>
        <v>Tenaga Kerja</v>
      </c>
      <c r="D375" s="2047"/>
      <c r="E375" s="2047"/>
      <c r="F375" s="2048"/>
      <c r="G375" s="2049"/>
      <c r="H375" s="2050"/>
      <c r="I375" s="2051"/>
      <c r="J375" s="2051"/>
      <c r="K375" s="2052"/>
      <c r="L375" s="2053"/>
      <c r="M375" s="2054"/>
      <c r="N375" s="2055"/>
      <c r="O375" s="2056"/>
      <c r="P375" s="1969"/>
      <c r="Q375" s="1953"/>
      <c r="R375" s="1954"/>
      <c r="S375" s="1954"/>
      <c r="T375" s="1969"/>
      <c r="U375" s="2060"/>
      <c r="Z375" s="1956"/>
      <c r="AA375" s="1956"/>
      <c r="AF375" s="1836"/>
      <c r="AG375" s="1836"/>
      <c r="AH375" s="1836"/>
      <c r="AI375" s="1837"/>
      <c r="AJ375" s="1960"/>
    </row>
    <row r="376" spans="1:36" ht="21.95" customHeight="1" x14ac:dyDescent="0.2">
      <c r="B376" s="2045"/>
      <c r="C376" s="2046"/>
      <c r="D376" s="2047" t="str">
        <f>SNI!$E$413</f>
        <v xml:space="preserve">Pekerja </v>
      </c>
      <c r="E376" s="2047"/>
      <c r="F376" s="2048"/>
      <c r="G376" s="2049">
        <f>SNI!$H$413/10</f>
        <v>7.000000000000001E-3</v>
      </c>
      <c r="H376" s="2050" t="str">
        <f>SNI!$G$413</f>
        <v>OH</v>
      </c>
      <c r="I376" s="2051" t="str">
        <f>SNI!$M$413</f>
        <v>WNI</v>
      </c>
      <c r="J376" s="2051"/>
      <c r="K376" s="2052">
        <f>SNI!$L$413</f>
        <v>1</v>
      </c>
      <c r="L376" s="2053"/>
      <c r="M376" s="2054"/>
      <c r="N376" s="2055">
        <f>SNI!$I$413</f>
        <v>88300</v>
      </c>
      <c r="O376" s="2056"/>
      <c r="P376" s="1969">
        <f t="shared" ref="P376:P379" si="261">N376*G376</f>
        <v>618.10000000000014</v>
      </c>
      <c r="Q376" s="1953"/>
      <c r="R376" s="1954"/>
      <c r="S376" s="1954">
        <f t="shared" ref="S376:S379" si="262">P376*K376</f>
        <v>618.10000000000014</v>
      </c>
      <c r="T376" s="1969">
        <f t="shared" ref="T376:T379" si="263">P376-S376</f>
        <v>0</v>
      </c>
      <c r="U376" s="2060"/>
      <c r="Z376" s="1956"/>
      <c r="AA376" s="1956"/>
      <c r="AF376" s="1836"/>
      <c r="AG376" s="1836"/>
      <c r="AH376" s="1836"/>
      <c r="AI376" s="1837"/>
      <c r="AJ376" s="1960"/>
    </row>
    <row r="377" spans="1:36" ht="21.95" customHeight="1" x14ac:dyDescent="0.2">
      <c r="B377" s="2045"/>
      <c r="C377" s="2046"/>
      <c r="D377" s="2047" t="str">
        <f>SNI!$E$414</f>
        <v>Tukang Besi</v>
      </c>
      <c r="E377" s="2047"/>
      <c r="F377" s="2048"/>
      <c r="G377" s="2049">
        <f>SNI!$H$414/10</f>
        <v>7.000000000000001E-3</v>
      </c>
      <c r="H377" s="2050" t="str">
        <f>SNI!$G$414</f>
        <v>OH</v>
      </c>
      <c r="I377" s="2051" t="str">
        <f>SNI!$M$414</f>
        <v>WNI</v>
      </c>
      <c r="J377" s="2051"/>
      <c r="K377" s="2052">
        <f>SNI!$L$414</f>
        <v>1</v>
      </c>
      <c r="L377" s="2053"/>
      <c r="M377" s="2054"/>
      <c r="N377" s="2055">
        <f>SNI!$I$414</f>
        <v>90000</v>
      </c>
      <c r="O377" s="2056"/>
      <c r="P377" s="1969">
        <f t="shared" si="261"/>
        <v>630.00000000000011</v>
      </c>
      <c r="Q377" s="1953"/>
      <c r="R377" s="1954"/>
      <c r="S377" s="1954">
        <f t="shared" si="262"/>
        <v>630.00000000000011</v>
      </c>
      <c r="T377" s="1969">
        <f t="shared" si="263"/>
        <v>0</v>
      </c>
      <c r="U377" s="2060"/>
      <c r="Z377" s="1956"/>
      <c r="AA377" s="1956"/>
      <c r="AF377" s="1836"/>
      <c r="AG377" s="1836"/>
      <c r="AH377" s="1836"/>
      <c r="AI377" s="1837"/>
      <c r="AJ377" s="1960"/>
    </row>
    <row r="378" spans="1:36" ht="21.95" customHeight="1" x14ac:dyDescent="0.2">
      <c r="B378" s="2045"/>
      <c r="C378" s="2046"/>
      <c r="D378" s="2047" t="str">
        <f>SNI!$E$415</f>
        <v>Kepala Tukang</v>
      </c>
      <c r="E378" s="2047"/>
      <c r="F378" s="2048"/>
      <c r="G378" s="2049">
        <f>SNI!$H$415/10</f>
        <v>6.9999999999999999E-4</v>
      </c>
      <c r="H378" s="2050" t="str">
        <f>SNI!$G$415</f>
        <v>OH</v>
      </c>
      <c r="I378" s="2051" t="str">
        <f>SNI!$M$415</f>
        <v>WNI</v>
      </c>
      <c r="J378" s="2051"/>
      <c r="K378" s="2052">
        <f>SNI!$L$415</f>
        <v>1</v>
      </c>
      <c r="L378" s="2053"/>
      <c r="M378" s="2054"/>
      <c r="N378" s="2055">
        <f>SNI!$I$415</f>
        <v>96000</v>
      </c>
      <c r="O378" s="2056"/>
      <c r="P378" s="1969">
        <f t="shared" si="261"/>
        <v>67.2</v>
      </c>
      <c r="Q378" s="1953"/>
      <c r="R378" s="1954"/>
      <c r="S378" s="1954">
        <f t="shared" si="262"/>
        <v>67.2</v>
      </c>
      <c r="T378" s="1969">
        <f t="shared" si="263"/>
        <v>0</v>
      </c>
      <c r="U378" s="2060"/>
      <c r="Z378" s="1956"/>
      <c r="AA378" s="1956"/>
      <c r="AF378" s="1836"/>
      <c r="AG378" s="1836"/>
      <c r="AH378" s="1836"/>
      <c r="AI378" s="1837"/>
      <c r="AJ378" s="1960"/>
    </row>
    <row r="379" spans="1:36" ht="21.95" customHeight="1" x14ac:dyDescent="0.2">
      <c r="B379" s="2045"/>
      <c r="C379" s="2046"/>
      <c r="D379" s="2047" t="str">
        <f>SNI!$E$416</f>
        <v>Mandor</v>
      </c>
      <c r="E379" s="2047"/>
      <c r="F379" s="2048"/>
      <c r="G379" s="2049">
        <f>SNI!$H$416/10</f>
        <v>4.0000000000000002E-4</v>
      </c>
      <c r="H379" s="2050" t="str">
        <f>SNI!$G$416</f>
        <v>OH</v>
      </c>
      <c r="I379" s="2051" t="str">
        <f>SNI!$M$416</f>
        <v>WNI</v>
      </c>
      <c r="J379" s="2051"/>
      <c r="K379" s="2052">
        <f>SNI!$L$416</f>
        <v>1</v>
      </c>
      <c r="L379" s="2053"/>
      <c r="M379" s="2054"/>
      <c r="N379" s="2055">
        <f>SNI!$I$416</f>
        <v>90000</v>
      </c>
      <c r="O379" s="2056"/>
      <c r="P379" s="1969">
        <f t="shared" si="261"/>
        <v>36</v>
      </c>
      <c r="Q379" s="1953"/>
      <c r="R379" s="1954"/>
      <c r="S379" s="1954">
        <f t="shared" si="262"/>
        <v>36</v>
      </c>
      <c r="T379" s="1969">
        <f t="shared" si="263"/>
        <v>0</v>
      </c>
      <c r="U379" s="2060"/>
      <c r="Z379" s="1956"/>
      <c r="AA379" s="1956"/>
      <c r="AF379" s="1836"/>
      <c r="AG379" s="1836"/>
      <c r="AH379" s="1836"/>
      <c r="AI379" s="1837"/>
      <c r="AJ379" s="1960"/>
    </row>
    <row r="380" spans="1:36" s="1957" customFormat="1" ht="21.95" customHeight="1" x14ac:dyDescent="0.2">
      <c r="A380" s="1942"/>
      <c r="B380" s="1970"/>
      <c r="C380" s="1971"/>
      <c r="D380" s="1972"/>
      <c r="E380" s="1973"/>
      <c r="F380" s="1974" t="s">
        <v>556</v>
      </c>
      <c r="G380" s="1975">
        <f>B371</f>
        <v>21</v>
      </c>
      <c r="H380" s="1976"/>
      <c r="I380" s="1977"/>
      <c r="J380" s="1977"/>
      <c r="K380" s="1978"/>
      <c r="L380" s="1979"/>
      <c r="M380" s="1980"/>
      <c r="N380" s="1981"/>
      <c r="O380" s="1982"/>
      <c r="P380" s="1983">
        <f>SUM(P373:P379)</f>
        <v>13808.800000000001</v>
      </c>
      <c r="Q380" s="1984"/>
      <c r="R380" s="1985"/>
      <c r="S380" s="1983">
        <f t="shared" ref="S380" si="264">SUM(S373:S379)</f>
        <v>7242.6925000000001</v>
      </c>
      <c r="T380" s="1983">
        <f t="shared" ref="T380" si="265">SUM(T373:T379)</f>
        <v>6566.1075000000001</v>
      </c>
      <c r="U380" s="1986"/>
      <c r="V380" s="1848"/>
      <c r="W380" s="1848"/>
      <c r="X380" s="1848"/>
      <c r="Y380" s="1848"/>
      <c r="Z380" s="1956"/>
      <c r="AA380" s="1956"/>
      <c r="AF380" s="1958"/>
      <c r="AG380" s="1958"/>
      <c r="AH380" s="1958"/>
      <c r="AI380" s="1959"/>
      <c r="AJ380" s="1960"/>
    </row>
    <row r="381" spans="1:36" ht="21.95" customHeight="1" x14ac:dyDescent="0.2">
      <c r="A381" s="1833">
        <f>satpek!$B$44</f>
        <v>25</v>
      </c>
      <c r="B381" s="1943">
        <f>B371+1</f>
        <v>22</v>
      </c>
      <c r="C381" s="1937"/>
      <c r="D381" s="1944" t="str">
        <f>VLOOKUP($A381,satpek!$B$20:$N$144,2,0)</f>
        <v>Memasang bekisting untuk kolom (2 kali pakai)</v>
      </c>
      <c r="E381" s="1944"/>
      <c r="F381" s="2004"/>
      <c r="G381" s="1945">
        <f>'[3]B.VOL RAB'!Q115</f>
        <v>153.60000000000002</v>
      </c>
      <c r="H381" s="1946" t="str">
        <f>VLOOKUP($A381,satpek!$B$20:$N$144,7,0)</f>
        <v>m2</v>
      </c>
      <c r="I381" s="1947"/>
      <c r="J381" s="1947"/>
      <c r="K381" s="1948"/>
      <c r="L381" s="1949"/>
      <c r="M381" s="1950" t="str">
        <f>VLOOKUP($A381,satpek!$B$20:$N$144,5,0)</f>
        <v>A.4.1.1.22.</v>
      </c>
      <c r="N381" s="1951">
        <f>VLOOKUP($A381,satpek!$B$20:$N$144,6,0)</f>
        <v>192050.28</v>
      </c>
      <c r="O381" s="1938"/>
      <c r="P381" s="1952">
        <f t="shared" si="251"/>
        <v>29498923.010000002</v>
      </c>
      <c r="Q381" s="1953">
        <f>VLOOKUP($A381,satpek!$B$20:$L$138,8,0)</f>
        <v>0.82830850337734474</v>
      </c>
      <c r="R381" s="1954">
        <f>VLOOKUP($A381,satpek!$B$20:$L$138,9,0)</f>
        <v>140776</v>
      </c>
      <c r="S381" s="1954">
        <f>VLOOKUP($A381,satpek!$B$20:$L$138,10,0)</f>
        <v>159076.88</v>
      </c>
      <c r="T381" s="1952">
        <f>S381*G381</f>
        <v>24434208.768000003</v>
      </c>
      <c r="U381" s="1955"/>
      <c r="X381" s="1848">
        <f>P395</f>
        <v>169956</v>
      </c>
      <c r="Y381" s="1848">
        <f>S395</f>
        <v>140776</v>
      </c>
      <c r="Z381" s="1956">
        <v>164.16</v>
      </c>
      <c r="AA381" s="1956">
        <f>Z381-G381</f>
        <v>10.559999999999974</v>
      </c>
      <c r="AB381" s="1836" t="s">
        <v>1908</v>
      </c>
      <c r="AF381" s="1836"/>
      <c r="AG381" s="1836"/>
      <c r="AH381" s="1836"/>
      <c r="AI381" s="1837">
        <v>193211.91999999998</v>
      </c>
      <c r="AJ381" s="1960">
        <f>AI381-N381</f>
        <v>1161.6399999999849</v>
      </c>
    </row>
    <row r="382" spans="1:36" ht="21.95" customHeight="1" x14ac:dyDescent="0.2">
      <c r="B382" s="2045"/>
      <c r="C382" s="2046" t="str">
        <f>SNI!$D$473</f>
        <v>Bahan</v>
      </c>
      <c r="D382" s="2047"/>
      <c r="E382" s="2047"/>
      <c r="F382" s="2048"/>
      <c r="G382" s="2049"/>
      <c r="H382" s="2050"/>
      <c r="I382" s="2051"/>
      <c r="J382" s="2051"/>
      <c r="K382" s="2052"/>
      <c r="L382" s="2053"/>
      <c r="M382" s="2054"/>
      <c r="N382" s="2055"/>
      <c r="O382" s="2056"/>
      <c r="P382" s="2057"/>
      <c r="Q382" s="2058"/>
      <c r="R382" s="2059"/>
      <c r="S382" s="2059"/>
      <c r="T382" s="2055"/>
      <c r="U382" s="2060"/>
      <c r="Z382" s="1956"/>
      <c r="AA382" s="1956"/>
      <c r="AF382" s="1836"/>
      <c r="AG382" s="1836"/>
      <c r="AH382" s="1836"/>
      <c r="AI382" s="1837"/>
      <c r="AJ382" s="1960"/>
    </row>
    <row r="383" spans="1:36" ht="21.95" customHeight="1" x14ac:dyDescent="0.2">
      <c r="B383" s="2045"/>
      <c r="C383" s="2046"/>
      <c r="D383" s="2047" t="str">
        <f>SNI!$E$473</f>
        <v>Kayu kelas III</v>
      </c>
      <c r="E383" s="2047"/>
      <c r="F383" s="2048"/>
      <c r="G383" s="2049">
        <f>SNI!$H$473</f>
        <v>0.02</v>
      </c>
      <c r="H383" s="2050" t="str">
        <f>SNI!$G$473</f>
        <v>m3</v>
      </c>
      <c r="I383" s="2051"/>
      <c r="J383" s="2051"/>
      <c r="K383" s="2052">
        <f>SNI!$L$473</f>
        <v>1</v>
      </c>
      <c r="L383" s="2053"/>
      <c r="M383" s="2054"/>
      <c r="N383" s="2055">
        <f>SNI!$I$473</f>
        <v>1100000</v>
      </c>
      <c r="O383" s="2056"/>
      <c r="P383" s="1969">
        <f t="shared" ref="P383:P388" si="266">N383*G383</f>
        <v>22000</v>
      </c>
      <c r="Q383" s="1953"/>
      <c r="R383" s="1954"/>
      <c r="S383" s="1954">
        <f t="shared" ref="S383:S388" si="267">P383*K383</f>
        <v>22000</v>
      </c>
      <c r="T383" s="1969">
        <f t="shared" ref="T383:T388" si="268">P383-S383</f>
        <v>0</v>
      </c>
      <c r="U383" s="2060"/>
      <c r="Z383" s="1956"/>
      <c r="AA383" s="1956"/>
      <c r="AF383" s="1836"/>
      <c r="AG383" s="1836"/>
      <c r="AH383" s="1836"/>
      <c r="AI383" s="1837"/>
      <c r="AJ383" s="1960"/>
    </row>
    <row r="384" spans="1:36" ht="21.95" customHeight="1" x14ac:dyDescent="0.2">
      <c r="B384" s="2045"/>
      <c r="C384" s="2046"/>
      <c r="D384" s="2047" t="str">
        <f>SNI!$E$474</f>
        <v>Paku 5 cm - 12 cm</v>
      </c>
      <c r="E384" s="2047"/>
      <c r="F384" s="2048"/>
      <c r="G384" s="2049">
        <f>SNI!$H$474</f>
        <v>0.4</v>
      </c>
      <c r="H384" s="2050" t="str">
        <f>SNI!$G$474</f>
        <v>kg</v>
      </c>
      <c r="I384" s="2051"/>
      <c r="J384" s="2051"/>
      <c r="K384" s="2052">
        <f>SNI!$L$474</f>
        <v>0</v>
      </c>
      <c r="L384" s="2053"/>
      <c r="M384" s="2054"/>
      <c r="N384" s="2055">
        <f>SNI!$I$474</f>
        <v>17000</v>
      </c>
      <c r="O384" s="2056"/>
      <c r="P384" s="1969">
        <f t="shared" si="266"/>
        <v>6800</v>
      </c>
      <c r="Q384" s="1953"/>
      <c r="R384" s="1954"/>
      <c r="S384" s="1954">
        <f t="shared" si="267"/>
        <v>0</v>
      </c>
      <c r="T384" s="1969">
        <f t="shared" si="268"/>
        <v>6800</v>
      </c>
      <c r="U384" s="2060"/>
      <c r="Z384" s="1956"/>
      <c r="AA384" s="1956"/>
      <c r="AF384" s="1836"/>
      <c r="AG384" s="1836"/>
      <c r="AH384" s="1836"/>
      <c r="AI384" s="1837"/>
      <c r="AJ384" s="1960"/>
    </row>
    <row r="385" spans="1:36" ht="21.95" customHeight="1" x14ac:dyDescent="0.2">
      <c r="B385" s="2045"/>
      <c r="C385" s="2046"/>
      <c r="D385" s="2047" t="str">
        <f>SNI!$E$475</f>
        <v>Minyak Bekisting</v>
      </c>
      <c r="E385" s="2047"/>
      <c r="F385" s="2048"/>
      <c r="G385" s="2049">
        <f>SNI!$H$475</f>
        <v>0.2</v>
      </c>
      <c r="H385" s="2050" t="str">
        <f>SNI!$G$475</f>
        <v>ltr</v>
      </c>
      <c r="I385" s="2051"/>
      <c r="J385" s="2051"/>
      <c r="K385" s="2052">
        <f>SNI!$L$475</f>
        <v>0</v>
      </c>
      <c r="L385" s="2053"/>
      <c r="M385" s="2054"/>
      <c r="N385" s="2055">
        <f>SNI!$I$475</f>
        <v>6900</v>
      </c>
      <c r="O385" s="2056"/>
      <c r="P385" s="1969">
        <f t="shared" si="266"/>
        <v>1380</v>
      </c>
      <c r="Q385" s="1953"/>
      <c r="R385" s="1954"/>
      <c r="S385" s="1954">
        <f t="shared" si="267"/>
        <v>0</v>
      </c>
      <c r="T385" s="1969">
        <f t="shared" si="268"/>
        <v>1380</v>
      </c>
      <c r="U385" s="2060"/>
      <c r="Z385" s="1956"/>
      <c r="AA385" s="1956"/>
      <c r="AF385" s="1836"/>
      <c r="AG385" s="1836"/>
      <c r="AH385" s="1836"/>
      <c r="AI385" s="1837"/>
      <c r="AJ385" s="1960"/>
    </row>
    <row r="386" spans="1:36" ht="21.95" customHeight="1" x14ac:dyDescent="0.2">
      <c r="B386" s="2045"/>
      <c r="C386" s="2046"/>
      <c r="D386" s="2047" t="str">
        <f>SNI!$E$476</f>
        <v>Balok kayu kelas II</v>
      </c>
      <c r="E386" s="2047"/>
      <c r="F386" s="2048"/>
      <c r="G386" s="2049">
        <f>SNI!$H$476</f>
        <v>7.4999999999999997E-3</v>
      </c>
      <c r="H386" s="2050" t="str">
        <f>SNI!$G$476</f>
        <v>m3</v>
      </c>
      <c r="I386" s="2051"/>
      <c r="J386" s="2051"/>
      <c r="K386" s="2052">
        <f>SNI!$L$476</f>
        <v>1</v>
      </c>
      <c r="L386" s="2053"/>
      <c r="M386" s="2054"/>
      <c r="N386" s="2055">
        <f>SNI!$I$476</f>
        <v>1600000</v>
      </c>
      <c r="O386" s="2056"/>
      <c r="P386" s="1969">
        <f t="shared" si="266"/>
        <v>12000</v>
      </c>
      <c r="Q386" s="1953"/>
      <c r="R386" s="1954"/>
      <c r="S386" s="1954">
        <f t="shared" si="267"/>
        <v>12000</v>
      </c>
      <c r="T386" s="1969">
        <f t="shared" si="268"/>
        <v>0</v>
      </c>
      <c r="U386" s="2060"/>
      <c r="Z386" s="1956"/>
      <c r="AA386" s="1956"/>
      <c r="AF386" s="1836"/>
      <c r="AG386" s="1836"/>
      <c r="AH386" s="1836"/>
      <c r="AI386" s="1837"/>
      <c r="AJ386" s="1960"/>
    </row>
    <row r="387" spans="1:36" ht="21.95" customHeight="1" x14ac:dyDescent="0.2">
      <c r="B387" s="2045"/>
      <c r="C387" s="2046"/>
      <c r="D387" s="2047" t="str">
        <f>SNI!$E$477</f>
        <v>Plywood tebal 9 mm</v>
      </c>
      <c r="E387" s="2047"/>
      <c r="F387" s="2048"/>
      <c r="G387" s="2049">
        <f>SNI!$H$477</f>
        <v>0.17499999999999999</v>
      </c>
      <c r="H387" s="2050" t="str">
        <f>SNI!$G$477</f>
        <v>lbr</v>
      </c>
      <c r="I387" s="2051"/>
      <c r="J387" s="2051"/>
      <c r="K387" s="2052">
        <f>SNI!$L$477</f>
        <v>0</v>
      </c>
      <c r="L387" s="2053"/>
      <c r="M387" s="2054"/>
      <c r="N387" s="2055">
        <f>SNI!$I$477</f>
        <v>120000</v>
      </c>
      <c r="O387" s="2056"/>
      <c r="P387" s="1969">
        <f t="shared" si="266"/>
        <v>21000</v>
      </c>
      <c r="Q387" s="1953"/>
      <c r="R387" s="1954"/>
      <c r="S387" s="1954">
        <f t="shared" si="267"/>
        <v>0</v>
      </c>
      <c r="T387" s="1969">
        <f t="shared" si="268"/>
        <v>21000</v>
      </c>
      <c r="U387" s="2060"/>
      <c r="Z387" s="1956"/>
      <c r="AA387" s="1956"/>
      <c r="AF387" s="1836"/>
      <c r="AG387" s="1836"/>
      <c r="AH387" s="1836"/>
      <c r="AI387" s="1837"/>
      <c r="AJ387" s="1960"/>
    </row>
    <row r="388" spans="1:36" ht="21.95" customHeight="1" x14ac:dyDescent="0.2">
      <c r="B388" s="2045"/>
      <c r="C388" s="2046"/>
      <c r="D388" s="2047" t="str">
        <f>SNI!$E$478</f>
        <v>Dolken kayu galam,</v>
      </c>
      <c r="E388" s="2047"/>
      <c r="F388" s="2048"/>
      <c r="G388" s="2049">
        <f>SNI!$H$478</f>
        <v>1</v>
      </c>
      <c r="H388" s="2050" t="str">
        <f>SNI!$G$478</f>
        <v>btg</v>
      </c>
      <c r="I388" s="2051"/>
      <c r="J388" s="2051"/>
      <c r="K388" s="2052">
        <f>SNI!$L$478</f>
        <v>1</v>
      </c>
      <c r="L388" s="2053"/>
      <c r="M388" s="2054"/>
      <c r="N388" s="2055">
        <f>SNI!$I$478</f>
        <v>12000</v>
      </c>
      <c r="O388" s="2056"/>
      <c r="P388" s="1969">
        <f t="shared" si="266"/>
        <v>12000</v>
      </c>
      <c r="Q388" s="1953"/>
      <c r="R388" s="1954"/>
      <c r="S388" s="1954">
        <f t="shared" si="267"/>
        <v>12000</v>
      </c>
      <c r="T388" s="1969">
        <f t="shared" si="268"/>
        <v>0</v>
      </c>
      <c r="U388" s="2060"/>
      <c r="Z388" s="1956"/>
      <c r="AA388" s="1956"/>
      <c r="AF388" s="1836"/>
      <c r="AG388" s="1836"/>
      <c r="AH388" s="1836"/>
      <c r="AI388" s="1837"/>
      <c r="AJ388" s="1960"/>
    </row>
    <row r="389" spans="1:36" ht="21.95" customHeight="1" x14ac:dyDescent="0.2">
      <c r="B389" s="2045"/>
      <c r="C389" s="2046"/>
      <c r="D389" s="2047" t="str">
        <f>SNI!$E$479</f>
        <v>Ø (8 - 10) cm, panj 4 m</v>
      </c>
      <c r="E389" s="2047"/>
      <c r="F389" s="2048"/>
      <c r="G389" s="2049"/>
      <c r="H389" s="2050"/>
      <c r="I389" s="2051"/>
      <c r="J389" s="2051"/>
      <c r="K389" s="2052"/>
      <c r="L389" s="2053"/>
      <c r="M389" s="2054"/>
      <c r="N389" s="2055"/>
      <c r="O389" s="2056"/>
      <c r="P389" s="1969"/>
      <c r="Q389" s="1953"/>
      <c r="R389" s="1954"/>
      <c r="S389" s="1954"/>
      <c r="T389" s="1969"/>
      <c r="U389" s="2060"/>
      <c r="Z389" s="1956"/>
      <c r="AA389" s="1956"/>
      <c r="AF389" s="1836"/>
      <c r="AG389" s="1836"/>
      <c r="AH389" s="1836"/>
      <c r="AI389" s="1837"/>
      <c r="AJ389" s="1960"/>
    </row>
    <row r="390" spans="1:36" ht="21.95" customHeight="1" x14ac:dyDescent="0.2">
      <c r="B390" s="2045"/>
      <c r="C390" s="2046" t="str">
        <f>SNI!$D$481</f>
        <v>Tenaga Kerja</v>
      </c>
      <c r="D390" s="2047"/>
      <c r="E390" s="2047"/>
      <c r="F390" s="2048"/>
      <c r="G390" s="2049"/>
      <c r="H390" s="2050"/>
      <c r="I390" s="2051"/>
      <c r="J390" s="2051"/>
      <c r="K390" s="2052"/>
      <c r="L390" s="2053"/>
      <c r="M390" s="2054"/>
      <c r="N390" s="2055"/>
      <c r="O390" s="2056"/>
      <c r="P390" s="1969"/>
      <c r="Q390" s="1953"/>
      <c r="R390" s="1954"/>
      <c r="S390" s="1954"/>
      <c r="T390" s="1969"/>
      <c r="U390" s="2060"/>
      <c r="Z390" s="1956"/>
      <c r="AA390" s="1956"/>
      <c r="AF390" s="1836"/>
      <c r="AG390" s="1836"/>
      <c r="AH390" s="1836"/>
      <c r="AI390" s="1837"/>
      <c r="AJ390" s="1960"/>
    </row>
    <row r="391" spans="1:36" ht="21.95" customHeight="1" x14ac:dyDescent="0.2">
      <c r="B391" s="2045"/>
      <c r="C391" s="2046"/>
      <c r="D391" s="2047" t="str">
        <f>SNI!$E$481</f>
        <v xml:space="preserve">Pekerja </v>
      </c>
      <c r="E391" s="2047"/>
      <c r="F391" s="2048"/>
      <c r="G391" s="2049">
        <f>SNI!$H$481</f>
        <v>0.66</v>
      </c>
      <c r="H391" s="2050" t="str">
        <f>SNI!$G$481</f>
        <v>OH</v>
      </c>
      <c r="I391" s="2051" t="str">
        <f>SNI!$M$481</f>
        <v>WNI</v>
      </c>
      <c r="J391" s="2051"/>
      <c r="K391" s="2052">
        <f>SNI!$L$481</f>
        <v>1</v>
      </c>
      <c r="L391" s="2053"/>
      <c r="M391" s="2054"/>
      <c r="N391" s="2055">
        <f>SNI!$I$481</f>
        <v>88300</v>
      </c>
      <c r="O391" s="2056"/>
      <c r="P391" s="1969">
        <f t="shared" ref="P391:P394" si="269">N391*G391</f>
        <v>58278</v>
      </c>
      <c r="Q391" s="1953"/>
      <c r="R391" s="1954"/>
      <c r="S391" s="1954">
        <f t="shared" ref="S391:S394" si="270">P391*K391</f>
        <v>58278</v>
      </c>
      <c r="T391" s="1969">
        <f t="shared" ref="T391:T394" si="271">P391-S391</f>
        <v>0</v>
      </c>
      <c r="U391" s="2060"/>
      <c r="Z391" s="1956"/>
      <c r="AA391" s="1956"/>
      <c r="AF391" s="1836"/>
      <c r="AG391" s="1836"/>
      <c r="AH391" s="1836"/>
      <c r="AI391" s="1837"/>
      <c r="AJ391" s="1960"/>
    </row>
    <row r="392" spans="1:36" ht="21.95" customHeight="1" x14ac:dyDescent="0.2">
      <c r="B392" s="2045"/>
      <c r="C392" s="2046"/>
      <c r="D392" s="2047" t="str">
        <f>SNI!$E$482</f>
        <v>Tukang Kayu</v>
      </c>
      <c r="E392" s="2047"/>
      <c r="F392" s="2048"/>
      <c r="G392" s="2049">
        <f>SNI!$H$482</f>
        <v>0.33</v>
      </c>
      <c r="H392" s="2050" t="str">
        <f>SNI!$G$482</f>
        <v>OH</v>
      </c>
      <c r="I392" s="2051" t="str">
        <f>SNI!$M$482</f>
        <v>WNI</v>
      </c>
      <c r="J392" s="2051"/>
      <c r="K392" s="2052">
        <f>SNI!$L$482</f>
        <v>1</v>
      </c>
      <c r="L392" s="2053"/>
      <c r="M392" s="2054"/>
      <c r="N392" s="2055">
        <f>SNI!$I$482</f>
        <v>92000</v>
      </c>
      <c r="O392" s="2056"/>
      <c r="P392" s="1969">
        <f t="shared" si="269"/>
        <v>30360</v>
      </c>
      <c r="Q392" s="1953"/>
      <c r="R392" s="1954"/>
      <c r="S392" s="1954">
        <f t="shared" si="270"/>
        <v>30360</v>
      </c>
      <c r="T392" s="1969">
        <f t="shared" si="271"/>
        <v>0</v>
      </c>
      <c r="U392" s="2060"/>
      <c r="Z392" s="1956"/>
      <c r="AA392" s="1956"/>
      <c r="AF392" s="1836"/>
      <c r="AG392" s="1836"/>
      <c r="AH392" s="1836"/>
      <c r="AI392" s="1837"/>
      <c r="AJ392" s="1960"/>
    </row>
    <row r="393" spans="1:36" ht="21.95" customHeight="1" x14ac:dyDescent="0.2">
      <c r="B393" s="2045"/>
      <c r="C393" s="2046"/>
      <c r="D393" s="2047" t="str">
        <f>SNI!$E$483</f>
        <v>Kepala Tukang</v>
      </c>
      <c r="E393" s="2047"/>
      <c r="F393" s="2048"/>
      <c r="G393" s="2049">
        <f>SNI!$H$483</f>
        <v>3.3000000000000002E-2</v>
      </c>
      <c r="H393" s="2050" t="str">
        <f>SNI!$G$483</f>
        <v>OH</v>
      </c>
      <c r="I393" s="2051" t="str">
        <f>SNI!$M$483</f>
        <v>WNI</v>
      </c>
      <c r="J393" s="2051"/>
      <c r="K393" s="2052">
        <f>SNI!$L$483</f>
        <v>1</v>
      </c>
      <c r="L393" s="2053"/>
      <c r="M393" s="2054"/>
      <c r="N393" s="2055">
        <f>SNI!$I$483</f>
        <v>96000</v>
      </c>
      <c r="O393" s="2056"/>
      <c r="P393" s="1969">
        <f t="shared" si="269"/>
        <v>3168</v>
      </c>
      <c r="Q393" s="1953"/>
      <c r="R393" s="1954"/>
      <c r="S393" s="1954">
        <f t="shared" si="270"/>
        <v>3168</v>
      </c>
      <c r="T393" s="1969">
        <f t="shared" si="271"/>
        <v>0</v>
      </c>
      <c r="U393" s="2060"/>
      <c r="Z393" s="1956"/>
      <c r="AA393" s="1956"/>
      <c r="AF393" s="1836"/>
      <c r="AG393" s="1836"/>
      <c r="AH393" s="1836"/>
      <c r="AI393" s="1837"/>
      <c r="AJ393" s="1960"/>
    </row>
    <row r="394" spans="1:36" ht="21.95" customHeight="1" x14ac:dyDescent="0.2">
      <c r="B394" s="2045"/>
      <c r="C394" s="2046"/>
      <c r="D394" s="2047" t="str">
        <f>SNI!$E$484</f>
        <v>Mandor</v>
      </c>
      <c r="E394" s="2047"/>
      <c r="F394" s="2048"/>
      <c r="G394" s="2049">
        <f>SNI!$H$484</f>
        <v>3.3000000000000002E-2</v>
      </c>
      <c r="H394" s="2050" t="str">
        <f>SNI!$G$484</f>
        <v>OH</v>
      </c>
      <c r="I394" s="2051" t="str">
        <f>SNI!$M$484</f>
        <v>WNI</v>
      </c>
      <c r="J394" s="2051"/>
      <c r="K394" s="2052">
        <f>SNI!$L$484</f>
        <v>1</v>
      </c>
      <c r="L394" s="2053"/>
      <c r="M394" s="2054"/>
      <c r="N394" s="2055">
        <f>SNI!$I$484</f>
        <v>90000</v>
      </c>
      <c r="O394" s="2056"/>
      <c r="P394" s="1969">
        <f t="shared" si="269"/>
        <v>2970</v>
      </c>
      <c r="Q394" s="1953"/>
      <c r="R394" s="1954"/>
      <c r="S394" s="1954">
        <f t="shared" si="270"/>
        <v>2970</v>
      </c>
      <c r="T394" s="1969">
        <f t="shared" si="271"/>
        <v>0</v>
      </c>
      <c r="U394" s="2060"/>
      <c r="Z394" s="1956"/>
      <c r="AA394" s="1956"/>
      <c r="AF394" s="1836"/>
      <c r="AG394" s="1836"/>
      <c r="AH394" s="1836"/>
      <c r="AI394" s="1837"/>
      <c r="AJ394" s="1960"/>
    </row>
    <row r="395" spans="1:36" s="1957" customFormat="1" ht="21.95" customHeight="1" x14ac:dyDescent="0.2">
      <c r="A395" s="1942"/>
      <c r="B395" s="1970"/>
      <c r="C395" s="1971"/>
      <c r="D395" s="1972"/>
      <c r="E395" s="1973"/>
      <c r="F395" s="1974" t="s">
        <v>556</v>
      </c>
      <c r="G395" s="1975">
        <f>B381</f>
        <v>22</v>
      </c>
      <c r="H395" s="1976"/>
      <c r="I395" s="1977"/>
      <c r="J395" s="1977"/>
      <c r="K395" s="1978"/>
      <c r="L395" s="1979"/>
      <c r="M395" s="1980"/>
      <c r="N395" s="1981"/>
      <c r="O395" s="1982"/>
      <c r="P395" s="1983">
        <f>SUM(P383:P394)</f>
        <v>169956</v>
      </c>
      <c r="Q395" s="1984"/>
      <c r="R395" s="1985"/>
      <c r="S395" s="1983">
        <f t="shared" ref="S395" si="272">SUM(S383:S394)</f>
        <v>140776</v>
      </c>
      <c r="T395" s="1983">
        <f t="shared" ref="T395" si="273">SUM(T383:T394)</f>
        <v>29180</v>
      </c>
      <c r="U395" s="1986"/>
      <c r="V395" s="1848"/>
      <c r="W395" s="1848"/>
      <c r="X395" s="1848"/>
      <c r="Y395" s="1848"/>
      <c r="Z395" s="1956"/>
      <c r="AA395" s="1956"/>
      <c r="AF395" s="1958"/>
      <c r="AG395" s="1958"/>
      <c r="AH395" s="1958"/>
      <c r="AI395" s="1959"/>
      <c r="AJ395" s="1960"/>
    </row>
    <row r="396" spans="1:36" ht="21.95" customHeight="1" x14ac:dyDescent="0.2">
      <c r="B396" s="2102"/>
      <c r="C396" s="2103"/>
      <c r="D396" s="2081" t="s">
        <v>1781</v>
      </c>
      <c r="E396" s="1930"/>
      <c r="F396" s="1931"/>
      <c r="G396" s="1945"/>
      <c r="H396" s="1933"/>
      <c r="I396" s="1934"/>
      <c r="J396" s="1934"/>
      <c r="K396" s="1935"/>
      <c r="L396" s="1936"/>
      <c r="M396" s="1936"/>
      <c r="N396" s="1951"/>
      <c r="O396" s="2066"/>
      <c r="P396" s="2067"/>
      <c r="Q396" s="1934"/>
      <c r="R396" s="1934"/>
      <c r="S396" s="1934"/>
      <c r="T396" s="1940"/>
      <c r="U396" s="1941"/>
      <c r="Z396" s="1956"/>
      <c r="AA396" s="1956">
        <f>Z396-G396</f>
        <v>0</v>
      </c>
      <c r="AB396" s="1836" t="s">
        <v>1781</v>
      </c>
      <c r="AF396" s="1836"/>
      <c r="AG396" s="1836"/>
      <c r="AH396" s="1836"/>
      <c r="AI396" s="1837"/>
      <c r="AJ396" s="1960">
        <f>AI396-N396</f>
        <v>0</v>
      </c>
    </row>
    <row r="397" spans="1:36" ht="21.95" customHeight="1" x14ac:dyDescent="0.2">
      <c r="A397" s="1833">
        <f>satpek!$B$40</f>
        <v>21</v>
      </c>
      <c r="B397" s="1943">
        <f>B381+1</f>
        <v>23</v>
      </c>
      <c r="C397" s="1937"/>
      <c r="D397" s="1944" t="str">
        <f>VLOOKUP($A397,satpek!$B$20:$N$144,2,0)</f>
        <v>Membuat beton mutu f'c = 21,7 Mpa - K 250</v>
      </c>
      <c r="E397" s="1944"/>
      <c r="F397" s="2004"/>
      <c r="G397" s="1945">
        <f>'[3]B.VOL RAB'!Q118</f>
        <v>1.44</v>
      </c>
      <c r="H397" s="1946" t="str">
        <f>VLOOKUP($A397,satpek!$B$20:$N$144,7,0)</f>
        <v>m3</v>
      </c>
      <c r="I397" s="1947"/>
      <c r="J397" s="1947"/>
      <c r="K397" s="1948"/>
      <c r="L397" s="1949"/>
      <c r="M397" s="1950" t="str">
        <f>VLOOKUP($A397,satpek!$B$20:$N$144,5,0)</f>
        <v>A.4.1.1.8.</v>
      </c>
      <c r="N397" s="1951">
        <f>VLOOKUP($A397,satpek!$B$20:$N$144,6,0)</f>
        <v>1115753.29</v>
      </c>
      <c r="O397" s="1938"/>
      <c r="P397" s="1952">
        <f t="shared" ref="P397:P419" si="274">ROUND((G397*N397),2)</f>
        <v>1606684.74</v>
      </c>
      <c r="Q397" s="1953">
        <f>VLOOKUP($A397,satpek!$B$20:$L$138,8,0)</f>
        <v>0.93065078521121514</v>
      </c>
      <c r="R397" s="1954">
        <f>VLOOKUP($A397,satpek!$B$20:$L$138,9,0)</f>
        <v>918917.40999999992</v>
      </c>
      <c r="S397" s="1954">
        <f>VLOOKUP($A397,satpek!$B$20:$L$138,10,0)</f>
        <v>1038376.6732999999</v>
      </c>
      <c r="T397" s="1952">
        <f>S397*G397</f>
        <v>1495262.4095519998</v>
      </c>
      <c r="U397" s="1955"/>
      <c r="X397" s="1848">
        <f>P408</f>
        <v>987392.28571428568</v>
      </c>
      <c r="Y397" s="1848">
        <f>S408</f>
        <v>918917.40571428579</v>
      </c>
      <c r="Z397" s="1956">
        <v>1.3679999999999999</v>
      </c>
      <c r="AA397" s="1956">
        <f>Z397-G397</f>
        <v>-7.2000000000000064E-2</v>
      </c>
      <c r="AB397" s="1836" t="s">
        <v>1905</v>
      </c>
      <c r="AF397" s="1836"/>
      <c r="AG397" s="1836"/>
      <c r="AH397" s="1836"/>
      <c r="AI397" s="1837">
        <v>1191397.42</v>
      </c>
      <c r="AJ397" s="1960">
        <f>AI397-N397</f>
        <v>75644.129999999888</v>
      </c>
    </row>
    <row r="398" spans="1:36" ht="21.95" customHeight="1" x14ac:dyDescent="0.2">
      <c r="B398" s="2045"/>
      <c r="C398" s="2046" t="str">
        <f>SNI!$D$389</f>
        <v>Bahan</v>
      </c>
      <c r="D398" s="2047"/>
      <c r="E398" s="2047"/>
      <c r="F398" s="2048"/>
      <c r="G398" s="2049"/>
      <c r="H398" s="2050"/>
      <c r="I398" s="2051"/>
      <c r="J398" s="2051"/>
      <c r="K398" s="2052"/>
      <c r="L398" s="2053"/>
      <c r="M398" s="2054"/>
      <c r="N398" s="2055"/>
      <c r="O398" s="2056"/>
      <c r="P398" s="2057"/>
      <c r="Q398" s="2058"/>
      <c r="R398" s="2059"/>
      <c r="S398" s="2059"/>
      <c r="T398" s="2057"/>
      <c r="U398" s="2060"/>
      <c r="Z398" s="1956"/>
      <c r="AA398" s="1956"/>
      <c r="AF398" s="1836"/>
      <c r="AG398" s="1836"/>
      <c r="AH398" s="1836"/>
      <c r="AI398" s="1837"/>
      <c r="AJ398" s="1960"/>
    </row>
    <row r="399" spans="1:36" ht="21.95" customHeight="1" x14ac:dyDescent="0.2">
      <c r="B399" s="2045"/>
      <c r="C399" s="2046"/>
      <c r="D399" s="2047" t="str">
        <f>SNI!$E$389</f>
        <v>PC</v>
      </c>
      <c r="E399" s="2047"/>
      <c r="F399" s="2048"/>
      <c r="G399" s="2049">
        <f>SNI!$H$389</f>
        <v>384</v>
      </c>
      <c r="H399" s="2050" t="str">
        <f>SNI!$G$389</f>
        <v>kg</v>
      </c>
      <c r="I399" s="2051"/>
      <c r="J399" s="2051"/>
      <c r="K399" s="2052">
        <f>SNI!$L$389</f>
        <v>0.85140000000000005</v>
      </c>
      <c r="L399" s="2053"/>
      <c r="M399" s="2054"/>
      <c r="N399" s="2055">
        <f>SNI!$I$389</f>
        <v>1200</v>
      </c>
      <c r="O399" s="2056"/>
      <c r="P399" s="1969">
        <f t="shared" ref="P399:P402" si="275">N399*G399</f>
        <v>460800</v>
      </c>
      <c r="Q399" s="1953"/>
      <c r="R399" s="1954"/>
      <c r="S399" s="1954">
        <f t="shared" ref="S399:S402" si="276">P399*K399</f>
        <v>392325.12</v>
      </c>
      <c r="T399" s="1969">
        <f t="shared" ref="T399:T402" si="277">P399-S399</f>
        <v>68474.880000000005</v>
      </c>
      <c r="U399" s="2060"/>
      <c r="Z399" s="1956"/>
      <c r="AA399" s="1956"/>
      <c r="AF399" s="1836"/>
      <c r="AG399" s="1836"/>
      <c r="AH399" s="1836"/>
      <c r="AI399" s="1837"/>
      <c r="AJ399" s="1960"/>
    </row>
    <row r="400" spans="1:36" ht="21.95" customHeight="1" x14ac:dyDescent="0.2">
      <c r="B400" s="2045"/>
      <c r="C400" s="2046"/>
      <c r="D400" s="2047" t="str">
        <f>SNI!$E$390</f>
        <v>Pasir Beton</v>
      </c>
      <c r="E400" s="2047"/>
      <c r="F400" s="2048"/>
      <c r="G400" s="2049">
        <f>SNI!$H$390</f>
        <v>692</v>
      </c>
      <c r="H400" s="2050" t="str">
        <f>SNI!$G$390</f>
        <v>kg</v>
      </c>
      <c r="I400" s="2051"/>
      <c r="J400" s="2051"/>
      <c r="K400" s="2052">
        <f>SNI!$L$390</f>
        <v>1</v>
      </c>
      <c r="L400" s="2053"/>
      <c r="M400" s="2054"/>
      <c r="N400" s="2055">
        <f>SNI!$I$390</f>
        <v>185.71428571428572</v>
      </c>
      <c r="O400" s="2056"/>
      <c r="P400" s="1969">
        <f t="shared" si="275"/>
        <v>128514.28571428572</v>
      </c>
      <c r="Q400" s="1953"/>
      <c r="R400" s="1954"/>
      <c r="S400" s="1954">
        <f t="shared" si="276"/>
        <v>128514.28571428572</v>
      </c>
      <c r="T400" s="1969">
        <f t="shared" si="277"/>
        <v>0</v>
      </c>
      <c r="U400" s="2060"/>
      <c r="Z400" s="1956"/>
      <c r="AA400" s="1956"/>
      <c r="AF400" s="1836"/>
      <c r="AG400" s="1836"/>
      <c r="AH400" s="1836"/>
      <c r="AI400" s="1837"/>
      <c r="AJ400" s="1960"/>
    </row>
    <row r="401" spans="1:36" ht="21.95" customHeight="1" x14ac:dyDescent="0.2">
      <c r="B401" s="2045"/>
      <c r="C401" s="2046"/>
      <c r="D401" s="2047" t="str">
        <f>SNI!$E$391</f>
        <v>Kerikil ( maks 30 mm )</v>
      </c>
      <c r="E401" s="2047"/>
      <c r="F401" s="2048"/>
      <c r="G401" s="2049">
        <f>SNI!$H$391</f>
        <v>1039</v>
      </c>
      <c r="H401" s="2050" t="str">
        <f>SNI!$G$391</f>
        <v>kg</v>
      </c>
      <c r="I401" s="2051"/>
      <c r="J401" s="2051"/>
      <c r="K401" s="2052">
        <f>SNI!$L$391</f>
        <v>1</v>
      </c>
      <c r="L401" s="2053"/>
      <c r="M401" s="2054"/>
      <c r="N401" s="2055">
        <f>SNI!$I$391</f>
        <v>200</v>
      </c>
      <c r="O401" s="2056"/>
      <c r="P401" s="1969">
        <f t="shared" si="275"/>
        <v>207800</v>
      </c>
      <c r="Q401" s="1953"/>
      <c r="R401" s="1954"/>
      <c r="S401" s="1954">
        <f t="shared" si="276"/>
        <v>207800</v>
      </c>
      <c r="T401" s="1969">
        <f t="shared" si="277"/>
        <v>0</v>
      </c>
      <c r="U401" s="2060"/>
      <c r="Z401" s="1956"/>
      <c r="AA401" s="1956"/>
      <c r="AF401" s="1836"/>
      <c r="AG401" s="1836"/>
      <c r="AH401" s="1836"/>
      <c r="AI401" s="1837"/>
      <c r="AJ401" s="1960"/>
    </row>
    <row r="402" spans="1:36" ht="21.95" customHeight="1" x14ac:dyDescent="0.2">
      <c r="B402" s="2045"/>
      <c r="C402" s="2046"/>
      <c r="D402" s="2047" t="str">
        <f>SNI!$E$392</f>
        <v>Air</v>
      </c>
      <c r="E402" s="2047"/>
      <c r="F402" s="2048"/>
      <c r="G402" s="2049">
        <f>SNI!$H$392</f>
        <v>215</v>
      </c>
      <c r="H402" s="2050" t="str">
        <f>SNI!$G$392</f>
        <v>ltr</v>
      </c>
      <c r="I402" s="2051"/>
      <c r="J402" s="2051"/>
      <c r="K402" s="2052">
        <f>SNI!$L$392</f>
        <v>1</v>
      </c>
      <c r="L402" s="2053"/>
      <c r="M402" s="2054"/>
      <c r="N402" s="2055">
        <f>SNI!$I$392</f>
        <v>45</v>
      </c>
      <c r="O402" s="2056"/>
      <c r="P402" s="1969">
        <f t="shared" si="275"/>
        <v>9675</v>
      </c>
      <c r="Q402" s="1953"/>
      <c r="R402" s="1954"/>
      <c r="S402" s="1954">
        <f t="shared" si="276"/>
        <v>9675</v>
      </c>
      <c r="T402" s="1969">
        <f t="shared" si="277"/>
        <v>0</v>
      </c>
      <c r="U402" s="2060"/>
      <c r="Z402" s="1956"/>
      <c r="AA402" s="1956"/>
      <c r="AF402" s="1836"/>
      <c r="AG402" s="1836"/>
      <c r="AH402" s="1836"/>
      <c r="AI402" s="1837"/>
      <c r="AJ402" s="1960"/>
    </row>
    <row r="403" spans="1:36" ht="21.95" customHeight="1" x14ac:dyDescent="0.2">
      <c r="B403" s="2045"/>
      <c r="C403" s="2046" t="str">
        <f>SNI!$D$394</f>
        <v>Tenaga Kerja</v>
      </c>
      <c r="D403" s="2047"/>
      <c r="E403" s="2047"/>
      <c r="F403" s="2048"/>
      <c r="G403" s="2049"/>
      <c r="H403" s="2050"/>
      <c r="I403" s="2051"/>
      <c r="J403" s="2051"/>
      <c r="K403" s="2052"/>
      <c r="L403" s="2053"/>
      <c r="M403" s="2054"/>
      <c r="N403" s="2055"/>
      <c r="O403" s="2056"/>
      <c r="P403" s="1969"/>
      <c r="Q403" s="1953"/>
      <c r="R403" s="1954"/>
      <c r="S403" s="1954"/>
      <c r="T403" s="1969"/>
      <c r="U403" s="2060"/>
      <c r="Z403" s="1956"/>
      <c r="AA403" s="1956"/>
      <c r="AF403" s="1836"/>
      <c r="AG403" s="1836"/>
      <c r="AH403" s="1836"/>
      <c r="AI403" s="1837"/>
      <c r="AJ403" s="1960"/>
    </row>
    <row r="404" spans="1:36" ht="21.95" customHeight="1" x14ac:dyDescent="0.2">
      <c r="B404" s="2045"/>
      <c r="C404" s="2046"/>
      <c r="D404" s="2047" t="str">
        <f>SNI!$E$394</f>
        <v xml:space="preserve">Pekerja </v>
      </c>
      <c r="E404" s="2047"/>
      <c r="F404" s="2048"/>
      <c r="G404" s="2049">
        <f>SNI!$H$394</f>
        <v>1.65</v>
      </c>
      <c r="H404" s="2050" t="str">
        <f>SNI!$G$394</f>
        <v>OH</v>
      </c>
      <c r="I404" s="2051" t="str">
        <f>SNI!$M$394</f>
        <v>WNI</v>
      </c>
      <c r="J404" s="2051"/>
      <c r="K404" s="2052">
        <f>SNI!$L$394</f>
        <v>1</v>
      </c>
      <c r="L404" s="2053"/>
      <c r="M404" s="2054"/>
      <c r="N404" s="2055">
        <f>SNI!$I$394</f>
        <v>88300</v>
      </c>
      <c r="O404" s="2056"/>
      <c r="P404" s="1969">
        <f t="shared" ref="P404:P407" si="278">N404*G404</f>
        <v>145695</v>
      </c>
      <c r="Q404" s="1953"/>
      <c r="R404" s="1954"/>
      <c r="S404" s="1954">
        <f t="shared" ref="S404:S407" si="279">P404*K404</f>
        <v>145695</v>
      </c>
      <c r="T404" s="1969">
        <f t="shared" ref="T404:T407" si="280">P404-S404</f>
        <v>0</v>
      </c>
      <c r="U404" s="2060"/>
      <c r="Z404" s="1956"/>
      <c r="AA404" s="1956"/>
      <c r="AF404" s="1836"/>
      <c r="AG404" s="1836"/>
      <c r="AH404" s="1836"/>
      <c r="AI404" s="1837"/>
      <c r="AJ404" s="1960"/>
    </row>
    <row r="405" spans="1:36" ht="21.95" customHeight="1" x14ac:dyDescent="0.2">
      <c r="B405" s="2045"/>
      <c r="C405" s="2046"/>
      <c r="D405" s="2047" t="str">
        <f>SNI!$E$395</f>
        <v>Tukang Batu</v>
      </c>
      <c r="E405" s="2047"/>
      <c r="F405" s="2048"/>
      <c r="G405" s="2049">
        <f>SNI!$H$395</f>
        <v>0.27500000000000002</v>
      </c>
      <c r="H405" s="2050" t="str">
        <f>SNI!$G$395</f>
        <v>OH</v>
      </c>
      <c r="I405" s="2051" t="str">
        <f>SNI!$M$395</f>
        <v>WNI</v>
      </c>
      <c r="J405" s="2051"/>
      <c r="K405" s="2052">
        <f>SNI!$L$395</f>
        <v>1</v>
      </c>
      <c r="L405" s="2053"/>
      <c r="M405" s="2054"/>
      <c r="N405" s="2055">
        <f>SNI!$I$395</f>
        <v>90000</v>
      </c>
      <c r="O405" s="2056"/>
      <c r="P405" s="1969">
        <f t="shared" si="278"/>
        <v>24750.000000000004</v>
      </c>
      <c r="Q405" s="1953"/>
      <c r="R405" s="1954"/>
      <c r="S405" s="1954">
        <f t="shared" si="279"/>
        <v>24750.000000000004</v>
      </c>
      <c r="T405" s="1969">
        <f t="shared" si="280"/>
        <v>0</v>
      </c>
      <c r="U405" s="2060"/>
      <c r="Z405" s="1956"/>
      <c r="AA405" s="1956"/>
      <c r="AF405" s="1836"/>
      <c r="AG405" s="1836"/>
      <c r="AH405" s="1836"/>
      <c r="AI405" s="1837"/>
      <c r="AJ405" s="1960"/>
    </row>
    <row r="406" spans="1:36" ht="21.95" customHeight="1" x14ac:dyDescent="0.2">
      <c r="B406" s="2045"/>
      <c r="C406" s="2046"/>
      <c r="D406" s="2047" t="str">
        <f>SNI!$E$396</f>
        <v>Kepala Tukang</v>
      </c>
      <c r="E406" s="2047"/>
      <c r="F406" s="2048"/>
      <c r="G406" s="2049">
        <f>SNI!$H$396</f>
        <v>2.8000000000000001E-2</v>
      </c>
      <c r="H406" s="2050" t="str">
        <f>SNI!$G$396</f>
        <v>OH</v>
      </c>
      <c r="I406" s="2051" t="str">
        <f>SNI!$M$396</f>
        <v>WNI</v>
      </c>
      <c r="J406" s="2051"/>
      <c r="K406" s="2052">
        <f>SNI!$L$396</f>
        <v>1</v>
      </c>
      <c r="L406" s="2053"/>
      <c r="M406" s="2054"/>
      <c r="N406" s="2055">
        <f>SNI!$I$396</f>
        <v>96000</v>
      </c>
      <c r="O406" s="2056"/>
      <c r="P406" s="1969">
        <f t="shared" si="278"/>
        <v>2688</v>
      </c>
      <c r="Q406" s="1953"/>
      <c r="R406" s="1954"/>
      <c r="S406" s="1954">
        <f t="shared" si="279"/>
        <v>2688</v>
      </c>
      <c r="T406" s="1969">
        <f t="shared" si="280"/>
        <v>0</v>
      </c>
      <c r="U406" s="2060"/>
      <c r="Z406" s="1956"/>
      <c r="AA406" s="1956"/>
      <c r="AF406" s="1836"/>
      <c r="AG406" s="1836"/>
      <c r="AH406" s="1836"/>
      <c r="AI406" s="1837"/>
      <c r="AJ406" s="1960"/>
    </row>
    <row r="407" spans="1:36" ht="21.95" customHeight="1" x14ac:dyDescent="0.2">
      <c r="B407" s="2045"/>
      <c r="C407" s="2046"/>
      <c r="D407" s="2047" t="str">
        <f>SNI!$E$397</f>
        <v>Mandor</v>
      </c>
      <c r="E407" s="2047"/>
      <c r="F407" s="2048"/>
      <c r="G407" s="2049">
        <f>SNI!$H$397</f>
        <v>8.3000000000000004E-2</v>
      </c>
      <c r="H407" s="2050" t="str">
        <f>SNI!$G$397</f>
        <v>OH</v>
      </c>
      <c r="I407" s="2051" t="str">
        <f>SNI!$M$397</f>
        <v>WNI</v>
      </c>
      <c r="J407" s="2051"/>
      <c r="K407" s="2052">
        <f>SNI!$L$397</f>
        <v>1</v>
      </c>
      <c r="L407" s="2053"/>
      <c r="M407" s="2054"/>
      <c r="N407" s="2055">
        <f>SNI!$I$397</f>
        <v>90000</v>
      </c>
      <c r="O407" s="2056"/>
      <c r="P407" s="1969">
        <f t="shared" si="278"/>
        <v>7470</v>
      </c>
      <c r="Q407" s="1953"/>
      <c r="R407" s="1954"/>
      <c r="S407" s="1954">
        <f t="shared" si="279"/>
        <v>7470</v>
      </c>
      <c r="T407" s="1969">
        <f t="shared" si="280"/>
        <v>0</v>
      </c>
      <c r="U407" s="2060"/>
      <c r="Z407" s="1956"/>
      <c r="AA407" s="1956"/>
      <c r="AF407" s="1836"/>
      <c r="AG407" s="1836"/>
      <c r="AH407" s="1836"/>
      <c r="AI407" s="1837"/>
      <c r="AJ407" s="1960"/>
    </row>
    <row r="408" spans="1:36" s="1957" customFormat="1" ht="21.95" customHeight="1" x14ac:dyDescent="0.2">
      <c r="A408" s="1942"/>
      <c r="B408" s="1970"/>
      <c r="C408" s="1971"/>
      <c r="D408" s="1972"/>
      <c r="E408" s="1973"/>
      <c r="F408" s="1974" t="s">
        <v>556</v>
      </c>
      <c r="G408" s="1975">
        <f>B397</f>
        <v>23</v>
      </c>
      <c r="H408" s="1976"/>
      <c r="I408" s="1977"/>
      <c r="J408" s="1977"/>
      <c r="K408" s="1978"/>
      <c r="L408" s="1979"/>
      <c r="M408" s="1980"/>
      <c r="N408" s="1981"/>
      <c r="O408" s="1982"/>
      <c r="P408" s="1983">
        <f>SUM(P399:P407)</f>
        <v>987392.28571428568</v>
      </c>
      <c r="Q408" s="1984"/>
      <c r="R408" s="1985"/>
      <c r="S408" s="1983">
        <f>SUM(S399:S407)</f>
        <v>918917.40571428579</v>
      </c>
      <c r="T408" s="1983">
        <f>SUM(T399:T407)</f>
        <v>68474.880000000005</v>
      </c>
      <c r="U408" s="1986"/>
      <c r="V408" s="1848"/>
      <c r="W408" s="1848"/>
      <c r="X408" s="1848"/>
      <c r="Y408" s="1848"/>
      <c r="Z408" s="1956"/>
      <c r="AA408" s="1956"/>
      <c r="AF408" s="1958"/>
      <c r="AG408" s="1958"/>
      <c r="AH408" s="1958"/>
      <c r="AI408" s="1959"/>
      <c r="AJ408" s="1960"/>
    </row>
    <row r="409" spans="1:36" ht="21.95" customHeight="1" x14ac:dyDescent="0.2">
      <c r="A409" s="1833">
        <f>satpek!$B$41</f>
        <v>22</v>
      </c>
      <c r="B409" s="1943">
        <f>B397+1</f>
        <v>24</v>
      </c>
      <c r="C409" s="1937"/>
      <c r="D409" s="1944" t="str">
        <f>VLOOKUP($A409,satpek!$B$20:$N$144,2,0)</f>
        <v>Pembesian 1 kg dengan besi polos atau besi ulir</v>
      </c>
      <c r="E409" s="1944"/>
      <c r="F409" s="2004"/>
      <c r="G409" s="1945">
        <f>'[3]B.VOL RAB'!Q120</f>
        <v>173.56765340332495</v>
      </c>
      <c r="H409" s="1946" t="str">
        <f>VLOOKUP($A409,satpek!$B$20:$N$144,7,0)</f>
        <v>kg</v>
      </c>
      <c r="I409" s="1947"/>
      <c r="J409" s="1947"/>
      <c r="K409" s="1948"/>
      <c r="L409" s="1949"/>
      <c r="M409" s="1950" t="str">
        <f>VLOOKUP($A409,satpek!$B$20:$N$144,5,0)</f>
        <v>A.4.1.1.17.</v>
      </c>
      <c r="N409" s="1951">
        <f>VLOOKUP($A409,satpek!$B$20:$N$144,6,0)</f>
        <v>15603.94</v>
      </c>
      <c r="O409" s="1938"/>
      <c r="P409" s="1952">
        <f t="shared" si="274"/>
        <v>2708339.25</v>
      </c>
      <c r="Q409" s="1953">
        <f>VLOOKUP($A409,satpek!$B$20:$L$138,8,0)</f>
        <v>0.46415793062521393</v>
      </c>
      <c r="R409" s="1954">
        <f>VLOOKUP($A409,satpek!$B$20:$L$138,9,0)</f>
        <v>7242.692500000001</v>
      </c>
      <c r="S409" s="1954">
        <f>VLOOKUP($A409,satpek!$B$20:$L$138,10,0)</f>
        <v>8184.2425250000015</v>
      </c>
      <c r="T409" s="1952">
        <f>S409*G409</f>
        <v>1420519.7699479533</v>
      </c>
      <c r="U409" s="1955"/>
      <c r="X409" s="1848">
        <f>P418</f>
        <v>13808.800000000001</v>
      </c>
      <c r="Y409" s="1848">
        <f>S418</f>
        <v>7242.6925000000001</v>
      </c>
      <c r="Z409" s="1956">
        <v>164.92626298665471</v>
      </c>
      <c r="AA409" s="1956">
        <f>Z409-G409</f>
        <v>-8.641390416670248</v>
      </c>
      <c r="AB409" s="1836" t="s">
        <v>420</v>
      </c>
      <c r="AF409" s="1836"/>
      <c r="AG409" s="1836"/>
      <c r="AH409" s="1836"/>
      <c r="AI409" s="1837">
        <v>15438.06</v>
      </c>
      <c r="AJ409" s="1960">
        <f>AI409-N409</f>
        <v>-165.88000000000102</v>
      </c>
    </row>
    <row r="410" spans="1:36" ht="21.95" customHeight="1" x14ac:dyDescent="0.2">
      <c r="B410" s="2045"/>
      <c r="C410" s="2046" t="str">
        <f>SNI!$D$410</f>
        <v>Bahan</v>
      </c>
      <c r="D410" s="2047"/>
      <c r="E410" s="2047"/>
      <c r="F410" s="2048"/>
      <c r="G410" s="2049"/>
      <c r="H410" s="2050"/>
      <c r="I410" s="2051"/>
      <c r="J410" s="2051"/>
      <c r="K410" s="2052"/>
      <c r="L410" s="2053"/>
      <c r="M410" s="2054"/>
      <c r="N410" s="2055"/>
      <c r="O410" s="2056"/>
      <c r="P410" s="2057"/>
      <c r="Q410" s="2058"/>
      <c r="R410" s="2059"/>
      <c r="S410" s="2059"/>
      <c r="T410" s="2057"/>
      <c r="U410" s="2060"/>
      <c r="Z410" s="1956"/>
      <c r="AA410" s="1956"/>
      <c r="AF410" s="1836"/>
      <c r="AG410" s="1836"/>
      <c r="AH410" s="1836"/>
      <c r="AI410" s="1837"/>
      <c r="AJ410" s="1960"/>
    </row>
    <row r="411" spans="1:36" ht="21.95" customHeight="1" x14ac:dyDescent="0.2">
      <c r="B411" s="2045"/>
      <c r="C411" s="2046"/>
      <c r="D411" s="2047" t="str">
        <f>SNI!$E$410</f>
        <v>Besi Beton ( polos/ulir )</v>
      </c>
      <c r="E411" s="2047"/>
      <c r="F411" s="2048"/>
      <c r="G411" s="2049">
        <f>SNI!$H$410/10</f>
        <v>1.05</v>
      </c>
      <c r="H411" s="2050" t="str">
        <f>SNI!$G$410</f>
        <v>kg</v>
      </c>
      <c r="I411" s="2051"/>
      <c r="J411" s="2051"/>
      <c r="K411" s="2052">
        <f>SNI!$L$410</f>
        <v>0.4879</v>
      </c>
      <c r="L411" s="2053"/>
      <c r="M411" s="2054"/>
      <c r="N411" s="2055">
        <f>SNI!$I$410</f>
        <v>11500</v>
      </c>
      <c r="O411" s="2056"/>
      <c r="P411" s="1969">
        <f t="shared" ref="P411:P412" si="281">N411*G411</f>
        <v>12075</v>
      </c>
      <c r="Q411" s="1953"/>
      <c r="R411" s="1954"/>
      <c r="S411" s="1954">
        <f t="shared" ref="S411:S412" si="282">P411*K411</f>
        <v>5891.3924999999999</v>
      </c>
      <c r="T411" s="1969">
        <f t="shared" ref="T411:T412" si="283">P411-S411</f>
        <v>6183.6075000000001</v>
      </c>
      <c r="U411" s="2060"/>
      <c r="Z411" s="1956"/>
      <c r="AA411" s="1956"/>
      <c r="AF411" s="1836"/>
      <c r="AG411" s="1836"/>
      <c r="AH411" s="1836"/>
      <c r="AI411" s="1837"/>
      <c r="AJ411" s="1960"/>
    </row>
    <row r="412" spans="1:36" ht="21.95" customHeight="1" x14ac:dyDescent="0.2">
      <c r="B412" s="2045"/>
      <c r="C412" s="2046"/>
      <c r="D412" s="2047" t="str">
        <f>SNI!$E$411</f>
        <v>Kawat Beton</v>
      </c>
      <c r="E412" s="2047"/>
      <c r="F412" s="2048"/>
      <c r="G412" s="2049">
        <f>SNI!$H$411/10</f>
        <v>1.4999999999999999E-2</v>
      </c>
      <c r="H412" s="2050" t="e">
        <f>SNI!#REF!</f>
        <v>#REF!</v>
      </c>
      <c r="I412" s="2051"/>
      <c r="J412" s="2051"/>
      <c r="K412" s="2052">
        <f>SNI!$L$411</f>
        <v>0</v>
      </c>
      <c r="L412" s="2053"/>
      <c r="M412" s="2054"/>
      <c r="N412" s="2055">
        <f>SNI!$I$411</f>
        <v>25500</v>
      </c>
      <c r="O412" s="2056"/>
      <c r="P412" s="1969">
        <f t="shared" si="281"/>
        <v>382.5</v>
      </c>
      <c r="Q412" s="1953"/>
      <c r="R412" s="1954"/>
      <c r="S412" s="1954">
        <f t="shared" si="282"/>
        <v>0</v>
      </c>
      <c r="T412" s="1969">
        <f t="shared" si="283"/>
        <v>382.5</v>
      </c>
      <c r="U412" s="2060"/>
      <c r="Z412" s="1956"/>
      <c r="AA412" s="1956"/>
      <c r="AF412" s="1836"/>
      <c r="AG412" s="1836"/>
      <c r="AH412" s="1836"/>
      <c r="AI412" s="1837"/>
      <c r="AJ412" s="1960"/>
    </row>
    <row r="413" spans="1:36" ht="21.95" customHeight="1" x14ac:dyDescent="0.2">
      <c r="B413" s="2045"/>
      <c r="C413" s="2046" t="str">
        <f>SNI!$D$413</f>
        <v>Tenaga Kerja</v>
      </c>
      <c r="D413" s="2047"/>
      <c r="E413" s="2047"/>
      <c r="F413" s="2048"/>
      <c r="G413" s="2049"/>
      <c r="H413" s="2050"/>
      <c r="I413" s="2051"/>
      <c r="J413" s="2051"/>
      <c r="K413" s="2052"/>
      <c r="L413" s="2053"/>
      <c r="M413" s="2054"/>
      <c r="N413" s="2055"/>
      <c r="O413" s="2056"/>
      <c r="P413" s="1969"/>
      <c r="Q413" s="1953"/>
      <c r="R413" s="1954"/>
      <c r="S413" s="1954"/>
      <c r="T413" s="1969"/>
      <c r="U413" s="2060"/>
      <c r="Z413" s="1956"/>
      <c r="AA413" s="1956"/>
      <c r="AF413" s="1836"/>
      <c r="AG413" s="1836"/>
      <c r="AH413" s="1836"/>
      <c r="AI413" s="1837"/>
      <c r="AJ413" s="1960"/>
    </row>
    <row r="414" spans="1:36" ht="21.95" customHeight="1" x14ac:dyDescent="0.2">
      <c r="B414" s="2045"/>
      <c r="C414" s="2046"/>
      <c r="D414" s="2047" t="str">
        <f>SNI!$E$413</f>
        <v xml:space="preserve">Pekerja </v>
      </c>
      <c r="E414" s="2047"/>
      <c r="F414" s="2048"/>
      <c r="G414" s="2049">
        <f>SNI!$H$413/10</f>
        <v>7.000000000000001E-3</v>
      </c>
      <c r="H414" s="2050" t="str">
        <f>SNI!$G$413</f>
        <v>OH</v>
      </c>
      <c r="I414" s="2051" t="str">
        <f>SNI!$M$413</f>
        <v>WNI</v>
      </c>
      <c r="J414" s="2051"/>
      <c r="K414" s="2052">
        <f>SNI!$L$413</f>
        <v>1</v>
      </c>
      <c r="L414" s="2053"/>
      <c r="M414" s="2054"/>
      <c r="N414" s="2055">
        <f>SNI!$I$413</f>
        <v>88300</v>
      </c>
      <c r="O414" s="2056"/>
      <c r="P414" s="1969">
        <f t="shared" ref="P414:P417" si="284">N414*G414</f>
        <v>618.10000000000014</v>
      </c>
      <c r="Q414" s="1953"/>
      <c r="R414" s="1954"/>
      <c r="S414" s="1954">
        <f t="shared" ref="S414:S417" si="285">P414*K414</f>
        <v>618.10000000000014</v>
      </c>
      <c r="T414" s="1969">
        <f t="shared" ref="T414:T417" si="286">P414-S414</f>
        <v>0</v>
      </c>
      <c r="U414" s="2060"/>
      <c r="Z414" s="1956"/>
      <c r="AA414" s="1956"/>
      <c r="AF414" s="1836"/>
      <c r="AG414" s="1836"/>
      <c r="AH414" s="1836"/>
      <c r="AI414" s="1837"/>
      <c r="AJ414" s="1960"/>
    </row>
    <row r="415" spans="1:36" ht="21.95" customHeight="1" x14ac:dyDescent="0.2">
      <c r="B415" s="2045"/>
      <c r="C415" s="2046"/>
      <c r="D415" s="2047" t="str">
        <f>SNI!$E$414</f>
        <v>Tukang Besi</v>
      </c>
      <c r="E415" s="2047"/>
      <c r="F415" s="2048"/>
      <c r="G415" s="2049">
        <f>SNI!$H$414/10</f>
        <v>7.000000000000001E-3</v>
      </c>
      <c r="H415" s="2050" t="str">
        <f>SNI!$G$414</f>
        <v>OH</v>
      </c>
      <c r="I415" s="2051" t="str">
        <f>SNI!$M$414</f>
        <v>WNI</v>
      </c>
      <c r="J415" s="2051"/>
      <c r="K415" s="2052">
        <f>SNI!$L$414</f>
        <v>1</v>
      </c>
      <c r="L415" s="2053"/>
      <c r="M415" s="2054"/>
      <c r="N415" s="2055">
        <f>SNI!$I$414</f>
        <v>90000</v>
      </c>
      <c r="O415" s="2056"/>
      <c r="P415" s="1969">
        <f t="shared" si="284"/>
        <v>630.00000000000011</v>
      </c>
      <c r="Q415" s="1953"/>
      <c r="R415" s="1954"/>
      <c r="S415" s="1954">
        <f t="shared" si="285"/>
        <v>630.00000000000011</v>
      </c>
      <c r="T415" s="1969">
        <f t="shared" si="286"/>
        <v>0</v>
      </c>
      <c r="U415" s="2060"/>
      <c r="Z415" s="1956"/>
      <c r="AA415" s="1956"/>
      <c r="AF415" s="1836"/>
      <c r="AG415" s="1836"/>
      <c r="AH415" s="1836"/>
      <c r="AI415" s="1837"/>
      <c r="AJ415" s="1960"/>
    </row>
    <row r="416" spans="1:36" ht="21.95" customHeight="1" x14ac:dyDescent="0.2">
      <c r="B416" s="2045"/>
      <c r="C416" s="2046"/>
      <c r="D416" s="2047" t="str">
        <f>SNI!$E$415</f>
        <v>Kepala Tukang</v>
      </c>
      <c r="E416" s="2047"/>
      <c r="F416" s="2048"/>
      <c r="G416" s="2049">
        <f>SNI!$H$415/10</f>
        <v>6.9999999999999999E-4</v>
      </c>
      <c r="H416" s="2050" t="str">
        <f>SNI!$G$415</f>
        <v>OH</v>
      </c>
      <c r="I416" s="2051" t="str">
        <f>SNI!$M$415</f>
        <v>WNI</v>
      </c>
      <c r="J416" s="2051"/>
      <c r="K416" s="2052">
        <f>SNI!$L$415</f>
        <v>1</v>
      </c>
      <c r="L416" s="2053"/>
      <c r="M416" s="2054"/>
      <c r="N416" s="2055">
        <f>SNI!$I$415</f>
        <v>96000</v>
      </c>
      <c r="O416" s="2056"/>
      <c r="P416" s="1969">
        <f t="shared" si="284"/>
        <v>67.2</v>
      </c>
      <c r="Q416" s="1953"/>
      <c r="R416" s="1954"/>
      <c r="S416" s="1954">
        <f t="shared" si="285"/>
        <v>67.2</v>
      </c>
      <c r="T416" s="1969">
        <f t="shared" si="286"/>
        <v>0</v>
      </c>
      <c r="U416" s="2060"/>
      <c r="Z416" s="1956"/>
      <c r="AA416" s="1956"/>
      <c r="AF416" s="1836"/>
      <c r="AG416" s="1836"/>
      <c r="AH416" s="1836"/>
      <c r="AI416" s="1837"/>
      <c r="AJ416" s="1960"/>
    </row>
    <row r="417" spans="1:36" ht="21.95" customHeight="1" x14ac:dyDescent="0.2">
      <c r="B417" s="2045"/>
      <c r="C417" s="2046"/>
      <c r="D417" s="2047" t="str">
        <f>SNI!$E$416</f>
        <v>Mandor</v>
      </c>
      <c r="E417" s="2047"/>
      <c r="F417" s="2048"/>
      <c r="G417" s="2049">
        <f>SNI!$H$416/10</f>
        <v>4.0000000000000002E-4</v>
      </c>
      <c r="H417" s="2050" t="str">
        <f>SNI!$G$416</f>
        <v>OH</v>
      </c>
      <c r="I417" s="2051" t="str">
        <f>SNI!$M$416</f>
        <v>WNI</v>
      </c>
      <c r="J417" s="2051"/>
      <c r="K417" s="2052">
        <f>SNI!$L$416</f>
        <v>1</v>
      </c>
      <c r="L417" s="2053"/>
      <c r="M417" s="2054"/>
      <c r="N417" s="2055">
        <f>SNI!$I$416</f>
        <v>90000</v>
      </c>
      <c r="O417" s="2056"/>
      <c r="P417" s="1969">
        <f t="shared" si="284"/>
        <v>36</v>
      </c>
      <c r="Q417" s="1953"/>
      <c r="R417" s="1954"/>
      <c r="S417" s="1954">
        <f t="shared" si="285"/>
        <v>36</v>
      </c>
      <c r="T417" s="1969">
        <f t="shared" si="286"/>
        <v>0</v>
      </c>
      <c r="U417" s="2060"/>
      <c r="Z417" s="1956"/>
      <c r="AA417" s="1956"/>
      <c r="AF417" s="1836"/>
      <c r="AG417" s="1836"/>
      <c r="AH417" s="1836"/>
      <c r="AI417" s="1837"/>
      <c r="AJ417" s="1960"/>
    </row>
    <row r="418" spans="1:36" s="1957" customFormat="1" ht="21.95" customHeight="1" x14ac:dyDescent="0.2">
      <c r="A418" s="1942"/>
      <c r="B418" s="1970"/>
      <c r="C418" s="1971"/>
      <c r="D418" s="1972"/>
      <c r="E418" s="1973"/>
      <c r="F418" s="1974" t="s">
        <v>556</v>
      </c>
      <c r="G418" s="1975">
        <f>B409</f>
        <v>24</v>
      </c>
      <c r="H418" s="1976"/>
      <c r="I418" s="1977"/>
      <c r="J418" s="1977"/>
      <c r="K418" s="1978"/>
      <c r="L418" s="1979"/>
      <c r="M418" s="1980"/>
      <c r="N418" s="1981"/>
      <c r="O418" s="1982"/>
      <c r="P418" s="1983">
        <f>SUM(P411:P417)</f>
        <v>13808.800000000001</v>
      </c>
      <c r="Q418" s="1984"/>
      <c r="R418" s="1985"/>
      <c r="S418" s="1983">
        <f t="shared" ref="S418" si="287">SUM(S411:S417)</f>
        <v>7242.6925000000001</v>
      </c>
      <c r="T418" s="1983">
        <f t="shared" ref="T418" si="288">SUM(T411:T417)</f>
        <v>6566.1075000000001</v>
      </c>
      <c r="U418" s="1986"/>
      <c r="V418" s="1848"/>
      <c r="W418" s="1848"/>
      <c r="X418" s="1848"/>
      <c r="Y418" s="1848"/>
      <c r="Z418" s="1956"/>
      <c r="AA418" s="1956"/>
      <c r="AF418" s="1958"/>
      <c r="AG418" s="1958"/>
      <c r="AH418" s="1958"/>
      <c r="AI418" s="1959"/>
      <c r="AJ418" s="1960"/>
    </row>
    <row r="419" spans="1:36" ht="21.95" customHeight="1" x14ac:dyDescent="0.2">
      <c r="A419" s="1833">
        <f>satpek!$B$44</f>
        <v>25</v>
      </c>
      <c r="B419" s="1943">
        <f>B409+1</f>
        <v>25</v>
      </c>
      <c r="C419" s="1937"/>
      <c r="D419" s="1944" t="str">
        <f>VLOOKUP($A419,satpek!$B$20:$N$144,2,0)</f>
        <v>Memasang bekisting untuk kolom (2 kali pakai)</v>
      </c>
      <c r="E419" s="1944"/>
      <c r="F419" s="2004"/>
      <c r="G419" s="1945">
        <f>'[3]B.VOL RAB'!Q122</f>
        <v>9.6</v>
      </c>
      <c r="H419" s="1946" t="str">
        <f>VLOOKUP($A419,satpek!$B$20:$N$144,7,0)</f>
        <v>m2</v>
      </c>
      <c r="I419" s="1947"/>
      <c r="J419" s="1947"/>
      <c r="K419" s="1948"/>
      <c r="L419" s="1949"/>
      <c r="M419" s="1950" t="str">
        <f>VLOOKUP($A419,satpek!$B$20:$N$144,5,0)</f>
        <v>A.4.1.1.22.</v>
      </c>
      <c r="N419" s="1951">
        <f>VLOOKUP($A419,satpek!$B$20:$N$144,6,0)</f>
        <v>192050.28</v>
      </c>
      <c r="O419" s="1938"/>
      <c r="P419" s="1952">
        <f t="shared" si="274"/>
        <v>1843682.69</v>
      </c>
      <c r="Q419" s="1953">
        <f>VLOOKUP($A419,satpek!$B$20:$L$138,8,0)</f>
        <v>0.82830850337734474</v>
      </c>
      <c r="R419" s="1954">
        <f>VLOOKUP($A419,satpek!$B$20:$L$138,9,0)</f>
        <v>140776</v>
      </c>
      <c r="S419" s="1954">
        <f>VLOOKUP($A419,satpek!$B$20:$L$138,10,0)</f>
        <v>159076.88</v>
      </c>
      <c r="T419" s="1952">
        <f>S419*G419</f>
        <v>1527138.048</v>
      </c>
      <c r="U419" s="1955"/>
      <c r="X419" s="1848">
        <f>P433</f>
        <v>169956</v>
      </c>
      <c r="Y419" s="1848">
        <f>S433</f>
        <v>140776</v>
      </c>
      <c r="Z419" s="1956">
        <v>9.1199999999999992</v>
      </c>
      <c r="AA419" s="1956">
        <f>Z419-G419</f>
        <v>-0.48000000000000043</v>
      </c>
      <c r="AB419" s="1836" t="s">
        <v>1908</v>
      </c>
      <c r="AF419" s="1836"/>
      <c r="AG419" s="1836"/>
      <c r="AH419" s="1836"/>
      <c r="AI419" s="1837">
        <v>193211.91999999998</v>
      </c>
      <c r="AJ419" s="1960">
        <f>AI419-N419</f>
        <v>1161.6399999999849</v>
      </c>
    </row>
    <row r="420" spans="1:36" ht="21.95" customHeight="1" x14ac:dyDescent="0.2">
      <c r="B420" s="2045"/>
      <c r="C420" s="2046" t="str">
        <f>SNI!$D$473</f>
        <v>Bahan</v>
      </c>
      <c r="D420" s="2047"/>
      <c r="E420" s="2047"/>
      <c r="F420" s="2048"/>
      <c r="G420" s="2049"/>
      <c r="H420" s="2050"/>
      <c r="I420" s="2051"/>
      <c r="J420" s="2051"/>
      <c r="K420" s="2052"/>
      <c r="L420" s="2053"/>
      <c r="M420" s="2054"/>
      <c r="N420" s="2055"/>
      <c r="O420" s="2056"/>
      <c r="P420" s="2057"/>
      <c r="Q420" s="2058"/>
      <c r="R420" s="2059"/>
      <c r="S420" s="2059"/>
      <c r="T420" s="2055"/>
      <c r="U420" s="2060"/>
      <c r="Z420" s="1956"/>
      <c r="AA420" s="1956"/>
      <c r="AF420" s="1836"/>
      <c r="AG420" s="1836"/>
      <c r="AH420" s="1836"/>
      <c r="AI420" s="1837"/>
      <c r="AJ420" s="1960"/>
    </row>
    <row r="421" spans="1:36" ht="21.95" customHeight="1" x14ac:dyDescent="0.2">
      <c r="B421" s="2045"/>
      <c r="C421" s="2046"/>
      <c r="D421" s="2047" t="str">
        <f>SNI!$E$473</f>
        <v>Kayu kelas III</v>
      </c>
      <c r="E421" s="2047"/>
      <c r="F421" s="2048"/>
      <c r="G421" s="2049">
        <f>SNI!$H$473</f>
        <v>0.02</v>
      </c>
      <c r="H421" s="2050" t="str">
        <f>SNI!$G$473</f>
        <v>m3</v>
      </c>
      <c r="I421" s="2051"/>
      <c r="J421" s="2051"/>
      <c r="K421" s="2052">
        <f>SNI!$L$473</f>
        <v>1</v>
      </c>
      <c r="L421" s="2053"/>
      <c r="M421" s="2054"/>
      <c r="N421" s="2055">
        <f>SNI!$I$473</f>
        <v>1100000</v>
      </c>
      <c r="O421" s="2056"/>
      <c r="P421" s="1969">
        <f t="shared" ref="P421:P426" si="289">N421*G421</f>
        <v>22000</v>
      </c>
      <c r="Q421" s="1953"/>
      <c r="R421" s="1954"/>
      <c r="S421" s="1954">
        <f t="shared" ref="S421:S426" si="290">P421*K421</f>
        <v>22000</v>
      </c>
      <c r="T421" s="1969">
        <f t="shared" ref="T421:T426" si="291">P421-S421</f>
        <v>0</v>
      </c>
      <c r="U421" s="2060"/>
      <c r="Z421" s="1956"/>
      <c r="AA421" s="1956"/>
      <c r="AF421" s="1836"/>
      <c r="AG421" s="1836"/>
      <c r="AH421" s="1836"/>
      <c r="AI421" s="1837"/>
      <c r="AJ421" s="1960"/>
    </row>
    <row r="422" spans="1:36" ht="21.95" customHeight="1" x14ac:dyDescent="0.2">
      <c r="B422" s="2045"/>
      <c r="C422" s="2046"/>
      <c r="D422" s="2047" t="str">
        <f>SNI!$E$474</f>
        <v>Paku 5 cm - 12 cm</v>
      </c>
      <c r="E422" s="2047"/>
      <c r="F422" s="2048"/>
      <c r="G422" s="2049">
        <f>SNI!$H$474</f>
        <v>0.4</v>
      </c>
      <c r="H422" s="2050" t="str">
        <f>SNI!$G$474</f>
        <v>kg</v>
      </c>
      <c r="I422" s="2051"/>
      <c r="J422" s="2051"/>
      <c r="K422" s="2052">
        <f>SNI!$L$474</f>
        <v>0</v>
      </c>
      <c r="L422" s="2053"/>
      <c r="M422" s="2054"/>
      <c r="N422" s="2055">
        <f>SNI!$I$474</f>
        <v>17000</v>
      </c>
      <c r="O422" s="2056"/>
      <c r="P422" s="1969">
        <f t="shared" si="289"/>
        <v>6800</v>
      </c>
      <c r="Q422" s="1953"/>
      <c r="R422" s="1954"/>
      <c r="S422" s="1954">
        <f t="shared" si="290"/>
        <v>0</v>
      </c>
      <c r="T422" s="1969">
        <f t="shared" si="291"/>
        <v>6800</v>
      </c>
      <c r="U422" s="2060"/>
      <c r="Z422" s="1956"/>
      <c r="AA422" s="1956"/>
      <c r="AF422" s="1836"/>
      <c r="AG422" s="1836"/>
      <c r="AH422" s="1836"/>
      <c r="AI422" s="1837"/>
      <c r="AJ422" s="1960"/>
    </row>
    <row r="423" spans="1:36" ht="21.95" customHeight="1" x14ac:dyDescent="0.2">
      <c r="B423" s="2045"/>
      <c r="C423" s="2046"/>
      <c r="D423" s="2047" t="str">
        <f>SNI!$E$475</f>
        <v>Minyak Bekisting</v>
      </c>
      <c r="E423" s="2047"/>
      <c r="F423" s="2048"/>
      <c r="G423" s="2049">
        <f>SNI!$H$475</f>
        <v>0.2</v>
      </c>
      <c r="H423" s="2050" t="str">
        <f>SNI!$G$475</f>
        <v>ltr</v>
      </c>
      <c r="I423" s="2051"/>
      <c r="J423" s="2051"/>
      <c r="K423" s="2052">
        <f>SNI!$L$475</f>
        <v>0</v>
      </c>
      <c r="L423" s="2053"/>
      <c r="M423" s="2054"/>
      <c r="N423" s="2055">
        <f>SNI!$I$475</f>
        <v>6900</v>
      </c>
      <c r="O423" s="2056"/>
      <c r="P423" s="1969">
        <f t="shared" si="289"/>
        <v>1380</v>
      </c>
      <c r="Q423" s="1953"/>
      <c r="R423" s="1954"/>
      <c r="S423" s="1954">
        <f t="shared" si="290"/>
        <v>0</v>
      </c>
      <c r="T423" s="1969">
        <f t="shared" si="291"/>
        <v>1380</v>
      </c>
      <c r="U423" s="2060"/>
      <c r="Z423" s="1956"/>
      <c r="AA423" s="1956"/>
      <c r="AF423" s="1836"/>
      <c r="AG423" s="1836"/>
      <c r="AH423" s="1836"/>
      <c r="AI423" s="1837"/>
      <c r="AJ423" s="1960"/>
    </row>
    <row r="424" spans="1:36" ht="21.95" customHeight="1" x14ac:dyDescent="0.2">
      <c r="B424" s="2045"/>
      <c r="C424" s="2046"/>
      <c r="D424" s="2047" t="str">
        <f>SNI!$E$476</f>
        <v>Balok kayu kelas II</v>
      </c>
      <c r="E424" s="2047"/>
      <c r="F424" s="2048"/>
      <c r="G424" s="2049">
        <f>SNI!$H$476</f>
        <v>7.4999999999999997E-3</v>
      </c>
      <c r="H424" s="2050" t="str">
        <f>SNI!$G$476</f>
        <v>m3</v>
      </c>
      <c r="I424" s="2051"/>
      <c r="J424" s="2051"/>
      <c r="K424" s="2052">
        <f>SNI!$L$476</f>
        <v>1</v>
      </c>
      <c r="L424" s="2053"/>
      <c r="M424" s="2054"/>
      <c r="N424" s="2055">
        <f>SNI!$I$476</f>
        <v>1600000</v>
      </c>
      <c r="O424" s="2056"/>
      <c r="P424" s="1969">
        <f t="shared" si="289"/>
        <v>12000</v>
      </c>
      <c r="Q424" s="1953"/>
      <c r="R424" s="1954"/>
      <c r="S424" s="1954">
        <f t="shared" si="290"/>
        <v>12000</v>
      </c>
      <c r="T424" s="1969">
        <f t="shared" si="291"/>
        <v>0</v>
      </c>
      <c r="U424" s="2060"/>
      <c r="Z424" s="1956"/>
      <c r="AA424" s="1956"/>
      <c r="AF424" s="1836"/>
      <c r="AG424" s="1836"/>
      <c r="AH424" s="1836"/>
      <c r="AI424" s="1837"/>
      <c r="AJ424" s="1960"/>
    </row>
    <row r="425" spans="1:36" ht="21.95" customHeight="1" x14ac:dyDescent="0.2">
      <c r="B425" s="2045"/>
      <c r="C425" s="2046"/>
      <c r="D425" s="2047" t="str">
        <f>SNI!$E$477</f>
        <v>Plywood tebal 9 mm</v>
      </c>
      <c r="E425" s="2047"/>
      <c r="F425" s="2048"/>
      <c r="G425" s="2049">
        <f>SNI!$H$477</f>
        <v>0.17499999999999999</v>
      </c>
      <c r="H425" s="2050" t="str">
        <f>SNI!$G$477</f>
        <v>lbr</v>
      </c>
      <c r="I425" s="2051"/>
      <c r="J425" s="2051"/>
      <c r="K425" s="2052">
        <f>SNI!$L$477</f>
        <v>0</v>
      </c>
      <c r="L425" s="2053"/>
      <c r="M425" s="2054"/>
      <c r="N425" s="2055">
        <f>SNI!$I$477</f>
        <v>120000</v>
      </c>
      <c r="O425" s="2056"/>
      <c r="P425" s="1969">
        <f t="shared" si="289"/>
        <v>21000</v>
      </c>
      <c r="Q425" s="1953"/>
      <c r="R425" s="1954"/>
      <c r="S425" s="1954">
        <f t="shared" si="290"/>
        <v>0</v>
      </c>
      <c r="T425" s="1969">
        <f t="shared" si="291"/>
        <v>21000</v>
      </c>
      <c r="U425" s="2060"/>
      <c r="Z425" s="1956"/>
      <c r="AA425" s="1956"/>
      <c r="AF425" s="1836"/>
      <c r="AG425" s="1836"/>
      <c r="AH425" s="1836"/>
      <c r="AI425" s="1837"/>
      <c r="AJ425" s="1960"/>
    </row>
    <row r="426" spans="1:36" ht="21.95" customHeight="1" x14ac:dyDescent="0.2">
      <c r="B426" s="2045"/>
      <c r="C426" s="2046"/>
      <c r="D426" s="2047" t="str">
        <f>SNI!$E$478</f>
        <v>Dolken kayu galam,</v>
      </c>
      <c r="E426" s="2047"/>
      <c r="F426" s="2048"/>
      <c r="G426" s="2049">
        <f>SNI!$H$478</f>
        <v>1</v>
      </c>
      <c r="H426" s="2050" t="str">
        <f>SNI!$G$478</f>
        <v>btg</v>
      </c>
      <c r="I426" s="2051"/>
      <c r="J426" s="2051"/>
      <c r="K426" s="2052">
        <f>SNI!$L$478</f>
        <v>1</v>
      </c>
      <c r="L426" s="2053"/>
      <c r="M426" s="2054"/>
      <c r="N426" s="2055">
        <f>SNI!$I$478</f>
        <v>12000</v>
      </c>
      <c r="O426" s="2056"/>
      <c r="P426" s="1969">
        <f t="shared" si="289"/>
        <v>12000</v>
      </c>
      <c r="Q426" s="1953"/>
      <c r="R426" s="1954"/>
      <c r="S426" s="1954">
        <f t="shared" si="290"/>
        <v>12000</v>
      </c>
      <c r="T426" s="1969">
        <f t="shared" si="291"/>
        <v>0</v>
      </c>
      <c r="U426" s="2060"/>
      <c r="Z426" s="1956"/>
      <c r="AA426" s="1956"/>
      <c r="AF426" s="1836"/>
      <c r="AG426" s="1836"/>
      <c r="AH426" s="1836"/>
      <c r="AI426" s="1837"/>
      <c r="AJ426" s="1960"/>
    </row>
    <row r="427" spans="1:36" ht="21.95" customHeight="1" x14ac:dyDescent="0.2">
      <c r="B427" s="2045"/>
      <c r="C427" s="2046"/>
      <c r="D427" s="2047" t="str">
        <f>SNI!$E$479</f>
        <v>Ø (8 - 10) cm, panj 4 m</v>
      </c>
      <c r="E427" s="2047"/>
      <c r="F427" s="2048"/>
      <c r="G427" s="2049"/>
      <c r="H427" s="2050"/>
      <c r="I427" s="2051"/>
      <c r="J427" s="2051"/>
      <c r="K427" s="2052"/>
      <c r="L427" s="2053"/>
      <c r="M427" s="2054"/>
      <c r="N427" s="2055"/>
      <c r="O427" s="2056"/>
      <c r="P427" s="1969"/>
      <c r="Q427" s="1953"/>
      <c r="R427" s="1954"/>
      <c r="S427" s="1954"/>
      <c r="T427" s="1969"/>
      <c r="U427" s="2060"/>
      <c r="Z427" s="1956"/>
      <c r="AA427" s="1956"/>
      <c r="AF427" s="1836"/>
      <c r="AG427" s="1836"/>
      <c r="AH427" s="1836"/>
      <c r="AI427" s="1837"/>
      <c r="AJ427" s="1960"/>
    </row>
    <row r="428" spans="1:36" ht="21.95" customHeight="1" x14ac:dyDescent="0.2">
      <c r="B428" s="2045"/>
      <c r="C428" s="2046" t="str">
        <f>SNI!$D$481</f>
        <v>Tenaga Kerja</v>
      </c>
      <c r="D428" s="2047"/>
      <c r="E428" s="2047"/>
      <c r="F428" s="2048"/>
      <c r="G428" s="2049"/>
      <c r="H428" s="2050"/>
      <c r="I428" s="2051"/>
      <c r="J428" s="2051"/>
      <c r="K428" s="2052"/>
      <c r="L428" s="2053"/>
      <c r="M428" s="2054"/>
      <c r="N428" s="2055"/>
      <c r="O428" s="2056"/>
      <c r="P428" s="1969"/>
      <c r="Q428" s="1953"/>
      <c r="R428" s="1954"/>
      <c r="S428" s="1954"/>
      <c r="T428" s="1969"/>
      <c r="U428" s="2060"/>
      <c r="Z428" s="1956"/>
      <c r="AA428" s="1956"/>
      <c r="AF428" s="1836"/>
      <c r="AG428" s="1836"/>
      <c r="AH428" s="1836"/>
      <c r="AI428" s="1837"/>
      <c r="AJ428" s="1960"/>
    </row>
    <row r="429" spans="1:36" ht="21.95" customHeight="1" x14ac:dyDescent="0.2">
      <c r="B429" s="2045"/>
      <c r="C429" s="2046"/>
      <c r="D429" s="2047" t="str">
        <f>SNI!$E$481</f>
        <v xml:space="preserve">Pekerja </v>
      </c>
      <c r="E429" s="2047"/>
      <c r="F429" s="2048"/>
      <c r="G429" s="2049">
        <f>SNI!$H$481</f>
        <v>0.66</v>
      </c>
      <c r="H429" s="2050" t="str">
        <f>SNI!$G$481</f>
        <v>OH</v>
      </c>
      <c r="I429" s="2051" t="str">
        <f>SNI!$M$481</f>
        <v>WNI</v>
      </c>
      <c r="J429" s="2051"/>
      <c r="K429" s="2052">
        <f>SNI!$L$481</f>
        <v>1</v>
      </c>
      <c r="L429" s="2053"/>
      <c r="M429" s="2054"/>
      <c r="N429" s="2055">
        <f>SNI!$I$481</f>
        <v>88300</v>
      </c>
      <c r="O429" s="2056"/>
      <c r="P429" s="1969">
        <f t="shared" ref="P429:P432" si="292">N429*G429</f>
        <v>58278</v>
      </c>
      <c r="Q429" s="1953"/>
      <c r="R429" s="1954"/>
      <c r="S429" s="1954">
        <f t="shared" ref="S429:S432" si="293">P429*K429</f>
        <v>58278</v>
      </c>
      <c r="T429" s="1969">
        <f t="shared" ref="T429:T432" si="294">P429-S429</f>
        <v>0</v>
      </c>
      <c r="U429" s="2060"/>
      <c r="Z429" s="1956"/>
      <c r="AA429" s="1956"/>
      <c r="AF429" s="1836"/>
      <c r="AG429" s="1836"/>
      <c r="AH429" s="1836"/>
      <c r="AI429" s="1837"/>
      <c r="AJ429" s="1960"/>
    </row>
    <row r="430" spans="1:36" ht="21.95" customHeight="1" x14ac:dyDescent="0.2">
      <c r="B430" s="2045"/>
      <c r="C430" s="2046"/>
      <c r="D430" s="2047" t="str">
        <f>SNI!$E$482</f>
        <v>Tukang Kayu</v>
      </c>
      <c r="E430" s="2047"/>
      <c r="F430" s="2048"/>
      <c r="G430" s="2049">
        <f>SNI!$H$482</f>
        <v>0.33</v>
      </c>
      <c r="H430" s="2050" t="str">
        <f>SNI!$G$482</f>
        <v>OH</v>
      </c>
      <c r="I430" s="2051" t="str">
        <f>SNI!$M$482</f>
        <v>WNI</v>
      </c>
      <c r="J430" s="2051"/>
      <c r="K430" s="2052">
        <f>SNI!$L$482</f>
        <v>1</v>
      </c>
      <c r="L430" s="2053"/>
      <c r="M430" s="2054"/>
      <c r="N430" s="2055">
        <f>SNI!$I$482</f>
        <v>92000</v>
      </c>
      <c r="O430" s="2056"/>
      <c r="P430" s="1969">
        <f t="shared" si="292"/>
        <v>30360</v>
      </c>
      <c r="Q430" s="1953"/>
      <c r="R430" s="1954"/>
      <c r="S430" s="1954">
        <f t="shared" si="293"/>
        <v>30360</v>
      </c>
      <c r="T430" s="1969">
        <f t="shared" si="294"/>
        <v>0</v>
      </c>
      <c r="U430" s="2060"/>
      <c r="Z430" s="1956"/>
      <c r="AA430" s="1956"/>
      <c r="AF430" s="1836"/>
      <c r="AG430" s="1836"/>
      <c r="AH430" s="1836"/>
      <c r="AI430" s="1837"/>
      <c r="AJ430" s="1960"/>
    </row>
    <row r="431" spans="1:36" ht="21.95" customHeight="1" x14ac:dyDescent="0.2">
      <c r="B431" s="2045"/>
      <c r="C431" s="2046"/>
      <c r="D431" s="2047" t="str">
        <f>SNI!$E$483</f>
        <v>Kepala Tukang</v>
      </c>
      <c r="E431" s="2047"/>
      <c r="F431" s="2048"/>
      <c r="G431" s="2049">
        <f>SNI!$H$483</f>
        <v>3.3000000000000002E-2</v>
      </c>
      <c r="H431" s="2050" t="str">
        <f>SNI!$G$483</f>
        <v>OH</v>
      </c>
      <c r="I431" s="2051" t="str">
        <f>SNI!$M$483</f>
        <v>WNI</v>
      </c>
      <c r="J431" s="2051"/>
      <c r="K431" s="2052">
        <f>SNI!$L$483</f>
        <v>1</v>
      </c>
      <c r="L431" s="2053"/>
      <c r="M431" s="2054"/>
      <c r="N431" s="2055">
        <f>SNI!$I$483</f>
        <v>96000</v>
      </c>
      <c r="O431" s="2056"/>
      <c r="P431" s="1969">
        <f t="shared" si="292"/>
        <v>3168</v>
      </c>
      <c r="Q431" s="1953"/>
      <c r="R431" s="1954"/>
      <c r="S431" s="1954">
        <f t="shared" si="293"/>
        <v>3168</v>
      </c>
      <c r="T431" s="1969">
        <f t="shared" si="294"/>
        <v>0</v>
      </c>
      <c r="U431" s="2060"/>
      <c r="Z431" s="1956"/>
      <c r="AA431" s="1956"/>
      <c r="AF431" s="1836"/>
      <c r="AG431" s="1836"/>
      <c r="AH431" s="1836"/>
      <c r="AI431" s="1837"/>
      <c r="AJ431" s="1960"/>
    </row>
    <row r="432" spans="1:36" ht="21.95" customHeight="1" x14ac:dyDescent="0.2">
      <c r="B432" s="2045"/>
      <c r="C432" s="2046"/>
      <c r="D432" s="2047" t="str">
        <f>SNI!$E$484</f>
        <v>Mandor</v>
      </c>
      <c r="E432" s="2047"/>
      <c r="F432" s="2048"/>
      <c r="G432" s="2049">
        <f>SNI!$H$484</f>
        <v>3.3000000000000002E-2</v>
      </c>
      <c r="H432" s="2050" t="str">
        <f>SNI!$G$484</f>
        <v>OH</v>
      </c>
      <c r="I432" s="2051" t="str">
        <f>SNI!$M$484</f>
        <v>WNI</v>
      </c>
      <c r="J432" s="2051"/>
      <c r="K432" s="2052">
        <f>SNI!$L$484</f>
        <v>1</v>
      </c>
      <c r="L432" s="2053"/>
      <c r="M432" s="2054"/>
      <c r="N432" s="2055">
        <f>SNI!$I$484</f>
        <v>90000</v>
      </c>
      <c r="O432" s="2056"/>
      <c r="P432" s="1969">
        <f t="shared" si="292"/>
        <v>2970</v>
      </c>
      <c r="Q432" s="1953"/>
      <c r="R432" s="1954"/>
      <c r="S432" s="1954">
        <f t="shared" si="293"/>
        <v>2970</v>
      </c>
      <c r="T432" s="1969">
        <f t="shared" si="294"/>
        <v>0</v>
      </c>
      <c r="U432" s="2060"/>
      <c r="Z432" s="1956"/>
      <c r="AA432" s="1956"/>
      <c r="AF432" s="1836"/>
      <c r="AG432" s="1836"/>
      <c r="AH432" s="1836"/>
      <c r="AI432" s="1837"/>
      <c r="AJ432" s="1960"/>
    </row>
    <row r="433" spans="1:36" s="1957" customFormat="1" ht="21.95" customHeight="1" x14ac:dyDescent="0.2">
      <c r="A433" s="1942"/>
      <c r="B433" s="1970"/>
      <c r="C433" s="1971"/>
      <c r="D433" s="1972"/>
      <c r="E433" s="1973"/>
      <c r="F433" s="1974" t="s">
        <v>556</v>
      </c>
      <c r="G433" s="1975">
        <f>B419</f>
        <v>25</v>
      </c>
      <c r="H433" s="1976"/>
      <c r="I433" s="1977"/>
      <c r="J433" s="1977"/>
      <c r="K433" s="1978"/>
      <c r="L433" s="1979"/>
      <c r="M433" s="1980"/>
      <c r="N433" s="1981"/>
      <c r="O433" s="1982"/>
      <c r="P433" s="1983">
        <f>SUM(P421:P432)</f>
        <v>169956</v>
      </c>
      <c r="Q433" s="1984"/>
      <c r="R433" s="1985"/>
      <c r="S433" s="1983">
        <f t="shared" ref="S433" si="295">SUM(S421:S432)</f>
        <v>140776</v>
      </c>
      <c r="T433" s="1983">
        <f t="shared" ref="T433" si="296">SUM(T421:T432)</f>
        <v>29180</v>
      </c>
      <c r="U433" s="1986"/>
      <c r="V433" s="1848"/>
      <c r="W433" s="1848"/>
      <c r="X433" s="1848"/>
      <c r="Y433" s="1848"/>
      <c r="Z433" s="1956"/>
      <c r="AA433" s="1956"/>
      <c r="AF433" s="1958"/>
      <c r="AG433" s="1958"/>
      <c r="AH433" s="1958"/>
      <c r="AI433" s="1959"/>
      <c r="AJ433" s="1960"/>
    </row>
    <row r="434" spans="1:36" ht="21.95" customHeight="1" x14ac:dyDescent="0.2">
      <c r="B434" s="2102"/>
      <c r="C434" s="2103"/>
      <c r="D434" s="2081" t="s">
        <v>1782</v>
      </c>
      <c r="E434" s="1930"/>
      <c r="F434" s="1931"/>
      <c r="G434" s="2104"/>
      <c r="H434" s="1933"/>
      <c r="I434" s="1934"/>
      <c r="J434" s="1934"/>
      <c r="K434" s="1935"/>
      <c r="L434" s="1936"/>
      <c r="M434" s="1936"/>
      <c r="N434" s="1951"/>
      <c r="O434" s="2066"/>
      <c r="P434" s="2067"/>
      <c r="Q434" s="1934"/>
      <c r="R434" s="1934"/>
      <c r="S434" s="1934"/>
      <c r="T434" s="1940"/>
      <c r="U434" s="1941"/>
      <c r="Z434" s="1956"/>
      <c r="AA434" s="1956">
        <f>Z434-G434</f>
        <v>0</v>
      </c>
      <c r="AB434" s="1836" t="s">
        <v>1782</v>
      </c>
      <c r="AF434" s="1836"/>
      <c r="AG434" s="1836"/>
      <c r="AH434" s="1836"/>
      <c r="AI434" s="1837"/>
      <c r="AJ434" s="1960">
        <f>AI434-N434</f>
        <v>0</v>
      </c>
    </row>
    <row r="435" spans="1:36" ht="21.95" customHeight="1" x14ac:dyDescent="0.2">
      <c r="A435" s="1833">
        <f>satpek!$B$47</f>
        <v>28</v>
      </c>
      <c r="B435" s="1943">
        <f>B419+1</f>
        <v>26</v>
      </c>
      <c r="C435" s="1937"/>
      <c r="D435" s="1944" t="str">
        <f>VLOOKUP($A435,satpek!$B$20:$N$144,2,0)</f>
        <v>Membuat kolom praktis beton bertulang 11/11 cm</v>
      </c>
      <c r="E435" s="1944"/>
      <c r="F435" s="2004"/>
      <c r="G435" s="1945">
        <f>'[3]B.VOL RAB'!Q126</f>
        <v>212.79999999999998</v>
      </c>
      <c r="H435" s="1946" t="str">
        <f>VLOOKUP($A435,satpek!$B$20:$N$144,7,0)</f>
        <v>m'</v>
      </c>
      <c r="I435" s="1947"/>
      <c r="J435" s="1947"/>
      <c r="K435" s="1948"/>
      <c r="L435" s="1949"/>
      <c r="M435" s="1950" t="str">
        <f>VLOOKUP($A435,satpek!$B$20:$N$144,5,0)</f>
        <v>A.4.1.1.35.</v>
      </c>
      <c r="N435" s="1951">
        <f>VLOOKUP($A435,satpek!$B$20:$N$144,6,0)</f>
        <v>112610.15</v>
      </c>
      <c r="O435" s="1938"/>
      <c r="P435" s="1952">
        <f t="shared" ref="P435:P450" si="297">ROUND((G435*N435),2)</f>
        <v>23963439.920000002</v>
      </c>
      <c r="Q435" s="1953">
        <f>VLOOKUP($A435,satpek!$B$20:$L$138,8,0)</f>
        <v>0.69870322613014901</v>
      </c>
      <c r="R435" s="1954">
        <f>VLOOKUP($A435,satpek!$B$20:$L$138,9,0)</f>
        <v>69629.27</v>
      </c>
      <c r="S435" s="1954">
        <f>VLOOKUP($A435,satpek!$B$20:$L$138,10,0)</f>
        <v>78681.075100000002</v>
      </c>
      <c r="T435" s="1952">
        <f>S435*G435</f>
        <v>16743332.78128</v>
      </c>
      <c r="U435" s="1955"/>
      <c r="X435" s="1848">
        <f>P449</f>
        <v>98269</v>
      </c>
      <c r="Y435" s="1848">
        <f>S449</f>
        <v>68243.27</v>
      </c>
      <c r="Z435" s="1956">
        <v>212.79999999999998</v>
      </c>
      <c r="AA435" s="1956">
        <f>Z435-G435</f>
        <v>0</v>
      </c>
      <c r="AB435" s="1836" t="s">
        <v>229</v>
      </c>
      <c r="AF435" s="1836"/>
      <c r="AG435" s="1836"/>
      <c r="AH435" s="1836"/>
      <c r="AI435" s="1837">
        <v>111027.02</v>
      </c>
      <c r="AJ435" s="1960">
        <f>AI435-N435</f>
        <v>-1583.1299999999901</v>
      </c>
    </row>
    <row r="436" spans="1:36" ht="21.95" customHeight="1" x14ac:dyDescent="0.2">
      <c r="B436" s="2045"/>
      <c r="C436" s="2046" t="str">
        <f>SNI!D547</f>
        <v>Bahan</v>
      </c>
      <c r="D436" s="2047"/>
      <c r="E436" s="2047"/>
      <c r="F436" s="2048"/>
      <c r="G436" s="2049"/>
      <c r="H436" s="2050"/>
      <c r="I436" s="2051"/>
      <c r="J436" s="2051"/>
      <c r="K436" s="2052"/>
      <c r="L436" s="2053"/>
      <c r="M436" s="2054"/>
      <c r="N436" s="2055"/>
      <c r="O436" s="2056"/>
      <c r="P436" s="2057"/>
      <c r="Q436" s="2058"/>
      <c r="R436" s="2059"/>
      <c r="S436" s="2059"/>
      <c r="T436" s="2057"/>
      <c r="U436" s="2060"/>
      <c r="Z436" s="1956"/>
      <c r="AA436" s="1956"/>
      <c r="AF436" s="1836"/>
      <c r="AG436" s="1836"/>
      <c r="AH436" s="1836"/>
      <c r="AI436" s="1837"/>
      <c r="AJ436" s="1960"/>
    </row>
    <row r="437" spans="1:36" ht="21.95" customHeight="1" x14ac:dyDescent="0.2">
      <c r="B437" s="2045"/>
      <c r="C437" s="2046"/>
      <c r="D437" s="2047" t="str">
        <f>SNI!E547</f>
        <v>Kayu kelas III</v>
      </c>
      <c r="E437" s="2047"/>
      <c r="F437" s="2048"/>
      <c r="G437" s="2049">
        <f>SNI!H547</f>
        <v>0.02</v>
      </c>
      <c r="H437" s="2050" t="str">
        <f>SNI!G547</f>
        <v>m3</v>
      </c>
      <c r="I437" s="2051"/>
      <c r="J437" s="2051"/>
      <c r="K437" s="2052">
        <f>SNI!L547</f>
        <v>1</v>
      </c>
      <c r="L437" s="2053"/>
      <c r="M437" s="2054"/>
      <c r="N437" s="2055">
        <f>SNI!I547</f>
        <v>1100000</v>
      </c>
      <c r="O437" s="2056"/>
      <c r="P437" s="1969">
        <f t="shared" ref="P437" si="298">N437*G437</f>
        <v>22000</v>
      </c>
      <c r="Q437" s="1953"/>
      <c r="R437" s="1954"/>
      <c r="S437" s="1954">
        <f t="shared" ref="S437" si="299">P437*K437</f>
        <v>22000</v>
      </c>
      <c r="T437" s="1969">
        <f t="shared" ref="T437" si="300">P437-S437</f>
        <v>0</v>
      </c>
      <c r="U437" s="2060"/>
      <c r="Z437" s="1956"/>
      <c r="AA437" s="1956"/>
      <c r="AF437" s="1836"/>
      <c r="AG437" s="1836"/>
      <c r="AH437" s="1836"/>
      <c r="AI437" s="1837"/>
      <c r="AJ437" s="1960"/>
    </row>
    <row r="438" spans="1:36" ht="21.95" customHeight="1" x14ac:dyDescent="0.2">
      <c r="B438" s="2045"/>
      <c r="C438" s="2046"/>
      <c r="D438" s="2047" t="str">
        <f>SNI!E548</f>
        <v>Paku 5 cm - 12 cm</v>
      </c>
      <c r="E438" s="2047"/>
      <c r="F438" s="2048"/>
      <c r="G438" s="2049">
        <f>SNI!H548</f>
        <v>0.01</v>
      </c>
      <c r="H438" s="2050" t="str">
        <f>SNI!G548</f>
        <v>kg</v>
      </c>
      <c r="I438" s="2051"/>
      <c r="J438" s="2051"/>
      <c r="K438" s="2052">
        <f>SNI!L548</f>
        <v>0</v>
      </c>
      <c r="L438" s="2053"/>
      <c r="M438" s="2054"/>
      <c r="N438" s="2055">
        <f>SNI!I548</f>
        <v>17000</v>
      </c>
      <c r="O438" s="2056"/>
      <c r="P438" s="1969">
        <f t="shared" ref="P438:P446" si="301">N438*G438</f>
        <v>170</v>
      </c>
      <c r="Q438" s="1953"/>
      <c r="R438" s="1954"/>
      <c r="S438" s="1954">
        <f t="shared" ref="S438:S446" si="302">P438*K438</f>
        <v>0</v>
      </c>
      <c r="T438" s="1969">
        <f t="shared" ref="T438:T446" si="303">P438-S438</f>
        <v>170</v>
      </c>
      <c r="U438" s="2060"/>
      <c r="Z438" s="1956"/>
      <c r="AA438" s="1956"/>
      <c r="AF438" s="1836"/>
      <c r="AG438" s="1836"/>
      <c r="AH438" s="1836"/>
      <c r="AI438" s="1837"/>
      <c r="AJ438" s="1960"/>
    </row>
    <row r="439" spans="1:36" ht="21.95" customHeight="1" x14ac:dyDescent="0.2">
      <c r="B439" s="2045"/>
      <c r="C439" s="2046"/>
      <c r="D439" s="2047" t="str">
        <f>SNI!E549</f>
        <v>Besi beton polos</v>
      </c>
      <c r="E439" s="2047"/>
      <c r="F439" s="2048"/>
      <c r="G439" s="2049">
        <f>SNI!H549</f>
        <v>3</v>
      </c>
      <c r="H439" s="2050" t="str">
        <f>SNI!G549</f>
        <v>kg</v>
      </c>
      <c r="I439" s="2051"/>
      <c r="J439" s="2051"/>
      <c r="K439" s="2052">
        <f>SNI!L549</f>
        <v>0.4879</v>
      </c>
      <c r="L439" s="2053"/>
      <c r="M439" s="2054"/>
      <c r="N439" s="2055">
        <f>SNI!I549</f>
        <v>11500</v>
      </c>
      <c r="O439" s="2056"/>
      <c r="P439" s="1969">
        <f t="shared" si="301"/>
        <v>34500</v>
      </c>
      <c r="Q439" s="1953"/>
      <c r="R439" s="1954"/>
      <c r="S439" s="1954">
        <f t="shared" si="302"/>
        <v>16832.55</v>
      </c>
      <c r="T439" s="1969">
        <f t="shared" si="303"/>
        <v>17667.45</v>
      </c>
      <c r="U439" s="2060"/>
      <c r="Z439" s="1956"/>
      <c r="AA439" s="1956"/>
      <c r="AF439" s="1836"/>
      <c r="AG439" s="1836"/>
      <c r="AH439" s="1836"/>
      <c r="AI439" s="1837"/>
      <c r="AJ439" s="1960"/>
    </row>
    <row r="440" spans="1:36" ht="21.95" customHeight="1" x14ac:dyDescent="0.2">
      <c r="B440" s="2045"/>
      <c r="C440" s="2046"/>
      <c r="D440" s="2047" t="str">
        <f>SNI!E550</f>
        <v>Kawat beton</v>
      </c>
      <c r="E440" s="2047"/>
      <c r="F440" s="2048"/>
      <c r="G440" s="2049">
        <f>SNI!H550</f>
        <v>0.45</v>
      </c>
      <c r="H440" s="2050" t="str">
        <f>SNI!G550</f>
        <v>kg</v>
      </c>
      <c r="I440" s="2051"/>
      <c r="J440" s="2051"/>
      <c r="K440" s="2052">
        <f>SNI!L550</f>
        <v>0</v>
      </c>
      <c r="L440" s="2053"/>
      <c r="M440" s="2054"/>
      <c r="N440" s="2055">
        <f>SNI!I550</f>
        <v>25500</v>
      </c>
      <c r="O440" s="2056"/>
      <c r="P440" s="1969">
        <f t="shared" si="301"/>
        <v>11475</v>
      </c>
      <c r="Q440" s="1953"/>
      <c r="R440" s="1954"/>
      <c r="S440" s="1954">
        <f t="shared" si="302"/>
        <v>0</v>
      </c>
      <c r="T440" s="1969">
        <f t="shared" si="303"/>
        <v>11475</v>
      </c>
      <c r="U440" s="2060"/>
      <c r="Z440" s="1956"/>
      <c r="AA440" s="1956"/>
      <c r="AF440" s="1836"/>
      <c r="AG440" s="1836"/>
      <c r="AH440" s="1836"/>
      <c r="AI440" s="1837"/>
      <c r="AJ440" s="1960"/>
    </row>
    <row r="441" spans="1:36" ht="21.95" customHeight="1" x14ac:dyDescent="0.2">
      <c r="B441" s="2045"/>
      <c r="C441" s="2046"/>
      <c r="D441" s="2047" t="str">
        <f>SNI!E551</f>
        <v>PC</v>
      </c>
      <c r="E441" s="2047"/>
      <c r="F441" s="2048"/>
      <c r="G441" s="2049">
        <f>SNI!H551</f>
        <v>4</v>
      </c>
      <c r="H441" s="2050" t="str">
        <f>SNI!G551</f>
        <v>kg</v>
      </c>
      <c r="I441" s="2051"/>
      <c r="J441" s="2051"/>
      <c r="K441" s="2052">
        <f>SNI!L551</f>
        <v>0.85140000000000005</v>
      </c>
      <c r="L441" s="2053"/>
      <c r="M441" s="2054"/>
      <c r="N441" s="2055">
        <f>SNI!I551</f>
        <v>1200</v>
      </c>
      <c r="O441" s="2056"/>
      <c r="P441" s="1969">
        <f t="shared" si="301"/>
        <v>4800</v>
      </c>
      <c r="Q441" s="1953"/>
      <c r="R441" s="1954"/>
      <c r="S441" s="1954">
        <f t="shared" si="302"/>
        <v>4086.7200000000003</v>
      </c>
      <c r="T441" s="1969">
        <f t="shared" si="303"/>
        <v>713.27999999999975</v>
      </c>
      <c r="U441" s="2060"/>
      <c r="Z441" s="1956"/>
      <c r="AA441" s="1956"/>
      <c r="AF441" s="1836"/>
      <c r="AG441" s="1836"/>
      <c r="AH441" s="1836"/>
      <c r="AI441" s="1837"/>
      <c r="AJ441" s="1960"/>
    </row>
    <row r="442" spans="1:36" ht="21.95" customHeight="1" x14ac:dyDescent="0.2">
      <c r="B442" s="2045"/>
      <c r="C442" s="2046"/>
      <c r="D442" s="2047" t="str">
        <f>SNI!E552</f>
        <v>Pasir beton</v>
      </c>
      <c r="E442" s="2047"/>
      <c r="F442" s="2048"/>
      <c r="G442" s="2049">
        <f>SNI!H552</f>
        <v>6.0000000000000001E-3</v>
      </c>
      <c r="H442" s="2050" t="str">
        <f>SNI!G552</f>
        <v>m3</v>
      </c>
      <c r="I442" s="2051"/>
      <c r="J442" s="2051"/>
      <c r="K442" s="2052">
        <f>SNI!L552</f>
        <v>1</v>
      </c>
      <c r="L442" s="2053"/>
      <c r="M442" s="2054"/>
      <c r="N442" s="2055">
        <f>SNI!I552</f>
        <v>260000</v>
      </c>
      <c r="O442" s="2056"/>
      <c r="P442" s="1969">
        <f t="shared" si="301"/>
        <v>1560</v>
      </c>
      <c r="Q442" s="1953"/>
      <c r="R442" s="1954"/>
      <c r="S442" s="1954">
        <f t="shared" si="302"/>
        <v>1560</v>
      </c>
      <c r="T442" s="1969">
        <f t="shared" si="303"/>
        <v>0</v>
      </c>
      <c r="U442" s="2060"/>
      <c r="Z442" s="1956"/>
      <c r="AA442" s="1956"/>
      <c r="AF442" s="1836"/>
      <c r="AG442" s="1836"/>
      <c r="AH442" s="1836"/>
      <c r="AI442" s="1837"/>
      <c r="AJ442" s="1960"/>
    </row>
    <row r="443" spans="1:36" ht="21.95" customHeight="1" x14ac:dyDescent="0.2">
      <c r="B443" s="2045"/>
      <c r="C443" s="2046"/>
      <c r="D443" s="2047" t="str">
        <f>SNI!E553</f>
        <v>Kerikil</v>
      </c>
      <c r="E443" s="2047"/>
      <c r="F443" s="2048"/>
      <c r="G443" s="2049">
        <f>SNI!H553</f>
        <v>8.9999999999999993E-3</v>
      </c>
      <c r="H443" s="2050" t="str">
        <f>SNI!G553</f>
        <v>m3</v>
      </c>
      <c r="I443" s="2051"/>
      <c r="J443" s="2051"/>
      <c r="K443" s="2052">
        <f>SNI!L553</f>
        <v>1</v>
      </c>
      <c r="L443" s="2053"/>
      <c r="M443" s="2054"/>
      <c r="N443" s="2055">
        <f>SNI!I553</f>
        <v>270000</v>
      </c>
      <c r="O443" s="2056"/>
      <c r="P443" s="1969">
        <f t="shared" si="301"/>
        <v>2430</v>
      </c>
      <c r="Q443" s="1953"/>
      <c r="R443" s="1954"/>
      <c r="S443" s="1954">
        <f t="shared" si="302"/>
        <v>2430</v>
      </c>
      <c r="T443" s="1969">
        <f t="shared" si="303"/>
        <v>0</v>
      </c>
      <c r="U443" s="2060"/>
      <c r="Z443" s="1956"/>
      <c r="AA443" s="1956"/>
      <c r="AF443" s="1836"/>
      <c r="AG443" s="1836"/>
      <c r="AH443" s="1836"/>
      <c r="AI443" s="1837"/>
      <c r="AJ443" s="1960"/>
    </row>
    <row r="444" spans="1:36" ht="21.95" customHeight="1" x14ac:dyDescent="0.2">
      <c r="B444" s="2045"/>
      <c r="C444" s="2046" t="str">
        <f>SNI!D555</f>
        <v>Tenaga Kerja</v>
      </c>
      <c r="D444" s="2047"/>
      <c r="E444" s="2047"/>
      <c r="F444" s="2048"/>
      <c r="G444" s="2049"/>
      <c r="H444" s="2050"/>
      <c r="I444" s="2051"/>
      <c r="J444" s="2051"/>
      <c r="K444" s="2052"/>
      <c r="L444" s="2053"/>
      <c r="M444" s="2054"/>
      <c r="N444" s="2055"/>
      <c r="O444" s="2056"/>
      <c r="P444" s="1969"/>
      <c r="Q444" s="1953"/>
      <c r="R444" s="1954"/>
      <c r="S444" s="1954"/>
      <c r="T444" s="1969"/>
      <c r="U444" s="2060"/>
      <c r="Z444" s="1956"/>
      <c r="AA444" s="1956"/>
      <c r="AF444" s="1836"/>
      <c r="AG444" s="1836"/>
      <c r="AH444" s="1836"/>
      <c r="AI444" s="1837"/>
      <c r="AJ444" s="1960"/>
    </row>
    <row r="445" spans="1:36" ht="21.95" customHeight="1" x14ac:dyDescent="0.2">
      <c r="B445" s="2045"/>
      <c r="C445" s="2046"/>
      <c r="D445" s="2047" t="str">
        <f>SNI!E555</f>
        <v xml:space="preserve">Pekerja </v>
      </c>
      <c r="E445" s="2047"/>
      <c r="F445" s="2048"/>
      <c r="G445" s="2049">
        <f>SNI!H555</f>
        <v>0.18</v>
      </c>
      <c r="H445" s="2050" t="str">
        <f>SNI!G555</f>
        <v>OH</v>
      </c>
      <c r="I445" s="2051" t="str">
        <f>SNI!$M$315</f>
        <v>WNI</v>
      </c>
      <c r="J445" s="2051"/>
      <c r="K445" s="2052">
        <f>SNI!L555</f>
        <v>1</v>
      </c>
      <c r="L445" s="2053"/>
      <c r="M445" s="2054"/>
      <c r="N445" s="2055">
        <f>SNI!I555</f>
        <v>88300</v>
      </c>
      <c r="O445" s="2056"/>
      <c r="P445" s="1969">
        <f t="shared" si="301"/>
        <v>15894</v>
      </c>
      <c r="Q445" s="1953"/>
      <c r="R445" s="1954"/>
      <c r="S445" s="1954">
        <f t="shared" si="302"/>
        <v>15894</v>
      </c>
      <c r="T445" s="1969">
        <f t="shared" si="303"/>
        <v>0</v>
      </c>
      <c r="U445" s="2060"/>
      <c r="Z445" s="1956"/>
      <c r="AA445" s="1956"/>
      <c r="AF445" s="1836"/>
      <c r="AG445" s="1836"/>
      <c r="AH445" s="1836"/>
      <c r="AI445" s="1837"/>
      <c r="AJ445" s="1960"/>
    </row>
    <row r="446" spans="1:36" ht="21.95" customHeight="1" x14ac:dyDescent="0.2">
      <c r="B446" s="2045"/>
      <c r="C446" s="2046"/>
      <c r="D446" s="2047" t="str">
        <f>SNI!E556</f>
        <v xml:space="preserve">Tukang Batu </v>
      </c>
      <c r="E446" s="2047"/>
      <c r="F446" s="2048"/>
      <c r="G446" s="2049">
        <f>SNI!H556</f>
        <v>0.02</v>
      </c>
      <c r="H446" s="2050" t="str">
        <f>SNI!G556</f>
        <v>OH</v>
      </c>
      <c r="I446" s="2051" t="str">
        <f>SNI!$M$315</f>
        <v>WNI</v>
      </c>
      <c r="J446" s="2051"/>
      <c r="K446" s="2052">
        <f>SNI!L556</f>
        <v>1</v>
      </c>
      <c r="L446" s="2053"/>
      <c r="M446" s="2054"/>
      <c r="N446" s="2055">
        <f>SNI!I556</f>
        <v>90000</v>
      </c>
      <c r="O446" s="2056"/>
      <c r="P446" s="1969">
        <f t="shared" si="301"/>
        <v>1800</v>
      </c>
      <c r="Q446" s="1953"/>
      <c r="R446" s="1954"/>
      <c r="S446" s="1954">
        <f t="shared" si="302"/>
        <v>1800</v>
      </c>
      <c r="T446" s="1969">
        <f t="shared" si="303"/>
        <v>0</v>
      </c>
      <c r="U446" s="2060"/>
      <c r="Z446" s="1956"/>
      <c r="AA446" s="1956"/>
      <c r="AF446" s="1836"/>
      <c r="AG446" s="1836"/>
      <c r="AH446" s="1836"/>
      <c r="AI446" s="1837"/>
      <c r="AJ446" s="1960"/>
    </row>
    <row r="447" spans="1:36" ht="21.95" customHeight="1" x14ac:dyDescent="0.2">
      <c r="B447" s="2045"/>
      <c r="C447" s="2046"/>
      <c r="D447" s="2047" t="str">
        <f>SNI!E557</f>
        <v>Tukang Kayu</v>
      </c>
      <c r="E447" s="2047"/>
      <c r="F447" s="2048"/>
      <c r="G447" s="2049">
        <f>SNI!H557</f>
        <v>0.02</v>
      </c>
      <c r="H447" s="2050" t="str">
        <f>SNI!G557</f>
        <v>OH</v>
      </c>
      <c r="I447" s="2051" t="str">
        <f>SNI!$M$315</f>
        <v>WNI</v>
      </c>
      <c r="J447" s="2051"/>
      <c r="K447" s="2052">
        <f>SNI!L557</f>
        <v>1</v>
      </c>
      <c r="L447" s="2053"/>
      <c r="M447" s="2054"/>
      <c r="N447" s="2055">
        <f>SNI!I557</f>
        <v>92000</v>
      </c>
      <c r="O447" s="2056"/>
      <c r="P447" s="1969">
        <f t="shared" ref="P447:P448" si="304">N447*G447</f>
        <v>1840</v>
      </c>
      <c r="Q447" s="1953"/>
      <c r="R447" s="1954"/>
      <c r="S447" s="1954">
        <f t="shared" ref="S447:S448" si="305">P447*K447</f>
        <v>1840</v>
      </c>
      <c r="T447" s="1969">
        <f t="shared" ref="T447:T448" si="306">P447-S447</f>
        <v>0</v>
      </c>
      <c r="U447" s="2060"/>
      <c r="Z447" s="1956"/>
      <c r="AA447" s="1956"/>
      <c r="AF447" s="1836"/>
      <c r="AG447" s="1836"/>
      <c r="AH447" s="1836"/>
      <c r="AI447" s="1837"/>
      <c r="AJ447" s="1960"/>
    </row>
    <row r="448" spans="1:36" ht="21.95" customHeight="1" x14ac:dyDescent="0.2">
      <c r="B448" s="2045"/>
      <c r="C448" s="2046"/>
      <c r="D448" s="2047" t="str">
        <f>SNI!E558</f>
        <v>Tukang Besi</v>
      </c>
      <c r="E448" s="2047"/>
      <c r="F448" s="2048"/>
      <c r="G448" s="2049">
        <f>SNI!H558</f>
        <v>0.02</v>
      </c>
      <c r="H448" s="2050" t="str">
        <f>SNI!G558</f>
        <v>OH</v>
      </c>
      <c r="I448" s="2051" t="str">
        <f>SNI!$M$315</f>
        <v>WNI</v>
      </c>
      <c r="J448" s="2051"/>
      <c r="K448" s="2052">
        <f>SNI!L558</f>
        <v>1</v>
      </c>
      <c r="L448" s="2053"/>
      <c r="M448" s="2054"/>
      <c r="N448" s="2055">
        <f>SNI!I558</f>
        <v>90000</v>
      </c>
      <c r="O448" s="2056"/>
      <c r="P448" s="1969">
        <f t="shared" si="304"/>
        <v>1800</v>
      </c>
      <c r="Q448" s="1953"/>
      <c r="R448" s="1954"/>
      <c r="S448" s="1954">
        <f t="shared" si="305"/>
        <v>1800</v>
      </c>
      <c r="T448" s="1969">
        <f t="shared" si="306"/>
        <v>0</v>
      </c>
      <c r="U448" s="2060"/>
      <c r="Z448" s="1956"/>
      <c r="AA448" s="1956"/>
      <c r="AF448" s="1836"/>
      <c r="AG448" s="1836"/>
      <c r="AH448" s="1836"/>
      <c r="AI448" s="1837"/>
      <c r="AJ448" s="1960"/>
    </row>
    <row r="449" spans="1:36" s="1957" customFormat="1" ht="21.95" customHeight="1" x14ac:dyDescent="0.2">
      <c r="A449" s="1942"/>
      <c r="B449" s="1970"/>
      <c r="C449" s="1971"/>
      <c r="D449" s="1972"/>
      <c r="E449" s="1973"/>
      <c r="F449" s="1974" t="s">
        <v>556</v>
      </c>
      <c r="G449" s="1975">
        <f>B435</f>
        <v>26</v>
      </c>
      <c r="H449" s="1976"/>
      <c r="I449" s="1977"/>
      <c r="J449" s="1977"/>
      <c r="K449" s="1978"/>
      <c r="L449" s="1979"/>
      <c r="M449" s="1980"/>
      <c r="N449" s="1981"/>
      <c r="O449" s="1982"/>
      <c r="P449" s="1983">
        <f>SUM(P437:P448)</f>
        <v>98269</v>
      </c>
      <c r="Q449" s="1984"/>
      <c r="R449" s="1985"/>
      <c r="S449" s="1983">
        <f t="shared" ref="S449" si="307">SUM(S437:S448)</f>
        <v>68243.27</v>
      </c>
      <c r="T449" s="1983">
        <f t="shared" ref="T449" si="308">SUM(T437:T448)</f>
        <v>30025.73</v>
      </c>
      <c r="U449" s="1986"/>
      <c r="V449" s="1848"/>
      <c r="W449" s="1848"/>
      <c r="X449" s="1848"/>
      <c r="Y449" s="1848"/>
      <c r="Z449" s="1956"/>
      <c r="AA449" s="1956"/>
      <c r="AF449" s="1958"/>
      <c r="AG449" s="1958"/>
      <c r="AH449" s="1958"/>
      <c r="AI449" s="1959"/>
      <c r="AJ449" s="1960"/>
    </row>
    <row r="450" spans="1:36" ht="21.95" customHeight="1" x14ac:dyDescent="0.2">
      <c r="A450" s="1833">
        <f>satpek!$B$48</f>
        <v>29</v>
      </c>
      <c r="B450" s="1943">
        <f t="shared" ref="B450" si="309">B435+1</f>
        <v>27</v>
      </c>
      <c r="C450" s="1937"/>
      <c r="D450" s="1944" t="s">
        <v>1783</v>
      </c>
      <c r="E450" s="1944"/>
      <c r="F450" s="2004"/>
      <c r="G450" s="1945">
        <f>'[3]B.VOL RAB'!Q127</f>
        <v>132</v>
      </c>
      <c r="H450" s="1946" t="str">
        <f>VLOOKUP($A450,satpek!$B$20:$N$144,7,0)</f>
        <v>m'</v>
      </c>
      <c r="I450" s="1947"/>
      <c r="J450" s="1947"/>
      <c r="K450" s="1948"/>
      <c r="L450" s="1949"/>
      <c r="M450" s="1950" t="str">
        <f>VLOOKUP($A450,satpek!$B$20:$N$144,5,0)</f>
        <v>A.4.1.1.36.</v>
      </c>
      <c r="N450" s="1951">
        <f>VLOOKUP($A450,satpek!$B$20:$N$144,6,0)</f>
        <v>109402.19</v>
      </c>
      <c r="O450" s="1938"/>
      <c r="P450" s="1952">
        <f t="shared" si="297"/>
        <v>14441089.08</v>
      </c>
      <c r="Q450" s="1953">
        <f>VLOOKUP($A450,satpek!$B$20:$L$138,8,0)</f>
        <v>0.75420720314079981</v>
      </c>
      <c r="R450" s="1954">
        <f>VLOOKUP($A450,satpek!$B$20:$L$138,9,0)</f>
        <v>73019.399999999994</v>
      </c>
      <c r="S450" s="1954">
        <f>VLOOKUP($A450,satpek!$B$20:$L$138,10,0)</f>
        <v>82511.921999999991</v>
      </c>
      <c r="T450" s="1952">
        <f>S450*G450</f>
        <v>10891573.703999998</v>
      </c>
      <c r="U450" s="1955"/>
      <c r="X450" s="1848">
        <f>P466</f>
        <v>96816.1</v>
      </c>
      <c r="Y450" s="1848">
        <f>S466</f>
        <v>73019.399999999994</v>
      </c>
      <c r="Z450" s="1956">
        <v>132</v>
      </c>
      <c r="AA450" s="1956">
        <f>Z450-G450</f>
        <v>0</v>
      </c>
      <c r="AB450" s="1836" t="s">
        <v>1783</v>
      </c>
      <c r="AF450" s="1836"/>
      <c r="AG450" s="1836"/>
      <c r="AH450" s="1836"/>
      <c r="AI450" s="1837">
        <v>106967.5</v>
      </c>
      <c r="AJ450" s="1960">
        <f>AI450-N450</f>
        <v>-2434.6900000000023</v>
      </c>
    </row>
    <row r="451" spans="1:36" ht="21.95" customHeight="1" x14ac:dyDescent="0.2">
      <c r="B451" s="2045"/>
      <c r="C451" s="2046" t="str">
        <f>SNI!D574</f>
        <v>Bahan</v>
      </c>
      <c r="D451" s="2047"/>
      <c r="E451" s="2047"/>
      <c r="F451" s="2048"/>
      <c r="G451" s="2049"/>
      <c r="H451" s="2050"/>
      <c r="I451" s="2051"/>
      <c r="J451" s="2051"/>
      <c r="K451" s="2052"/>
      <c r="L451" s="2053"/>
      <c r="M451" s="2054"/>
      <c r="N451" s="2055"/>
      <c r="O451" s="2056"/>
      <c r="P451" s="2057"/>
      <c r="Q451" s="2058"/>
      <c r="R451" s="2059"/>
      <c r="S451" s="2059"/>
      <c r="T451" s="2055"/>
      <c r="U451" s="2060"/>
      <c r="Z451" s="1956"/>
      <c r="AA451" s="1956"/>
      <c r="AF451" s="1836"/>
      <c r="AG451" s="1836"/>
      <c r="AH451" s="1836"/>
      <c r="AI451" s="1837"/>
      <c r="AJ451" s="1960"/>
    </row>
    <row r="452" spans="1:36" ht="21.95" customHeight="1" x14ac:dyDescent="0.2">
      <c r="B452" s="2045"/>
      <c r="C452" s="2046"/>
      <c r="D452" s="2047" t="str">
        <f>SNI!E574</f>
        <v>Kayu kelas III</v>
      </c>
      <c r="E452" s="2047"/>
      <c r="F452" s="2048"/>
      <c r="G452" s="2049">
        <f>SNI!H574</f>
        <v>3.0000000000000001E-3</v>
      </c>
      <c r="H452" s="2050" t="str">
        <f>SNI!G574</f>
        <v>m3</v>
      </c>
      <c r="I452" s="2051"/>
      <c r="J452" s="2051"/>
      <c r="K452" s="2052">
        <f>SNI!L574</f>
        <v>1</v>
      </c>
      <c r="L452" s="2053"/>
      <c r="M452" s="2054"/>
      <c r="N452" s="2055">
        <f>SNI!I574</f>
        <v>1100000</v>
      </c>
      <c r="O452" s="2056"/>
      <c r="P452" s="1969">
        <f t="shared" ref="P452" si="310">N452*G452</f>
        <v>3300</v>
      </c>
      <c r="Q452" s="1953"/>
      <c r="R452" s="1954"/>
      <c r="S452" s="1954">
        <f t="shared" ref="S452" si="311">P452*K452</f>
        <v>3300</v>
      </c>
      <c r="T452" s="1969">
        <f t="shared" ref="T452" si="312">P452-S452</f>
        <v>0</v>
      </c>
      <c r="U452" s="2060"/>
      <c r="Z452" s="1956"/>
      <c r="AA452" s="1956"/>
      <c r="AF452" s="1836"/>
      <c r="AG452" s="1836"/>
      <c r="AH452" s="1836"/>
      <c r="AI452" s="1837"/>
      <c r="AJ452" s="1960"/>
    </row>
    <row r="453" spans="1:36" ht="21.95" customHeight="1" x14ac:dyDescent="0.2">
      <c r="B453" s="2045"/>
      <c r="C453" s="2046"/>
      <c r="D453" s="2047" t="str">
        <f>SNI!E575</f>
        <v>Paku 5 cm - 12 cm</v>
      </c>
      <c r="E453" s="2047"/>
      <c r="F453" s="2048"/>
      <c r="G453" s="2049">
        <f>SNI!H575</f>
        <v>0.02</v>
      </c>
      <c r="H453" s="2050" t="str">
        <f>SNI!G575</f>
        <v>kg</v>
      </c>
      <c r="I453" s="2051"/>
      <c r="J453" s="2051"/>
      <c r="K453" s="2052">
        <f>SNI!L575</f>
        <v>0</v>
      </c>
      <c r="L453" s="2053"/>
      <c r="M453" s="2054"/>
      <c r="N453" s="2055">
        <f>SNI!I575</f>
        <v>17000</v>
      </c>
      <c r="O453" s="2056"/>
      <c r="P453" s="1969">
        <f t="shared" ref="P453:P465" si="313">N453*G453</f>
        <v>340</v>
      </c>
      <c r="Q453" s="1953"/>
      <c r="R453" s="1954"/>
      <c r="S453" s="1954">
        <f t="shared" ref="S453:S465" si="314">P453*K453</f>
        <v>0</v>
      </c>
      <c r="T453" s="1969">
        <f t="shared" ref="T453:T465" si="315">P453-S453</f>
        <v>340</v>
      </c>
      <c r="U453" s="2060"/>
      <c r="Z453" s="1956"/>
      <c r="AA453" s="1956"/>
      <c r="AF453" s="1836"/>
      <c r="AG453" s="1836"/>
      <c r="AH453" s="1836"/>
      <c r="AI453" s="1837"/>
      <c r="AJ453" s="1960"/>
    </row>
    <row r="454" spans="1:36" ht="21.95" customHeight="1" x14ac:dyDescent="0.2">
      <c r="B454" s="2045"/>
      <c r="C454" s="2046"/>
      <c r="D454" s="2047" t="str">
        <f>SNI!E576</f>
        <v>Besi beton polos</v>
      </c>
      <c r="E454" s="2047"/>
      <c r="F454" s="2048"/>
      <c r="G454" s="2049">
        <f>SNI!H576</f>
        <v>3.6</v>
      </c>
      <c r="H454" s="2050" t="str">
        <f>SNI!G576</f>
        <v>kg</v>
      </c>
      <c r="I454" s="2051"/>
      <c r="J454" s="2051"/>
      <c r="K454" s="2052">
        <f>SNI!L576</f>
        <v>0.4879</v>
      </c>
      <c r="L454" s="2053"/>
      <c r="M454" s="2054"/>
      <c r="N454" s="2055">
        <f>SNI!I576</f>
        <v>11500</v>
      </c>
      <c r="O454" s="2056"/>
      <c r="P454" s="1969">
        <f t="shared" si="313"/>
        <v>41400</v>
      </c>
      <c r="Q454" s="1953"/>
      <c r="R454" s="1954"/>
      <c r="S454" s="1954">
        <f t="shared" si="314"/>
        <v>20199.060000000001</v>
      </c>
      <c r="T454" s="1969">
        <f t="shared" si="315"/>
        <v>21200.94</v>
      </c>
      <c r="U454" s="2060"/>
      <c r="Z454" s="1956"/>
      <c r="AA454" s="1956"/>
      <c r="AF454" s="1836"/>
      <c r="AG454" s="1836"/>
      <c r="AH454" s="1836"/>
      <c r="AI454" s="1837"/>
      <c r="AJ454" s="1960"/>
    </row>
    <row r="455" spans="1:36" ht="21.95" customHeight="1" x14ac:dyDescent="0.2">
      <c r="B455" s="2045"/>
      <c r="C455" s="2046"/>
      <c r="D455" s="2047" t="str">
        <f>SNI!E577</f>
        <v>Kawat beton</v>
      </c>
      <c r="E455" s="2047"/>
      <c r="F455" s="2048"/>
      <c r="G455" s="2049">
        <f>SNI!H577</f>
        <v>0.05</v>
      </c>
      <c r="H455" s="2050" t="str">
        <f>SNI!G577</f>
        <v>kg</v>
      </c>
      <c r="I455" s="2051"/>
      <c r="J455" s="2051"/>
      <c r="K455" s="2052">
        <f>SNI!L577</f>
        <v>0</v>
      </c>
      <c r="L455" s="2053"/>
      <c r="M455" s="2054"/>
      <c r="N455" s="2055">
        <f>SNI!I577</f>
        <v>25500</v>
      </c>
      <c r="O455" s="2056"/>
      <c r="P455" s="1969">
        <f t="shared" si="313"/>
        <v>1275</v>
      </c>
      <c r="Q455" s="1953"/>
      <c r="R455" s="1954"/>
      <c r="S455" s="1954">
        <f t="shared" si="314"/>
        <v>0</v>
      </c>
      <c r="T455" s="1969">
        <f t="shared" si="315"/>
        <v>1275</v>
      </c>
      <c r="U455" s="2060"/>
      <c r="Z455" s="1956"/>
      <c r="AA455" s="1956"/>
      <c r="AF455" s="1836"/>
      <c r="AG455" s="1836"/>
      <c r="AH455" s="1836"/>
      <c r="AI455" s="1837"/>
      <c r="AJ455" s="1960"/>
    </row>
    <row r="456" spans="1:36" ht="21.95" customHeight="1" x14ac:dyDescent="0.2">
      <c r="B456" s="2045"/>
      <c r="C456" s="2046"/>
      <c r="D456" s="2047" t="str">
        <f>SNI!E578</f>
        <v>PC</v>
      </c>
      <c r="E456" s="2047"/>
      <c r="F456" s="2048"/>
      <c r="G456" s="2049">
        <f>SNI!H578</f>
        <v>5.5</v>
      </c>
      <c r="H456" s="2050" t="str">
        <f>SNI!G578</f>
        <v>kg</v>
      </c>
      <c r="I456" s="2051"/>
      <c r="J456" s="2051"/>
      <c r="K456" s="2052">
        <f>SNI!L578</f>
        <v>0.85140000000000005</v>
      </c>
      <c r="L456" s="2053"/>
      <c r="M456" s="2054"/>
      <c r="N456" s="2055">
        <f>SNI!I578</f>
        <v>1200</v>
      </c>
      <c r="O456" s="2056"/>
      <c r="P456" s="1969">
        <f t="shared" si="313"/>
        <v>6600</v>
      </c>
      <c r="Q456" s="1953"/>
      <c r="R456" s="1954"/>
      <c r="S456" s="1954">
        <f t="shared" si="314"/>
        <v>5619.2400000000007</v>
      </c>
      <c r="T456" s="1969">
        <f t="shared" si="315"/>
        <v>980.75999999999931</v>
      </c>
      <c r="U456" s="2060"/>
      <c r="Z456" s="1956"/>
      <c r="AA456" s="1956"/>
      <c r="AF456" s="1836"/>
      <c r="AG456" s="1836"/>
      <c r="AH456" s="1836"/>
      <c r="AI456" s="1837"/>
      <c r="AJ456" s="1960"/>
    </row>
    <row r="457" spans="1:36" ht="21.95" customHeight="1" x14ac:dyDescent="0.2">
      <c r="B457" s="2045"/>
      <c r="C457" s="2046"/>
      <c r="D457" s="2047" t="str">
        <f>SNI!E579</f>
        <v>Pasir beton</v>
      </c>
      <c r="E457" s="2047"/>
      <c r="F457" s="2048"/>
      <c r="G457" s="2049">
        <f>SNI!H579</f>
        <v>8.9999999999999993E-3</v>
      </c>
      <c r="H457" s="2050" t="str">
        <f>SNI!G579</f>
        <v>m3</v>
      </c>
      <c r="I457" s="2051"/>
      <c r="J457" s="2051"/>
      <c r="K457" s="2052">
        <f>SNI!L579</f>
        <v>1</v>
      </c>
      <c r="L457" s="2053"/>
      <c r="M457" s="2054"/>
      <c r="N457" s="2055">
        <f>SNI!I579</f>
        <v>260000</v>
      </c>
      <c r="O457" s="2056"/>
      <c r="P457" s="1969">
        <f t="shared" si="313"/>
        <v>2340</v>
      </c>
      <c r="Q457" s="1953"/>
      <c r="R457" s="1954"/>
      <c r="S457" s="1954">
        <f t="shared" si="314"/>
        <v>2340</v>
      </c>
      <c r="T457" s="1969">
        <f t="shared" si="315"/>
        <v>0</v>
      </c>
      <c r="U457" s="2060"/>
      <c r="Z457" s="1956"/>
      <c r="AA457" s="1956"/>
      <c r="AF457" s="1836"/>
      <c r="AG457" s="1836"/>
      <c r="AH457" s="1836"/>
      <c r="AI457" s="1837"/>
      <c r="AJ457" s="1960"/>
    </row>
    <row r="458" spans="1:36" ht="21.95" customHeight="1" x14ac:dyDescent="0.2">
      <c r="B458" s="2045"/>
      <c r="C458" s="2046"/>
      <c r="D458" s="2047" t="str">
        <f>SNI!E580</f>
        <v>Kerikil</v>
      </c>
      <c r="E458" s="2047"/>
      <c r="F458" s="2048"/>
      <c r="G458" s="2049">
        <f>SNI!H580</f>
        <v>1.4999999999999999E-2</v>
      </c>
      <c r="H458" s="2050" t="str">
        <f>SNI!G580</f>
        <v>m3</v>
      </c>
      <c r="I458" s="2051"/>
      <c r="J458" s="2051"/>
      <c r="K458" s="2052">
        <f>SNI!L580</f>
        <v>1</v>
      </c>
      <c r="L458" s="2053"/>
      <c r="M458" s="2054"/>
      <c r="N458" s="2055">
        <f>SNI!I580</f>
        <v>270000</v>
      </c>
      <c r="O458" s="2056"/>
      <c r="P458" s="1969">
        <f t="shared" si="313"/>
        <v>4050</v>
      </c>
      <c r="Q458" s="1953"/>
      <c r="R458" s="1954"/>
      <c r="S458" s="1954">
        <f t="shared" si="314"/>
        <v>4050</v>
      </c>
      <c r="T458" s="1969">
        <f t="shared" si="315"/>
        <v>0</v>
      </c>
      <c r="U458" s="2060"/>
      <c r="Z458" s="1956"/>
      <c r="AA458" s="1956"/>
      <c r="AF458" s="1836"/>
      <c r="AG458" s="1836"/>
      <c r="AH458" s="1836"/>
      <c r="AI458" s="1837"/>
      <c r="AJ458" s="1960"/>
    </row>
    <row r="459" spans="1:36" ht="21.95" customHeight="1" x14ac:dyDescent="0.2">
      <c r="B459" s="2045"/>
      <c r="C459" s="2046" t="str">
        <f>SNI!D582</f>
        <v>Tenaga Kerja</v>
      </c>
      <c r="D459" s="2047"/>
      <c r="E459" s="2047"/>
      <c r="F459" s="2048"/>
      <c r="G459" s="2049"/>
      <c r="H459" s="2050"/>
      <c r="I459" s="2051"/>
      <c r="J459" s="2051"/>
      <c r="K459" s="2052"/>
      <c r="L459" s="2053"/>
      <c r="M459" s="2054"/>
      <c r="N459" s="2055"/>
      <c r="O459" s="2056"/>
      <c r="P459" s="1969"/>
      <c r="Q459" s="1953"/>
      <c r="R459" s="1954"/>
      <c r="S459" s="1954"/>
      <c r="T459" s="1969"/>
      <c r="U459" s="2060"/>
      <c r="Z459" s="1956"/>
      <c r="AA459" s="1956"/>
      <c r="AF459" s="1836"/>
      <c r="AG459" s="1836"/>
      <c r="AH459" s="1836"/>
      <c r="AI459" s="1837"/>
      <c r="AJ459" s="1960"/>
    </row>
    <row r="460" spans="1:36" ht="21.95" customHeight="1" x14ac:dyDescent="0.2">
      <c r="B460" s="2045"/>
      <c r="C460" s="2046"/>
      <c r="D460" s="2047" t="str">
        <f>SNI!E582</f>
        <v xml:space="preserve">Pekerja </v>
      </c>
      <c r="E460" s="2047"/>
      <c r="F460" s="2048"/>
      <c r="G460" s="2049">
        <f>SNI!H582</f>
        <v>0.29699999999999999</v>
      </c>
      <c r="H460" s="2050" t="str">
        <f>SNI!G582</f>
        <v>OH</v>
      </c>
      <c r="I460" s="2051" t="str">
        <f>SNI!$M$315</f>
        <v>WNI</v>
      </c>
      <c r="J460" s="2051"/>
      <c r="K460" s="2052">
        <f>SNI!L582</f>
        <v>1</v>
      </c>
      <c r="L460" s="2053"/>
      <c r="M460" s="2054"/>
      <c r="N460" s="2055">
        <f>SNI!I582</f>
        <v>88300</v>
      </c>
      <c r="O460" s="2056"/>
      <c r="P460" s="1969">
        <f t="shared" si="313"/>
        <v>26225.1</v>
      </c>
      <c r="Q460" s="1953"/>
      <c r="R460" s="1954"/>
      <c r="S460" s="1954">
        <f t="shared" si="314"/>
        <v>26225.1</v>
      </c>
      <c r="T460" s="1969">
        <f t="shared" si="315"/>
        <v>0</v>
      </c>
      <c r="U460" s="2060"/>
      <c r="Z460" s="1956"/>
      <c r="AA460" s="1956"/>
      <c r="AF460" s="1836"/>
      <c r="AG460" s="1836"/>
      <c r="AH460" s="1836"/>
      <c r="AI460" s="1837"/>
      <c r="AJ460" s="1960"/>
    </row>
    <row r="461" spans="1:36" ht="21.95" customHeight="1" x14ac:dyDescent="0.2">
      <c r="B461" s="2045"/>
      <c r="C461" s="2046"/>
      <c r="D461" s="2047" t="str">
        <f>SNI!E583</f>
        <v xml:space="preserve">Tukang Batu </v>
      </c>
      <c r="E461" s="2047"/>
      <c r="F461" s="2048"/>
      <c r="G461" s="2049">
        <f>SNI!H583</f>
        <v>3.3000000000000002E-2</v>
      </c>
      <c r="H461" s="2050" t="str">
        <f>SNI!G583</f>
        <v>OH</v>
      </c>
      <c r="I461" s="2051" t="str">
        <f>SNI!$M$315</f>
        <v>WNI</v>
      </c>
      <c r="J461" s="2051"/>
      <c r="K461" s="2052">
        <f>SNI!L583</f>
        <v>1</v>
      </c>
      <c r="L461" s="2053"/>
      <c r="M461" s="2054"/>
      <c r="N461" s="2055">
        <f>SNI!I583</f>
        <v>90000</v>
      </c>
      <c r="O461" s="2056"/>
      <c r="P461" s="1969">
        <f t="shared" si="313"/>
        <v>2970</v>
      </c>
      <c r="Q461" s="1953"/>
      <c r="R461" s="1954"/>
      <c r="S461" s="1954">
        <f t="shared" si="314"/>
        <v>2970</v>
      </c>
      <c r="T461" s="1969">
        <f t="shared" si="315"/>
        <v>0</v>
      </c>
      <c r="U461" s="2060"/>
      <c r="Z461" s="1956"/>
      <c r="AA461" s="1956"/>
      <c r="AF461" s="1836"/>
      <c r="AG461" s="1836"/>
      <c r="AH461" s="1836"/>
      <c r="AI461" s="1837"/>
      <c r="AJ461" s="1960"/>
    </row>
    <row r="462" spans="1:36" ht="21.95" customHeight="1" x14ac:dyDescent="0.2">
      <c r="B462" s="2045"/>
      <c r="C462" s="2046"/>
      <c r="D462" s="2047" t="str">
        <f>SNI!E584</f>
        <v>Tukang Kayu</v>
      </c>
      <c r="E462" s="2047"/>
      <c r="F462" s="2048"/>
      <c r="G462" s="2049">
        <f>SNI!H584</f>
        <v>3.3000000000000002E-2</v>
      </c>
      <c r="H462" s="2050" t="str">
        <f>SNI!G584</f>
        <v>OH</v>
      </c>
      <c r="I462" s="2051" t="str">
        <f>SNI!$M$315</f>
        <v>WNI</v>
      </c>
      <c r="J462" s="2051"/>
      <c r="K462" s="2052">
        <f>SNI!L584</f>
        <v>1</v>
      </c>
      <c r="L462" s="2053"/>
      <c r="M462" s="2054"/>
      <c r="N462" s="2055">
        <f>SNI!I584</f>
        <v>92000</v>
      </c>
      <c r="O462" s="2056"/>
      <c r="P462" s="1969">
        <f t="shared" si="313"/>
        <v>3036</v>
      </c>
      <c r="Q462" s="1953"/>
      <c r="R462" s="1954"/>
      <c r="S462" s="1954">
        <f t="shared" si="314"/>
        <v>3036</v>
      </c>
      <c r="T462" s="1969">
        <f t="shared" si="315"/>
        <v>0</v>
      </c>
      <c r="U462" s="2060"/>
      <c r="Z462" s="1956"/>
      <c r="AA462" s="1956"/>
      <c r="AF462" s="1836"/>
      <c r="AG462" s="1836"/>
      <c r="AH462" s="1836"/>
      <c r="AI462" s="1837"/>
      <c r="AJ462" s="1960"/>
    </row>
    <row r="463" spans="1:36" ht="21.95" customHeight="1" x14ac:dyDescent="0.2">
      <c r="B463" s="2045"/>
      <c r="C463" s="2046"/>
      <c r="D463" s="2047" t="str">
        <f>SNI!E585</f>
        <v>Tukang Besi</v>
      </c>
      <c r="E463" s="2047"/>
      <c r="F463" s="2048"/>
      <c r="G463" s="2049">
        <f>SNI!H585</f>
        <v>3.3000000000000002E-2</v>
      </c>
      <c r="H463" s="2050" t="str">
        <f>SNI!G585</f>
        <v>OH</v>
      </c>
      <c r="I463" s="2051" t="str">
        <f>SNI!$M$315</f>
        <v>WNI</v>
      </c>
      <c r="J463" s="2051"/>
      <c r="K463" s="2052">
        <f>SNI!L585</f>
        <v>1</v>
      </c>
      <c r="L463" s="2053"/>
      <c r="M463" s="2054"/>
      <c r="N463" s="2055">
        <f>SNI!I585</f>
        <v>90000</v>
      </c>
      <c r="O463" s="2056"/>
      <c r="P463" s="1969">
        <f t="shared" si="313"/>
        <v>2970</v>
      </c>
      <c r="Q463" s="1953"/>
      <c r="R463" s="1954"/>
      <c r="S463" s="1954">
        <f t="shared" si="314"/>
        <v>2970</v>
      </c>
      <c r="T463" s="1969">
        <f t="shared" si="315"/>
        <v>0</v>
      </c>
      <c r="U463" s="2060"/>
      <c r="Z463" s="1956"/>
      <c r="AA463" s="1956"/>
      <c r="AF463" s="1836"/>
      <c r="AG463" s="1836"/>
      <c r="AH463" s="1836"/>
      <c r="AI463" s="1837"/>
      <c r="AJ463" s="1960"/>
    </row>
    <row r="464" spans="1:36" ht="21.95" customHeight="1" x14ac:dyDescent="0.2">
      <c r="B464" s="2045"/>
      <c r="C464" s="2046"/>
      <c r="D464" s="2047" t="str">
        <f>SNI!E586</f>
        <v>Kepala Tukang</v>
      </c>
      <c r="E464" s="2047"/>
      <c r="F464" s="2048"/>
      <c r="G464" s="2049">
        <f>SNI!H586</f>
        <v>0.01</v>
      </c>
      <c r="H464" s="2050" t="str">
        <f>SNI!G586</f>
        <v>OH</v>
      </c>
      <c r="I464" s="2051" t="str">
        <f>SNI!$M$315</f>
        <v>WNI</v>
      </c>
      <c r="J464" s="2051"/>
      <c r="K464" s="2052">
        <f>SNI!L586</f>
        <v>1</v>
      </c>
      <c r="L464" s="2053"/>
      <c r="M464" s="2054"/>
      <c r="N464" s="2055">
        <f>SNI!I586</f>
        <v>96000</v>
      </c>
      <c r="O464" s="2056"/>
      <c r="P464" s="1969">
        <f t="shared" si="313"/>
        <v>960</v>
      </c>
      <c r="Q464" s="1953"/>
      <c r="R464" s="1954"/>
      <c r="S464" s="1954">
        <f t="shared" si="314"/>
        <v>960</v>
      </c>
      <c r="T464" s="1969">
        <f t="shared" si="315"/>
        <v>0</v>
      </c>
      <c r="U464" s="2060"/>
      <c r="Z464" s="1956"/>
      <c r="AA464" s="1956"/>
      <c r="AF464" s="1836"/>
      <c r="AG464" s="1836"/>
      <c r="AH464" s="1836"/>
      <c r="AI464" s="1837"/>
      <c r="AJ464" s="1960"/>
    </row>
    <row r="465" spans="1:36" ht="21.95" customHeight="1" x14ac:dyDescent="0.2">
      <c r="B465" s="2045"/>
      <c r="C465" s="2046"/>
      <c r="D465" s="2047" t="str">
        <f>SNI!E587</f>
        <v>Mandor</v>
      </c>
      <c r="E465" s="2047"/>
      <c r="F465" s="2048"/>
      <c r="G465" s="2049">
        <f>SNI!H587</f>
        <v>1.4999999999999999E-2</v>
      </c>
      <c r="H465" s="2050" t="str">
        <f>SNI!G587</f>
        <v>OH</v>
      </c>
      <c r="I465" s="2051" t="str">
        <f>SNI!$M$315</f>
        <v>WNI</v>
      </c>
      <c r="J465" s="2051"/>
      <c r="K465" s="2052">
        <f>SNI!L587</f>
        <v>1</v>
      </c>
      <c r="L465" s="2053"/>
      <c r="M465" s="2054"/>
      <c r="N465" s="2055">
        <f>SNI!I587</f>
        <v>90000</v>
      </c>
      <c r="O465" s="2056"/>
      <c r="P465" s="1969">
        <f t="shared" si="313"/>
        <v>1350</v>
      </c>
      <c r="Q465" s="1953"/>
      <c r="R465" s="1954"/>
      <c r="S465" s="1954">
        <f t="shared" si="314"/>
        <v>1350</v>
      </c>
      <c r="T465" s="1969">
        <f t="shared" si="315"/>
        <v>0</v>
      </c>
      <c r="U465" s="2060"/>
      <c r="Z465" s="1956"/>
      <c r="AA465" s="1956"/>
      <c r="AF465" s="1836"/>
      <c r="AG465" s="1836"/>
      <c r="AH465" s="1836"/>
      <c r="AI465" s="1837"/>
      <c r="AJ465" s="1960"/>
    </row>
    <row r="466" spans="1:36" s="1957" customFormat="1" ht="21.95" customHeight="1" x14ac:dyDescent="0.2">
      <c r="A466" s="1942"/>
      <c r="B466" s="1970"/>
      <c r="C466" s="1971"/>
      <c r="D466" s="1972"/>
      <c r="E466" s="1973"/>
      <c r="F466" s="1974" t="s">
        <v>556</v>
      </c>
      <c r="G466" s="1975">
        <f>B450</f>
        <v>27</v>
      </c>
      <c r="H466" s="1976"/>
      <c r="I466" s="1977"/>
      <c r="J466" s="1977"/>
      <c r="K466" s="1978"/>
      <c r="L466" s="1979"/>
      <c r="M466" s="1980"/>
      <c r="N466" s="1981"/>
      <c r="O466" s="1982"/>
      <c r="P466" s="1983">
        <f>SUM(P452:P465)</f>
        <v>96816.1</v>
      </c>
      <c r="Q466" s="1984"/>
      <c r="R466" s="1985"/>
      <c r="S466" s="1983">
        <f t="shared" ref="S466:T466" si="316">SUM(S452:S465)</f>
        <v>73019.399999999994</v>
      </c>
      <c r="T466" s="1983">
        <f t="shared" si="316"/>
        <v>23796.699999999997</v>
      </c>
      <c r="U466" s="1986"/>
      <c r="V466" s="1848"/>
      <c r="W466" s="1848"/>
      <c r="X466" s="1848"/>
      <c r="Y466" s="1848"/>
      <c r="Z466" s="1956"/>
      <c r="AA466" s="1956"/>
      <c r="AF466" s="1958"/>
      <c r="AG466" s="1958"/>
      <c r="AH466" s="1958"/>
      <c r="AI466" s="1959"/>
      <c r="AJ466" s="1960"/>
    </row>
    <row r="467" spans="1:36" ht="21.95" customHeight="1" x14ac:dyDescent="0.2">
      <c r="B467" s="2102"/>
      <c r="C467" s="2103"/>
      <c r="D467" s="2081" t="s">
        <v>1784</v>
      </c>
      <c r="E467" s="1930"/>
      <c r="F467" s="1931"/>
      <c r="G467" s="1945"/>
      <c r="H467" s="1933"/>
      <c r="I467" s="1934"/>
      <c r="J467" s="1934"/>
      <c r="K467" s="1935"/>
      <c r="L467" s="1936"/>
      <c r="M467" s="1936"/>
      <c r="N467" s="1951"/>
      <c r="O467" s="2066"/>
      <c r="P467" s="2067"/>
      <c r="Q467" s="1934"/>
      <c r="R467" s="1934"/>
      <c r="S467" s="1934"/>
      <c r="T467" s="1940"/>
      <c r="U467" s="1941"/>
      <c r="Z467" s="1956"/>
      <c r="AA467" s="1956">
        <f>Z467-G467</f>
        <v>0</v>
      </c>
      <c r="AB467" s="1836" t="s">
        <v>1784</v>
      </c>
      <c r="AF467" s="1836"/>
      <c r="AG467" s="1836"/>
      <c r="AH467" s="1836"/>
      <c r="AI467" s="1837"/>
      <c r="AJ467" s="1960">
        <f>AI467-N467</f>
        <v>0</v>
      </c>
    </row>
    <row r="468" spans="1:36" ht="21.95" customHeight="1" x14ac:dyDescent="0.2">
      <c r="A468" s="1833">
        <f>satpek!$B$40</f>
        <v>21</v>
      </c>
      <c r="B468" s="1943">
        <f>B450+1</f>
        <v>28</v>
      </c>
      <c r="C468" s="1937"/>
      <c r="D468" s="1944" t="str">
        <f>VLOOKUP($A468,satpek!$B$20:$N$144,2,0)</f>
        <v>Membuat beton mutu f'c = 21,7 Mpa - K 250</v>
      </c>
      <c r="E468" s="1944"/>
      <c r="F468" s="2004"/>
      <c r="G468" s="1945">
        <f>'[3]B.VOL RAB'!Q130</f>
        <v>0.128</v>
      </c>
      <c r="H468" s="1946" t="str">
        <f>VLOOKUP($A468,satpek!$B$20:$N$144,7,0)</f>
        <v>m3</v>
      </c>
      <c r="I468" s="1947"/>
      <c r="J468" s="1947"/>
      <c r="K468" s="1948"/>
      <c r="L468" s="1949"/>
      <c r="M468" s="1950" t="str">
        <f>VLOOKUP($A468,satpek!$B$20:$N$144,5,0)</f>
        <v>A.4.1.1.8.</v>
      </c>
      <c r="N468" s="1951">
        <f>VLOOKUP($A468,satpek!$B$20:$N$144,6,0)</f>
        <v>1115753.29</v>
      </c>
      <c r="O468" s="1938"/>
      <c r="P468" s="1952">
        <f t="shared" ref="P468:P490" si="317">ROUND((G468*N468),2)</f>
        <v>142816.42000000001</v>
      </c>
      <c r="Q468" s="1953">
        <f>VLOOKUP($A468,satpek!$B$20:$L$138,8,0)</f>
        <v>0.93065078521121514</v>
      </c>
      <c r="R468" s="1954">
        <f>VLOOKUP($A468,satpek!$B$20:$L$138,9,0)</f>
        <v>918917.40999999992</v>
      </c>
      <c r="S468" s="1954">
        <f>VLOOKUP($A468,satpek!$B$20:$L$138,10,0)</f>
        <v>1038376.6732999999</v>
      </c>
      <c r="T468" s="1952">
        <f>S468*G468</f>
        <v>132912.2141824</v>
      </c>
      <c r="U468" s="1955"/>
      <c r="X468" s="1848">
        <f>P479</f>
        <v>987392.28571428568</v>
      </c>
      <c r="Y468" s="1848">
        <f>S479</f>
        <v>918917.40571428579</v>
      </c>
      <c r="Z468" s="1956">
        <v>0.128</v>
      </c>
      <c r="AA468" s="1956">
        <f>Z468-G468</f>
        <v>0</v>
      </c>
      <c r="AB468" s="1836" t="s">
        <v>1905</v>
      </c>
      <c r="AF468" s="1836"/>
      <c r="AG468" s="1836"/>
      <c r="AH468" s="1836"/>
      <c r="AI468" s="1837">
        <v>1191397.42</v>
      </c>
      <c r="AJ468" s="1960">
        <f>AI468-N468</f>
        <v>75644.129999999888</v>
      </c>
    </row>
    <row r="469" spans="1:36" ht="21.95" customHeight="1" x14ac:dyDescent="0.2">
      <c r="B469" s="2045"/>
      <c r="C469" s="2046" t="str">
        <f>SNI!$D$389</f>
        <v>Bahan</v>
      </c>
      <c r="D469" s="2047"/>
      <c r="E469" s="2047"/>
      <c r="F469" s="2048"/>
      <c r="G469" s="2049"/>
      <c r="H469" s="2050"/>
      <c r="I469" s="2051"/>
      <c r="J469" s="2051"/>
      <c r="K469" s="2052"/>
      <c r="L469" s="2053"/>
      <c r="M469" s="2054"/>
      <c r="N469" s="2055"/>
      <c r="O469" s="2056"/>
      <c r="P469" s="2057"/>
      <c r="Q469" s="2058"/>
      <c r="R469" s="2059"/>
      <c r="S469" s="2059"/>
      <c r="T469" s="2057"/>
      <c r="U469" s="2060"/>
      <c r="Z469" s="1956"/>
      <c r="AA469" s="1956"/>
      <c r="AF469" s="1836"/>
      <c r="AG469" s="1836"/>
      <c r="AH469" s="1836"/>
      <c r="AI469" s="1837"/>
      <c r="AJ469" s="1960"/>
    </row>
    <row r="470" spans="1:36" ht="21.95" customHeight="1" x14ac:dyDescent="0.2">
      <c r="B470" s="2045"/>
      <c r="C470" s="2046"/>
      <c r="D470" s="2047" t="str">
        <f>SNI!$E$389</f>
        <v>PC</v>
      </c>
      <c r="E470" s="2047"/>
      <c r="F470" s="2048"/>
      <c r="G470" s="2049">
        <f>SNI!$H$389</f>
        <v>384</v>
      </c>
      <c r="H470" s="2050" t="str">
        <f>SNI!$G$389</f>
        <v>kg</v>
      </c>
      <c r="I470" s="2051"/>
      <c r="J470" s="2051"/>
      <c r="K470" s="2052">
        <f>SNI!$L$389</f>
        <v>0.85140000000000005</v>
      </c>
      <c r="L470" s="2053"/>
      <c r="M470" s="2054"/>
      <c r="N470" s="2055">
        <f>SNI!$I$389</f>
        <v>1200</v>
      </c>
      <c r="O470" s="2056"/>
      <c r="P470" s="1969">
        <f t="shared" ref="P470:P473" si="318">N470*G470</f>
        <v>460800</v>
      </c>
      <c r="Q470" s="1953"/>
      <c r="R470" s="1954"/>
      <c r="S470" s="1954">
        <f t="shared" ref="S470:S473" si="319">P470*K470</f>
        <v>392325.12</v>
      </c>
      <c r="T470" s="1969">
        <f t="shared" ref="T470:T473" si="320">P470-S470</f>
        <v>68474.880000000005</v>
      </c>
      <c r="U470" s="2060"/>
      <c r="Z470" s="1956"/>
      <c r="AA470" s="1956"/>
      <c r="AF470" s="1836"/>
      <c r="AG470" s="1836"/>
      <c r="AH470" s="1836"/>
      <c r="AI470" s="1837"/>
      <c r="AJ470" s="1960"/>
    </row>
    <row r="471" spans="1:36" ht="21.95" customHeight="1" x14ac:dyDescent="0.2">
      <c r="B471" s="2045"/>
      <c r="C471" s="2046"/>
      <c r="D471" s="2047" t="str">
        <f>SNI!$E$390</f>
        <v>Pasir Beton</v>
      </c>
      <c r="E471" s="2047"/>
      <c r="F471" s="2048"/>
      <c r="G471" s="2049">
        <f>SNI!$H$390</f>
        <v>692</v>
      </c>
      <c r="H471" s="2050" t="str">
        <f>SNI!$G$390</f>
        <v>kg</v>
      </c>
      <c r="I471" s="2051"/>
      <c r="J471" s="2051"/>
      <c r="K471" s="2052">
        <f>SNI!$L$390</f>
        <v>1</v>
      </c>
      <c r="L471" s="2053"/>
      <c r="M471" s="2054"/>
      <c r="N471" s="2055">
        <f>SNI!$I$390</f>
        <v>185.71428571428572</v>
      </c>
      <c r="O471" s="2056"/>
      <c r="P471" s="1969">
        <f t="shared" si="318"/>
        <v>128514.28571428572</v>
      </c>
      <c r="Q471" s="1953"/>
      <c r="R471" s="1954"/>
      <c r="S471" s="1954">
        <f t="shared" si="319"/>
        <v>128514.28571428572</v>
      </c>
      <c r="T471" s="1969">
        <f t="shared" si="320"/>
        <v>0</v>
      </c>
      <c r="U471" s="2060"/>
      <c r="Z471" s="1956"/>
      <c r="AA471" s="1956"/>
      <c r="AF471" s="1836"/>
      <c r="AG471" s="1836"/>
      <c r="AH471" s="1836"/>
      <c r="AI471" s="1837"/>
      <c r="AJ471" s="1960"/>
    </row>
    <row r="472" spans="1:36" ht="21.95" customHeight="1" x14ac:dyDescent="0.2">
      <c r="B472" s="2045"/>
      <c r="C472" s="2046"/>
      <c r="D472" s="2047" t="str">
        <f>SNI!$E$391</f>
        <v>Kerikil ( maks 30 mm )</v>
      </c>
      <c r="E472" s="2047"/>
      <c r="F472" s="2048"/>
      <c r="G472" s="2049">
        <f>SNI!$H$391</f>
        <v>1039</v>
      </c>
      <c r="H472" s="2050" t="str">
        <f>SNI!$G$391</f>
        <v>kg</v>
      </c>
      <c r="I472" s="2051"/>
      <c r="J472" s="2051"/>
      <c r="K472" s="2052">
        <f>SNI!$L$391</f>
        <v>1</v>
      </c>
      <c r="L472" s="2053"/>
      <c r="M472" s="2054"/>
      <c r="N472" s="2055">
        <f>SNI!$I$391</f>
        <v>200</v>
      </c>
      <c r="O472" s="2056"/>
      <c r="P472" s="1969">
        <f t="shared" si="318"/>
        <v>207800</v>
      </c>
      <c r="Q472" s="1953"/>
      <c r="R472" s="1954"/>
      <c r="S472" s="1954">
        <f t="shared" si="319"/>
        <v>207800</v>
      </c>
      <c r="T472" s="1969">
        <f t="shared" si="320"/>
        <v>0</v>
      </c>
      <c r="U472" s="2060"/>
      <c r="Z472" s="1956"/>
      <c r="AA472" s="1956"/>
      <c r="AF472" s="1836"/>
      <c r="AG472" s="1836"/>
      <c r="AH472" s="1836"/>
      <c r="AI472" s="1837"/>
      <c r="AJ472" s="1960"/>
    </row>
    <row r="473" spans="1:36" ht="21.95" customHeight="1" x14ac:dyDescent="0.2">
      <c r="B473" s="2045"/>
      <c r="C473" s="2046"/>
      <c r="D473" s="2047" t="str">
        <f>SNI!$E$392</f>
        <v>Air</v>
      </c>
      <c r="E473" s="2047"/>
      <c r="F473" s="2048"/>
      <c r="G473" s="2049">
        <f>SNI!$H$392</f>
        <v>215</v>
      </c>
      <c r="H473" s="2050" t="str">
        <f>SNI!$G$392</f>
        <v>ltr</v>
      </c>
      <c r="I473" s="2051"/>
      <c r="J473" s="2051"/>
      <c r="K473" s="2052">
        <f>SNI!$L$392</f>
        <v>1</v>
      </c>
      <c r="L473" s="2053"/>
      <c r="M473" s="2054"/>
      <c r="N473" s="2055">
        <f>SNI!$I$392</f>
        <v>45</v>
      </c>
      <c r="O473" s="2056"/>
      <c r="P473" s="1969">
        <f t="shared" si="318"/>
        <v>9675</v>
      </c>
      <c r="Q473" s="1953"/>
      <c r="R473" s="1954"/>
      <c r="S473" s="1954">
        <f t="shared" si="319"/>
        <v>9675</v>
      </c>
      <c r="T473" s="1969">
        <f t="shared" si="320"/>
        <v>0</v>
      </c>
      <c r="U473" s="2060"/>
      <c r="Z473" s="1956"/>
      <c r="AA473" s="1956"/>
      <c r="AF473" s="1836"/>
      <c r="AG473" s="1836"/>
      <c r="AH473" s="1836"/>
      <c r="AI473" s="1837"/>
      <c r="AJ473" s="1960"/>
    </row>
    <row r="474" spans="1:36" ht="21.95" customHeight="1" x14ac:dyDescent="0.2">
      <c r="B474" s="2045"/>
      <c r="C474" s="2046" t="str">
        <f>SNI!$D$394</f>
        <v>Tenaga Kerja</v>
      </c>
      <c r="D474" s="2047"/>
      <c r="E474" s="2047"/>
      <c r="F474" s="2048"/>
      <c r="G474" s="2049"/>
      <c r="H474" s="2050"/>
      <c r="I474" s="2051"/>
      <c r="J474" s="2051"/>
      <c r="K474" s="2052"/>
      <c r="L474" s="2053"/>
      <c r="M474" s="2054"/>
      <c r="N474" s="2055"/>
      <c r="O474" s="2056"/>
      <c r="P474" s="1969"/>
      <c r="Q474" s="1953"/>
      <c r="R474" s="1954"/>
      <c r="S474" s="1954"/>
      <c r="T474" s="1969"/>
      <c r="U474" s="2060"/>
      <c r="Z474" s="1956"/>
      <c r="AA474" s="1956"/>
      <c r="AF474" s="1836"/>
      <c r="AG474" s="1836"/>
      <c r="AH474" s="1836"/>
      <c r="AI474" s="1837"/>
      <c r="AJ474" s="1960"/>
    </row>
    <row r="475" spans="1:36" ht="21.95" customHeight="1" x14ac:dyDescent="0.2">
      <c r="B475" s="2045"/>
      <c r="C475" s="2046"/>
      <c r="D475" s="2047" t="str">
        <f>SNI!$E$394</f>
        <v xml:space="preserve">Pekerja </v>
      </c>
      <c r="E475" s="2047"/>
      <c r="F475" s="2048"/>
      <c r="G475" s="2049">
        <f>SNI!$H$394</f>
        <v>1.65</v>
      </c>
      <c r="H475" s="2050" t="str">
        <f>SNI!$G$394</f>
        <v>OH</v>
      </c>
      <c r="I475" s="2051" t="str">
        <f>SNI!$M$394</f>
        <v>WNI</v>
      </c>
      <c r="J475" s="2051"/>
      <c r="K475" s="2052">
        <f>SNI!$L$394</f>
        <v>1</v>
      </c>
      <c r="L475" s="2053"/>
      <c r="M475" s="2054"/>
      <c r="N475" s="2055">
        <f>SNI!$I$394</f>
        <v>88300</v>
      </c>
      <c r="O475" s="2056"/>
      <c r="P475" s="1969">
        <f t="shared" ref="P475:P478" si="321">N475*G475</f>
        <v>145695</v>
      </c>
      <c r="Q475" s="1953"/>
      <c r="R475" s="1954"/>
      <c r="S475" s="1954">
        <f t="shared" ref="S475:S478" si="322">P475*K475</f>
        <v>145695</v>
      </c>
      <c r="T475" s="1969">
        <f t="shared" ref="T475:T478" si="323">P475-S475</f>
        <v>0</v>
      </c>
      <c r="U475" s="2060"/>
      <c r="Z475" s="1956"/>
      <c r="AA475" s="1956"/>
      <c r="AF475" s="1836"/>
      <c r="AG475" s="1836"/>
      <c r="AH475" s="1836"/>
      <c r="AI475" s="1837"/>
      <c r="AJ475" s="1960"/>
    </row>
    <row r="476" spans="1:36" ht="21.95" customHeight="1" x14ac:dyDescent="0.2">
      <c r="B476" s="2045"/>
      <c r="C476" s="2046"/>
      <c r="D476" s="2047" t="str">
        <f>SNI!$E$395</f>
        <v>Tukang Batu</v>
      </c>
      <c r="E476" s="2047"/>
      <c r="F476" s="2048"/>
      <c r="G476" s="2049">
        <f>SNI!$H$395</f>
        <v>0.27500000000000002</v>
      </c>
      <c r="H476" s="2050" t="str">
        <f>SNI!$G$395</f>
        <v>OH</v>
      </c>
      <c r="I476" s="2051" t="str">
        <f>SNI!$M$395</f>
        <v>WNI</v>
      </c>
      <c r="J476" s="2051"/>
      <c r="K476" s="2052">
        <f>SNI!$L$395</f>
        <v>1</v>
      </c>
      <c r="L476" s="2053"/>
      <c r="M476" s="2054"/>
      <c r="N476" s="2055">
        <f>SNI!$I$395</f>
        <v>90000</v>
      </c>
      <c r="O476" s="2056"/>
      <c r="P476" s="1969">
        <f t="shared" si="321"/>
        <v>24750.000000000004</v>
      </c>
      <c r="Q476" s="1953"/>
      <c r="R476" s="1954"/>
      <c r="S476" s="1954">
        <f t="shared" si="322"/>
        <v>24750.000000000004</v>
      </c>
      <c r="T476" s="1969">
        <f t="shared" si="323"/>
        <v>0</v>
      </c>
      <c r="U476" s="2060"/>
      <c r="Z476" s="1956"/>
      <c r="AA476" s="1956"/>
      <c r="AF476" s="1836"/>
      <c r="AG476" s="1836"/>
      <c r="AH476" s="1836"/>
      <c r="AI476" s="1837"/>
      <c r="AJ476" s="1960"/>
    </row>
    <row r="477" spans="1:36" ht="21.95" customHeight="1" x14ac:dyDescent="0.2">
      <c r="B477" s="2045"/>
      <c r="C477" s="2046"/>
      <c r="D477" s="2047" t="str">
        <f>SNI!$E$396</f>
        <v>Kepala Tukang</v>
      </c>
      <c r="E477" s="2047"/>
      <c r="F477" s="2048"/>
      <c r="G477" s="2049">
        <f>SNI!$H$396</f>
        <v>2.8000000000000001E-2</v>
      </c>
      <c r="H477" s="2050" t="str">
        <f>SNI!$G$396</f>
        <v>OH</v>
      </c>
      <c r="I477" s="2051" t="str">
        <f>SNI!$M$396</f>
        <v>WNI</v>
      </c>
      <c r="J477" s="2051"/>
      <c r="K477" s="2052">
        <f>SNI!$L$396</f>
        <v>1</v>
      </c>
      <c r="L477" s="2053"/>
      <c r="M477" s="2054"/>
      <c r="N477" s="2055">
        <f>SNI!$I$396</f>
        <v>96000</v>
      </c>
      <c r="O477" s="2056"/>
      <c r="P477" s="1969">
        <f t="shared" si="321"/>
        <v>2688</v>
      </c>
      <c r="Q477" s="1953"/>
      <c r="R477" s="1954"/>
      <c r="S477" s="1954">
        <f t="shared" si="322"/>
        <v>2688</v>
      </c>
      <c r="T477" s="1969">
        <f t="shared" si="323"/>
        <v>0</v>
      </c>
      <c r="U477" s="2060"/>
      <c r="Z477" s="1956"/>
      <c r="AA477" s="1956"/>
      <c r="AF477" s="1836"/>
      <c r="AG477" s="1836"/>
      <c r="AH477" s="1836"/>
      <c r="AI477" s="1837"/>
      <c r="AJ477" s="1960"/>
    </row>
    <row r="478" spans="1:36" ht="21.95" customHeight="1" x14ac:dyDescent="0.2">
      <c r="B478" s="2045"/>
      <c r="C478" s="2046"/>
      <c r="D478" s="2047" t="str">
        <f>SNI!$E$397</f>
        <v>Mandor</v>
      </c>
      <c r="E478" s="2047"/>
      <c r="F478" s="2048"/>
      <c r="G478" s="2049">
        <f>SNI!$H$397</f>
        <v>8.3000000000000004E-2</v>
      </c>
      <c r="H478" s="2050" t="str">
        <f>SNI!$G$397</f>
        <v>OH</v>
      </c>
      <c r="I478" s="2051" t="str">
        <f>SNI!$M$397</f>
        <v>WNI</v>
      </c>
      <c r="J478" s="2051"/>
      <c r="K478" s="2052">
        <f>SNI!$L$397</f>
        <v>1</v>
      </c>
      <c r="L478" s="2053"/>
      <c r="M478" s="2054"/>
      <c r="N478" s="2055">
        <f>SNI!$I$397</f>
        <v>90000</v>
      </c>
      <c r="O478" s="2056"/>
      <c r="P478" s="1969">
        <f t="shared" si="321"/>
        <v>7470</v>
      </c>
      <c r="Q478" s="1953"/>
      <c r="R478" s="1954"/>
      <c r="S478" s="1954">
        <f t="shared" si="322"/>
        <v>7470</v>
      </c>
      <c r="T478" s="1969">
        <f t="shared" si="323"/>
        <v>0</v>
      </c>
      <c r="U478" s="2060"/>
      <c r="Z478" s="1956"/>
      <c r="AA478" s="1956"/>
      <c r="AF478" s="1836"/>
      <c r="AG478" s="1836"/>
      <c r="AH478" s="1836"/>
      <c r="AI478" s="1837"/>
      <c r="AJ478" s="1960"/>
    </row>
    <row r="479" spans="1:36" s="1957" customFormat="1" ht="21.95" customHeight="1" x14ac:dyDescent="0.2">
      <c r="A479" s="1942"/>
      <c r="B479" s="1970"/>
      <c r="C479" s="1971"/>
      <c r="D479" s="1972"/>
      <c r="E479" s="1973"/>
      <c r="F479" s="1974" t="s">
        <v>556</v>
      </c>
      <c r="G479" s="1975">
        <f>B468</f>
        <v>28</v>
      </c>
      <c r="H479" s="1976"/>
      <c r="I479" s="1977"/>
      <c r="J479" s="1977"/>
      <c r="K479" s="1978"/>
      <c r="L479" s="1979"/>
      <c r="M479" s="1980"/>
      <c r="N479" s="1981"/>
      <c r="O479" s="1982"/>
      <c r="P479" s="1983">
        <f>SUM(P470:P478)</f>
        <v>987392.28571428568</v>
      </c>
      <c r="Q479" s="1984"/>
      <c r="R479" s="1985"/>
      <c r="S479" s="1983">
        <f>SUM(S470:S478)</f>
        <v>918917.40571428579</v>
      </c>
      <c r="T479" s="1983">
        <f>SUM(T470:T478)</f>
        <v>68474.880000000005</v>
      </c>
      <c r="U479" s="1986"/>
      <c r="V479" s="1848"/>
      <c r="W479" s="1848"/>
      <c r="X479" s="1848"/>
      <c r="Y479" s="1848"/>
      <c r="Z479" s="1956"/>
      <c r="AA479" s="1956"/>
      <c r="AF479" s="1958"/>
      <c r="AG479" s="1958"/>
      <c r="AH479" s="1958"/>
      <c r="AI479" s="1959"/>
      <c r="AJ479" s="1960"/>
    </row>
    <row r="480" spans="1:36" ht="21.95" customHeight="1" x14ac:dyDescent="0.2">
      <c r="A480" s="1833">
        <f>satpek!$B$41</f>
        <v>22</v>
      </c>
      <c r="B480" s="1943">
        <f t="shared" ref="B480" si="324">B468+1</f>
        <v>29</v>
      </c>
      <c r="C480" s="1937"/>
      <c r="D480" s="1944" t="str">
        <f>VLOOKUP($A480,satpek!$B$20:$N$144,2,0)</f>
        <v>Pembesian 1 kg dengan besi polos atau besi ulir</v>
      </c>
      <c r="E480" s="1944"/>
      <c r="F480" s="2004"/>
      <c r="G480" s="1945">
        <f>'[3]B.VOL RAB'!Q132</f>
        <v>11.632337419335084</v>
      </c>
      <c r="H480" s="1946" t="str">
        <f>VLOOKUP($A480,satpek!$B$20:$N$144,7,0)</f>
        <v>kg</v>
      </c>
      <c r="I480" s="1947"/>
      <c r="J480" s="1947"/>
      <c r="K480" s="1948"/>
      <c r="L480" s="1949"/>
      <c r="M480" s="1950" t="str">
        <f>VLOOKUP($A480,satpek!$B$20:$N$144,5,0)</f>
        <v>A.4.1.1.17.</v>
      </c>
      <c r="N480" s="1951">
        <f>VLOOKUP($A480,satpek!$B$20:$N$144,6,0)</f>
        <v>15603.94</v>
      </c>
      <c r="O480" s="1938"/>
      <c r="P480" s="1952">
        <f t="shared" si="317"/>
        <v>181510.3</v>
      </c>
      <c r="Q480" s="1953">
        <f>VLOOKUP($A480,satpek!$B$20:$L$138,8,0)</f>
        <v>0.46415793062521393</v>
      </c>
      <c r="R480" s="1954">
        <f>VLOOKUP($A480,satpek!$B$20:$L$138,9,0)</f>
        <v>7242.692500000001</v>
      </c>
      <c r="S480" s="1954">
        <f>VLOOKUP($A480,satpek!$B$20:$L$138,10,0)</f>
        <v>8184.2425250000015</v>
      </c>
      <c r="T480" s="1952">
        <f>S480*G480</f>
        <v>95201.870572470973</v>
      </c>
      <c r="U480" s="1955"/>
      <c r="X480" s="1848">
        <f>P489</f>
        <v>13808.800000000001</v>
      </c>
      <c r="Y480" s="1848">
        <f>S489</f>
        <v>7242.6925000000001</v>
      </c>
      <c r="Z480" s="1956">
        <v>11.632337419335084</v>
      </c>
      <c r="AA480" s="1956">
        <f>Z480-G480</f>
        <v>0</v>
      </c>
      <c r="AB480" s="1836" t="s">
        <v>420</v>
      </c>
      <c r="AF480" s="1836"/>
      <c r="AG480" s="1836"/>
      <c r="AH480" s="1836"/>
      <c r="AI480" s="1837">
        <v>15438.06</v>
      </c>
      <c r="AJ480" s="1960">
        <f>AI480-N480</f>
        <v>-165.88000000000102</v>
      </c>
    </row>
    <row r="481" spans="1:36" ht="21.95" customHeight="1" x14ac:dyDescent="0.2">
      <c r="B481" s="2045"/>
      <c r="C481" s="2046" t="str">
        <f>SNI!$D$410</f>
        <v>Bahan</v>
      </c>
      <c r="D481" s="2047"/>
      <c r="E481" s="2047"/>
      <c r="F481" s="2048"/>
      <c r="G481" s="2049"/>
      <c r="H481" s="2050"/>
      <c r="I481" s="2051"/>
      <c r="J481" s="2051"/>
      <c r="K481" s="2052"/>
      <c r="L481" s="2053"/>
      <c r="M481" s="2054"/>
      <c r="N481" s="2055"/>
      <c r="O481" s="2056"/>
      <c r="P481" s="2057"/>
      <c r="Q481" s="2058"/>
      <c r="R481" s="2059"/>
      <c r="S481" s="2059"/>
      <c r="T481" s="2057"/>
      <c r="U481" s="2060"/>
      <c r="Z481" s="1956"/>
      <c r="AA481" s="1956"/>
      <c r="AF481" s="1836"/>
      <c r="AG481" s="1836"/>
      <c r="AH481" s="1836"/>
      <c r="AI481" s="1837"/>
      <c r="AJ481" s="1960"/>
    </row>
    <row r="482" spans="1:36" ht="21.95" customHeight="1" x14ac:dyDescent="0.2">
      <c r="B482" s="2045"/>
      <c r="C482" s="2046"/>
      <c r="D482" s="2047" t="str">
        <f>SNI!$E$410</f>
        <v>Besi Beton ( polos/ulir )</v>
      </c>
      <c r="E482" s="2047"/>
      <c r="F482" s="2048"/>
      <c r="G482" s="2049">
        <f>SNI!$H$410/10</f>
        <v>1.05</v>
      </c>
      <c r="H482" s="2050" t="str">
        <f>SNI!$G$410</f>
        <v>kg</v>
      </c>
      <c r="I482" s="2051"/>
      <c r="J482" s="2051"/>
      <c r="K482" s="2052">
        <f>SNI!$L$410</f>
        <v>0.4879</v>
      </c>
      <c r="L482" s="2053"/>
      <c r="M482" s="2054"/>
      <c r="N482" s="2055">
        <f>SNI!$I$410</f>
        <v>11500</v>
      </c>
      <c r="O482" s="2056"/>
      <c r="P482" s="1969">
        <f t="shared" ref="P482:P483" si="325">N482*G482</f>
        <v>12075</v>
      </c>
      <c r="Q482" s="1953"/>
      <c r="R482" s="1954"/>
      <c r="S482" s="1954">
        <f t="shared" ref="S482:S483" si="326">P482*K482</f>
        <v>5891.3924999999999</v>
      </c>
      <c r="T482" s="1969">
        <f t="shared" ref="T482:T483" si="327">P482-S482</f>
        <v>6183.6075000000001</v>
      </c>
      <c r="U482" s="2060"/>
      <c r="Z482" s="1956"/>
      <c r="AA482" s="1956"/>
      <c r="AF482" s="1836"/>
      <c r="AG482" s="1836"/>
      <c r="AH482" s="1836"/>
      <c r="AI482" s="1837"/>
      <c r="AJ482" s="1960"/>
    </row>
    <row r="483" spans="1:36" ht="21.95" customHeight="1" x14ac:dyDescent="0.2">
      <c r="B483" s="2045"/>
      <c r="C483" s="2046"/>
      <c r="D483" s="2047" t="str">
        <f>SNI!$E$411</f>
        <v>Kawat Beton</v>
      </c>
      <c r="E483" s="2047"/>
      <c r="F483" s="2048"/>
      <c r="G483" s="2049">
        <f>SNI!$H$411/10</f>
        <v>1.4999999999999999E-2</v>
      </c>
      <c r="H483" s="2050">
        <f>SNI!G675</f>
        <v>0</v>
      </c>
      <c r="I483" s="2051"/>
      <c r="J483" s="2051"/>
      <c r="K483" s="2052">
        <f>SNI!$L$411</f>
        <v>0</v>
      </c>
      <c r="L483" s="2053"/>
      <c r="M483" s="2054"/>
      <c r="N483" s="2055">
        <f>SNI!$I$411</f>
        <v>25500</v>
      </c>
      <c r="O483" s="2056"/>
      <c r="P483" s="1969">
        <f t="shared" si="325"/>
        <v>382.5</v>
      </c>
      <c r="Q483" s="1953"/>
      <c r="R483" s="1954"/>
      <c r="S483" s="1954">
        <f t="shared" si="326"/>
        <v>0</v>
      </c>
      <c r="T483" s="1969">
        <f t="shared" si="327"/>
        <v>382.5</v>
      </c>
      <c r="U483" s="2060"/>
      <c r="Z483" s="1956"/>
      <c r="AA483" s="1956"/>
      <c r="AF483" s="1836"/>
      <c r="AG483" s="1836"/>
      <c r="AH483" s="1836"/>
      <c r="AI483" s="1837"/>
      <c r="AJ483" s="1960"/>
    </row>
    <row r="484" spans="1:36" ht="21.95" customHeight="1" x14ac:dyDescent="0.2">
      <c r="B484" s="2045"/>
      <c r="C484" s="2046" t="str">
        <f>SNI!$D$413</f>
        <v>Tenaga Kerja</v>
      </c>
      <c r="D484" s="2047"/>
      <c r="E484" s="2047"/>
      <c r="F484" s="2048"/>
      <c r="G484" s="2049"/>
      <c r="H484" s="2050"/>
      <c r="I484" s="2051"/>
      <c r="J484" s="2051"/>
      <c r="K484" s="2052"/>
      <c r="L484" s="2053"/>
      <c r="M484" s="2054"/>
      <c r="N484" s="2055"/>
      <c r="O484" s="2056"/>
      <c r="P484" s="1969"/>
      <c r="Q484" s="1953"/>
      <c r="R484" s="1954"/>
      <c r="S484" s="1954"/>
      <c r="T484" s="1969"/>
      <c r="U484" s="2060"/>
      <c r="Z484" s="1956"/>
      <c r="AA484" s="1956"/>
      <c r="AF484" s="1836"/>
      <c r="AG484" s="1836"/>
      <c r="AH484" s="1836"/>
      <c r="AI484" s="1837"/>
      <c r="AJ484" s="1960"/>
    </row>
    <row r="485" spans="1:36" ht="21.95" customHeight="1" x14ac:dyDescent="0.2">
      <c r="B485" s="2045"/>
      <c r="C485" s="2046"/>
      <c r="D485" s="2047" t="str">
        <f>SNI!$E$413</f>
        <v xml:space="preserve">Pekerja </v>
      </c>
      <c r="E485" s="2047"/>
      <c r="F485" s="2048"/>
      <c r="G485" s="2049">
        <f>SNI!$H$413/10</f>
        <v>7.000000000000001E-3</v>
      </c>
      <c r="H485" s="2050" t="str">
        <f>SNI!$G$413</f>
        <v>OH</v>
      </c>
      <c r="I485" s="2051" t="str">
        <f>SNI!$M$413</f>
        <v>WNI</v>
      </c>
      <c r="J485" s="2051"/>
      <c r="K485" s="2052">
        <f>SNI!$L$413</f>
        <v>1</v>
      </c>
      <c r="L485" s="2053"/>
      <c r="M485" s="2054"/>
      <c r="N485" s="2055">
        <f>SNI!$I$413</f>
        <v>88300</v>
      </c>
      <c r="O485" s="2056"/>
      <c r="P485" s="1969">
        <f t="shared" ref="P485:P488" si="328">N485*G485</f>
        <v>618.10000000000014</v>
      </c>
      <c r="Q485" s="1953"/>
      <c r="R485" s="1954"/>
      <c r="S485" s="1954">
        <f t="shared" ref="S485:S488" si="329">P485*K485</f>
        <v>618.10000000000014</v>
      </c>
      <c r="T485" s="1969">
        <f t="shared" ref="T485:T488" si="330">P485-S485</f>
        <v>0</v>
      </c>
      <c r="U485" s="2060"/>
      <c r="Z485" s="1956"/>
      <c r="AA485" s="1956"/>
      <c r="AF485" s="1836"/>
      <c r="AG485" s="1836"/>
      <c r="AH485" s="1836"/>
      <c r="AI485" s="1837"/>
      <c r="AJ485" s="1960"/>
    </row>
    <row r="486" spans="1:36" ht="21.95" customHeight="1" x14ac:dyDescent="0.2">
      <c r="B486" s="2045"/>
      <c r="C486" s="2046"/>
      <c r="D486" s="2047" t="str">
        <f>SNI!$E$414</f>
        <v>Tukang Besi</v>
      </c>
      <c r="E486" s="2047"/>
      <c r="F486" s="2048"/>
      <c r="G486" s="2049">
        <f>SNI!$H$414/10</f>
        <v>7.000000000000001E-3</v>
      </c>
      <c r="H486" s="2050" t="str">
        <f>SNI!$G$414</f>
        <v>OH</v>
      </c>
      <c r="I486" s="2051" t="str">
        <f>SNI!$M$414</f>
        <v>WNI</v>
      </c>
      <c r="J486" s="2051"/>
      <c r="K486" s="2052">
        <f>SNI!$L$414</f>
        <v>1</v>
      </c>
      <c r="L486" s="2053"/>
      <c r="M486" s="2054"/>
      <c r="N486" s="2055">
        <f>SNI!$I$414</f>
        <v>90000</v>
      </c>
      <c r="O486" s="2056"/>
      <c r="P486" s="1969">
        <f t="shared" si="328"/>
        <v>630.00000000000011</v>
      </c>
      <c r="Q486" s="1953"/>
      <c r="R486" s="1954"/>
      <c r="S486" s="1954">
        <f t="shared" si="329"/>
        <v>630.00000000000011</v>
      </c>
      <c r="T486" s="1969">
        <f t="shared" si="330"/>
        <v>0</v>
      </c>
      <c r="U486" s="2060"/>
      <c r="Z486" s="1956"/>
      <c r="AA486" s="1956"/>
      <c r="AF486" s="1836"/>
      <c r="AG486" s="1836"/>
      <c r="AH486" s="1836"/>
      <c r="AI486" s="1837"/>
      <c r="AJ486" s="1960"/>
    </row>
    <row r="487" spans="1:36" ht="21.95" customHeight="1" x14ac:dyDescent="0.2">
      <c r="B487" s="2045"/>
      <c r="C487" s="2046"/>
      <c r="D487" s="2047" t="str">
        <f>SNI!$E$415</f>
        <v>Kepala Tukang</v>
      </c>
      <c r="E487" s="2047"/>
      <c r="F487" s="2048"/>
      <c r="G487" s="2049">
        <f>SNI!$H$415/10</f>
        <v>6.9999999999999999E-4</v>
      </c>
      <c r="H487" s="2050" t="str">
        <f>SNI!$G$415</f>
        <v>OH</v>
      </c>
      <c r="I487" s="2051" t="str">
        <f>SNI!$M$415</f>
        <v>WNI</v>
      </c>
      <c r="J487" s="2051"/>
      <c r="K487" s="2052">
        <f>SNI!$L$415</f>
        <v>1</v>
      </c>
      <c r="L487" s="2053"/>
      <c r="M487" s="2054"/>
      <c r="N487" s="2055">
        <f>SNI!$I$415</f>
        <v>96000</v>
      </c>
      <c r="O487" s="2056"/>
      <c r="P487" s="1969">
        <f t="shared" si="328"/>
        <v>67.2</v>
      </c>
      <c r="Q487" s="1953"/>
      <c r="R487" s="1954"/>
      <c r="S487" s="1954">
        <f t="shared" si="329"/>
        <v>67.2</v>
      </c>
      <c r="T487" s="1969">
        <f t="shared" si="330"/>
        <v>0</v>
      </c>
      <c r="U487" s="2060"/>
      <c r="Z487" s="1956"/>
      <c r="AA487" s="1956"/>
      <c r="AF487" s="1836"/>
      <c r="AG487" s="1836"/>
      <c r="AH487" s="1836"/>
      <c r="AI487" s="1837"/>
      <c r="AJ487" s="1960"/>
    </row>
    <row r="488" spans="1:36" ht="21.95" customHeight="1" x14ac:dyDescent="0.2">
      <c r="B488" s="2045"/>
      <c r="C488" s="2046"/>
      <c r="D488" s="2047" t="str">
        <f>SNI!$E$416</f>
        <v>Mandor</v>
      </c>
      <c r="E488" s="2047"/>
      <c r="F488" s="2048"/>
      <c r="G488" s="2049">
        <f>SNI!$H$416/10</f>
        <v>4.0000000000000002E-4</v>
      </c>
      <c r="H488" s="2050" t="str">
        <f>SNI!$G$416</f>
        <v>OH</v>
      </c>
      <c r="I488" s="2051" t="str">
        <f>SNI!$M$416</f>
        <v>WNI</v>
      </c>
      <c r="J488" s="2051"/>
      <c r="K488" s="2052">
        <f>SNI!$L$416</f>
        <v>1</v>
      </c>
      <c r="L488" s="2053"/>
      <c r="M488" s="2054"/>
      <c r="N488" s="2055">
        <f>SNI!$I$416</f>
        <v>90000</v>
      </c>
      <c r="O488" s="2056"/>
      <c r="P488" s="1969">
        <f t="shared" si="328"/>
        <v>36</v>
      </c>
      <c r="Q488" s="1953"/>
      <c r="R488" s="1954"/>
      <c r="S488" s="1954">
        <f t="shared" si="329"/>
        <v>36</v>
      </c>
      <c r="T488" s="1969">
        <f t="shared" si="330"/>
        <v>0</v>
      </c>
      <c r="U488" s="2060"/>
      <c r="Z488" s="1956"/>
      <c r="AA488" s="1956"/>
      <c r="AF488" s="1836"/>
      <c r="AG488" s="1836"/>
      <c r="AH488" s="1836"/>
      <c r="AI488" s="1837"/>
      <c r="AJ488" s="1960"/>
    </row>
    <row r="489" spans="1:36" s="1957" customFormat="1" ht="21.95" customHeight="1" x14ac:dyDescent="0.2">
      <c r="A489" s="1942"/>
      <c r="B489" s="1970"/>
      <c r="C489" s="1971"/>
      <c r="D489" s="1972"/>
      <c r="E489" s="1973"/>
      <c r="F489" s="1974" t="s">
        <v>556</v>
      </c>
      <c r="G489" s="1975">
        <f>B480</f>
        <v>29</v>
      </c>
      <c r="H489" s="1976"/>
      <c r="I489" s="1977"/>
      <c r="J489" s="1977"/>
      <c r="K489" s="1978"/>
      <c r="L489" s="1979"/>
      <c r="M489" s="1980"/>
      <c r="N489" s="1981"/>
      <c r="O489" s="1982"/>
      <c r="P489" s="1983">
        <f>SUM(P482:P488)</f>
        <v>13808.800000000001</v>
      </c>
      <c r="Q489" s="1984"/>
      <c r="R489" s="1985"/>
      <c r="S489" s="1983">
        <f t="shared" ref="S489" si="331">SUM(S482:S488)</f>
        <v>7242.6925000000001</v>
      </c>
      <c r="T489" s="1983">
        <f t="shared" ref="T489" si="332">SUM(T482:T488)</f>
        <v>6566.1075000000001</v>
      </c>
      <c r="U489" s="1986"/>
      <c r="V489" s="1848"/>
      <c r="W489" s="1848"/>
      <c r="X489" s="1848"/>
      <c r="Y489" s="1848"/>
      <c r="Z489" s="1956"/>
      <c r="AA489" s="1956"/>
      <c r="AF489" s="1958"/>
      <c r="AG489" s="1958"/>
      <c r="AH489" s="1958"/>
      <c r="AI489" s="1959"/>
      <c r="AJ489" s="1960"/>
    </row>
    <row r="490" spans="1:36" ht="21.95" customHeight="1" x14ac:dyDescent="0.2">
      <c r="A490" s="1833">
        <f>satpek!B46</f>
        <v>27</v>
      </c>
      <c r="B490" s="1943">
        <f>B480+1</f>
        <v>30</v>
      </c>
      <c r="C490" s="1937"/>
      <c r="D490" s="1944" t="s">
        <v>1785</v>
      </c>
      <c r="E490" s="1944"/>
      <c r="F490" s="2004"/>
      <c r="G490" s="1945">
        <f>'[3]B.VOL RAB'!Q134</f>
        <v>2.048</v>
      </c>
      <c r="H490" s="1946" t="str">
        <f>VLOOKUP($A490,satpek!$B$20:$N$144,7,0)</f>
        <v>m2</v>
      </c>
      <c r="I490" s="1947"/>
      <c r="J490" s="1947"/>
      <c r="K490" s="1948"/>
      <c r="L490" s="1949"/>
      <c r="M490" s="1950" t="str">
        <f>VLOOKUP($A490,satpek!$B$20:$N$144,5,0)</f>
        <v>A.4.1.1.24</v>
      </c>
      <c r="N490" s="1951">
        <f>VLOOKUP($A490,satpek!$B$20:$N$144,6,0)*0.25</f>
        <v>60725.07</v>
      </c>
      <c r="O490" s="1938"/>
      <c r="P490" s="1952">
        <f t="shared" si="317"/>
        <v>124364.94</v>
      </c>
      <c r="Q490" s="1953">
        <f>VLOOKUP($A490,satpek!$B$20:$L$138,8,0)</f>
        <v>0.76655687675617334</v>
      </c>
      <c r="R490" s="1954">
        <f>VLOOKUP($A490,satpek!$B$20:$L$138,9,0)</f>
        <v>164776</v>
      </c>
      <c r="S490" s="1954">
        <f>VLOOKUP($A490,satpek!$B$20:$L$138,10,0)</f>
        <v>186196.88</v>
      </c>
      <c r="T490" s="1952">
        <f>S490*G490</f>
        <v>381331.21024000004</v>
      </c>
      <c r="U490" s="1955"/>
      <c r="X490" s="1848">
        <f>P504</f>
        <v>214956</v>
      </c>
      <c r="Y490" s="1848">
        <f>S504</f>
        <v>164776</v>
      </c>
      <c r="Z490" s="1956">
        <v>2.048</v>
      </c>
      <c r="AA490" s="1956">
        <f>Z490-G490</f>
        <v>0</v>
      </c>
      <c r="AB490" s="1836" t="s">
        <v>1785</v>
      </c>
      <c r="AF490" s="1836"/>
      <c r="AG490" s="1836"/>
      <c r="AH490" s="1836"/>
      <c r="AI490" s="1837">
        <v>59938.45</v>
      </c>
      <c r="AJ490" s="1960">
        <f>AI490-N490</f>
        <v>-786.62000000000262</v>
      </c>
    </row>
    <row r="491" spans="1:36" ht="21.95" customHeight="1" x14ac:dyDescent="0.2">
      <c r="B491" s="2045"/>
      <c r="C491" s="2046" t="str">
        <f>SNI!D522</f>
        <v>Bahan</v>
      </c>
      <c r="D491" s="1989"/>
      <c r="E491" s="2047"/>
      <c r="F491" s="2048"/>
      <c r="G491" s="2049"/>
      <c r="H491" s="2050"/>
      <c r="I491" s="2051"/>
      <c r="J491" s="2051"/>
      <c r="K491" s="2052"/>
      <c r="L491" s="2053"/>
      <c r="M491" s="2054"/>
      <c r="N491" s="2055"/>
      <c r="O491" s="2056"/>
      <c r="P491" s="2057"/>
      <c r="Q491" s="2058"/>
      <c r="R491" s="2059"/>
      <c r="S491" s="2059"/>
      <c r="T491" s="2055"/>
      <c r="U491" s="2060"/>
      <c r="Z491" s="1956"/>
      <c r="AA491" s="1956"/>
      <c r="AF491" s="1836"/>
      <c r="AG491" s="1836"/>
      <c r="AH491" s="1836"/>
      <c r="AI491" s="1837"/>
      <c r="AJ491" s="1960"/>
    </row>
    <row r="492" spans="1:36" ht="21.95" customHeight="1" x14ac:dyDescent="0.2">
      <c r="B492" s="2045"/>
      <c r="C492" s="2046"/>
      <c r="D492" s="1989" t="str">
        <f>SNI!E522</f>
        <v>Kayu kelas III</v>
      </c>
      <c r="E492" s="2047"/>
      <c r="F492" s="2048"/>
      <c r="G492" s="2049">
        <f>SNI!H522</f>
        <v>0.02</v>
      </c>
      <c r="H492" s="2050" t="str">
        <f>SNI!G522</f>
        <v>m3</v>
      </c>
      <c r="I492" s="2051"/>
      <c r="J492" s="2051"/>
      <c r="K492" s="2052">
        <f>SNI!L522</f>
        <v>1</v>
      </c>
      <c r="L492" s="2053"/>
      <c r="M492" s="2054"/>
      <c r="N492" s="2055">
        <f>SNI!I522</f>
        <v>1100000</v>
      </c>
      <c r="O492" s="2056"/>
      <c r="P492" s="1969">
        <f t="shared" ref="P492" si="333">N492*G492</f>
        <v>22000</v>
      </c>
      <c r="Q492" s="1953"/>
      <c r="R492" s="1954"/>
      <c r="S492" s="1954">
        <f t="shared" ref="S492" si="334">P492*K492</f>
        <v>22000</v>
      </c>
      <c r="T492" s="1969">
        <f t="shared" ref="T492" si="335">P492-S492</f>
        <v>0</v>
      </c>
      <c r="U492" s="2060"/>
      <c r="Z492" s="1956"/>
      <c r="AA492" s="1956"/>
      <c r="AF492" s="1836"/>
      <c r="AG492" s="1836"/>
      <c r="AH492" s="1836"/>
      <c r="AI492" s="1837"/>
      <c r="AJ492" s="1960"/>
    </row>
    <row r="493" spans="1:36" ht="21.95" customHeight="1" x14ac:dyDescent="0.2">
      <c r="B493" s="2045"/>
      <c r="C493" s="2046"/>
      <c r="D493" s="1989" t="str">
        <f>SNI!E523</f>
        <v>Paku 5 cm - 12 cm</v>
      </c>
      <c r="E493" s="2047"/>
      <c r="F493" s="2048"/>
      <c r="G493" s="2049">
        <f>SNI!H523</f>
        <v>0.4</v>
      </c>
      <c r="H493" s="2050" t="str">
        <f>SNI!G523</f>
        <v>kg</v>
      </c>
      <c r="I493" s="2051"/>
      <c r="J493" s="2051"/>
      <c r="K493" s="2052">
        <f>SNI!L523</f>
        <v>0</v>
      </c>
      <c r="L493" s="2053"/>
      <c r="M493" s="2054"/>
      <c r="N493" s="2055">
        <f>SNI!I523</f>
        <v>17000</v>
      </c>
      <c r="O493" s="2056"/>
      <c r="P493" s="1969">
        <f t="shared" ref="P493:P503" si="336">N493*G493</f>
        <v>6800</v>
      </c>
      <c r="Q493" s="1953"/>
      <c r="R493" s="1954"/>
      <c r="S493" s="1954">
        <f t="shared" ref="S493:S503" si="337">P493*K493</f>
        <v>0</v>
      </c>
      <c r="T493" s="1969">
        <f t="shared" ref="T493:T503" si="338">P493-S493</f>
        <v>6800</v>
      </c>
      <c r="U493" s="2060"/>
      <c r="Z493" s="1956"/>
      <c r="AA493" s="1956"/>
      <c r="AF493" s="1836"/>
      <c r="AG493" s="1836"/>
      <c r="AH493" s="1836"/>
      <c r="AI493" s="1837"/>
      <c r="AJ493" s="1960"/>
    </row>
    <row r="494" spans="1:36" ht="21.95" customHeight="1" x14ac:dyDescent="0.2">
      <c r="B494" s="2045"/>
      <c r="C494" s="2046"/>
      <c r="D494" s="1989" t="str">
        <f>SNI!E524</f>
        <v>Minyak Bekisting</v>
      </c>
      <c r="E494" s="2047"/>
      <c r="F494" s="2048"/>
      <c r="G494" s="2049">
        <f>SNI!H524</f>
        <v>0.2</v>
      </c>
      <c r="H494" s="2050" t="str">
        <f>SNI!G524</f>
        <v>ltr</v>
      </c>
      <c r="I494" s="2051"/>
      <c r="J494" s="2051"/>
      <c r="K494" s="2052">
        <f>SNI!L524</f>
        <v>0</v>
      </c>
      <c r="L494" s="2053"/>
      <c r="M494" s="2054"/>
      <c r="N494" s="2055">
        <f>SNI!I524</f>
        <v>6900</v>
      </c>
      <c r="O494" s="2056"/>
      <c r="P494" s="1969">
        <f t="shared" si="336"/>
        <v>1380</v>
      </c>
      <c r="Q494" s="1953"/>
      <c r="R494" s="1954"/>
      <c r="S494" s="1954">
        <f t="shared" si="337"/>
        <v>0</v>
      </c>
      <c r="T494" s="1969">
        <f t="shared" si="338"/>
        <v>1380</v>
      </c>
      <c r="U494" s="2060"/>
      <c r="Z494" s="1956"/>
      <c r="AA494" s="1956"/>
      <c r="AF494" s="1836"/>
      <c r="AG494" s="1836"/>
      <c r="AH494" s="1836"/>
      <c r="AI494" s="1837"/>
      <c r="AJ494" s="1960"/>
    </row>
    <row r="495" spans="1:36" ht="21.95" customHeight="1" x14ac:dyDescent="0.2">
      <c r="B495" s="2045"/>
      <c r="C495" s="2046"/>
      <c r="D495" s="1989" t="str">
        <f>SNI!E525</f>
        <v>Balok kayu kelas II</v>
      </c>
      <c r="E495" s="2047"/>
      <c r="F495" s="2048"/>
      <c r="G495" s="2049">
        <f>SNI!H525</f>
        <v>7.4999999999999997E-3</v>
      </c>
      <c r="H495" s="2050" t="str">
        <f>SNI!G525</f>
        <v>m3</v>
      </c>
      <c r="I495" s="2051"/>
      <c r="J495" s="2051"/>
      <c r="K495" s="2052">
        <f>SNI!L525</f>
        <v>1</v>
      </c>
      <c r="L495" s="2053"/>
      <c r="M495" s="2054"/>
      <c r="N495" s="2055">
        <f>SNI!I525</f>
        <v>1600000</v>
      </c>
      <c r="O495" s="2056"/>
      <c r="P495" s="1969">
        <f t="shared" si="336"/>
        <v>12000</v>
      </c>
      <c r="Q495" s="1953"/>
      <c r="R495" s="1954"/>
      <c r="S495" s="1954">
        <f t="shared" si="337"/>
        <v>12000</v>
      </c>
      <c r="T495" s="1969">
        <f t="shared" si="338"/>
        <v>0</v>
      </c>
      <c r="U495" s="2060"/>
      <c r="Z495" s="1956"/>
      <c r="AA495" s="1956"/>
      <c r="AF495" s="1836"/>
      <c r="AG495" s="1836"/>
      <c r="AH495" s="1836"/>
      <c r="AI495" s="1837"/>
      <c r="AJ495" s="1960"/>
    </row>
    <row r="496" spans="1:36" ht="21.95" customHeight="1" x14ac:dyDescent="0.2">
      <c r="B496" s="2045"/>
      <c r="C496" s="2046"/>
      <c r="D496" s="1989" t="str">
        <f>SNI!E526</f>
        <v>Plywood tebal 9 mm</v>
      </c>
      <c r="E496" s="2047"/>
      <c r="F496" s="2048"/>
      <c r="G496" s="2049">
        <f>SNI!H526</f>
        <v>0.35</v>
      </c>
      <c r="H496" s="2050" t="str">
        <f>SNI!G526</f>
        <v>lbr</v>
      </c>
      <c r="I496" s="2051"/>
      <c r="J496" s="2051"/>
      <c r="K496" s="2052">
        <f>SNI!L526</f>
        <v>0</v>
      </c>
      <c r="L496" s="2053"/>
      <c r="M496" s="2054"/>
      <c r="N496" s="2055">
        <f>SNI!I526</f>
        <v>120000</v>
      </c>
      <c r="O496" s="2056"/>
      <c r="P496" s="1969">
        <f t="shared" si="336"/>
        <v>42000</v>
      </c>
      <c r="Q496" s="1953"/>
      <c r="R496" s="1954"/>
      <c r="S496" s="1954">
        <f t="shared" si="337"/>
        <v>0</v>
      </c>
      <c r="T496" s="1969">
        <f t="shared" si="338"/>
        <v>42000</v>
      </c>
      <c r="U496" s="2060"/>
      <c r="Z496" s="1956"/>
      <c r="AA496" s="1956"/>
      <c r="AF496" s="1836"/>
      <c r="AG496" s="1836"/>
      <c r="AH496" s="1836"/>
      <c r="AI496" s="1837"/>
      <c r="AJ496" s="1960"/>
    </row>
    <row r="497" spans="1:36" ht="21.95" customHeight="1" x14ac:dyDescent="0.2">
      <c r="B497" s="2045"/>
      <c r="C497" s="2046"/>
      <c r="D497" s="1989" t="str">
        <f>SNI!E527</f>
        <v>Dolken kayu galam,</v>
      </c>
      <c r="E497" s="2047"/>
      <c r="F497" s="2048"/>
      <c r="G497" s="2049">
        <f>SNI!H527</f>
        <v>3</v>
      </c>
      <c r="H497" s="2050" t="str">
        <f>SNI!G527</f>
        <v>btg</v>
      </c>
      <c r="I497" s="2051"/>
      <c r="J497" s="2051"/>
      <c r="K497" s="2052">
        <f>SNI!L527</f>
        <v>1</v>
      </c>
      <c r="L497" s="2053"/>
      <c r="M497" s="2054"/>
      <c r="N497" s="2055">
        <f>SNI!I527</f>
        <v>12000</v>
      </c>
      <c r="O497" s="2056"/>
      <c r="P497" s="1969">
        <f t="shared" si="336"/>
        <v>36000</v>
      </c>
      <c r="Q497" s="1953"/>
      <c r="R497" s="1954"/>
      <c r="S497" s="1954">
        <f t="shared" si="337"/>
        <v>36000</v>
      </c>
      <c r="T497" s="1969">
        <f t="shared" si="338"/>
        <v>0</v>
      </c>
      <c r="U497" s="2060"/>
      <c r="Z497" s="1956"/>
      <c r="AA497" s="1956"/>
      <c r="AF497" s="1836"/>
      <c r="AG497" s="1836"/>
      <c r="AH497" s="1836"/>
      <c r="AI497" s="1837"/>
      <c r="AJ497" s="1960"/>
    </row>
    <row r="498" spans="1:36" ht="21.95" customHeight="1" x14ac:dyDescent="0.2">
      <c r="B498" s="2045"/>
      <c r="C498" s="2046"/>
      <c r="D498" s="1989" t="str">
        <f>SNI!E528</f>
        <v>Ø (8 - 10) cm, panj 4 m</v>
      </c>
      <c r="E498" s="2047"/>
      <c r="F498" s="2048"/>
      <c r="G498" s="2049"/>
      <c r="H498" s="2050"/>
      <c r="I498" s="2051"/>
      <c r="J498" s="2051"/>
      <c r="K498" s="2052"/>
      <c r="L498" s="2053"/>
      <c r="M498" s="2054"/>
      <c r="N498" s="2055"/>
      <c r="O498" s="2056"/>
      <c r="P498" s="1969"/>
      <c r="Q498" s="1953"/>
      <c r="R498" s="1954"/>
      <c r="S498" s="1954"/>
      <c r="T498" s="1969"/>
      <c r="U498" s="2060"/>
      <c r="Z498" s="1956"/>
      <c r="AA498" s="1956"/>
      <c r="AF498" s="1836"/>
      <c r="AG498" s="1836"/>
      <c r="AH498" s="1836"/>
      <c r="AI498" s="1837"/>
      <c r="AJ498" s="1960"/>
    </row>
    <row r="499" spans="1:36" ht="21.95" customHeight="1" x14ac:dyDescent="0.2">
      <c r="B499" s="2045"/>
      <c r="C499" s="2046" t="str">
        <f>SNI!D530</f>
        <v>Tenaga Kerja</v>
      </c>
      <c r="D499" s="1989"/>
      <c r="E499" s="2047"/>
      <c r="F499" s="2048"/>
      <c r="G499" s="2049"/>
      <c r="H499" s="2050"/>
      <c r="I499" s="2051"/>
      <c r="J499" s="2051"/>
      <c r="K499" s="2052"/>
      <c r="L499" s="2053"/>
      <c r="M499" s="2054"/>
      <c r="N499" s="2055"/>
      <c r="O499" s="2056"/>
      <c r="P499" s="1969"/>
      <c r="Q499" s="1953"/>
      <c r="R499" s="1954"/>
      <c r="S499" s="1954"/>
      <c r="T499" s="1969"/>
      <c r="U499" s="2060"/>
      <c r="Z499" s="1956"/>
      <c r="AA499" s="1956"/>
      <c r="AF499" s="1836"/>
      <c r="AG499" s="1836"/>
      <c r="AH499" s="1836"/>
      <c r="AI499" s="1837"/>
      <c r="AJ499" s="1960"/>
    </row>
    <row r="500" spans="1:36" ht="21.95" customHeight="1" x14ac:dyDescent="0.2">
      <c r="B500" s="2045"/>
      <c r="C500" s="2046"/>
      <c r="D500" s="1989" t="str">
        <f>SNI!E530</f>
        <v xml:space="preserve">Pekerja </v>
      </c>
      <c r="E500" s="2047"/>
      <c r="F500" s="2048"/>
      <c r="G500" s="2049">
        <f>SNI!H530</f>
        <v>0.66</v>
      </c>
      <c r="H500" s="2050" t="str">
        <f>SNI!G530</f>
        <v>OH</v>
      </c>
      <c r="I500" s="2051" t="str">
        <f>SNI!M530</f>
        <v>WNI</v>
      </c>
      <c r="J500" s="2051"/>
      <c r="K500" s="2052">
        <f>SNI!L530</f>
        <v>1</v>
      </c>
      <c r="L500" s="2053"/>
      <c r="M500" s="2054"/>
      <c r="N500" s="2055">
        <f>SNI!I530</f>
        <v>88300</v>
      </c>
      <c r="O500" s="2056"/>
      <c r="P500" s="1969">
        <f t="shared" si="336"/>
        <v>58278</v>
      </c>
      <c r="Q500" s="1953"/>
      <c r="R500" s="1954"/>
      <c r="S500" s="1954">
        <f t="shared" si="337"/>
        <v>58278</v>
      </c>
      <c r="T500" s="1969">
        <f t="shared" si="338"/>
        <v>0</v>
      </c>
      <c r="U500" s="2060"/>
      <c r="Z500" s="1956"/>
      <c r="AA500" s="1956"/>
      <c r="AF500" s="1836"/>
      <c r="AG500" s="1836"/>
      <c r="AH500" s="1836"/>
      <c r="AI500" s="1837"/>
      <c r="AJ500" s="1960"/>
    </row>
    <row r="501" spans="1:36" ht="21.95" customHeight="1" x14ac:dyDescent="0.2">
      <c r="B501" s="2045"/>
      <c r="C501" s="2046"/>
      <c r="D501" s="1989" t="str">
        <f>SNI!E531</f>
        <v>Tukang Kayu</v>
      </c>
      <c r="E501" s="2047"/>
      <c r="F501" s="2048"/>
      <c r="G501" s="2049">
        <f>SNI!H531</f>
        <v>0.33</v>
      </c>
      <c r="H501" s="2050" t="str">
        <f>SNI!G531</f>
        <v>OH</v>
      </c>
      <c r="I501" s="2051" t="str">
        <f>SNI!M531</f>
        <v>WNI</v>
      </c>
      <c r="J501" s="2051"/>
      <c r="K501" s="2052">
        <f>SNI!L531</f>
        <v>1</v>
      </c>
      <c r="L501" s="2053"/>
      <c r="M501" s="2054"/>
      <c r="N501" s="2055">
        <f>SNI!I531</f>
        <v>92000</v>
      </c>
      <c r="O501" s="2056"/>
      <c r="P501" s="1969">
        <f t="shared" si="336"/>
        <v>30360</v>
      </c>
      <c r="Q501" s="1953"/>
      <c r="R501" s="1954"/>
      <c r="S501" s="1954">
        <f t="shared" si="337"/>
        <v>30360</v>
      </c>
      <c r="T501" s="1969">
        <f t="shared" si="338"/>
        <v>0</v>
      </c>
      <c r="U501" s="2060"/>
      <c r="Z501" s="1956"/>
      <c r="AA501" s="1956"/>
      <c r="AF501" s="1836"/>
      <c r="AG501" s="1836"/>
      <c r="AH501" s="1836"/>
      <c r="AI501" s="1837"/>
      <c r="AJ501" s="1960"/>
    </row>
    <row r="502" spans="1:36" ht="21.95" customHeight="1" x14ac:dyDescent="0.2">
      <c r="B502" s="2045"/>
      <c r="C502" s="2046"/>
      <c r="D502" s="1989" t="str">
        <f>SNI!E532</f>
        <v>Kepala Tukang</v>
      </c>
      <c r="E502" s="2047"/>
      <c r="F502" s="2048"/>
      <c r="G502" s="2049">
        <f>SNI!H532</f>
        <v>3.3000000000000002E-2</v>
      </c>
      <c r="H502" s="2050" t="str">
        <f>SNI!G532</f>
        <v>OH</v>
      </c>
      <c r="I502" s="2051" t="str">
        <f>SNI!M532</f>
        <v>WNI</v>
      </c>
      <c r="J502" s="2051"/>
      <c r="K502" s="2052">
        <f>SNI!L532</f>
        <v>1</v>
      </c>
      <c r="L502" s="2053"/>
      <c r="M502" s="2054"/>
      <c r="N502" s="2055">
        <f>SNI!I532</f>
        <v>96000</v>
      </c>
      <c r="O502" s="2056"/>
      <c r="P502" s="1969">
        <f t="shared" si="336"/>
        <v>3168</v>
      </c>
      <c r="Q502" s="1953"/>
      <c r="R502" s="1954"/>
      <c r="S502" s="1954">
        <f t="shared" si="337"/>
        <v>3168</v>
      </c>
      <c r="T502" s="1969">
        <f t="shared" si="338"/>
        <v>0</v>
      </c>
      <c r="U502" s="2060"/>
      <c r="Z502" s="1956"/>
      <c r="AA502" s="1956"/>
      <c r="AF502" s="1836"/>
      <c r="AG502" s="1836"/>
      <c r="AH502" s="1836"/>
      <c r="AI502" s="1837"/>
      <c r="AJ502" s="1960"/>
    </row>
    <row r="503" spans="1:36" ht="21.95" customHeight="1" x14ac:dyDescent="0.2">
      <c r="B503" s="2045"/>
      <c r="C503" s="2046"/>
      <c r="D503" s="1989" t="str">
        <f>SNI!E533</f>
        <v>Mandor</v>
      </c>
      <c r="E503" s="2047"/>
      <c r="F503" s="2048"/>
      <c r="G503" s="2049">
        <f>SNI!H533</f>
        <v>3.3000000000000002E-2</v>
      </c>
      <c r="H503" s="2050" t="str">
        <f>SNI!G533</f>
        <v>OH</v>
      </c>
      <c r="I503" s="2051" t="str">
        <f>SNI!M533</f>
        <v>WNI</v>
      </c>
      <c r="J503" s="2051"/>
      <c r="K503" s="2052">
        <f>SNI!L533</f>
        <v>1</v>
      </c>
      <c r="L503" s="2053"/>
      <c r="M503" s="2054"/>
      <c r="N503" s="2055">
        <f>SNI!I533</f>
        <v>90000</v>
      </c>
      <c r="O503" s="2056"/>
      <c r="P503" s="1969">
        <f t="shared" si="336"/>
        <v>2970</v>
      </c>
      <c r="Q503" s="1953"/>
      <c r="R503" s="1954"/>
      <c r="S503" s="1954">
        <f t="shared" si="337"/>
        <v>2970</v>
      </c>
      <c r="T503" s="1969">
        <f t="shared" si="338"/>
        <v>0</v>
      </c>
      <c r="U503" s="2060"/>
      <c r="Z503" s="1956"/>
      <c r="AA503" s="1956"/>
      <c r="AF503" s="1836"/>
      <c r="AG503" s="1836"/>
      <c r="AH503" s="1836"/>
      <c r="AI503" s="1837"/>
      <c r="AJ503" s="1960"/>
    </row>
    <row r="504" spans="1:36" s="1957" customFormat="1" ht="21.95" customHeight="1" x14ac:dyDescent="0.2">
      <c r="A504" s="1942"/>
      <c r="B504" s="1970"/>
      <c r="C504" s="1971"/>
      <c r="D504" s="1972"/>
      <c r="E504" s="1973"/>
      <c r="F504" s="1974" t="s">
        <v>556</v>
      </c>
      <c r="G504" s="1975">
        <f>B490</f>
        <v>30</v>
      </c>
      <c r="H504" s="1976"/>
      <c r="I504" s="1977"/>
      <c r="J504" s="1977"/>
      <c r="K504" s="1978"/>
      <c r="L504" s="1979"/>
      <c r="M504" s="1980"/>
      <c r="N504" s="1981"/>
      <c r="O504" s="1982"/>
      <c r="P504" s="1983">
        <f>SUM(P492:P503)</f>
        <v>214956</v>
      </c>
      <c r="Q504" s="1984"/>
      <c r="R504" s="1985"/>
      <c r="S504" s="1983">
        <f t="shared" ref="S504:T504" si="339">SUM(S492:S503)</f>
        <v>164776</v>
      </c>
      <c r="T504" s="1983">
        <f t="shared" si="339"/>
        <v>50180</v>
      </c>
      <c r="U504" s="1986"/>
      <c r="V504" s="1848"/>
      <c r="W504" s="1848"/>
      <c r="X504" s="1848"/>
      <c r="Y504" s="1848"/>
      <c r="Z504" s="1956"/>
      <c r="AA504" s="1956"/>
      <c r="AF504" s="1958"/>
      <c r="AG504" s="1958"/>
      <c r="AH504" s="1958"/>
      <c r="AI504" s="1959"/>
      <c r="AJ504" s="1960"/>
    </row>
    <row r="505" spans="1:36" ht="21.95" customHeight="1" x14ac:dyDescent="0.2">
      <c r="B505" s="1943"/>
      <c r="C505" s="1937"/>
      <c r="D505" s="2034" t="s">
        <v>1786</v>
      </c>
      <c r="E505" s="1944"/>
      <c r="F505" s="2004"/>
      <c r="G505" s="1945"/>
      <c r="H505" s="2093"/>
      <c r="I505" s="2094"/>
      <c r="J505" s="2094"/>
      <c r="K505" s="1935"/>
      <c r="L505" s="1950"/>
      <c r="M505" s="1950"/>
      <c r="N505" s="1951"/>
      <c r="O505" s="2095"/>
      <c r="P505" s="1952"/>
      <c r="Q505" s="2094"/>
      <c r="R505" s="2094"/>
      <c r="S505" s="2094"/>
      <c r="T505" s="2096"/>
      <c r="U505" s="2097"/>
      <c r="Z505" s="1956"/>
      <c r="AA505" s="1956">
        <f>Z505-G505</f>
        <v>0</v>
      </c>
      <c r="AB505" s="1836" t="s">
        <v>1786</v>
      </c>
      <c r="AF505" s="1836"/>
      <c r="AG505" s="1836"/>
      <c r="AH505" s="1836"/>
      <c r="AI505" s="1837"/>
      <c r="AJ505" s="1960">
        <f>AI505-N505</f>
        <v>0</v>
      </c>
    </row>
    <row r="506" spans="1:36" ht="21.95" customHeight="1" x14ac:dyDescent="0.2">
      <c r="B506" s="2102"/>
      <c r="C506" s="2103"/>
      <c r="D506" s="2081" t="s">
        <v>1787</v>
      </c>
      <c r="E506" s="1930"/>
      <c r="F506" s="1931"/>
      <c r="G506" s="1945"/>
      <c r="H506" s="1933"/>
      <c r="I506" s="1934"/>
      <c r="J506" s="1934"/>
      <c r="K506" s="1935"/>
      <c r="L506" s="1936"/>
      <c r="M506" s="1936"/>
      <c r="N506" s="1951"/>
      <c r="O506" s="2066"/>
      <c r="P506" s="2067"/>
      <c r="Q506" s="1934"/>
      <c r="R506" s="1934"/>
      <c r="S506" s="1934"/>
      <c r="T506" s="1940"/>
      <c r="U506" s="1941"/>
      <c r="Z506" s="1956"/>
      <c r="AA506" s="1956">
        <f>Z506-G506</f>
        <v>0</v>
      </c>
      <c r="AB506" s="1836" t="s">
        <v>1787</v>
      </c>
      <c r="AF506" s="1836"/>
      <c r="AG506" s="1836"/>
      <c r="AH506" s="1836"/>
      <c r="AI506" s="1837"/>
      <c r="AJ506" s="1960">
        <f>AI506-N506</f>
        <v>0</v>
      </c>
    </row>
    <row r="507" spans="1:36" ht="21.95" customHeight="1" x14ac:dyDescent="0.2">
      <c r="B507" s="2102"/>
      <c r="C507" s="2103"/>
      <c r="D507" s="2081" t="s">
        <v>2001</v>
      </c>
      <c r="E507" s="1930"/>
      <c r="F507" s="1931"/>
      <c r="G507" s="1945"/>
      <c r="H507" s="1933"/>
      <c r="I507" s="1934"/>
      <c r="J507" s="1934"/>
      <c r="K507" s="1935"/>
      <c r="L507" s="1936"/>
      <c r="M507" s="1936"/>
      <c r="N507" s="1951"/>
      <c r="O507" s="2066"/>
      <c r="P507" s="2067"/>
      <c r="Q507" s="1934"/>
      <c r="R507" s="1934"/>
      <c r="S507" s="1934"/>
      <c r="T507" s="1940"/>
      <c r="U507" s="1941"/>
      <c r="Z507" s="1956"/>
      <c r="AA507" s="1956">
        <f>Z507-G507</f>
        <v>0</v>
      </c>
      <c r="AB507" s="1836" t="s">
        <v>1788</v>
      </c>
      <c r="AF507" s="1836"/>
      <c r="AG507" s="1836"/>
      <c r="AH507" s="1836"/>
      <c r="AI507" s="1837"/>
      <c r="AJ507" s="1960">
        <f>AI507-N507</f>
        <v>0</v>
      </c>
    </row>
    <row r="508" spans="1:36" ht="21.95" customHeight="1" x14ac:dyDescent="0.2">
      <c r="A508" s="1833">
        <f>satpek!$B$40</f>
        <v>21</v>
      </c>
      <c r="B508" s="1943">
        <v>1</v>
      </c>
      <c r="C508" s="1937"/>
      <c r="D508" s="1944" t="str">
        <f>VLOOKUP($A508,satpek!$B$20:$N$144,2,0)</f>
        <v>Membuat beton mutu f'c = 21,7 Mpa - K 250</v>
      </c>
      <c r="E508" s="1944"/>
      <c r="F508" s="2004"/>
      <c r="G508" s="1945">
        <f>'[3]B.VOL RAB'!Q140</f>
        <v>35.824499999999993</v>
      </c>
      <c r="H508" s="1946" t="str">
        <f>VLOOKUP($A508,satpek!$B$20:$N$144,7,0)</f>
        <v>m3</v>
      </c>
      <c r="I508" s="1947"/>
      <c r="J508" s="1947"/>
      <c r="K508" s="1948"/>
      <c r="L508" s="1949"/>
      <c r="M508" s="1950" t="str">
        <f>VLOOKUP($A508,satpek!$B$20:$N$144,5,0)</f>
        <v>A.4.1.1.8.</v>
      </c>
      <c r="N508" s="1951">
        <f>VLOOKUP($A508,satpek!$B$20:$N$144,6,0)</f>
        <v>1115753.29</v>
      </c>
      <c r="O508" s="1938"/>
      <c r="P508" s="1952">
        <f t="shared" ref="P508:P530" si="340">ROUND((G508*N508),2)</f>
        <v>39971303.740000002</v>
      </c>
      <c r="Q508" s="1953">
        <f>VLOOKUP($A508,satpek!$B$20:$L$138,8,0)</f>
        <v>0.93065078521121514</v>
      </c>
      <c r="R508" s="1954">
        <f>VLOOKUP($A508,satpek!$B$20:$L$138,9,0)</f>
        <v>918917.40999999992</v>
      </c>
      <c r="S508" s="1954">
        <f>VLOOKUP($A508,satpek!$B$20:$L$138,10,0)</f>
        <v>1038376.6732999999</v>
      </c>
      <c r="T508" s="1952">
        <f>S508*G508</f>
        <v>37199325.132635839</v>
      </c>
      <c r="U508" s="1955"/>
      <c r="X508" s="1848">
        <f>P519</f>
        <v>987392.28571428568</v>
      </c>
      <c r="Y508" s="1848">
        <f>S519</f>
        <v>918917.40571428579</v>
      </c>
      <c r="Z508" s="1956">
        <v>35.824499999999993</v>
      </c>
      <c r="AA508" s="1956">
        <f>Z508-G508</f>
        <v>0</v>
      </c>
      <c r="AB508" s="1836" t="s">
        <v>1905</v>
      </c>
      <c r="AF508" s="1836"/>
      <c r="AG508" s="1836"/>
      <c r="AH508" s="1836"/>
      <c r="AI508" s="1837">
        <v>1191397.42</v>
      </c>
      <c r="AJ508" s="1960">
        <f>AI508-N508</f>
        <v>75644.129999999888</v>
      </c>
    </row>
    <row r="509" spans="1:36" ht="21.95" customHeight="1" x14ac:dyDescent="0.2">
      <c r="B509" s="2045"/>
      <c r="C509" s="2046" t="str">
        <f>SNI!$D$389</f>
        <v>Bahan</v>
      </c>
      <c r="D509" s="2047"/>
      <c r="E509" s="2047"/>
      <c r="F509" s="2048"/>
      <c r="G509" s="2049"/>
      <c r="H509" s="2050"/>
      <c r="I509" s="2051"/>
      <c r="J509" s="2051"/>
      <c r="K509" s="2052"/>
      <c r="L509" s="2053"/>
      <c r="M509" s="2054"/>
      <c r="N509" s="2055"/>
      <c r="O509" s="2056"/>
      <c r="P509" s="2057"/>
      <c r="Q509" s="2058"/>
      <c r="R509" s="2059"/>
      <c r="S509" s="2059"/>
      <c r="T509" s="2057"/>
      <c r="U509" s="2060"/>
      <c r="Z509" s="1956"/>
      <c r="AA509" s="1956"/>
      <c r="AF509" s="1836"/>
      <c r="AG509" s="1836"/>
      <c r="AH509" s="1836"/>
      <c r="AI509" s="1837"/>
      <c r="AJ509" s="1960"/>
    </row>
    <row r="510" spans="1:36" ht="21.95" customHeight="1" x14ac:dyDescent="0.2">
      <c r="B510" s="2045"/>
      <c r="C510" s="2046"/>
      <c r="D510" s="2047" t="str">
        <f>SNI!$E$389</f>
        <v>PC</v>
      </c>
      <c r="E510" s="2047"/>
      <c r="F510" s="2048"/>
      <c r="G510" s="2049">
        <f>SNI!$H$389</f>
        <v>384</v>
      </c>
      <c r="H510" s="2050" t="str">
        <f>SNI!$G$389</f>
        <v>kg</v>
      </c>
      <c r="I510" s="2051"/>
      <c r="J510" s="2051"/>
      <c r="K510" s="2052">
        <f>SNI!$L$389</f>
        <v>0.85140000000000005</v>
      </c>
      <c r="L510" s="2053"/>
      <c r="M510" s="2054"/>
      <c r="N510" s="2055">
        <f>SNI!$I$389</f>
        <v>1200</v>
      </c>
      <c r="O510" s="2056"/>
      <c r="P510" s="1969">
        <f t="shared" ref="P510:P513" si="341">N510*G510</f>
        <v>460800</v>
      </c>
      <c r="Q510" s="1953"/>
      <c r="R510" s="1954"/>
      <c r="S510" s="1954">
        <f t="shared" ref="S510:S513" si="342">P510*K510</f>
        <v>392325.12</v>
      </c>
      <c r="T510" s="1969">
        <f t="shared" ref="T510:T513" si="343">P510-S510</f>
        <v>68474.880000000005</v>
      </c>
      <c r="U510" s="2060"/>
      <c r="Z510" s="1956"/>
      <c r="AA510" s="1956"/>
      <c r="AF510" s="1836"/>
      <c r="AG510" s="1836"/>
      <c r="AH510" s="1836"/>
      <c r="AI510" s="1837"/>
      <c r="AJ510" s="1960"/>
    </row>
    <row r="511" spans="1:36" ht="21.95" customHeight="1" x14ac:dyDescent="0.2">
      <c r="B511" s="2045"/>
      <c r="C511" s="2046"/>
      <c r="D511" s="2047" t="str">
        <f>SNI!$E$390</f>
        <v>Pasir Beton</v>
      </c>
      <c r="E511" s="2047"/>
      <c r="F511" s="2048"/>
      <c r="G511" s="2049">
        <f>SNI!$H$390</f>
        <v>692</v>
      </c>
      <c r="H511" s="2050" t="str">
        <f>SNI!$G$390</f>
        <v>kg</v>
      </c>
      <c r="I511" s="2051"/>
      <c r="J511" s="2051"/>
      <c r="K511" s="2052">
        <f>SNI!$L$390</f>
        <v>1</v>
      </c>
      <c r="L511" s="2053"/>
      <c r="M511" s="2054"/>
      <c r="N511" s="2055">
        <f>SNI!$I$390</f>
        <v>185.71428571428572</v>
      </c>
      <c r="O511" s="2056"/>
      <c r="P511" s="1969">
        <f t="shared" si="341"/>
        <v>128514.28571428572</v>
      </c>
      <c r="Q511" s="1953"/>
      <c r="R511" s="1954"/>
      <c r="S511" s="1954">
        <f t="shared" si="342"/>
        <v>128514.28571428572</v>
      </c>
      <c r="T511" s="1969">
        <f t="shared" si="343"/>
        <v>0</v>
      </c>
      <c r="U511" s="2060"/>
      <c r="Z511" s="1956"/>
      <c r="AA511" s="1956"/>
      <c r="AF511" s="1836"/>
      <c r="AG511" s="1836"/>
      <c r="AH511" s="1836"/>
      <c r="AI511" s="1837"/>
      <c r="AJ511" s="1960"/>
    </row>
    <row r="512" spans="1:36" ht="21.95" customHeight="1" x14ac:dyDescent="0.2">
      <c r="B512" s="2045"/>
      <c r="C512" s="2046"/>
      <c r="D512" s="2047" t="str">
        <f>SNI!$E$391</f>
        <v>Kerikil ( maks 30 mm )</v>
      </c>
      <c r="E512" s="2047"/>
      <c r="F512" s="2048"/>
      <c r="G512" s="2049">
        <f>SNI!$H$391</f>
        <v>1039</v>
      </c>
      <c r="H512" s="2050" t="str">
        <f>SNI!$G$391</f>
        <v>kg</v>
      </c>
      <c r="I512" s="2051"/>
      <c r="J512" s="2051"/>
      <c r="K512" s="2052">
        <f>SNI!$L$391</f>
        <v>1</v>
      </c>
      <c r="L512" s="2053"/>
      <c r="M512" s="2054"/>
      <c r="N512" s="2055">
        <f>SNI!$I$391</f>
        <v>200</v>
      </c>
      <c r="O512" s="2056"/>
      <c r="P512" s="1969">
        <f t="shared" si="341"/>
        <v>207800</v>
      </c>
      <c r="Q512" s="1953"/>
      <c r="R512" s="1954"/>
      <c r="S512" s="1954">
        <f t="shared" si="342"/>
        <v>207800</v>
      </c>
      <c r="T512" s="1969">
        <f t="shared" si="343"/>
        <v>0</v>
      </c>
      <c r="U512" s="2060"/>
      <c r="Z512" s="1956"/>
      <c r="AA512" s="1956"/>
      <c r="AF512" s="1836"/>
      <c r="AG512" s="1836"/>
      <c r="AH512" s="1836"/>
      <c r="AI512" s="1837"/>
      <c r="AJ512" s="1960"/>
    </row>
    <row r="513" spans="1:36" ht="21.95" customHeight="1" x14ac:dyDescent="0.2">
      <c r="B513" s="2045"/>
      <c r="C513" s="2046"/>
      <c r="D513" s="2047" t="str">
        <f>SNI!$E$392</f>
        <v>Air</v>
      </c>
      <c r="E513" s="2047"/>
      <c r="F513" s="2048"/>
      <c r="G513" s="2049">
        <f>SNI!$H$392</f>
        <v>215</v>
      </c>
      <c r="H513" s="2050" t="str">
        <f>SNI!$G$392</f>
        <v>ltr</v>
      </c>
      <c r="I513" s="2051"/>
      <c r="J513" s="2051"/>
      <c r="K513" s="2052">
        <f>SNI!$L$392</f>
        <v>1</v>
      </c>
      <c r="L513" s="2053"/>
      <c r="M513" s="2054"/>
      <c r="N513" s="2055">
        <f>SNI!$I$392</f>
        <v>45</v>
      </c>
      <c r="O513" s="2056"/>
      <c r="P513" s="1969">
        <f t="shared" si="341"/>
        <v>9675</v>
      </c>
      <c r="Q513" s="1953"/>
      <c r="R513" s="1954"/>
      <c r="S513" s="1954">
        <f t="shared" si="342"/>
        <v>9675</v>
      </c>
      <c r="T513" s="1969">
        <f t="shared" si="343"/>
        <v>0</v>
      </c>
      <c r="U513" s="2060"/>
      <c r="Z513" s="1956"/>
      <c r="AA513" s="1956"/>
      <c r="AF513" s="1836"/>
      <c r="AG513" s="1836"/>
      <c r="AH513" s="1836"/>
      <c r="AI513" s="1837"/>
      <c r="AJ513" s="1960"/>
    </row>
    <row r="514" spans="1:36" ht="21.95" customHeight="1" x14ac:dyDescent="0.2">
      <c r="B514" s="2045"/>
      <c r="C514" s="2046" t="str">
        <f>SNI!$D$394</f>
        <v>Tenaga Kerja</v>
      </c>
      <c r="D514" s="2047"/>
      <c r="E514" s="2047"/>
      <c r="F514" s="2048"/>
      <c r="G514" s="2049"/>
      <c r="H514" s="2050"/>
      <c r="I514" s="2051"/>
      <c r="J514" s="2051"/>
      <c r="K514" s="2052"/>
      <c r="L514" s="2053"/>
      <c r="M514" s="2054"/>
      <c r="N514" s="2055"/>
      <c r="O514" s="2056"/>
      <c r="P514" s="1969"/>
      <c r="Q514" s="1953"/>
      <c r="R514" s="1954"/>
      <c r="S514" s="1954"/>
      <c r="T514" s="1969"/>
      <c r="U514" s="2060"/>
      <c r="Z514" s="1956"/>
      <c r="AA514" s="1956"/>
      <c r="AF514" s="1836"/>
      <c r="AG514" s="1836"/>
      <c r="AH514" s="1836"/>
      <c r="AI514" s="1837"/>
      <c r="AJ514" s="1960"/>
    </row>
    <row r="515" spans="1:36" ht="21.95" customHeight="1" x14ac:dyDescent="0.2">
      <c r="B515" s="2045"/>
      <c r="C515" s="2046"/>
      <c r="D515" s="2047" t="str">
        <f>SNI!$E$394</f>
        <v xml:space="preserve">Pekerja </v>
      </c>
      <c r="E515" s="2047"/>
      <c r="F515" s="2048"/>
      <c r="G515" s="2049">
        <f>SNI!$H$394</f>
        <v>1.65</v>
      </c>
      <c r="H515" s="2050" t="str">
        <f>SNI!$G$394</f>
        <v>OH</v>
      </c>
      <c r="I515" s="2051" t="str">
        <f>SNI!$M$394</f>
        <v>WNI</v>
      </c>
      <c r="J515" s="2051"/>
      <c r="K515" s="2052">
        <f>SNI!$L$394</f>
        <v>1</v>
      </c>
      <c r="L515" s="2053"/>
      <c r="M515" s="2054"/>
      <c r="N515" s="2055">
        <f>SNI!$I$394</f>
        <v>88300</v>
      </c>
      <c r="O515" s="2056"/>
      <c r="P515" s="1969">
        <f t="shared" ref="P515:P518" si="344">N515*G515</f>
        <v>145695</v>
      </c>
      <c r="Q515" s="1953"/>
      <c r="R515" s="1954"/>
      <c r="S515" s="1954">
        <f t="shared" ref="S515:S518" si="345">P515*K515</f>
        <v>145695</v>
      </c>
      <c r="T515" s="1969">
        <f t="shared" ref="T515:T518" si="346">P515-S515</f>
        <v>0</v>
      </c>
      <c r="U515" s="2060"/>
      <c r="Z515" s="1956"/>
      <c r="AA515" s="1956"/>
      <c r="AF515" s="1836"/>
      <c r="AG515" s="1836"/>
      <c r="AH515" s="1836"/>
      <c r="AI515" s="1837"/>
      <c r="AJ515" s="1960"/>
    </row>
    <row r="516" spans="1:36" ht="21.95" customHeight="1" x14ac:dyDescent="0.2">
      <c r="B516" s="2045"/>
      <c r="C516" s="2046"/>
      <c r="D516" s="2047" t="str">
        <f>SNI!$E$395</f>
        <v>Tukang Batu</v>
      </c>
      <c r="E516" s="2047"/>
      <c r="F516" s="2048"/>
      <c r="G516" s="2049">
        <f>SNI!$H$395</f>
        <v>0.27500000000000002</v>
      </c>
      <c r="H516" s="2050" t="str">
        <f>SNI!$G$395</f>
        <v>OH</v>
      </c>
      <c r="I516" s="2051" t="str">
        <f>SNI!$M$395</f>
        <v>WNI</v>
      </c>
      <c r="J516" s="2051"/>
      <c r="K516" s="2052">
        <f>SNI!$L$395</f>
        <v>1</v>
      </c>
      <c r="L516" s="2053"/>
      <c r="M516" s="2054"/>
      <c r="N516" s="2055">
        <f>SNI!$I$395</f>
        <v>90000</v>
      </c>
      <c r="O516" s="2056"/>
      <c r="P516" s="1969">
        <f t="shared" si="344"/>
        <v>24750.000000000004</v>
      </c>
      <c r="Q516" s="1953"/>
      <c r="R516" s="1954"/>
      <c r="S516" s="1954">
        <f t="shared" si="345"/>
        <v>24750.000000000004</v>
      </c>
      <c r="T516" s="1969">
        <f t="shared" si="346"/>
        <v>0</v>
      </c>
      <c r="U516" s="2060"/>
      <c r="Z516" s="1956"/>
      <c r="AA516" s="1956"/>
      <c r="AF516" s="1836"/>
      <c r="AG516" s="1836"/>
      <c r="AH516" s="1836"/>
      <c r="AI516" s="1837"/>
      <c r="AJ516" s="1960"/>
    </row>
    <row r="517" spans="1:36" ht="21.95" customHeight="1" x14ac:dyDescent="0.2">
      <c r="B517" s="2045"/>
      <c r="C517" s="2046"/>
      <c r="D517" s="2047" t="str">
        <f>SNI!$E$396</f>
        <v>Kepala Tukang</v>
      </c>
      <c r="E517" s="2047"/>
      <c r="F517" s="2048"/>
      <c r="G517" s="2049">
        <f>SNI!$H$396</f>
        <v>2.8000000000000001E-2</v>
      </c>
      <c r="H517" s="2050" t="str">
        <f>SNI!$G$396</f>
        <v>OH</v>
      </c>
      <c r="I517" s="2051" t="str">
        <f>SNI!$M$396</f>
        <v>WNI</v>
      </c>
      <c r="J517" s="2051"/>
      <c r="K517" s="2052">
        <f>SNI!$L$396</f>
        <v>1</v>
      </c>
      <c r="L517" s="2053"/>
      <c r="M517" s="2054"/>
      <c r="N517" s="2055">
        <f>SNI!$I$396</f>
        <v>96000</v>
      </c>
      <c r="O517" s="2056"/>
      <c r="P517" s="1969">
        <f t="shared" si="344"/>
        <v>2688</v>
      </c>
      <c r="Q517" s="1953"/>
      <c r="R517" s="1954"/>
      <c r="S517" s="1954">
        <f t="shared" si="345"/>
        <v>2688</v>
      </c>
      <c r="T517" s="1969">
        <f t="shared" si="346"/>
        <v>0</v>
      </c>
      <c r="U517" s="2060"/>
      <c r="Z517" s="1956"/>
      <c r="AA517" s="1956"/>
      <c r="AF517" s="1836"/>
      <c r="AG517" s="1836"/>
      <c r="AH517" s="1836"/>
      <c r="AI517" s="1837"/>
      <c r="AJ517" s="1960"/>
    </row>
    <row r="518" spans="1:36" ht="21.95" customHeight="1" x14ac:dyDescent="0.2">
      <c r="B518" s="2045"/>
      <c r="C518" s="2046"/>
      <c r="D518" s="2047" t="str">
        <f>SNI!$E$397</f>
        <v>Mandor</v>
      </c>
      <c r="E518" s="2047"/>
      <c r="F518" s="2048"/>
      <c r="G518" s="2049">
        <f>SNI!$H$397</f>
        <v>8.3000000000000004E-2</v>
      </c>
      <c r="H518" s="2050" t="str">
        <f>SNI!$G$397</f>
        <v>OH</v>
      </c>
      <c r="I518" s="2051" t="str">
        <f>SNI!$M$397</f>
        <v>WNI</v>
      </c>
      <c r="J518" s="2051"/>
      <c r="K518" s="2052">
        <f>SNI!$L$397</f>
        <v>1</v>
      </c>
      <c r="L518" s="2053"/>
      <c r="M518" s="2054"/>
      <c r="N518" s="2055">
        <f>SNI!$I$397</f>
        <v>90000</v>
      </c>
      <c r="O518" s="2056"/>
      <c r="P518" s="1969">
        <f t="shared" si="344"/>
        <v>7470</v>
      </c>
      <c r="Q518" s="1953"/>
      <c r="R518" s="1954"/>
      <c r="S518" s="1954">
        <f t="shared" si="345"/>
        <v>7470</v>
      </c>
      <c r="T518" s="1969">
        <f t="shared" si="346"/>
        <v>0</v>
      </c>
      <c r="U518" s="2060"/>
      <c r="Z518" s="1956"/>
      <c r="AA518" s="1956"/>
      <c r="AF518" s="1836"/>
      <c r="AG518" s="1836"/>
      <c r="AH518" s="1836"/>
      <c r="AI518" s="1837"/>
      <c r="AJ518" s="1960"/>
    </row>
    <row r="519" spans="1:36" s="1957" customFormat="1" ht="21.95" customHeight="1" x14ac:dyDescent="0.2">
      <c r="A519" s="1942"/>
      <c r="B519" s="1970"/>
      <c r="C519" s="1971"/>
      <c r="D519" s="1972"/>
      <c r="E519" s="1973"/>
      <c r="F519" s="1974" t="s">
        <v>556</v>
      </c>
      <c r="G519" s="1975">
        <f>B508</f>
        <v>1</v>
      </c>
      <c r="H519" s="1976"/>
      <c r="I519" s="1977"/>
      <c r="J519" s="1977"/>
      <c r="K519" s="1978"/>
      <c r="L519" s="1979"/>
      <c r="M519" s="1980"/>
      <c r="N519" s="1981"/>
      <c r="O519" s="1982"/>
      <c r="P519" s="1983">
        <f>SUM(P510:P518)</f>
        <v>987392.28571428568</v>
      </c>
      <c r="Q519" s="1984"/>
      <c r="R519" s="1985"/>
      <c r="S519" s="1983">
        <f>SUM(S510:S518)</f>
        <v>918917.40571428579</v>
      </c>
      <c r="T519" s="1983">
        <f>SUM(T510:T518)</f>
        <v>68474.880000000005</v>
      </c>
      <c r="U519" s="1986"/>
      <c r="V519" s="1848"/>
      <c r="W519" s="1848"/>
      <c r="X519" s="1848"/>
      <c r="Y519" s="1848"/>
      <c r="Z519" s="1956"/>
      <c r="AA519" s="1956"/>
      <c r="AF519" s="1958"/>
      <c r="AG519" s="1958"/>
      <c r="AH519" s="1958"/>
      <c r="AI519" s="1959"/>
      <c r="AJ519" s="1960"/>
    </row>
    <row r="520" spans="1:36" ht="21.95" customHeight="1" x14ac:dyDescent="0.2">
      <c r="A520" s="1833">
        <f>satpek!$B$41</f>
        <v>22</v>
      </c>
      <c r="B520" s="1943">
        <f>B508+1</f>
        <v>2</v>
      </c>
      <c r="C520" s="1937"/>
      <c r="D520" s="1944" t="str">
        <f>VLOOKUP($A520,satpek!$B$20:$N$144,2,0)</f>
        <v>Pembesian 1 kg dengan besi polos atau besi ulir</v>
      </c>
      <c r="E520" s="1944"/>
      <c r="F520" s="2004"/>
      <c r="G520" s="1945">
        <f>'[3]B.VOL RAB'!Q142</f>
        <v>9036.6563445005468</v>
      </c>
      <c r="H520" s="1946" t="str">
        <f>VLOOKUP($A520,satpek!$B$20:$N$144,7,0)</f>
        <v>kg</v>
      </c>
      <c r="I520" s="1947"/>
      <c r="J520" s="1947"/>
      <c r="K520" s="1948"/>
      <c r="L520" s="1949"/>
      <c r="M520" s="1950" t="str">
        <f>VLOOKUP($A520,satpek!$B$20:$N$144,5,0)</f>
        <v>A.4.1.1.17.</v>
      </c>
      <c r="N520" s="1951">
        <f>VLOOKUP($A520,satpek!$B$20:$N$144,6,0)</f>
        <v>15603.94</v>
      </c>
      <c r="O520" s="1938"/>
      <c r="P520" s="1952">
        <f t="shared" si="340"/>
        <v>141007443.40000001</v>
      </c>
      <c r="Q520" s="1953">
        <f>VLOOKUP($A520,satpek!$B$20:$L$138,8,0)</f>
        <v>0.46415793062521393</v>
      </c>
      <c r="R520" s="1954">
        <f>VLOOKUP($A520,satpek!$B$20:$L$138,9,0)</f>
        <v>7242.692500000001</v>
      </c>
      <c r="S520" s="1954">
        <f>VLOOKUP($A520,satpek!$B$20:$L$138,10,0)</f>
        <v>8184.2425250000015</v>
      </c>
      <c r="T520" s="1952">
        <f>S520*G520</f>
        <v>73958187.138472438</v>
      </c>
      <c r="U520" s="1955"/>
      <c r="X520" s="1848">
        <f>P529</f>
        <v>13808.800000000001</v>
      </c>
      <c r="Y520" s="1848">
        <f>S529</f>
        <v>7242.6925000000001</v>
      </c>
      <c r="Z520" s="1956">
        <v>7846.2752208014263</v>
      </c>
      <c r="AA520" s="1956">
        <f>Z520-G520</f>
        <v>-1190.3811236991205</v>
      </c>
      <c r="AB520" s="1836" t="s">
        <v>420</v>
      </c>
      <c r="AF520" s="1836"/>
      <c r="AG520" s="1836"/>
      <c r="AH520" s="1836"/>
      <c r="AI520" s="1837">
        <v>15438.06</v>
      </c>
      <c r="AJ520" s="1960">
        <f>AI520-N520</f>
        <v>-165.88000000000102</v>
      </c>
    </row>
    <row r="521" spans="1:36" ht="21.95" customHeight="1" x14ac:dyDescent="0.2">
      <c r="B521" s="2045"/>
      <c r="C521" s="2046" t="str">
        <f>SNI!$D$410</f>
        <v>Bahan</v>
      </c>
      <c r="D521" s="2047"/>
      <c r="E521" s="2047"/>
      <c r="F521" s="2048"/>
      <c r="G521" s="2049"/>
      <c r="H521" s="2050"/>
      <c r="I521" s="2051"/>
      <c r="J521" s="2051"/>
      <c r="K521" s="2052"/>
      <c r="L521" s="2053"/>
      <c r="M521" s="2054"/>
      <c r="N521" s="2055"/>
      <c r="O521" s="2056"/>
      <c r="P521" s="2057"/>
      <c r="Q521" s="2058"/>
      <c r="R521" s="2059"/>
      <c r="S521" s="2059"/>
      <c r="T521" s="2057"/>
      <c r="U521" s="2060"/>
      <c r="Z521" s="1956"/>
      <c r="AA521" s="1956"/>
      <c r="AF521" s="1836"/>
      <c r="AG521" s="1836"/>
      <c r="AH521" s="1836"/>
      <c r="AI521" s="1837"/>
      <c r="AJ521" s="1960"/>
    </row>
    <row r="522" spans="1:36" ht="21.95" customHeight="1" x14ac:dyDescent="0.2">
      <c r="B522" s="2045"/>
      <c r="C522" s="2046"/>
      <c r="D522" s="2047" t="str">
        <f>SNI!$E$410</f>
        <v>Besi Beton ( polos/ulir )</v>
      </c>
      <c r="E522" s="2047"/>
      <c r="F522" s="2048"/>
      <c r="G522" s="2049">
        <f>SNI!$H$410/10</f>
        <v>1.05</v>
      </c>
      <c r="H522" s="2050" t="str">
        <f>SNI!$G$410</f>
        <v>kg</v>
      </c>
      <c r="I522" s="2051"/>
      <c r="J522" s="2051"/>
      <c r="K522" s="2052">
        <f>SNI!$L$410</f>
        <v>0.4879</v>
      </c>
      <c r="L522" s="2053"/>
      <c r="M522" s="2054"/>
      <c r="N522" s="2055">
        <f>SNI!$I$410</f>
        <v>11500</v>
      </c>
      <c r="O522" s="2056"/>
      <c r="P522" s="1969">
        <f t="shared" ref="P522:P523" si="347">N522*G522</f>
        <v>12075</v>
      </c>
      <c r="Q522" s="1953"/>
      <c r="R522" s="1954"/>
      <c r="S522" s="1954">
        <f t="shared" ref="S522:S523" si="348">P522*K522</f>
        <v>5891.3924999999999</v>
      </c>
      <c r="T522" s="1969">
        <f t="shared" ref="T522:T523" si="349">P522-S522</f>
        <v>6183.6075000000001</v>
      </c>
      <c r="U522" s="2060"/>
      <c r="Z522" s="1956"/>
      <c r="AA522" s="1956"/>
      <c r="AF522" s="1836"/>
      <c r="AG522" s="1836"/>
      <c r="AH522" s="1836"/>
      <c r="AI522" s="1837"/>
      <c r="AJ522" s="1960"/>
    </row>
    <row r="523" spans="1:36" ht="21.95" customHeight="1" x14ac:dyDescent="0.2">
      <c r="B523" s="2045"/>
      <c r="C523" s="2046"/>
      <c r="D523" s="2047" t="str">
        <f>SNI!$E$411</f>
        <v>Kawat Beton</v>
      </c>
      <c r="E523" s="2047"/>
      <c r="F523" s="2048"/>
      <c r="G523" s="2049">
        <f>SNI!$H$411/10</f>
        <v>1.4999999999999999E-2</v>
      </c>
      <c r="H523" s="2050">
        <f>SNI!G715</f>
        <v>0</v>
      </c>
      <c r="I523" s="2051"/>
      <c r="J523" s="2051"/>
      <c r="K523" s="2052">
        <f>SNI!$L$411</f>
        <v>0</v>
      </c>
      <c r="L523" s="2053"/>
      <c r="M523" s="2054"/>
      <c r="N523" s="2055">
        <f>SNI!$I$411</f>
        <v>25500</v>
      </c>
      <c r="O523" s="2056"/>
      <c r="P523" s="1969">
        <f t="shared" si="347"/>
        <v>382.5</v>
      </c>
      <c r="Q523" s="1953"/>
      <c r="R523" s="1954"/>
      <c r="S523" s="1954">
        <f t="shared" si="348"/>
        <v>0</v>
      </c>
      <c r="T523" s="1969">
        <f t="shared" si="349"/>
        <v>382.5</v>
      </c>
      <c r="U523" s="2060"/>
      <c r="Z523" s="1956"/>
      <c r="AA523" s="1956"/>
      <c r="AF523" s="1836"/>
      <c r="AG523" s="1836"/>
      <c r="AH523" s="1836"/>
      <c r="AI523" s="1837"/>
      <c r="AJ523" s="1960"/>
    </row>
    <row r="524" spans="1:36" ht="21.95" customHeight="1" x14ac:dyDescent="0.2">
      <c r="B524" s="2045"/>
      <c r="C524" s="2046" t="str">
        <f>SNI!$D$413</f>
        <v>Tenaga Kerja</v>
      </c>
      <c r="D524" s="2047"/>
      <c r="E524" s="2047"/>
      <c r="F524" s="2048"/>
      <c r="G524" s="2049"/>
      <c r="H524" s="2050"/>
      <c r="I524" s="2051"/>
      <c r="J524" s="2051"/>
      <c r="K524" s="2052"/>
      <c r="L524" s="2053"/>
      <c r="M524" s="2054"/>
      <c r="N524" s="2055"/>
      <c r="O524" s="2056"/>
      <c r="P524" s="1969"/>
      <c r="Q524" s="1953"/>
      <c r="R524" s="1954"/>
      <c r="S524" s="1954"/>
      <c r="T524" s="1969"/>
      <c r="U524" s="2060"/>
      <c r="Z524" s="1956"/>
      <c r="AA524" s="1956"/>
      <c r="AF524" s="1836"/>
      <c r="AG524" s="1836"/>
      <c r="AH524" s="1836"/>
      <c r="AI524" s="1837"/>
      <c r="AJ524" s="1960"/>
    </row>
    <row r="525" spans="1:36" ht="21.95" customHeight="1" x14ac:dyDescent="0.2">
      <c r="B525" s="2045"/>
      <c r="C525" s="2046"/>
      <c r="D525" s="2047" t="str">
        <f>SNI!$E$413</f>
        <v xml:space="preserve">Pekerja </v>
      </c>
      <c r="E525" s="2047"/>
      <c r="F525" s="2048"/>
      <c r="G525" s="2049">
        <f>SNI!$H$413/10</f>
        <v>7.000000000000001E-3</v>
      </c>
      <c r="H525" s="2050" t="str">
        <f>SNI!$G$413</f>
        <v>OH</v>
      </c>
      <c r="I525" s="2051" t="str">
        <f>SNI!$M$413</f>
        <v>WNI</v>
      </c>
      <c r="J525" s="2051"/>
      <c r="K525" s="2052">
        <f>SNI!$L$413</f>
        <v>1</v>
      </c>
      <c r="L525" s="2053"/>
      <c r="M525" s="2054"/>
      <c r="N525" s="2055">
        <f>SNI!$I$413</f>
        <v>88300</v>
      </c>
      <c r="O525" s="2056"/>
      <c r="P525" s="1969">
        <f t="shared" ref="P525:P528" si="350">N525*G525</f>
        <v>618.10000000000014</v>
      </c>
      <c r="Q525" s="1953"/>
      <c r="R525" s="1954"/>
      <c r="S525" s="1954">
        <f t="shared" ref="S525:S528" si="351">P525*K525</f>
        <v>618.10000000000014</v>
      </c>
      <c r="T525" s="1969">
        <f t="shared" ref="T525:T528" si="352">P525-S525</f>
        <v>0</v>
      </c>
      <c r="U525" s="2060"/>
      <c r="Z525" s="1956"/>
      <c r="AA525" s="1956"/>
      <c r="AF525" s="1836"/>
      <c r="AG525" s="1836"/>
      <c r="AH525" s="1836"/>
      <c r="AI525" s="1837"/>
      <c r="AJ525" s="1960"/>
    </row>
    <row r="526" spans="1:36" ht="21.95" customHeight="1" x14ac:dyDescent="0.2">
      <c r="B526" s="2045"/>
      <c r="C526" s="2046"/>
      <c r="D526" s="2047" t="str">
        <f>SNI!$E$414</f>
        <v>Tukang Besi</v>
      </c>
      <c r="E526" s="2047"/>
      <c r="F526" s="2048"/>
      <c r="G526" s="2049">
        <f>SNI!$H$414/10</f>
        <v>7.000000000000001E-3</v>
      </c>
      <c r="H526" s="2050" t="str">
        <f>SNI!$G$414</f>
        <v>OH</v>
      </c>
      <c r="I526" s="2051" t="str">
        <f>SNI!$M$414</f>
        <v>WNI</v>
      </c>
      <c r="J526" s="2051"/>
      <c r="K526" s="2052">
        <f>SNI!$L$414</f>
        <v>1</v>
      </c>
      <c r="L526" s="2053"/>
      <c r="M526" s="2054"/>
      <c r="N526" s="2055">
        <f>SNI!$I$414</f>
        <v>90000</v>
      </c>
      <c r="O526" s="2056"/>
      <c r="P526" s="1969">
        <f t="shared" si="350"/>
        <v>630.00000000000011</v>
      </c>
      <c r="Q526" s="1953"/>
      <c r="R526" s="1954"/>
      <c r="S526" s="1954">
        <f t="shared" si="351"/>
        <v>630.00000000000011</v>
      </c>
      <c r="T526" s="1969">
        <f t="shared" si="352"/>
        <v>0</v>
      </c>
      <c r="U526" s="2060"/>
      <c r="Z526" s="1956"/>
      <c r="AA526" s="1956"/>
      <c r="AF526" s="1836"/>
      <c r="AG526" s="1836"/>
      <c r="AH526" s="1836"/>
      <c r="AI526" s="1837"/>
      <c r="AJ526" s="1960"/>
    </row>
    <row r="527" spans="1:36" ht="21.95" customHeight="1" x14ac:dyDescent="0.2">
      <c r="B527" s="2045"/>
      <c r="C527" s="2046"/>
      <c r="D527" s="2047" t="str">
        <f>SNI!$E$415</f>
        <v>Kepala Tukang</v>
      </c>
      <c r="E527" s="2047"/>
      <c r="F527" s="2048"/>
      <c r="G527" s="2049">
        <f>SNI!$H$415/10</f>
        <v>6.9999999999999999E-4</v>
      </c>
      <c r="H527" s="2050" t="str">
        <f>SNI!$G$415</f>
        <v>OH</v>
      </c>
      <c r="I527" s="2051" t="str">
        <f>SNI!$M$415</f>
        <v>WNI</v>
      </c>
      <c r="J527" s="2051"/>
      <c r="K527" s="2052">
        <f>SNI!$L$415</f>
        <v>1</v>
      </c>
      <c r="L527" s="2053"/>
      <c r="M527" s="2054"/>
      <c r="N527" s="2055">
        <f>SNI!$I$415</f>
        <v>96000</v>
      </c>
      <c r="O527" s="2056"/>
      <c r="P527" s="1969">
        <f t="shared" si="350"/>
        <v>67.2</v>
      </c>
      <c r="Q527" s="1953"/>
      <c r="R527" s="1954"/>
      <c r="S527" s="1954">
        <f t="shared" si="351"/>
        <v>67.2</v>
      </c>
      <c r="T527" s="1969">
        <f t="shared" si="352"/>
        <v>0</v>
      </c>
      <c r="U527" s="2060"/>
      <c r="Z527" s="1956"/>
      <c r="AA527" s="1956"/>
      <c r="AF527" s="1836"/>
      <c r="AG527" s="1836"/>
      <c r="AH527" s="1836"/>
      <c r="AI527" s="1837"/>
      <c r="AJ527" s="1960"/>
    </row>
    <row r="528" spans="1:36" ht="21.95" customHeight="1" x14ac:dyDescent="0.2">
      <c r="B528" s="2045"/>
      <c r="C528" s="2046"/>
      <c r="D528" s="2047" t="str">
        <f>SNI!$E$416</f>
        <v>Mandor</v>
      </c>
      <c r="E528" s="2047"/>
      <c r="F528" s="2048"/>
      <c r="G528" s="2049">
        <f>SNI!$H$416/10</f>
        <v>4.0000000000000002E-4</v>
      </c>
      <c r="H528" s="2050" t="str">
        <f>SNI!$G$416</f>
        <v>OH</v>
      </c>
      <c r="I528" s="2051" t="str">
        <f>SNI!$M$416</f>
        <v>WNI</v>
      </c>
      <c r="J528" s="2051"/>
      <c r="K528" s="2052">
        <f>SNI!$L$416</f>
        <v>1</v>
      </c>
      <c r="L528" s="2053"/>
      <c r="M528" s="2054"/>
      <c r="N528" s="2055">
        <f>SNI!$I$416</f>
        <v>90000</v>
      </c>
      <c r="O528" s="2056"/>
      <c r="P528" s="1969">
        <f t="shared" si="350"/>
        <v>36</v>
      </c>
      <c r="Q528" s="1953"/>
      <c r="R528" s="1954"/>
      <c r="S528" s="1954">
        <f t="shared" si="351"/>
        <v>36</v>
      </c>
      <c r="T528" s="1969">
        <f t="shared" si="352"/>
        <v>0</v>
      </c>
      <c r="U528" s="2060"/>
      <c r="Z528" s="1956"/>
      <c r="AA528" s="1956"/>
      <c r="AF528" s="1836"/>
      <c r="AG528" s="1836"/>
      <c r="AH528" s="1836"/>
      <c r="AI528" s="1837"/>
      <c r="AJ528" s="1960"/>
    </row>
    <row r="529" spans="1:36" s="1957" customFormat="1" ht="21.95" customHeight="1" x14ac:dyDescent="0.2">
      <c r="A529" s="1942"/>
      <c r="B529" s="1970"/>
      <c r="C529" s="1971"/>
      <c r="D529" s="1972"/>
      <c r="E529" s="1973"/>
      <c r="F529" s="1974" t="s">
        <v>556</v>
      </c>
      <c r="G529" s="1975">
        <f>B520</f>
        <v>2</v>
      </c>
      <c r="H529" s="1976"/>
      <c r="I529" s="1977"/>
      <c r="J529" s="1977"/>
      <c r="K529" s="1978"/>
      <c r="L529" s="1979"/>
      <c r="M529" s="1980"/>
      <c r="N529" s="1981"/>
      <c r="O529" s="1982"/>
      <c r="P529" s="1983">
        <f>SUM(P522:P528)</f>
        <v>13808.800000000001</v>
      </c>
      <c r="Q529" s="1984"/>
      <c r="R529" s="1985"/>
      <c r="S529" s="1983">
        <f t="shared" ref="S529" si="353">SUM(S522:S528)</f>
        <v>7242.6925000000001</v>
      </c>
      <c r="T529" s="1983">
        <f t="shared" ref="T529" si="354">SUM(T522:T528)</f>
        <v>6566.1075000000001</v>
      </c>
      <c r="U529" s="1986"/>
      <c r="V529" s="1848"/>
      <c r="W529" s="1848"/>
      <c r="X529" s="1848"/>
      <c r="Y529" s="1848"/>
      <c r="Z529" s="1956"/>
      <c r="AA529" s="1956"/>
      <c r="AF529" s="1958"/>
      <c r="AG529" s="1958"/>
      <c r="AH529" s="1958"/>
      <c r="AI529" s="1959"/>
      <c r="AJ529" s="1960"/>
    </row>
    <row r="530" spans="1:36" ht="21.95" customHeight="1" x14ac:dyDescent="0.2">
      <c r="A530" s="1833">
        <f>satpek!$B$45</f>
        <v>26</v>
      </c>
      <c r="B530" s="1943">
        <f>B520+1</f>
        <v>3</v>
      </c>
      <c r="C530" s="1937"/>
      <c r="D530" s="1944" t="str">
        <f>VLOOKUP($A530,satpek!$B$20:$N$144,2,0)</f>
        <v>Memasang bekisting untuk balok (2x pakai)</v>
      </c>
      <c r="E530" s="1944"/>
      <c r="F530" s="2004"/>
      <c r="G530" s="1945">
        <f>'[3]B.VOL RAB'!Q144</f>
        <v>471.37499999999989</v>
      </c>
      <c r="H530" s="1946" t="str">
        <f>VLOOKUP($A530,satpek!$B$20:$N$144,7,0)</f>
        <v>m2</v>
      </c>
      <c r="I530" s="1947"/>
      <c r="J530" s="1947"/>
      <c r="K530" s="1948"/>
      <c r="L530" s="1949"/>
      <c r="M530" s="1950" t="str">
        <f>VLOOKUP($A530,satpek!$B$20:$N$144,5,0)</f>
        <v>A.4.1.1.23.</v>
      </c>
      <c r="N530" s="1951">
        <f>VLOOKUP($A530,satpek!$B$20:$N$144,6,0)</f>
        <v>194762.28</v>
      </c>
      <c r="O530" s="1938"/>
      <c r="P530" s="1952">
        <f t="shared" si="340"/>
        <v>91806069.739999995</v>
      </c>
      <c r="Q530" s="1953">
        <f>VLOOKUP($A530,satpek!$B$20:$L$138,8,0)</f>
        <v>0.83069925038873027</v>
      </c>
      <c r="R530" s="1954">
        <f>VLOOKUP($A530,satpek!$B$20:$L$138,9,0)</f>
        <v>143176</v>
      </c>
      <c r="S530" s="1954">
        <f>VLOOKUP($A530,satpek!$B$20:$L$138,10,0)</f>
        <v>161788.88</v>
      </c>
      <c r="T530" s="1952">
        <f>S530*G530</f>
        <v>76263233.309999987</v>
      </c>
      <c r="U530" s="1955"/>
      <c r="X530" s="1848">
        <f>P544</f>
        <v>172356</v>
      </c>
      <c r="Y530" s="1848">
        <f>S544</f>
        <v>143176</v>
      </c>
      <c r="Z530" s="1956">
        <v>471.37499999999989</v>
      </c>
      <c r="AA530" s="1956">
        <f>Z530-G530</f>
        <v>0</v>
      </c>
      <c r="AB530" s="1836" t="s">
        <v>1909</v>
      </c>
      <c r="AF530" s="1836"/>
      <c r="AG530" s="1836"/>
      <c r="AH530" s="1836"/>
      <c r="AI530" s="1837">
        <v>195923.91999999998</v>
      </c>
      <c r="AJ530" s="1960">
        <f>AI530-N530</f>
        <v>1161.6399999999849</v>
      </c>
    </row>
    <row r="531" spans="1:36" ht="21.95" customHeight="1" x14ac:dyDescent="0.2">
      <c r="B531" s="2045"/>
      <c r="C531" s="2046" t="str">
        <f>SNI!$D$498</f>
        <v>Bahan</v>
      </c>
      <c r="D531" s="2047"/>
      <c r="E531" s="2047"/>
      <c r="F531" s="2048"/>
      <c r="G531" s="2049"/>
      <c r="H531" s="2050"/>
      <c r="I531" s="2051"/>
      <c r="J531" s="2051"/>
      <c r="K531" s="2052"/>
      <c r="L531" s="2053"/>
      <c r="M531" s="2054"/>
      <c r="N531" s="2055"/>
      <c r="O531" s="2056"/>
      <c r="P531" s="2057"/>
      <c r="Q531" s="2058"/>
      <c r="R531" s="2059"/>
      <c r="S531" s="2059"/>
      <c r="T531" s="2055"/>
      <c r="U531" s="2060"/>
      <c r="Z531" s="1956"/>
      <c r="AA531" s="1956"/>
      <c r="AF531" s="1836"/>
      <c r="AG531" s="1836"/>
      <c r="AH531" s="1836"/>
      <c r="AI531" s="1837"/>
      <c r="AJ531" s="1960"/>
    </row>
    <row r="532" spans="1:36" ht="21.95" customHeight="1" x14ac:dyDescent="0.2">
      <c r="B532" s="2045"/>
      <c r="C532" s="2046"/>
      <c r="D532" s="2047" t="str">
        <f>SNI!$E$498</f>
        <v>Kayu kelas III</v>
      </c>
      <c r="E532" s="2047"/>
      <c r="F532" s="2048"/>
      <c r="G532" s="2049">
        <f>SNI!$H$498</f>
        <v>0.02</v>
      </c>
      <c r="H532" s="2050" t="str">
        <f>SNI!$G$498</f>
        <v>m3</v>
      </c>
      <c r="I532" s="2051"/>
      <c r="J532" s="2051"/>
      <c r="K532" s="2052">
        <f>SNI!$L$498</f>
        <v>1</v>
      </c>
      <c r="L532" s="2053"/>
      <c r="M532" s="2054"/>
      <c r="N532" s="2055">
        <f>SNI!$I$498</f>
        <v>1100000</v>
      </c>
      <c r="O532" s="2056"/>
      <c r="P532" s="1969">
        <f t="shared" ref="P532" si="355">N532*G532</f>
        <v>22000</v>
      </c>
      <c r="Q532" s="1953"/>
      <c r="R532" s="1954"/>
      <c r="S532" s="1954">
        <f t="shared" ref="S532" si="356">P532*K532</f>
        <v>22000</v>
      </c>
      <c r="T532" s="1969">
        <f t="shared" ref="T532" si="357">P532-S532</f>
        <v>0</v>
      </c>
      <c r="U532" s="2060"/>
      <c r="Z532" s="1956"/>
      <c r="AA532" s="1956"/>
      <c r="AF532" s="1836"/>
      <c r="AG532" s="1836"/>
      <c r="AH532" s="1836"/>
      <c r="AI532" s="1837"/>
      <c r="AJ532" s="1960"/>
    </row>
    <row r="533" spans="1:36" ht="21.95" customHeight="1" x14ac:dyDescent="0.2">
      <c r="B533" s="2045"/>
      <c r="C533" s="2046"/>
      <c r="D533" s="2047" t="str">
        <f>SNI!$E$499</f>
        <v>Paku 5 cm - 12 cm</v>
      </c>
      <c r="E533" s="2047"/>
      <c r="F533" s="2048"/>
      <c r="G533" s="2049">
        <f>SNI!$H$499</f>
        <v>0.4</v>
      </c>
      <c r="H533" s="2050" t="str">
        <f>SNI!$G$499</f>
        <v>kg</v>
      </c>
      <c r="I533" s="2051"/>
      <c r="J533" s="2051"/>
      <c r="K533" s="2052">
        <f>SNI!$L$499</f>
        <v>0</v>
      </c>
      <c r="L533" s="2053"/>
      <c r="M533" s="2054"/>
      <c r="N533" s="2055">
        <f>SNI!$I$499</f>
        <v>17000</v>
      </c>
      <c r="O533" s="2056"/>
      <c r="P533" s="1969">
        <f t="shared" ref="P533:P543" si="358">N533*G533</f>
        <v>6800</v>
      </c>
      <c r="Q533" s="1953"/>
      <c r="R533" s="1954"/>
      <c r="S533" s="1954">
        <f t="shared" ref="S533:S543" si="359">P533*K533</f>
        <v>0</v>
      </c>
      <c r="T533" s="1969">
        <f t="shared" ref="T533:T543" si="360">P533-S533</f>
        <v>6800</v>
      </c>
      <c r="U533" s="2060"/>
      <c r="Z533" s="1956"/>
      <c r="AA533" s="1956"/>
      <c r="AF533" s="1836"/>
      <c r="AG533" s="1836"/>
      <c r="AH533" s="1836"/>
      <c r="AI533" s="1837"/>
      <c r="AJ533" s="1960"/>
    </row>
    <row r="534" spans="1:36" ht="21.95" customHeight="1" x14ac:dyDescent="0.2">
      <c r="B534" s="2045"/>
      <c r="C534" s="2046"/>
      <c r="D534" s="2047" t="str">
        <f>SNI!$E$500</f>
        <v>Minyak Bekisting</v>
      </c>
      <c r="E534" s="2047"/>
      <c r="F534" s="2048"/>
      <c r="G534" s="2049">
        <f>SNI!$H$500</f>
        <v>0.2</v>
      </c>
      <c r="H534" s="2050" t="str">
        <f>SNI!$G$500</f>
        <v>ltr</v>
      </c>
      <c r="I534" s="2051"/>
      <c r="J534" s="2051"/>
      <c r="K534" s="2052">
        <f>SNI!$L$500</f>
        <v>0</v>
      </c>
      <c r="L534" s="2053"/>
      <c r="M534" s="2054"/>
      <c r="N534" s="2055">
        <f>SNI!$I$500</f>
        <v>6900</v>
      </c>
      <c r="O534" s="2056"/>
      <c r="P534" s="1969">
        <f t="shared" si="358"/>
        <v>1380</v>
      </c>
      <c r="Q534" s="1953"/>
      <c r="R534" s="1954"/>
      <c r="S534" s="1954">
        <f t="shared" si="359"/>
        <v>0</v>
      </c>
      <c r="T534" s="1969">
        <f t="shared" si="360"/>
        <v>1380</v>
      </c>
      <c r="U534" s="2060"/>
      <c r="Z534" s="1956"/>
      <c r="AA534" s="1956"/>
      <c r="AF534" s="1836"/>
      <c r="AG534" s="1836"/>
      <c r="AH534" s="1836"/>
      <c r="AI534" s="1837"/>
      <c r="AJ534" s="1960"/>
    </row>
    <row r="535" spans="1:36" ht="21.95" customHeight="1" x14ac:dyDescent="0.2">
      <c r="B535" s="2045"/>
      <c r="C535" s="2046"/>
      <c r="D535" s="2047" t="str">
        <f>SNI!$E$501</f>
        <v>Balok kayu kelas II</v>
      </c>
      <c r="E535" s="2047"/>
      <c r="F535" s="2048"/>
      <c r="G535" s="2049">
        <f>SNI!$H$501</f>
        <v>8.9999999999999993E-3</v>
      </c>
      <c r="H535" s="2050" t="str">
        <f>SNI!$G$501</f>
        <v>m3</v>
      </c>
      <c r="I535" s="2051"/>
      <c r="J535" s="2051"/>
      <c r="K535" s="2052">
        <f>SNI!$L$501</f>
        <v>1</v>
      </c>
      <c r="L535" s="2053"/>
      <c r="M535" s="2054"/>
      <c r="N535" s="2055">
        <f>SNI!$I$501</f>
        <v>1600000</v>
      </c>
      <c r="O535" s="2056"/>
      <c r="P535" s="1969">
        <f t="shared" si="358"/>
        <v>14399.999999999998</v>
      </c>
      <c r="Q535" s="1953"/>
      <c r="R535" s="1954"/>
      <c r="S535" s="1954">
        <f t="shared" si="359"/>
        <v>14399.999999999998</v>
      </c>
      <c r="T535" s="1969">
        <f t="shared" si="360"/>
        <v>0</v>
      </c>
      <c r="U535" s="2060"/>
      <c r="Z535" s="1956"/>
      <c r="AA535" s="1956"/>
      <c r="AF535" s="1836"/>
      <c r="AG535" s="1836"/>
      <c r="AH535" s="1836"/>
      <c r="AI535" s="1837"/>
      <c r="AJ535" s="1960"/>
    </row>
    <row r="536" spans="1:36" ht="21.95" customHeight="1" x14ac:dyDescent="0.2">
      <c r="B536" s="2045"/>
      <c r="C536" s="2046"/>
      <c r="D536" s="2047" t="str">
        <f>SNI!$E$502</f>
        <v>Plywood tebal 9 mm</v>
      </c>
      <c r="E536" s="2047"/>
      <c r="F536" s="2048"/>
      <c r="G536" s="2049">
        <f>SNI!$H$502</f>
        <v>0.17499999999999999</v>
      </c>
      <c r="H536" s="2050" t="str">
        <f>SNI!$G$502</f>
        <v>lbr</v>
      </c>
      <c r="I536" s="2051"/>
      <c r="J536" s="2051"/>
      <c r="K536" s="2052">
        <f>SNI!$L$502</f>
        <v>0</v>
      </c>
      <c r="L536" s="2053"/>
      <c r="M536" s="2054"/>
      <c r="N536" s="2055">
        <f>SNI!$I$502</f>
        <v>120000</v>
      </c>
      <c r="O536" s="2056"/>
      <c r="P536" s="1969">
        <f t="shared" si="358"/>
        <v>21000</v>
      </c>
      <c r="Q536" s="1953"/>
      <c r="R536" s="1954"/>
      <c r="S536" s="1954">
        <f t="shared" si="359"/>
        <v>0</v>
      </c>
      <c r="T536" s="1969">
        <f t="shared" si="360"/>
        <v>21000</v>
      </c>
      <c r="U536" s="2060"/>
      <c r="Z536" s="1956"/>
      <c r="AA536" s="1956"/>
      <c r="AF536" s="1836"/>
      <c r="AG536" s="1836"/>
      <c r="AH536" s="1836"/>
      <c r="AI536" s="1837"/>
      <c r="AJ536" s="1960"/>
    </row>
    <row r="537" spans="1:36" ht="21.95" customHeight="1" x14ac:dyDescent="0.2">
      <c r="B537" s="2045"/>
      <c r="C537" s="2046"/>
      <c r="D537" s="2047" t="str">
        <f>SNI!$E$503</f>
        <v>Dolken kayu galam,</v>
      </c>
      <c r="E537" s="2047"/>
      <c r="F537" s="2048"/>
      <c r="G537" s="2049">
        <f>SNI!$H$503</f>
        <v>1</v>
      </c>
      <c r="H537" s="2050" t="str">
        <f>SNI!$G$503</f>
        <v>btg</v>
      </c>
      <c r="I537" s="2051"/>
      <c r="J537" s="2051"/>
      <c r="K537" s="2052">
        <f>SNI!$L$503</f>
        <v>1</v>
      </c>
      <c r="L537" s="2053"/>
      <c r="M537" s="2054"/>
      <c r="N537" s="2055">
        <f>SNI!$I$503</f>
        <v>12000</v>
      </c>
      <c r="O537" s="2056"/>
      <c r="P537" s="1969">
        <f t="shared" si="358"/>
        <v>12000</v>
      </c>
      <c r="Q537" s="1953"/>
      <c r="R537" s="1954"/>
      <c r="S537" s="1954">
        <f t="shared" si="359"/>
        <v>12000</v>
      </c>
      <c r="T537" s="1969">
        <f t="shared" si="360"/>
        <v>0</v>
      </c>
      <c r="U537" s="2060"/>
      <c r="Z537" s="1956"/>
      <c r="AA537" s="1956"/>
      <c r="AF537" s="1836"/>
      <c r="AG537" s="1836"/>
      <c r="AH537" s="1836"/>
      <c r="AI537" s="1837"/>
      <c r="AJ537" s="1960"/>
    </row>
    <row r="538" spans="1:36" ht="21.95" customHeight="1" x14ac:dyDescent="0.2">
      <c r="B538" s="2045"/>
      <c r="C538" s="2046"/>
      <c r="D538" s="2047" t="str">
        <f>SNI!$E$504</f>
        <v>Ø (8 - 10) cm, panj 4 m</v>
      </c>
      <c r="E538" s="2047"/>
      <c r="F538" s="2048"/>
      <c r="G538" s="2049"/>
      <c r="H538" s="2050"/>
      <c r="I538" s="2051"/>
      <c r="J538" s="2051"/>
      <c r="K538" s="2052"/>
      <c r="L538" s="2053"/>
      <c r="M538" s="2054"/>
      <c r="N538" s="2055"/>
      <c r="O538" s="2056"/>
      <c r="P538" s="1969"/>
      <c r="Q538" s="1953"/>
      <c r="R538" s="1954"/>
      <c r="S538" s="1954"/>
      <c r="T538" s="1969"/>
      <c r="U538" s="2060"/>
      <c r="Z538" s="1956"/>
      <c r="AA538" s="1956"/>
      <c r="AF538" s="1836"/>
      <c r="AG538" s="1836"/>
      <c r="AH538" s="1836"/>
      <c r="AI538" s="1837"/>
      <c r="AJ538" s="1960"/>
    </row>
    <row r="539" spans="1:36" ht="21.95" customHeight="1" x14ac:dyDescent="0.2">
      <c r="B539" s="2045"/>
      <c r="C539" s="2046" t="str">
        <f>SNI!$D$506</f>
        <v>Tenaga Kerja</v>
      </c>
      <c r="D539" s="2047"/>
      <c r="E539" s="2047"/>
      <c r="F539" s="2048"/>
      <c r="G539" s="2049"/>
      <c r="H539" s="2050"/>
      <c r="I539" s="2051"/>
      <c r="J539" s="2051"/>
      <c r="K539" s="2052"/>
      <c r="L539" s="2053"/>
      <c r="M539" s="2054"/>
      <c r="N539" s="2055"/>
      <c r="O539" s="2056"/>
      <c r="P539" s="1969"/>
      <c r="Q539" s="1953"/>
      <c r="R539" s="1954"/>
      <c r="S539" s="1954"/>
      <c r="T539" s="1969"/>
      <c r="U539" s="2060"/>
      <c r="Z539" s="1956"/>
      <c r="AA539" s="1956"/>
      <c r="AF539" s="1836"/>
      <c r="AG539" s="1836"/>
      <c r="AH539" s="1836"/>
      <c r="AI539" s="1837"/>
      <c r="AJ539" s="1960"/>
    </row>
    <row r="540" spans="1:36" ht="21.95" customHeight="1" x14ac:dyDescent="0.2">
      <c r="B540" s="2045"/>
      <c r="C540" s="2046"/>
      <c r="D540" s="2047" t="str">
        <f>SNI!$E$506</f>
        <v xml:space="preserve">Pekerja </v>
      </c>
      <c r="E540" s="2047"/>
      <c r="F540" s="2048"/>
      <c r="G540" s="2049">
        <f>SNI!$H$506</f>
        <v>0.66</v>
      </c>
      <c r="H540" s="2050" t="str">
        <f>SNI!$G$506</f>
        <v>OH</v>
      </c>
      <c r="I540" s="2051" t="str">
        <f>SNI!$M$315</f>
        <v>WNI</v>
      </c>
      <c r="J540" s="2051"/>
      <c r="K540" s="2052">
        <f>SNI!$L$506</f>
        <v>1</v>
      </c>
      <c r="L540" s="2053"/>
      <c r="M540" s="2054"/>
      <c r="N540" s="2055">
        <f>SNI!$I$506</f>
        <v>88300</v>
      </c>
      <c r="O540" s="2056"/>
      <c r="P540" s="1969">
        <f t="shared" si="358"/>
        <v>58278</v>
      </c>
      <c r="Q540" s="1953"/>
      <c r="R540" s="1954"/>
      <c r="S540" s="1954">
        <f t="shared" si="359"/>
        <v>58278</v>
      </c>
      <c r="T540" s="1969">
        <f t="shared" si="360"/>
        <v>0</v>
      </c>
      <c r="U540" s="2060"/>
      <c r="Z540" s="1956"/>
      <c r="AA540" s="1956"/>
      <c r="AF540" s="1836"/>
      <c r="AG540" s="1836"/>
      <c r="AH540" s="1836"/>
      <c r="AI540" s="1837"/>
      <c r="AJ540" s="1960"/>
    </row>
    <row r="541" spans="1:36" ht="21.95" customHeight="1" x14ac:dyDescent="0.2">
      <c r="B541" s="2045"/>
      <c r="C541" s="2046"/>
      <c r="D541" s="2047" t="str">
        <f>SNI!$E$507</f>
        <v>Tukang Kayu</v>
      </c>
      <c r="E541" s="2047"/>
      <c r="F541" s="2048"/>
      <c r="G541" s="2049">
        <f>SNI!$H$507</f>
        <v>0.33</v>
      </c>
      <c r="H541" s="2050" t="str">
        <f>SNI!$G$507</f>
        <v>OH</v>
      </c>
      <c r="I541" s="2051" t="str">
        <f>SNI!$M$315</f>
        <v>WNI</v>
      </c>
      <c r="J541" s="2051"/>
      <c r="K541" s="2052">
        <f>SNI!$L$507</f>
        <v>1</v>
      </c>
      <c r="L541" s="2053"/>
      <c r="M541" s="2054"/>
      <c r="N541" s="2055">
        <f>SNI!$I$507</f>
        <v>92000</v>
      </c>
      <c r="O541" s="2056"/>
      <c r="P541" s="1969">
        <f t="shared" si="358"/>
        <v>30360</v>
      </c>
      <c r="Q541" s="1953"/>
      <c r="R541" s="1954"/>
      <c r="S541" s="1954">
        <f t="shared" si="359"/>
        <v>30360</v>
      </c>
      <c r="T541" s="1969">
        <f t="shared" si="360"/>
        <v>0</v>
      </c>
      <c r="U541" s="2060"/>
      <c r="Z541" s="1956"/>
      <c r="AA541" s="1956"/>
      <c r="AF541" s="1836"/>
      <c r="AG541" s="1836"/>
      <c r="AH541" s="1836"/>
      <c r="AI541" s="1837"/>
      <c r="AJ541" s="1960"/>
    </row>
    <row r="542" spans="1:36" ht="21.95" customHeight="1" x14ac:dyDescent="0.2">
      <c r="B542" s="2045"/>
      <c r="C542" s="2046"/>
      <c r="D542" s="2047" t="str">
        <f>SNI!$E$508</f>
        <v>Kepala Tukang</v>
      </c>
      <c r="E542" s="2047"/>
      <c r="F542" s="2048"/>
      <c r="G542" s="2049">
        <f>SNI!$H$508</f>
        <v>3.3000000000000002E-2</v>
      </c>
      <c r="H542" s="2050" t="str">
        <f>SNI!$G$508</f>
        <v>OH</v>
      </c>
      <c r="I542" s="2051" t="str">
        <f>SNI!$M$315</f>
        <v>WNI</v>
      </c>
      <c r="J542" s="2051"/>
      <c r="K542" s="2052">
        <f>SNI!$L$508</f>
        <v>1</v>
      </c>
      <c r="L542" s="2053"/>
      <c r="M542" s="2054"/>
      <c r="N542" s="2055">
        <f>SNI!$I$508</f>
        <v>96000</v>
      </c>
      <c r="O542" s="2056"/>
      <c r="P542" s="1969">
        <f t="shared" si="358"/>
        <v>3168</v>
      </c>
      <c r="Q542" s="1953"/>
      <c r="R542" s="1954"/>
      <c r="S542" s="1954">
        <f t="shared" si="359"/>
        <v>3168</v>
      </c>
      <c r="T542" s="1969">
        <f t="shared" si="360"/>
        <v>0</v>
      </c>
      <c r="U542" s="2060"/>
      <c r="Z542" s="1956"/>
      <c r="AA542" s="1956"/>
      <c r="AF542" s="1836"/>
      <c r="AG542" s="1836"/>
      <c r="AH542" s="1836"/>
      <c r="AI542" s="1837"/>
      <c r="AJ542" s="1960"/>
    </row>
    <row r="543" spans="1:36" ht="21.95" customHeight="1" x14ac:dyDescent="0.2">
      <c r="B543" s="2045"/>
      <c r="C543" s="2046"/>
      <c r="D543" s="2047" t="str">
        <f>SNI!$E$509</f>
        <v>Mandor</v>
      </c>
      <c r="E543" s="2047"/>
      <c r="F543" s="2048"/>
      <c r="G543" s="2049">
        <f>SNI!$H$509</f>
        <v>3.3000000000000002E-2</v>
      </c>
      <c r="H543" s="2050" t="str">
        <f>SNI!$G$509</f>
        <v>OH</v>
      </c>
      <c r="I543" s="2051" t="str">
        <f>SNI!$M$315</f>
        <v>WNI</v>
      </c>
      <c r="J543" s="2051"/>
      <c r="K543" s="2052">
        <f>SNI!$L$509</f>
        <v>1</v>
      </c>
      <c r="L543" s="2053"/>
      <c r="M543" s="2054"/>
      <c r="N543" s="2055">
        <f>SNI!$I$509</f>
        <v>90000</v>
      </c>
      <c r="O543" s="2056"/>
      <c r="P543" s="1969">
        <f t="shared" si="358"/>
        <v>2970</v>
      </c>
      <c r="Q543" s="1953"/>
      <c r="R543" s="1954"/>
      <c r="S543" s="1954">
        <f t="shared" si="359"/>
        <v>2970</v>
      </c>
      <c r="T543" s="1969">
        <f t="shared" si="360"/>
        <v>0</v>
      </c>
      <c r="U543" s="2060"/>
      <c r="Z543" s="1956"/>
      <c r="AA543" s="1956"/>
      <c r="AF543" s="1836"/>
      <c r="AG543" s="1836"/>
      <c r="AH543" s="1836"/>
      <c r="AI543" s="1837"/>
      <c r="AJ543" s="1960"/>
    </row>
    <row r="544" spans="1:36" s="1957" customFormat="1" ht="21.95" customHeight="1" x14ac:dyDescent="0.2">
      <c r="A544" s="1942"/>
      <c r="B544" s="1970"/>
      <c r="C544" s="1971"/>
      <c r="D544" s="1972"/>
      <c r="E544" s="1973"/>
      <c r="F544" s="1974" t="s">
        <v>556</v>
      </c>
      <c r="G544" s="1975">
        <f>B530</f>
        <v>3</v>
      </c>
      <c r="H544" s="1976"/>
      <c r="I544" s="1977"/>
      <c r="J544" s="1977"/>
      <c r="K544" s="1978"/>
      <c r="L544" s="1979"/>
      <c r="M544" s="1980"/>
      <c r="N544" s="1981"/>
      <c r="O544" s="1982"/>
      <c r="P544" s="1983">
        <f>SUM(P532:P543)</f>
        <v>172356</v>
      </c>
      <c r="Q544" s="1984"/>
      <c r="R544" s="1985"/>
      <c r="S544" s="1983">
        <f t="shared" ref="S544:T544" si="361">SUM(S532:S543)</f>
        <v>143176</v>
      </c>
      <c r="T544" s="1983">
        <f t="shared" si="361"/>
        <v>29180</v>
      </c>
      <c r="U544" s="1986"/>
      <c r="V544" s="1848"/>
      <c r="W544" s="1848"/>
      <c r="X544" s="1848"/>
      <c r="Y544" s="1848"/>
      <c r="Z544" s="1956"/>
      <c r="AA544" s="1956"/>
      <c r="AF544" s="1958"/>
      <c r="AG544" s="1958"/>
      <c r="AH544" s="1958"/>
      <c r="AI544" s="1959"/>
      <c r="AJ544" s="1960"/>
    </row>
    <row r="545" spans="1:36" ht="21.95" customHeight="1" x14ac:dyDescent="0.2">
      <c r="B545" s="2102"/>
      <c r="C545" s="2103"/>
      <c r="D545" s="2081" t="s">
        <v>2002</v>
      </c>
      <c r="E545" s="1930"/>
      <c r="F545" s="1931"/>
      <c r="G545" s="1945"/>
      <c r="H545" s="1933"/>
      <c r="I545" s="1934"/>
      <c r="J545" s="1934"/>
      <c r="K545" s="1935"/>
      <c r="L545" s="1936"/>
      <c r="M545" s="1936"/>
      <c r="N545" s="1951"/>
      <c r="O545" s="2066"/>
      <c r="P545" s="2067"/>
      <c r="Q545" s="1934"/>
      <c r="R545" s="1934"/>
      <c r="S545" s="1934"/>
      <c r="T545" s="1940"/>
      <c r="U545" s="1941"/>
      <c r="Z545" s="1956"/>
      <c r="AA545" s="1956">
        <f>Z545-G545</f>
        <v>0</v>
      </c>
      <c r="AB545" s="1836" t="s">
        <v>1789</v>
      </c>
      <c r="AF545" s="1836"/>
      <c r="AG545" s="1836"/>
      <c r="AH545" s="1836"/>
      <c r="AI545" s="1837"/>
      <c r="AJ545" s="1960">
        <f>AI545-N545</f>
        <v>0</v>
      </c>
    </row>
    <row r="546" spans="1:36" ht="21.95" customHeight="1" x14ac:dyDescent="0.2">
      <c r="A546" s="1833">
        <f>satpek!$B$40</f>
        <v>21</v>
      </c>
      <c r="B546" s="1943">
        <f>B530+1</f>
        <v>4</v>
      </c>
      <c r="C546" s="1937"/>
      <c r="D546" s="1944" t="str">
        <f>VLOOKUP($A546,satpek!$B$20:$N$144,2,0)</f>
        <v>Membuat beton mutu f'c = 21,7 Mpa - K 250</v>
      </c>
      <c r="E546" s="1944"/>
      <c r="F546" s="2004"/>
      <c r="G546" s="1945">
        <f>'[3]B.VOL RAB'!Q148</f>
        <v>14.512000000000004</v>
      </c>
      <c r="H546" s="1946" t="str">
        <f>VLOOKUP($A546,satpek!$B$20:$N$144,7,0)</f>
        <v>m3</v>
      </c>
      <c r="I546" s="1947"/>
      <c r="J546" s="1947"/>
      <c r="K546" s="1948"/>
      <c r="L546" s="1949"/>
      <c r="M546" s="1950" t="str">
        <f>VLOOKUP($A546,satpek!$B$20:$N$144,5,0)</f>
        <v>A.4.1.1.8.</v>
      </c>
      <c r="N546" s="1951">
        <f>VLOOKUP($A546,satpek!$B$20:$N$144,6,0)</f>
        <v>1115753.29</v>
      </c>
      <c r="O546" s="1938"/>
      <c r="P546" s="1952">
        <f t="shared" ref="P546:P568" si="362">ROUND((G546*N546),2)</f>
        <v>16191811.74</v>
      </c>
      <c r="Q546" s="1953">
        <f>VLOOKUP($A546,satpek!$B$20:$L$138,8,0)</f>
        <v>0.93065078521121514</v>
      </c>
      <c r="R546" s="1954">
        <f>VLOOKUP($A546,satpek!$B$20:$L$138,9,0)</f>
        <v>918917.40999999992</v>
      </c>
      <c r="S546" s="1954">
        <f>VLOOKUP($A546,satpek!$B$20:$L$138,10,0)</f>
        <v>1038376.6732999999</v>
      </c>
      <c r="T546" s="1952">
        <f>S546*G546</f>
        <v>15068922.282929603</v>
      </c>
      <c r="U546" s="1955"/>
      <c r="X546" s="1848">
        <f>P557</f>
        <v>987392.28571428568</v>
      </c>
      <c r="Y546" s="1848">
        <f>S557</f>
        <v>918917.40571428579</v>
      </c>
      <c r="Z546" s="1956">
        <v>14.512000000000004</v>
      </c>
      <c r="AA546" s="1956">
        <f>Z546-G546</f>
        <v>0</v>
      </c>
      <c r="AB546" s="1836" t="s">
        <v>1905</v>
      </c>
      <c r="AF546" s="1836"/>
      <c r="AG546" s="1836"/>
      <c r="AH546" s="1836"/>
      <c r="AI546" s="1837">
        <v>1191397.42</v>
      </c>
      <c r="AJ546" s="1960">
        <f>AI546-N546</f>
        <v>75644.129999999888</v>
      </c>
    </row>
    <row r="547" spans="1:36" ht="21.95" customHeight="1" x14ac:dyDescent="0.2">
      <c r="B547" s="2045"/>
      <c r="C547" s="2046" t="str">
        <f>SNI!$D$389</f>
        <v>Bahan</v>
      </c>
      <c r="D547" s="2047"/>
      <c r="E547" s="2047"/>
      <c r="F547" s="2048"/>
      <c r="G547" s="2049"/>
      <c r="H547" s="2050"/>
      <c r="I547" s="2051"/>
      <c r="J547" s="2051"/>
      <c r="K547" s="2052"/>
      <c r="L547" s="2053"/>
      <c r="M547" s="2054"/>
      <c r="N547" s="2055"/>
      <c r="O547" s="2056"/>
      <c r="P547" s="2057"/>
      <c r="Q547" s="2058"/>
      <c r="R547" s="2059"/>
      <c r="S547" s="2059"/>
      <c r="T547" s="2057"/>
      <c r="U547" s="2060"/>
      <c r="Z547" s="1956"/>
      <c r="AA547" s="1956"/>
      <c r="AF547" s="1836"/>
      <c r="AG547" s="1836"/>
      <c r="AH547" s="1836"/>
      <c r="AI547" s="1837"/>
      <c r="AJ547" s="1960"/>
    </row>
    <row r="548" spans="1:36" ht="21.95" customHeight="1" x14ac:dyDescent="0.2">
      <c r="B548" s="2045"/>
      <c r="C548" s="2046"/>
      <c r="D548" s="2047" t="str">
        <f>SNI!$E$389</f>
        <v>PC</v>
      </c>
      <c r="E548" s="2047"/>
      <c r="F548" s="2048"/>
      <c r="G548" s="2049">
        <f>SNI!$H$389</f>
        <v>384</v>
      </c>
      <c r="H548" s="2050" t="str">
        <f>SNI!$G$389</f>
        <v>kg</v>
      </c>
      <c r="I548" s="2051"/>
      <c r="J548" s="2051"/>
      <c r="K548" s="2052">
        <f>SNI!$L$389</f>
        <v>0.85140000000000005</v>
      </c>
      <c r="L548" s="2053"/>
      <c r="M548" s="2054"/>
      <c r="N548" s="2055">
        <f>SNI!$I$389</f>
        <v>1200</v>
      </c>
      <c r="O548" s="2056"/>
      <c r="P548" s="1969">
        <f t="shared" ref="P548:P551" si="363">N548*G548</f>
        <v>460800</v>
      </c>
      <c r="Q548" s="1953"/>
      <c r="R548" s="1954"/>
      <c r="S548" s="1954">
        <f t="shared" ref="S548:S551" si="364">P548*K548</f>
        <v>392325.12</v>
      </c>
      <c r="T548" s="1969">
        <f t="shared" ref="T548:T551" si="365">P548-S548</f>
        <v>68474.880000000005</v>
      </c>
      <c r="U548" s="2060"/>
      <c r="Z548" s="1956"/>
      <c r="AA548" s="1956"/>
      <c r="AF548" s="1836"/>
      <c r="AG548" s="1836"/>
      <c r="AH548" s="1836"/>
      <c r="AI548" s="1837"/>
      <c r="AJ548" s="1960"/>
    </row>
    <row r="549" spans="1:36" ht="21.95" customHeight="1" x14ac:dyDescent="0.2">
      <c r="B549" s="2045"/>
      <c r="C549" s="2046"/>
      <c r="D549" s="2047" t="str">
        <f>SNI!$E$390</f>
        <v>Pasir Beton</v>
      </c>
      <c r="E549" s="2047"/>
      <c r="F549" s="2048"/>
      <c r="G549" s="2049">
        <f>SNI!$H$390</f>
        <v>692</v>
      </c>
      <c r="H549" s="2050" t="str">
        <f>SNI!$G$390</f>
        <v>kg</v>
      </c>
      <c r="I549" s="2051"/>
      <c r="J549" s="2051"/>
      <c r="K549" s="2052">
        <f>SNI!$L$390</f>
        <v>1</v>
      </c>
      <c r="L549" s="2053"/>
      <c r="M549" s="2054"/>
      <c r="N549" s="2055">
        <f>SNI!$I$390</f>
        <v>185.71428571428572</v>
      </c>
      <c r="O549" s="2056"/>
      <c r="P549" s="1969">
        <f t="shared" si="363"/>
        <v>128514.28571428572</v>
      </c>
      <c r="Q549" s="1953"/>
      <c r="R549" s="1954"/>
      <c r="S549" s="1954">
        <f t="shared" si="364"/>
        <v>128514.28571428572</v>
      </c>
      <c r="T549" s="1969">
        <f t="shared" si="365"/>
        <v>0</v>
      </c>
      <c r="U549" s="2060"/>
      <c r="Z549" s="1956"/>
      <c r="AA549" s="1956"/>
      <c r="AF549" s="1836"/>
      <c r="AG549" s="1836"/>
      <c r="AH549" s="1836"/>
      <c r="AI549" s="1837"/>
      <c r="AJ549" s="1960"/>
    </row>
    <row r="550" spans="1:36" ht="21.95" customHeight="1" x14ac:dyDescent="0.2">
      <c r="B550" s="2045"/>
      <c r="C550" s="2046"/>
      <c r="D550" s="2047" t="str">
        <f>SNI!$E$391</f>
        <v>Kerikil ( maks 30 mm )</v>
      </c>
      <c r="E550" s="2047"/>
      <c r="F550" s="2048"/>
      <c r="G550" s="2049">
        <f>SNI!$H$391</f>
        <v>1039</v>
      </c>
      <c r="H550" s="2050" t="str">
        <f>SNI!$G$391</f>
        <v>kg</v>
      </c>
      <c r="I550" s="2051"/>
      <c r="J550" s="2051"/>
      <c r="K550" s="2052">
        <f>SNI!$L$391</f>
        <v>1</v>
      </c>
      <c r="L550" s="2053"/>
      <c r="M550" s="2054"/>
      <c r="N550" s="2055">
        <f>SNI!$I$391</f>
        <v>200</v>
      </c>
      <c r="O550" s="2056"/>
      <c r="P550" s="1969">
        <f t="shared" si="363"/>
        <v>207800</v>
      </c>
      <c r="Q550" s="1953"/>
      <c r="R550" s="1954"/>
      <c r="S550" s="1954">
        <f t="shared" si="364"/>
        <v>207800</v>
      </c>
      <c r="T550" s="1969">
        <f t="shared" si="365"/>
        <v>0</v>
      </c>
      <c r="U550" s="2060"/>
      <c r="Z550" s="1956"/>
      <c r="AA550" s="1956"/>
      <c r="AF550" s="1836"/>
      <c r="AG550" s="1836"/>
      <c r="AH550" s="1836"/>
      <c r="AI550" s="1837"/>
      <c r="AJ550" s="1960"/>
    </row>
    <row r="551" spans="1:36" ht="21.95" customHeight="1" x14ac:dyDescent="0.2">
      <c r="B551" s="2045"/>
      <c r="C551" s="2046"/>
      <c r="D551" s="2047" t="str">
        <f>SNI!$E$392</f>
        <v>Air</v>
      </c>
      <c r="E551" s="2047"/>
      <c r="F551" s="2048"/>
      <c r="G551" s="2049">
        <f>SNI!$H$392</f>
        <v>215</v>
      </c>
      <c r="H551" s="2050" t="str">
        <f>SNI!$G$392</f>
        <v>ltr</v>
      </c>
      <c r="I551" s="2051"/>
      <c r="J551" s="2051"/>
      <c r="K551" s="2052">
        <f>SNI!$L$392</f>
        <v>1</v>
      </c>
      <c r="L551" s="2053"/>
      <c r="M551" s="2054"/>
      <c r="N551" s="2055">
        <f>SNI!$I$392</f>
        <v>45</v>
      </c>
      <c r="O551" s="2056"/>
      <c r="P551" s="1969">
        <f t="shared" si="363"/>
        <v>9675</v>
      </c>
      <c r="Q551" s="1953"/>
      <c r="R551" s="1954"/>
      <c r="S551" s="1954">
        <f t="shared" si="364"/>
        <v>9675</v>
      </c>
      <c r="T551" s="1969">
        <f t="shared" si="365"/>
        <v>0</v>
      </c>
      <c r="U551" s="2060"/>
      <c r="Z551" s="1956"/>
      <c r="AA551" s="1956"/>
      <c r="AF551" s="1836"/>
      <c r="AG551" s="1836"/>
      <c r="AH551" s="1836"/>
      <c r="AI551" s="1837"/>
      <c r="AJ551" s="1960"/>
    </row>
    <row r="552" spans="1:36" ht="21.95" customHeight="1" x14ac:dyDescent="0.2">
      <c r="B552" s="2045"/>
      <c r="C552" s="2046" t="str">
        <f>SNI!$D$394</f>
        <v>Tenaga Kerja</v>
      </c>
      <c r="D552" s="2047"/>
      <c r="E552" s="2047"/>
      <c r="F552" s="2048"/>
      <c r="G552" s="2049"/>
      <c r="H552" s="2050"/>
      <c r="I552" s="2051"/>
      <c r="J552" s="2051"/>
      <c r="K552" s="2052"/>
      <c r="L552" s="2053"/>
      <c r="M552" s="2054"/>
      <c r="N552" s="2055"/>
      <c r="O552" s="2056"/>
      <c r="P552" s="1969"/>
      <c r="Q552" s="1953"/>
      <c r="R552" s="1954"/>
      <c r="S552" s="1954"/>
      <c r="T552" s="1969"/>
      <c r="U552" s="2060"/>
      <c r="Z552" s="1956"/>
      <c r="AA552" s="1956"/>
      <c r="AF552" s="1836"/>
      <c r="AG552" s="1836"/>
      <c r="AH552" s="1836"/>
      <c r="AI552" s="1837"/>
      <c r="AJ552" s="1960"/>
    </row>
    <row r="553" spans="1:36" ht="21.95" customHeight="1" x14ac:dyDescent="0.2">
      <c r="B553" s="2045"/>
      <c r="C553" s="2046"/>
      <c r="D553" s="2047" t="str">
        <f>SNI!$E$394</f>
        <v xml:space="preserve">Pekerja </v>
      </c>
      <c r="E553" s="2047"/>
      <c r="F553" s="2048"/>
      <c r="G553" s="2049">
        <f>SNI!$H$394</f>
        <v>1.65</v>
      </c>
      <c r="H553" s="2050" t="str">
        <f>SNI!$G$394</f>
        <v>OH</v>
      </c>
      <c r="I553" s="2051" t="str">
        <f>SNI!$M$394</f>
        <v>WNI</v>
      </c>
      <c r="J553" s="2051"/>
      <c r="K553" s="2052">
        <f>SNI!$L$394</f>
        <v>1</v>
      </c>
      <c r="L553" s="2053"/>
      <c r="M553" s="2054"/>
      <c r="N553" s="2055">
        <f>SNI!$I$394</f>
        <v>88300</v>
      </c>
      <c r="O553" s="2056"/>
      <c r="P553" s="1969">
        <f t="shared" ref="P553:P556" si="366">N553*G553</f>
        <v>145695</v>
      </c>
      <c r="Q553" s="1953"/>
      <c r="R553" s="1954"/>
      <c r="S553" s="1954">
        <f t="shared" ref="S553:S556" si="367">P553*K553</f>
        <v>145695</v>
      </c>
      <c r="T553" s="1969">
        <f t="shared" ref="T553:T556" si="368">P553-S553</f>
        <v>0</v>
      </c>
      <c r="U553" s="2060"/>
      <c r="Z553" s="1956"/>
      <c r="AA553" s="1956"/>
      <c r="AF553" s="1836"/>
      <c r="AG553" s="1836"/>
      <c r="AH553" s="1836"/>
      <c r="AI553" s="1837"/>
      <c r="AJ553" s="1960"/>
    </row>
    <row r="554" spans="1:36" ht="21.95" customHeight="1" x14ac:dyDescent="0.2">
      <c r="B554" s="2045"/>
      <c r="C554" s="2046"/>
      <c r="D554" s="2047" t="str">
        <f>SNI!$E$395</f>
        <v>Tukang Batu</v>
      </c>
      <c r="E554" s="2047"/>
      <c r="F554" s="2048"/>
      <c r="G554" s="2049">
        <f>SNI!$H$395</f>
        <v>0.27500000000000002</v>
      </c>
      <c r="H554" s="2050" t="str">
        <f>SNI!$G$395</f>
        <v>OH</v>
      </c>
      <c r="I554" s="2051" t="str">
        <f>SNI!$M$395</f>
        <v>WNI</v>
      </c>
      <c r="J554" s="2051"/>
      <c r="K554" s="2052">
        <f>SNI!$L$395</f>
        <v>1</v>
      </c>
      <c r="L554" s="2053"/>
      <c r="M554" s="2054"/>
      <c r="N554" s="2055">
        <f>SNI!$I$395</f>
        <v>90000</v>
      </c>
      <c r="O554" s="2056"/>
      <c r="P554" s="1969">
        <f t="shared" si="366"/>
        <v>24750.000000000004</v>
      </c>
      <c r="Q554" s="1953"/>
      <c r="R554" s="1954"/>
      <c r="S554" s="1954">
        <f t="shared" si="367"/>
        <v>24750.000000000004</v>
      </c>
      <c r="T554" s="1969">
        <f t="shared" si="368"/>
        <v>0</v>
      </c>
      <c r="U554" s="2060"/>
      <c r="Z554" s="1956"/>
      <c r="AA554" s="1956"/>
      <c r="AF554" s="1836"/>
      <c r="AG554" s="1836"/>
      <c r="AH554" s="1836"/>
      <c r="AI554" s="1837"/>
      <c r="AJ554" s="1960"/>
    </row>
    <row r="555" spans="1:36" ht="21.95" customHeight="1" x14ac:dyDescent="0.2">
      <c r="B555" s="2045"/>
      <c r="C555" s="2046"/>
      <c r="D555" s="2047" t="str">
        <f>SNI!$E$396</f>
        <v>Kepala Tukang</v>
      </c>
      <c r="E555" s="2047"/>
      <c r="F555" s="2048"/>
      <c r="G555" s="2049">
        <f>SNI!$H$396</f>
        <v>2.8000000000000001E-2</v>
      </c>
      <c r="H555" s="2050" t="str">
        <f>SNI!$G$396</f>
        <v>OH</v>
      </c>
      <c r="I555" s="2051" t="str">
        <f>SNI!$M$396</f>
        <v>WNI</v>
      </c>
      <c r="J555" s="2051"/>
      <c r="K555" s="2052">
        <f>SNI!$L$396</f>
        <v>1</v>
      </c>
      <c r="L555" s="2053"/>
      <c r="M555" s="2054"/>
      <c r="N555" s="2055">
        <f>SNI!$I$396</f>
        <v>96000</v>
      </c>
      <c r="O555" s="2056"/>
      <c r="P555" s="1969">
        <f t="shared" si="366"/>
        <v>2688</v>
      </c>
      <c r="Q555" s="1953"/>
      <c r="R555" s="1954"/>
      <c r="S555" s="1954">
        <f t="shared" si="367"/>
        <v>2688</v>
      </c>
      <c r="T555" s="1969">
        <f t="shared" si="368"/>
        <v>0</v>
      </c>
      <c r="U555" s="2060"/>
      <c r="Z555" s="1956"/>
      <c r="AA555" s="1956"/>
      <c r="AF555" s="1836"/>
      <c r="AG555" s="1836"/>
      <c r="AH555" s="1836"/>
      <c r="AI555" s="1837"/>
      <c r="AJ555" s="1960"/>
    </row>
    <row r="556" spans="1:36" ht="21.95" customHeight="1" x14ac:dyDescent="0.2">
      <c r="B556" s="2045"/>
      <c r="C556" s="2046"/>
      <c r="D556" s="2047" t="str">
        <f>SNI!$E$397</f>
        <v>Mandor</v>
      </c>
      <c r="E556" s="2047"/>
      <c r="F556" s="2048"/>
      <c r="G556" s="2049">
        <f>SNI!$H$397</f>
        <v>8.3000000000000004E-2</v>
      </c>
      <c r="H556" s="2050" t="str">
        <f>SNI!$G$397</f>
        <v>OH</v>
      </c>
      <c r="I556" s="2051" t="str">
        <f>SNI!$M$397</f>
        <v>WNI</v>
      </c>
      <c r="J556" s="2051"/>
      <c r="K556" s="2052">
        <f>SNI!$L$397</f>
        <v>1</v>
      </c>
      <c r="L556" s="2053"/>
      <c r="M556" s="2054"/>
      <c r="N556" s="2055">
        <f>SNI!$I$397</f>
        <v>90000</v>
      </c>
      <c r="O556" s="2056"/>
      <c r="P556" s="1969">
        <f t="shared" si="366"/>
        <v>7470</v>
      </c>
      <c r="Q556" s="1953"/>
      <c r="R556" s="1954"/>
      <c r="S556" s="1954">
        <f t="shared" si="367"/>
        <v>7470</v>
      </c>
      <c r="T556" s="1969">
        <f t="shared" si="368"/>
        <v>0</v>
      </c>
      <c r="U556" s="2060"/>
      <c r="Z556" s="1956"/>
      <c r="AA556" s="1956"/>
      <c r="AF556" s="1836"/>
      <c r="AG556" s="1836"/>
      <c r="AH556" s="1836"/>
      <c r="AI556" s="1837"/>
      <c r="AJ556" s="1960"/>
    </row>
    <row r="557" spans="1:36" s="1957" customFormat="1" ht="21.95" customHeight="1" x14ac:dyDescent="0.2">
      <c r="A557" s="1942"/>
      <c r="B557" s="1970"/>
      <c r="C557" s="1971"/>
      <c r="D557" s="1972"/>
      <c r="E557" s="1973"/>
      <c r="F557" s="1974" t="s">
        <v>556</v>
      </c>
      <c r="G557" s="1975">
        <f>B546</f>
        <v>4</v>
      </c>
      <c r="H557" s="1976"/>
      <c r="I557" s="1977"/>
      <c r="J557" s="1977"/>
      <c r="K557" s="1978"/>
      <c r="L557" s="1979"/>
      <c r="M557" s="1980"/>
      <c r="N557" s="1981"/>
      <c r="O557" s="1982"/>
      <c r="P557" s="1983">
        <f>SUM(P548:P556)</f>
        <v>987392.28571428568</v>
      </c>
      <c r="Q557" s="1984"/>
      <c r="R557" s="1985"/>
      <c r="S557" s="1983">
        <f>SUM(S548:S556)</f>
        <v>918917.40571428579</v>
      </c>
      <c r="T557" s="1983">
        <f>SUM(T548:T556)</f>
        <v>68474.880000000005</v>
      </c>
      <c r="U557" s="1986"/>
      <c r="V557" s="1848"/>
      <c r="W557" s="1848"/>
      <c r="X557" s="1848"/>
      <c r="Y557" s="1848"/>
      <c r="Z557" s="1956"/>
      <c r="AA557" s="1956"/>
      <c r="AF557" s="1958"/>
      <c r="AG557" s="1958"/>
      <c r="AH557" s="1958"/>
      <c r="AI557" s="1959"/>
      <c r="AJ557" s="1960"/>
    </row>
    <row r="558" spans="1:36" ht="21.95" customHeight="1" x14ac:dyDescent="0.2">
      <c r="A558" s="1833">
        <f>satpek!$B$41</f>
        <v>22</v>
      </c>
      <c r="B558" s="1943">
        <f>B546+1</f>
        <v>5</v>
      </c>
      <c r="C558" s="1937"/>
      <c r="D558" s="1944" t="str">
        <f>VLOOKUP($A558,satpek!$B$20:$N$144,2,0)</f>
        <v>Pembesian 1 kg dengan besi polos atau besi ulir</v>
      </c>
      <c r="E558" s="1944"/>
      <c r="F558" s="2004"/>
      <c r="G558" s="1945">
        <f>'[3]B.VOL RAB'!Q150</f>
        <v>2074.4589900004985</v>
      </c>
      <c r="H558" s="1946" t="str">
        <f>VLOOKUP($A558,satpek!$B$20:$N$144,7,0)</f>
        <v>kg</v>
      </c>
      <c r="I558" s="1947"/>
      <c r="J558" s="1947"/>
      <c r="K558" s="1948"/>
      <c r="L558" s="1949"/>
      <c r="M558" s="1950" t="str">
        <f>VLOOKUP($A558,satpek!$B$20:$N$144,5,0)</f>
        <v>A.4.1.1.17.</v>
      </c>
      <c r="N558" s="1951">
        <f>VLOOKUP($A558,satpek!$B$20:$N$144,6,0)</f>
        <v>15603.94</v>
      </c>
      <c r="O558" s="1938"/>
      <c r="P558" s="1952">
        <f t="shared" si="362"/>
        <v>32369733.609999999</v>
      </c>
      <c r="Q558" s="1953">
        <f>VLOOKUP($A558,satpek!$B$20:$L$138,8,0)</f>
        <v>0.46415793062521393</v>
      </c>
      <c r="R558" s="1954">
        <f>VLOOKUP($A558,satpek!$B$20:$L$138,9,0)</f>
        <v>7242.692500000001</v>
      </c>
      <c r="S558" s="1954">
        <f>VLOOKUP($A558,satpek!$B$20:$L$138,10,0)</f>
        <v>8184.2425250000015</v>
      </c>
      <c r="T558" s="1952">
        <f>S558*G558</f>
        <v>16977875.482330631</v>
      </c>
      <c r="U558" s="1955"/>
      <c r="X558" s="1848">
        <f>P567</f>
        <v>13808.800000000001</v>
      </c>
      <c r="Y558" s="1848">
        <f>S567</f>
        <v>7242.6925000000001</v>
      </c>
      <c r="Z558" s="1956">
        <v>1696.4400838251379</v>
      </c>
      <c r="AA558" s="1956">
        <f>Z558-G558</f>
        <v>-378.0189061753606</v>
      </c>
      <c r="AB558" s="1836" t="s">
        <v>420</v>
      </c>
      <c r="AF558" s="1836"/>
      <c r="AG558" s="1836"/>
      <c r="AH558" s="1836"/>
      <c r="AI558" s="1837">
        <v>15438.06</v>
      </c>
      <c r="AJ558" s="1960">
        <f>AI558-N558</f>
        <v>-165.88000000000102</v>
      </c>
    </row>
    <row r="559" spans="1:36" ht="21.95" customHeight="1" x14ac:dyDescent="0.2">
      <c r="B559" s="2045"/>
      <c r="C559" s="2046" t="str">
        <f>SNI!$D$410</f>
        <v>Bahan</v>
      </c>
      <c r="D559" s="2047"/>
      <c r="E559" s="2047"/>
      <c r="F559" s="2048"/>
      <c r="G559" s="2049"/>
      <c r="H559" s="2050"/>
      <c r="I559" s="2051"/>
      <c r="J559" s="2051"/>
      <c r="K559" s="2052"/>
      <c r="L559" s="2053"/>
      <c r="M559" s="2054"/>
      <c r="N559" s="2055"/>
      <c r="O559" s="2056"/>
      <c r="P559" s="2057"/>
      <c r="Q559" s="2058"/>
      <c r="R559" s="2059"/>
      <c r="S559" s="2059"/>
      <c r="T559" s="2057"/>
      <c r="U559" s="2060"/>
      <c r="Z559" s="1956"/>
      <c r="AA559" s="1956"/>
      <c r="AF559" s="1836"/>
      <c r="AG559" s="1836"/>
      <c r="AH559" s="1836"/>
      <c r="AI559" s="1837"/>
      <c r="AJ559" s="1960"/>
    </row>
    <row r="560" spans="1:36" ht="21.95" customHeight="1" x14ac:dyDescent="0.2">
      <c r="B560" s="2045"/>
      <c r="C560" s="2046"/>
      <c r="D560" s="2047" t="str">
        <f>SNI!$E$410</f>
        <v>Besi Beton ( polos/ulir )</v>
      </c>
      <c r="E560" s="2047"/>
      <c r="F560" s="2048"/>
      <c r="G560" s="2049">
        <f>SNI!$H$410/10</f>
        <v>1.05</v>
      </c>
      <c r="H560" s="2050" t="str">
        <f>SNI!$G$410</f>
        <v>kg</v>
      </c>
      <c r="I560" s="2051"/>
      <c r="J560" s="2051"/>
      <c r="K560" s="2052">
        <f>SNI!$L$410</f>
        <v>0.4879</v>
      </c>
      <c r="L560" s="2053"/>
      <c r="M560" s="2054"/>
      <c r="N560" s="2055">
        <f>SNI!$I$410</f>
        <v>11500</v>
      </c>
      <c r="O560" s="2056"/>
      <c r="P560" s="1969">
        <f t="shared" ref="P560:P561" si="369">N560*G560</f>
        <v>12075</v>
      </c>
      <c r="Q560" s="1953"/>
      <c r="R560" s="1954"/>
      <c r="S560" s="1954">
        <f t="shared" ref="S560:S561" si="370">P560*K560</f>
        <v>5891.3924999999999</v>
      </c>
      <c r="T560" s="1969">
        <f t="shared" ref="T560:T561" si="371">P560-S560</f>
        <v>6183.6075000000001</v>
      </c>
      <c r="U560" s="2060"/>
      <c r="Z560" s="1956"/>
      <c r="AA560" s="1956"/>
      <c r="AF560" s="1836"/>
      <c r="AG560" s="1836"/>
      <c r="AH560" s="1836"/>
      <c r="AI560" s="1837"/>
      <c r="AJ560" s="1960"/>
    </row>
    <row r="561" spans="1:36" ht="21.95" customHeight="1" x14ac:dyDescent="0.2">
      <c r="B561" s="2045"/>
      <c r="C561" s="2046"/>
      <c r="D561" s="2047" t="str">
        <f>SNI!$E$411</f>
        <v>Kawat Beton</v>
      </c>
      <c r="E561" s="2047"/>
      <c r="F561" s="2048"/>
      <c r="G561" s="2049">
        <f>SNI!$H$411/10</f>
        <v>1.4999999999999999E-2</v>
      </c>
      <c r="H561" s="2050">
        <f>SNI!G753</f>
        <v>0</v>
      </c>
      <c r="I561" s="2051"/>
      <c r="J561" s="2051"/>
      <c r="K561" s="2052">
        <f>SNI!$L$411</f>
        <v>0</v>
      </c>
      <c r="L561" s="2053"/>
      <c r="M561" s="2054"/>
      <c r="N561" s="2055">
        <f>SNI!$I$411</f>
        <v>25500</v>
      </c>
      <c r="O561" s="2056"/>
      <c r="P561" s="1969">
        <f t="shared" si="369"/>
        <v>382.5</v>
      </c>
      <c r="Q561" s="1953"/>
      <c r="R561" s="1954"/>
      <c r="S561" s="1954">
        <f t="shared" si="370"/>
        <v>0</v>
      </c>
      <c r="T561" s="1969">
        <f t="shared" si="371"/>
        <v>382.5</v>
      </c>
      <c r="U561" s="2060"/>
      <c r="Z561" s="1956"/>
      <c r="AA561" s="1956"/>
      <c r="AF561" s="1836"/>
      <c r="AG561" s="1836"/>
      <c r="AH561" s="1836"/>
      <c r="AI561" s="1837"/>
      <c r="AJ561" s="1960"/>
    </row>
    <row r="562" spans="1:36" ht="21.95" customHeight="1" x14ac:dyDescent="0.2">
      <c r="B562" s="2045"/>
      <c r="C562" s="2046" t="str">
        <f>SNI!$D$413</f>
        <v>Tenaga Kerja</v>
      </c>
      <c r="D562" s="2047"/>
      <c r="E562" s="2047"/>
      <c r="F562" s="2048"/>
      <c r="G562" s="2049"/>
      <c r="H562" s="2050"/>
      <c r="I562" s="2051"/>
      <c r="J562" s="2051"/>
      <c r="K562" s="2052"/>
      <c r="L562" s="2053"/>
      <c r="M562" s="2054"/>
      <c r="N562" s="2055"/>
      <c r="O562" s="2056"/>
      <c r="P562" s="1969"/>
      <c r="Q562" s="1953"/>
      <c r="R562" s="1954"/>
      <c r="S562" s="1954"/>
      <c r="T562" s="1969"/>
      <c r="U562" s="2060"/>
      <c r="Z562" s="1956"/>
      <c r="AA562" s="1956"/>
      <c r="AF562" s="1836"/>
      <c r="AG562" s="1836"/>
      <c r="AH562" s="1836"/>
      <c r="AI562" s="1837"/>
      <c r="AJ562" s="1960"/>
    </row>
    <row r="563" spans="1:36" ht="21.95" customHeight="1" x14ac:dyDescent="0.2">
      <c r="B563" s="2045"/>
      <c r="C563" s="2046"/>
      <c r="D563" s="2047" t="str">
        <f>SNI!$E$413</f>
        <v xml:space="preserve">Pekerja </v>
      </c>
      <c r="E563" s="2047"/>
      <c r="F563" s="2048"/>
      <c r="G563" s="2049">
        <f>SNI!$H$413/10</f>
        <v>7.000000000000001E-3</v>
      </c>
      <c r="H563" s="2050" t="str">
        <f>SNI!$G$413</f>
        <v>OH</v>
      </c>
      <c r="I563" s="2051" t="str">
        <f>SNI!$M$413</f>
        <v>WNI</v>
      </c>
      <c r="J563" s="2051"/>
      <c r="K563" s="2052">
        <f>SNI!$L$413</f>
        <v>1</v>
      </c>
      <c r="L563" s="2053"/>
      <c r="M563" s="2054"/>
      <c r="N563" s="2055">
        <f>SNI!$I$413</f>
        <v>88300</v>
      </c>
      <c r="O563" s="2056"/>
      <c r="P563" s="1969">
        <f t="shared" ref="P563:P566" si="372">N563*G563</f>
        <v>618.10000000000014</v>
      </c>
      <c r="Q563" s="1953"/>
      <c r="R563" s="1954"/>
      <c r="S563" s="1954">
        <f t="shared" ref="S563:S566" si="373">P563*K563</f>
        <v>618.10000000000014</v>
      </c>
      <c r="T563" s="1969">
        <f t="shared" ref="T563:T566" si="374">P563-S563</f>
        <v>0</v>
      </c>
      <c r="U563" s="2060"/>
      <c r="Z563" s="1956"/>
      <c r="AA563" s="1956"/>
      <c r="AF563" s="1836"/>
      <c r="AG563" s="1836"/>
      <c r="AH563" s="1836"/>
      <c r="AI563" s="1837"/>
      <c r="AJ563" s="1960"/>
    </row>
    <row r="564" spans="1:36" ht="21.95" customHeight="1" x14ac:dyDescent="0.2">
      <c r="B564" s="2045"/>
      <c r="C564" s="2046"/>
      <c r="D564" s="2047" t="str">
        <f>SNI!$E$414</f>
        <v>Tukang Besi</v>
      </c>
      <c r="E564" s="2047"/>
      <c r="F564" s="2048"/>
      <c r="G564" s="2049">
        <f>SNI!$H$414/10</f>
        <v>7.000000000000001E-3</v>
      </c>
      <c r="H564" s="2050" t="str">
        <f>SNI!$G$414</f>
        <v>OH</v>
      </c>
      <c r="I564" s="2051" t="str">
        <f>SNI!$M$414</f>
        <v>WNI</v>
      </c>
      <c r="J564" s="2051"/>
      <c r="K564" s="2052">
        <f>SNI!$L$414</f>
        <v>1</v>
      </c>
      <c r="L564" s="2053"/>
      <c r="M564" s="2054"/>
      <c r="N564" s="2055">
        <f>SNI!$I$414</f>
        <v>90000</v>
      </c>
      <c r="O564" s="2056"/>
      <c r="P564" s="1969">
        <f t="shared" si="372"/>
        <v>630.00000000000011</v>
      </c>
      <c r="Q564" s="1953"/>
      <c r="R564" s="1954"/>
      <c r="S564" s="1954">
        <f t="shared" si="373"/>
        <v>630.00000000000011</v>
      </c>
      <c r="T564" s="1969">
        <f t="shared" si="374"/>
        <v>0</v>
      </c>
      <c r="U564" s="2060"/>
      <c r="Z564" s="1956"/>
      <c r="AA564" s="1956"/>
      <c r="AF564" s="1836"/>
      <c r="AG564" s="1836"/>
      <c r="AH564" s="1836"/>
      <c r="AI564" s="1837"/>
      <c r="AJ564" s="1960"/>
    </row>
    <row r="565" spans="1:36" ht="21.95" customHeight="1" x14ac:dyDescent="0.2">
      <c r="B565" s="2045"/>
      <c r="C565" s="2046"/>
      <c r="D565" s="2047" t="str">
        <f>SNI!$E$415</f>
        <v>Kepala Tukang</v>
      </c>
      <c r="E565" s="2047"/>
      <c r="F565" s="2048"/>
      <c r="G565" s="2049">
        <f>SNI!$H$415/10</f>
        <v>6.9999999999999999E-4</v>
      </c>
      <c r="H565" s="2050" t="str">
        <f>SNI!$G$415</f>
        <v>OH</v>
      </c>
      <c r="I565" s="2051" t="str">
        <f>SNI!$M$415</f>
        <v>WNI</v>
      </c>
      <c r="J565" s="2051"/>
      <c r="K565" s="2052">
        <f>SNI!$L$415</f>
        <v>1</v>
      </c>
      <c r="L565" s="2053"/>
      <c r="M565" s="2054"/>
      <c r="N565" s="2055">
        <f>SNI!$I$415</f>
        <v>96000</v>
      </c>
      <c r="O565" s="2056"/>
      <c r="P565" s="1969">
        <f t="shared" si="372"/>
        <v>67.2</v>
      </c>
      <c r="Q565" s="1953"/>
      <c r="R565" s="1954"/>
      <c r="S565" s="1954">
        <f t="shared" si="373"/>
        <v>67.2</v>
      </c>
      <c r="T565" s="1969">
        <f t="shared" si="374"/>
        <v>0</v>
      </c>
      <c r="U565" s="2060"/>
      <c r="Z565" s="1956"/>
      <c r="AA565" s="1956"/>
      <c r="AF565" s="1836"/>
      <c r="AG565" s="1836"/>
      <c r="AH565" s="1836"/>
      <c r="AI565" s="1837"/>
      <c r="AJ565" s="1960"/>
    </row>
    <row r="566" spans="1:36" ht="21.95" customHeight="1" x14ac:dyDescent="0.2">
      <c r="B566" s="2045"/>
      <c r="C566" s="2046"/>
      <c r="D566" s="2047" t="str">
        <f>SNI!$E$416</f>
        <v>Mandor</v>
      </c>
      <c r="E566" s="2047"/>
      <c r="F566" s="2048"/>
      <c r="G566" s="2049">
        <f>SNI!$H$416/10</f>
        <v>4.0000000000000002E-4</v>
      </c>
      <c r="H566" s="2050" t="str">
        <f>SNI!$G$416</f>
        <v>OH</v>
      </c>
      <c r="I566" s="2051" t="str">
        <f>SNI!$M$416</f>
        <v>WNI</v>
      </c>
      <c r="J566" s="2051"/>
      <c r="K566" s="2052">
        <f>SNI!$L$416</f>
        <v>1</v>
      </c>
      <c r="L566" s="2053"/>
      <c r="M566" s="2054"/>
      <c r="N566" s="2055">
        <f>SNI!$I$416</f>
        <v>90000</v>
      </c>
      <c r="O566" s="2056"/>
      <c r="P566" s="1969">
        <f t="shared" si="372"/>
        <v>36</v>
      </c>
      <c r="Q566" s="1953"/>
      <c r="R566" s="1954"/>
      <c r="S566" s="1954">
        <f t="shared" si="373"/>
        <v>36</v>
      </c>
      <c r="T566" s="1969">
        <f t="shared" si="374"/>
        <v>0</v>
      </c>
      <c r="U566" s="2060"/>
      <c r="Z566" s="1956"/>
      <c r="AA566" s="1956"/>
      <c r="AF566" s="1836"/>
      <c r="AG566" s="1836"/>
      <c r="AH566" s="1836"/>
      <c r="AI566" s="1837"/>
      <c r="AJ566" s="1960"/>
    </row>
    <row r="567" spans="1:36" s="1957" customFormat="1" ht="21.95" customHeight="1" x14ac:dyDescent="0.2">
      <c r="A567" s="1942"/>
      <c r="B567" s="1970"/>
      <c r="C567" s="1971"/>
      <c r="D567" s="1972"/>
      <c r="E567" s="1973"/>
      <c r="F567" s="1974" t="s">
        <v>556</v>
      </c>
      <c r="G567" s="1975">
        <f>B558</f>
        <v>5</v>
      </c>
      <c r="H567" s="1976"/>
      <c r="I567" s="1977"/>
      <c r="J567" s="1977"/>
      <c r="K567" s="1978"/>
      <c r="L567" s="1979"/>
      <c r="M567" s="1980"/>
      <c r="N567" s="1981"/>
      <c r="O567" s="1982"/>
      <c r="P567" s="1983">
        <f>SUM(P560:P566)</f>
        <v>13808.800000000001</v>
      </c>
      <c r="Q567" s="1984"/>
      <c r="R567" s="1985"/>
      <c r="S567" s="1983">
        <f t="shared" ref="S567" si="375">SUM(S560:S566)</f>
        <v>7242.6925000000001</v>
      </c>
      <c r="T567" s="1983">
        <f t="shared" ref="T567" si="376">SUM(T560:T566)</f>
        <v>6566.1075000000001</v>
      </c>
      <c r="U567" s="1986"/>
      <c r="V567" s="1848"/>
      <c r="W567" s="1848"/>
      <c r="X567" s="1848"/>
      <c r="Y567" s="1848"/>
      <c r="Z567" s="1956"/>
      <c r="AA567" s="1956"/>
      <c r="AF567" s="1958"/>
      <c r="AG567" s="1958"/>
      <c r="AH567" s="1958"/>
      <c r="AI567" s="1959"/>
      <c r="AJ567" s="1960"/>
    </row>
    <row r="568" spans="1:36" ht="21.95" customHeight="1" x14ac:dyDescent="0.2">
      <c r="A568" s="1833">
        <f>satpek!$B$45</f>
        <v>26</v>
      </c>
      <c r="B568" s="1943">
        <f>B558+1</f>
        <v>6</v>
      </c>
      <c r="C568" s="1937"/>
      <c r="D568" s="1944" t="str">
        <f>VLOOKUP($A568,satpek!$B$20:$N$144,2,0)</f>
        <v>Memasang bekisting untuk balok (2x pakai)</v>
      </c>
      <c r="E568" s="1944"/>
      <c r="F568" s="2004"/>
      <c r="G568" s="1945">
        <f>'[3]B.VOL RAB'!Q152</f>
        <v>181.4</v>
      </c>
      <c r="H568" s="1946" t="str">
        <f>VLOOKUP($A568,satpek!$B$20:$N$144,7,0)</f>
        <v>m2</v>
      </c>
      <c r="I568" s="1947"/>
      <c r="J568" s="1947"/>
      <c r="K568" s="1948"/>
      <c r="L568" s="1949"/>
      <c r="M568" s="1950" t="str">
        <f>VLOOKUP($A568,satpek!$B$20:$N$144,5,0)</f>
        <v>A.4.1.1.23.</v>
      </c>
      <c r="N568" s="1951">
        <f>VLOOKUP($A568,satpek!$B$20:$N$144,6,0)</f>
        <v>194762.28</v>
      </c>
      <c r="O568" s="1938"/>
      <c r="P568" s="1952">
        <f t="shared" si="362"/>
        <v>35329877.590000004</v>
      </c>
      <c r="Q568" s="1953">
        <f>VLOOKUP($A568,satpek!$B$20:$L$138,8,0)</f>
        <v>0.83069925038873027</v>
      </c>
      <c r="R568" s="1954">
        <f>VLOOKUP($A568,satpek!$B$20:$L$138,9,0)</f>
        <v>143176</v>
      </c>
      <c r="S568" s="1954">
        <f>VLOOKUP($A568,satpek!$B$20:$L$138,10,0)</f>
        <v>161788.88</v>
      </c>
      <c r="T568" s="1952">
        <f>S568*G568</f>
        <v>29348502.832000002</v>
      </c>
      <c r="U568" s="1955"/>
      <c r="X568" s="1848">
        <f>P582</f>
        <v>172356</v>
      </c>
      <c r="Y568" s="1848">
        <f>S582</f>
        <v>143176</v>
      </c>
      <c r="Z568" s="1956">
        <v>181.4</v>
      </c>
      <c r="AA568" s="1956">
        <f>Z568-G568</f>
        <v>0</v>
      </c>
      <c r="AB568" s="1836" t="s">
        <v>1909</v>
      </c>
      <c r="AF568" s="1836"/>
      <c r="AG568" s="1836"/>
      <c r="AH568" s="1836"/>
      <c r="AI568" s="1837">
        <v>195923.91999999998</v>
      </c>
      <c r="AJ568" s="1960">
        <f>AI568-N568</f>
        <v>1161.6399999999849</v>
      </c>
    </row>
    <row r="569" spans="1:36" ht="21.95" customHeight="1" x14ac:dyDescent="0.2">
      <c r="B569" s="2045"/>
      <c r="C569" s="2046" t="str">
        <f>SNI!$D$498</f>
        <v>Bahan</v>
      </c>
      <c r="D569" s="2047"/>
      <c r="E569" s="2047"/>
      <c r="F569" s="2048"/>
      <c r="G569" s="2049"/>
      <c r="H569" s="2050"/>
      <c r="I569" s="2051"/>
      <c r="J569" s="2051"/>
      <c r="K569" s="2052"/>
      <c r="L569" s="2053"/>
      <c r="M569" s="2054"/>
      <c r="N569" s="2055"/>
      <c r="O569" s="2056"/>
      <c r="P569" s="2057"/>
      <c r="Q569" s="2058"/>
      <c r="R569" s="2059"/>
      <c r="S569" s="2059"/>
      <c r="T569" s="2055"/>
      <c r="U569" s="2060"/>
      <c r="Z569" s="1956"/>
      <c r="AA569" s="1956"/>
      <c r="AF569" s="1836"/>
      <c r="AG569" s="1836"/>
      <c r="AH569" s="1836"/>
      <c r="AI569" s="1837"/>
      <c r="AJ569" s="1960"/>
    </row>
    <row r="570" spans="1:36" ht="21.95" customHeight="1" x14ac:dyDescent="0.2">
      <c r="B570" s="2045"/>
      <c r="C570" s="2046"/>
      <c r="D570" s="2047" t="str">
        <f>SNI!$E$498</f>
        <v>Kayu kelas III</v>
      </c>
      <c r="E570" s="2047"/>
      <c r="F570" s="2048"/>
      <c r="G570" s="2049">
        <f>SNI!$H$498</f>
        <v>0.02</v>
      </c>
      <c r="H570" s="2050" t="str">
        <f>SNI!$G$498</f>
        <v>m3</v>
      </c>
      <c r="I570" s="2051"/>
      <c r="J570" s="2051"/>
      <c r="K570" s="2052">
        <f>SNI!$L$498</f>
        <v>1</v>
      </c>
      <c r="L570" s="2053"/>
      <c r="M570" s="2054"/>
      <c r="N570" s="2055">
        <f>SNI!$I$498</f>
        <v>1100000</v>
      </c>
      <c r="O570" s="2056"/>
      <c r="P570" s="1969">
        <f t="shared" ref="P570:P575" si="377">N570*G570</f>
        <v>22000</v>
      </c>
      <c r="Q570" s="1953"/>
      <c r="R570" s="1954"/>
      <c r="S570" s="1954">
        <f t="shared" ref="S570:S575" si="378">P570*K570</f>
        <v>22000</v>
      </c>
      <c r="T570" s="1969">
        <f t="shared" ref="T570:T575" si="379">P570-S570</f>
        <v>0</v>
      </c>
      <c r="U570" s="2060"/>
      <c r="Z570" s="1956"/>
      <c r="AA570" s="1956"/>
      <c r="AF570" s="1836"/>
      <c r="AG570" s="1836"/>
      <c r="AH570" s="1836"/>
      <c r="AI570" s="1837"/>
      <c r="AJ570" s="1960"/>
    </row>
    <row r="571" spans="1:36" ht="21.95" customHeight="1" x14ac:dyDescent="0.2">
      <c r="B571" s="2045"/>
      <c r="C571" s="2046"/>
      <c r="D571" s="2047" t="str">
        <f>SNI!$E$499</f>
        <v>Paku 5 cm - 12 cm</v>
      </c>
      <c r="E571" s="2047"/>
      <c r="F571" s="2048"/>
      <c r="G571" s="2049">
        <f>SNI!$H$499</f>
        <v>0.4</v>
      </c>
      <c r="H571" s="2050" t="str">
        <f>SNI!$G$499</f>
        <v>kg</v>
      </c>
      <c r="I571" s="2051"/>
      <c r="J571" s="2051"/>
      <c r="K571" s="2052">
        <f>SNI!$L$499</f>
        <v>0</v>
      </c>
      <c r="L571" s="2053"/>
      <c r="M571" s="2054"/>
      <c r="N571" s="2055">
        <f>SNI!$I$499</f>
        <v>17000</v>
      </c>
      <c r="O571" s="2056"/>
      <c r="P571" s="1969">
        <f t="shared" si="377"/>
        <v>6800</v>
      </c>
      <c r="Q571" s="1953"/>
      <c r="R571" s="1954"/>
      <c r="S571" s="1954">
        <f t="shared" si="378"/>
        <v>0</v>
      </c>
      <c r="T571" s="1969">
        <f t="shared" si="379"/>
        <v>6800</v>
      </c>
      <c r="U571" s="2060"/>
      <c r="Z571" s="1956"/>
      <c r="AA571" s="1956"/>
      <c r="AF571" s="1836"/>
      <c r="AG571" s="1836"/>
      <c r="AH571" s="1836"/>
      <c r="AI571" s="1837"/>
      <c r="AJ571" s="1960"/>
    </row>
    <row r="572" spans="1:36" ht="21.95" customHeight="1" x14ac:dyDescent="0.2">
      <c r="B572" s="2045"/>
      <c r="C572" s="2046"/>
      <c r="D572" s="2047" t="str">
        <f>SNI!$E$500</f>
        <v>Minyak Bekisting</v>
      </c>
      <c r="E572" s="2047"/>
      <c r="F572" s="2048"/>
      <c r="G572" s="2049">
        <f>SNI!$H$500</f>
        <v>0.2</v>
      </c>
      <c r="H572" s="2050" t="str">
        <f>SNI!$G$500</f>
        <v>ltr</v>
      </c>
      <c r="I572" s="2051"/>
      <c r="J572" s="2051"/>
      <c r="K572" s="2052">
        <f>SNI!$L$500</f>
        <v>0</v>
      </c>
      <c r="L572" s="2053"/>
      <c r="M572" s="2054"/>
      <c r="N572" s="2055">
        <f>SNI!$I$500</f>
        <v>6900</v>
      </c>
      <c r="O572" s="2056"/>
      <c r="P572" s="1969">
        <f t="shared" si="377"/>
        <v>1380</v>
      </c>
      <c r="Q572" s="1953"/>
      <c r="R572" s="1954"/>
      <c r="S572" s="1954">
        <f t="shared" si="378"/>
        <v>0</v>
      </c>
      <c r="T572" s="1969">
        <f t="shared" si="379"/>
        <v>1380</v>
      </c>
      <c r="U572" s="2060"/>
      <c r="Z572" s="1956"/>
      <c r="AA572" s="1956"/>
      <c r="AF572" s="1836"/>
      <c r="AG572" s="1836"/>
      <c r="AH572" s="1836"/>
      <c r="AI572" s="1837"/>
      <c r="AJ572" s="1960"/>
    </row>
    <row r="573" spans="1:36" ht="21.95" customHeight="1" x14ac:dyDescent="0.2">
      <c r="B573" s="2045"/>
      <c r="C573" s="2046"/>
      <c r="D573" s="2047" t="str">
        <f>SNI!$E$501</f>
        <v>Balok kayu kelas II</v>
      </c>
      <c r="E573" s="2047"/>
      <c r="F573" s="2048"/>
      <c r="G573" s="2049">
        <f>SNI!$H$501</f>
        <v>8.9999999999999993E-3</v>
      </c>
      <c r="H573" s="2050" t="str">
        <f>SNI!$G$501</f>
        <v>m3</v>
      </c>
      <c r="I573" s="2051"/>
      <c r="J573" s="2051"/>
      <c r="K573" s="2052">
        <f>SNI!$L$501</f>
        <v>1</v>
      </c>
      <c r="L573" s="2053"/>
      <c r="M573" s="2054"/>
      <c r="N573" s="2055">
        <f>SNI!$I$501</f>
        <v>1600000</v>
      </c>
      <c r="O573" s="2056"/>
      <c r="P573" s="1969">
        <f t="shared" si="377"/>
        <v>14399.999999999998</v>
      </c>
      <c r="Q573" s="1953"/>
      <c r="R573" s="1954"/>
      <c r="S573" s="1954">
        <f t="shared" si="378"/>
        <v>14399.999999999998</v>
      </c>
      <c r="T573" s="1969">
        <f t="shared" si="379"/>
        <v>0</v>
      </c>
      <c r="U573" s="2060"/>
      <c r="Z573" s="1956"/>
      <c r="AA573" s="1956"/>
      <c r="AF573" s="1836"/>
      <c r="AG573" s="1836"/>
      <c r="AH573" s="1836"/>
      <c r="AI573" s="1837"/>
      <c r="AJ573" s="1960"/>
    </row>
    <row r="574" spans="1:36" ht="21.95" customHeight="1" x14ac:dyDescent="0.2">
      <c r="B574" s="2045"/>
      <c r="C574" s="2046"/>
      <c r="D574" s="2047" t="str">
        <f>SNI!$E$502</f>
        <v>Plywood tebal 9 mm</v>
      </c>
      <c r="E574" s="2047"/>
      <c r="F574" s="2048"/>
      <c r="G574" s="2049">
        <f>SNI!$H$502</f>
        <v>0.17499999999999999</v>
      </c>
      <c r="H574" s="2050" t="str">
        <f>SNI!$G$502</f>
        <v>lbr</v>
      </c>
      <c r="I574" s="2051"/>
      <c r="J574" s="2051"/>
      <c r="K574" s="2052">
        <f>SNI!$L$502</f>
        <v>0</v>
      </c>
      <c r="L574" s="2053"/>
      <c r="M574" s="2054"/>
      <c r="N574" s="2055">
        <f>SNI!$I$502</f>
        <v>120000</v>
      </c>
      <c r="O574" s="2056"/>
      <c r="P574" s="1969">
        <f t="shared" si="377"/>
        <v>21000</v>
      </c>
      <c r="Q574" s="1953"/>
      <c r="R574" s="1954"/>
      <c r="S574" s="1954">
        <f t="shared" si="378"/>
        <v>0</v>
      </c>
      <c r="T574" s="1969">
        <f t="shared" si="379"/>
        <v>21000</v>
      </c>
      <c r="U574" s="2060"/>
      <c r="Z574" s="1956"/>
      <c r="AA574" s="1956"/>
      <c r="AF574" s="1836"/>
      <c r="AG574" s="1836"/>
      <c r="AH574" s="1836"/>
      <c r="AI574" s="1837"/>
      <c r="AJ574" s="1960"/>
    </row>
    <row r="575" spans="1:36" ht="21.95" customHeight="1" x14ac:dyDescent="0.2">
      <c r="B575" s="2045"/>
      <c r="C575" s="2046"/>
      <c r="D575" s="2047" t="str">
        <f>SNI!$E$503</f>
        <v>Dolken kayu galam,</v>
      </c>
      <c r="E575" s="2047"/>
      <c r="F575" s="2048"/>
      <c r="G575" s="2049">
        <f>SNI!$H$503</f>
        <v>1</v>
      </c>
      <c r="H575" s="2050" t="str">
        <f>SNI!$G$503</f>
        <v>btg</v>
      </c>
      <c r="I575" s="2051"/>
      <c r="J575" s="2051"/>
      <c r="K575" s="2052">
        <f>SNI!$L$503</f>
        <v>1</v>
      </c>
      <c r="L575" s="2053"/>
      <c r="M575" s="2054"/>
      <c r="N575" s="2055">
        <f>SNI!$I$503</f>
        <v>12000</v>
      </c>
      <c r="O575" s="2056"/>
      <c r="P575" s="1969">
        <f t="shared" si="377"/>
        <v>12000</v>
      </c>
      <c r="Q575" s="1953"/>
      <c r="R575" s="1954"/>
      <c r="S575" s="1954">
        <f t="shared" si="378"/>
        <v>12000</v>
      </c>
      <c r="T575" s="1969">
        <f t="shared" si="379"/>
        <v>0</v>
      </c>
      <c r="U575" s="2060"/>
      <c r="Z575" s="1956"/>
      <c r="AA575" s="1956"/>
      <c r="AF575" s="1836"/>
      <c r="AG575" s="1836"/>
      <c r="AH575" s="1836"/>
      <c r="AI575" s="1837"/>
      <c r="AJ575" s="1960"/>
    </row>
    <row r="576" spans="1:36" ht="21.95" customHeight="1" x14ac:dyDescent="0.2">
      <c r="B576" s="2045"/>
      <c r="C576" s="2046"/>
      <c r="D576" s="2047" t="str">
        <f>SNI!$E$504</f>
        <v>Ø (8 - 10) cm, panj 4 m</v>
      </c>
      <c r="E576" s="2047"/>
      <c r="F576" s="2048"/>
      <c r="G576" s="2049"/>
      <c r="H576" s="2050"/>
      <c r="I576" s="2051"/>
      <c r="J576" s="2051"/>
      <c r="K576" s="2052"/>
      <c r="L576" s="2053"/>
      <c r="M576" s="2054"/>
      <c r="N576" s="2055"/>
      <c r="O576" s="2056"/>
      <c r="P576" s="1969"/>
      <c r="Q576" s="1953"/>
      <c r="R576" s="1954"/>
      <c r="S576" s="1954"/>
      <c r="T576" s="1969"/>
      <c r="U576" s="2060"/>
      <c r="Z576" s="1956"/>
      <c r="AA576" s="1956"/>
      <c r="AF576" s="1836"/>
      <c r="AG576" s="1836"/>
      <c r="AH576" s="1836"/>
      <c r="AI576" s="1837"/>
      <c r="AJ576" s="1960"/>
    </row>
    <row r="577" spans="1:36" ht="21.95" customHeight="1" x14ac:dyDescent="0.2">
      <c r="B577" s="2045"/>
      <c r="C577" s="2046" t="str">
        <f>SNI!$D$506</f>
        <v>Tenaga Kerja</v>
      </c>
      <c r="D577" s="2047"/>
      <c r="E577" s="2047"/>
      <c r="F577" s="2048"/>
      <c r="G577" s="2049"/>
      <c r="H577" s="2050"/>
      <c r="I577" s="2051"/>
      <c r="J577" s="2051"/>
      <c r="K577" s="2052"/>
      <c r="L577" s="2053"/>
      <c r="M577" s="2054"/>
      <c r="N577" s="2055"/>
      <c r="O577" s="2056"/>
      <c r="P577" s="1969"/>
      <c r="Q577" s="1953"/>
      <c r="R577" s="1954"/>
      <c r="S577" s="1954"/>
      <c r="T577" s="1969"/>
      <c r="U577" s="2060"/>
      <c r="Z577" s="1956"/>
      <c r="AA577" s="1956"/>
      <c r="AF577" s="1836"/>
      <c r="AG577" s="1836"/>
      <c r="AH577" s="1836"/>
      <c r="AI577" s="1837"/>
      <c r="AJ577" s="1960"/>
    </row>
    <row r="578" spans="1:36" ht="21.95" customHeight="1" x14ac:dyDescent="0.2">
      <c r="B578" s="2045"/>
      <c r="C578" s="2046"/>
      <c r="D578" s="2047" t="str">
        <f>SNI!$E$506</f>
        <v xml:space="preserve">Pekerja </v>
      </c>
      <c r="E578" s="2047"/>
      <c r="F578" s="2048"/>
      <c r="G578" s="2049">
        <f>SNI!$H$506</f>
        <v>0.66</v>
      </c>
      <c r="H578" s="2050" t="str">
        <f>SNI!$G$506</f>
        <v>OH</v>
      </c>
      <c r="I578" s="2051" t="str">
        <f>SNI!$M$315</f>
        <v>WNI</v>
      </c>
      <c r="J578" s="2051"/>
      <c r="K578" s="2052">
        <f>SNI!$L$506</f>
        <v>1</v>
      </c>
      <c r="L578" s="2053"/>
      <c r="M578" s="2054"/>
      <c r="N578" s="2055">
        <f>SNI!$I$506</f>
        <v>88300</v>
      </c>
      <c r="O578" s="2056"/>
      <c r="P578" s="1969">
        <f t="shared" ref="P578:P581" si="380">N578*G578</f>
        <v>58278</v>
      </c>
      <c r="Q578" s="1953"/>
      <c r="R578" s="1954"/>
      <c r="S578" s="1954">
        <f t="shared" ref="S578:S581" si="381">P578*K578</f>
        <v>58278</v>
      </c>
      <c r="T578" s="1969">
        <f t="shared" ref="T578:T581" si="382">P578-S578</f>
        <v>0</v>
      </c>
      <c r="U578" s="2060"/>
      <c r="Z578" s="1956"/>
      <c r="AA578" s="1956"/>
      <c r="AF578" s="1836"/>
      <c r="AG578" s="1836"/>
      <c r="AH578" s="1836"/>
      <c r="AI578" s="1837"/>
      <c r="AJ578" s="1960"/>
    </row>
    <row r="579" spans="1:36" ht="21.95" customHeight="1" x14ac:dyDescent="0.2">
      <c r="B579" s="2045"/>
      <c r="C579" s="2046"/>
      <c r="D579" s="2047" t="str">
        <f>SNI!$E$507</f>
        <v>Tukang Kayu</v>
      </c>
      <c r="E579" s="2047"/>
      <c r="F579" s="2048"/>
      <c r="G579" s="2049">
        <f>SNI!$H$507</f>
        <v>0.33</v>
      </c>
      <c r="H579" s="2050" t="str">
        <f>SNI!$G$507</f>
        <v>OH</v>
      </c>
      <c r="I579" s="2051" t="str">
        <f>SNI!$M$315</f>
        <v>WNI</v>
      </c>
      <c r="J579" s="2051"/>
      <c r="K579" s="2052">
        <f>SNI!$L$507</f>
        <v>1</v>
      </c>
      <c r="L579" s="2053"/>
      <c r="M579" s="2054"/>
      <c r="N579" s="2055">
        <f>SNI!$I$507</f>
        <v>92000</v>
      </c>
      <c r="O579" s="2056"/>
      <c r="P579" s="1969">
        <f t="shared" si="380"/>
        <v>30360</v>
      </c>
      <c r="Q579" s="1953"/>
      <c r="R579" s="1954"/>
      <c r="S579" s="1954">
        <f t="shared" si="381"/>
        <v>30360</v>
      </c>
      <c r="T579" s="1969">
        <f t="shared" si="382"/>
        <v>0</v>
      </c>
      <c r="U579" s="2060"/>
      <c r="Z579" s="1956"/>
      <c r="AA579" s="1956"/>
      <c r="AF579" s="1836"/>
      <c r="AG579" s="1836"/>
      <c r="AH579" s="1836"/>
      <c r="AI579" s="1837"/>
      <c r="AJ579" s="1960"/>
    </row>
    <row r="580" spans="1:36" ht="21.95" customHeight="1" x14ac:dyDescent="0.2">
      <c r="B580" s="2045"/>
      <c r="C580" s="2046"/>
      <c r="D580" s="2047" t="str">
        <f>SNI!$E$508</f>
        <v>Kepala Tukang</v>
      </c>
      <c r="E580" s="2047"/>
      <c r="F580" s="2048"/>
      <c r="G580" s="2049">
        <f>SNI!$H$508</f>
        <v>3.3000000000000002E-2</v>
      </c>
      <c r="H580" s="2050" t="str">
        <f>SNI!$G$508</f>
        <v>OH</v>
      </c>
      <c r="I580" s="2051" t="str">
        <f>SNI!$M$315</f>
        <v>WNI</v>
      </c>
      <c r="J580" s="2051"/>
      <c r="K580" s="2052">
        <f>SNI!$L$508</f>
        <v>1</v>
      </c>
      <c r="L580" s="2053"/>
      <c r="M580" s="2054"/>
      <c r="N580" s="2055">
        <f>SNI!$I$508</f>
        <v>96000</v>
      </c>
      <c r="O580" s="2056"/>
      <c r="P580" s="1969">
        <f t="shared" si="380"/>
        <v>3168</v>
      </c>
      <c r="Q580" s="1953"/>
      <c r="R580" s="1954"/>
      <c r="S580" s="1954">
        <f t="shared" si="381"/>
        <v>3168</v>
      </c>
      <c r="T580" s="1969">
        <f t="shared" si="382"/>
        <v>0</v>
      </c>
      <c r="U580" s="2060"/>
      <c r="Z580" s="1956"/>
      <c r="AA580" s="1956"/>
      <c r="AF580" s="1836"/>
      <c r="AG580" s="1836"/>
      <c r="AH580" s="1836"/>
      <c r="AI580" s="1837"/>
      <c r="AJ580" s="1960"/>
    </row>
    <row r="581" spans="1:36" ht="21.95" customHeight="1" x14ac:dyDescent="0.2">
      <c r="B581" s="2045"/>
      <c r="C581" s="2046"/>
      <c r="D581" s="2047" t="str">
        <f>SNI!$E$509</f>
        <v>Mandor</v>
      </c>
      <c r="E581" s="2047"/>
      <c r="F581" s="2048"/>
      <c r="G581" s="2049">
        <f>SNI!$H$509</f>
        <v>3.3000000000000002E-2</v>
      </c>
      <c r="H581" s="2050" t="str">
        <f>SNI!$G$509</f>
        <v>OH</v>
      </c>
      <c r="I581" s="2051" t="str">
        <f>SNI!$M$315</f>
        <v>WNI</v>
      </c>
      <c r="J581" s="2051"/>
      <c r="K581" s="2052">
        <f>SNI!$L$509</f>
        <v>1</v>
      </c>
      <c r="L581" s="2053"/>
      <c r="M581" s="2054"/>
      <c r="N581" s="2055">
        <f>SNI!$I$509</f>
        <v>90000</v>
      </c>
      <c r="O581" s="2056"/>
      <c r="P581" s="1969">
        <f t="shared" si="380"/>
        <v>2970</v>
      </c>
      <c r="Q581" s="1953"/>
      <c r="R581" s="1954"/>
      <c r="S581" s="1954">
        <f t="shared" si="381"/>
        <v>2970</v>
      </c>
      <c r="T581" s="1969">
        <f t="shared" si="382"/>
        <v>0</v>
      </c>
      <c r="U581" s="2060"/>
      <c r="Z581" s="1956"/>
      <c r="AA581" s="1956"/>
      <c r="AF581" s="1836"/>
      <c r="AG581" s="1836"/>
      <c r="AH581" s="1836"/>
      <c r="AI581" s="1837"/>
      <c r="AJ581" s="1960"/>
    </row>
    <row r="582" spans="1:36" s="1957" customFormat="1" ht="21.95" customHeight="1" x14ac:dyDescent="0.2">
      <c r="A582" s="1942"/>
      <c r="B582" s="1970"/>
      <c r="C582" s="1971"/>
      <c r="D582" s="1972"/>
      <c r="E582" s="1973"/>
      <c r="F582" s="1974" t="s">
        <v>556</v>
      </c>
      <c r="G582" s="1975">
        <f>B568</f>
        <v>6</v>
      </c>
      <c r="H582" s="1976"/>
      <c r="I582" s="1977"/>
      <c r="J582" s="1977"/>
      <c r="K582" s="1978"/>
      <c r="L582" s="1979"/>
      <c r="M582" s="1980"/>
      <c r="N582" s="1981"/>
      <c r="O582" s="1982"/>
      <c r="P582" s="1983">
        <f>SUM(P570:P581)</f>
        <v>172356</v>
      </c>
      <c r="Q582" s="1984"/>
      <c r="R582" s="1985"/>
      <c r="S582" s="1983">
        <f t="shared" ref="S582" si="383">SUM(S570:S581)</f>
        <v>143176</v>
      </c>
      <c r="T582" s="1983">
        <f t="shared" ref="T582" si="384">SUM(T570:T581)</f>
        <v>29180</v>
      </c>
      <c r="U582" s="1986"/>
      <c r="V582" s="1848"/>
      <c r="W582" s="1848"/>
      <c r="X582" s="1848"/>
      <c r="Y582" s="1848"/>
      <c r="Z582" s="1956"/>
      <c r="AA582" s="1956"/>
      <c r="AF582" s="1958"/>
      <c r="AG582" s="1958"/>
      <c r="AH582" s="1958"/>
      <c r="AI582" s="1959"/>
      <c r="AJ582" s="1960"/>
    </row>
    <row r="583" spans="1:36" ht="21.95" customHeight="1" x14ac:dyDescent="0.2">
      <c r="B583" s="2102"/>
      <c r="C583" s="2103"/>
      <c r="D583" s="2081" t="s">
        <v>1790</v>
      </c>
      <c r="E583" s="1930"/>
      <c r="F583" s="1931"/>
      <c r="G583" s="1945"/>
      <c r="H583" s="1933"/>
      <c r="I583" s="1934"/>
      <c r="J583" s="1934"/>
      <c r="K583" s="1935"/>
      <c r="L583" s="1936"/>
      <c r="M583" s="1936"/>
      <c r="N583" s="1951"/>
      <c r="O583" s="2066"/>
      <c r="P583" s="2067"/>
      <c r="Q583" s="1934"/>
      <c r="R583" s="1934"/>
      <c r="S583" s="1934"/>
      <c r="T583" s="1940"/>
      <c r="U583" s="1941"/>
      <c r="Z583" s="1956"/>
      <c r="AA583" s="1956">
        <f>Z583-G583</f>
        <v>0</v>
      </c>
      <c r="AB583" s="1836" t="s">
        <v>1790</v>
      </c>
      <c r="AF583" s="1836"/>
      <c r="AG583" s="1836"/>
      <c r="AH583" s="1836"/>
      <c r="AI583" s="1837"/>
      <c r="AJ583" s="1960">
        <f>AI583-N583</f>
        <v>0</v>
      </c>
    </row>
    <row r="584" spans="1:36" ht="21.95" customHeight="1" x14ac:dyDescent="0.2">
      <c r="A584" s="1833">
        <f>satpek!$B$40</f>
        <v>21</v>
      </c>
      <c r="B584" s="1943">
        <f>B568+1</f>
        <v>7</v>
      </c>
      <c r="C584" s="1937"/>
      <c r="D584" s="1944" t="str">
        <f>VLOOKUP($A584,satpek!$B$20:$N$144,2,0)</f>
        <v>Membuat beton mutu f'c = 21,7 Mpa - K 250</v>
      </c>
      <c r="E584" s="1944"/>
      <c r="F584" s="2004"/>
      <c r="G584" s="1945">
        <f>'[3]B.VOL RAB'!Q156</f>
        <v>10.17</v>
      </c>
      <c r="H584" s="1946" t="str">
        <f>VLOOKUP($A584,satpek!$B$20:$N$144,7,0)</f>
        <v>m3</v>
      </c>
      <c r="I584" s="1947"/>
      <c r="J584" s="1947"/>
      <c r="K584" s="1948"/>
      <c r="L584" s="1949"/>
      <c r="M584" s="1950" t="str">
        <f>VLOOKUP($A584,satpek!$B$20:$N$144,5,0)</f>
        <v>A.4.1.1.8.</v>
      </c>
      <c r="N584" s="1951">
        <f>VLOOKUP($A584,satpek!$B$20:$N$144,6,0)</f>
        <v>1115753.29</v>
      </c>
      <c r="O584" s="1938"/>
      <c r="P584" s="1952">
        <f t="shared" ref="P584:P606" si="385">ROUND((G584*N584),2)</f>
        <v>11347210.960000001</v>
      </c>
      <c r="Q584" s="1953">
        <f>VLOOKUP($A584,satpek!$B$20:$L$138,8,0)</f>
        <v>0.93065078521121514</v>
      </c>
      <c r="R584" s="1954">
        <f>VLOOKUP($A584,satpek!$B$20:$L$138,9,0)</f>
        <v>918917.40999999992</v>
      </c>
      <c r="S584" s="1954">
        <f>VLOOKUP($A584,satpek!$B$20:$L$138,10,0)</f>
        <v>1038376.6732999999</v>
      </c>
      <c r="T584" s="1952">
        <f>S584*G584</f>
        <v>10560290.767460998</v>
      </c>
      <c r="U584" s="1955"/>
      <c r="X584" s="1848">
        <f>P595</f>
        <v>987392.28571428568</v>
      </c>
      <c r="Y584" s="1848">
        <f>S595</f>
        <v>918917.40571428579</v>
      </c>
      <c r="Z584" s="1956">
        <v>8.4749999999999996</v>
      </c>
      <c r="AA584" s="1956">
        <f>Z584-G584</f>
        <v>-1.6950000000000003</v>
      </c>
      <c r="AB584" s="1836" t="s">
        <v>1905</v>
      </c>
      <c r="AF584" s="1836"/>
      <c r="AG584" s="1836"/>
      <c r="AH584" s="1836"/>
      <c r="AI584" s="1837">
        <v>1191397.42</v>
      </c>
      <c r="AJ584" s="1960">
        <f>AI584-N584</f>
        <v>75644.129999999888</v>
      </c>
    </row>
    <row r="585" spans="1:36" ht="21.95" customHeight="1" x14ac:dyDescent="0.2">
      <c r="B585" s="2045"/>
      <c r="C585" s="2046" t="str">
        <f>SNI!$D$389</f>
        <v>Bahan</v>
      </c>
      <c r="D585" s="2047"/>
      <c r="E585" s="2047"/>
      <c r="F585" s="2048"/>
      <c r="G585" s="2049"/>
      <c r="H585" s="2050"/>
      <c r="I585" s="2051"/>
      <c r="J585" s="2051"/>
      <c r="K585" s="2052"/>
      <c r="L585" s="2053"/>
      <c r="M585" s="2054"/>
      <c r="N585" s="2055"/>
      <c r="O585" s="2056"/>
      <c r="P585" s="2057"/>
      <c r="Q585" s="2058"/>
      <c r="R585" s="2059"/>
      <c r="S585" s="2059"/>
      <c r="T585" s="2057"/>
      <c r="U585" s="2060"/>
      <c r="Z585" s="1956"/>
      <c r="AA585" s="1956"/>
      <c r="AF585" s="1836"/>
      <c r="AG585" s="1836"/>
      <c r="AH585" s="1836"/>
      <c r="AI585" s="1837"/>
      <c r="AJ585" s="1960"/>
    </row>
    <row r="586" spans="1:36" ht="21.95" customHeight="1" x14ac:dyDescent="0.2">
      <c r="B586" s="2045"/>
      <c r="C586" s="2046"/>
      <c r="D586" s="2047" t="str">
        <f>SNI!$E$389</f>
        <v>PC</v>
      </c>
      <c r="E586" s="2047"/>
      <c r="F586" s="2048"/>
      <c r="G586" s="2049">
        <f>SNI!$H$389</f>
        <v>384</v>
      </c>
      <c r="H586" s="2050" t="str">
        <f>SNI!$G$389</f>
        <v>kg</v>
      </c>
      <c r="I586" s="2051"/>
      <c r="J586" s="2051"/>
      <c r="K586" s="2052">
        <f>SNI!$L$389</f>
        <v>0.85140000000000005</v>
      </c>
      <c r="L586" s="2053"/>
      <c r="M586" s="2054"/>
      <c r="N586" s="2055">
        <f>SNI!$I$389</f>
        <v>1200</v>
      </c>
      <c r="O586" s="2056"/>
      <c r="P586" s="1969">
        <f t="shared" ref="P586:P589" si="386">N586*G586</f>
        <v>460800</v>
      </c>
      <c r="Q586" s="1953"/>
      <c r="R586" s="1954"/>
      <c r="S586" s="1954">
        <f t="shared" ref="S586:S589" si="387">P586*K586</f>
        <v>392325.12</v>
      </c>
      <c r="T586" s="1969">
        <f t="shared" ref="T586:T589" si="388">P586-S586</f>
        <v>68474.880000000005</v>
      </c>
      <c r="U586" s="2060"/>
      <c r="Z586" s="1956"/>
      <c r="AA586" s="1956"/>
      <c r="AF586" s="1836"/>
      <c r="AG586" s="1836"/>
      <c r="AH586" s="1836"/>
      <c r="AI586" s="1837"/>
      <c r="AJ586" s="1960"/>
    </row>
    <row r="587" spans="1:36" ht="21.95" customHeight="1" x14ac:dyDescent="0.2">
      <c r="B587" s="2045"/>
      <c r="C587" s="2046"/>
      <c r="D587" s="2047" t="str">
        <f>SNI!$E$390</f>
        <v>Pasir Beton</v>
      </c>
      <c r="E587" s="2047"/>
      <c r="F587" s="2048"/>
      <c r="G587" s="2049">
        <f>SNI!$H$390</f>
        <v>692</v>
      </c>
      <c r="H587" s="2050" t="str">
        <f>SNI!$G$390</f>
        <v>kg</v>
      </c>
      <c r="I587" s="2051"/>
      <c r="J587" s="2051"/>
      <c r="K587" s="2052">
        <f>SNI!$L$390</f>
        <v>1</v>
      </c>
      <c r="L587" s="2053"/>
      <c r="M587" s="2054"/>
      <c r="N587" s="2055">
        <f>SNI!$I$390</f>
        <v>185.71428571428572</v>
      </c>
      <c r="O587" s="2056"/>
      <c r="P587" s="1969">
        <f t="shared" si="386"/>
        <v>128514.28571428572</v>
      </c>
      <c r="Q587" s="1953"/>
      <c r="R587" s="1954"/>
      <c r="S587" s="1954">
        <f t="shared" si="387"/>
        <v>128514.28571428572</v>
      </c>
      <c r="T587" s="1969">
        <f t="shared" si="388"/>
        <v>0</v>
      </c>
      <c r="U587" s="2060"/>
      <c r="Z587" s="1956"/>
      <c r="AA587" s="1956"/>
      <c r="AF587" s="1836"/>
      <c r="AG587" s="1836"/>
      <c r="AH587" s="1836"/>
      <c r="AI587" s="1837"/>
      <c r="AJ587" s="1960"/>
    </row>
    <row r="588" spans="1:36" ht="21.95" customHeight="1" x14ac:dyDescent="0.2">
      <c r="B588" s="2045"/>
      <c r="C588" s="2046"/>
      <c r="D588" s="2047" t="str">
        <f>SNI!$E$391</f>
        <v>Kerikil ( maks 30 mm )</v>
      </c>
      <c r="E588" s="2047"/>
      <c r="F588" s="2048"/>
      <c r="G588" s="2049">
        <f>SNI!$H$391</f>
        <v>1039</v>
      </c>
      <c r="H588" s="2050" t="str">
        <f>SNI!$G$391</f>
        <v>kg</v>
      </c>
      <c r="I588" s="2051"/>
      <c r="J588" s="2051"/>
      <c r="K588" s="2052">
        <f>SNI!$L$391</f>
        <v>1</v>
      </c>
      <c r="L588" s="2053"/>
      <c r="M588" s="2054"/>
      <c r="N588" s="2055">
        <f>SNI!$I$391</f>
        <v>200</v>
      </c>
      <c r="O588" s="2056"/>
      <c r="P588" s="1969">
        <f t="shared" si="386"/>
        <v>207800</v>
      </c>
      <c r="Q588" s="1953"/>
      <c r="R588" s="1954"/>
      <c r="S588" s="1954">
        <f t="shared" si="387"/>
        <v>207800</v>
      </c>
      <c r="T588" s="1969">
        <f t="shared" si="388"/>
        <v>0</v>
      </c>
      <c r="U588" s="2060"/>
      <c r="Z588" s="1956"/>
      <c r="AA588" s="1956"/>
      <c r="AF588" s="1836"/>
      <c r="AG588" s="1836"/>
      <c r="AH588" s="1836"/>
      <c r="AI588" s="1837"/>
      <c r="AJ588" s="1960"/>
    </row>
    <row r="589" spans="1:36" ht="21.95" customHeight="1" x14ac:dyDescent="0.2">
      <c r="B589" s="2045"/>
      <c r="C589" s="2046"/>
      <c r="D589" s="2047" t="str">
        <f>SNI!$E$392</f>
        <v>Air</v>
      </c>
      <c r="E589" s="2047"/>
      <c r="F589" s="2048"/>
      <c r="G589" s="2049">
        <f>SNI!$H$392</f>
        <v>215</v>
      </c>
      <c r="H589" s="2050" t="str">
        <f>SNI!$G$392</f>
        <v>ltr</v>
      </c>
      <c r="I589" s="2051"/>
      <c r="J589" s="2051"/>
      <c r="K589" s="2052">
        <f>SNI!$L$392</f>
        <v>1</v>
      </c>
      <c r="L589" s="2053"/>
      <c r="M589" s="2054"/>
      <c r="N589" s="2055">
        <f>SNI!$I$392</f>
        <v>45</v>
      </c>
      <c r="O589" s="2056"/>
      <c r="P589" s="1969">
        <f t="shared" si="386"/>
        <v>9675</v>
      </c>
      <c r="Q589" s="1953"/>
      <c r="R589" s="1954"/>
      <c r="S589" s="1954">
        <f t="shared" si="387"/>
        <v>9675</v>
      </c>
      <c r="T589" s="1969">
        <f t="shared" si="388"/>
        <v>0</v>
      </c>
      <c r="U589" s="2060"/>
      <c r="Z589" s="1956"/>
      <c r="AA589" s="1956"/>
      <c r="AF589" s="1836"/>
      <c r="AG589" s="1836"/>
      <c r="AH589" s="1836"/>
      <c r="AI589" s="1837"/>
      <c r="AJ589" s="1960"/>
    </row>
    <row r="590" spans="1:36" ht="21.95" customHeight="1" x14ac:dyDescent="0.2">
      <c r="B590" s="2045"/>
      <c r="C590" s="2046" t="str">
        <f>SNI!$D$394</f>
        <v>Tenaga Kerja</v>
      </c>
      <c r="D590" s="2047"/>
      <c r="E590" s="2047"/>
      <c r="F590" s="2048"/>
      <c r="G590" s="2049"/>
      <c r="H590" s="2050"/>
      <c r="I590" s="2051"/>
      <c r="J590" s="2051"/>
      <c r="K590" s="2052"/>
      <c r="L590" s="2053"/>
      <c r="M590" s="2054"/>
      <c r="N590" s="2055"/>
      <c r="O590" s="2056"/>
      <c r="P590" s="1969"/>
      <c r="Q590" s="1953"/>
      <c r="R590" s="1954"/>
      <c r="S590" s="1954"/>
      <c r="T590" s="1969"/>
      <c r="U590" s="2060"/>
      <c r="Z590" s="1956"/>
      <c r="AA590" s="1956"/>
      <c r="AF590" s="1836"/>
      <c r="AG590" s="1836"/>
      <c r="AH590" s="1836"/>
      <c r="AI590" s="1837"/>
      <c r="AJ590" s="1960"/>
    </row>
    <row r="591" spans="1:36" ht="21.95" customHeight="1" x14ac:dyDescent="0.2">
      <c r="B591" s="2045"/>
      <c r="C591" s="2046"/>
      <c r="D591" s="2047" t="str">
        <f>SNI!$E$394</f>
        <v xml:space="preserve">Pekerja </v>
      </c>
      <c r="E591" s="2047"/>
      <c r="F591" s="2048"/>
      <c r="G591" s="2049">
        <f>SNI!$H$394</f>
        <v>1.65</v>
      </c>
      <c r="H591" s="2050" t="str">
        <f>SNI!$G$394</f>
        <v>OH</v>
      </c>
      <c r="I591" s="2051" t="str">
        <f>SNI!$M$394</f>
        <v>WNI</v>
      </c>
      <c r="J591" s="2051"/>
      <c r="K591" s="2052">
        <f>SNI!$L$394</f>
        <v>1</v>
      </c>
      <c r="L591" s="2053"/>
      <c r="M591" s="2054"/>
      <c r="N591" s="2055">
        <f>SNI!$I$394</f>
        <v>88300</v>
      </c>
      <c r="O591" s="2056"/>
      <c r="P591" s="1969">
        <f t="shared" ref="P591:P594" si="389">N591*G591</f>
        <v>145695</v>
      </c>
      <c r="Q591" s="1953"/>
      <c r="R591" s="1954"/>
      <c r="S591" s="1954">
        <f t="shared" ref="S591:S594" si="390">P591*K591</f>
        <v>145695</v>
      </c>
      <c r="T591" s="1969">
        <f t="shared" ref="T591:T594" si="391">P591-S591</f>
        <v>0</v>
      </c>
      <c r="U591" s="2060"/>
      <c r="Z591" s="1956"/>
      <c r="AA591" s="1956"/>
      <c r="AF591" s="1836"/>
      <c r="AG591" s="1836"/>
      <c r="AH591" s="1836"/>
      <c r="AI591" s="1837"/>
      <c r="AJ591" s="1960"/>
    </row>
    <row r="592" spans="1:36" ht="21.95" customHeight="1" x14ac:dyDescent="0.2">
      <c r="B592" s="2045"/>
      <c r="C592" s="2046"/>
      <c r="D592" s="2047" t="str">
        <f>SNI!$E$395</f>
        <v>Tukang Batu</v>
      </c>
      <c r="E592" s="2047"/>
      <c r="F592" s="2048"/>
      <c r="G592" s="2049">
        <f>SNI!$H$395</f>
        <v>0.27500000000000002</v>
      </c>
      <c r="H592" s="2050" t="str">
        <f>SNI!$G$395</f>
        <v>OH</v>
      </c>
      <c r="I592" s="2051" t="str">
        <f>SNI!$M$395</f>
        <v>WNI</v>
      </c>
      <c r="J592" s="2051"/>
      <c r="K592" s="2052">
        <f>SNI!$L$395</f>
        <v>1</v>
      </c>
      <c r="L592" s="2053"/>
      <c r="M592" s="2054"/>
      <c r="N592" s="2055">
        <f>SNI!$I$395</f>
        <v>90000</v>
      </c>
      <c r="O592" s="2056"/>
      <c r="P592" s="1969">
        <f t="shared" si="389"/>
        <v>24750.000000000004</v>
      </c>
      <c r="Q592" s="1953"/>
      <c r="R592" s="1954"/>
      <c r="S592" s="1954">
        <f t="shared" si="390"/>
        <v>24750.000000000004</v>
      </c>
      <c r="T592" s="1969">
        <f t="shared" si="391"/>
        <v>0</v>
      </c>
      <c r="U592" s="2060"/>
      <c r="Z592" s="1956"/>
      <c r="AA592" s="1956"/>
      <c r="AF592" s="1836"/>
      <c r="AG592" s="1836"/>
      <c r="AH592" s="1836"/>
      <c r="AI592" s="1837"/>
      <c r="AJ592" s="1960"/>
    </row>
    <row r="593" spans="1:36" ht="21.95" customHeight="1" x14ac:dyDescent="0.2">
      <c r="B593" s="2045"/>
      <c r="C593" s="2046"/>
      <c r="D593" s="2047" t="str">
        <f>SNI!$E$396</f>
        <v>Kepala Tukang</v>
      </c>
      <c r="E593" s="2047"/>
      <c r="F593" s="2048"/>
      <c r="G593" s="2049">
        <f>SNI!$H$396</f>
        <v>2.8000000000000001E-2</v>
      </c>
      <c r="H593" s="2050" t="str">
        <f>SNI!$G$396</f>
        <v>OH</v>
      </c>
      <c r="I593" s="2051" t="str">
        <f>SNI!$M$396</f>
        <v>WNI</v>
      </c>
      <c r="J593" s="2051"/>
      <c r="K593" s="2052">
        <f>SNI!$L$396</f>
        <v>1</v>
      </c>
      <c r="L593" s="2053"/>
      <c r="M593" s="2054"/>
      <c r="N593" s="2055">
        <f>SNI!$I$396</f>
        <v>96000</v>
      </c>
      <c r="O593" s="2056"/>
      <c r="P593" s="1969">
        <f t="shared" si="389"/>
        <v>2688</v>
      </c>
      <c r="Q593" s="1953"/>
      <c r="R593" s="1954"/>
      <c r="S593" s="1954">
        <f t="shared" si="390"/>
        <v>2688</v>
      </c>
      <c r="T593" s="1969">
        <f t="shared" si="391"/>
        <v>0</v>
      </c>
      <c r="U593" s="2060"/>
      <c r="Z593" s="1956"/>
      <c r="AA593" s="1956"/>
      <c r="AF593" s="1836"/>
      <c r="AG593" s="1836"/>
      <c r="AH593" s="1836"/>
      <c r="AI593" s="1837"/>
      <c r="AJ593" s="1960"/>
    </row>
    <row r="594" spans="1:36" ht="21.95" customHeight="1" x14ac:dyDescent="0.2">
      <c r="B594" s="2045"/>
      <c r="C594" s="2046"/>
      <c r="D594" s="2047" t="str">
        <f>SNI!$E$397</f>
        <v>Mandor</v>
      </c>
      <c r="E594" s="2047"/>
      <c r="F594" s="2048"/>
      <c r="G594" s="2049">
        <f>SNI!$H$397</f>
        <v>8.3000000000000004E-2</v>
      </c>
      <c r="H594" s="2050" t="str">
        <f>SNI!$G$397</f>
        <v>OH</v>
      </c>
      <c r="I594" s="2051" t="str">
        <f>SNI!$M$397</f>
        <v>WNI</v>
      </c>
      <c r="J594" s="2051"/>
      <c r="K594" s="2052">
        <f>SNI!$L$397</f>
        <v>1</v>
      </c>
      <c r="L594" s="2053"/>
      <c r="M594" s="2054"/>
      <c r="N594" s="2055">
        <f>SNI!$I$397</f>
        <v>90000</v>
      </c>
      <c r="O594" s="2056"/>
      <c r="P594" s="1969">
        <f t="shared" si="389"/>
        <v>7470</v>
      </c>
      <c r="Q594" s="1953"/>
      <c r="R594" s="1954"/>
      <c r="S594" s="1954">
        <f t="shared" si="390"/>
        <v>7470</v>
      </c>
      <c r="T594" s="1969">
        <f t="shared" si="391"/>
        <v>0</v>
      </c>
      <c r="U594" s="2060"/>
      <c r="Z594" s="1956"/>
      <c r="AA594" s="1956"/>
      <c r="AF594" s="1836"/>
      <c r="AG594" s="1836"/>
      <c r="AH594" s="1836"/>
      <c r="AI594" s="1837"/>
      <c r="AJ594" s="1960"/>
    </row>
    <row r="595" spans="1:36" s="1957" customFormat="1" ht="21.95" customHeight="1" x14ac:dyDescent="0.2">
      <c r="A595" s="1942"/>
      <c r="B595" s="1970"/>
      <c r="C595" s="1971"/>
      <c r="D595" s="1972"/>
      <c r="E595" s="1973"/>
      <c r="F595" s="1974" t="s">
        <v>556</v>
      </c>
      <c r="G595" s="1975">
        <f>B584</f>
        <v>7</v>
      </c>
      <c r="H595" s="1976"/>
      <c r="I595" s="1977"/>
      <c r="J595" s="1977"/>
      <c r="K595" s="1978"/>
      <c r="L595" s="1979"/>
      <c r="M595" s="1980"/>
      <c r="N595" s="1981"/>
      <c r="O595" s="1982"/>
      <c r="P595" s="1983">
        <f>SUM(P586:P594)</f>
        <v>987392.28571428568</v>
      </c>
      <c r="Q595" s="1984"/>
      <c r="R595" s="1985"/>
      <c r="S595" s="1983">
        <f>SUM(S586:S594)</f>
        <v>918917.40571428579</v>
      </c>
      <c r="T595" s="1983">
        <f>SUM(T586:T594)</f>
        <v>68474.880000000005</v>
      </c>
      <c r="U595" s="1986"/>
      <c r="V595" s="1848"/>
      <c r="W595" s="1848"/>
      <c r="X595" s="1848"/>
      <c r="Y595" s="1848"/>
      <c r="Z595" s="1956"/>
      <c r="AA595" s="1956"/>
      <c r="AF595" s="1958"/>
      <c r="AG595" s="1958"/>
      <c r="AH595" s="1958"/>
      <c r="AI595" s="1959"/>
      <c r="AJ595" s="1960"/>
    </row>
    <row r="596" spans="1:36" ht="21.95" customHeight="1" x14ac:dyDescent="0.2">
      <c r="A596" s="1833">
        <f>satpek!$B$41</f>
        <v>22</v>
      </c>
      <c r="B596" s="1943">
        <f>B584+1</f>
        <v>8</v>
      </c>
      <c r="C596" s="1937"/>
      <c r="D596" s="1944" t="str">
        <f>VLOOKUP($A596,satpek!$B$20:$N$144,2,0)</f>
        <v>Pembesian 1 kg dengan besi polos atau besi ulir</v>
      </c>
      <c r="E596" s="1944"/>
      <c r="F596" s="2004"/>
      <c r="G596" s="1945">
        <f>'[3]B.VOL RAB'!Q158</f>
        <v>2361.0873008388248</v>
      </c>
      <c r="H596" s="1946" t="str">
        <f>VLOOKUP($A596,satpek!$B$20:$N$144,7,0)</f>
        <v>kg</v>
      </c>
      <c r="I596" s="1947"/>
      <c r="J596" s="1947"/>
      <c r="K596" s="1948"/>
      <c r="L596" s="1949"/>
      <c r="M596" s="1950" t="str">
        <f>VLOOKUP($A596,satpek!$B$20:$N$144,5,0)</f>
        <v>A.4.1.1.17.</v>
      </c>
      <c r="N596" s="1951">
        <f>VLOOKUP($A596,satpek!$B$20:$N$144,6,0)</f>
        <v>15603.94</v>
      </c>
      <c r="O596" s="1938"/>
      <c r="P596" s="1952">
        <f t="shared" si="385"/>
        <v>36842264.579999998</v>
      </c>
      <c r="Q596" s="1953">
        <f>VLOOKUP($A596,satpek!$B$20:$L$138,8,0)</f>
        <v>0.46415793062521393</v>
      </c>
      <c r="R596" s="1954">
        <f>VLOOKUP($A596,satpek!$B$20:$L$138,9,0)</f>
        <v>7242.692500000001</v>
      </c>
      <c r="S596" s="1954">
        <f>VLOOKUP($A596,satpek!$B$20:$L$138,10,0)</f>
        <v>8184.2425250000015</v>
      </c>
      <c r="T596" s="1952">
        <f>S596*G596</f>
        <v>19323711.092762582</v>
      </c>
      <c r="U596" s="1955"/>
      <c r="X596" s="1848">
        <f>P605</f>
        <v>13808.800000000001</v>
      </c>
      <c r="Y596" s="1848">
        <f>S605</f>
        <v>7242.6925000000001</v>
      </c>
      <c r="Z596" s="1956">
        <v>3206.3224789193041</v>
      </c>
      <c r="AA596" s="1956">
        <f>Z596-G596</f>
        <v>845.23517808047927</v>
      </c>
      <c r="AB596" s="1836" t="s">
        <v>420</v>
      </c>
      <c r="AF596" s="1836"/>
      <c r="AG596" s="1836"/>
      <c r="AH596" s="1836"/>
      <c r="AI596" s="1837">
        <v>15438.06</v>
      </c>
      <c r="AJ596" s="1960">
        <f>AI596-N596</f>
        <v>-165.88000000000102</v>
      </c>
    </row>
    <row r="597" spans="1:36" ht="21.95" customHeight="1" x14ac:dyDescent="0.2">
      <c r="B597" s="2045"/>
      <c r="C597" s="2046" t="str">
        <f>SNI!$D$410</f>
        <v>Bahan</v>
      </c>
      <c r="D597" s="2047"/>
      <c r="E597" s="2047"/>
      <c r="F597" s="2048"/>
      <c r="G597" s="2049"/>
      <c r="H597" s="2050"/>
      <c r="I597" s="2051"/>
      <c r="J597" s="2051"/>
      <c r="K597" s="2052"/>
      <c r="L597" s="2053"/>
      <c r="M597" s="2054"/>
      <c r="N597" s="2055"/>
      <c r="O597" s="2056"/>
      <c r="P597" s="2057"/>
      <c r="Q597" s="2058"/>
      <c r="R597" s="2059"/>
      <c r="S597" s="2059"/>
      <c r="T597" s="2057"/>
      <c r="U597" s="2060"/>
      <c r="Z597" s="1956"/>
      <c r="AA597" s="1956"/>
      <c r="AF597" s="1836"/>
      <c r="AG597" s="1836"/>
      <c r="AH597" s="1836"/>
      <c r="AI597" s="1837"/>
      <c r="AJ597" s="1960"/>
    </row>
    <row r="598" spans="1:36" ht="21.95" customHeight="1" x14ac:dyDescent="0.2">
      <c r="B598" s="2045"/>
      <c r="C598" s="2046"/>
      <c r="D598" s="2047" t="str">
        <f>SNI!$E$410</f>
        <v>Besi Beton ( polos/ulir )</v>
      </c>
      <c r="E598" s="2047"/>
      <c r="F598" s="2048"/>
      <c r="G598" s="2049">
        <f>SNI!$H$410/10</f>
        <v>1.05</v>
      </c>
      <c r="H598" s="2050" t="str">
        <f>SNI!$G$410</f>
        <v>kg</v>
      </c>
      <c r="I598" s="2051"/>
      <c r="J598" s="2051"/>
      <c r="K598" s="2052">
        <f>SNI!$L$410</f>
        <v>0.4879</v>
      </c>
      <c r="L598" s="2053"/>
      <c r="M598" s="2054"/>
      <c r="N598" s="2055">
        <f>SNI!$I$410</f>
        <v>11500</v>
      </c>
      <c r="O598" s="2056"/>
      <c r="P598" s="1969">
        <f t="shared" ref="P598:P599" si="392">N598*G598</f>
        <v>12075</v>
      </c>
      <c r="Q598" s="1953"/>
      <c r="R598" s="1954"/>
      <c r="S598" s="1954">
        <f t="shared" ref="S598:S599" si="393">P598*K598</f>
        <v>5891.3924999999999</v>
      </c>
      <c r="T598" s="1969">
        <f t="shared" ref="T598:T599" si="394">P598-S598</f>
        <v>6183.6075000000001</v>
      </c>
      <c r="U598" s="2060"/>
      <c r="Z598" s="1956"/>
      <c r="AA598" s="1956"/>
      <c r="AF598" s="1836"/>
      <c r="AG598" s="1836"/>
      <c r="AH598" s="1836"/>
      <c r="AI598" s="1837"/>
      <c r="AJ598" s="1960"/>
    </row>
    <row r="599" spans="1:36" ht="21.95" customHeight="1" x14ac:dyDescent="0.2">
      <c r="B599" s="2045"/>
      <c r="C599" s="2046"/>
      <c r="D599" s="2047" t="str">
        <f>SNI!$E$411</f>
        <v>Kawat Beton</v>
      </c>
      <c r="E599" s="2047"/>
      <c r="F599" s="2048"/>
      <c r="G599" s="2049">
        <f>SNI!$H$411/10</f>
        <v>1.4999999999999999E-2</v>
      </c>
      <c r="H599" s="2050">
        <f>SNI!G791</f>
        <v>0</v>
      </c>
      <c r="I599" s="2051"/>
      <c r="J599" s="2051"/>
      <c r="K599" s="2052">
        <f>SNI!$L$411</f>
        <v>0</v>
      </c>
      <c r="L599" s="2053"/>
      <c r="M599" s="2054"/>
      <c r="N599" s="2055">
        <f>SNI!$I$411</f>
        <v>25500</v>
      </c>
      <c r="O599" s="2056"/>
      <c r="P599" s="1969">
        <f t="shared" si="392"/>
        <v>382.5</v>
      </c>
      <c r="Q599" s="1953"/>
      <c r="R599" s="1954"/>
      <c r="S599" s="1954">
        <f t="shared" si="393"/>
        <v>0</v>
      </c>
      <c r="T599" s="1969">
        <f t="shared" si="394"/>
        <v>382.5</v>
      </c>
      <c r="U599" s="2060"/>
      <c r="Z599" s="1956"/>
      <c r="AA599" s="1956"/>
      <c r="AF599" s="1836"/>
      <c r="AG599" s="1836"/>
      <c r="AH599" s="1836"/>
      <c r="AI599" s="1837"/>
      <c r="AJ599" s="1960"/>
    </row>
    <row r="600" spans="1:36" ht="21.95" customHeight="1" x14ac:dyDescent="0.2">
      <c r="B600" s="2045"/>
      <c r="C600" s="2046" t="str">
        <f>SNI!$D$413</f>
        <v>Tenaga Kerja</v>
      </c>
      <c r="D600" s="2047"/>
      <c r="E600" s="2047"/>
      <c r="F600" s="2048"/>
      <c r="G600" s="2049"/>
      <c r="H600" s="2050"/>
      <c r="I600" s="2051"/>
      <c r="J600" s="2051"/>
      <c r="K600" s="2052"/>
      <c r="L600" s="2053"/>
      <c r="M600" s="2054"/>
      <c r="N600" s="2055"/>
      <c r="O600" s="2056"/>
      <c r="P600" s="1969"/>
      <c r="Q600" s="1953"/>
      <c r="R600" s="1954"/>
      <c r="S600" s="1954"/>
      <c r="T600" s="1969"/>
      <c r="U600" s="2060"/>
      <c r="Z600" s="1956"/>
      <c r="AA600" s="1956"/>
      <c r="AF600" s="1836"/>
      <c r="AG600" s="1836"/>
      <c r="AH600" s="1836"/>
      <c r="AI600" s="1837"/>
      <c r="AJ600" s="1960"/>
    </row>
    <row r="601" spans="1:36" ht="21.95" customHeight="1" x14ac:dyDescent="0.2">
      <c r="B601" s="2045"/>
      <c r="C601" s="2046"/>
      <c r="D601" s="2047" t="str">
        <f>SNI!$E$413</f>
        <v xml:space="preserve">Pekerja </v>
      </c>
      <c r="E601" s="2047"/>
      <c r="F601" s="2048"/>
      <c r="G601" s="2049">
        <f>SNI!$H$413/10</f>
        <v>7.000000000000001E-3</v>
      </c>
      <c r="H601" s="2050" t="str">
        <f>SNI!$G$413</f>
        <v>OH</v>
      </c>
      <c r="I601" s="2051" t="str">
        <f>SNI!$M$413</f>
        <v>WNI</v>
      </c>
      <c r="J601" s="2051"/>
      <c r="K601" s="2052">
        <f>SNI!$L$413</f>
        <v>1</v>
      </c>
      <c r="L601" s="2053"/>
      <c r="M601" s="2054"/>
      <c r="N601" s="2055">
        <f>SNI!$I$413</f>
        <v>88300</v>
      </c>
      <c r="O601" s="2056"/>
      <c r="P601" s="1969">
        <f t="shared" ref="P601:P604" si="395">N601*G601</f>
        <v>618.10000000000014</v>
      </c>
      <c r="Q601" s="1953"/>
      <c r="R601" s="1954"/>
      <c r="S601" s="1954">
        <f t="shared" ref="S601:S604" si="396">P601*K601</f>
        <v>618.10000000000014</v>
      </c>
      <c r="T601" s="1969">
        <f t="shared" ref="T601:T604" si="397">P601-S601</f>
        <v>0</v>
      </c>
      <c r="U601" s="2060"/>
      <c r="Z601" s="1956"/>
      <c r="AA601" s="1956"/>
      <c r="AF601" s="1836"/>
      <c r="AG601" s="1836"/>
      <c r="AH601" s="1836"/>
      <c r="AI601" s="1837"/>
      <c r="AJ601" s="1960"/>
    </row>
    <row r="602" spans="1:36" ht="21.95" customHeight="1" x14ac:dyDescent="0.2">
      <c r="B602" s="2045"/>
      <c r="C602" s="2046"/>
      <c r="D602" s="2047" t="str">
        <f>SNI!$E$414</f>
        <v>Tukang Besi</v>
      </c>
      <c r="E602" s="2047"/>
      <c r="F602" s="2048"/>
      <c r="G602" s="2049">
        <f>SNI!$H$414/10</f>
        <v>7.000000000000001E-3</v>
      </c>
      <c r="H602" s="2050" t="str">
        <f>SNI!$G$414</f>
        <v>OH</v>
      </c>
      <c r="I602" s="2051" t="str">
        <f>SNI!$M$414</f>
        <v>WNI</v>
      </c>
      <c r="J602" s="2051"/>
      <c r="K602" s="2052">
        <f>SNI!$L$414</f>
        <v>1</v>
      </c>
      <c r="L602" s="2053"/>
      <c r="M602" s="2054"/>
      <c r="N602" s="2055">
        <f>SNI!$I$414</f>
        <v>90000</v>
      </c>
      <c r="O602" s="2056"/>
      <c r="P602" s="1969">
        <f t="shared" si="395"/>
        <v>630.00000000000011</v>
      </c>
      <c r="Q602" s="1953"/>
      <c r="R602" s="1954"/>
      <c r="S602" s="1954">
        <f t="shared" si="396"/>
        <v>630.00000000000011</v>
      </c>
      <c r="T602" s="1969">
        <f t="shared" si="397"/>
        <v>0</v>
      </c>
      <c r="U602" s="2060"/>
      <c r="Z602" s="1956"/>
      <c r="AA602" s="1956"/>
      <c r="AF602" s="1836"/>
      <c r="AG602" s="1836"/>
      <c r="AH602" s="1836"/>
      <c r="AI602" s="1837"/>
      <c r="AJ602" s="1960"/>
    </row>
    <row r="603" spans="1:36" ht="21.95" customHeight="1" x14ac:dyDescent="0.2">
      <c r="B603" s="2045"/>
      <c r="C603" s="2046"/>
      <c r="D603" s="2047" t="str">
        <f>SNI!$E$415</f>
        <v>Kepala Tukang</v>
      </c>
      <c r="E603" s="2047"/>
      <c r="F603" s="2048"/>
      <c r="G603" s="2049">
        <f>SNI!$H$415/10</f>
        <v>6.9999999999999999E-4</v>
      </c>
      <c r="H603" s="2050" t="str">
        <f>SNI!$G$415</f>
        <v>OH</v>
      </c>
      <c r="I603" s="2051" t="str">
        <f>SNI!$M$415</f>
        <v>WNI</v>
      </c>
      <c r="J603" s="2051"/>
      <c r="K603" s="2052">
        <f>SNI!$L$415</f>
        <v>1</v>
      </c>
      <c r="L603" s="2053"/>
      <c r="M603" s="2054"/>
      <c r="N603" s="2055">
        <f>SNI!$I$415</f>
        <v>96000</v>
      </c>
      <c r="O603" s="2056"/>
      <c r="P603" s="1969">
        <f t="shared" si="395"/>
        <v>67.2</v>
      </c>
      <c r="Q603" s="1953"/>
      <c r="R603" s="1954"/>
      <c r="S603" s="1954">
        <f t="shared" si="396"/>
        <v>67.2</v>
      </c>
      <c r="T603" s="1969">
        <f t="shared" si="397"/>
        <v>0</v>
      </c>
      <c r="U603" s="2060"/>
      <c r="Z603" s="1956"/>
      <c r="AA603" s="1956"/>
      <c r="AF603" s="1836"/>
      <c r="AG603" s="1836"/>
      <c r="AH603" s="1836"/>
      <c r="AI603" s="1837"/>
      <c r="AJ603" s="1960"/>
    </row>
    <row r="604" spans="1:36" ht="21.95" customHeight="1" x14ac:dyDescent="0.2">
      <c r="B604" s="2045"/>
      <c r="C604" s="2046"/>
      <c r="D604" s="2047" t="str">
        <f>SNI!$E$416</f>
        <v>Mandor</v>
      </c>
      <c r="E604" s="2047"/>
      <c r="F604" s="2048"/>
      <c r="G604" s="2049">
        <f>SNI!$H$416/10</f>
        <v>4.0000000000000002E-4</v>
      </c>
      <c r="H604" s="2050" t="str">
        <f>SNI!$G$416</f>
        <v>OH</v>
      </c>
      <c r="I604" s="2051" t="str">
        <f>SNI!$M$416</f>
        <v>WNI</v>
      </c>
      <c r="J604" s="2051"/>
      <c r="K604" s="2052">
        <f>SNI!$L$416</f>
        <v>1</v>
      </c>
      <c r="L604" s="2053"/>
      <c r="M604" s="2054"/>
      <c r="N604" s="2055">
        <f>SNI!$I$416</f>
        <v>90000</v>
      </c>
      <c r="O604" s="2056"/>
      <c r="P604" s="1969">
        <f t="shared" si="395"/>
        <v>36</v>
      </c>
      <c r="Q604" s="1953"/>
      <c r="R604" s="1954"/>
      <c r="S604" s="1954">
        <f t="shared" si="396"/>
        <v>36</v>
      </c>
      <c r="T604" s="1969">
        <f t="shared" si="397"/>
        <v>0</v>
      </c>
      <c r="U604" s="2060"/>
      <c r="Z604" s="1956"/>
      <c r="AA604" s="1956"/>
      <c r="AF604" s="1836"/>
      <c r="AG604" s="1836"/>
      <c r="AH604" s="1836"/>
      <c r="AI604" s="1837"/>
      <c r="AJ604" s="1960"/>
    </row>
    <row r="605" spans="1:36" s="1957" customFormat="1" ht="21.95" customHeight="1" x14ac:dyDescent="0.2">
      <c r="A605" s="1942"/>
      <c r="B605" s="1970"/>
      <c r="C605" s="1971"/>
      <c r="D605" s="1972"/>
      <c r="E605" s="1973"/>
      <c r="F605" s="1974" t="s">
        <v>556</v>
      </c>
      <c r="G605" s="1975">
        <f>B596</f>
        <v>8</v>
      </c>
      <c r="H605" s="1976"/>
      <c r="I605" s="1977"/>
      <c r="J605" s="1977"/>
      <c r="K605" s="1978"/>
      <c r="L605" s="1979"/>
      <c r="M605" s="1980"/>
      <c r="N605" s="1981"/>
      <c r="O605" s="1982"/>
      <c r="P605" s="1983">
        <f>SUM(P598:P604)</f>
        <v>13808.800000000001</v>
      </c>
      <c r="Q605" s="1984"/>
      <c r="R605" s="1985"/>
      <c r="S605" s="1983">
        <f t="shared" ref="S605" si="398">SUM(S598:S604)</f>
        <v>7242.6925000000001</v>
      </c>
      <c r="T605" s="1983">
        <f t="shared" ref="T605" si="399">SUM(T598:T604)</f>
        <v>6566.1075000000001</v>
      </c>
      <c r="U605" s="1986"/>
      <c r="V605" s="1848"/>
      <c r="W605" s="1848"/>
      <c r="X605" s="1848"/>
      <c r="Y605" s="1848"/>
      <c r="Z605" s="1956"/>
      <c r="AA605" s="1956"/>
      <c r="AF605" s="1958"/>
      <c r="AG605" s="1958"/>
      <c r="AH605" s="1958"/>
      <c r="AI605" s="1959"/>
      <c r="AJ605" s="1960"/>
    </row>
    <row r="606" spans="1:36" ht="21.95" customHeight="1" x14ac:dyDescent="0.2">
      <c r="A606" s="1833">
        <f>satpek!$B$45</f>
        <v>26</v>
      </c>
      <c r="B606" s="1943">
        <f>B596+1</f>
        <v>9</v>
      </c>
      <c r="C606" s="1937"/>
      <c r="D606" s="1944" t="str">
        <f>VLOOKUP($A606,satpek!$B$20:$N$144,2,0)</f>
        <v>Memasang bekisting untuk balok (2x pakai)</v>
      </c>
      <c r="E606" s="1944"/>
      <c r="F606" s="2004"/>
      <c r="G606" s="1945">
        <f>'[3]B.VOL RAB'!Q160</f>
        <v>135.6</v>
      </c>
      <c r="H606" s="1946" t="str">
        <f>VLOOKUP($A606,satpek!$B$20:$N$144,7,0)</f>
        <v>m2</v>
      </c>
      <c r="I606" s="1947"/>
      <c r="J606" s="1947"/>
      <c r="K606" s="1948"/>
      <c r="L606" s="1949"/>
      <c r="M606" s="1950" t="str">
        <f>VLOOKUP($A606,satpek!$B$20:$N$144,5,0)</f>
        <v>A.4.1.1.23.</v>
      </c>
      <c r="N606" s="1951">
        <f>VLOOKUP($A606,satpek!$B$20:$N$144,6,0)</f>
        <v>194762.28</v>
      </c>
      <c r="O606" s="1938"/>
      <c r="P606" s="1952">
        <f t="shared" si="385"/>
        <v>26409765.170000002</v>
      </c>
      <c r="Q606" s="1953">
        <f>VLOOKUP($A606,satpek!$B$20:$L$138,8,0)</f>
        <v>0.83069925038873027</v>
      </c>
      <c r="R606" s="1954">
        <f>VLOOKUP($A606,satpek!$B$20:$L$138,9,0)</f>
        <v>143176</v>
      </c>
      <c r="S606" s="1954">
        <f>VLOOKUP($A606,satpek!$B$20:$L$138,10,0)</f>
        <v>161788.88</v>
      </c>
      <c r="T606" s="1952">
        <f>S606*G606</f>
        <v>21938572.127999999</v>
      </c>
      <c r="U606" s="1955"/>
      <c r="X606" s="1848">
        <f>P620</f>
        <v>172356</v>
      </c>
      <c r="Y606" s="1848">
        <f>S620</f>
        <v>143176</v>
      </c>
      <c r="Z606" s="1956">
        <v>113</v>
      </c>
      <c r="AA606" s="1956">
        <f>Z606-G606</f>
        <v>-22.599999999999994</v>
      </c>
      <c r="AB606" s="1836" t="s">
        <v>1909</v>
      </c>
      <c r="AF606" s="1836"/>
      <c r="AG606" s="1836"/>
      <c r="AH606" s="1836"/>
      <c r="AI606" s="1837">
        <v>195923.91999999998</v>
      </c>
      <c r="AJ606" s="1960">
        <f>AI606-N606</f>
        <v>1161.6399999999849</v>
      </c>
    </row>
    <row r="607" spans="1:36" ht="21.95" customHeight="1" x14ac:dyDescent="0.2">
      <c r="B607" s="2045"/>
      <c r="C607" s="2046" t="str">
        <f>SNI!$D$498</f>
        <v>Bahan</v>
      </c>
      <c r="D607" s="2047"/>
      <c r="E607" s="2047"/>
      <c r="F607" s="2048"/>
      <c r="G607" s="2049"/>
      <c r="H607" s="2050"/>
      <c r="I607" s="2051"/>
      <c r="J607" s="2051"/>
      <c r="K607" s="2052"/>
      <c r="L607" s="2053"/>
      <c r="M607" s="2054"/>
      <c r="N607" s="2055"/>
      <c r="O607" s="2056"/>
      <c r="P607" s="2057"/>
      <c r="Q607" s="2058"/>
      <c r="R607" s="2059"/>
      <c r="S607" s="2059"/>
      <c r="T607" s="2055"/>
      <c r="U607" s="2060"/>
      <c r="Z607" s="1956"/>
      <c r="AA607" s="1956"/>
      <c r="AF607" s="1836"/>
      <c r="AG607" s="1836"/>
      <c r="AH607" s="1836"/>
      <c r="AI607" s="1837"/>
      <c r="AJ607" s="1960"/>
    </row>
    <row r="608" spans="1:36" ht="21.95" customHeight="1" x14ac:dyDescent="0.2">
      <c r="B608" s="2045"/>
      <c r="C608" s="2046"/>
      <c r="D608" s="2047" t="str">
        <f>SNI!$E$498</f>
        <v>Kayu kelas III</v>
      </c>
      <c r="E608" s="2047"/>
      <c r="F608" s="2048"/>
      <c r="G608" s="2049">
        <f>SNI!$H$498</f>
        <v>0.02</v>
      </c>
      <c r="H608" s="2050" t="str">
        <f>SNI!$G$498</f>
        <v>m3</v>
      </c>
      <c r="I608" s="2051"/>
      <c r="J608" s="2051"/>
      <c r="K608" s="2052">
        <f>SNI!$L$498</f>
        <v>1</v>
      </c>
      <c r="L608" s="2053"/>
      <c r="M608" s="2054"/>
      <c r="N608" s="2055">
        <f>SNI!$I$498</f>
        <v>1100000</v>
      </c>
      <c r="O608" s="2056"/>
      <c r="P608" s="1969">
        <f t="shared" ref="P608:P613" si="400">N608*G608</f>
        <v>22000</v>
      </c>
      <c r="Q608" s="1953"/>
      <c r="R608" s="1954"/>
      <c r="S608" s="1954">
        <f t="shared" ref="S608:S613" si="401">P608*K608</f>
        <v>22000</v>
      </c>
      <c r="T608" s="1969">
        <f t="shared" ref="T608:T613" si="402">P608-S608</f>
        <v>0</v>
      </c>
      <c r="U608" s="2060"/>
      <c r="Z608" s="1956"/>
      <c r="AA608" s="1956"/>
      <c r="AF608" s="1836"/>
      <c r="AG608" s="1836"/>
      <c r="AH608" s="1836"/>
      <c r="AI608" s="1837"/>
      <c r="AJ608" s="1960"/>
    </row>
    <row r="609" spans="1:36" ht="21.95" customHeight="1" x14ac:dyDescent="0.2">
      <c r="B609" s="2045"/>
      <c r="C609" s="2046"/>
      <c r="D609" s="2047" t="str">
        <f>SNI!$E$499</f>
        <v>Paku 5 cm - 12 cm</v>
      </c>
      <c r="E609" s="2047"/>
      <c r="F609" s="2048"/>
      <c r="G609" s="2049">
        <f>SNI!$H$499</f>
        <v>0.4</v>
      </c>
      <c r="H609" s="2050" t="str">
        <f>SNI!$G$499</f>
        <v>kg</v>
      </c>
      <c r="I609" s="2051"/>
      <c r="J609" s="2051"/>
      <c r="K609" s="2052">
        <f>SNI!$L$499</f>
        <v>0</v>
      </c>
      <c r="L609" s="2053"/>
      <c r="M609" s="2054"/>
      <c r="N609" s="2055">
        <f>SNI!$I$499</f>
        <v>17000</v>
      </c>
      <c r="O609" s="2056"/>
      <c r="P609" s="1969">
        <f t="shared" si="400"/>
        <v>6800</v>
      </c>
      <c r="Q609" s="1953"/>
      <c r="R609" s="1954"/>
      <c r="S609" s="1954">
        <f t="shared" si="401"/>
        <v>0</v>
      </c>
      <c r="T609" s="1969">
        <f t="shared" si="402"/>
        <v>6800</v>
      </c>
      <c r="U609" s="2060"/>
      <c r="Z609" s="1956"/>
      <c r="AA609" s="1956"/>
      <c r="AF609" s="1836"/>
      <c r="AG609" s="1836"/>
      <c r="AH609" s="1836"/>
      <c r="AI609" s="1837"/>
      <c r="AJ609" s="1960"/>
    </row>
    <row r="610" spans="1:36" ht="21.95" customHeight="1" x14ac:dyDescent="0.2">
      <c r="B610" s="2045"/>
      <c r="C610" s="2046"/>
      <c r="D610" s="2047" t="str">
        <f>SNI!$E$500</f>
        <v>Minyak Bekisting</v>
      </c>
      <c r="E610" s="2047"/>
      <c r="F610" s="2048"/>
      <c r="G610" s="2049">
        <f>SNI!$H$500</f>
        <v>0.2</v>
      </c>
      <c r="H610" s="2050" t="str">
        <f>SNI!$G$500</f>
        <v>ltr</v>
      </c>
      <c r="I610" s="2051"/>
      <c r="J610" s="2051"/>
      <c r="K610" s="2052">
        <f>SNI!$L$500</f>
        <v>0</v>
      </c>
      <c r="L610" s="2053"/>
      <c r="M610" s="2054"/>
      <c r="N610" s="2055">
        <f>SNI!$I$500</f>
        <v>6900</v>
      </c>
      <c r="O610" s="2056"/>
      <c r="P610" s="1969">
        <f t="shared" si="400"/>
        <v>1380</v>
      </c>
      <c r="Q610" s="1953"/>
      <c r="R610" s="1954"/>
      <c r="S610" s="1954">
        <f t="shared" si="401"/>
        <v>0</v>
      </c>
      <c r="T610" s="1969">
        <f t="shared" si="402"/>
        <v>1380</v>
      </c>
      <c r="U610" s="2060"/>
      <c r="Z610" s="1956"/>
      <c r="AA610" s="1956"/>
      <c r="AF610" s="1836"/>
      <c r="AG610" s="1836"/>
      <c r="AH610" s="1836"/>
      <c r="AI610" s="1837"/>
      <c r="AJ610" s="1960"/>
    </row>
    <row r="611" spans="1:36" ht="21.95" customHeight="1" x14ac:dyDescent="0.2">
      <c r="B611" s="2045"/>
      <c r="C611" s="2046"/>
      <c r="D611" s="2047" t="str">
        <f>SNI!$E$501</f>
        <v>Balok kayu kelas II</v>
      </c>
      <c r="E611" s="2047"/>
      <c r="F611" s="2048"/>
      <c r="G611" s="2049">
        <f>SNI!$H$501</f>
        <v>8.9999999999999993E-3</v>
      </c>
      <c r="H611" s="2050" t="str">
        <f>SNI!$G$501</f>
        <v>m3</v>
      </c>
      <c r="I611" s="2051"/>
      <c r="J611" s="2051"/>
      <c r="K611" s="2052">
        <f>SNI!$L$501</f>
        <v>1</v>
      </c>
      <c r="L611" s="2053"/>
      <c r="M611" s="2054"/>
      <c r="N611" s="2055">
        <f>SNI!$I$501</f>
        <v>1600000</v>
      </c>
      <c r="O611" s="2056"/>
      <c r="P611" s="1969">
        <f t="shared" si="400"/>
        <v>14399.999999999998</v>
      </c>
      <c r="Q611" s="1953"/>
      <c r="R611" s="1954"/>
      <c r="S611" s="1954">
        <f t="shared" si="401"/>
        <v>14399.999999999998</v>
      </c>
      <c r="T611" s="1969">
        <f t="shared" si="402"/>
        <v>0</v>
      </c>
      <c r="U611" s="2060"/>
      <c r="Z611" s="1956"/>
      <c r="AA611" s="1956"/>
      <c r="AF611" s="1836"/>
      <c r="AG611" s="1836"/>
      <c r="AH611" s="1836"/>
      <c r="AI611" s="1837"/>
      <c r="AJ611" s="1960"/>
    </row>
    <row r="612" spans="1:36" ht="21.95" customHeight="1" x14ac:dyDescent="0.2">
      <c r="B612" s="2045"/>
      <c r="C612" s="2046"/>
      <c r="D612" s="2047" t="str">
        <f>SNI!$E$502</f>
        <v>Plywood tebal 9 mm</v>
      </c>
      <c r="E612" s="2047"/>
      <c r="F612" s="2048"/>
      <c r="G612" s="2049">
        <f>SNI!$H$502</f>
        <v>0.17499999999999999</v>
      </c>
      <c r="H612" s="2050" t="str">
        <f>SNI!$G$502</f>
        <v>lbr</v>
      </c>
      <c r="I612" s="2051"/>
      <c r="J612" s="2051"/>
      <c r="K612" s="2052">
        <f>SNI!$L$502</f>
        <v>0</v>
      </c>
      <c r="L612" s="2053"/>
      <c r="M612" s="2054"/>
      <c r="N612" s="2055">
        <f>SNI!$I$502</f>
        <v>120000</v>
      </c>
      <c r="O612" s="2056"/>
      <c r="P612" s="1969">
        <f t="shared" si="400"/>
        <v>21000</v>
      </c>
      <c r="Q612" s="1953"/>
      <c r="R612" s="1954"/>
      <c r="S612" s="1954">
        <f t="shared" si="401"/>
        <v>0</v>
      </c>
      <c r="T612" s="1969">
        <f t="shared" si="402"/>
        <v>21000</v>
      </c>
      <c r="U612" s="2060"/>
      <c r="Z612" s="1956"/>
      <c r="AA612" s="1956"/>
      <c r="AF612" s="1836"/>
      <c r="AG612" s="1836"/>
      <c r="AH612" s="1836"/>
      <c r="AI612" s="1837"/>
      <c r="AJ612" s="1960"/>
    </row>
    <row r="613" spans="1:36" ht="21.95" customHeight="1" x14ac:dyDescent="0.2">
      <c r="B613" s="2045"/>
      <c r="C613" s="2046"/>
      <c r="D613" s="2047" t="str">
        <f>SNI!$E$503</f>
        <v>Dolken kayu galam,</v>
      </c>
      <c r="E613" s="2047"/>
      <c r="F613" s="2048"/>
      <c r="G613" s="2049">
        <f>SNI!$H$503</f>
        <v>1</v>
      </c>
      <c r="H613" s="2050" t="str">
        <f>SNI!$G$503</f>
        <v>btg</v>
      </c>
      <c r="I613" s="2051"/>
      <c r="J613" s="2051"/>
      <c r="K613" s="2052">
        <f>SNI!$L$503</f>
        <v>1</v>
      </c>
      <c r="L613" s="2053"/>
      <c r="M613" s="2054"/>
      <c r="N613" s="2055">
        <f>SNI!$I$503</f>
        <v>12000</v>
      </c>
      <c r="O613" s="2056"/>
      <c r="P613" s="1969">
        <f t="shared" si="400"/>
        <v>12000</v>
      </c>
      <c r="Q613" s="1953"/>
      <c r="R613" s="1954"/>
      <c r="S613" s="1954">
        <f t="shared" si="401"/>
        <v>12000</v>
      </c>
      <c r="T613" s="1969">
        <f t="shared" si="402"/>
        <v>0</v>
      </c>
      <c r="U613" s="2060"/>
      <c r="Z613" s="1956"/>
      <c r="AA613" s="1956"/>
      <c r="AF613" s="1836"/>
      <c r="AG613" s="1836"/>
      <c r="AH613" s="1836"/>
      <c r="AI613" s="1837"/>
      <c r="AJ613" s="1960"/>
    </row>
    <row r="614" spans="1:36" ht="21.95" customHeight="1" x14ac:dyDescent="0.2">
      <c r="B614" s="2045"/>
      <c r="C614" s="2046"/>
      <c r="D614" s="2047" t="str">
        <f>SNI!$E$504</f>
        <v>Ø (8 - 10) cm, panj 4 m</v>
      </c>
      <c r="E614" s="2047"/>
      <c r="F614" s="2048"/>
      <c r="G614" s="2049"/>
      <c r="H614" s="2050"/>
      <c r="I614" s="2051"/>
      <c r="J614" s="2051"/>
      <c r="K614" s="2052"/>
      <c r="L614" s="2053"/>
      <c r="M614" s="2054"/>
      <c r="N614" s="2055"/>
      <c r="O614" s="2056"/>
      <c r="P614" s="1969"/>
      <c r="Q614" s="1953"/>
      <c r="R614" s="1954"/>
      <c r="S614" s="1954"/>
      <c r="T614" s="1969"/>
      <c r="U614" s="2060"/>
      <c r="Z614" s="1956"/>
      <c r="AA614" s="1956"/>
      <c r="AF614" s="1836"/>
      <c r="AG614" s="1836"/>
      <c r="AH614" s="1836"/>
      <c r="AI614" s="1837"/>
      <c r="AJ614" s="1960"/>
    </row>
    <row r="615" spans="1:36" ht="21.95" customHeight="1" x14ac:dyDescent="0.2">
      <c r="B615" s="2045"/>
      <c r="C615" s="2046" t="str">
        <f>SNI!$D$506</f>
        <v>Tenaga Kerja</v>
      </c>
      <c r="D615" s="2047"/>
      <c r="E615" s="2047"/>
      <c r="F615" s="2048"/>
      <c r="G615" s="2049"/>
      <c r="H615" s="2050"/>
      <c r="I615" s="2051"/>
      <c r="J615" s="2051"/>
      <c r="K615" s="2052"/>
      <c r="L615" s="2053"/>
      <c r="M615" s="2054"/>
      <c r="N615" s="2055"/>
      <c r="O615" s="2056"/>
      <c r="P615" s="1969"/>
      <c r="Q615" s="1953"/>
      <c r="R615" s="1954"/>
      <c r="S615" s="1954"/>
      <c r="T615" s="1969"/>
      <c r="U615" s="2060"/>
      <c r="Z615" s="1956"/>
      <c r="AA615" s="1956"/>
      <c r="AF615" s="1836"/>
      <c r="AG615" s="1836"/>
      <c r="AH615" s="1836"/>
      <c r="AI615" s="1837"/>
      <c r="AJ615" s="1960"/>
    </row>
    <row r="616" spans="1:36" ht="21.95" customHeight="1" x14ac:dyDescent="0.2">
      <c r="B616" s="2045"/>
      <c r="C616" s="2046"/>
      <c r="D616" s="2047" t="str">
        <f>SNI!$E$506</f>
        <v xml:space="preserve">Pekerja </v>
      </c>
      <c r="E616" s="2047"/>
      <c r="F616" s="2048"/>
      <c r="G616" s="2049">
        <f>SNI!$H$506</f>
        <v>0.66</v>
      </c>
      <c r="H616" s="2050" t="str">
        <f>SNI!$G$506</f>
        <v>OH</v>
      </c>
      <c r="I616" s="2051" t="str">
        <f>SNI!$M$315</f>
        <v>WNI</v>
      </c>
      <c r="J616" s="2051"/>
      <c r="K616" s="2052">
        <f>SNI!$L$506</f>
        <v>1</v>
      </c>
      <c r="L616" s="2053"/>
      <c r="M616" s="2054"/>
      <c r="N616" s="2055">
        <f>SNI!$I$506</f>
        <v>88300</v>
      </c>
      <c r="O616" s="2056"/>
      <c r="P616" s="1969">
        <f t="shared" ref="P616:P619" si="403">N616*G616</f>
        <v>58278</v>
      </c>
      <c r="Q616" s="1953"/>
      <c r="R616" s="1954"/>
      <c r="S616" s="1954">
        <f t="shared" ref="S616:S619" si="404">P616*K616</f>
        <v>58278</v>
      </c>
      <c r="T616" s="1969">
        <f t="shared" ref="T616:T619" si="405">P616-S616</f>
        <v>0</v>
      </c>
      <c r="U616" s="2060"/>
      <c r="Z616" s="1956"/>
      <c r="AA616" s="1956"/>
      <c r="AF616" s="1836"/>
      <c r="AG616" s="1836"/>
      <c r="AH616" s="1836"/>
      <c r="AI616" s="1837"/>
      <c r="AJ616" s="1960"/>
    </row>
    <row r="617" spans="1:36" ht="21.95" customHeight="1" x14ac:dyDescent="0.2">
      <c r="B617" s="2045"/>
      <c r="C617" s="2046"/>
      <c r="D617" s="2047" t="str">
        <f>SNI!$E$507</f>
        <v>Tukang Kayu</v>
      </c>
      <c r="E617" s="2047"/>
      <c r="F617" s="2048"/>
      <c r="G617" s="2049">
        <f>SNI!$H$507</f>
        <v>0.33</v>
      </c>
      <c r="H617" s="2050" t="str">
        <f>SNI!$G$507</f>
        <v>OH</v>
      </c>
      <c r="I617" s="2051" t="str">
        <f>SNI!$M$315</f>
        <v>WNI</v>
      </c>
      <c r="J617" s="2051"/>
      <c r="K617" s="2052">
        <f>SNI!$L$507</f>
        <v>1</v>
      </c>
      <c r="L617" s="2053"/>
      <c r="M617" s="2054"/>
      <c r="N617" s="2055">
        <f>SNI!$I$507</f>
        <v>92000</v>
      </c>
      <c r="O617" s="2056"/>
      <c r="P617" s="1969">
        <f t="shared" si="403"/>
        <v>30360</v>
      </c>
      <c r="Q617" s="1953"/>
      <c r="R617" s="1954"/>
      <c r="S617" s="1954">
        <f t="shared" si="404"/>
        <v>30360</v>
      </c>
      <c r="T617" s="1969">
        <f t="shared" si="405"/>
        <v>0</v>
      </c>
      <c r="U617" s="2060"/>
      <c r="Z617" s="1956"/>
      <c r="AA617" s="1956"/>
      <c r="AF617" s="1836"/>
      <c r="AG617" s="1836"/>
      <c r="AH617" s="1836"/>
      <c r="AI617" s="1837"/>
      <c r="AJ617" s="1960"/>
    </row>
    <row r="618" spans="1:36" ht="21.95" customHeight="1" x14ac:dyDescent="0.2">
      <c r="B618" s="2045"/>
      <c r="C618" s="2046"/>
      <c r="D618" s="2047" t="str">
        <f>SNI!$E$508</f>
        <v>Kepala Tukang</v>
      </c>
      <c r="E618" s="2047"/>
      <c r="F618" s="2048"/>
      <c r="G618" s="2049">
        <f>SNI!$H$508</f>
        <v>3.3000000000000002E-2</v>
      </c>
      <c r="H618" s="2050" t="str">
        <f>SNI!$G$508</f>
        <v>OH</v>
      </c>
      <c r="I618" s="2051" t="str">
        <f>SNI!$M$315</f>
        <v>WNI</v>
      </c>
      <c r="J618" s="2051"/>
      <c r="K618" s="2052">
        <f>SNI!$L$508</f>
        <v>1</v>
      </c>
      <c r="L618" s="2053"/>
      <c r="M618" s="2054"/>
      <c r="N618" s="2055">
        <f>SNI!$I$508</f>
        <v>96000</v>
      </c>
      <c r="O618" s="2056"/>
      <c r="P618" s="1969">
        <f t="shared" si="403"/>
        <v>3168</v>
      </c>
      <c r="Q618" s="1953"/>
      <c r="R618" s="1954"/>
      <c r="S618" s="1954">
        <f t="shared" si="404"/>
        <v>3168</v>
      </c>
      <c r="T618" s="1969">
        <f t="shared" si="405"/>
        <v>0</v>
      </c>
      <c r="U618" s="2060"/>
      <c r="Z618" s="1956"/>
      <c r="AA618" s="1956"/>
      <c r="AF618" s="1836"/>
      <c r="AG618" s="1836"/>
      <c r="AH618" s="1836"/>
      <c r="AI618" s="1837"/>
      <c r="AJ618" s="1960"/>
    </row>
    <row r="619" spans="1:36" ht="21.95" customHeight="1" x14ac:dyDescent="0.2">
      <c r="B619" s="2045"/>
      <c r="C619" s="2046"/>
      <c r="D619" s="2047" t="str">
        <f>SNI!$E$509</f>
        <v>Mandor</v>
      </c>
      <c r="E619" s="2047"/>
      <c r="F619" s="2048"/>
      <c r="G619" s="2049">
        <f>SNI!$H$509</f>
        <v>3.3000000000000002E-2</v>
      </c>
      <c r="H619" s="2050" t="str">
        <f>SNI!$G$509</f>
        <v>OH</v>
      </c>
      <c r="I619" s="2051" t="str">
        <f>SNI!$M$315</f>
        <v>WNI</v>
      </c>
      <c r="J619" s="2051"/>
      <c r="K619" s="2052">
        <f>SNI!$L$509</f>
        <v>1</v>
      </c>
      <c r="L619" s="2053"/>
      <c r="M619" s="2054"/>
      <c r="N619" s="2055">
        <f>SNI!$I$509</f>
        <v>90000</v>
      </c>
      <c r="O619" s="2056"/>
      <c r="P619" s="1969">
        <f t="shared" si="403"/>
        <v>2970</v>
      </c>
      <c r="Q619" s="1953"/>
      <c r="R619" s="1954"/>
      <c r="S619" s="1954">
        <f t="shared" si="404"/>
        <v>2970</v>
      </c>
      <c r="T619" s="1969">
        <f t="shared" si="405"/>
        <v>0</v>
      </c>
      <c r="U619" s="2060"/>
      <c r="Z619" s="1956"/>
      <c r="AA619" s="1956"/>
      <c r="AF619" s="1836"/>
      <c r="AG619" s="1836"/>
      <c r="AH619" s="1836"/>
      <c r="AI619" s="1837"/>
      <c r="AJ619" s="1960"/>
    </row>
    <row r="620" spans="1:36" s="1957" customFormat="1" ht="21.95" customHeight="1" x14ac:dyDescent="0.2">
      <c r="A620" s="1942"/>
      <c r="B620" s="1970"/>
      <c r="C620" s="1971"/>
      <c r="D620" s="1972"/>
      <c r="E620" s="1973"/>
      <c r="F620" s="1974" t="s">
        <v>556</v>
      </c>
      <c r="G620" s="1975">
        <f>B606</f>
        <v>9</v>
      </c>
      <c r="H620" s="1976"/>
      <c r="I620" s="1977"/>
      <c r="J620" s="1977"/>
      <c r="K620" s="1978"/>
      <c r="L620" s="1979"/>
      <c r="M620" s="1980"/>
      <c r="N620" s="1981"/>
      <c r="O620" s="1982"/>
      <c r="P620" s="1983">
        <f>SUM(P608:P619)</f>
        <v>172356</v>
      </c>
      <c r="Q620" s="1984"/>
      <c r="R620" s="1985"/>
      <c r="S620" s="1983">
        <f t="shared" ref="S620" si="406">SUM(S608:S619)</f>
        <v>143176</v>
      </c>
      <c r="T620" s="1983">
        <f t="shared" ref="T620" si="407">SUM(T608:T619)</f>
        <v>29180</v>
      </c>
      <c r="U620" s="1986"/>
      <c r="V620" s="1848"/>
      <c r="W620" s="1848"/>
      <c r="X620" s="1848"/>
      <c r="Y620" s="1848"/>
      <c r="Z620" s="1956"/>
      <c r="AA620" s="1956"/>
      <c r="AF620" s="1958"/>
      <c r="AG620" s="1958"/>
      <c r="AH620" s="1958"/>
      <c r="AI620" s="1959"/>
      <c r="AJ620" s="1960"/>
    </row>
    <row r="621" spans="1:36" ht="21.95" customHeight="1" x14ac:dyDescent="0.2">
      <c r="B621" s="2102"/>
      <c r="C621" s="2103"/>
      <c r="D621" s="2081" t="s">
        <v>1791</v>
      </c>
      <c r="E621" s="1930"/>
      <c r="F621" s="1931"/>
      <c r="G621" s="1945"/>
      <c r="H621" s="1933"/>
      <c r="I621" s="1934"/>
      <c r="J621" s="1934"/>
      <c r="K621" s="1935"/>
      <c r="L621" s="1936"/>
      <c r="M621" s="1936"/>
      <c r="N621" s="1951"/>
      <c r="O621" s="2066"/>
      <c r="P621" s="2067"/>
      <c r="Q621" s="1934"/>
      <c r="R621" s="1934"/>
      <c r="S621" s="1934"/>
      <c r="T621" s="1940"/>
      <c r="U621" s="1941"/>
      <c r="Z621" s="1956"/>
      <c r="AA621" s="1956">
        <f>Z621-G621</f>
        <v>0</v>
      </c>
      <c r="AB621" s="1836" t="s">
        <v>1791</v>
      </c>
      <c r="AF621" s="1836"/>
      <c r="AG621" s="1836"/>
      <c r="AH621" s="1836"/>
      <c r="AI621" s="1837"/>
      <c r="AJ621" s="1960">
        <f>AI621-N621</f>
        <v>0</v>
      </c>
    </row>
    <row r="622" spans="1:36" ht="21.95" customHeight="1" x14ac:dyDescent="0.2">
      <c r="A622" s="1833">
        <f>satpek!$B$40</f>
        <v>21</v>
      </c>
      <c r="B622" s="1943">
        <f>B606+1</f>
        <v>10</v>
      </c>
      <c r="C622" s="1937"/>
      <c r="D622" s="1944" t="str">
        <f>VLOOKUP($A622,satpek!$B$20:$N$144,2,0)</f>
        <v>Membuat beton mutu f'c = 21,7 Mpa - K 250</v>
      </c>
      <c r="E622" s="1944"/>
      <c r="F622" s="2004"/>
      <c r="G622" s="1945">
        <f>'[3]B.VOL RAB'!Q164</f>
        <v>2.88</v>
      </c>
      <c r="H622" s="1946" t="str">
        <f>VLOOKUP($A622,satpek!$B$20:$N$144,7,0)</f>
        <v>m3</v>
      </c>
      <c r="I622" s="1947"/>
      <c r="J622" s="1947"/>
      <c r="K622" s="1948"/>
      <c r="L622" s="1949"/>
      <c r="M622" s="1950" t="str">
        <f>VLOOKUP($A622,satpek!$B$20:$N$144,5,0)</f>
        <v>A.4.1.1.8.</v>
      </c>
      <c r="N622" s="1951">
        <f>VLOOKUP($A622,satpek!$B$20:$N$144,6,0)</f>
        <v>1115753.29</v>
      </c>
      <c r="O622" s="1938"/>
      <c r="P622" s="1952">
        <f t="shared" ref="P622:P644" si="408">ROUND((G622*N622),2)</f>
        <v>3213369.48</v>
      </c>
      <c r="Q622" s="1953">
        <f>VLOOKUP($A622,satpek!$B$20:$L$138,8,0)</f>
        <v>0.93065078521121514</v>
      </c>
      <c r="R622" s="1954">
        <f>VLOOKUP($A622,satpek!$B$20:$L$138,9,0)</f>
        <v>918917.40999999992</v>
      </c>
      <c r="S622" s="1954">
        <f>VLOOKUP($A622,satpek!$B$20:$L$138,10,0)</f>
        <v>1038376.6732999999</v>
      </c>
      <c r="T622" s="1952">
        <f>S622*G622</f>
        <v>2990524.8191039995</v>
      </c>
      <c r="U622" s="1955"/>
      <c r="X622" s="1848">
        <f>P633</f>
        <v>987392.28571428568</v>
      </c>
      <c r="Y622" s="1848">
        <f>S633</f>
        <v>918917.40571428579</v>
      </c>
      <c r="Z622" s="1956">
        <v>2.88</v>
      </c>
      <c r="AA622" s="1956">
        <f>Z622-G622</f>
        <v>0</v>
      </c>
      <c r="AB622" s="1836" t="s">
        <v>1905</v>
      </c>
      <c r="AF622" s="1836"/>
      <c r="AG622" s="1836"/>
      <c r="AH622" s="1836"/>
      <c r="AI622" s="1837">
        <v>1191397.42</v>
      </c>
      <c r="AJ622" s="1960">
        <f>AI622-N622</f>
        <v>75644.129999999888</v>
      </c>
    </row>
    <row r="623" spans="1:36" ht="21.95" customHeight="1" x14ac:dyDescent="0.2">
      <c r="B623" s="2045"/>
      <c r="C623" s="2046" t="str">
        <f>SNI!$D$389</f>
        <v>Bahan</v>
      </c>
      <c r="D623" s="2047"/>
      <c r="E623" s="2047"/>
      <c r="F623" s="2048"/>
      <c r="G623" s="2049"/>
      <c r="H623" s="2050"/>
      <c r="I623" s="2051"/>
      <c r="J623" s="2051"/>
      <c r="K623" s="2052"/>
      <c r="L623" s="2053"/>
      <c r="M623" s="2054"/>
      <c r="N623" s="2055"/>
      <c r="O623" s="2056"/>
      <c r="P623" s="2057"/>
      <c r="Q623" s="2058"/>
      <c r="R623" s="2059"/>
      <c r="S623" s="2059"/>
      <c r="T623" s="2057"/>
      <c r="U623" s="2060"/>
      <c r="Z623" s="1956"/>
      <c r="AA623" s="1956"/>
      <c r="AF623" s="1836"/>
      <c r="AG623" s="1836"/>
      <c r="AH623" s="1836"/>
      <c r="AI623" s="1837"/>
      <c r="AJ623" s="1960"/>
    </row>
    <row r="624" spans="1:36" ht="21.95" customHeight="1" x14ac:dyDescent="0.2">
      <c r="B624" s="2045"/>
      <c r="C624" s="2046"/>
      <c r="D624" s="2047" t="str">
        <f>SNI!$E$389</f>
        <v>PC</v>
      </c>
      <c r="E624" s="2047"/>
      <c r="F624" s="2048"/>
      <c r="G624" s="2049">
        <f>SNI!$H$389</f>
        <v>384</v>
      </c>
      <c r="H624" s="2050" t="str">
        <f>SNI!$G$389</f>
        <v>kg</v>
      </c>
      <c r="I624" s="2051"/>
      <c r="J624" s="2051"/>
      <c r="K624" s="2052">
        <f>SNI!$L$389</f>
        <v>0.85140000000000005</v>
      </c>
      <c r="L624" s="2053"/>
      <c r="M624" s="2054"/>
      <c r="N624" s="2055">
        <f>SNI!$I$389</f>
        <v>1200</v>
      </c>
      <c r="O624" s="2056"/>
      <c r="P624" s="1969">
        <f t="shared" ref="P624:P627" si="409">N624*G624</f>
        <v>460800</v>
      </c>
      <c r="Q624" s="1953"/>
      <c r="R624" s="1954"/>
      <c r="S624" s="1954">
        <f t="shared" ref="S624:S627" si="410">P624*K624</f>
        <v>392325.12</v>
      </c>
      <c r="T624" s="1969">
        <f t="shared" ref="T624:T627" si="411">P624-S624</f>
        <v>68474.880000000005</v>
      </c>
      <c r="U624" s="2060"/>
      <c r="Z624" s="1956"/>
      <c r="AA624" s="1956"/>
      <c r="AF624" s="1836"/>
      <c r="AG624" s="1836"/>
      <c r="AH624" s="1836"/>
      <c r="AI624" s="1837"/>
      <c r="AJ624" s="1960"/>
    </row>
    <row r="625" spans="1:36" ht="21.95" customHeight="1" x14ac:dyDescent="0.2">
      <c r="B625" s="2045"/>
      <c r="C625" s="2046"/>
      <c r="D625" s="2047" t="str">
        <f>SNI!$E$390</f>
        <v>Pasir Beton</v>
      </c>
      <c r="E625" s="2047"/>
      <c r="F625" s="2048"/>
      <c r="G625" s="2049">
        <f>SNI!$H$390</f>
        <v>692</v>
      </c>
      <c r="H625" s="2050" t="str">
        <f>SNI!$G$390</f>
        <v>kg</v>
      </c>
      <c r="I625" s="2051"/>
      <c r="J625" s="2051"/>
      <c r="K625" s="2052">
        <f>SNI!$L$390</f>
        <v>1</v>
      </c>
      <c r="L625" s="2053"/>
      <c r="M625" s="2054"/>
      <c r="N625" s="2055">
        <f>SNI!$I$390</f>
        <v>185.71428571428572</v>
      </c>
      <c r="O625" s="2056"/>
      <c r="P625" s="1969">
        <f t="shared" si="409"/>
        <v>128514.28571428572</v>
      </c>
      <c r="Q625" s="1953"/>
      <c r="R625" s="1954"/>
      <c r="S625" s="1954">
        <f t="shared" si="410"/>
        <v>128514.28571428572</v>
      </c>
      <c r="T625" s="1969">
        <f t="shared" si="411"/>
        <v>0</v>
      </c>
      <c r="U625" s="2060"/>
      <c r="Z625" s="1956"/>
      <c r="AA625" s="1956"/>
      <c r="AF625" s="1836"/>
      <c r="AG625" s="1836"/>
      <c r="AH625" s="1836"/>
      <c r="AI625" s="1837"/>
      <c r="AJ625" s="1960"/>
    </row>
    <row r="626" spans="1:36" ht="21.95" customHeight="1" x14ac:dyDescent="0.2">
      <c r="B626" s="2045"/>
      <c r="C626" s="2046"/>
      <c r="D626" s="2047" t="str">
        <f>SNI!$E$391</f>
        <v>Kerikil ( maks 30 mm )</v>
      </c>
      <c r="E626" s="2047"/>
      <c r="F626" s="2048"/>
      <c r="G626" s="2049">
        <f>SNI!$H$391</f>
        <v>1039</v>
      </c>
      <c r="H626" s="2050" t="str">
        <f>SNI!$G$391</f>
        <v>kg</v>
      </c>
      <c r="I626" s="2051"/>
      <c r="J626" s="2051"/>
      <c r="K626" s="2052">
        <f>SNI!$L$391</f>
        <v>1</v>
      </c>
      <c r="L626" s="2053"/>
      <c r="M626" s="2054"/>
      <c r="N626" s="2055">
        <f>SNI!$I$391</f>
        <v>200</v>
      </c>
      <c r="O626" s="2056"/>
      <c r="P626" s="1969">
        <f t="shared" si="409"/>
        <v>207800</v>
      </c>
      <c r="Q626" s="1953"/>
      <c r="R626" s="1954"/>
      <c r="S626" s="1954">
        <f t="shared" si="410"/>
        <v>207800</v>
      </c>
      <c r="T626" s="1969">
        <f t="shared" si="411"/>
        <v>0</v>
      </c>
      <c r="U626" s="2060"/>
      <c r="Z626" s="1956"/>
      <c r="AA626" s="1956"/>
      <c r="AF626" s="1836"/>
      <c r="AG626" s="1836"/>
      <c r="AH626" s="1836"/>
      <c r="AI626" s="1837"/>
      <c r="AJ626" s="1960"/>
    </row>
    <row r="627" spans="1:36" ht="21.95" customHeight="1" x14ac:dyDescent="0.2">
      <c r="B627" s="2045"/>
      <c r="C627" s="2046"/>
      <c r="D627" s="2047" t="str">
        <f>SNI!$E$392</f>
        <v>Air</v>
      </c>
      <c r="E627" s="2047"/>
      <c r="F627" s="2048"/>
      <c r="G627" s="2049">
        <f>SNI!$H$392</f>
        <v>215</v>
      </c>
      <c r="H627" s="2050" t="str">
        <f>SNI!$G$392</f>
        <v>ltr</v>
      </c>
      <c r="I627" s="2051"/>
      <c r="J627" s="2051"/>
      <c r="K627" s="2052">
        <f>SNI!$L$392</f>
        <v>1</v>
      </c>
      <c r="L627" s="2053"/>
      <c r="M627" s="2054"/>
      <c r="N627" s="2055">
        <f>SNI!$I$392</f>
        <v>45</v>
      </c>
      <c r="O627" s="2056"/>
      <c r="P627" s="1969">
        <f t="shared" si="409"/>
        <v>9675</v>
      </c>
      <c r="Q627" s="1953"/>
      <c r="R627" s="1954"/>
      <c r="S627" s="1954">
        <f t="shared" si="410"/>
        <v>9675</v>
      </c>
      <c r="T627" s="1969">
        <f t="shared" si="411"/>
        <v>0</v>
      </c>
      <c r="U627" s="2060"/>
      <c r="Z627" s="1956"/>
      <c r="AA627" s="1956"/>
      <c r="AF627" s="1836"/>
      <c r="AG627" s="1836"/>
      <c r="AH627" s="1836"/>
      <c r="AI627" s="1837"/>
      <c r="AJ627" s="1960"/>
    </row>
    <row r="628" spans="1:36" ht="21.95" customHeight="1" x14ac:dyDescent="0.2">
      <c r="B628" s="2045"/>
      <c r="C628" s="2046" t="str">
        <f>SNI!$D$394</f>
        <v>Tenaga Kerja</v>
      </c>
      <c r="D628" s="2047"/>
      <c r="E628" s="2047"/>
      <c r="F628" s="2048"/>
      <c r="G628" s="2049"/>
      <c r="H628" s="2050"/>
      <c r="I628" s="2051"/>
      <c r="J628" s="2051"/>
      <c r="K628" s="2052"/>
      <c r="L628" s="2053"/>
      <c r="M628" s="2054"/>
      <c r="N628" s="2055"/>
      <c r="O628" s="2056"/>
      <c r="P628" s="1969"/>
      <c r="Q628" s="1953"/>
      <c r="R628" s="1954"/>
      <c r="S628" s="1954"/>
      <c r="T628" s="1969"/>
      <c r="U628" s="2060"/>
      <c r="Z628" s="1956"/>
      <c r="AA628" s="1956"/>
      <c r="AF628" s="1836"/>
      <c r="AG628" s="1836"/>
      <c r="AH628" s="1836"/>
      <c r="AI628" s="1837"/>
      <c r="AJ628" s="1960"/>
    </row>
    <row r="629" spans="1:36" ht="21.95" customHeight="1" x14ac:dyDescent="0.2">
      <c r="B629" s="2045"/>
      <c r="C629" s="2046"/>
      <c r="D629" s="2047" t="str">
        <f>SNI!$E$394</f>
        <v xml:space="preserve">Pekerja </v>
      </c>
      <c r="E629" s="2047"/>
      <c r="F629" s="2048"/>
      <c r="G629" s="2049">
        <f>SNI!$H$394</f>
        <v>1.65</v>
      </c>
      <c r="H629" s="2050" t="str">
        <f>SNI!$G$394</f>
        <v>OH</v>
      </c>
      <c r="I629" s="2051" t="str">
        <f>SNI!$M$394</f>
        <v>WNI</v>
      </c>
      <c r="J629" s="2051"/>
      <c r="K629" s="2052">
        <f>SNI!$L$394</f>
        <v>1</v>
      </c>
      <c r="L629" s="2053"/>
      <c r="M629" s="2054"/>
      <c r="N629" s="2055">
        <f>SNI!$I$394</f>
        <v>88300</v>
      </c>
      <c r="O629" s="2056"/>
      <c r="P629" s="1969">
        <f t="shared" ref="P629:P632" si="412">N629*G629</f>
        <v>145695</v>
      </c>
      <c r="Q629" s="1953"/>
      <c r="R629" s="1954"/>
      <c r="S629" s="1954">
        <f t="shared" ref="S629:S632" si="413">P629*K629</f>
        <v>145695</v>
      </c>
      <c r="T629" s="1969">
        <f t="shared" ref="T629:T632" si="414">P629-S629</f>
        <v>0</v>
      </c>
      <c r="U629" s="2060"/>
      <c r="Z629" s="1956"/>
      <c r="AA629" s="1956"/>
      <c r="AF629" s="1836"/>
      <c r="AG629" s="1836"/>
      <c r="AH629" s="1836"/>
      <c r="AI629" s="1837"/>
      <c r="AJ629" s="1960"/>
    </row>
    <row r="630" spans="1:36" ht="21.95" customHeight="1" x14ac:dyDescent="0.2">
      <c r="B630" s="2045"/>
      <c r="C630" s="2046"/>
      <c r="D630" s="2047" t="str">
        <f>SNI!$E$395</f>
        <v>Tukang Batu</v>
      </c>
      <c r="E630" s="2047"/>
      <c r="F630" s="2048"/>
      <c r="G630" s="2049">
        <f>SNI!$H$395</f>
        <v>0.27500000000000002</v>
      </c>
      <c r="H630" s="2050" t="str">
        <f>SNI!$G$395</f>
        <v>OH</v>
      </c>
      <c r="I630" s="2051" t="str">
        <f>SNI!$M$395</f>
        <v>WNI</v>
      </c>
      <c r="J630" s="2051"/>
      <c r="K630" s="2052">
        <f>SNI!$L$395</f>
        <v>1</v>
      </c>
      <c r="L630" s="2053"/>
      <c r="M630" s="2054"/>
      <c r="N630" s="2055">
        <f>SNI!$I$395</f>
        <v>90000</v>
      </c>
      <c r="O630" s="2056"/>
      <c r="P630" s="1969">
        <f t="shared" si="412"/>
        <v>24750.000000000004</v>
      </c>
      <c r="Q630" s="1953"/>
      <c r="R630" s="1954"/>
      <c r="S630" s="1954">
        <f t="shared" si="413"/>
        <v>24750.000000000004</v>
      </c>
      <c r="T630" s="1969">
        <f t="shared" si="414"/>
        <v>0</v>
      </c>
      <c r="U630" s="2060"/>
      <c r="Z630" s="1956"/>
      <c r="AA630" s="1956"/>
      <c r="AF630" s="1836"/>
      <c r="AG630" s="1836"/>
      <c r="AH630" s="1836"/>
      <c r="AI630" s="1837"/>
      <c r="AJ630" s="1960"/>
    </row>
    <row r="631" spans="1:36" ht="21.95" customHeight="1" x14ac:dyDescent="0.2">
      <c r="B631" s="2045"/>
      <c r="C631" s="2046"/>
      <c r="D631" s="2047" t="str">
        <f>SNI!$E$396</f>
        <v>Kepala Tukang</v>
      </c>
      <c r="E631" s="2047"/>
      <c r="F631" s="2048"/>
      <c r="G631" s="2049">
        <f>SNI!$H$396</f>
        <v>2.8000000000000001E-2</v>
      </c>
      <c r="H631" s="2050" t="str">
        <f>SNI!$G$396</f>
        <v>OH</v>
      </c>
      <c r="I631" s="2051" t="str">
        <f>SNI!$M$396</f>
        <v>WNI</v>
      </c>
      <c r="J631" s="2051"/>
      <c r="K631" s="2052">
        <f>SNI!$L$396</f>
        <v>1</v>
      </c>
      <c r="L631" s="2053"/>
      <c r="M631" s="2054"/>
      <c r="N631" s="2055">
        <f>SNI!$I$396</f>
        <v>96000</v>
      </c>
      <c r="O631" s="2056"/>
      <c r="P631" s="1969">
        <f t="shared" si="412"/>
        <v>2688</v>
      </c>
      <c r="Q631" s="1953"/>
      <c r="R631" s="1954"/>
      <c r="S631" s="1954">
        <f t="shared" si="413"/>
        <v>2688</v>
      </c>
      <c r="T631" s="1969">
        <f t="shared" si="414"/>
        <v>0</v>
      </c>
      <c r="U631" s="2060"/>
      <c r="Z631" s="1956"/>
      <c r="AA631" s="1956"/>
      <c r="AF631" s="1836"/>
      <c r="AG631" s="1836"/>
      <c r="AH631" s="1836"/>
      <c r="AI631" s="1837"/>
      <c r="AJ631" s="1960"/>
    </row>
    <row r="632" spans="1:36" ht="21.95" customHeight="1" x14ac:dyDescent="0.2">
      <c r="B632" s="2045"/>
      <c r="C632" s="2046"/>
      <c r="D632" s="2047" t="str">
        <f>SNI!$E$397</f>
        <v>Mandor</v>
      </c>
      <c r="E632" s="2047"/>
      <c r="F632" s="2048"/>
      <c r="G632" s="2049">
        <f>SNI!$H$397</f>
        <v>8.3000000000000004E-2</v>
      </c>
      <c r="H632" s="2050" t="str">
        <f>SNI!$G$397</f>
        <v>OH</v>
      </c>
      <c r="I632" s="2051" t="str">
        <f>SNI!$M$397</f>
        <v>WNI</v>
      </c>
      <c r="J632" s="2051"/>
      <c r="K632" s="2052">
        <f>SNI!$L$397</f>
        <v>1</v>
      </c>
      <c r="L632" s="2053"/>
      <c r="M632" s="2054"/>
      <c r="N632" s="2055">
        <f>SNI!$I$397</f>
        <v>90000</v>
      </c>
      <c r="O632" s="2056"/>
      <c r="P632" s="1969">
        <f t="shared" si="412"/>
        <v>7470</v>
      </c>
      <c r="Q632" s="1953"/>
      <c r="R632" s="1954"/>
      <c r="S632" s="1954">
        <f t="shared" si="413"/>
        <v>7470</v>
      </c>
      <c r="T632" s="1969">
        <f t="shared" si="414"/>
        <v>0</v>
      </c>
      <c r="U632" s="2060"/>
      <c r="Z632" s="1956"/>
      <c r="AA632" s="1956"/>
      <c r="AF632" s="1836"/>
      <c r="AG632" s="1836"/>
      <c r="AH632" s="1836"/>
      <c r="AI632" s="1837"/>
      <c r="AJ632" s="1960"/>
    </row>
    <row r="633" spans="1:36" s="1957" customFormat="1" ht="21.95" customHeight="1" x14ac:dyDescent="0.2">
      <c r="A633" s="1942"/>
      <c r="B633" s="1970"/>
      <c r="C633" s="1971"/>
      <c r="D633" s="1972"/>
      <c r="E633" s="1973"/>
      <c r="F633" s="1974" t="s">
        <v>556</v>
      </c>
      <c r="G633" s="1975">
        <f>B622</f>
        <v>10</v>
      </c>
      <c r="H633" s="1976"/>
      <c r="I633" s="1977"/>
      <c r="J633" s="1977"/>
      <c r="K633" s="1978"/>
      <c r="L633" s="1979"/>
      <c r="M633" s="1980"/>
      <c r="N633" s="1981"/>
      <c r="O633" s="1982"/>
      <c r="P633" s="1983">
        <f>SUM(P624:P632)</f>
        <v>987392.28571428568</v>
      </c>
      <c r="Q633" s="1984"/>
      <c r="R633" s="1985"/>
      <c r="S633" s="1983">
        <f>SUM(S624:S632)</f>
        <v>918917.40571428579</v>
      </c>
      <c r="T633" s="1983">
        <f>SUM(T624:T632)</f>
        <v>68474.880000000005</v>
      </c>
      <c r="U633" s="1986"/>
      <c r="V633" s="1848"/>
      <c r="W633" s="1848"/>
      <c r="X633" s="1848"/>
      <c r="Y633" s="1848"/>
      <c r="Z633" s="1956"/>
      <c r="AA633" s="1956"/>
      <c r="AF633" s="1958"/>
      <c r="AG633" s="1958"/>
      <c r="AH633" s="1958"/>
      <c r="AI633" s="1959"/>
      <c r="AJ633" s="1960"/>
    </row>
    <row r="634" spans="1:36" ht="21.95" customHeight="1" x14ac:dyDescent="0.2">
      <c r="A634" s="1833">
        <f>satpek!$B$41</f>
        <v>22</v>
      </c>
      <c r="B634" s="1943">
        <f>B622+1</f>
        <v>11</v>
      </c>
      <c r="C634" s="1937"/>
      <c r="D634" s="1944" t="str">
        <f>VLOOKUP($A634,satpek!$B$20:$N$144,2,0)</f>
        <v>Pembesian 1 kg dengan besi polos atau besi ulir</v>
      </c>
      <c r="E634" s="1944"/>
      <c r="F634" s="2004"/>
      <c r="G634" s="1945">
        <f>'[3]B.VOL RAB'!Q166</f>
        <v>607.11686437667709</v>
      </c>
      <c r="H634" s="1946" t="str">
        <f>VLOOKUP($A634,satpek!$B$20:$N$144,7,0)</f>
        <v>kg</v>
      </c>
      <c r="I634" s="1947"/>
      <c r="J634" s="1947"/>
      <c r="K634" s="1948"/>
      <c r="L634" s="1949"/>
      <c r="M634" s="1950" t="str">
        <f>VLOOKUP($A634,satpek!$B$20:$N$144,5,0)</f>
        <v>A.4.1.1.17.</v>
      </c>
      <c r="N634" s="1951">
        <f>VLOOKUP($A634,satpek!$B$20:$N$144,6,0)</f>
        <v>15603.94</v>
      </c>
      <c r="O634" s="1938"/>
      <c r="P634" s="1952">
        <f t="shared" si="408"/>
        <v>9473415.1199999992</v>
      </c>
      <c r="Q634" s="1953">
        <f>VLOOKUP($A634,satpek!$B$20:$L$138,8,0)</f>
        <v>0.46415793062521393</v>
      </c>
      <c r="R634" s="1954">
        <f>VLOOKUP($A634,satpek!$B$20:$L$138,9,0)</f>
        <v>7242.692500000001</v>
      </c>
      <c r="S634" s="1954">
        <f>VLOOKUP($A634,satpek!$B$20:$L$138,10,0)</f>
        <v>8184.2425250000015</v>
      </c>
      <c r="T634" s="1952">
        <f>S634*G634</f>
        <v>4968791.6590762595</v>
      </c>
      <c r="U634" s="1955"/>
      <c r="X634" s="1848">
        <f>P643</f>
        <v>13808.800000000001</v>
      </c>
      <c r="Y634" s="1848">
        <f>S643</f>
        <v>7242.6925000000001</v>
      </c>
      <c r="Z634" s="1956">
        <v>507.08981092343959</v>
      </c>
      <c r="AA634" s="1956">
        <f>Z634-G634</f>
        <v>-100.0270534532375</v>
      </c>
      <c r="AB634" s="1836" t="s">
        <v>420</v>
      </c>
      <c r="AF634" s="1836"/>
      <c r="AG634" s="1836"/>
      <c r="AH634" s="1836"/>
      <c r="AI634" s="1837">
        <v>15438.06</v>
      </c>
      <c r="AJ634" s="1960">
        <f>AI634-N634</f>
        <v>-165.88000000000102</v>
      </c>
    </row>
    <row r="635" spans="1:36" ht="21.95" customHeight="1" x14ac:dyDescent="0.2">
      <c r="B635" s="2045"/>
      <c r="C635" s="2046" t="str">
        <f>SNI!$D$410</f>
        <v>Bahan</v>
      </c>
      <c r="D635" s="2047"/>
      <c r="E635" s="2047"/>
      <c r="F635" s="2048"/>
      <c r="G635" s="2049"/>
      <c r="H635" s="2050"/>
      <c r="I635" s="2051"/>
      <c r="J635" s="2051"/>
      <c r="K635" s="2052"/>
      <c r="L635" s="2053"/>
      <c r="M635" s="2054"/>
      <c r="N635" s="2055"/>
      <c r="O635" s="2056"/>
      <c r="P635" s="2057"/>
      <c r="Q635" s="2058"/>
      <c r="R635" s="2059"/>
      <c r="S635" s="2059"/>
      <c r="T635" s="2057"/>
      <c r="U635" s="2060"/>
      <c r="Z635" s="1956"/>
      <c r="AA635" s="1956"/>
      <c r="AF635" s="1836"/>
      <c r="AG635" s="1836"/>
      <c r="AH635" s="1836"/>
      <c r="AI635" s="1837"/>
      <c r="AJ635" s="1960"/>
    </row>
    <row r="636" spans="1:36" ht="21.95" customHeight="1" x14ac:dyDescent="0.2">
      <c r="B636" s="2045"/>
      <c r="C636" s="2046"/>
      <c r="D636" s="2047" t="str">
        <f>SNI!$E$410</f>
        <v>Besi Beton ( polos/ulir )</v>
      </c>
      <c r="E636" s="2047"/>
      <c r="F636" s="2048"/>
      <c r="G636" s="2049">
        <f>SNI!$H$410/10</f>
        <v>1.05</v>
      </c>
      <c r="H636" s="2050" t="str">
        <f>SNI!$G$410</f>
        <v>kg</v>
      </c>
      <c r="I636" s="2051"/>
      <c r="J636" s="2051"/>
      <c r="K636" s="2052">
        <f>SNI!$L$410</f>
        <v>0.4879</v>
      </c>
      <c r="L636" s="2053"/>
      <c r="M636" s="2054"/>
      <c r="N636" s="2055">
        <f>SNI!$I$410</f>
        <v>11500</v>
      </c>
      <c r="O636" s="2056"/>
      <c r="P636" s="1969">
        <f t="shared" ref="P636:P637" si="415">N636*G636</f>
        <v>12075</v>
      </c>
      <c r="Q636" s="1953"/>
      <c r="R636" s="1954"/>
      <c r="S636" s="1954">
        <f t="shared" ref="S636:S637" si="416">P636*K636</f>
        <v>5891.3924999999999</v>
      </c>
      <c r="T636" s="1969">
        <f t="shared" ref="T636:T637" si="417">P636-S636</f>
        <v>6183.6075000000001</v>
      </c>
      <c r="U636" s="2060"/>
      <c r="Z636" s="1956"/>
      <c r="AA636" s="1956"/>
      <c r="AF636" s="1836"/>
      <c r="AG636" s="1836"/>
      <c r="AH636" s="1836"/>
      <c r="AI636" s="1837"/>
      <c r="AJ636" s="1960"/>
    </row>
    <row r="637" spans="1:36" ht="21.95" customHeight="1" x14ac:dyDescent="0.2">
      <c r="B637" s="2045"/>
      <c r="C637" s="2046"/>
      <c r="D637" s="2047" t="str">
        <f>SNI!$E$411</f>
        <v>Kawat Beton</v>
      </c>
      <c r="E637" s="2047"/>
      <c r="F637" s="2048"/>
      <c r="G637" s="2049">
        <f>SNI!$H$411/10</f>
        <v>1.4999999999999999E-2</v>
      </c>
      <c r="H637" s="2050">
        <f>SNI!G829</f>
        <v>0</v>
      </c>
      <c r="I637" s="2051"/>
      <c r="J637" s="2051"/>
      <c r="K637" s="2052">
        <f>SNI!$L$411</f>
        <v>0</v>
      </c>
      <c r="L637" s="2053"/>
      <c r="M637" s="2054"/>
      <c r="N637" s="2055">
        <f>SNI!$I$411</f>
        <v>25500</v>
      </c>
      <c r="O637" s="2056"/>
      <c r="P637" s="1969">
        <f t="shared" si="415"/>
        <v>382.5</v>
      </c>
      <c r="Q637" s="1953"/>
      <c r="R637" s="1954"/>
      <c r="S637" s="1954">
        <f t="shared" si="416"/>
        <v>0</v>
      </c>
      <c r="T637" s="1969">
        <f t="shared" si="417"/>
        <v>382.5</v>
      </c>
      <c r="U637" s="2060"/>
      <c r="Z637" s="1956"/>
      <c r="AA637" s="1956"/>
      <c r="AF637" s="1836"/>
      <c r="AG637" s="1836"/>
      <c r="AH637" s="1836"/>
      <c r="AI637" s="1837"/>
      <c r="AJ637" s="1960"/>
    </row>
    <row r="638" spans="1:36" ht="21.95" customHeight="1" x14ac:dyDescent="0.2">
      <c r="B638" s="2045"/>
      <c r="C638" s="2046" t="str">
        <f>SNI!$D$413</f>
        <v>Tenaga Kerja</v>
      </c>
      <c r="D638" s="2047"/>
      <c r="E638" s="2047"/>
      <c r="F638" s="2048"/>
      <c r="G638" s="2049"/>
      <c r="H638" s="2050"/>
      <c r="I638" s="2051"/>
      <c r="J638" s="2051"/>
      <c r="K638" s="2052"/>
      <c r="L638" s="2053"/>
      <c r="M638" s="2054"/>
      <c r="N638" s="2055"/>
      <c r="O638" s="2056"/>
      <c r="P638" s="1969"/>
      <c r="Q638" s="1953"/>
      <c r="R638" s="1954"/>
      <c r="S638" s="1954"/>
      <c r="T638" s="1969"/>
      <c r="U638" s="2060"/>
      <c r="Z638" s="1956"/>
      <c r="AA638" s="1956"/>
      <c r="AF638" s="1836"/>
      <c r="AG638" s="1836"/>
      <c r="AH638" s="1836"/>
      <c r="AI638" s="1837"/>
      <c r="AJ638" s="1960"/>
    </row>
    <row r="639" spans="1:36" ht="21.95" customHeight="1" x14ac:dyDescent="0.2">
      <c r="B639" s="2045"/>
      <c r="C639" s="2046"/>
      <c r="D639" s="2047" t="str">
        <f>SNI!$E$413</f>
        <v xml:space="preserve">Pekerja </v>
      </c>
      <c r="E639" s="2047"/>
      <c r="F639" s="2048"/>
      <c r="G639" s="2049">
        <f>SNI!$H$413/10</f>
        <v>7.000000000000001E-3</v>
      </c>
      <c r="H639" s="2050" t="str">
        <f>SNI!$G$413</f>
        <v>OH</v>
      </c>
      <c r="I639" s="2051" t="str">
        <f>SNI!$M$413</f>
        <v>WNI</v>
      </c>
      <c r="J639" s="2051"/>
      <c r="K639" s="2052">
        <f>SNI!$L$413</f>
        <v>1</v>
      </c>
      <c r="L639" s="2053"/>
      <c r="M639" s="2054"/>
      <c r="N639" s="2055">
        <f>SNI!$I$413</f>
        <v>88300</v>
      </c>
      <c r="O639" s="2056"/>
      <c r="P639" s="1969">
        <f t="shared" ref="P639:P642" si="418">N639*G639</f>
        <v>618.10000000000014</v>
      </c>
      <c r="Q639" s="1953"/>
      <c r="R639" s="1954"/>
      <c r="S639" s="1954">
        <f t="shared" ref="S639:S642" si="419">P639*K639</f>
        <v>618.10000000000014</v>
      </c>
      <c r="T639" s="1969">
        <f t="shared" ref="T639:T642" si="420">P639-S639</f>
        <v>0</v>
      </c>
      <c r="U639" s="2060"/>
      <c r="Z639" s="1956"/>
      <c r="AA639" s="1956"/>
      <c r="AF639" s="1836"/>
      <c r="AG639" s="1836"/>
      <c r="AH639" s="1836"/>
      <c r="AI639" s="1837"/>
      <c r="AJ639" s="1960"/>
    </row>
    <row r="640" spans="1:36" ht="21.95" customHeight="1" x14ac:dyDescent="0.2">
      <c r="B640" s="2045"/>
      <c r="C640" s="2046"/>
      <c r="D640" s="2047" t="str">
        <f>SNI!$E$414</f>
        <v>Tukang Besi</v>
      </c>
      <c r="E640" s="2047"/>
      <c r="F640" s="2048"/>
      <c r="G640" s="2049">
        <f>SNI!$H$414/10</f>
        <v>7.000000000000001E-3</v>
      </c>
      <c r="H640" s="2050" t="str">
        <f>SNI!$G$414</f>
        <v>OH</v>
      </c>
      <c r="I640" s="2051" t="str">
        <f>SNI!$M$414</f>
        <v>WNI</v>
      </c>
      <c r="J640" s="2051"/>
      <c r="K640" s="2052">
        <f>SNI!$L$414</f>
        <v>1</v>
      </c>
      <c r="L640" s="2053"/>
      <c r="M640" s="2054"/>
      <c r="N640" s="2055">
        <f>SNI!$I$414</f>
        <v>90000</v>
      </c>
      <c r="O640" s="2056"/>
      <c r="P640" s="1969">
        <f t="shared" si="418"/>
        <v>630.00000000000011</v>
      </c>
      <c r="Q640" s="1953"/>
      <c r="R640" s="1954"/>
      <c r="S640" s="1954">
        <f t="shared" si="419"/>
        <v>630.00000000000011</v>
      </c>
      <c r="T640" s="1969">
        <f t="shared" si="420"/>
        <v>0</v>
      </c>
      <c r="U640" s="2060"/>
      <c r="Z640" s="1956"/>
      <c r="AA640" s="1956"/>
      <c r="AF640" s="1836"/>
      <c r="AG640" s="1836"/>
      <c r="AH640" s="1836"/>
      <c r="AI640" s="1837"/>
      <c r="AJ640" s="1960"/>
    </row>
    <row r="641" spans="1:36" ht="21.95" customHeight="1" x14ac:dyDescent="0.2">
      <c r="B641" s="2045"/>
      <c r="C641" s="2046"/>
      <c r="D641" s="2047" t="str">
        <f>SNI!$E$415</f>
        <v>Kepala Tukang</v>
      </c>
      <c r="E641" s="2047"/>
      <c r="F641" s="2048"/>
      <c r="G641" s="2049">
        <f>SNI!$H$415/10</f>
        <v>6.9999999999999999E-4</v>
      </c>
      <c r="H641" s="2050" t="str">
        <f>SNI!$G$415</f>
        <v>OH</v>
      </c>
      <c r="I641" s="2051" t="str">
        <f>SNI!$M$415</f>
        <v>WNI</v>
      </c>
      <c r="J641" s="2051"/>
      <c r="K641" s="2052">
        <f>SNI!$L$415</f>
        <v>1</v>
      </c>
      <c r="L641" s="2053"/>
      <c r="M641" s="2054"/>
      <c r="N641" s="2055">
        <f>SNI!$I$415</f>
        <v>96000</v>
      </c>
      <c r="O641" s="2056"/>
      <c r="P641" s="1969">
        <f t="shared" si="418"/>
        <v>67.2</v>
      </c>
      <c r="Q641" s="1953"/>
      <c r="R641" s="1954"/>
      <c r="S641" s="1954">
        <f t="shared" si="419"/>
        <v>67.2</v>
      </c>
      <c r="T641" s="1969">
        <f t="shared" si="420"/>
        <v>0</v>
      </c>
      <c r="U641" s="2060"/>
      <c r="Z641" s="1956"/>
      <c r="AA641" s="1956"/>
      <c r="AF641" s="1836"/>
      <c r="AG641" s="1836"/>
      <c r="AH641" s="1836"/>
      <c r="AI641" s="1837"/>
      <c r="AJ641" s="1960"/>
    </row>
    <row r="642" spans="1:36" ht="21.95" customHeight="1" x14ac:dyDescent="0.2">
      <c r="B642" s="2045"/>
      <c r="C642" s="2046"/>
      <c r="D642" s="2047" t="str">
        <f>SNI!$E$416</f>
        <v>Mandor</v>
      </c>
      <c r="E642" s="2047"/>
      <c r="F642" s="2048"/>
      <c r="G642" s="2049">
        <f>SNI!$H$416/10</f>
        <v>4.0000000000000002E-4</v>
      </c>
      <c r="H642" s="2050" t="str">
        <f>SNI!$G$416</f>
        <v>OH</v>
      </c>
      <c r="I642" s="2051" t="str">
        <f>SNI!$M$416</f>
        <v>WNI</v>
      </c>
      <c r="J642" s="2051"/>
      <c r="K642" s="2052">
        <f>SNI!$L$416</f>
        <v>1</v>
      </c>
      <c r="L642" s="2053"/>
      <c r="M642" s="2054"/>
      <c r="N642" s="2055">
        <f>SNI!$I$416</f>
        <v>90000</v>
      </c>
      <c r="O642" s="2056"/>
      <c r="P642" s="1969">
        <f t="shared" si="418"/>
        <v>36</v>
      </c>
      <c r="Q642" s="1953"/>
      <c r="R642" s="1954"/>
      <c r="S642" s="1954">
        <f t="shared" si="419"/>
        <v>36</v>
      </c>
      <c r="T642" s="1969">
        <f t="shared" si="420"/>
        <v>0</v>
      </c>
      <c r="U642" s="2060"/>
      <c r="Z642" s="1956"/>
      <c r="AA642" s="1956"/>
      <c r="AF642" s="1836"/>
      <c r="AG642" s="1836"/>
      <c r="AH642" s="1836"/>
      <c r="AI642" s="1837"/>
      <c r="AJ642" s="1960"/>
    </row>
    <row r="643" spans="1:36" s="1957" customFormat="1" ht="21.95" customHeight="1" x14ac:dyDescent="0.2">
      <c r="A643" s="1942"/>
      <c r="B643" s="1970"/>
      <c r="C643" s="1971"/>
      <c r="D643" s="1972"/>
      <c r="E643" s="1973"/>
      <c r="F643" s="1974" t="s">
        <v>556</v>
      </c>
      <c r="G643" s="1975">
        <f>B634</f>
        <v>11</v>
      </c>
      <c r="H643" s="1976"/>
      <c r="I643" s="1977"/>
      <c r="J643" s="1977"/>
      <c r="K643" s="1978"/>
      <c r="L643" s="1979"/>
      <c r="M643" s="1980"/>
      <c r="N643" s="1981"/>
      <c r="O643" s="1982"/>
      <c r="P643" s="1983">
        <f>SUM(P636:P642)</f>
        <v>13808.800000000001</v>
      </c>
      <c r="Q643" s="1984"/>
      <c r="R643" s="1985"/>
      <c r="S643" s="1983">
        <f t="shared" ref="S643" si="421">SUM(S636:S642)</f>
        <v>7242.6925000000001</v>
      </c>
      <c r="T643" s="1983">
        <f t="shared" ref="T643" si="422">SUM(T636:T642)</f>
        <v>6566.1075000000001</v>
      </c>
      <c r="U643" s="1986"/>
      <c r="V643" s="1848"/>
      <c r="W643" s="1848"/>
      <c r="X643" s="1848"/>
      <c r="Y643" s="1848"/>
      <c r="Z643" s="1956"/>
      <c r="AA643" s="1956"/>
      <c r="AF643" s="1958"/>
      <c r="AG643" s="1958"/>
      <c r="AH643" s="1958"/>
      <c r="AI643" s="1959"/>
      <c r="AJ643" s="1960"/>
    </row>
    <row r="644" spans="1:36" ht="21.95" customHeight="1" x14ac:dyDescent="0.2">
      <c r="A644" s="1833">
        <f>satpek!$B$45</f>
        <v>26</v>
      </c>
      <c r="B644" s="1943">
        <f>B634+1</f>
        <v>12</v>
      </c>
      <c r="C644" s="1937"/>
      <c r="D644" s="1944" t="str">
        <f>VLOOKUP($A644,satpek!$B$20:$N$144,2,0)</f>
        <v>Memasang bekisting untuk balok (2x pakai)</v>
      </c>
      <c r="E644" s="1944"/>
      <c r="F644" s="2004"/>
      <c r="G644" s="1945">
        <f>'[3]B.VOL RAB'!Q168</f>
        <v>38.4</v>
      </c>
      <c r="H644" s="1946" t="str">
        <f>VLOOKUP($A644,satpek!$B$20:$N$144,7,0)</f>
        <v>m2</v>
      </c>
      <c r="I644" s="1947"/>
      <c r="J644" s="1947"/>
      <c r="K644" s="1948"/>
      <c r="L644" s="1949"/>
      <c r="M644" s="1950" t="str">
        <f>VLOOKUP($A644,satpek!$B$20:$N$144,5,0)</f>
        <v>A.4.1.1.23.</v>
      </c>
      <c r="N644" s="1951">
        <f>VLOOKUP($A644,satpek!$B$20:$N$144,6,0)</f>
        <v>194762.28</v>
      </c>
      <c r="O644" s="1938"/>
      <c r="P644" s="1952">
        <f t="shared" si="408"/>
        <v>7478871.5499999998</v>
      </c>
      <c r="Q644" s="1953">
        <f>VLOOKUP($A644,satpek!$B$20:$L$138,8,0)</f>
        <v>0.83069925038873027</v>
      </c>
      <c r="R644" s="1954">
        <f>VLOOKUP($A644,satpek!$B$20:$L$138,9,0)</f>
        <v>143176</v>
      </c>
      <c r="S644" s="1954">
        <f>VLOOKUP($A644,satpek!$B$20:$L$138,10,0)</f>
        <v>161788.88</v>
      </c>
      <c r="T644" s="1952">
        <f>S644*G644</f>
        <v>6212692.9919999996</v>
      </c>
      <c r="U644" s="1955"/>
      <c r="X644" s="1848">
        <f>P658</f>
        <v>172356</v>
      </c>
      <c r="Y644" s="1848">
        <f>S658</f>
        <v>143176</v>
      </c>
      <c r="Z644" s="1956">
        <v>38.4</v>
      </c>
      <c r="AA644" s="1956">
        <f>Z644-G644</f>
        <v>0</v>
      </c>
      <c r="AB644" s="1836" t="s">
        <v>1909</v>
      </c>
      <c r="AF644" s="1836"/>
      <c r="AG644" s="1836"/>
      <c r="AH644" s="1836"/>
      <c r="AI644" s="1837">
        <v>195923.91999999998</v>
      </c>
      <c r="AJ644" s="1960">
        <f>AI644-N644</f>
        <v>1161.6399999999849</v>
      </c>
    </row>
    <row r="645" spans="1:36" ht="21.95" customHeight="1" x14ac:dyDescent="0.2">
      <c r="B645" s="2045"/>
      <c r="C645" s="2046" t="str">
        <f>SNI!$D$498</f>
        <v>Bahan</v>
      </c>
      <c r="D645" s="2047"/>
      <c r="E645" s="2047"/>
      <c r="F645" s="2048"/>
      <c r="G645" s="2049"/>
      <c r="H645" s="2050"/>
      <c r="I645" s="2051"/>
      <c r="J645" s="2051"/>
      <c r="K645" s="2052"/>
      <c r="L645" s="2053"/>
      <c r="M645" s="2054"/>
      <c r="N645" s="2055"/>
      <c r="O645" s="2056"/>
      <c r="P645" s="2057"/>
      <c r="Q645" s="2058"/>
      <c r="R645" s="2059"/>
      <c r="S645" s="2059"/>
      <c r="T645" s="2055"/>
      <c r="U645" s="2060"/>
      <c r="Z645" s="1956"/>
      <c r="AA645" s="1956"/>
      <c r="AF645" s="1836"/>
      <c r="AG645" s="1836"/>
      <c r="AH645" s="1836"/>
      <c r="AI645" s="1837"/>
      <c r="AJ645" s="1960"/>
    </row>
    <row r="646" spans="1:36" ht="21.95" customHeight="1" x14ac:dyDescent="0.2">
      <c r="B646" s="2045"/>
      <c r="C646" s="2046"/>
      <c r="D646" s="2047" t="str">
        <f>SNI!$E$498</f>
        <v>Kayu kelas III</v>
      </c>
      <c r="E646" s="2047"/>
      <c r="F646" s="2048"/>
      <c r="G646" s="2049">
        <f>SNI!$H$498</f>
        <v>0.02</v>
      </c>
      <c r="H646" s="2050" t="str">
        <f>SNI!$G$498</f>
        <v>m3</v>
      </c>
      <c r="I646" s="2051"/>
      <c r="J646" s="2051"/>
      <c r="K646" s="2052">
        <f>SNI!$L$498</f>
        <v>1</v>
      </c>
      <c r="L646" s="2053"/>
      <c r="M646" s="2054"/>
      <c r="N646" s="2055">
        <f>SNI!$I$498</f>
        <v>1100000</v>
      </c>
      <c r="O646" s="2056"/>
      <c r="P646" s="1969">
        <f t="shared" ref="P646:P651" si="423">N646*G646</f>
        <v>22000</v>
      </c>
      <c r="Q646" s="1953"/>
      <c r="R646" s="1954"/>
      <c r="S646" s="1954">
        <f t="shared" ref="S646:S651" si="424">P646*K646</f>
        <v>22000</v>
      </c>
      <c r="T646" s="1969">
        <f t="shared" ref="T646:T651" si="425">P646-S646</f>
        <v>0</v>
      </c>
      <c r="U646" s="2060"/>
      <c r="Z646" s="1956"/>
      <c r="AA646" s="1956"/>
      <c r="AF646" s="1836"/>
      <c r="AG646" s="1836"/>
      <c r="AH646" s="1836"/>
      <c r="AI646" s="1837"/>
      <c r="AJ646" s="1960"/>
    </row>
    <row r="647" spans="1:36" ht="21.95" customHeight="1" x14ac:dyDescent="0.2">
      <c r="B647" s="2045"/>
      <c r="C647" s="2046"/>
      <c r="D647" s="2047" t="str">
        <f>SNI!$E$499</f>
        <v>Paku 5 cm - 12 cm</v>
      </c>
      <c r="E647" s="2047"/>
      <c r="F647" s="2048"/>
      <c r="G647" s="2049">
        <f>SNI!$H$499</f>
        <v>0.4</v>
      </c>
      <c r="H647" s="2050" t="str">
        <f>SNI!$G$499</f>
        <v>kg</v>
      </c>
      <c r="I647" s="2051"/>
      <c r="J647" s="2051"/>
      <c r="K647" s="2052">
        <f>SNI!$L$499</f>
        <v>0</v>
      </c>
      <c r="L647" s="2053"/>
      <c r="M647" s="2054"/>
      <c r="N647" s="2055">
        <f>SNI!$I$499</f>
        <v>17000</v>
      </c>
      <c r="O647" s="2056"/>
      <c r="P647" s="1969">
        <f t="shared" si="423"/>
        <v>6800</v>
      </c>
      <c r="Q647" s="1953"/>
      <c r="R647" s="1954"/>
      <c r="S647" s="1954">
        <f t="shared" si="424"/>
        <v>0</v>
      </c>
      <c r="T647" s="1969">
        <f t="shared" si="425"/>
        <v>6800</v>
      </c>
      <c r="U647" s="2060"/>
      <c r="Z647" s="1956"/>
      <c r="AA647" s="1956"/>
      <c r="AF647" s="1836"/>
      <c r="AG647" s="1836"/>
      <c r="AH647" s="1836"/>
      <c r="AI647" s="1837"/>
      <c r="AJ647" s="1960"/>
    </row>
    <row r="648" spans="1:36" ht="21.95" customHeight="1" x14ac:dyDescent="0.2">
      <c r="B648" s="2045"/>
      <c r="C648" s="2046"/>
      <c r="D648" s="2047" t="str">
        <f>SNI!$E$500</f>
        <v>Minyak Bekisting</v>
      </c>
      <c r="E648" s="2047"/>
      <c r="F648" s="2048"/>
      <c r="G648" s="2049">
        <f>SNI!$H$500</f>
        <v>0.2</v>
      </c>
      <c r="H648" s="2050" t="str">
        <f>SNI!$G$500</f>
        <v>ltr</v>
      </c>
      <c r="I648" s="2051"/>
      <c r="J648" s="2051"/>
      <c r="K648" s="2052">
        <f>SNI!$L$500</f>
        <v>0</v>
      </c>
      <c r="L648" s="2053"/>
      <c r="M648" s="2054"/>
      <c r="N648" s="2055">
        <f>SNI!$I$500</f>
        <v>6900</v>
      </c>
      <c r="O648" s="2056"/>
      <c r="P648" s="1969">
        <f t="shared" si="423"/>
        <v>1380</v>
      </c>
      <c r="Q648" s="1953"/>
      <c r="R648" s="1954"/>
      <c r="S648" s="1954">
        <f t="shared" si="424"/>
        <v>0</v>
      </c>
      <c r="T648" s="1969">
        <f t="shared" si="425"/>
        <v>1380</v>
      </c>
      <c r="U648" s="2060"/>
      <c r="Z648" s="1956"/>
      <c r="AA648" s="1956"/>
      <c r="AF648" s="1836"/>
      <c r="AG648" s="1836"/>
      <c r="AH648" s="1836"/>
      <c r="AI648" s="1837"/>
      <c r="AJ648" s="1960"/>
    </row>
    <row r="649" spans="1:36" ht="21.95" customHeight="1" x14ac:dyDescent="0.2">
      <c r="B649" s="2045"/>
      <c r="C649" s="2046"/>
      <c r="D649" s="2047" t="str">
        <f>SNI!$E$501</f>
        <v>Balok kayu kelas II</v>
      </c>
      <c r="E649" s="2047"/>
      <c r="F649" s="2048"/>
      <c r="G649" s="2049">
        <f>SNI!$H$501</f>
        <v>8.9999999999999993E-3</v>
      </c>
      <c r="H649" s="2050" t="str">
        <f>SNI!$G$501</f>
        <v>m3</v>
      </c>
      <c r="I649" s="2051"/>
      <c r="J649" s="2051"/>
      <c r="K649" s="2052">
        <f>SNI!$L$501</f>
        <v>1</v>
      </c>
      <c r="L649" s="2053"/>
      <c r="M649" s="2054"/>
      <c r="N649" s="2055">
        <f>SNI!$I$501</f>
        <v>1600000</v>
      </c>
      <c r="O649" s="2056"/>
      <c r="P649" s="1969">
        <f t="shared" si="423"/>
        <v>14399.999999999998</v>
      </c>
      <c r="Q649" s="1953"/>
      <c r="R649" s="1954"/>
      <c r="S649" s="1954">
        <f t="shared" si="424"/>
        <v>14399.999999999998</v>
      </c>
      <c r="T649" s="1969">
        <f t="shared" si="425"/>
        <v>0</v>
      </c>
      <c r="U649" s="2060"/>
      <c r="Z649" s="1956"/>
      <c r="AA649" s="1956"/>
      <c r="AF649" s="1836"/>
      <c r="AG649" s="1836"/>
      <c r="AH649" s="1836"/>
      <c r="AI649" s="1837"/>
      <c r="AJ649" s="1960"/>
    </row>
    <row r="650" spans="1:36" ht="21.95" customHeight="1" x14ac:dyDescent="0.2">
      <c r="B650" s="2045"/>
      <c r="C650" s="2046"/>
      <c r="D650" s="2047" t="str">
        <f>SNI!$E$502</f>
        <v>Plywood tebal 9 mm</v>
      </c>
      <c r="E650" s="2047"/>
      <c r="F650" s="2048"/>
      <c r="G650" s="2049">
        <f>SNI!$H$502</f>
        <v>0.17499999999999999</v>
      </c>
      <c r="H650" s="2050" t="str">
        <f>SNI!$G$502</f>
        <v>lbr</v>
      </c>
      <c r="I650" s="2051"/>
      <c r="J650" s="2051"/>
      <c r="K650" s="2052">
        <f>SNI!$L$502</f>
        <v>0</v>
      </c>
      <c r="L650" s="2053"/>
      <c r="M650" s="2054"/>
      <c r="N650" s="2055">
        <f>SNI!$I$502</f>
        <v>120000</v>
      </c>
      <c r="O650" s="2056"/>
      <c r="P650" s="1969">
        <f t="shared" si="423"/>
        <v>21000</v>
      </c>
      <c r="Q650" s="1953"/>
      <c r="R650" s="1954"/>
      <c r="S650" s="1954">
        <f t="shared" si="424"/>
        <v>0</v>
      </c>
      <c r="T650" s="1969">
        <f t="shared" si="425"/>
        <v>21000</v>
      </c>
      <c r="U650" s="2060"/>
      <c r="Z650" s="1956"/>
      <c r="AA650" s="1956"/>
      <c r="AF650" s="1836"/>
      <c r="AG650" s="1836"/>
      <c r="AH650" s="1836"/>
      <c r="AI650" s="1837"/>
      <c r="AJ650" s="1960"/>
    </row>
    <row r="651" spans="1:36" ht="21.95" customHeight="1" x14ac:dyDescent="0.2">
      <c r="B651" s="2045"/>
      <c r="C651" s="2046"/>
      <c r="D651" s="2047" t="str">
        <f>SNI!$E$503</f>
        <v>Dolken kayu galam,</v>
      </c>
      <c r="E651" s="2047"/>
      <c r="F651" s="2048"/>
      <c r="G651" s="2049">
        <f>SNI!$H$503</f>
        <v>1</v>
      </c>
      <c r="H651" s="2050" t="str">
        <f>SNI!$G$503</f>
        <v>btg</v>
      </c>
      <c r="I651" s="2051"/>
      <c r="J651" s="2051"/>
      <c r="K651" s="2052">
        <f>SNI!$L$503</f>
        <v>1</v>
      </c>
      <c r="L651" s="2053"/>
      <c r="M651" s="2054"/>
      <c r="N651" s="2055">
        <f>SNI!$I$503</f>
        <v>12000</v>
      </c>
      <c r="O651" s="2056"/>
      <c r="P651" s="1969">
        <f t="shared" si="423"/>
        <v>12000</v>
      </c>
      <c r="Q651" s="1953"/>
      <c r="R651" s="1954"/>
      <c r="S651" s="1954">
        <f t="shared" si="424"/>
        <v>12000</v>
      </c>
      <c r="T651" s="1969">
        <f t="shared" si="425"/>
        <v>0</v>
      </c>
      <c r="U651" s="2060"/>
      <c r="Z651" s="1956"/>
      <c r="AA651" s="1956"/>
      <c r="AF651" s="1836"/>
      <c r="AG651" s="1836"/>
      <c r="AH651" s="1836"/>
      <c r="AI651" s="1837"/>
      <c r="AJ651" s="1960"/>
    </row>
    <row r="652" spans="1:36" ht="21.95" customHeight="1" x14ac:dyDescent="0.2">
      <c r="B652" s="2045"/>
      <c r="C652" s="2046"/>
      <c r="D652" s="2047" t="str">
        <f>SNI!$E$504</f>
        <v>Ø (8 - 10) cm, panj 4 m</v>
      </c>
      <c r="E652" s="2047"/>
      <c r="F652" s="2048"/>
      <c r="G652" s="2049"/>
      <c r="H652" s="2050"/>
      <c r="I652" s="2051"/>
      <c r="J652" s="2051"/>
      <c r="K652" s="2052"/>
      <c r="L652" s="2053"/>
      <c r="M652" s="2054"/>
      <c r="N652" s="2055"/>
      <c r="O652" s="2056"/>
      <c r="P652" s="1969"/>
      <c r="Q652" s="1953"/>
      <c r="R652" s="1954"/>
      <c r="S652" s="1954"/>
      <c r="T652" s="1969"/>
      <c r="U652" s="2060"/>
      <c r="Z652" s="1956"/>
      <c r="AA652" s="1956"/>
      <c r="AF652" s="1836"/>
      <c r="AG652" s="1836"/>
      <c r="AH652" s="1836"/>
      <c r="AI652" s="1837"/>
      <c r="AJ652" s="1960"/>
    </row>
    <row r="653" spans="1:36" ht="21.95" customHeight="1" x14ac:dyDescent="0.2">
      <c r="B653" s="2045"/>
      <c r="C653" s="2046" t="str">
        <f>SNI!$D$506</f>
        <v>Tenaga Kerja</v>
      </c>
      <c r="D653" s="2047"/>
      <c r="E653" s="2047"/>
      <c r="F653" s="2048"/>
      <c r="G653" s="2049"/>
      <c r="H653" s="2050"/>
      <c r="I653" s="2051"/>
      <c r="J653" s="2051"/>
      <c r="K653" s="2052"/>
      <c r="L653" s="2053"/>
      <c r="M653" s="2054"/>
      <c r="N653" s="2055"/>
      <c r="O653" s="2056"/>
      <c r="P653" s="1969"/>
      <c r="Q653" s="1953"/>
      <c r="R653" s="1954"/>
      <c r="S653" s="1954"/>
      <c r="T653" s="1969"/>
      <c r="U653" s="2060"/>
      <c r="Z653" s="1956"/>
      <c r="AA653" s="1956"/>
      <c r="AF653" s="1836"/>
      <c r="AG653" s="1836"/>
      <c r="AH653" s="1836"/>
      <c r="AI653" s="1837"/>
      <c r="AJ653" s="1960"/>
    </row>
    <row r="654" spans="1:36" ht="21.95" customHeight="1" x14ac:dyDescent="0.2">
      <c r="B654" s="2045"/>
      <c r="C654" s="2046"/>
      <c r="D654" s="2047" t="str">
        <f>SNI!$E$506</f>
        <v xml:space="preserve">Pekerja </v>
      </c>
      <c r="E654" s="2047"/>
      <c r="F654" s="2048"/>
      <c r="G654" s="2049">
        <f>SNI!$H$506</f>
        <v>0.66</v>
      </c>
      <c r="H654" s="2050" t="str">
        <f>SNI!$G$506</f>
        <v>OH</v>
      </c>
      <c r="I654" s="2051" t="str">
        <f>SNI!$M$315</f>
        <v>WNI</v>
      </c>
      <c r="J654" s="2051"/>
      <c r="K654" s="2052">
        <f>SNI!$L$506</f>
        <v>1</v>
      </c>
      <c r="L654" s="2053"/>
      <c r="M654" s="2054"/>
      <c r="N654" s="2055">
        <f>SNI!$I$506</f>
        <v>88300</v>
      </c>
      <c r="O654" s="2056"/>
      <c r="P654" s="1969">
        <f t="shared" ref="P654:P657" si="426">N654*G654</f>
        <v>58278</v>
      </c>
      <c r="Q654" s="1953"/>
      <c r="R654" s="1954"/>
      <c r="S654" s="1954">
        <f t="shared" ref="S654:S657" si="427">P654*K654</f>
        <v>58278</v>
      </c>
      <c r="T654" s="1969">
        <f t="shared" ref="T654:T657" si="428">P654-S654</f>
        <v>0</v>
      </c>
      <c r="U654" s="2060"/>
      <c r="Z654" s="1956"/>
      <c r="AA654" s="1956"/>
      <c r="AF654" s="1836"/>
      <c r="AG654" s="1836"/>
      <c r="AH654" s="1836"/>
      <c r="AI654" s="1837"/>
      <c r="AJ654" s="1960"/>
    </row>
    <row r="655" spans="1:36" ht="21.95" customHeight="1" x14ac:dyDescent="0.2">
      <c r="B655" s="2045"/>
      <c r="C655" s="2046"/>
      <c r="D655" s="2047" t="str">
        <f>SNI!$E$507</f>
        <v>Tukang Kayu</v>
      </c>
      <c r="E655" s="2047"/>
      <c r="F655" s="2048"/>
      <c r="G655" s="2049">
        <f>SNI!$H$507</f>
        <v>0.33</v>
      </c>
      <c r="H655" s="2050" t="str">
        <f>SNI!$G$507</f>
        <v>OH</v>
      </c>
      <c r="I655" s="2051" t="str">
        <f>SNI!$M$315</f>
        <v>WNI</v>
      </c>
      <c r="J655" s="2051"/>
      <c r="K655" s="2052">
        <f>SNI!$L$507</f>
        <v>1</v>
      </c>
      <c r="L655" s="2053"/>
      <c r="M655" s="2054"/>
      <c r="N655" s="2055">
        <f>SNI!$I$507</f>
        <v>92000</v>
      </c>
      <c r="O655" s="2056"/>
      <c r="P655" s="1969">
        <f t="shared" si="426"/>
        <v>30360</v>
      </c>
      <c r="Q655" s="1953"/>
      <c r="R655" s="1954"/>
      <c r="S655" s="1954">
        <f t="shared" si="427"/>
        <v>30360</v>
      </c>
      <c r="T655" s="1969">
        <f t="shared" si="428"/>
        <v>0</v>
      </c>
      <c r="U655" s="2060"/>
      <c r="Z655" s="1956"/>
      <c r="AA655" s="1956"/>
      <c r="AF655" s="1836"/>
      <c r="AG655" s="1836"/>
      <c r="AH655" s="1836"/>
      <c r="AI655" s="1837"/>
      <c r="AJ655" s="1960"/>
    </row>
    <row r="656" spans="1:36" ht="21.95" customHeight="1" x14ac:dyDescent="0.2">
      <c r="B656" s="2045"/>
      <c r="C656" s="2046"/>
      <c r="D656" s="2047" t="str">
        <f>SNI!$E$508</f>
        <v>Kepala Tukang</v>
      </c>
      <c r="E656" s="2047"/>
      <c r="F656" s="2048"/>
      <c r="G656" s="2049">
        <f>SNI!$H$508</f>
        <v>3.3000000000000002E-2</v>
      </c>
      <c r="H656" s="2050" t="str">
        <f>SNI!$G$508</f>
        <v>OH</v>
      </c>
      <c r="I656" s="2051" t="str">
        <f>SNI!$M$315</f>
        <v>WNI</v>
      </c>
      <c r="J656" s="2051"/>
      <c r="K656" s="2052">
        <f>SNI!$L$508</f>
        <v>1</v>
      </c>
      <c r="L656" s="2053"/>
      <c r="M656" s="2054"/>
      <c r="N656" s="2055">
        <f>SNI!$I$508</f>
        <v>96000</v>
      </c>
      <c r="O656" s="2056"/>
      <c r="P656" s="1969">
        <f t="shared" si="426"/>
        <v>3168</v>
      </c>
      <c r="Q656" s="1953"/>
      <c r="R656" s="1954"/>
      <c r="S656" s="1954">
        <f t="shared" si="427"/>
        <v>3168</v>
      </c>
      <c r="T656" s="1969">
        <f t="shared" si="428"/>
        <v>0</v>
      </c>
      <c r="U656" s="2060"/>
      <c r="Z656" s="1956"/>
      <c r="AA656" s="1956"/>
      <c r="AF656" s="1836"/>
      <c r="AG656" s="1836"/>
      <c r="AH656" s="1836"/>
      <c r="AI656" s="1837"/>
      <c r="AJ656" s="1960"/>
    </row>
    <row r="657" spans="1:36" ht="21.95" customHeight="1" x14ac:dyDescent="0.2">
      <c r="B657" s="2045"/>
      <c r="C657" s="2046"/>
      <c r="D657" s="2047" t="str">
        <f>SNI!$E$509</f>
        <v>Mandor</v>
      </c>
      <c r="E657" s="2047"/>
      <c r="F657" s="2048"/>
      <c r="G657" s="2049">
        <f>SNI!$H$509</f>
        <v>3.3000000000000002E-2</v>
      </c>
      <c r="H657" s="2050" t="str">
        <f>SNI!$G$509</f>
        <v>OH</v>
      </c>
      <c r="I657" s="2051" t="str">
        <f>SNI!$M$315</f>
        <v>WNI</v>
      </c>
      <c r="J657" s="2051"/>
      <c r="K657" s="2052">
        <f>SNI!$L$509</f>
        <v>1</v>
      </c>
      <c r="L657" s="2053"/>
      <c r="M657" s="2054"/>
      <c r="N657" s="2055">
        <f>SNI!$I$509</f>
        <v>90000</v>
      </c>
      <c r="O657" s="2056"/>
      <c r="P657" s="1969">
        <f t="shared" si="426"/>
        <v>2970</v>
      </c>
      <c r="Q657" s="1953"/>
      <c r="R657" s="1954"/>
      <c r="S657" s="1954">
        <f t="shared" si="427"/>
        <v>2970</v>
      </c>
      <c r="T657" s="1969">
        <f t="shared" si="428"/>
        <v>0</v>
      </c>
      <c r="U657" s="2060"/>
      <c r="Z657" s="1956"/>
      <c r="AA657" s="1956"/>
      <c r="AF657" s="1836"/>
      <c r="AG657" s="1836"/>
      <c r="AH657" s="1836"/>
      <c r="AI657" s="1837"/>
      <c r="AJ657" s="1960"/>
    </row>
    <row r="658" spans="1:36" s="1957" customFormat="1" ht="21.95" customHeight="1" x14ac:dyDescent="0.2">
      <c r="A658" s="1942"/>
      <c r="B658" s="1970"/>
      <c r="C658" s="1971"/>
      <c r="D658" s="1972"/>
      <c r="E658" s="1973"/>
      <c r="F658" s="1974" t="s">
        <v>556</v>
      </c>
      <c r="G658" s="1975">
        <f>B644</f>
        <v>12</v>
      </c>
      <c r="H658" s="1976"/>
      <c r="I658" s="1977"/>
      <c r="J658" s="1977"/>
      <c r="K658" s="1978"/>
      <c r="L658" s="1979"/>
      <c r="M658" s="1980"/>
      <c r="N658" s="1981"/>
      <c r="O658" s="1982"/>
      <c r="P658" s="1983">
        <f>SUM(P646:P657)</f>
        <v>172356</v>
      </c>
      <c r="Q658" s="1984"/>
      <c r="R658" s="1985"/>
      <c r="S658" s="1983">
        <f t="shared" ref="S658" si="429">SUM(S646:S657)</f>
        <v>143176</v>
      </c>
      <c r="T658" s="1983">
        <f t="shared" ref="T658" si="430">SUM(T646:T657)</f>
        <v>29180</v>
      </c>
      <c r="U658" s="1986"/>
      <c r="V658" s="1848"/>
      <c r="W658" s="1848"/>
      <c r="X658" s="1848"/>
      <c r="Y658" s="1848"/>
      <c r="Z658" s="1956"/>
      <c r="AA658" s="1956"/>
      <c r="AF658" s="1958"/>
      <c r="AG658" s="1958"/>
      <c r="AH658" s="1958"/>
      <c r="AI658" s="1959"/>
      <c r="AJ658" s="1960"/>
    </row>
    <row r="659" spans="1:36" ht="21.95" customHeight="1" x14ac:dyDescent="0.2">
      <c r="B659" s="2102"/>
      <c r="C659" s="2103"/>
      <c r="D659" s="2081" t="s">
        <v>1792</v>
      </c>
      <c r="E659" s="1930"/>
      <c r="F659" s="1931"/>
      <c r="G659" s="1945"/>
      <c r="H659" s="1933"/>
      <c r="I659" s="1934"/>
      <c r="J659" s="1934"/>
      <c r="K659" s="1935"/>
      <c r="L659" s="1936"/>
      <c r="M659" s="1936"/>
      <c r="N659" s="1951"/>
      <c r="O659" s="2066"/>
      <c r="P659" s="2067"/>
      <c r="Q659" s="1934"/>
      <c r="R659" s="1934"/>
      <c r="S659" s="1934"/>
      <c r="T659" s="1940"/>
      <c r="U659" s="1941"/>
      <c r="Z659" s="1956"/>
      <c r="AA659" s="1956">
        <f>Z659-G659</f>
        <v>0</v>
      </c>
      <c r="AB659" s="1836" t="s">
        <v>1792</v>
      </c>
      <c r="AF659" s="1836"/>
      <c r="AG659" s="1836"/>
      <c r="AH659" s="1836"/>
      <c r="AI659" s="1837"/>
      <c r="AJ659" s="1960">
        <f>AI659-N659</f>
        <v>0</v>
      </c>
    </row>
    <row r="660" spans="1:36" ht="21.95" customHeight="1" x14ac:dyDescent="0.2">
      <c r="A660" s="1833">
        <f>satpek!$B$40</f>
        <v>21</v>
      </c>
      <c r="B660" s="1943">
        <f>B644+1</f>
        <v>13</v>
      </c>
      <c r="C660" s="1937"/>
      <c r="D660" s="1944" t="str">
        <f>VLOOKUP($A660,satpek!$B$20:$N$144,2,0)</f>
        <v>Membuat beton mutu f'c = 21,7 Mpa - K 250</v>
      </c>
      <c r="E660" s="1944"/>
      <c r="F660" s="2004"/>
      <c r="G660" s="1945">
        <f>'[3]B.VOL RAB'!Q172</f>
        <v>5.7059999999999986</v>
      </c>
      <c r="H660" s="1946" t="str">
        <f>VLOOKUP($A660,satpek!$B$20:$N$144,7,0)</f>
        <v>m3</v>
      </c>
      <c r="I660" s="1947"/>
      <c r="J660" s="1947"/>
      <c r="K660" s="1948"/>
      <c r="L660" s="1949"/>
      <c r="M660" s="1950" t="str">
        <f>VLOOKUP($A660,satpek!$B$20:$N$144,5,0)</f>
        <v>A.4.1.1.8.</v>
      </c>
      <c r="N660" s="1951">
        <f>VLOOKUP($A660,satpek!$B$20:$N$144,6,0)</f>
        <v>1115753.29</v>
      </c>
      <c r="O660" s="1938"/>
      <c r="P660" s="1952">
        <f t="shared" ref="P660:P682" si="431">ROUND((G660*N660),2)</f>
        <v>6366488.2699999996</v>
      </c>
      <c r="Q660" s="1953">
        <f>VLOOKUP($A660,satpek!$B$20:$L$138,8,0)</f>
        <v>0.93065078521121514</v>
      </c>
      <c r="R660" s="1954">
        <f>VLOOKUP($A660,satpek!$B$20:$L$138,9,0)</f>
        <v>918917.40999999992</v>
      </c>
      <c r="S660" s="1954">
        <f>VLOOKUP($A660,satpek!$B$20:$L$138,10,0)</f>
        <v>1038376.6732999999</v>
      </c>
      <c r="T660" s="1952">
        <f>S660*G660</f>
        <v>5924977.2978497976</v>
      </c>
      <c r="U660" s="1955"/>
      <c r="X660" s="1848">
        <f>P671</f>
        <v>987392.28571428568</v>
      </c>
      <c r="Y660" s="1848">
        <f>S671</f>
        <v>918917.40571428579</v>
      </c>
      <c r="Z660" s="1956">
        <v>5.7059999999999986</v>
      </c>
      <c r="AA660" s="1956">
        <f>Z660-G660</f>
        <v>0</v>
      </c>
      <c r="AB660" s="1836" t="s">
        <v>1905</v>
      </c>
      <c r="AF660" s="1836"/>
      <c r="AG660" s="1836"/>
      <c r="AH660" s="1836"/>
      <c r="AI660" s="1837">
        <v>1191397.42</v>
      </c>
      <c r="AJ660" s="1960">
        <f>AI660-N660</f>
        <v>75644.129999999888</v>
      </c>
    </row>
    <row r="661" spans="1:36" ht="21.95" customHeight="1" x14ac:dyDescent="0.2">
      <c r="B661" s="2045"/>
      <c r="C661" s="2046" t="str">
        <f>SNI!$D$389</f>
        <v>Bahan</v>
      </c>
      <c r="D661" s="2047"/>
      <c r="E661" s="2047"/>
      <c r="F661" s="2048"/>
      <c r="G661" s="2049"/>
      <c r="H661" s="2050"/>
      <c r="I661" s="2051"/>
      <c r="J661" s="2051"/>
      <c r="K661" s="2052"/>
      <c r="L661" s="2053"/>
      <c r="M661" s="2054"/>
      <c r="N661" s="2055"/>
      <c r="O661" s="2056"/>
      <c r="P661" s="2057"/>
      <c r="Q661" s="2058"/>
      <c r="R661" s="2059"/>
      <c r="S661" s="2059"/>
      <c r="T661" s="2057"/>
      <c r="U661" s="2060"/>
      <c r="Z661" s="1956"/>
      <c r="AA661" s="1956"/>
      <c r="AF661" s="1836"/>
      <c r="AG661" s="1836"/>
      <c r="AH661" s="1836"/>
      <c r="AI661" s="1837"/>
      <c r="AJ661" s="1960"/>
    </row>
    <row r="662" spans="1:36" ht="21.95" customHeight="1" x14ac:dyDescent="0.2">
      <c r="B662" s="2045"/>
      <c r="C662" s="2046"/>
      <c r="D662" s="2047" t="str">
        <f>SNI!$E$389</f>
        <v>PC</v>
      </c>
      <c r="E662" s="2047"/>
      <c r="F662" s="2048"/>
      <c r="G662" s="2049">
        <f>SNI!$H$389</f>
        <v>384</v>
      </c>
      <c r="H662" s="2050" t="str">
        <f>SNI!$G$389</f>
        <v>kg</v>
      </c>
      <c r="I662" s="2051"/>
      <c r="J662" s="2051"/>
      <c r="K662" s="2052">
        <f>SNI!$L$389</f>
        <v>0.85140000000000005</v>
      </c>
      <c r="L662" s="2053"/>
      <c r="M662" s="2054"/>
      <c r="N662" s="2055">
        <f>SNI!$I$389</f>
        <v>1200</v>
      </c>
      <c r="O662" s="2056"/>
      <c r="P662" s="1969">
        <f t="shared" ref="P662:P665" si="432">N662*G662</f>
        <v>460800</v>
      </c>
      <c r="Q662" s="1953"/>
      <c r="R662" s="1954"/>
      <c r="S662" s="1954">
        <f t="shared" ref="S662:S665" si="433">P662*K662</f>
        <v>392325.12</v>
      </c>
      <c r="T662" s="1969">
        <f t="shared" ref="T662:T665" si="434">P662-S662</f>
        <v>68474.880000000005</v>
      </c>
      <c r="U662" s="2060"/>
      <c r="Z662" s="1956"/>
      <c r="AA662" s="1956"/>
      <c r="AF662" s="1836"/>
      <c r="AG662" s="1836"/>
      <c r="AH662" s="1836"/>
      <c r="AI662" s="1837"/>
      <c r="AJ662" s="1960"/>
    </row>
    <row r="663" spans="1:36" ht="21.95" customHeight="1" x14ac:dyDescent="0.2">
      <c r="B663" s="2045"/>
      <c r="C663" s="2046"/>
      <c r="D663" s="2047" t="str">
        <f>SNI!$E$390</f>
        <v>Pasir Beton</v>
      </c>
      <c r="E663" s="2047"/>
      <c r="F663" s="2048"/>
      <c r="G663" s="2049">
        <f>SNI!$H$390</f>
        <v>692</v>
      </c>
      <c r="H663" s="2050" t="str">
        <f>SNI!$G$390</f>
        <v>kg</v>
      </c>
      <c r="I663" s="2051"/>
      <c r="J663" s="2051"/>
      <c r="K663" s="2052">
        <f>SNI!$L$390</f>
        <v>1</v>
      </c>
      <c r="L663" s="2053"/>
      <c r="M663" s="2054"/>
      <c r="N663" s="2055">
        <f>SNI!$I$390</f>
        <v>185.71428571428572</v>
      </c>
      <c r="O663" s="2056"/>
      <c r="P663" s="1969">
        <f t="shared" si="432"/>
        <v>128514.28571428572</v>
      </c>
      <c r="Q663" s="1953"/>
      <c r="R663" s="1954"/>
      <c r="S663" s="1954">
        <f t="shared" si="433"/>
        <v>128514.28571428572</v>
      </c>
      <c r="T663" s="1969">
        <f t="shared" si="434"/>
        <v>0</v>
      </c>
      <c r="U663" s="2060"/>
      <c r="Z663" s="1956"/>
      <c r="AA663" s="1956"/>
      <c r="AF663" s="1836"/>
      <c r="AG663" s="1836"/>
      <c r="AH663" s="1836"/>
      <c r="AI663" s="1837"/>
      <c r="AJ663" s="1960"/>
    </row>
    <row r="664" spans="1:36" ht="21.95" customHeight="1" x14ac:dyDescent="0.2">
      <c r="B664" s="2045"/>
      <c r="C664" s="2046"/>
      <c r="D664" s="2047" t="str">
        <f>SNI!$E$391</f>
        <v>Kerikil ( maks 30 mm )</v>
      </c>
      <c r="E664" s="2047"/>
      <c r="F664" s="2048"/>
      <c r="G664" s="2049">
        <f>SNI!$H$391</f>
        <v>1039</v>
      </c>
      <c r="H664" s="2050" t="str">
        <f>SNI!$G$391</f>
        <v>kg</v>
      </c>
      <c r="I664" s="2051"/>
      <c r="J664" s="2051"/>
      <c r="K664" s="2052">
        <f>SNI!$L$391</f>
        <v>1</v>
      </c>
      <c r="L664" s="2053"/>
      <c r="M664" s="2054"/>
      <c r="N664" s="2055">
        <f>SNI!$I$391</f>
        <v>200</v>
      </c>
      <c r="O664" s="2056"/>
      <c r="P664" s="1969">
        <f t="shared" si="432"/>
        <v>207800</v>
      </c>
      <c r="Q664" s="1953"/>
      <c r="R664" s="1954"/>
      <c r="S664" s="1954">
        <f t="shared" si="433"/>
        <v>207800</v>
      </c>
      <c r="T664" s="1969">
        <f t="shared" si="434"/>
        <v>0</v>
      </c>
      <c r="U664" s="2060"/>
      <c r="Z664" s="1956"/>
      <c r="AA664" s="1956"/>
      <c r="AF664" s="1836"/>
      <c r="AG664" s="1836"/>
      <c r="AH664" s="1836"/>
      <c r="AI664" s="1837"/>
      <c r="AJ664" s="1960"/>
    </row>
    <row r="665" spans="1:36" ht="21.95" customHeight="1" x14ac:dyDescent="0.2">
      <c r="B665" s="2045"/>
      <c r="C665" s="2046"/>
      <c r="D665" s="2047" t="str">
        <f>SNI!$E$392</f>
        <v>Air</v>
      </c>
      <c r="E665" s="2047"/>
      <c r="F665" s="2048"/>
      <c r="G665" s="2049">
        <f>SNI!$H$392</f>
        <v>215</v>
      </c>
      <c r="H665" s="2050" t="str">
        <f>SNI!$G$392</f>
        <v>ltr</v>
      </c>
      <c r="I665" s="2051"/>
      <c r="J665" s="2051"/>
      <c r="K665" s="2052">
        <f>SNI!$L$392</f>
        <v>1</v>
      </c>
      <c r="L665" s="2053"/>
      <c r="M665" s="2054"/>
      <c r="N665" s="2055">
        <f>SNI!$I$392</f>
        <v>45</v>
      </c>
      <c r="O665" s="2056"/>
      <c r="P665" s="1969">
        <f t="shared" si="432"/>
        <v>9675</v>
      </c>
      <c r="Q665" s="1953"/>
      <c r="R665" s="1954"/>
      <c r="S665" s="1954">
        <f t="shared" si="433"/>
        <v>9675</v>
      </c>
      <c r="T665" s="1969">
        <f t="shared" si="434"/>
        <v>0</v>
      </c>
      <c r="U665" s="2060"/>
      <c r="Z665" s="1956"/>
      <c r="AA665" s="1956"/>
      <c r="AF665" s="1836"/>
      <c r="AG665" s="1836"/>
      <c r="AH665" s="1836"/>
      <c r="AI665" s="1837"/>
      <c r="AJ665" s="1960"/>
    </row>
    <row r="666" spans="1:36" ht="21.95" customHeight="1" x14ac:dyDescent="0.2">
      <c r="B666" s="2045"/>
      <c r="C666" s="2046" t="str">
        <f>SNI!$D$394</f>
        <v>Tenaga Kerja</v>
      </c>
      <c r="D666" s="2047"/>
      <c r="E666" s="2047"/>
      <c r="F666" s="2048"/>
      <c r="G666" s="2049"/>
      <c r="H666" s="2050"/>
      <c r="I666" s="2051"/>
      <c r="J666" s="2051"/>
      <c r="K666" s="2052"/>
      <c r="L666" s="2053"/>
      <c r="M666" s="2054"/>
      <c r="N666" s="2055"/>
      <c r="O666" s="2056"/>
      <c r="P666" s="1969"/>
      <c r="Q666" s="1953"/>
      <c r="R666" s="1954"/>
      <c r="S666" s="1954"/>
      <c r="T666" s="1969"/>
      <c r="U666" s="2060"/>
      <c r="Z666" s="1956"/>
      <c r="AA666" s="1956"/>
      <c r="AF666" s="1836"/>
      <c r="AG666" s="1836"/>
      <c r="AH666" s="1836"/>
      <c r="AI666" s="1837"/>
      <c r="AJ666" s="1960"/>
    </row>
    <row r="667" spans="1:36" ht="21.95" customHeight="1" x14ac:dyDescent="0.2">
      <c r="B667" s="2045"/>
      <c r="C667" s="2046"/>
      <c r="D667" s="2047" t="str">
        <f>SNI!$E$394</f>
        <v xml:space="preserve">Pekerja </v>
      </c>
      <c r="E667" s="2047"/>
      <c r="F667" s="2048"/>
      <c r="G667" s="2049">
        <f>SNI!$H$394</f>
        <v>1.65</v>
      </c>
      <c r="H667" s="2050" t="str">
        <f>SNI!$G$394</f>
        <v>OH</v>
      </c>
      <c r="I667" s="2051" t="str">
        <f>SNI!$M$394</f>
        <v>WNI</v>
      </c>
      <c r="J667" s="2051"/>
      <c r="K667" s="2052">
        <f>SNI!$L$394</f>
        <v>1</v>
      </c>
      <c r="L667" s="2053"/>
      <c r="M667" s="2054"/>
      <c r="N667" s="2055">
        <f>SNI!$I$394</f>
        <v>88300</v>
      </c>
      <c r="O667" s="2056"/>
      <c r="P667" s="1969">
        <f t="shared" ref="P667:P670" si="435">N667*G667</f>
        <v>145695</v>
      </c>
      <c r="Q667" s="1953"/>
      <c r="R667" s="1954"/>
      <c r="S667" s="1954">
        <f t="shared" ref="S667:S670" si="436">P667*K667</f>
        <v>145695</v>
      </c>
      <c r="T667" s="1969">
        <f t="shared" ref="T667:T670" si="437">P667-S667</f>
        <v>0</v>
      </c>
      <c r="U667" s="2060"/>
      <c r="Z667" s="1956"/>
      <c r="AA667" s="1956"/>
      <c r="AF667" s="1836"/>
      <c r="AG667" s="1836"/>
      <c r="AH667" s="1836"/>
      <c r="AI667" s="1837"/>
      <c r="AJ667" s="1960"/>
    </row>
    <row r="668" spans="1:36" ht="21.95" customHeight="1" x14ac:dyDescent="0.2">
      <c r="B668" s="2045"/>
      <c r="C668" s="2046"/>
      <c r="D668" s="2047" t="str">
        <f>SNI!$E$395</f>
        <v>Tukang Batu</v>
      </c>
      <c r="E668" s="2047"/>
      <c r="F668" s="2048"/>
      <c r="G668" s="2049">
        <f>SNI!$H$395</f>
        <v>0.27500000000000002</v>
      </c>
      <c r="H668" s="2050" t="str">
        <f>SNI!$G$395</f>
        <v>OH</v>
      </c>
      <c r="I668" s="2051" t="str">
        <f>SNI!$M$395</f>
        <v>WNI</v>
      </c>
      <c r="J668" s="2051"/>
      <c r="K668" s="2052">
        <f>SNI!$L$395</f>
        <v>1</v>
      </c>
      <c r="L668" s="2053"/>
      <c r="M668" s="2054"/>
      <c r="N668" s="2055">
        <f>SNI!$I$395</f>
        <v>90000</v>
      </c>
      <c r="O668" s="2056"/>
      <c r="P668" s="1969">
        <f t="shared" si="435"/>
        <v>24750.000000000004</v>
      </c>
      <c r="Q668" s="1953"/>
      <c r="R668" s="1954"/>
      <c r="S668" s="1954">
        <f t="shared" si="436"/>
        <v>24750.000000000004</v>
      </c>
      <c r="T668" s="1969">
        <f t="shared" si="437"/>
        <v>0</v>
      </c>
      <c r="U668" s="2060"/>
      <c r="Z668" s="1956"/>
      <c r="AA668" s="1956"/>
      <c r="AF668" s="1836"/>
      <c r="AG668" s="1836"/>
      <c r="AH668" s="1836"/>
      <c r="AI668" s="1837"/>
      <c r="AJ668" s="1960"/>
    </row>
    <row r="669" spans="1:36" ht="21.95" customHeight="1" x14ac:dyDescent="0.2">
      <c r="B669" s="2045"/>
      <c r="C669" s="2046"/>
      <c r="D669" s="2047" t="str">
        <f>SNI!$E$396</f>
        <v>Kepala Tukang</v>
      </c>
      <c r="E669" s="2047"/>
      <c r="F669" s="2048"/>
      <c r="G669" s="2049">
        <f>SNI!$H$396</f>
        <v>2.8000000000000001E-2</v>
      </c>
      <c r="H669" s="2050" t="str">
        <f>SNI!$G$396</f>
        <v>OH</v>
      </c>
      <c r="I669" s="2051" t="str">
        <f>SNI!$M$396</f>
        <v>WNI</v>
      </c>
      <c r="J669" s="2051"/>
      <c r="K669" s="2052">
        <f>SNI!$L$396</f>
        <v>1</v>
      </c>
      <c r="L669" s="2053"/>
      <c r="M669" s="2054"/>
      <c r="N669" s="2055">
        <f>SNI!$I$396</f>
        <v>96000</v>
      </c>
      <c r="O669" s="2056"/>
      <c r="P669" s="1969">
        <f t="shared" si="435"/>
        <v>2688</v>
      </c>
      <c r="Q669" s="1953"/>
      <c r="R669" s="1954"/>
      <c r="S669" s="1954">
        <f t="shared" si="436"/>
        <v>2688</v>
      </c>
      <c r="T669" s="1969">
        <f t="shared" si="437"/>
        <v>0</v>
      </c>
      <c r="U669" s="2060"/>
      <c r="Z669" s="1956"/>
      <c r="AA669" s="1956"/>
      <c r="AF669" s="1836"/>
      <c r="AG669" s="1836"/>
      <c r="AH669" s="1836"/>
      <c r="AI669" s="1837"/>
      <c r="AJ669" s="1960"/>
    </row>
    <row r="670" spans="1:36" ht="21.95" customHeight="1" x14ac:dyDescent="0.2">
      <c r="B670" s="2045"/>
      <c r="C670" s="2046"/>
      <c r="D670" s="2047" t="str">
        <f>SNI!$E$397</f>
        <v>Mandor</v>
      </c>
      <c r="E670" s="2047"/>
      <c r="F670" s="2048"/>
      <c r="G670" s="2049">
        <f>SNI!$H$397</f>
        <v>8.3000000000000004E-2</v>
      </c>
      <c r="H670" s="2050" t="str">
        <f>SNI!$G$397</f>
        <v>OH</v>
      </c>
      <c r="I670" s="2051" t="str">
        <f>SNI!$M$397</f>
        <v>WNI</v>
      </c>
      <c r="J670" s="2051"/>
      <c r="K670" s="2052">
        <f>SNI!$L$397</f>
        <v>1</v>
      </c>
      <c r="L670" s="2053"/>
      <c r="M670" s="2054"/>
      <c r="N670" s="2055">
        <f>SNI!$I$397</f>
        <v>90000</v>
      </c>
      <c r="O670" s="2056"/>
      <c r="P670" s="1969">
        <f t="shared" si="435"/>
        <v>7470</v>
      </c>
      <c r="Q670" s="1953"/>
      <c r="R670" s="1954"/>
      <c r="S670" s="1954">
        <f t="shared" si="436"/>
        <v>7470</v>
      </c>
      <c r="T670" s="1969">
        <f t="shared" si="437"/>
        <v>0</v>
      </c>
      <c r="U670" s="2060"/>
      <c r="Z670" s="1956"/>
      <c r="AA670" s="1956"/>
      <c r="AF670" s="1836"/>
      <c r="AG670" s="1836"/>
      <c r="AH670" s="1836"/>
      <c r="AI670" s="1837"/>
      <c r="AJ670" s="1960"/>
    </row>
    <row r="671" spans="1:36" s="1957" customFormat="1" ht="21.95" customHeight="1" x14ac:dyDescent="0.2">
      <c r="A671" s="1942"/>
      <c r="B671" s="1970"/>
      <c r="C671" s="1971"/>
      <c r="D671" s="1972"/>
      <c r="E671" s="1973"/>
      <c r="F671" s="1974" t="s">
        <v>556</v>
      </c>
      <c r="G671" s="1975">
        <f>B660</f>
        <v>13</v>
      </c>
      <c r="H671" s="1976"/>
      <c r="I671" s="1977"/>
      <c r="J671" s="1977"/>
      <c r="K671" s="1978"/>
      <c r="L671" s="1979"/>
      <c r="M671" s="1980"/>
      <c r="N671" s="1981"/>
      <c r="O671" s="1982"/>
      <c r="P671" s="1983">
        <f>SUM(P662:P670)</f>
        <v>987392.28571428568</v>
      </c>
      <c r="Q671" s="1984"/>
      <c r="R671" s="1985"/>
      <c r="S671" s="1983">
        <f>SUM(S662:S670)</f>
        <v>918917.40571428579</v>
      </c>
      <c r="T671" s="1983">
        <f>SUM(T662:T670)</f>
        <v>68474.880000000005</v>
      </c>
      <c r="U671" s="1986"/>
      <c r="V671" s="1848"/>
      <c r="W671" s="1848"/>
      <c r="X671" s="1848"/>
      <c r="Y671" s="1848"/>
      <c r="Z671" s="1956"/>
      <c r="AA671" s="1956"/>
      <c r="AF671" s="1958"/>
      <c r="AG671" s="1958"/>
      <c r="AH671" s="1958"/>
      <c r="AI671" s="1959"/>
      <c r="AJ671" s="1960"/>
    </row>
    <row r="672" spans="1:36" ht="21.95" customHeight="1" x14ac:dyDescent="0.2">
      <c r="A672" s="1833">
        <f>satpek!$B$41</f>
        <v>22</v>
      </c>
      <c r="B672" s="1943">
        <f>B660+1</f>
        <v>14</v>
      </c>
      <c r="C672" s="1937"/>
      <c r="D672" s="1944" t="str">
        <f>VLOOKUP($A672,satpek!$B$20:$N$144,2,0)</f>
        <v>Pembesian 1 kg dengan besi polos atau besi ulir</v>
      </c>
      <c r="E672" s="1944"/>
      <c r="F672" s="2004"/>
      <c r="G672" s="1945">
        <f>'[3]B.VOL RAB'!Q174</f>
        <v>1272.2671760379098</v>
      </c>
      <c r="H672" s="1946" t="str">
        <f>VLOOKUP($A672,satpek!$B$20:$N$144,7,0)</f>
        <v>kg</v>
      </c>
      <c r="I672" s="1947"/>
      <c r="J672" s="1947"/>
      <c r="K672" s="1948"/>
      <c r="L672" s="1949"/>
      <c r="M672" s="1950" t="str">
        <f>VLOOKUP($A672,satpek!$B$20:$N$144,5,0)</f>
        <v>A.4.1.1.17.</v>
      </c>
      <c r="N672" s="1951">
        <f>VLOOKUP($A672,satpek!$B$20:$N$144,6,0)</f>
        <v>15603.94</v>
      </c>
      <c r="O672" s="1938"/>
      <c r="P672" s="1952">
        <f t="shared" si="431"/>
        <v>19852380.68</v>
      </c>
      <c r="Q672" s="1953">
        <f>VLOOKUP($A672,satpek!$B$20:$L$138,8,0)</f>
        <v>0.46415793062521393</v>
      </c>
      <c r="R672" s="1954">
        <f>VLOOKUP($A672,satpek!$B$20:$L$138,9,0)</f>
        <v>7242.692500000001</v>
      </c>
      <c r="S672" s="1954">
        <f>VLOOKUP($A672,satpek!$B$20:$L$138,10,0)</f>
        <v>8184.2425250000015</v>
      </c>
      <c r="T672" s="1952">
        <f>S672*G672</f>
        <v>10412543.125291124</v>
      </c>
      <c r="U672" s="1955"/>
      <c r="X672" s="1848">
        <f>P681</f>
        <v>13808.800000000001</v>
      </c>
      <c r="Y672" s="1848">
        <f>S681</f>
        <v>7242.6925000000001</v>
      </c>
      <c r="Z672" s="1956">
        <v>1272.2671760379098</v>
      </c>
      <c r="AA672" s="1956">
        <f>Z672-G672</f>
        <v>0</v>
      </c>
      <c r="AB672" s="1836" t="s">
        <v>420</v>
      </c>
      <c r="AF672" s="1836"/>
      <c r="AG672" s="1836"/>
      <c r="AH672" s="1836"/>
      <c r="AI672" s="1837">
        <v>15438.06</v>
      </c>
      <c r="AJ672" s="1960">
        <f>AI672-N672</f>
        <v>-165.88000000000102</v>
      </c>
    </row>
    <row r="673" spans="1:36" ht="21.95" customHeight="1" x14ac:dyDescent="0.2">
      <c r="B673" s="2045"/>
      <c r="C673" s="2046" t="str">
        <f>SNI!$D$410</f>
        <v>Bahan</v>
      </c>
      <c r="D673" s="2047"/>
      <c r="E673" s="2047"/>
      <c r="F673" s="2048"/>
      <c r="G673" s="2049"/>
      <c r="H673" s="2050"/>
      <c r="I673" s="2051"/>
      <c r="J673" s="2051"/>
      <c r="K673" s="2052"/>
      <c r="L673" s="2053"/>
      <c r="M673" s="2054"/>
      <c r="N673" s="2055"/>
      <c r="O673" s="2056"/>
      <c r="P673" s="2057"/>
      <c r="Q673" s="2058"/>
      <c r="R673" s="2059"/>
      <c r="S673" s="2059"/>
      <c r="T673" s="2057"/>
      <c r="U673" s="2060"/>
      <c r="Z673" s="1956"/>
      <c r="AA673" s="1956"/>
      <c r="AF673" s="1836"/>
      <c r="AG673" s="1836"/>
      <c r="AH673" s="1836"/>
      <c r="AI673" s="1837"/>
      <c r="AJ673" s="1960"/>
    </row>
    <row r="674" spans="1:36" ht="21.95" customHeight="1" x14ac:dyDescent="0.2">
      <c r="B674" s="2045"/>
      <c r="C674" s="2046"/>
      <c r="D674" s="2047" t="str">
        <f>SNI!$E$410</f>
        <v>Besi Beton ( polos/ulir )</v>
      </c>
      <c r="E674" s="2047"/>
      <c r="F674" s="2048"/>
      <c r="G674" s="2049">
        <f>SNI!$H$410/10</f>
        <v>1.05</v>
      </c>
      <c r="H674" s="2050" t="str">
        <f>SNI!$G$410</f>
        <v>kg</v>
      </c>
      <c r="I674" s="2051"/>
      <c r="J674" s="2051"/>
      <c r="K674" s="2052">
        <f>SNI!$L$410</f>
        <v>0.4879</v>
      </c>
      <c r="L674" s="2053"/>
      <c r="M674" s="2054"/>
      <c r="N674" s="2055">
        <f>SNI!$I$410</f>
        <v>11500</v>
      </c>
      <c r="O674" s="2056"/>
      <c r="P674" s="1969">
        <f t="shared" ref="P674:P675" si="438">N674*G674</f>
        <v>12075</v>
      </c>
      <c r="Q674" s="1953"/>
      <c r="R674" s="1954"/>
      <c r="S674" s="1954">
        <f t="shared" ref="S674:S675" si="439">P674*K674</f>
        <v>5891.3924999999999</v>
      </c>
      <c r="T674" s="1969">
        <f t="shared" ref="T674:T675" si="440">P674-S674</f>
        <v>6183.6075000000001</v>
      </c>
      <c r="U674" s="2060"/>
      <c r="Z674" s="1956"/>
      <c r="AA674" s="1956"/>
      <c r="AF674" s="1836"/>
      <c r="AG674" s="1836"/>
      <c r="AH674" s="1836"/>
      <c r="AI674" s="1837"/>
      <c r="AJ674" s="1960"/>
    </row>
    <row r="675" spans="1:36" ht="21.95" customHeight="1" x14ac:dyDescent="0.2">
      <c r="B675" s="2045"/>
      <c r="C675" s="2046"/>
      <c r="D675" s="2047" t="str">
        <f>SNI!$E$411</f>
        <v>Kawat Beton</v>
      </c>
      <c r="E675" s="2047"/>
      <c r="F675" s="2048"/>
      <c r="G675" s="2049">
        <f>SNI!$H$411/10</f>
        <v>1.4999999999999999E-2</v>
      </c>
      <c r="H675" s="2050" t="str">
        <f>SNI!G867</f>
        <v>kg</v>
      </c>
      <c r="I675" s="2051"/>
      <c r="J675" s="2051"/>
      <c r="K675" s="2052">
        <f>SNI!$L$411</f>
        <v>0</v>
      </c>
      <c r="L675" s="2053"/>
      <c r="M675" s="2054"/>
      <c r="N675" s="2055">
        <f>SNI!$I$411</f>
        <v>25500</v>
      </c>
      <c r="O675" s="2056"/>
      <c r="P675" s="1969">
        <f t="shared" si="438"/>
        <v>382.5</v>
      </c>
      <c r="Q675" s="1953"/>
      <c r="R675" s="1954"/>
      <c r="S675" s="1954">
        <f t="shared" si="439"/>
        <v>0</v>
      </c>
      <c r="T675" s="1969">
        <f t="shared" si="440"/>
        <v>382.5</v>
      </c>
      <c r="U675" s="2060"/>
      <c r="Z675" s="1956"/>
      <c r="AA675" s="1956"/>
      <c r="AF675" s="1836"/>
      <c r="AG675" s="1836"/>
      <c r="AH675" s="1836"/>
      <c r="AI675" s="1837"/>
      <c r="AJ675" s="1960"/>
    </row>
    <row r="676" spans="1:36" ht="21.95" customHeight="1" x14ac:dyDescent="0.2">
      <c r="B676" s="2045"/>
      <c r="C676" s="2046" t="str">
        <f>SNI!$D$413</f>
        <v>Tenaga Kerja</v>
      </c>
      <c r="D676" s="2047"/>
      <c r="E676" s="2047"/>
      <c r="F676" s="2048"/>
      <c r="G676" s="2049"/>
      <c r="H676" s="2050"/>
      <c r="I676" s="2051"/>
      <c r="J676" s="2051"/>
      <c r="K676" s="2052"/>
      <c r="L676" s="2053"/>
      <c r="M676" s="2054"/>
      <c r="N676" s="2055"/>
      <c r="O676" s="2056"/>
      <c r="P676" s="1969"/>
      <c r="Q676" s="1953"/>
      <c r="R676" s="1954"/>
      <c r="S676" s="1954"/>
      <c r="T676" s="1969"/>
      <c r="U676" s="2060"/>
      <c r="Z676" s="1956"/>
      <c r="AA676" s="1956"/>
      <c r="AF676" s="1836"/>
      <c r="AG676" s="1836"/>
      <c r="AH676" s="1836"/>
      <c r="AI676" s="1837"/>
      <c r="AJ676" s="1960"/>
    </row>
    <row r="677" spans="1:36" ht="21.95" customHeight="1" x14ac:dyDescent="0.2">
      <c r="B677" s="2045"/>
      <c r="C677" s="2046"/>
      <c r="D677" s="2047" t="str">
        <f>SNI!$E$413</f>
        <v xml:space="preserve">Pekerja </v>
      </c>
      <c r="E677" s="2047"/>
      <c r="F677" s="2048"/>
      <c r="G677" s="2049">
        <f>SNI!$H$413/10</f>
        <v>7.000000000000001E-3</v>
      </c>
      <c r="H677" s="2050" t="str">
        <f>SNI!$G$413</f>
        <v>OH</v>
      </c>
      <c r="I677" s="2051" t="str">
        <f>SNI!$M$413</f>
        <v>WNI</v>
      </c>
      <c r="J677" s="2051"/>
      <c r="K677" s="2052">
        <f>SNI!$L$413</f>
        <v>1</v>
      </c>
      <c r="L677" s="2053"/>
      <c r="M677" s="2054"/>
      <c r="N677" s="2055">
        <f>SNI!$I$413</f>
        <v>88300</v>
      </c>
      <c r="O677" s="2056"/>
      <c r="P677" s="1969">
        <f t="shared" ref="P677:P680" si="441">N677*G677</f>
        <v>618.10000000000014</v>
      </c>
      <c r="Q677" s="1953"/>
      <c r="R677" s="1954"/>
      <c r="S677" s="1954">
        <f t="shared" ref="S677:S680" si="442">P677*K677</f>
        <v>618.10000000000014</v>
      </c>
      <c r="T677" s="1969">
        <f t="shared" ref="T677:T680" si="443">P677-S677</f>
        <v>0</v>
      </c>
      <c r="U677" s="2060"/>
      <c r="Z677" s="1956"/>
      <c r="AA677" s="1956"/>
      <c r="AF677" s="1836"/>
      <c r="AG677" s="1836"/>
      <c r="AH677" s="1836"/>
      <c r="AI677" s="1837"/>
      <c r="AJ677" s="1960"/>
    </row>
    <row r="678" spans="1:36" ht="21.95" customHeight="1" x14ac:dyDescent="0.2">
      <c r="B678" s="2045"/>
      <c r="C678" s="2046"/>
      <c r="D678" s="2047" t="str">
        <f>SNI!$E$414</f>
        <v>Tukang Besi</v>
      </c>
      <c r="E678" s="2047"/>
      <c r="F678" s="2048"/>
      <c r="G678" s="2049">
        <f>SNI!$H$414/10</f>
        <v>7.000000000000001E-3</v>
      </c>
      <c r="H678" s="2050" t="str">
        <f>SNI!$G$414</f>
        <v>OH</v>
      </c>
      <c r="I678" s="2051" t="str">
        <f>SNI!$M$414</f>
        <v>WNI</v>
      </c>
      <c r="J678" s="2051"/>
      <c r="K678" s="2052">
        <f>SNI!$L$414</f>
        <v>1</v>
      </c>
      <c r="L678" s="2053"/>
      <c r="M678" s="2054"/>
      <c r="N678" s="2055">
        <f>SNI!$I$414</f>
        <v>90000</v>
      </c>
      <c r="O678" s="2056"/>
      <c r="P678" s="1969">
        <f t="shared" si="441"/>
        <v>630.00000000000011</v>
      </c>
      <c r="Q678" s="1953"/>
      <c r="R678" s="1954"/>
      <c r="S678" s="1954">
        <f t="shared" si="442"/>
        <v>630.00000000000011</v>
      </c>
      <c r="T678" s="1969">
        <f t="shared" si="443"/>
        <v>0</v>
      </c>
      <c r="U678" s="2060"/>
      <c r="Z678" s="1956"/>
      <c r="AA678" s="1956"/>
      <c r="AF678" s="1836"/>
      <c r="AG678" s="1836"/>
      <c r="AH678" s="1836"/>
      <c r="AI678" s="1837"/>
      <c r="AJ678" s="1960"/>
    </row>
    <row r="679" spans="1:36" ht="21.95" customHeight="1" x14ac:dyDescent="0.2">
      <c r="B679" s="2045"/>
      <c r="C679" s="2046"/>
      <c r="D679" s="2047" t="str">
        <f>SNI!$E$415</f>
        <v>Kepala Tukang</v>
      </c>
      <c r="E679" s="2047"/>
      <c r="F679" s="2048"/>
      <c r="G679" s="2049">
        <f>SNI!$H$415/10</f>
        <v>6.9999999999999999E-4</v>
      </c>
      <c r="H679" s="2050" t="str">
        <f>SNI!$G$415</f>
        <v>OH</v>
      </c>
      <c r="I679" s="2051" t="str">
        <f>SNI!$M$415</f>
        <v>WNI</v>
      </c>
      <c r="J679" s="2051"/>
      <c r="K679" s="2052">
        <f>SNI!$L$415</f>
        <v>1</v>
      </c>
      <c r="L679" s="2053"/>
      <c r="M679" s="2054"/>
      <c r="N679" s="2055">
        <f>SNI!$I$415</f>
        <v>96000</v>
      </c>
      <c r="O679" s="2056"/>
      <c r="P679" s="1969">
        <f t="shared" si="441"/>
        <v>67.2</v>
      </c>
      <c r="Q679" s="1953"/>
      <c r="R679" s="1954"/>
      <c r="S679" s="1954">
        <f t="shared" si="442"/>
        <v>67.2</v>
      </c>
      <c r="T679" s="1969">
        <f t="shared" si="443"/>
        <v>0</v>
      </c>
      <c r="U679" s="2060"/>
      <c r="Z679" s="1956"/>
      <c r="AA679" s="1956"/>
      <c r="AF679" s="1836"/>
      <c r="AG679" s="1836"/>
      <c r="AH679" s="1836"/>
      <c r="AI679" s="1837"/>
      <c r="AJ679" s="1960"/>
    </row>
    <row r="680" spans="1:36" ht="21.95" customHeight="1" x14ac:dyDescent="0.2">
      <c r="B680" s="2045"/>
      <c r="C680" s="2046"/>
      <c r="D680" s="2047" t="str">
        <f>SNI!$E$416</f>
        <v>Mandor</v>
      </c>
      <c r="E680" s="2047"/>
      <c r="F680" s="2048"/>
      <c r="G680" s="2049">
        <f>SNI!$H$416/10</f>
        <v>4.0000000000000002E-4</v>
      </c>
      <c r="H680" s="2050" t="str">
        <f>SNI!$G$416</f>
        <v>OH</v>
      </c>
      <c r="I680" s="2051" t="str">
        <f>SNI!$M$416</f>
        <v>WNI</v>
      </c>
      <c r="J680" s="2051"/>
      <c r="K680" s="2052">
        <f>SNI!$L$416</f>
        <v>1</v>
      </c>
      <c r="L680" s="2053"/>
      <c r="M680" s="2054"/>
      <c r="N680" s="2055">
        <f>SNI!$I$416</f>
        <v>90000</v>
      </c>
      <c r="O680" s="2056"/>
      <c r="P680" s="1969">
        <f t="shared" si="441"/>
        <v>36</v>
      </c>
      <c r="Q680" s="1953"/>
      <c r="R680" s="1954"/>
      <c r="S680" s="1954">
        <f t="shared" si="442"/>
        <v>36</v>
      </c>
      <c r="T680" s="1969">
        <f t="shared" si="443"/>
        <v>0</v>
      </c>
      <c r="U680" s="2060"/>
      <c r="Z680" s="1956"/>
      <c r="AA680" s="1956"/>
      <c r="AF680" s="1836"/>
      <c r="AG680" s="1836"/>
      <c r="AH680" s="1836"/>
      <c r="AI680" s="1837"/>
      <c r="AJ680" s="1960"/>
    </row>
    <row r="681" spans="1:36" s="1957" customFormat="1" ht="21.95" customHeight="1" x14ac:dyDescent="0.2">
      <c r="A681" s="1942"/>
      <c r="B681" s="1970"/>
      <c r="C681" s="1971"/>
      <c r="D681" s="1972"/>
      <c r="E681" s="1973"/>
      <c r="F681" s="1974" t="s">
        <v>556</v>
      </c>
      <c r="G681" s="1975">
        <f>B672</f>
        <v>14</v>
      </c>
      <c r="H681" s="1976"/>
      <c r="I681" s="1977"/>
      <c r="J681" s="1977"/>
      <c r="K681" s="1978"/>
      <c r="L681" s="1979"/>
      <c r="M681" s="1980"/>
      <c r="N681" s="1981"/>
      <c r="O681" s="1982"/>
      <c r="P681" s="1983">
        <f>SUM(P674:P680)</f>
        <v>13808.800000000001</v>
      </c>
      <c r="Q681" s="1984"/>
      <c r="R681" s="1985"/>
      <c r="S681" s="1983">
        <f t="shared" ref="S681" si="444">SUM(S674:S680)</f>
        <v>7242.6925000000001</v>
      </c>
      <c r="T681" s="1983">
        <f t="shared" ref="T681" si="445">SUM(T674:T680)</f>
        <v>6566.1075000000001</v>
      </c>
      <c r="U681" s="1986"/>
      <c r="V681" s="1848"/>
      <c r="W681" s="1848"/>
      <c r="X681" s="1848"/>
      <c r="Y681" s="1848"/>
      <c r="Z681" s="1956"/>
      <c r="AA681" s="1956"/>
      <c r="AF681" s="1958"/>
      <c r="AG681" s="1958"/>
      <c r="AH681" s="1958"/>
      <c r="AI681" s="1959"/>
      <c r="AJ681" s="1960"/>
    </row>
    <row r="682" spans="1:36" ht="21.95" customHeight="1" x14ac:dyDescent="0.2">
      <c r="A682" s="1833">
        <f>satpek!$B$45</f>
        <v>26</v>
      </c>
      <c r="B682" s="1943">
        <f>B672+1</f>
        <v>15</v>
      </c>
      <c r="C682" s="1937"/>
      <c r="D682" s="1944" t="str">
        <f>VLOOKUP($A682,satpek!$B$20:$N$144,2,0)</f>
        <v>Memasang bekisting untuk balok (2x pakai)</v>
      </c>
      <c r="E682" s="1944"/>
      <c r="F682" s="2004"/>
      <c r="G682" s="1945">
        <f>'[3]B.VOL RAB'!Q176</f>
        <v>95.09999999999998</v>
      </c>
      <c r="H682" s="1946" t="str">
        <f>VLOOKUP($A682,satpek!$B$20:$N$144,7,0)</f>
        <v>m2</v>
      </c>
      <c r="I682" s="1947"/>
      <c r="J682" s="1947"/>
      <c r="K682" s="1948"/>
      <c r="L682" s="1949"/>
      <c r="M682" s="1950" t="str">
        <f>VLOOKUP($A682,satpek!$B$20:$N$144,5,0)</f>
        <v>A.4.1.1.23.</v>
      </c>
      <c r="N682" s="1951">
        <f>VLOOKUP($A682,satpek!$B$20:$N$144,6,0)</f>
        <v>194762.28</v>
      </c>
      <c r="O682" s="1938"/>
      <c r="P682" s="1952">
        <f t="shared" si="431"/>
        <v>18521892.829999998</v>
      </c>
      <c r="Q682" s="1953">
        <f>VLOOKUP($A682,satpek!$B$20:$L$138,8,0)</f>
        <v>0.83069925038873027</v>
      </c>
      <c r="R682" s="1954">
        <f>VLOOKUP($A682,satpek!$B$20:$L$138,9,0)</f>
        <v>143176</v>
      </c>
      <c r="S682" s="1954">
        <f>VLOOKUP($A682,satpek!$B$20:$L$138,10,0)</f>
        <v>161788.88</v>
      </c>
      <c r="T682" s="1952">
        <f>S682*G682</f>
        <v>15386122.487999998</v>
      </c>
      <c r="U682" s="1955"/>
      <c r="X682" s="1848">
        <f>P696</f>
        <v>172356</v>
      </c>
      <c r="Y682" s="1848">
        <f>S696</f>
        <v>143176</v>
      </c>
      <c r="Z682" s="1956">
        <v>95.09999999999998</v>
      </c>
      <c r="AA682" s="1956">
        <f>Z682-G682</f>
        <v>0</v>
      </c>
      <c r="AB682" s="1836" t="s">
        <v>1909</v>
      </c>
      <c r="AF682" s="1836"/>
      <c r="AG682" s="1836"/>
      <c r="AH682" s="1836"/>
      <c r="AI682" s="1837">
        <v>195923.91999999998</v>
      </c>
      <c r="AJ682" s="1960">
        <f>AI682-N682</f>
        <v>1161.6399999999849</v>
      </c>
    </row>
    <row r="683" spans="1:36" ht="21.95" customHeight="1" x14ac:dyDescent="0.2">
      <c r="B683" s="2045"/>
      <c r="C683" s="2046" t="str">
        <f>SNI!$D$498</f>
        <v>Bahan</v>
      </c>
      <c r="D683" s="2047"/>
      <c r="E683" s="2047"/>
      <c r="F683" s="2048"/>
      <c r="G683" s="2049"/>
      <c r="H683" s="2050"/>
      <c r="I683" s="2051"/>
      <c r="J683" s="2051"/>
      <c r="K683" s="2052"/>
      <c r="L683" s="2053"/>
      <c r="M683" s="2054"/>
      <c r="N683" s="2055"/>
      <c r="O683" s="2056"/>
      <c r="P683" s="2057"/>
      <c r="Q683" s="2058"/>
      <c r="R683" s="2059"/>
      <c r="S683" s="2059"/>
      <c r="T683" s="2055"/>
      <c r="U683" s="2060"/>
      <c r="Z683" s="1956"/>
      <c r="AA683" s="1956"/>
      <c r="AF683" s="1836"/>
      <c r="AG683" s="1836"/>
      <c r="AH683" s="1836"/>
      <c r="AI683" s="1837"/>
      <c r="AJ683" s="1960"/>
    </row>
    <row r="684" spans="1:36" ht="21.95" customHeight="1" x14ac:dyDescent="0.2">
      <c r="B684" s="2045"/>
      <c r="C684" s="2046"/>
      <c r="D684" s="2047" t="str">
        <f>SNI!$E$498</f>
        <v>Kayu kelas III</v>
      </c>
      <c r="E684" s="2047"/>
      <c r="F684" s="2048"/>
      <c r="G684" s="2049">
        <f>SNI!$H$498</f>
        <v>0.02</v>
      </c>
      <c r="H684" s="2050" t="str">
        <f>SNI!$G$498</f>
        <v>m3</v>
      </c>
      <c r="I684" s="2051"/>
      <c r="J684" s="2051"/>
      <c r="K684" s="2052">
        <f>SNI!$L$498</f>
        <v>1</v>
      </c>
      <c r="L684" s="2053"/>
      <c r="M684" s="2054"/>
      <c r="N684" s="2055">
        <f>SNI!$I$498</f>
        <v>1100000</v>
      </c>
      <c r="O684" s="2056"/>
      <c r="P684" s="1969">
        <f t="shared" ref="P684:P689" si="446">N684*G684</f>
        <v>22000</v>
      </c>
      <c r="Q684" s="1953"/>
      <c r="R684" s="1954"/>
      <c r="S684" s="1954">
        <f t="shared" ref="S684:S689" si="447">P684*K684</f>
        <v>22000</v>
      </c>
      <c r="T684" s="1969">
        <f t="shared" ref="T684:T689" si="448">P684-S684</f>
        <v>0</v>
      </c>
      <c r="U684" s="2060"/>
      <c r="Z684" s="1956"/>
      <c r="AA684" s="1956"/>
      <c r="AF684" s="1836"/>
      <c r="AG684" s="1836"/>
      <c r="AH684" s="1836"/>
      <c r="AI684" s="1837"/>
      <c r="AJ684" s="1960"/>
    </row>
    <row r="685" spans="1:36" ht="21.95" customHeight="1" x14ac:dyDescent="0.2">
      <c r="B685" s="2045"/>
      <c r="C685" s="2046"/>
      <c r="D685" s="2047" t="str">
        <f>SNI!$E$499</f>
        <v>Paku 5 cm - 12 cm</v>
      </c>
      <c r="E685" s="2047"/>
      <c r="F685" s="2048"/>
      <c r="G685" s="2049">
        <f>SNI!$H$499</f>
        <v>0.4</v>
      </c>
      <c r="H685" s="2050" t="str">
        <f>SNI!$G$499</f>
        <v>kg</v>
      </c>
      <c r="I685" s="2051"/>
      <c r="J685" s="2051"/>
      <c r="K685" s="2052">
        <f>SNI!$L$499</f>
        <v>0</v>
      </c>
      <c r="L685" s="2053"/>
      <c r="M685" s="2054"/>
      <c r="N685" s="2055">
        <f>SNI!$I$499</f>
        <v>17000</v>
      </c>
      <c r="O685" s="2056"/>
      <c r="P685" s="1969">
        <f t="shared" si="446"/>
        <v>6800</v>
      </c>
      <c r="Q685" s="1953"/>
      <c r="R685" s="1954"/>
      <c r="S685" s="1954">
        <f t="shared" si="447"/>
        <v>0</v>
      </c>
      <c r="T685" s="1969">
        <f t="shared" si="448"/>
        <v>6800</v>
      </c>
      <c r="U685" s="2060"/>
      <c r="Z685" s="1956"/>
      <c r="AA685" s="1956"/>
      <c r="AF685" s="1836"/>
      <c r="AG685" s="1836"/>
      <c r="AH685" s="1836"/>
      <c r="AI685" s="1837"/>
      <c r="AJ685" s="1960"/>
    </row>
    <row r="686" spans="1:36" ht="21.95" customHeight="1" x14ac:dyDescent="0.2">
      <c r="B686" s="2045"/>
      <c r="C686" s="2046"/>
      <c r="D686" s="2047" t="str">
        <f>SNI!$E$500</f>
        <v>Minyak Bekisting</v>
      </c>
      <c r="E686" s="2047"/>
      <c r="F686" s="2048"/>
      <c r="G686" s="2049">
        <f>SNI!$H$500</f>
        <v>0.2</v>
      </c>
      <c r="H686" s="2050" t="str">
        <f>SNI!$G$500</f>
        <v>ltr</v>
      </c>
      <c r="I686" s="2051"/>
      <c r="J686" s="2051"/>
      <c r="K686" s="2052">
        <f>SNI!$L$500</f>
        <v>0</v>
      </c>
      <c r="L686" s="2053"/>
      <c r="M686" s="2054"/>
      <c r="N686" s="2055">
        <f>SNI!$I$500</f>
        <v>6900</v>
      </c>
      <c r="O686" s="2056"/>
      <c r="P686" s="1969">
        <f t="shared" si="446"/>
        <v>1380</v>
      </c>
      <c r="Q686" s="1953"/>
      <c r="R686" s="1954"/>
      <c r="S686" s="1954">
        <f t="shared" si="447"/>
        <v>0</v>
      </c>
      <c r="T686" s="1969">
        <f t="shared" si="448"/>
        <v>1380</v>
      </c>
      <c r="U686" s="2060"/>
      <c r="Z686" s="1956"/>
      <c r="AA686" s="1956"/>
      <c r="AF686" s="1836"/>
      <c r="AG686" s="1836"/>
      <c r="AH686" s="1836"/>
      <c r="AI686" s="1837"/>
      <c r="AJ686" s="1960"/>
    </row>
    <row r="687" spans="1:36" ht="21.95" customHeight="1" x14ac:dyDescent="0.2">
      <c r="B687" s="2045"/>
      <c r="C687" s="2046"/>
      <c r="D687" s="2047" t="str">
        <f>SNI!$E$501</f>
        <v>Balok kayu kelas II</v>
      </c>
      <c r="E687" s="2047"/>
      <c r="F687" s="2048"/>
      <c r="G687" s="2049">
        <f>SNI!$H$501</f>
        <v>8.9999999999999993E-3</v>
      </c>
      <c r="H687" s="2050" t="str">
        <f>SNI!$G$501</f>
        <v>m3</v>
      </c>
      <c r="I687" s="2051"/>
      <c r="J687" s="2051"/>
      <c r="K687" s="2052">
        <f>SNI!$L$501</f>
        <v>1</v>
      </c>
      <c r="L687" s="2053"/>
      <c r="M687" s="2054"/>
      <c r="N687" s="2055">
        <f>SNI!$I$501</f>
        <v>1600000</v>
      </c>
      <c r="O687" s="2056"/>
      <c r="P687" s="1969">
        <f t="shared" si="446"/>
        <v>14399.999999999998</v>
      </c>
      <c r="Q687" s="1953"/>
      <c r="R687" s="1954"/>
      <c r="S687" s="1954">
        <f t="shared" si="447"/>
        <v>14399.999999999998</v>
      </c>
      <c r="T687" s="1969">
        <f t="shared" si="448"/>
        <v>0</v>
      </c>
      <c r="U687" s="2060"/>
      <c r="Z687" s="1956"/>
      <c r="AA687" s="1956"/>
      <c r="AF687" s="1836"/>
      <c r="AG687" s="1836"/>
      <c r="AH687" s="1836"/>
      <c r="AI687" s="1837"/>
      <c r="AJ687" s="1960"/>
    </row>
    <row r="688" spans="1:36" ht="21.95" customHeight="1" x14ac:dyDescent="0.2">
      <c r="B688" s="2045"/>
      <c r="C688" s="2046"/>
      <c r="D688" s="2047" t="str">
        <f>SNI!$E$502</f>
        <v>Plywood tebal 9 mm</v>
      </c>
      <c r="E688" s="2047"/>
      <c r="F688" s="2048"/>
      <c r="G688" s="2049">
        <f>SNI!$H$502</f>
        <v>0.17499999999999999</v>
      </c>
      <c r="H688" s="2050" t="str">
        <f>SNI!$G$502</f>
        <v>lbr</v>
      </c>
      <c r="I688" s="2051"/>
      <c r="J688" s="2051"/>
      <c r="K688" s="2052">
        <f>SNI!$L$502</f>
        <v>0</v>
      </c>
      <c r="L688" s="2053"/>
      <c r="M688" s="2054"/>
      <c r="N688" s="2055">
        <f>SNI!$I$502</f>
        <v>120000</v>
      </c>
      <c r="O688" s="2056"/>
      <c r="P688" s="1969">
        <f t="shared" si="446"/>
        <v>21000</v>
      </c>
      <c r="Q688" s="1953"/>
      <c r="R688" s="1954"/>
      <c r="S688" s="1954">
        <f t="shared" si="447"/>
        <v>0</v>
      </c>
      <c r="T688" s="1969">
        <f t="shared" si="448"/>
        <v>21000</v>
      </c>
      <c r="U688" s="2060"/>
      <c r="Z688" s="1956"/>
      <c r="AA688" s="1956"/>
      <c r="AF688" s="1836"/>
      <c r="AG688" s="1836"/>
      <c r="AH688" s="1836"/>
      <c r="AI688" s="1837"/>
      <c r="AJ688" s="1960"/>
    </row>
    <row r="689" spans="1:36" ht="21.95" customHeight="1" x14ac:dyDescent="0.2">
      <c r="B689" s="2045"/>
      <c r="C689" s="2046"/>
      <c r="D689" s="2047" t="str">
        <f>SNI!$E$503</f>
        <v>Dolken kayu galam,</v>
      </c>
      <c r="E689" s="2047"/>
      <c r="F689" s="2048"/>
      <c r="G689" s="2049">
        <f>SNI!$H$503</f>
        <v>1</v>
      </c>
      <c r="H689" s="2050" t="str">
        <f>SNI!$G$503</f>
        <v>btg</v>
      </c>
      <c r="I689" s="2051"/>
      <c r="J689" s="2051"/>
      <c r="K689" s="2052">
        <f>SNI!$L$503</f>
        <v>1</v>
      </c>
      <c r="L689" s="2053"/>
      <c r="M689" s="2054"/>
      <c r="N689" s="2055">
        <f>SNI!$I$503</f>
        <v>12000</v>
      </c>
      <c r="O689" s="2056"/>
      <c r="P689" s="1969">
        <f t="shared" si="446"/>
        <v>12000</v>
      </c>
      <c r="Q689" s="1953"/>
      <c r="R689" s="1954"/>
      <c r="S689" s="1954">
        <f t="shared" si="447"/>
        <v>12000</v>
      </c>
      <c r="T689" s="1969">
        <f t="shared" si="448"/>
        <v>0</v>
      </c>
      <c r="U689" s="2060"/>
      <c r="Z689" s="1956"/>
      <c r="AA689" s="1956"/>
      <c r="AF689" s="1836"/>
      <c r="AG689" s="1836"/>
      <c r="AH689" s="1836"/>
      <c r="AI689" s="1837"/>
      <c r="AJ689" s="1960"/>
    </row>
    <row r="690" spans="1:36" ht="21.95" customHeight="1" x14ac:dyDescent="0.2">
      <c r="B690" s="2045"/>
      <c r="C690" s="2046"/>
      <c r="D690" s="2047" t="str">
        <f>SNI!$E$504</f>
        <v>Ø (8 - 10) cm, panj 4 m</v>
      </c>
      <c r="E690" s="2047"/>
      <c r="F690" s="2048"/>
      <c r="G690" s="2049"/>
      <c r="H690" s="2050"/>
      <c r="I690" s="2051"/>
      <c r="J690" s="2051"/>
      <c r="K690" s="2052"/>
      <c r="L690" s="2053"/>
      <c r="M690" s="2054"/>
      <c r="N690" s="2055"/>
      <c r="O690" s="2056"/>
      <c r="P690" s="1969"/>
      <c r="Q690" s="1953"/>
      <c r="R690" s="1954"/>
      <c r="S690" s="1954"/>
      <c r="T690" s="1969"/>
      <c r="U690" s="2060"/>
      <c r="Z690" s="1956"/>
      <c r="AA690" s="1956"/>
      <c r="AF690" s="1836"/>
      <c r="AG690" s="1836"/>
      <c r="AH690" s="1836"/>
      <c r="AI690" s="1837"/>
      <c r="AJ690" s="1960"/>
    </row>
    <row r="691" spans="1:36" ht="21.95" customHeight="1" x14ac:dyDescent="0.2">
      <c r="B691" s="2045"/>
      <c r="C691" s="2046" t="str">
        <f>SNI!$D$506</f>
        <v>Tenaga Kerja</v>
      </c>
      <c r="D691" s="2047"/>
      <c r="E691" s="2047"/>
      <c r="F691" s="2048"/>
      <c r="G691" s="2049"/>
      <c r="H691" s="2050"/>
      <c r="I691" s="2051"/>
      <c r="J691" s="2051"/>
      <c r="K691" s="2052"/>
      <c r="L691" s="2053"/>
      <c r="M691" s="2054"/>
      <c r="N691" s="2055"/>
      <c r="O691" s="2056"/>
      <c r="P691" s="1969"/>
      <c r="Q691" s="1953"/>
      <c r="R691" s="1954"/>
      <c r="S691" s="1954"/>
      <c r="T691" s="1969"/>
      <c r="U691" s="2060"/>
      <c r="Z691" s="1956"/>
      <c r="AA691" s="1956"/>
      <c r="AF691" s="1836"/>
      <c r="AG691" s="1836"/>
      <c r="AH691" s="1836"/>
      <c r="AI691" s="1837"/>
      <c r="AJ691" s="1960"/>
    </row>
    <row r="692" spans="1:36" ht="21.95" customHeight="1" x14ac:dyDescent="0.2">
      <c r="B692" s="2045"/>
      <c r="C692" s="2046"/>
      <c r="D692" s="2047" t="str">
        <f>SNI!$E$506</f>
        <v xml:space="preserve">Pekerja </v>
      </c>
      <c r="E692" s="2047"/>
      <c r="F692" s="2048"/>
      <c r="G692" s="2049">
        <f>SNI!$H$506</f>
        <v>0.66</v>
      </c>
      <c r="H692" s="2050" t="str">
        <f>SNI!$G$506</f>
        <v>OH</v>
      </c>
      <c r="I692" s="2051" t="str">
        <f>SNI!$M$315</f>
        <v>WNI</v>
      </c>
      <c r="J692" s="2051"/>
      <c r="K692" s="2052">
        <f>SNI!$L$506</f>
        <v>1</v>
      </c>
      <c r="L692" s="2053"/>
      <c r="M692" s="2054"/>
      <c r="N692" s="2055">
        <f>SNI!$I$506</f>
        <v>88300</v>
      </c>
      <c r="O692" s="2056"/>
      <c r="P692" s="1969">
        <f t="shared" ref="P692:P695" si="449">N692*G692</f>
        <v>58278</v>
      </c>
      <c r="Q692" s="1953"/>
      <c r="R692" s="1954"/>
      <c r="S692" s="1954">
        <f t="shared" ref="S692:S695" si="450">P692*K692</f>
        <v>58278</v>
      </c>
      <c r="T692" s="1969">
        <f t="shared" ref="T692:T695" si="451">P692-S692</f>
        <v>0</v>
      </c>
      <c r="U692" s="2060"/>
      <c r="Z692" s="1956"/>
      <c r="AA692" s="1956"/>
      <c r="AF692" s="1836"/>
      <c r="AG692" s="1836"/>
      <c r="AH692" s="1836"/>
      <c r="AI692" s="1837"/>
      <c r="AJ692" s="1960"/>
    </row>
    <row r="693" spans="1:36" ht="21.95" customHeight="1" x14ac:dyDescent="0.2">
      <c r="B693" s="2045"/>
      <c r="C693" s="2046"/>
      <c r="D693" s="2047" t="str">
        <f>SNI!$E$507</f>
        <v>Tukang Kayu</v>
      </c>
      <c r="E693" s="2047"/>
      <c r="F693" s="2048"/>
      <c r="G693" s="2049">
        <f>SNI!$H$507</f>
        <v>0.33</v>
      </c>
      <c r="H693" s="2050" t="str">
        <f>SNI!$G$507</f>
        <v>OH</v>
      </c>
      <c r="I693" s="2051" t="str">
        <f>SNI!$M$315</f>
        <v>WNI</v>
      </c>
      <c r="J693" s="2051"/>
      <c r="K693" s="2052">
        <f>SNI!$L$507</f>
        <v>1</v>
      </c>
      <c r="L693" s="2053"/>
      <c r="M693" s="2054"/>
      <c r="N693" s="2055">
        <f>SNI!$I$507</f>
        <v>92000</v>
      </c>
      <c r="O693" s="2056"/>
      <c r="P693" s="1969">
        <f t="shared" si="449"/>
        <v>30360</v>
      </c>
      <c r="Q693" s="1953"/>
      <c r="R693" s="1954"/>
      <c r="S693" s="1954">
        <f t="shared" si="450"/>
        <v>30360</v>
      </c>
      <c r="T693" s="1969">
        <f t="shared" si="451"/>
        <v>0</v>
      </c>
      <c r="U693" s="2060"/>
      <c r="Z693" s="1956"/>
      <c r="AA693" s="1956"/>
      <c r="AF693" s="1836"/>
      <c r="AG693" s="1836"/>
      <c r="AH693" s="1836"/>
      <c r="AI693" s="1837"/>
      <c r="AJ693" s="1960"/>
    </row>
    <row r="694" spans="1:36" ht="21.95" customHeight="1" x14ac:dyDescent="0.2">
      <c r="B694" s="2045"/>
      <c r="C694" s="2046"/>
      <c r="D694" s="2047" t="str">
        <f>SNI!$E$508</f>
        <v>Kepala Tukang</v>
      </c>
      <c r="E694" s="2047"/>
      <c r="F694" s="2048"/>
      <c r="G694" s="2049">
        <f>SNI!$H$508</f>
        <v>3.3000000000000002E-2</v>
      </c>
      <c r="H694" s="2050" t="str">
        <f>SNI!$G$508</f>
        <v>OH</v>
      </c>
      <c r="I694" s="2051" t="str">
        <f>SNI!$M$315</f>
        <v>WNI</v>
      </c>
      <c r="J694" s="2051"/>
      <c r="K694" s="2052">
        <f>SNI!$L$508</f>
        <v>1</v>
      </c>
      <c r="L694" s="2053"/>
      <c r="M694" s="2054"/>
      <c r="N694" s="2055">
        <f>SNI!$I$508</f>
        <v>96000</v>
      </c>
      <c r="O694" s="2056"/>
      <c r="P694" s="1969">
        <f t="shared" si="449"/>
        <v>3168</v>
      </c>
      <c r="Q694" s="1953"/>
      <c r="R694" s="1954"/>
      <c r="S694" s="1954">
        <f t="shared" si="450"/>
        <v>3168</v>
      </c>
      <c r="T694" s="1969">
        <f t="shared" si="451"/>
        <v>0</v>
      </c>
      <c r="U694" s="2060"/>
      <c r="Z694" s="1956"/>
      <c r="AA694" s="1956"/>
      <c r="AF694" s="1836"/>
      <c r="AG694" s="1836"/>
      <c r="AH694" s="1836"/>
      <c r="AI694" s="1837"/>
      <c r="AJ694" s="1960"/>
    </row>
    <row r="695" spans="1:36" ht="21.95" customHeight="1" x14ac:dyDescent="0.2">
      <c r="B695" s="2045"/>
      <c r="C695" s="2046"/>
      <c r="D695" s="2047" t="str">
        <f>SNI!$E$509</f>
        <v>Mandor</v>
      </c>
      <c r="E695" s="2047"/>
      <c r="F695" s="2048"/>
      <c r="G695" s="2049">
        <f>SNI!$H$509</f>
        <v>3.3000000000000002E-2</v>
      </c>
      <c r="H695" s="2050" t="str">
        <f>SNI!$G$509</f>
        <v>OH</v>
      </c>
      <c r="I695" s="2051" t="str">
        <f>SNI!$M$315</f>
        <v>WNI</v>
      </c>
      <c r="J695" s="2051"/>
      <c r="K695" s="2052">
        <f>SNI!$L$509</f>
        <v>1</v>
      </c>
      <c r="L695" s="2053"/>
      <c r="M695" s="2054"/>
      <c r="N695" s="2055">
        <f>SNI!$I$509</f>
        <v>90000</v>
      </c>
      <c r="O695" s="2056"/>
      <c r="P695" s="1969">
        <f t="shared" si="449"/>
        <v>2970</v>
      </c>
      <c r="Q695" s="1953"/>
      <c r="R695" s="1954"/>
      <c r="S695" s="1954">
        <f t="shared" si="450"/>
        <v>2970</v>
      </c>
      <c r="T695" s="1969">
        <f t="shared" si="451"/>
        <v>0</v>
      </c>
      <c r="U695" s="2060"/>
      <c r="Z695" s="1956"/>
      <c r="AA695" s="1956"/>
      <c r="AF695" s="1836"/>
      <c r="AG695" s="1836"/>
      <c r="AH695" s="1836"/>
      <c r="AI695" s="1837"/>
      <c r="AJ695" s="1960"/>
    </row>
    <row r="696" spans="1:36" s="1957" customFormat="1" ht="21.95" customHeight="1" x14ac:dyDescent="0.2">
      <c r="A696" s="1942"/>
      <c r="B696" s="1970"/>
      <c r="C696" s="1971"/>
      <c r="D696" s="1972"/>
      <c r="E696" s="1973"/>
      <c r="F696" s="1974" t="s">
        <v>556</v>
      </c>
      <c r="G696" s="1975">
        <f>B682</f>
        <v>15</v>
      </c>
      <c r="H696" s="1976"/>
      <c r="I696" s="1977"/>
      <c r="J696" s="1977"/>
      <c r="K696" s="1978"/>
      <c r="L696" s="1979"/>
      <c r="M696" s="1980"/>
      <c r="N696" s="1981"/>
      <c r="O696" s="1982"/>
      <c r="P696" s="1983">
        <f>SUM(P684:P695)</f>
        <v>172356</v>
      </c>
      <c r="Q696" s="1984"/>
      <c r="R696" s="1985"/>
      <c r="S696" s="1983">
        <f t="shared" ref="S696" si="452">SUM(S684:S695)</f>
        <v>143176</v>
      </c>
      <c r="T696" s="1983">
        <f t="shared" ref="T696" si="453">SUM(T684:T695)</f>
        <v>29180</v>
      </c>
      <c r="U696" s="1986"/>
      <c r="V696" s="1848"/>
      <c r="W696" s="1848"/>
      <c r="X696" s="1848"/>
      <c r="Y696" s="1848"/>
      <c r="Z696" s="1956"/>
      <c r="AA696" s="1956"/>
      <c r="AF696" s="1958"/>
      <c r="AG696" s="1958"/>
      <c r="AH696" s="1958"/>
      <c r="AI696" s="1959"/>
      <c r="AJ696" s="1960"/>
    </row>
    <row r="697" spans="1:36" ht="21.95" customHeight="1" x14ac:dyDescent="0.2">
      <c r="B697" s="2102"/>
      <c r="C697" s="2103"/>
      <c r="D697" s="2081" t="s">
        <v>1793</v>
      </c>
      <c r="E697" s="1930"/>
      <c r="F697" s="1931"/>
      <c r="G697" s="1945"/>
      <c r="H697" s="1933"/>
      <c r="I697" s="1934"/>
      <c r="J697" s="1934"/>
      <c r="K697" s="1935"/>
      <c r="L697" s="1936"/>
      <c r="M697" s="1936"/>
      <c r="N697" s="1951"/>
      <c r="O697" s="2066"/>
      <c r="P697" s="2067"/>
      <c r="Q697" s="1934"/>
      <c r="R697" s="1934"/>
      <c r="S697" s="1934"/>
      <c r="T697" s="1940"/>
      <c r="U697" s="1941"/>
      <c r="Z697" s="1956"/>
      <c r="AA697" s="1956">
        <f>Z697-G697</f>
        <v>0</v>
      </c>
      <c r="AB697" s="1836" t="s">
        <v>1793</v>
      </c>
      <c r="AF697" s="1836"/>
      <c r="AG697" s="1836"/>
      <c r="AH697" s="1836"/>
      <c r="AI697" s="1837"/>
      <c r="AJ697" s="1960">
        <f>AI697-N697</f>
        <v>0</v>
      </c>
    </row>
    <row r="698" spans="1:36" ht="21.95" customHeight="1" x14ac:dyDescent="0.2">
      <c r="B698" s="2102"/>
      <c r="C698" s="2103"/>
      <c r="D698" s="2081" t="s">
        <v>1794</v>
      </c>
      <c r="E698" s="1930"/>
      <c r="F698" s="1931"/>
      <c r="G698" s="1945"/>
      <c r="H698" s="1933"/>
      <c r="I698" s="1934"/>
      <c r="J698" s="1934"/>
      <c r="K698" s="1935"/>
      <c r="L698" s="1936"/>
      <c r="M698" s="1936"/>
      <c r="N698" s="1951"/>
      <c r="O698" s="2066"/>
      <c r="P698" s="2067"/>
      <c r="Q698" s="1934"/>
      <c r="R698" s="1934"/>
      <c r="S698" s="1934"/>
      <c r="T698" s="1940"/>
      <c r="U698" s="1941"/>
      <c r="Z698" s="1956"/>
      <c r="AA698" s="1956">
        <f>Z698-G698</f>
        <v>0</v>
      </c>
      <c r="AB698" s="1836" t="s">
        <v>1794</v>
      </c>
      <c r="AF698" s="1836"/>
      <c r="AG698" s="1836"/>
      <c r="AH698" s="1836"/>
      <c r="AI698" s="1837"/>
      <c r="AJ698" s="1960">
        <f>AI698-N698</f>
        <v>0</v>
      </c>
    </row>
    <row r="699" spans="1:36" ht="21.95" customHeight="1" x14ac:dyDescent="0.2">
      <c r="A699" s="1833">
        <f>satpek!$B$40</f>
        <v>21</v>
      </c>
      <c r="B699" s="1943">
        <f>B682+1</f>
        <v>16</v>
      </c>
      <c r="C699" s="1937"/>
      <c r="D699" s="1944" t="str">
        <f>VLOOKUP($A699,satpek!$B$20:$N$144,2,0)</f>
        <v>Membuat beton mutu f'c = 21,7 Mpa - K 250</v>
      </c>
      <c r="E699" s="1944"/>
      <c r="F699" s="2004"/>
      <c r="G699" s="1945">
        <f>'[3]B.VOL RAB'!Q181</f>
        <v>74.461199999999977</v>
      </c>
      <c r="H699" s="1946" t="str">
        <f>VLOOKUP($A699,satpek!$B$20:$N$144,7,0)</f>
        <v>m3</v>
      </c>
      <c r="I699" s="1947"/>
      <c r="J699" s="1947"/>
      <c r="K699" s="1948"/>
      <c r="L699" s="1949"/>
      <c r="M699" s="1950" t="str">
        <f>VLOOKUP($A699,satpek!$B$20:$N$144,5,0)</f>
        <v>A.4.1.1.8.</v>
      </c>
      <c r="N699" s="1951">
        <f>VLOOKUP($A699,satpek!$B$20:$N$144,6,0)</f>
        <v>1115753.29</v>
      </c>
      <c r="O699" s="1938"/>
      <c r="P699" s="1952">
        <f t="shared" ref="P699:P721" si="454">ROUND((G699*N699),2)</f>
        <v>83080328.879999995</v>
      </c>
      <c r="Q699" s="1953">
        <f>VLOOKUP($A699,satpek!$B$20:$L$138,8,0)</f>
        <v>0.93065078521121514</v>
      </c>
      <c r="R699" s="1954">
        <f>VLOOKUP($A699,satpek!$B$20:$L$138,9,0)</f>
        <v>918917.40999999992</v>
      </c>
      <c r="S699" s="1954">
        <f>VLOOKUP($A699,satpek!$B$20:$L$138,10,0)</f>
        <v>1038376.6732999999</v>
      </c>
      <c r="T699" s="1952">
        <f>S699*G699</f>
        <v>77318773.145925924</v>
      </c>
      <c r="U699" s="1955"/>
      <c r="X699" s="1848">
        <f>P710</f>
        <v>987392.28571428568</v>
      </c>
      <c r="Y699" s="1848">
        <f>S710</f>
        <v>918917.40571428579</v>
      </c>
      <c r="Z699" s="1956">
        <v>74.461199999999977</v>
      </c>
      <c r="AA699" s="1956">
        <f>Z699-G699</f>
        <v>0</v>
      </c>
      <c r="AB699" s="1836" t="s">
        <v>1905</v>
      </c>
      <c r="AF699" s="1836"/>
      <c r="AG699" s="1836"/>
      <c r="AH699" s="1836"/>
      <c r="AI699" s="1837">
        <v>1191397.42</v>
      </c>
      <c r="AJ699" s="1960">
        <f>AI699-N699</f>
        <v>75644.129999999888</v>
      </c>
    </row>
    <row r="700" spans="1:36" ht="21.95" customHeight="1" x14ac:dyDescent="0.2">
      <c r="B700" s="2045"/>
      <c r="C700" s="2046" t="str">
        <f>SNI!$D$389</f>
        <v>Bahan</v>
      </c>
      <c r="D700" s="2047"/>
      <c r="E700" s="2047"/>
      <c r="F700" s="2048"/>
      <c r="G700" s="2049"/>
      <c r="H700" s="2050"/>
      <c r="I700" s="2051"/>
      <c r="J700" s="2051"/>
      <c r="K700" s="2052"/>
      <c r="L700" s="2053"/>
      <c r="M700" s="2054"/>
      <c r="N700" s="2055"/>
      <c r="O700" s="2056"/>
      <c r="P700" s="2057"/>
      <c r="Q700" s="2058"/>
      <c r="R700" s="2059"/>
      <c r="S700" s="2059"/>
      <c r="T700" s="2057"/>
      <c r="U700" s="2060"/>
      <c r="Z700" s="1956"/>
      <c r="AA700" s="1956"/>
      <c r="AF700" s="1836"/>
      <c r="AG700" s="1836"/>
      <c r="AH700" s="1836"/>
      <c r="AI700" s="1837"/>
      <c r="AJ700" s="1960"/>
    </row>
    <row r="701" spans="1:36" ht="21.95" customHeight="1" x14ac:dyDescent="0.2">
      <c r="B701" s="2045"/>
      <c r="C701" s="2046"/>
      <c r="D701" s="2047" t="str">
        <f>SNI!$E$389</f>
        <v>PC</v>
      </c>
      <c r="E701" s="2047"/>
      <c r="F701" s="2048"/>
      <c r="G701" s="2049">
        <f>SNI!$H$389</f>
        <v>384</v>
      </c>
      <c r="H701" s="2050" t="str">
        <f>SNI!$G$389</f>
        <v>kg</v>
      </c>
      <c r="I701" s="2051"/>
      <c r="J701" s="2051"/>
      <c r="K701" s="2052">
        <f>SNI!$L$389</f>
        <v>0.85140000000000005</v>
      </c>
      <c r="L701" s="2053"/>
      <c r="M701" s="2054"/>
      <c r="N701" s="2055">
        <f>SNI!$I$389</f>
        <v>1200</v>
      </c>
      <c r="O701" s="2056"/>
      <c r="P701" s="1969">
        <f t="shared" ref="P701:P704" si="455">N701*G701</f>
        <v>460800</v>
      </c>
      <c r="Q701" s="1953"/>
      <c r="R701" s="1954"/>
      <c r="S701" s="1954">
        <f t="shared" ref="S701:S704" si="456">P701*K701</f>
        <v>392325.12</v>
      </c>
      <c r="T701" s="1969">
        <f t="shared" ref="T701:T704" si="457">P701-S701</f>
        <v>68474.880000000005</v>
      </c>
      <c r="U701" s="2060"/>
      <c r="Z701" s="1956"/>
      <c r="AA701" s="1956"/>
      <c r="AF701" s="1836"/>
      <c r="AG701" s="1836"/>
      <c r="AH701" s="1836"/>
      <c r="AI701" s="1837"/>
      <c r="AJ701" s="1960"/>
    </row>
    <row r="702" spans="1:36" ht="21.95" customHeight="1" x14ac:dyDescent="0.2">
      <c r="B702" s="2045"/>
      <c r="C702" s="2046"/>
      <c r="D702" s="2047" t="str">
        <f>SNI!$E$390</f>
        <v>Pasir Beton</v>
      </c>
      <c r="E702" s="2047"/>
      <c r="F702" s="2048"/>
      <c r="G702" s="2049">
        <f>SNI!$H$390</f>
        <v>692</v>
      </c>
      <c r="H702" s="2050" t="str">
        <f>SNI!$G$390</f>
        <v>kg</v>
      </c>
      <c r="I702" s="2051"/>
      <c r="J702" s="2051"/>
      <c r="K702" s="2052">
        <f>SNI!$L$390</f>
        <v>1</v>
      </c>
      <c r="L702" s="2053"/>
      <c r="M702" s="2054"/>
      <c r="N702" s="2055">
        <f>SNI!$I$390</f>
        <v>185.71428571428572</v>
      </c>
      <c r="O702" s="2056"/>
      <c r="P702" s="1969">
        <f t="shared" si="455"/>
        <v>128514.28571428572</v>
      </c>
      <c r="Q702" s="1953"/>
      <c r="R702" s="1954"/>
      <c r="S702" s="1954">
        <f t="shared" si="456"/>
        <v>128514.28571428572</v>
      </c>
      <c r="T702" s="1969">
        <f t="shared" si="457"/>
        <v>0</v>
      </c>
      <c r="U702" s="2060"/>
      <c r="Z702" s="1956"/>
      <c r="AA702" s="1956"/>
      <c r="AF702" s="1836"/>
      <c r="AG702" s="1836"/>
      <c r="AH702" s="1836"/>
      <c r="AI702" s="1837"/>
      <c r="AJ702" s="1960"/>
    </row>
    <row r="703" spans="1:36" ht="21.95" customHeight="1" x14ac:dyDescent="0.2">
      <c r="B703" s="2045"/>
      <c r="C703" s="2046"/>
      <c r="D703" s="2047" t="str">
        <f>SNI!$E$391</f>
        <v>Kerikil ( maks 30 mm )</v>
      </c>
      <c r="E703" s="2047"/>
      <c r="F703" s="2048"/>
      <c r="G703" s="2049">
        <f>SNI!$H$391</f>
        <v>1039</v>
      </c>
      <c r="H703" s="2050" t="str">
        <f>SNI!$G$391</f>
        <v>kg</v>
      </c>
      <c r="I703" s="2051"/>
      <c r="J703" s="2051"/>
      <c r="K703" s="2052">
        <f>SNI!$L$391</f>
        <v>1</v>
      </c>
      <c r="L703" s="2053"/>
      <c r="M703" s="2054"/>
      <c r="N703" s="2055">
        <f>SNI!$I$391</f>
        <v>200</v>
      </c>
      <c r="O703" s="2056"/>
      <c r="P703" s="1969">
        <f t="shared" si="455"/>
        <v>207800</v>
      </c>
      <c r="Q703" s="1953"/>
      <c r="R703" s="1954"/>
      <c r="S703" s="1954">
        <f t="shared" si="456"/>
        <v>207800</v>
      </c>
      <c r="T703" s="1969">
        <f t="shared" si="457"/>
        <v>0</v>
      </c>
      <c r="U703" s="2060"/>
      <c r="Z703" s="1956"/>
      <c r="AA703" s="1956"/>
      <c r="AF703" s="1836"/>
      <c r="AG703" s="1836"/>
      <c r="AH703" s="1836"/>
      <c r="AI703" s="1837"/>
      <c r="AJ703" s="1960"/>
    </row>
    <row r="704" spans="1:36" ht="21.95" customHeight="1" x14ac:dyDescent="0.2">
      <c r="B704" s="2045"/>
      <c r="C704" s="2046"/>
      <c r="D704" s="2047" t="str">
        <f>SNI!$E$392</f>
        <v>Air</v>
      </c>
      <c r="E704" s="2047"/>
      <c r="F704" s="2048"/>
      <c r="G704" s="2049">
        <f>SNI!$H$392</f>
        <v>215</v>
      </c>
      <c r="H704" s="2050" t="str">
        <f>SNI!$G$392</f>
        <v>ltr</v>
      </c>
      <c r="I704" s="2051"/>
      <c r="J704" s="2051"/>
      <c r="K704" s="2052">
        <f>SNI!$L$392</f>
        <v>1</v>
      </c>
      <c r="L704" s="2053"/>
      <c r="M704" s="2054"/>
      <c r="N704" s="2055">
        <f>SNI!$I$392</f>
        <v>45</v>
      </c>
      <c r="O704" s="2056"/>
      <c r="P704" s="1969">
        <f t="shared" si="455"/>
        <v>9675</v>
      </c>
      <c r="Q704" s="1953"/>
      <c r="R704" s="1954"/>
      <c r="S704" s="1954">
        <f t="shared" si="456"/>
        <v>9675</v>
      </c>
      <c r="T704" s="1969">
        <f t="shared" si="457"/>
        <v>0</v>
      </c>
      <c r="U704" s="2060"/>
      <c r="Z704" s="1956"/>
      <c r="AA704" s="1956"/>
      <c r="AF704" s="1836"/>
      <c r="AG704" s="1836"/>
      <c r="AH704" s="1836"/>
      <c r="AI704" s="1837"/>
      <c r="AJ704" s="1960"/>
    </row>
    <row r="705" spans="1:36" ht="21.95" customHeight="1" x14ac:dyDescent="0.2">
      <c r="B705" s="2045"/>
      <c r="C705" s="2046" t="str">
        <f>SNI!$D$394</f>
        <v>Tenaga Kerja</v>
      </c>
      <c r="D705" s="2047"/>
      <c r="E705" s="2047"/>
      <c r="F705" s="2048"/>
      <c r="G705" s="2049"/>
      <c r="H705" s="2050"/>
      <c r="I705" s="2051"/>
      <c r="J705" s="2051"/>
      <c r="K705" s="2052"/>
      <c r="L705" s="2053"/>
      <c r="M705" s="2054"/>
      <c r="N705" s="2055"/>
      <c r="O705" s="2056"/>
      <c r="P705" s="1969"/>
      <c r="Q705" s="1953"/>
      <c r="R705" s="1954"/>
      <c r="S705" s="1954"/>
      <c r="T705" s="1969"/>
      <c r="U705" s="2060"/>
      <c r="Z705" s="1956"/>
      <c r="AA705" s="1956"/>
      <c r="AF705" s="1836"/>
      <c r="AG705" s="1836"/>
      <c r="AH705" s="1836"/>
      <c r="AI705" s="1837"/>
      <c r="AJ705" s="1960"/>
    </row>
    <row r="706" spans="1:36" ht="21.95" customHeight="1" x14ac:dyDescent="0.2">
      <c r="B706" s="2045"/>
      <c r="C706" s="2046"/>
      <c r="D706" s="2047" t="str">
        <f>SNI!$E$394</f>
        <v xml:space="preserve">Pekerja </v>
      </c>
      <c r="E706" s="2047"/>
      <c r="F706" s="2048"/>
      <c r="G706" s="2049">
        <f>SNI!$H$394</f>
        <v>1.65</v>
      </c>
      <c r="H706" s="2050" t="str">
        <f>SNI!$G$394</f>
        <v>OH</v>
      </c>
      <c r="I706" s="2051" t="str">
        <f>SNI!$M$394</f>
        <v>WNI</v>
      </c>
      <c r="J706" s="2051"/>
      <c r="K706" s="2052">
        <f>SNI!$L$394</f>
        <v>1</v>
      </c>
      <c r="L706" s="2053"/>
      <c r="M706" s="2054"/>
      <c r="N706" s="2055">
        <f>SNI!$I$394</f>
        <v>88300</v>
      </c>
      <c r="O706" s="2056"/>
      <c r="P706" s="1969">
        <f t="shared" ref="P706:P709" si="458">N706*G706</f>
        <v>145695</v>
      </c>
      <c r="Q706" s="1953"/>
      <c r="R706" s="1954"/>
      <c r="S706" s="1954">
        <f t="shared" ref="S706:S709" si="459">P706*K706</f>
        <v>145695</v>
      </c>
      <c r="T706" s="1969">
        <f t="shared" ref="T706:T709" si="460">P706-S706</f>
        <v>0</v>
      </c>
      <c r="U706" s="2060"/>
      <c r="Z706" s="1956"/>
      <c r="AA706" s="1956"/>
      <c r="AF706" s="1836"/>
      <c r="AG706" s="1836"/>
      <c r="AH706" s="1836"/>
      <c r="AI706" s="1837"/>
      <c r="AJ706" s="1960"/>
    </row>
    <row r="707" spans="1:36" ht="21.95" customHeight="1" x14ac:dyDescent="0.2">
      <c r="B707" s="2045"/>
      <c r="C707" s="2046"/>
      <c r="D707" s="2047" t="str">
        <f>SNI!$E$395</f>
        <v>Tukang Batu</v>
      </c>
      <c r="E707" s="2047"/>
      <c r="F707" s="2048"/>
      <c r="G707" s="2049">
        <f>SNI!$H$395</f>
        <v>0.27500000000000002</v>
      </c>
      <c r="H707" s="2050" t="str">
        <f>SNI!$G$395</f>
        <v>OH</v>
      </c>
      <c r="I707" s="2051" t="str">
        <f>SNI!$M$395</f>
        <v>WNI</v>
      </c>
      <c r="J707" s="2051"/>
      <c r="K707" s="2052">
        <f>SNI!$L$395</f>
        <v>1</v>
      </c>
      <c r="L707" s="2053"/>
      <c r="M707" s="2054"/>
      <c r="N707" s="2055">
        <f>SNI!$I$395</f>
        <v>90000</v>
      </c>
      <c r="O707" s="2056"/>
      <c r="P707" s="1969">
        <f t="shared" si="458"/>
        <v>24750.000000000004</v>
      </c>
      <c r="Q707" s="1953"/>
      <c r="R707" s="1954"/>
      <c r="S707" s="1954">
        <f t="shared" si="459"/>
        <v>24750.000000000004</v>
      </c>
      <c r="T707" s="1969">
        <f t="shared" si="460"/>
        <v>0</v>
      </c>
      <c r="U707" s="2060"/>
      <c r="Z707" s="1956"/>
      <c r="AA707" s="1956"/>
      <c r="AF707" s="1836"/>
      <c r="AG707" s="1836"/>
      <c r="AH707" s="1836"/>
      <c r="AI707" s="1837"/>
      <c r="AJ707" s="1960"/>
    </row>
    <row r="708" spans="1:36" ht="21.95" customHeight="1" x14ac:dyDescent="0.2">
      <c r="B708" s="2045"/>
      <c r="C708" s="2046"/>
      <c r="D708" s="2047" t="str">
        <f>SNI!$E$396</f>
        <v>Kepala Tukang</v>
      </c>
      <c r="E708" s="2047"/>
      <c r="F708" s="2048"/>
      <c r="G708" s="2049">
        <f>SNI!$H$396</f>
        <v>2.8000000000000001E-2</v>
      </c>
      <c r="H708" s="2050" t="str">
        <f>SNI!$G$396</f>
        <v>OH</v>
      </c>
      <c r="I708" s="2051" t="str">
        <f>SNI!$M$396</f>
        <v>WNI</v>
      </c>
      <c r="J708" s="2051"/>
      <c r="K708" s="2052">
        <f>SNI!$L$396</f>
        <v>1</v>
      </c>
      <c r="L708" s="2053"/>
      <c r="M708" s="2054"/>
      <c r="N708" s="2055">
        <f>SNI!$I$396</f>
        <v>96000</v>
      </c>
      <c r="O708" s="2056"/>
      <c r="P708" s="1969">
        <f t="shared" si="458"/>
        <v>2688</v>
      </c>
      <c r="Q708" s="1953"/>
      <c r="R708" s="1954"/>
      <c r="S708" s="1954">
        <f t="shared" si="459"/>
        <v>2688</v>
      </c>
      <c r="T708" s="1969">
        <f t="shared" si="460"/>
        <v>0</v>
      </c>
      <c r="U708" s="2060"/>
      <c r="Z708" s="1956"/>
      <c r="AA708" s="1956"/>
      <c r="AF708" s="1836"/>
      <c r="AG708" s="1836"/>
      <c r="AH708" s="1836"/>
      <c r="AI708" s="1837"/>
      <c r="AJ708" s="1960"/>
    </row>
    <row r="709" spans="1:36" ht="21.95" customHeight="1" x14ac:dyDescent="0.2">
      <c r="B709" s="2045"/>
      <c r="C709" s="2046"/>
      <c r="D709" s="2047" t="str">
        <f>SNI!$E$397</f>
        <v>Mandor</v>
      </c>
      <c r="E709" s="2047"/>
      <c r="F709" s="2048"/>
      <c r="G709" s="2049">
        <f>SNI!$H$397</f>
        <v>8.3000000000000004E-2</v>
      </c>
      <c r="H709" s="2050" t="str">
        <f>SNI!$G$397</f>
        <v>OH</v>
      </c>
      <c r="I709" s="2051" t="str">
        <f>SNI!$M$397</f>
        <v>WNI</v>
      </c>
      <c r="J709" s="2051"/>
      <c r="K709" s="2052">
        <f>SNI!$L$397</f>
        <v>1</v>
      </c>
      <c r="L709" s="2053"/>
      <c r="M709" s="2054"/>
      <c r="N709" s="2055">
        <f>SNI!$I$397</f>
        <v>90000</v>
      </c>
      <c r="O709" s="2056"/>
      <c r="P709" s="1969">
        <f t="shared" si="458"/>
        <v>7470</v>
      </c>
      <c r="Q709" s="1953"/>
      <c r="R709" s="1954"/>
      <c r="S709" s="1954">
        <f t="shared" si="459"/>
        <v>7470</v>
      </c>
      <c r="T709" s="1969">
        <f t="shared" si="460"/>
        <v>0</v>
      </c>
      <c r="U709" s="2060"/>
      <c r="Z709" s="1956"/>
      <c r="AA709" s="1956"/>
      <c r="AF709" s="1836"/>
      <c r="AG709" s="1836"/>
      <c r="AH709" s="1836"/>
      <c r="AI709" s="1837"/>
      <c r="AJ709" s="1960"/>
    </row>
    <row r="710" spans="1:36" s="1957" customFormat="1" ht="21.95" customHeight="1" x14ac:dyDescent="0.2">
      <c r="A710" s="1942"/>
      <c r="B710" s="1970"/>
      <c r="C710" s="1971"/>
      <c r="D710" s="1972"/>
      <c r="E710" s="1973"/>
      <c r="F710" s="1974" t="s">
        <v>556</v>
      </c>
      <c r="G710" s="1975">
        <f>B699</f>
        <v>16</v>
      </c>
      <c r="H710" s="1976"/>
      <c r="I710" s="1977"/>
      <c r="J710" s="1977"/>
      <c r="K710" s="1978"/>
      <c r="L710" s="1979"/>
      <c r="M710" s="1980"/>
      <c r="N710" s="1981"/>
      <c r="O710" s="1982"/>
      <c r="P710" s="1983">
        <f>SUM(P701:P709)</f>
        <v>987392.28571428568</v>
      </c>
      <c r="Q710" s="1984"/>
      <c r="R710" s="1985"/>
      <c r="S710" s="1983">
        <f>SUM(S701:S709)</f>
        <v>918917.40571428579</v>
      </c>
      <c r="T710" s="1983">
        <f>SUM(T701:T709)</f>
        <v>68474.880000000005</v>
      </c>
      <c r="U710" s="1986"/>
      <c r="V710" s="1848"/>
      <c r="W710" s="1848"/>
      <c r="X710" s="1848"/>
      <c r="Y710" s="1848"/>
      <c r="Z710" s="1956"/>
      <c r="AA710" s="1956"/>
      <c r="AF710" s="1958"/>
      <c r="AG710" s="1958"/>
      <c r="AH710" s="1958"/>
      <c r="AI710" s="1959"/>
      <c r="AJ710" s="1960"/>
    </row>
    <row r="711" spans="1:36" ht="21.95" customHeight="1" x14ac:dyDescent="0.2">
      <c r="A711" s="1833">
        <f>satpek!$B$41</f>
        <v>22</v>
      </c>
      <c r="B711" s="1943">
        <f>B699+1</f>
        <v>17</v>
      </c>
      <c r="C711" s="1937"/>
      <c r="D711" s="1944" t="str">
        <f>VLOOKUP($A711,satpek!$B$20:$N$144,2,0)</f>
        <v>Pembesian 1 kg dengan besi polos atau besi ulir</v>
      </c>
      <c r="E711" s="1944"/>
      <c r="F711" s="2004"/>
      <c r="G711" s="1945">
        <f>'[3]B.VOL RAB'!Q183</f>
        <v>6158.315468184197</v>
      </c>
      <c r="H711" s="1946" t="str">
        <f>VLOOKUP($A711,satpek!$B$20:$N$144,7,0)</f>
        <v>kg</v>
      </c>
      <c r="I711" s="1947"/>
      <c r="J711" s="1947"/>
      <c r="K711" s="1948"/>
      <c r="L711" s="1949"/>
      <c r="M711" s="1950" t="str">
        <f>VLOOKUP($A711,satpek!$B$20:$N$144,5,0)</f>
        <v>A.4.1.1.17.</v>
      </c>
      <c r="N711" s="1951">
        <f>VLOOKUP($A711,satpek!$B$20:$N$144,6,0)</f>
        <v>15603.94</v>
      </c>
      <c r="O711" s="1938"/>
      <c r="P711" s="1952">
        <f t="shared" si="454"/>
        <v>96093985.069999993</v>
      </c>
      <c r="Q711" s="1953">
        <f>VLOOKUP($A711,satpek!$B$20:$L$138,8,0)</f>
        <v>0.46415793062521393</v>
      </c>
      <c r="R711" s="1954">
        <f>VLOOKUP($A711,satpek!$B$20:$L$138,9,0)</f>
        <v>7242.692500000001</v>
      </c>
      <c r="S711" s="1954">
        <f>VLOOKUP($A711,satpek!$B$20:$L$138,10,0)</f>
        <v>8184.2425250000015</v>
      </c>
      <c r="T711" s="1952">
        <f>S711*G711</f>
        <v>50401147.3370784</v>
      </c>
      <c r="U711" s="1955"/>
      <c r="X711" s="1848">
        <f>P720</f>
        <v>13808.800000000001</v>
      </c>
      <c r="Y711" s="1848">
        <f>S720</f>
        <v>7242.6925000000001</v>
      </c>
      <c r="Z711" s="1956">
        <v>6158.315468184197</v>
      </c>
      <c r="AA711" s="1956">
        <f>Z711-G711</f>
        <v>0</v>
      </c>
      <c r="AB711" s="1836" t="s">
        <v>420</v>
      </c>
      <c r="AF711" s="1836"/>
      <c r="AG711" s="1836"/>
      <c r="AH711" s="1836"/>
      <c r="AI711" s="1837">
        <v>15438.06</v>
      </c>
      <c r="AJ711" s="1960">
        <f>AI711-N711</f>
        <v>-165.88000000000102</v>
      </c>
    </row>
    <row r="712" spans="1:36" ht="21.95" customHeight="1" x14ac:dyDescent="0.2">
      <c r="B712" s="2045"/>
      <c r="C712" s="2046" t="str">
        <f>SNI!$D$410</f>
        <v>Bahan</v>
      </c>
      <c r="D712" s="2047"/>
      <c r="E712" s="2047"/>
      <c r="F712" s="2048"/>
      <c r="G712" s="2049"/>
      <c r="H712" s="2050"/>
      <c r="I712" s="2051"/>
      <c r="J712" s="2051"/>
      <c r="K712" s="2052"/>
      <c r="L712" s="2053"/>
      <c r="M712" s="2054"/>
      <c r="N712" s="2055"/>
      <c r="O712" s="2056"/>
      <c r="P712" s="2057"/>
      <c r="Q712" s="2058"/>
      <c r="R712" s="2059"/>
      <c r="S712" s="2059"/>
      <c r="T712" s="2057"/>
      <c r="U712" s="2060"/>
      <c r="Z712" s="1956"/>
      <c r="AA712" s="1956"/>
      <c r="AF712" s="1836"/>
      <c r="AG712" s="1836"/>
      <c r="AH712" s="1836"/>
      <c r="AI712" s="1837"/>
      <c r="AJ712" s="1960"/>
    </row>
    <row r="713" spans="1:36" ht="21.95" customHeight="1" x14ac:dyDescent="0.2">
      <c r="B713" s="2045"/>
      <c r="C713" s="2046"/>
      <c r="D713" s="2047" t="str">
        <f>SNI!$E$410</f>
        <v>Besi Beton ( polos/ulir )</v>
      </c>
      <c r="E713" s="2047"/>
      <c r="F713" s="2048"/>
      <c r="G713" s="2049">
        <f>SNI!$H$410/10</f>
        <v>1.05</v>
      </c>
      <c r="H713" s="2050" t="str">
        <f>SNI!$G$410</f>
        <v>kg</v>
      </c>
      <c r="I713" s="2051"/>
      <c r="J713" s="2051"/>
      <c r="K713" s="2052">
        <f>SNI!$L$410</f>
        <v>0.4879</v>
      </c>
      <c r="L713" s="2053"/>
      <c r="M713" s="2054"/>
      <c r="N713" s="2055">
        <f>SNI!$I$410</f>
        <v>11500</v>
      </c>
      <c r="O713" s="2056"/>
      <c r="P713" s="1969">
        <f t="shared" ref="P713:P714" si="461">N713*G713</f>
        <v>12075</v>
      </c>
      <c r="Q713" s="1953"/>
      <c r="R713" s="1954"/>
      <c r="S713" s="1954">
        <f t="shared" ref="S713:S714" si="462">P713*K713</f>
        <v>5891.3924999999999</v>
      </c>
      <c r="T713" s="1969">
        <f t="shared" ref="T713:T714" si="463">P713-S713</f>
        <v>6183.6075000000001</v>
      </c>
      <c r="U713" s="2060"/>
      <c r="Z713" s="1956"/>
      <c r="AA713" s="1956"/>
      <c r="AF713" s="1836"/>
      <c r="AG713" s="1836"/>
      <c r="AH713" s="1836"/>
      <c r="AI713" s="1837"/>
      <c r="AJ713" s="1960"/>
    </row>
    <row r="714" spans="1:36" ht="21.95" customHeight="1" x14ac:dyDescent="0.2">
      <c r="B714" s="2045"/>
      <c r="C714" s="2046"/>
      <c r="D714" s="2047" t="str">
        <f>SNI!$E$411</f>
        <v>Kawat Beton</v>
      </c>
      <c r="E714" s="2047"/>
      <c r="F714" s="2048"/>
      <c r="G714" s="2049">
        <f>SNI!$H$411/10</f>
        <v>1.4999999999999999E-2</v>
      </c>
      <c r="H714" s="2050">
        <f>SNI!G906</f>
        <v>0</v>
      </c>
      <c r="I714" s="2051"/>
      <c r="J714" s="2051"/>
      <c r="K714" s="2052">
        <f>SNI!$L$411</f>
        <v>0</v>
      </c>
      <c r="L714" s="2053"/>
      <c r="M714" s="2054"/>
      <c r="N714" s="2055">
        <f>SNI!$I$411</f>
        <v>25500</v>
      </c>
      <c r="O714" s="2056"/>
      <c r="P714" s="1969">
        <f t="shared" si="461"/>
        <v>382.5</v>
      </c>
      <c r="Q714" s="1953"/>
      <c r="R714" s="1954"/>
      <c r="S714" s="1954">
        <f t="shared" si="462"/>
        <v>0</v>
      </c>
      <c r="T714" s="1969">
        <f t="shared" si="463"/>
        <v>382.5</v>
      </c>
      <c r="U714" s="2060"/>
      <c r="Z714" s="1956"/>
      <c r="AA714" s="1956"/>
      <c r="AF714" s="1836"/>
      <c r="AG714" s="1836"/>
      <c r="AH714" s="1836"/>
      <c r="AI714" s="1837"/>
      <c r="AJ714" s="1960"/>
    </row>
    <row r="715" spans="1:36" ht="21.95" customHeight="1" x14ac:dyDescent="0.2">
      <c r="B715" s="2045"/>
      <c r="C715" s="2046" t="str">
        <f>SNI!$D$413</f>
        <v>Tenaga Kerja</v>
      </c>
      <c r="D715" s="2047"/>
      <c r="E715" s="2047"/>
      <c r="F715" s="2048"/>
      <c r="G715" s="2049"/>
      <c r="H715" s="2050"/>
      <c r="I715" s="2051"/>
      <c r="J715" s="2051"/>
      <c r="K715" s="2052"/>
      <c r="L715" s="2053"/>
      <c r="M715" s="2054"/>
      <c r="N715" s="2055"/>
      <c r="O715" s="2056"/>
      <c r="P715" s="1969"/>
      <c r="Q715" s="1953"/>
      <c r="R715" s="1954"/>
      <c r="S715" s="1954"/>
      <c r="T715" s="1969"/>
      <c r="U715" s="2060"/>
      <c r="Z715" s="1956"/>
      <c r="AA715" s="1956"/>
      <c r="AF715" s="1836"/>
      <c r="AG715" s="1836"/>
      <c r="AH715" s="1836"/>
      <c r="AI715" s="1837"/>
      <c r="AJ715" s="1960"/>
    </row>
    <row r="716" spans="1:36" ht="21.95" customHeight="1" x14ac:dyDescent="0.2">
      <c r="B716" s="2045"/>
      <c r="C716" s="2046"/>
      <c r="D716" s="2047" t="str">
        <f>SNI!$E$413</f>
        <v xml:space="preserve">Pekerja </v>
      </c>
      <c r="E716" s="2047"/>
      <c r="F716" s="2048"/>
      <c r="G716" s="2049">
        <f>SNI!$H$413/10</f>
        <v>7.000000000000001E-3</v>
      </c>
      <c r="H716" s="2050" t="str">
        <f>SNI!$G$413</f>
        <v>OH</v>
      </c>
      <c r="I716" s="2051" t="str">
        <f>SNI!$M$413</f>
        <v>WNI</v>
      </c>
      <c r="J716" s="2051"/>
      <c r="K716" s="2052">
        <f>SNI!$L$413</f>
        <v>1</v>
      </c>
      <c r="L716" s="2053"/>
      <c r="M716" s="2054"/>
      <c r="N716" s="2055">
        <f>SNI!$I$413</f>
        <v>88300</v>
      </c>
      <c r="O716" s="2056"/>
      <c r="P716" s="1969">
        <f t="shared" ref="P716:P719" si="464">N716*G716</f>
        <v>618.10000000000014</v>
      </c>
      <c r="Q716" s="1953"/>
      <c r="R716" s="1954"/>
      <c r="S716" s="1954">
        <f t="shared" ref="S716:S719" si="465">P716*K716</f>
        <v>618.10000000000014</v>
      </c>
      <c r="T716" s="1969">
        <f t="shared" ref="T716:T719" si="466">P716-S716</f>
        <v>0</v>
      </c>
      <c r="U716" s="2060"/>
      <c r="Z716" s="1956"/>
      <c r="AA716" s="1956"/>
      <c r="AF716" s="1836"/>
      <c r="AG716" s="1836"/>
      <c r="AH716" s="1836"/>
      <c r="AI716" s="1837"/>
      <c r="AJ716" s="1960"/>
    </row>
    <row r="717" spans="1:36" ht="21.95" customHeight="1" x14ac:dyDescent="0.2">
      <c r="B717" s="2045"/>
      <c r="C717" s="2046"/>
      <c r="D717" s="2047" t="str">
        <f>SNI!$E$414</f>
        <v>Tukang Besi</v>
      </c>
      <c r="E717" s="2047"/>
      <c r="F717" s="2048"/>
      <c r="G717" s="2049">
        <f>SNI!$H$414/10</f>
        <v>7.000000000000001E-3</v>
      </c>
      <c r="H717" s="2050" t="str">
        <f>SNI!$G$414</f>
        <v>OH</v>
      </c>
      <c r="I717" s="2051" t="str">
        <f>SNI!$M$414</f>
        <v>WNI</v>
      </c>
      <c r="J717" s="2051"/>
      <c r="K717" s="2052">
        <f>SNI!$L$414</f>
        <v>1</v>
      </c>
      <c r="L717" s="2053"/>
      <c r="M717" s="2054"/>
      <c r="N717" s="2055">
        <f>SNI!$I$414</f>
        <v>90000</v>
      </c>
      <c r="O717" s="2056"/>
      <c r="P717" s="1969">
        <f t="shared" si="464"/>
        <v>630.00000000000011</v>
      </c>
      <c r="Q717" s="1953"/>
      <c r="R717" s="1954"/>
      <c r="S717" s="1954">
        <f t="shared" si="465"/>
        <v>630.00000000000011</v>
      </c>
      <c r="T717" s="1969">
        <f t="shared" si="466"/>
        <v>0</v>
      </c>
      <c r="U717" s="2060"/>
      <c r="Z717" s="1956"/>
      <c r="AA717" s="1956"/>
      <c r="AF717" s="1836"/>
      <c r="AG717" s="1836"/>
      <c r="AH717" s="1836"/>
      <c r="AI717" s="1837"/>
      <c r="AJ717" s="1960"/>
    </row>
    <row r="718" spans="1:36" ht="21.95" customHeight="1" x14ac:dyDescent="0.2">
      <c r="B718" s="2045"/>
      <c r="C718" s="2046"/>
      <c r="D718" s="2047" t="str">
        <f>SNI!$E$415</f>
        <v>Kepala Tukang</v>
      </c>
      <c r="E718" s="2047"/>
      <c r="F718" s="2048"/>
      <c r="G718" s="2049">
        <f>SNI!$H$415/10</f>
        <v>6.9999999999999999E-4</v>
      </c>
      <c r="H718" s="2050" t="str">
        <f>SNI!$G$415</f>
        <v>OH</v>
      </c>
      <c r="I718" s="2051" t="str">
        <f>SNI!$M$415</f>
        <v>WNI</v>
      </c>
      <c r="J718" s="2051"/>
      <c r="K718" s="2052">
        <f>SNI!$L$415</f>
        <v>1</v>
      </c>
      <c r="L718" s="2053"/>
      <c r="M718" s="2054"/>
      <c r="N718" s="2055">
        <f>SNI!$I$415</f>
        <v>96000</v>
      </c>
      <c r="O718" s="2056"/>
      <c r="P718" s="1969">
        <f t="shared" si="464"/>
        <v>67.2</v>
      </c>
      <c r="Q718" s="1953"/>
      <c r="R718" s="1954"/>
      <c r="S718" s="1954">
        <f t="shared" si="465"/>
        <v>67.2</v>
      </c>
      <c r="T718" s="1969">
        <f t="shared" si="466"/>
        <v>0</v>
      </c>
      <c r="U718" s="2060"/>
      <c r="Z718" s="1956"/>
      <c r="AA718" s="1956"/>
      <c r="AF718" s="1836"/>
      <c r="AG718" s="1836"/>
      <c r="AH718" s="1836"/>
      <c r="AI718" s="1837"/>
      <c r="AJ718" s="1960"/>
    </row>
    <row r="719" spans="1:36" ht="21.95" customHeight="1" x14ac:dyDescent="0.2">
      <c r="B719" s="2045"/>
      <c r="C719" s="2046"/>
      <c r="D719" s="2047" t="str">
        <f>SNI!$E$416</f>
        <v>Mandor</v>
      </c>
      <c r="E719" s="2047"/>
      <c r="F719" s="2048"/>
      <c r="G719" s="2049">
        <f>SNI!$H$416/10</f>
        <v>4.0000000000000002E-4</v>
      </c>
      <c r="H719" s="2050" t="str">
        <f>SNI!$G$416</f>
        <v>OH</v>
      </c>
      <c r="I719" s="2051" t="str">
        <f>SNI!$M$416</f>
        <v>WNI</v>
      </c>
      <c r="J719" s="2051"/>
      <c r="K719" s="2052">
        <f>SNI!$L$416</f>
        <v>1</v>
      </c>
      <c r="L719" s="2053"/>
      <c r="M719" s="2054"/>
      <c r="N719" s="2055">
        <f>SNI!$I$416</f>
        <v>90000</v>
      </c>
      <c r="O719" s="2056"/>
      <c r="P719" s="1969">
        <f t="shared" si="464"/>
        <v>36</v>
      </c>
      <c r="Q719" s="1953"/>
      <c r="R719" s="1954"/>
      <c r="S719" s="1954">
        <f t="shared" si="465"/>
        <v>36</v>
      </c>
      <c r="T719" s="1969">
        <f t="shared" si="466"/>
        <v>0</v>
      </c>
      <c r="U719" s="2060"/>
      <c r="Z719" s="1956"/>
      <c r="AA719" s="1956"/>
      <c r="AF719" s="1836"/>
      <c r="AG719" s="1836"/>
      <c r="AH719" s="1836"/>
      <c r="AI719" s="1837"/>
      <c r="AJ719" s="1960"/>
    </row>
    <row r="720" spans="1:36" s="1957" customFormat="1" ht="21.95" customHeight="1" x14ac:dyDescent="0.2">
      <c r="A720" s="1942"/>
      <c r="B720" s="1970"/>
      <c r="C720" s="1971"/>
      <c r="D720" s="1972"/>
      <c r="E720" s="1973"/>
      <c r="F720" s="1974" t="s">
        <v>556</v>
      </c>
      <c r="G720" s="1975">
        <f>B711</f>
        <v>17</v>
      </c>
      <c r="H720" s="1976"/>
      <c r="I720" s="1977"/>
      <c r="J720" s="1977"/>
      <c r="K720" s="1978"/>
      <c r="L720" s="1979"/>
      <c r="M720" s="1980"/>
      <c r="N720" s="1981"/>
      <c r="O720" s="1982"/>
      <c r="P720" s="1983">
        <f>SUM(P713:P719)</f>
        <v>13808.800000000001</v>
      </c>
      <c r="Q720" s="1984"/>
      <c r="R720" s="1985"/>
      <c r="S720" s="1983">
        <f t="shared" ref="S720" si="467">SUM(S713:S719)</f>
        <v>7242.6925000000001</v>
      </c>
      <c r="T720" s="1983">
        <f t="shared" ref="T720" si="468">SUM(T713:T719)</f>
        <v>6566.1075000000001</v>
      </c>
      <c r="U720" s="1986"/>
      <c r="V720" s="1848"/>
      <c r="W720" s="1848"/>
      <c r="X720" s="1848"/>
      <c r="Y720" s="1848"/>
      <c r="Z720" s="1956"/>
      <c r="AA720" s="1956"/>
      <c r="AF720" s="1958"/>
      <c r="AG720" s="1958"/>
      <c r="AH720" s="1958"/>
      <c r="AI720" s="1959"/>
      <c r="AJ720" s="1960"/>
    </row>
    <row r="721" spans="1:36" ht="21.95" customHeight="1" x14ac:dyDescent="0.2">
      <c r="A721" s="1833">
        <f>satpek!B46</f>
        <v>27</v>
      </c>
      <c r="B721" s="1943">
        <f>B711+1</f>
        <v>18</v>
      </c>
      <c r="C721" s="1937"/>
      <c r="D721" s="1944" t="str">
        <f>VLOOKUP($A721,satpek!$B$20:$N$144,2,0)</f>
        <v>Memasang bekisting untuk lantai (2x pakai)</v>
      </c>
      <c r="E721" s="1944"/>
      <c r="F721" s="2004"/>
      <c r="G721" s="1945">
        <f>'[3]B.VOL RAB'!Q187</f>
        <v>732.87119999999982</v>
      </c>
      <c r="H721" s="1946" t="str">
        <f>VLOOKUP($A721,satpek!$B$20:$N$144,7,0)</f>
        <v>m2</v>
      </c>
      <c r="I721" s="1947"/>
      <c r="J721" s="1947"/>
      <c r="K721" s="1948"/>
      <c r="L721" s="1949"/>
      <c r="M721" s="1950" t="str">
        <f>VLOOKUP($A721,satpek!$B$20:$N$144,5,0)</f>
        <v>A.4.1.1.24</v>
      </c>
      <c r="N721" s="1951">
        <f>VLOOKUP($A721,satpek!$B$20:$N$144,6,0)</f>
        <v>242900.28</v>
      </c>
      <c r="O721" s="1938"/>
      <c r="P721" s="1952">
        <f t="shared" si="454"/>
        <v>178014619.68000001</v>
      </c>
      <c r="Q721" s="1953">
        <f>VLOOKUP($A721,satpek!$B$20:$L$138,8,0)</f>
        <v>0.76655687675617334</v>
      </c>
      <c r="R721" s="1954">
        <f>VLOOKUP($A721,satpek!$B$20:$L$138,9,0)</f>
        <v>164776</v>
      </c>
      <c r="S721" s="1954">
        <f>VLOOKUP($A721,satpek!$B$20:$L$138,10,0)</f>
        <v>186196.88</v>
      </c>
      <c r="T721" s="1952">
        <f>S721*G721</f>
        <v>136458330.88185596</v>
      </c>
      <c r="U721" s="1955"/>
      <c r="X721" s="1848">
        <f>P735</f>
        <v>214956</v>
      </c>
      <c r="Y721" s="1848">
        <f>S735</f>
        <v>164776</v>
      </c>
      <c r="Z721" s="1956">
        <v>732.87119999999982</v>
      </c>
      <c r="AA721" s="1956">
        <f>Z721-G721</f>
        <v>0</v>
      </c>
      <c r="AB721" s="1836" t="s">
        <v>1910</v>
      </c>
      <c r="AF721" s="1836"/>
      <c r="AG721" s="1836"/>
      <c r="AH721" s="1836"/>
      <c r="AI721" s="1837">
        <v>220331.91999999998</v>
      </c>
      <c r="AJ721" s="1960">
        <f>AI721-N721</f>
        <v>-22568.360000000015</v>
      </c>
    </row>
    <row r="722" spans="1:36" ht="21.95" customHeight="1" x14ac:dyDescent="0.2">
      <c r="B722" s="2045"/>
      <c r="C722" s="2046" t="str">
        <f>SNI!$D$522</f>
        <v>Bahan</v>
      </c>
      <c r="D722" s="2047"/>
      <c r="E722" s="2047"/>
      <c r="F722" s="2048"/>
      <c r="G722" s="2049"/>
      <c r="H722" s="2050"/>
      <c r="I722" s="2051"/>
      <c r="J722" s="2051"/>
      <c r="K722" s="2052"/>
      <c r="L722" s="2053"/>
      <c r="M722" s="2054"/>
      <c r="N722" s="2055"/>
      <c r="O722" s="2056"/>
      <c r="P722" s="2057"/>
      <c r="Q722" s="2058"/>
      <c r="R722" s="2059"/>
      <c r="S722" s="2059"/>
      <c r="T722" s="2055"/>
      <c r="U722" s="2060"/>
      <c r="Z722" s="1956"/>
      <c r="AA722" s="1956"/>
      <c r="AF722" s="1836"/>
      <c r="AG722" s="1836"/>
      <c r="AH722" s="1836"/>
      <c r="AI722" s="1837"/>
      <c r="AJ722" s="1960"/>
    </row>
    <row r="723" spans="1:36" ht="21.95" customHeight="1" x14ac:dyDescent="0.2">
      <c r="B723" s="2045"/>
      <c r="C723" s="2046"/>
      <c r="D723" s="2047" t="str">
        <f>SNI!$E$522</f>
        <v>Kayu kelas III</v>
      </c>
      <c r="E723" s="2047"/>
      <c r="F723" s="2048"/>
      <c r="G723" s="2049">
        <f>SNI!$H$522</f>
        <v>0.02</v>
      </c>
      <c r="H723" s="2050" t="str">
        <f>SNI!$G$522</f>
        <v>m3</v>
      </c>
      <c r="I723" s="2051"/>
      <c r="J723" s="2051"/>
      <c r="K723" s="2052">
        <f>SNI!$L$522</f>
        <v>1</v>
      </c>
      <c r="L723" s="2053"/>
      <c r="M723" s="2054"/>
      <c r="N723" s="2055">
        <f>SNI!$I$522</f>
        <v>1100000</v>
      </c>
      <c r="O723" s="2056"/>
      <c r="P723" s="1969">
        <f t="shared" ref="P723" si="469">N723*G723</f>
        <v>22000</v>
      </c>
      <c r="Q723" s="1953"/>
      <c r="R723" s="1954"/>
      <c r="S723" s="1954">
        <f t="shared" ref="S723" si="470">P723*K723</f>
        <v>22000</v>
      </c>
      <c r="T723" s="1969">
        <f t="shared" ref="T723" si="471">P723-S723</f>
        <v>0</v>
      </c>
      <c r="U723" s="2060"/>
      <c r="Z723" s="1956"/>
      <c r="AA723" s="1956"/>
      <c r="AF723" s="1836"/>
      <c r="AG723" s="1836"/>
      <c r="AH723" s="1836"/>
      <c r="AI723" s="1837"/>
      <c r="AJ723" s="1960"/>
    </row>
    <row r="724" spans="1:36" ht="21.95" customHeight="1" x14ac:dyDescent="0.2">
      <c r="B724" s="2045"/>
      <c r="C724" s="2046"/>
      <c r="D724" s="2047" t="str">
        <f>SNI!$E$523</f>
        <v>Paku 5 cm - 12 cm</v>
      </c>
      <c r="E724" s="2047"/>
      <c r="F724" s="2048"/>
      <c r="G724" s="2049">
        <f>SNI!$H$523</f>
        <v>0.4</v>
      </c>
      <c r="H724" s="2050" t="str">
        <f>SNI!$G$523</f>
        <v>kg</v>
      </c>
      <c r="I724" s="2051"/>
      <c r="J724" s="2051"/>
      <c r="K724" s="2052">
        <f>SNI!$L$523</f>
        <v>0</v>
      </c>
      <c r="L724" s="2053"/>
      <c r="M724" s="2054"/>
      <c r="N724" s="2055">
        <f>SNI!$I$523</f>
        <v>17000</v>
      </c>
      <c r="O724" s="2056"/>
      <c r="P724" s="1969">
        <f t="shared" ref="P724:P734" si="472">N724*G724</f>
        <v>6800</v>
      </c>
      <c r="Q724" s="1953"/>
      <c r="R724" s="1954"/>
      <c r="S724" s="1954">
        <f t="shared" ref="S724:S734" si="473">P724*K724</f>
        <v>0</v>
      </c>
      <c r="T724" s="1969">
        <f t="shared" ref="T724:T734" si="474">P724-S724</f>
        <v>6800</v>
      </c>
      <c r="U724" s="2060"/>
      <c r="Z724" s="1956"/>
      <c r="AA724" s="1956"/>
      <c r="AF724" s="1836"/>
      <c r="AG724" s="1836"/>
      <c r="AH724" s="1836"/>
      <c r="AI724" s="1837"/>
      <c r="AJ724" s="1960"/>
    </row>
    <row r="725" spans="1:36" ht="21.95" customHeight="1" x14ac:dyDescent="0.2">
      <c r="B725" s="2045"/>
      <c r="C725" s="2046"/>
      <c r="D725" s="2047" t="str">
        <f>SNI!$E$524</f>
        <v>Minyak Bekisting</v>
      </c>
      <c r="E725" s="2047"/>
      <c r="F725" s="2048"/>
      <c r="G725" s="2049">
        <f>SNI!$H$524</f>
        <v>0.2</v>
      </c>
      <c r="H725" s="2050" t="str">
        <f>SNI!$G$524</f>
        <v>ltr</v>
      </c>
      <c r="I725" s="2051"/>
      <c r="J725" s="2051"/>
      <c r="K725" s="2052">
        <f>SNI!$L$524</f>
        <v>0</v>
      </c>
      <c r="L725" s="2053"/>
      <c r="M725" s="2054"/>
      <c r="N725" s="2055">
        <f>SNI!$I$524</f>
        <v>6900</v>
      </c>
      <c r="O725" s="2056"/>
      <c r="P725" s="1969">
        <f t="shared" si="472"/>
        <v>1380</v>
      </c>
      <c r="Q725" s="1953"/>
      <c r="R725" s="1954"/>
      <c r="S725" s="1954">
        <f t="shared" si="473"/>
        <v>0</v>
      </c>
      <c r="T725" s="1969">
        <f t="shared" si="474"/>
        <v>1380</v>
      </c>
      <c r="U725" s="2060"/>
      <c r="Z725" s="1956"/>
      <c r="AA725" s="1956"/>
      <c r="AF725" s="1836"/>
      <c r="AG725" s="1836"/>
      <c r="AH725" s="1836"/>
      <c r="AI725" s="1837"/>
      <c r="AJ725" s="1960"/>
    </row>
    <row r="726" spans="1:36" ht="21.95" customHeight="1" x14ac:dyDescent="0.2">
      <c r="B726" s="2045"/>
      <c r="C726" s="2046"/>
      <c r="D726" s="2047" t="str">
        <f>SNI!$E$525</f>
        <v>Balok kayu kelas II</v>
      </c>
      <c r="E726" s="2047"/>
      <c r="F726" s="2048"/>
      <c r="G726" s="2049">
        <f>SNI!$H$525</f>
        <v>7.4999999999999997E-3</v>
      </c>
      <c r="H726" s="2050" t="str">
        <f>SNI!$G$525</f>
        <v>m3</v>
      </c>
      <c r="I726" s="2051"/>
      <c r="J726" s="2051"/>
      <c r="K726" s="2052">
        <f>SNI!$L$525</f>
        <v>1</v>
      </c>
      <c r="L726" s="2053"/>
      <c r="M726" s="2054"/>
      <c r="N726" s="2055">
        <f>SNI!$I$525</f>
        <v>1600000</v>
      </c>
      <c r="O726" s="2056"/>
      <c r="P726" s="1969">
        <f t="shared" si="472"/>
        <v>12000</v>
      </c>
      <c r="Q726" s="1953"/>
      <c r="R726" s="1954"/>
      <c r="S726" s="1954">
        <f t="shared" si="473"/>
        <v>12000</v>
      </c>
      <c r="T726" s="1969">
        <f t="shared" si="474"/>
        <v>0</v>
      </c>
      <c r="U726" s="2060"/>
      <c r="Z726" s="1956"/>
      <c r="AA726" s="1956"/>
      <c r="AF726" s="1836"/>
      <c r="AG726" s="1836"/>
      <c r="AH726" s="1836"/>
      <c r="AI726" s="1837"/>
      <c r="AJ726" s="1960"/>
    </row>
    <row r="727" spans="1:36" ht="21.95" customHeight="1" x14ac:dyDescent="0.2">
      <c r="B727" s="2045"/>
      <c r="C727" s="2046"/>
      <c r="D727" s="2047" t="str">
        <f>SNI!$E$526</f>
        <v>Plywood tebal 9 mm</v>
      </c>
      <c r="E727" s="2047"/>
      <c r="F727" s="2048"/>
      <c r="G727" s="2049">
        <f>SNI!$H$526</f>
        <v>0.35</v>
      </c>
      <c r="H727" s="2050" t="str">
        <f>SNI!$G$526</f>
        <v>lbr</v>
      </c>
      <c r="I727" s="2051"/>
      <c r="J727" s="2051"/>
      <c r="K727" s="2052">
        <f>SNI!$L$526</f>
        <v>0</v>
      </c>
      <c r="L727" s="2053"/>
      <c r="M727" s="2054"/>
      <c r="N727" s="2055">
        <f>SNI!$I$526</f>
        <v>120000</v>
      </c>
      <c r="O727" s="2056"/>
      <c r="P727" s="1969">
        <f t="shared" si="472"/>
        <v>42000</v>
      </c>
      <c r="Q727" s="1953"/>
      <c r="R727" s="1954"/>
      <c r="S727" s="1954">
        <f t="shared" si="473"/>
        <v>0</v>
      </c>
      <c r="T727" s="1969">
        <f t="shared" si="474"/>
        <v>42000</v>
      </c>
      <c r="U727" s="2060"/>
      <c r="Z727" s="1956"/>
      <c r="AA727" s="1956"/>
      <c r="AF727" s="1836"/>
      <c r="AG727" s="1836"/>
      <c r="AH727" s="1836"/>
      <c r="AI727" s="1837"/>
      <c r="AJ727" s="1960"/>
    </row>
    <row r="728" spans="1:36" ht="21.95" customHeight="1" x14ac:dyDescent="0.2">
      <c r="B728" s="2045"/>
      <c r="C728" s="2046"/>
      <c r="D728" s="2047" t="str">
        <f>SNI!$E$527</f>
        <v>Dolken kayu galam,</v>
      </c>
      <c r="E728" s="2047"/>
      <c r="F728" s="2048"/>
      <c r="G728" s="2049">
        <f>SNI!$H$527</f>
        <v>3</v>
      </c>
      <c r="H728" s="2050" t="str">
        <f>SNI!$G$527</f>
        <v>btg</v>
      </c>
      <c r="I728" s="2051"/>
      <c r="J728" s="2051"/>
      <c r="K728" s="2052">
        <f>SNI!$L$527</f>
        <v>1</v>
      </c>
      <c r="L728" s="2053"/>
      <c r="M728" s="2054"/>
      <c r="N728" s="2055">
        <f>SNI!$I$527</f>
        <v>12000</v>
      </c>
      <c r="O728" s="2056"/>
      <c r="P728" s="1969">
        <f t="shared" si="472"/>
        <v>36000</v>
      </c>
      <c r="Q728" s="1953"/>
      <c r="R728" s="1954"/>
      <c r="S728" s="1954">
        <f t="shared" si="473"/>
        <v>36000</v>
      </c>
      <c r="T728" s="1969">
        <f t="shared" si="474"/>
        <v>0</v>
      </c>
      <c r="U728" s="2060"/>
      <c r="Z728" s="1956"/>
      <c r="AA728" s="1956"/>
      <c r="AF728" s="1836"/>
      <c r="AG728" s="1836"/>
      <c r="AH728" s="1836"/>
      <c r="AI728" s="1837"/>
      <c r="AJ728" s="1960"/>
    </row>
    <row r="729" spans="1:36" ht="21.95" customHeight="1" x14ac:dyDescent="0.2">
      <c r="B729" s="2045"/>
      <c r="C729" s="2046"/>
      <c r="D729" s="2047" t="str">
        <f>SNI!$E$528</f>
        <v>Ø (8 - 10) cm, panj 4 m</v>
      </c>
      <c r="E729" s="2047"/>
      <c r="F729" s="2048"/>
      <c r="G729" s="2049"/>
      <c r="H729" s="2050"/>
      <c r="I729" s="2051"/>
      <c r="J729" s="2051"/>
      <c r="K729" s="2052"/>
      <c r="L729" s="2053"/>
      <c r="M729" s="2054"/>
      <c r="N729" s="2055"/>
      <c r="O729" s="2056"/>
      <c r="P729" s="1969"/>
      <c r="Q729" s="1953"/>
      <c r="R729" s="1954"/>
      <c r="S729" s="1954"/>
      <c r="T729" s="1969"/>
      <c r="U729" s="2060"/>
      <c r="Z729" s="1956"/>
      <c r="AA729" s="1956"/>
      <c r="AF729" s="1836"/>
      <c r="AG729" s="1836"/>
      <c r="AH729" s="1836"/>
      <c r="AI729" s="1837"/>
      <c r="AJ729" s="1960"/>
    </row>
    <row r="730" spans="1:36" ht="21.95" customHeight="1" x14ac:dyDescent="0.2">
      <c r="B730" s="2045"/>
      <c r="C730" s="2046" t="str">
        <f>SNI!$D$530</f>
        <v>Tenaga Kerja</v>
      </c>
      <c r="D730" s="2047"/>
      <c r="E730" s="2047"/>
      <c r="F730" s="2048"/>
      <c r="G730" s="2049"/>
      <c r="H730" s="2050"/>
      <c r="I730" s="2051"/>
      <c r="J730" s="2051"/>
      <c r="K730" s="2052"/>
      <c r="L730" s="2053"/>
      <c r="M730" s="2054"/>
      <c r="N730" s="2055"/>
      <c r="O730" s="2056"/>
      <c r="P730" s="1969"/>
      <c r="Q730" s="1953"/>
      <c r="R730" s="1954"/>
      <c r="S730" s="1954"/>
      <c r="T730" s="1969"/>
      <c r="U730" s="2060"/>
      <c r="Z730" s="1956"/>
      <c r="AA730" s="1956"/>
      <c r="AF730" s="1836"/>
      <c r="AG730" s="1836"/>
      <c r="AH730" s="1836"/>
      <c r="AI730" s="1837"/>
      <c r="AJ730" s="1960"/>
    </row>
    <row r="731" spans="1:36" ht="21.95" customHeight="1" x14ac:dyDescent="0.2">
      <c r="B731" s="2045"/>
      <c r="C731" s="2046"/>
      <c r="D731" s="2047" t="str">
        <f>SNI!$E$530</f>
        <v xml:space="preserve">Pekerja </v>
      </c>
      <c r="E731" s="2047"/>
      <c r="F731" s="2048"/>
      <c r="G731" s="2049">
        <f>SNI!$H$530</f>
        <v>0.66</v>
      </c>
      <c r="H731" s="2050" t="str">
        <f>SNI!$G$530</f>
        <v>OH</v>
      </c>
      <c r="I731" s="2051" t="str">
        <f>SNI!$M$530</f>
        <v>WNI</v>
      </c>
      <c r="J731" s="2051"/>
      <c r="K731" s="2052">
        <f>SNI!$L$530</f>
        <v>1</v>
      </c>
      <c r="L731" s="2053"/>
      <c r="M731" s="2054"/>
      <c r="N731" s="2055">
        <f>SNI!$I$530</f>
        <v>88300</v>
      </c>
      <c r="O731" s="2056"/>
      <c r="P731" s="1969">
        <f t="shared" si="472"/>
        <v>58278</v>
      </c>
      <c r="Q731" s="1953"/>
      <c r="R731" s="1954"/>
      <c r="S731" s="1954">
        <f t="shared" si="473"/>
        <v>58278</v>
      </c>
      <c r="T731" s="1969">
        <f t="shared" si="474"/>
        <v>0</v>
      </c>
      <c r="U731" s="2060"/>
      <c r="Z731" s="1956"/>
      <c r="AA731" s="1956"/>
      <c r="AF731" s="1836"/>
      <c r="AG731" s="1836"/>
      <c r="AH731" s="1836"/>
      <c r="AI731" s="1837"/>
      <c r="AJ731" s="1960"/>
    </row>
    <row r="732" spans="1:36" ht="21.95" customHeight="1" x14ac:dyDescent="0.2">
      <c r="B732" s="2045"/>
      <c r="C732" s="2046"/>
      <c r="D732" s="2047" t="str">
        <f>SNI!$E$531</f>
        <v>Tukang Kayu</v>
      </c>
      <c r="E732" s="2047"/>
      <c r="F732" s="2048"/>
      <c r="G732" s="2049">
        <f>SNI!$H$531</f>
        <v>0.33</v>
      </c>
      <c r="H732" s="2050" t="str">
        <f>SNI!$G$531</f>
        <v>OH</v>
      </c>
      <c r="I732" s="2051" t="str">
        <f>SNI!$M$531</f>
        <v>WNI</v>
      </c>
      <c r="J732" s="2051"/>
      <c r="K732" s="2052">
        <f>SNI!$L$531</f>
        <v>1</v>
      </c>
      <c r="L732" s="2053"/>
      <c r="M732" s="2054"/>
      <c r="N732" s="2055">
        <f>SNI!$I$531</f>
        <v>92000</v>
      </c>
      <c r="O732" s="2056"/>
      <c r="P732" s="1969">
        <f t="shared" si="472"/>
        <v>30360</v>
      </c>
      <c r="Q732" s="1953"/>
      <c r="R732" s="1954"/>
      <c r="S732" s="1954">
        <f t="shared" si="473"/>
        <v>30360</v>
      </c>
      <c r="T732" s="1969">
        <f t="shared" si="474"/>
        <v>0</v>
      </c>
      <c r="U732" s="2060"/>
      <c r="Z732" s="1956"/>
      <c r="AA732" s="1956"/>
      <c r="AF732" s="1836"/>
      <c r="AG732" s="1836"/>
      <c r="AH732" s="1836"/>
      <c r="AI732" s="1837"/>
      <c r="AJ732" s="1960"/>
    </row>
    <row r="733" spans="1:36" ht="21.95" customHeight="1" x14ac:dyDescent="0.2">
      <c r="B733" s="2045"/>
      <c r="C733" s="2046"/>
      <c r="D733" s="2047" t="str">
        <f>SNI!$E$532</f>
        <v>Kepala Tukang</v>
      </c>
      <c r="E733" s="2047"/>
      <c r="F733" s="2048"/>
      <c r="G733" s="2049">
        <f>SNI!$H$532</f>
        <v>3.3000000000000002E-2</v>
      </c>
      <c r="H733" s="2050" t="str">
        <f>SNI!$G$532</f>
        <v>OH</v>
      </c>
      <c r="I733" s="2051" t="str">
        <f>SNI!$M$532</f>
        <v>WNI</v>
      </c>
      <c r="J733" s="2051"/>
      <c r="K733" s="2052">
        <f>SNI!$L$532</f>
        <v>1</v>
      </c>
      <c r="L733" s="2053"/>
      <c r="M733" s="2054"/>
      <c r="N733" s="2055">
        <f>SNI!$I$532</f>
        <v>96000</v>
      </c>
      <c r="O733" s="2056"/>
      <c r="P733" s="1969">
        <f t="shared" si="472"/>
        <v>3168</v>
      </c>
      <c r="Q733" s="1953"/>
      <c r="R733" s="1954"/>
      <c r="S733" s="1954">
        <f t="shared" si="473"/>
        <v>3168</v>
      </c>
      <c r="T733" s="1969">
        <f t="shared" si="474"/>
        <v>0</v>
      </c>
      <c r="U733" s="2060"/>
      <c r="Z733" s="1956"/>
      <c r="AA733" s="1956"/>
      <c r="AF733" s="1836"/>
      <c r="AG733" s="1836"/>
      <c r="AH733" s="1836"/>
      <c r="AI733" s="1837"/>
      <c r="AJ733" s="1960"/>
    </row>
    <row r="734" spans="1:36" ht="21.95" customHeight="1" x14ac:dyDescent="0.2">
      <c r="B734" s="2045"/>
      <c r="C734" s="2046"/>
      <c r="D734" s="2047" t="str">
        <f>SNI!$E$533</f>
        <v>Mandor</v>
      </c>
      <c r="E734" s="2047"/>
      <c r="F734" s="2048"/>
      <c r="G734" s="2049">
        <f>SNI!$H$533</f>
        <v>3.3000000000000002E-2</v>
      </c>
      <c r="H734" s="2050" t="str">
        <f>SNI!$G$533</f>
        <v>OH</v>
      </c>
      <c r="I734" s="2051" t="str">
        <f>SNI!$M$533</f>
        <v>WNI</v>
      </c>
      <c r="J734" s="2051"/>
      <c r="K734" s="2052">
        <f>SNI!$L$533</f>
        <v>1</v>
      </c>
      <c r="L734" s="2053"/>
      <c r="M734" s="2054"/>
      <c r="N734" s="2055">
        <f>SNI!$I$533</f>
        <v>90000</v>
      </c>
      <c r="O734" s="2056"/>
      <c r="P734" s="1969">
        <f t="shared" si="472"/>
        <v>2970</v>
      </c>
      <c r="Q734" s="1953"/>
      <c r="R734" s="1954"/>
      <c r="S734" s="1954">
        <f t="shared" si="473"/>
        <v>2970</v>
      </c>
      <c r="T734" s="1969">
        <f t="shared" si="474"/>
        <v>0</v>
      </c>
      <c r="U734" s="2060"/>
      <c r="Z734" s="1956"/>
      <c r="AA734" s="1956"/>
      <c r="AF734" s="1836"/>
      <c r="AG734" s="1836"/>
      <c r="AH734" s="1836"/>
      <c r="AI734" s="1837"/>
      <c r="AJ734" s="1960"/>
    </row>
    <row r="735" spans="1:36" s="1957" customFormat="1" ht="21.95" customHeight="1" x14ac:dyDescent="0.2">
      <c r="A735" s="1942"/>
      <c r="B735" s="1970"/>
      <c r="C735" s="1971"/>
      <c r="D735" s="1972"/>
      <c r="E735" s="1973"/>
      <c r="F735" s="1974" t="s">
        <v>556</v>
      </c>
      <c r="G735" s="1975">
        <f>B721</f>
        <v>18</v>
      </c>
      <c r="H735" s="1976"/>
      <c r="I735" s="1977"/>
      <c r="J735" s="1977"/>
      <c r="K735" s="1978"/>
      <c r="L735" s="1979"/>
      <c r="M735" s="1980"/>
      <c r="N735" s="1981"/>
      <c r="O735" s="1982"/>
      <c r="P735" s="1983">
        <f>SUM(P723:P734)</f>
        <v>214956</v>
      </c>
      <c r="Q735" s="1984"/>
      <c r="R735" s="1985"/>
      <c r="S735" s="1983">
        <f>SUM(S723:S734)</f>
        <v>164776</v>
      </c>
      <c r="T735" s="1983">
        <f>SUM(T723:T734)</f>
        <v>50180</v>
      </c>
      <c r="U735" s="1986"/>
      <c r="V735" s="1848"/>
      <c r="W735" s="1848"/>
      <c r="X735" s="1848"/>
      <c r="Y735" s="1848"/>
      <c r="Z735" s="1956"/>
      <c r="AA735" s="1956"/>
      <c r="AF735" s="1958"/>
      <c r="AG735" s="1958"/>
      <c r="AH735" s="1958"/>
      <c r="AI735" s="1959"/>
      <c r="AJ735" s="1960"/>
    </row>
    <row r="736" spans="1:36" ht="21.95" customHeight="1" x14ac:dyDescent="0.2">
      <c r="B736" s="2102"/>
      <c r="C736" s="2103"/>
      <c r="D736" s="2081" t="s">
        <v>1795</v>
      </c>
      <c r="E736" s="1930"/>
      <c r="F736" s="1931"/>
      <c r="G736" s="1945"/>
      <c r="H736" s="1933"/>
      <c r="I736" s="1934"/>
      <c r="J736" s="1934"/>
      <c r="K736" s="1935"/>
      <c r="L736" s="1936"/>
      <c r="M736" s="1936"/>
      <c r="N736" s="1951"/>
      <c r="O736" s="2066"/>
      <c r="P736" s="2067"/>
      <c r="Q736" s="1934"/>
      <c r="R736" s="1934"/>
      <c r="S736" s="1934"/>
      <c r="T736" s="1940"/>
      <c r="U736" s="1941"/>
      <c r="Z736" s="1956"/>
      <c r="AA736" s="1956">
        <f>Z736-G736</f>
        <v>0</v>
      </c>
      <c r="AB736" s="1836" t="s">
        <v>1795</v>
      </c>
      <c r="AF736" s="1836"/>
      <c r="AG736" s="1836"/>
      <c r="AH736" s="1836"/>
      <c r="AI736" s="1837"/>
      <c r="AJ736" s="1960">
        <f>AI736-N736</f>
        <v>0</v>
      </c>
    </row>
    <row r="737" spans="1:36" ht="21.95" customHeight="1" x14ac:dyDescent="0.2">
      <c r="A737" s="1833">
        <f>satpek!$B$40</f>
        <v>21</v>
      </c>
      <c r="B737" s="1943">
        <f>B721+1</f>
        <v>19</v>
      </c>
      <c r="C737" s="1937"/>
      <c r="D737" s="1944" t="str">
        <f>VLOOKUP($A737,satpek!$B$20:$N$144,2,0)</f>
        <v>Membuat beton mutu f'c = 21,7 Mpa - K 250</v>
      </c>
      <c r="E737" s="1944"/>
      <c r="F737" s="2004"/>
      <c r="G737" s="1945">
        <f>'[3]B.VOL RAB'!Q191</f>
        <v>1.7711999999999999</v>
      </c>
      <c r="H737" s="1946" t="str">
        <f>VLOOKUP($A737,satpek!$B$20:$N$144,7,0)</f>
        <v>m3</v>
      </c>
      <c r="I737" s="1947"/>
      <c r="J737" s="1947"/>
      <c r="K737" s="1948"/>
      <c r="L737" s="1949"/>
      <c r="M737" s="1950" t="str">
        <f>VLOOKUP($A737,satpek!$B$20:$N$144,5,0)</f>
        <v>A.4.1.1.8.</v>
      </c>
      <c r="N737" s="1951">
        <f>VLOOKUP($A737,satpek!$B$20:$N$144,6,0)</f>
        <v>1115753.29</v>
      </c>
      <c r="O737" s="1938"/>
      <c r="P737" s="1952">
        <f t="shared" ref="P737:P759" si="475">ROUND((G737*N737),2)</f>
        <v>1976222.23</v>
      </c>
      <c r="Q737" s="1953">
        <f>VLOOKUP($A737,satpek!$B$20:$L$138,8,0)</f>
        <v>0.93065078521121514</v>
      </c>
      <c r="R737" s="1954">
        <f>VLOOKUP($A737,satpek!$B$20:$L$138,9,0)</f>
        <v>918917.40999999992</v>
      </c>
      <c r="S737" s="1954">
        <f>VLOOKUP($A737,satpek!$B$20:$L$138,10,0)</f>
        <v>1038376.6732999999</v>
      </c>
      <c r="T737" s="1952">
        <f>S737*G737</f>
        <v>1839172.7637489596</v>
      </c>
      <c r="U737" s="1955"/>
      <c r="X737" s="1848">
        <f>P748</f>
        <v>987392.28571428568</v>
      </c>
      <c r="Y737" s="1848">
        <f>S748</f>
        <v>918917.40571428579</v>
      </c>
      <c r="Z737" s="1956">
        <v>1.7711999999999999</v>
      </c>
      <c r="AA737" s="1956">
        <f>Z737-G737</f>
        <v>0</v>
      </c>
      <c r="AB737" s="1836" t="s">
        <v>1905</v>
      </c>
      <c r="AF737" s="1836"/>
      <c r="AG737" s="1836"/>
      <c r="AH737" s="1836"/>
      <c r="AI737" s="1837">
        <v>1191397.42</v>
      </c>
      <c r="AJ737" s="1960">
        <f>AI737-N737</f>
        <v>75644.129999999888</v>
      </c>
    </row>
    <row r="738" spans="1:36" ht="21.95" customHeight="1" x14ac:dyDescent="0.2">
      <c r="B738" s="2045"/>
      <c r="C738" s="2046" t="str">
        <f>SNI!$D$389</f>
        <v>Bahan</v>
      </c>
      <c r="D738" s="2047"/>
      <c r="E738" s="2047"/>
      <c r="F738" s="2048"/>
      <c r="G738" s="2049"/>
      <c r="H738" s="2050"/>
      <c r="I738" s="2051"/>
      <c r="J738" s="2051"/>
      <c r="K738" s="2052"/>
      <c r="L738" s="2053"/>
      <c r="M738" s="2054"/>
      <c r="N738" s="2055"/>
      <c r="O738" s="2056"/>
      <c r="P738" s="2057"/>
      <c r="Q738" s="2058"/>
      <c r="R738" s="2059"/>
      <c r="S738" s="2059"/>
      <c r="T738" s="2057"/>
      <c r="U738" s="2060"/>
      <c r="Z738" s="1956"/>
      <c r="AA738" s="1956"/>
      <c r="AF738" s="1836"/>
      <c r="AG738" s="1836"/>
      <c r="AH738" s="1836"/>
      <c r="AI738" s="1837"/>
      <c r="AJ738" s="1960"/>
    </row>
    <row r="739" spans="1:36" ht="21.95" customHeight="1" x14ac:dyDescent="0.2">
      <c r="B739" s="2045"/>
      <c r="C739" s="2046"/>
      <c r="D739" s="2047" t="str">
        <f>SNI!$E$389</f>
        <v>PC</v>
      </c>
      <c r="E739" s="2047"/>
      <c r="F739" s="2048"/>
      <c r="G739" s="2049">
        <f>SNI!$H$389</f>
        <v>384</v>
      </c>
      <c r="H739" s="2050" t="str">
        <f>SNI!$G$389</f>
        <v>kg</v>
      </c>
      <c r="I739" s="2051"/>
      <c r="J739" s="2051"/>
      <c r="K739" s="2052">
        <f>SNI!$L$389</f>
        <v>0.85140000000000005</v>
      </c>
      <c r="L739" s="2053"/>
      <c r="M739" s="2054"/>
      <c r="N739" s="2055">
        <f>SNI!$I$389</f>
        <v>1200</v>
      </c>
      <c r="O739" s="2056"/>
      <c r="P739" s="1969">
        <f t="shared" ref="P739:P742" si="476">N739*G739</f>
        <v>460800</v>
      </c>
      <c r="Q739" s="1953"/>
      <c r="R739" s="1954"/>
      <c r="S739" s="1954">
        <f t="shared" ref="S739:S742" si="477">P739*K739</f>
        <v>392325.12</v>
      </c>
      <c r="T739" s="1969">
        <f t="shared" ref="T739:T742" si="478">P739-S739</f>
        <v>68474.880000000005</v>
      </c>
      <c r="U739" s="2060"/>
      <c r="Z739" s="1956"/>
      <c r="AA739" s="1956"/>
      <c r="AF739" s="1836"/>
      <c r="AG739" s="1836"/>
      <c r="AH739" s="1836"/>
      <c r="AI739" s="1837"/>
      <c r="AJ739" s="1960"/>
    </row>
    <row r="740" spans="1:36" ht="21.95" customHeight="1" x14ac:dyDescent="0.2">
      <c r="B740" s="2045"/>
      <c r="C740" s="2046"/>
      <c r="D740" s="2047" t="str">
        <f>SNI!$E$390</f>
        <v>Pasir Beton</v>
      </c>
      <c r="E740" s="2047"/>
      <c r="F740" s="2048"/>
      <c r="G740" s="2049">
        <f>SNI!$H$390</f>
        <v>692</v>
      </c>
      <c r="H740" s="2050" t="str">
        <f>SNI!$G$390</f>
        <v>kg</v>
      </c>
      <c r="I740" s="2051"/>
      <c r="J740" s="2051"/>
      <c r="K740" s="2052">
        <f>SNI!$L$390</f>
        <v>1</v>
      </c>
      <c r="L740" s="2053"/>
      <c r="M740" s="2054"/>
      <c r="N740" s="2055">
        <f>SNI!$I$390</f>
        <v>185.71428571428572</v>
      </c>
      <c r="O740" s="2056"/>
      <c r="P740" s="1969">
        <f t="shared" si="476"/>
        <v>128514.28571428572</v>
      </c>
      <c r="Q740" s="1953"/>
      <c r="R740" s="1954"/>
      <c r="S740" s="1954">
        <f t="shared" si="477"/>
        <v>128514.28571428572</v>
      </c>
      <c r="T740" s="1969">
        <f t="shared" si="478"/>
        <v>0</v>
      </c>
      <c r="U740" s="2060"/>
      <c r="Z740" s="1956"/>
      <c r="AA740" s="1956"/>
      <c r="AF740" s="1836"/>
      <c r="AG740" s="1836"/>
      <c r="AH740" s="1836"/>
      <c r="AI740" s="1837"/>
      <c r="AJ740" s="1960"/>
    </row>
    <row r="741" spans="1:36" ht="21.95" customHeight="1" x14ac:dyDescent="0.2">
      <c r="B741" s="2045"/>
      <c r="C741" s="2046"/>
      <c r="D741" s="2047" t="str">
        <f>SNI!$E$391</f>
        <v>Kerikil ( maks 30 mm )</v>
      </c>
      <c r="E741" s="2047"/>
      <c r="F741" s="2048"/>
      <c r="G741" s="2049">
        <f>SNI!$H$391</f>
        <v>1039</v>
      </c>
      <c r="H741" s="2050" t="str">
        <f>SNI!$G$391</f>
        <v>kg</v>
      </c>
      <c r="I741" s="2051"/>
      <c r="J741" s="2051"/>
      <c r="K741" s="2052">
        <f>SNI!$L$391</f>
        <v>1</v>
      </c>
      <c r="L741" s="2053"/>
      <c r="M741" s="2054"/>
      <c r="N741" s="2055">
        <f>SNI!$I$391</f>
        <v>200</v>
      </c>
      <c r="O741" s="2056"/>
      <c r="P741" s="1969">
        <f t="shared" si="476"/>
        <v>207800</v>
      </c>
      <c r="Q741" s="1953"/>
      <c r="R741" s="1954"/>
      <c r="S741" s="1954">
        <f t="shared" si="477"/>
        <v>207800</v>
      </c>
      <c r="T741" s="1969">
        <f t="shared" si="478"/>
        <v>0</v>
      </c>
      <c r="U741" s="2060"/>
      <c r="Z741" s="1956"/>
      <c r="AA741" s="1956"/>
      <c r="AF741" s="1836"/>
      <c r="AG741" s="1836"/>
      <c r="AH741" s="1836"/>
      <c r="AI741" s="1837"/>
      <c r="AJ741" s="1960"/>
    </row>
    <row r="742" spans="1:36" ht="21.95" customHeight="1" x14ac:dyDescent="0.2">
      <c r="B742" s="2045"/>
      <c r="C742" s="2046"/>
      <c r="D742" s="2047" t="str">
        <f>SNI!$E$392</f>
        <v>Air</v>
      </c>
      <c r="E742" s="2047"/>
      <c r="F742" s="2048"/>
      <c r="G742" s="2049">
        <f>SNI!$H$392</f>
        <v>215</v>
      </c>
      <c r="H742" s="2050" t="str">
        <f>SNI!$G$392</f>
        <v>ltr</v>
      </c>
      <c r="I742" s="2051"/>
      <c r="J742" s="2051"/>
      <c r="K742" s="2052">
        <f>SNI!$L$392</f>
        <v>1</v>
      </c>
      <c r="L742" s="2053"/>
      <c r="M742" s="2054"/>
      <c r="N742" s="2055">
        <f>SNI!$I$392</f>
        <v>45</v>
      </c>
      <c r="O742" s="2056"/>
      <c r="P742" s="1969">
        <f t="shared" si="476"/>
        <v>9675</v>
      </c>
      <c r="Q742" s="1953"/>
      <c r="R742" s="1954"/>
      <c r="S742" s="1954">
        <f t="shared" si="477"/>
        <v>9675</v>
      </c>
      <c r="T742" s="1969">
        <f t="shared" si="478"/>
        <v>0</v>
      </c>
      <c r="U742" s="2060"/>
      <c r="Z742" s="1956"/>
      <c r="AA742" s="1956"/>
      <c r="AF742" s="1836"/>
      <c r="AG742" s="1836"/>
      <c r="AH742" s="1836"/>
      <c r="AI742" s="1837"/>
      <c r="AJ742" s="1960"/>
    </row>
    <row r="743" spans="1:36" ht="21.95" customHeight="1" x14ac:dyDescent="0.2">
      <c r="B743" s="2045"/>
      <c r="C743" s="2046" t="str">
        <f>SNI!$D$394</f>
        <v>Tenaga Kerja</v>
      </c>
      <c r="D743" s="2047"/>
      <c r="E743" s="2047"/>
      <c r="F743" s="2048"/>
      <c r="G743" s="2049"/>
      <c r="H743" s="2050"/>
      <c r="I743" s="2051"/>
      <c r="J743" s="2051"/>
      <c r="K743" s="2052"/>
      <c r="L743" s="2053"/>
      <c r="M743" s="2054"/>
      <c r="N743" s="2055"/>
      <c r="O743" s="2056"/>
      <c r="P743" s="1969"/>
      <c r="Q743" s="1953"/>
      <c r="R743" s="1954"/>
      <c r="S743" s="1954"/>
      <c r="T743" s="1969"/>
      <c r="U743" s="2060"/>
      <c r="Z743" s="1956"/>
      <c r="AA743" s="1956"/>
      <c r="AF743" s="1836"/>
      <c r="AG743" s="1836"/>
      <c r="AH743" s="1836"/>
      <c r="AI743" s="1837"/>
      <c r="AJ743" s="1960"/>
    </row>
    <row r="744" spans="1:36" ht="21.95" customHeight="1" x14ac:dyDescent="0.2">
      <c r="B744" s="2045"/>
      <c r="C744" s="2046"/>
      <c r="D744" s="2047" t="str">
        <f>SNI!$E$394</f>
        <v xml:space="preserve">Pekerja </v>
      </c>
      <c r="E744" s="2047"/>
      <c r="F744" s="2048"/>
      <c r="G744" s="2049">
        <f>SNI!$H$394</f>
        <v>1.65</v>
      </c>
      <c r="H744" s="2050" t="str">
        <f>SNI!$G$394</f>
        <v>OH</v>
      </c>
      <c r="I744" s="2051" t="str">
        <f>SNI!$M$394</f>
        <v>WNI</v>
      </c>
      <c r="J744" s="2051"/>
      <c r="K744" s="2052">
        <f>SNI!$L$394</f>
        <v>1</v>
      </c>
      <c r="L744" s="2053"/>
      <c r="M744" s="2054"/>
      <c r="N744" s="2055">
        <f>SNI!$I$394</f>
        <v>88300</v>
      </c>
      <c r="O744" s="2056"/>
      <c r="P744" s="1969">
        <f t="shared" ref="P744:P747" si="479">N744*G744</f>
        <v>145695</v>
      </c>
      <c r="Q744" s="1953"/>
      <c r="R744" s="1954"/>
      <c r="S744" s="1954">
        <f t="shared" ref="S744:S747" si="480">P744*K744</f>
        <v>145695</v>
      </c>
      <c r="T744" s="1969">
        <f t="shared" ref="T744:T747" si="481">P744-S744</f>
        <v>0</v>
      </c>
      <c r="U744" s="2060"/>
      <c r="Z744" s="1956"/>
      <c r="AA744" s="1956"/>
      <c r="AF744" s="1836"/>
      <c r="AG744" s="1836"/>
      <c r="AH744" s="1836"/>
      <c r="AI744" s="1837"/>
      <c r="AJ744" s="1960"/>
    </row>
    <row r="745" spans="1:36" ht="21.95" customHeight="1" x14ac:dyDescent="0.2">
      <c r="B745" s="2045"/>
      <c r="C745" s="2046"/>
      <c r="D745" s="2047" t="str">
        <f>SNI!$E$395</f>
        <v>Tukang Batu</v>
      </c>
      <c r="E745" s="2047"/>
      <c r="F745" s="2048"/>
      <c r="G745" s="2049">
        <f>SNI!$H$395</f>
        <v>0.27500000000000002</v>
      </c>
      <c r="H745" s="2050" t="str">
        <f>SNI!$G$395</f>
        <v>OH</v>
      </c>
      <c r="I745" s="2051" t="str">
        <f>SNI!$M$395</f>
        <v>WNI</v>
      </c>
      <c r="J745" s="2051"/>
      <c r="K745" s="2052">
        <f>SNI!$L$395</f>
        <v>1</v>
      </c>
      <c r="L745" s="2053"/>
      <c r="M745" s="2054"/>
      <c r="N745" s="2055">
        <f>SNI!$I$395</f>
        <v>90000</v>
      </c>
      <c r="O745" s="2056"/>
      <c r="P745" s="1969">
        <f t="shared" si="479"/>
        <v>24750.000000000004</v>
      </c>
      <c r="Q745" s="1953"/>
      <c r="R745" s="1954"/>
      <c r="S745" s="1954">
        <f t="shared" si="480"/>
        <v>24750.000000000004</v>
      </c>
      <c r="T745" s="1969">
        <f t="shared" si="481"/>
        <v>0</v>
      </c>
      <c r="U745" s="2060"/>
      <c r="Z745" s="1956"/>
      <c r="AA745" s="1956"/>
      <c r="AF745" s="1836"/>
      <c r="AG745" s="1836"/>
      <c r="AH745" s="1836"/>
      <c r="AI745" s="1837"/>
      <c r="AJ745" s="1960"/>
    </row>
    <row r="746" spans="1:36" ht="21.95" customHeight="1" x14ac:dyDescent="0.2">
      <c r="B746" s="2045"/>
      <c r="C746" s="2046"/>
      <c r="D746" s="2047" t="str">
        <f>SNI!$E$396</f>
        <v>Kepala Tukang</v>
      </c>
      <c r="E746" s="2047"/>
      <c r="F746" s="2048"/>
      <c r="G746" s="2049">
        <f>SNI!$H$396</f>
        <v>2.8000000000000001E-2</v>
      </c>
      <c r="H746" s="2050" t="str">
        <f>SNI!$G$396</f>
        <v>OH</v>
      </c>
      <c r="I746" s="2051" t="str">
        <f>SNI!$M$396</f>
        <v>WNI</v>
      </c>
      <c r="J746" s="2051"/>
      <c r="K746" s="2052">
        <f>SNI!$L$396</f>
        <v>1</v>
      </c>
      <c r="L746" s="2053"/>
      <c r="M746" s="2054"/>
      <c r="N746" s="2055">
        <f>SNI!$I$396</f>
        <v>96000</v>
      </c>
      <c r="O746" s="2056"/>
      <c r="P746" s="1969">
        <f t="shared" si="479"/>
        <v>2688</v>
      </c>
      <c r="Q746" s="1953"/>
      <c r="R746" s="1954"/>
      <c r="S746" s="1954">
        <f t="shared" si="480"/>
        <v>2688</v>
      </c>
      <c r="T746" s="1969">
        <f t="shared" si="481"/>
        <v>0</v>
      </c>
      <c r="U746" s="2060"/>
      <c r="Z746" s="1956"/>
      <c r="AA746" s="1956"/>
      <c r="AF746" s="1836"/>
      <c r="AG746" s="1836"/>
      <c r="AH746" s="1836"/>
      <c r="AI746" s="1837"/>
      <c r="AJ746" s="1960"/>
    </row>
    <row r="747" spans="1:36" ht="21.95" customHeight="1" x14ac:dyDescent="0.2">
      <c r="B747" s="2045"/>
      <c r="C747" s="2046"/>
      <c r="D747" s="2047" t="str">
        <f>SNI!$E$397</f>
        <v>Mandor</v>
      </c>
      <c r="E747" s="2047"/>
      <c r="F747" s="2048"/>
      <c r="G747" s="2049">
        <f>SNI!$H$397</f>
        <v>8.3000000000000004E-2</v>
      </c>
      <c r="H747" s="2050" t="str">
        <f>SNI!$G$397</f>
        <v>OH</v>
      </c>
      <c r="I747" s="2051" t="str">
        <f>SNI!$M$397</f>
        <v>WNI</v>
      </c>
      <c r="J747" s="2051"/>
      <c r="K747" s="2052">
        <f>SNI!$L$397</f>
        <v>1</v>
      </c>
      <c r="L747" s="2053"/>
      <c r="M747" s="2054"/>
      <c r="N747" s="2055">
        <f>SNI!$I$397</f>
        <v>90000</v>
      </c>
      <c r="O747" s="2056"/>
      <c r="P747" s="1969">
        <f t="shared" si="479"/>
        <v>7470</v>
      </c>
      <c r="Q747" s="1953"/>
      <c r="R747" s="1954"/>
      <c r="S747" s="1954">
        <f t="shared" si="480"/>
        <v>7470</v>
      </c>
      <c r="T747" s="1969">
        <f t="shared" si="481"/>
        <v>0</v>
      </c>
      <c r="U747" s="2060"/>
      <c r="Z747" s="1956"/>
      <c r="AA747" s="1956"/>
      <c r="AF747" s="1836"/>
      <c r="AG747" s="1836"/>
      <c r="AH747" s="1836"/>
      <c r="AI747" s="1837"/>
      <c r="AJ747" s="1960"/>
    </row>
    <row r="748" spans="1:36" s="1957" customFormat="1" ht="21.95" customHeight="1" x14ac:dyDescent="0.2">
      <c r="A748" s="1942"/>
      <c r="B748" s="1970"/>
      <c r="C748" s="1971"/>
      <c r="D748" s="1972"/>
      <c r="E748" s="1973"/>
      <c r="F748" s="1974" t="s">
        <v>556</v>
      </c>
      <c r="G748" s="1975">
        <f>B737</f>
        <v>19</v>
      </c>
      <c r="H748" s="1976"/>
      <c r="I748" s="1977"/>
      <c r="J748" s="1977"/>
      <c r="K748" s="1978"/>
      <c r="L748" s="1979"/>
      <c r="M748" s="1980"/>
      <c r="N748" s="1981"/>
      <c r="O748" s="1982"/>
      <c r="P748" s="1983">
        <f>SUM(P739:P747)</f>
        <v>987392.28571428568</v>
      </c>
      <c r="Q748" s="1984"/>
      <c r="R748" s="1985"/>
      <c r="S748" s="1983">
        <f>SUM(S739:S747)</f>
        <v>918917.40571428579</v>
      </c>
      <c r="T748" s="1983">
        <f>SUM(T739:T747)</f>
        <v>68474.880000000005</v>
      </c>
      <c r="U748" s="1986"/>
      <c r="V748" s="1848"/>
      <c r="W748" s="1848"/>
      <c r="X748" s="1848"/>
      <c r="Y748" s="1848"/>
      <c r="Z748" s="1956"/>
      <c r="AA748" s="1956"/>
      <c r="AF748" s="1958"/>
      <c r="AG748" s="1958"/>
      <c r="AH748" s="1958"/>
      <c r="AI748" s="1959"/>
      <c r="AJ748" s="1960"/>
    </row>
    <row r="749" spans="1:36" ht="21.95" customHeight="1" x14ac:dyDescent="0.2">
      <c r="A749" s="1833">
        <f>satpek!$B$41</f>
        <v>22</v>
      </c>
      <c r="B749" s="1943">
        <f>B737+1</f>
        <v>20</v>
      </c>
      <c r="C749" s="1937"/>
      <c r="D749" s="1944" t="str">
        <f>VLOOKUP($A749,satpek!$B$20:$N$144,2,0)</f>
        <v>Pembesian 1 kg dengan besi polos atau besi ulir</v>
      </c>
      <c r="E749" s="1944"/>
      <c r="F749" s="2004"/>
      <c r="G749" s="1945">
        <f>'[3]B.VOL RAB'!Q194</f>
        <v>210.41193788536071</v>
      </c>
      <c r="H749" s="1946" t="str">
        <f>VLOOKUP($A749,satpek!$B$20:$N$144,7,0)</f>
        <v>kg</v>
      </c>
      <c r="I749" s="1947"/>
      <c r="J749" s="1947"/>
      <c r="K749" s="1948"/>
      <c r="L749" s="1949"/>
      <c r="M749" s="1950" t="str">
        <f>VLOOKUP($A749,satpek!$B$20:$N$144,5,0)</f>
        <v>A.4.1.1.17.</v>
      </c>
      <c r="N749" s="1951">
        <f>VLOOKUP($A749,satpek!$B$20:$N$144,6,0)</f>
        <v>15603.94</v>
      </c>
      <c r="O749" s="1938"/>
      <c r="P749" s="1952">
        <f t="shared" si="475"/>
        <v>3283255.25</v>
      </c>
      <c r="Q749" s="1953">
        <f>VLOOKUP($A749,satpek!$B$20:$L$138,8,0)</f>
        <v>0.46415793062521393</v>
      </c>
      <c r="R749" s="1954">
        <f>VLOOKUP($A749,satpek!$B$20:$L$138,9,0)</f>
        <v>7242.692500000001</v>
      </c>
      <c r="S749" s="1954">
        <f>VLOOKUP($A749,satpek!$B$20:$L$138,10,0)</f>
        <v>8184.2425250000015</v>
      </c>
      <c r="T749" s="1952">
        <f>S749*G749</f>
        <v>1722062.329809028</v>
      </c>
      <c r="U749" s="1955"/>
      <c r="X749" s="1848">
        <f>P758</f>
        <v>13808.800000000001</v>
      </c>
      <c r="Y749" s="1848">
        <f>S758</f>
        <v>7242.6925000000001</v>
      </c>
      <c r="Z749" s="1956">
        <v>210.41193788536071</v>
      </c>
      <c r="AA749" s="1956">
        <f>Z749-G749</f>
        <v>0</v>
      </c>
      <c r="AB749" s="1836" t="s">
        <v>420</v>
      </c>
      <c r="AF749" s="1836"/>
      <c r="AG749" s="1836"/>
      <c r="AH749" s="1836"/>
      <c r="AI749" s="1837">
        <v>15438.06</v>
      </c>
      <c r="AJ749" s="1960">
        <f>AI749-N749</f>
        <v>-165.88000000000102</v>
      </c>
    </row>
    <row r="750" spans="1:36" ht="21.95" customHeight="1" x14ac:dyDescent="0.2">
      <c r="B750" s="2045"/>
      <c r="C750" s="2046" t="str">
        <f>SNI!$D$410</f>
        <v>Bahan</v>
      </c>
      <c r="D750" s="2047"/>
      <c r="E750" s="2047"/>
      <c r="F750" s="2048"/>
      <c r="G750" s="2049"/>
      <c r="H750" s="2050"/>
      <c r="I750" s="2051"/>
      <c r="J750" s="2051"/>
      <c r="K750" s="2052"/>
      <c r="L750" s="2053"/>
      <c r="M750" s="2054"/>
      <c r="N750" s="2055"/>
      <c r="O750" s="2056"/>
      <c r="P750" s="2057"/>
      <c r="Q750" s="2058"/>
      <c r="R750" s="2059"/>
      <c r="S750" s="2059"/>
      <c r="T750" s="2057"/>
      <c r="U750" s="2060"/>
      <c r="Z750" s="1956"/>
      <c r="AA750" s="1956"/>
      <c r="AF750" s="1836"/>
      <c r="AG750" s="1836"/>
      <c r="AH750" s="1836"/>
      <c r="AI750" s="1837"/>
      <c r="AJ750" s="1960"/>
    </row>
    <row r="751" spans="1:36" ht="21.95" customHeight="1" x14ac:dyDescent="0.2">
      <c r="B751" s="2045"/>
      <c r="C751" s="2046"/>
      <c r="D751" s="2047" t="str">
        <f>SNI!$E$410</f>
        <v>Besi Beton ( polos/ulir )</v>
      </c>
      <c r="E751" s="2047"/>
      <c r="F751" s="2048"/>
      <c r="G751" s="2049">
        <f>SNI!$H$410/10</f>
        <v>1.05</v>
      </c>
      <c r="H751" s="2050" t="str">
        <f>SNI!$G$410</f>
        <v>kg</v>
      </c>
      <c r="I751" s="2051"/>
      <c r="J751" s="2051"/>
      <c r="K751" s="2052">
        <f>SNI!$L$410</f>
        <v>0.4879</v>
      </c>
      <c r="L751" s="2053"/>
      <c r="M751" s="2054"/>
      <c r="N751" s="2055">
        <f>SNI!$I$410</f>
        <v>11500</v>
      </c>
      <c r="O751" s="2056"/>
      <c r="P751" s="1969">
        <f t="shared" ref="P751:P752" si="482">N751*G751</f>
        <v>12075</v>
      </c>
      <c r="Q751" s="1953"/>
      <c r="R751" s="1954"/>
      <c r="S751" s="1954">
        <f t="shared" ref="S751:S752" si="483">P751*K751</f>
        <v>5891.3924999999999</v>
      </c>
      <c r="T751" s="1969">
        <f t="shared" ref="T751:T752" si="484">P751-S751</f>
        <v>6183.6075000000001</v>
      </c>
      <c r="U751" s="2060"/>
      <c r="Z751" s="1956"/>
      <c r="AA751" s="1956"/>
      <c r="AF751" s="1836"/>
      <c r="AG751" s="1836"/>
      <c r="AH751" s="1836"/>
      <c r="AI751" s="1837"/>
      <c r="AJ751" s="1960"/>
    </row>
    <row r="752" spans="1:36" ht="21.95" customHeight="1" x14ac:dyDescent="0.2">
      <c r="B752" s="2045"/>
      <c r="C752" s="2046"/>
      <c r="D752" s="2047" t="str">
        <f>SNI!$E$411</f>
        <v>Kawat Beton</v>
      </c>
      <c r="E752" s="2047"/>
      <c r="F752" s="2048"/>
      <c r="G752" s="2049">
        <f>SNI!$H$411/10</f>
        <v>1.4999999999999999E-2</v>
      </c>
      <c r="H752" s="2050">
        <f>SNI!G944</f>
        <v>0</v>
      </c>
      <c r="I752" s="2051"/>
      <c r="J752" s="2051"/>
      <c r="K752" s="2052">
        <f>SNI!$L$411</f>
        <v>0</v>
      </c>
      <c r="L752" s="2053"/>
      <c r="M752" s="2054"/>
      <c r="N752" s="2055">
        <f>SNI!$I$411</f>
        <v>25500</v>
      </c>
      <c r="O752" s="2056"/>
      <c r="P752" s="1969">
        <f t="shared" si="482"/>
        <v>382.5</v>
      </c>
      <c r="Q752" s="1953"/>
      <c r="R752" s="1954"/>
      <c r="S752" s="1954">
        <f t="shared" si="483"/>
        <v>0</v>
      </c>
      <c r="T752" s="1969">
        <f t="shared" si="484"/>
        <v>382.5</v>
      </c>
      <c r="U752" s="2060"/>
      <c r="Z752" s="1956"/>
      <c r="AA752" s="1956"/>
      <c r="AF752" s="1836"/>
      <c r="AG752" s="1836"/>
      <c r="AH752" s="1836"/>
      <c r="AI752" s="1837"/>
      <c r="AJ752" s="1960"/>
    </row>
    <row r="753" spans="1:36" ht="21.95" customHeight="1" x14ac:dyDescent="0.2">
      <c r="B753" s="2045"/>
      <c r="C753" s="2046" t="str">
        <f>SNI!$D$413</f>
        <v>Tenaga Kerja</v>
      </c>
      <c r="D753" s="2047"/>
      <c r="E753" s="2047"/>
      <c r="F753" s="2048"/>
      <c r="G753" s="2049"/>
      <c r="H753" s="2050"/>
      <c r="I753" s="2051"/>
      <c r="J753" s="2051"/>
      <c r="K753" s="2052"/>
      <c r="L753" s="2053"/>
      <c r="M753" s="2054"/>
      <c r="N753" s="2055"/>
      <c r="O753" s="2056"/>
      <c r="P753" s="1969"/>
      <c r="Q753" s="1953"/>
      <c r="R753" s="1954"/>
      <c r="S753" s="1954"/>
      <c r="T753" s="1969"/>
      <c r="U753" s="2060"/>
      <c r="Z753" s="1956"/>
      <c r="AA753" s="1956"/>
      <c r="AF753" s="1836"/>
      <c r="AG753" s="1836"/>
      <c r="AH753" s="1836"/>
      <c r="AI753" s="1837"/>
      <c r="AJ753" s="1960"/>
    </row>
    <row r="754" spans="1:36" ht="21.95" customHeight="1" x14ac:dyDescent="0.2">
      <c r="B754" s="2045"/>
      <c r="C754" s="2046"/>
      <c r="D754" s="2047" t="str">
        <f>SNI!$E$413</f>
        <v xml:space="preserve">Pekerja </v>
      </c>
      <c r="E754" s="2047"/>
      <c r="F754" s="2048"/>
      <c r="G754" s="2049">
        <f>SNI!$H$413/10</f>
        <v>7.000000000000001E-3</v>
      </c>
      <c r="H754" s="2050" t="str">
        <f>SNI!$G$413</f>
        <v>OH</v>
      </c>
      <c r="I754" s="2051" t="str">
        <f>SNI!$M$413</f>
        <v>WNI</v>
      </c>
      <c r="J754" s="2051"/>
      <c r="K754" s="2052">
        <f>SNI!$L$413</f>
        <v>1</v>
      </c>
      <c r="L754" s="2053"/>
      <c r="M754" s="2054"/>
      <c r="N754" s="2055">
        <f>SNI!$I$413</f>
        <v>88300</v>
      </c>
      <c r="O754" s="2056"/>
      <c r="P754" s="1969">
        <f t="shared" ref="P754:P757" si="485">N754*G754</f>
        <v>618.10000000000014</v>
      </c>
      <c r="Q754" s="1953"/>
      <c r="R754" s="1954"/>
      <c r="S754" s="1954">
        <f t="shared" ref="S754:S757" si="486">P754*K754</f>
        <v>618.10000000000014</v>
      </c>
      <c r="T754" s="1969">
        <f t="shared" ref="T754:T757" si="487">P754-S754</f>
        <v>0</v>
      </c>
      <c r="U754" s="2060"/>
      <c r="Z754" s="1956"/>
      <c r="AA754" s="1956"/>
      <c r="AF754" s="1836"/>
      <c r="AG754" s="1836"/>
      <c r="AH754" s="1836"/>
      <c r="AI754" s="1837"/>
      <c r="AJ754" s="1960"/>
    </row>
    <row r="755" spans="1:36" ht="21.95" customHeight="1" x14ac:dyDescent="0.2">
      <c r="B755" s="2045"/>
      <c r="C755" s="2046"/>
      <c r="D755" s="2047" t="str">
        <f>SNI!$E$414</f>
        <v>Tukang Besi</v>
      </c>
      <c r="E755" s="2047"/>
      <c r="F755" s="2048"/>
      <c r="G755" s="2049">
        <f>SNI!$H$414/10</f>
        <v>7.000000000000001E-3</v>
      </c>
      <c r="H755" s="2050" t="str">
        <f>SNI!$G$414</f>
        <v>OH</v>
      </c>
      <c r="I755" s="2051" t="str">
        <f>SNI!$M$414</f>
        <v>WNI</v>
      </c>
      <c r="J755" s="2051"/>
      <c r="K755" s="2052">
        <f>SNI!$L$414</f>
        <v>1</v>
      </c>
      <c r="L755" s="2053"/>
      <c r="M755" s="2054"/>
      <c r="N755" s="2055">
        <f>SNI!$I$414</f>
        <v>90000</v>
      </c>
      <c r="O755" s="2056"/>
      <c r="P755" s="1969">
        <f t="shared" si="485"/>
        <v>630.00000000000011</v>
      </c>
      <c r="Q755" s="1953"/>
      <c r="R755" s="1954"/>
      <c r="S755" s="1954">
        <f t="shared" si="486"/>
        <v>630.00000000000011</v>
      </c>
      <c r="T755" s="1969">
        <f t="shared" si="487"/>
        <v>0</v>
      </c>
      <c r="U755" s="2060"/>
      <c r="Z755" s="1956"/>
      <c r="AA755" s="1956"/>
      <c r="AF755" s="1836"/>
      <c r="AG755" s="1836"/>
      <c r="AH755" s="1836"/>
      <c r="AI755" s="1837"/>
      <c r="AJ755" s="1960"/>
    </row>
    <row r="756" spans="1:36" ht="21.95" customHeight="1" x14ac:dyDescent="0.2">
      <c r="B756" s="2045"/>
      <c r="C756" s="2046"/>
      <c r="D756" s="2047" t="str">
        <f>SNI!$E$415</f>
        <v>Kepala Tukang</v>
      </c>
      <c r="E756" s="2047"/>
      <c r="F756" s="2048"/>
      <c r="G756" s="2049">
        <f>SNI!$H$415/10</f>
        <v>6.9999999999999999E-4</v>
      </c>
      <c r="H756" s="2050" t="str">
        <f>SNI!$G$415</f>
        <v>OH</v>
      </c>
      <c r="I756" s="2051" t="str">
        <f>SNI!$M$415</f>
        <v>WNI</v>
      </c>
      <c r="J756" s="2051"/>
      <c r="K756" s="2052">
        <f>SNI!$L$415</f>
        <v>1</v>
      </c>
      <c r="L756" s="2053"/>
      <c r="M756" s="2054"/>
      <c r="N756" s="2055">
        <f>SNI!$I$415</f>
        <v>96000</v>
      </c>
      <c r="O756" s="2056"/>
      <c r="P756" s="1969">
        <f t="shared" si="485"/>
        <v>67.2</v>
      </c>
      <c r="Q756" s="1953"/>
      <c r="R756" s="1954"/>
      <c r="S756" s="1954">
        <f t="shared" si="486"/>
        <v>67.2</v>
      </c>
      <c r="T756" s="1969">
        <f t="shared" si="487"/>
        <v>0</v>
      </c>
      <c r="U756" s="2060"/>
      <c r="Z756" s="1956"/>
      <c r="AA756" s="1956"/>
      <c r="AF756" s="1836"/>
      <c r="AG756" s="1836"/>
      <c r="AH756" s="1836"/>
      <c r="AI756" s="1837"/>
      <c r="AJ756" s="1960"/>
    </row>
    <row r="757" spans="1:36" ht="21.95" customHeight="1" x14ac:dyDescent="0.2">
      <c r="B757" s="2045"/>
      <c r="C757" s="2046"/>
      <c r="D757" s="2047" t="str">
        <f>SNI!$E$416</f>
        <v>Mandor</v>
      </c>
      <c r="E757" s="2047"/>
      <c r="F757" s="2048"/>
      <c r="G757" s="2049">
        <f>SNI!$H$416/10</f>
        <v>4.0000000000000002E-4</v>
      </c>
      <c r="H757" s="2050" t="str">
        <f>SNI!$G$416</f>
        <v>OH</v>
      </c>
      <c r="I757" s="2051" t="str">
        <f>SNI!$M$416</f>
        <v>WNI</v>
      </c>
      <c r="J757" s="2051"/>
      <c r="K757" s="2052">
        <f>SNI!$L$416</f>
        <v>1</v>
      </c>
      <c r="L757" s="2053"/>
      <c r="M757" s="2054"/>
      <c r="N757" s="2055">
        <f>SNI!$I$416</f>
        <v>90000</v>
      </c>
      <c r="O757" s="2056"/>
      <c r="P757" s="1969">
        <f t="shared" si="485"/>
        <v>36</v>
      </c>
      <c r="Q757" s="1953"/>
      <c r="R757" s="1954"/>
      <c r="S757" s="1954">
        <f t="shared" si="486"/>
        <v>36</v>
      </c>
      <c r="T757" s="1969">
        <f t="shared" si="487"/>
        <v>0</v>
      </c>
      <c r="U757" s="2060"/>
      <c r="Z757" s="1956"/>
      <c r="AA757" s="1956"/>
      <c r="AF757" s="1836"/>
      <c r="AG757" s="1836"/>
      <c r="AH757" s="1836"/>
      <c r="AI757" s="1837"/>
      <c r="AJ757" s="1960"/>
    </row>
    <row r="758" spans="1:36" s="1957" customFormat="1" ht="21.95" customHeight="1" x14ac:dyDescent="0.2">
      <c r="A758" s="1942"/>
      <c r="B758" s="1970"/>
      <c r="C758" s="1971"/>
      <c r="D758" s="1972"/>
      <c r="E758" s="1973"/>
      <c r="F758" s="1974" t="s">
        <v>556</v>
      </c>
      <c r="G758" s="1975">
        <f>B749</f>
        <v>20</v>
      </c>
      <c r="H758" s="1976"/>
      <c r="I758" s="1977"/>
      <c r="J758" s="1977"/>
      <c r="K758" s="1978"/>
      <c r="L758" s="1979"/>
      <c r="M758" s="1980"/>
      <c r="N758" s="1981"/>
      <c r="O758" s="1982"/>
      <c r="P758" s="1983">
        <f>SUM(P751:P757)</f>
        <v>13808.800000000001</v>
      </c>
      <c r="Q758" s="1984"/>
      <c r="R758" s="1985"/>
      <c r="S758" s="1983">
        <f t="shared" ref="S758" si="488">SUM(S751:S757)</f>
        <v>7242.6925000000001</v>
      </c>
      <c r="T758" s="1983">
        <f t="shared" ref="T758" si="489">SUM(T751:T757)</f>
        <v>6566.1075000000001</v>
      </c>
      <c r="U758" s="1986"/>
      <c r="V758" s="1848"/>
      <c r="W758" s="1848"/>
      <c r="X758" s="1848"/>
      <c r="Y758" s="1848"/>
      <c r="Z758" s="1956"/>
      <c r="AA758" s="1956"/>
      <c r="AF758" s="1958"/>
      <c r="AG758" s="1958"/>
      <c r="AH758" s="1958"/>
      <c r="AI758" s="1959"/>
      <c r="AJ758" s="1960"/>
    </row>
    <row r="759" spans="1:36" ht="21.95" customHeight="1" x14ac:dyDescent="0.2">
      <c r="A759" s="1833">
        <f>satpek!$B$46</f>
        <v>27</v>
      </c>
      <c r="B759" s="1943">
        <f>B749+1</f>
        <v>21</v>
      </c>
      <c r="C759" s="1937"/>
      <c r="D759" s="1944" t="str">
        <f>VLOOKUP($A759,satpek!$B$20:$N$144,2,0)</f>
        <v>Memasang bekisting untuk lantai (2x pakai)</v>
      </c>
      <c r="E759" s="1944"/>
      <c r="F759" s="2004"/>
      <c r="G759" s="1945">
        <f>'[3]B.VOL RAB'!Q197</f>
        <v>18.216000000000001</v>
      </c>
      <c r="H759" s="1946" t="str">
        <f>VLOOKUP($A759,satpek!$B$20:$N$144,7,0)</f>
        <v>m2</v>
      </c>
      <c r="I759" s="1947"/>
      <c r="J759" s="1947"/>
      <c r="K759" s="1948"/>
      <c r="L759" s="1949"/>
      <c r="M759" s="1950" t="str">
        <f>VLOOKUP($A759,satpek!$B$20:$N$144,5,0)</f>
        <v>A.4.1.1.24</v>
      </c>
      <c r="N759" s="1951">
        <f>VLOOKUP($A759,satpek!$B$20:$N$144,6,0)</f>
        <v>242900.28</v>
      </c>
      <c r="O759" s="1938"/>
      <c r="P759" s="1952">
        <f t="shared" si="475"/>
        <v>4424671.5</v>
      </c>
      <c r="Q759" s="1953">
        <f>VLOOKUP($A759,satpek!$B$20:$L$138,8,0)</f>
        <v>0.76655687675617334</v>
      </c>
      <c r="R759" s="1954">
        <f>VLOOKUP($A759,satpek!$B$20:$L$138,9,0)</f>
        <v>164776</v>
      </c>
      <c r="S759" s="1954">
        <f>VLOOKUP($A759,satpek!$B$20:$L$138,10,0)</f>
        <v>186196.88</v>
      </c>
      <c r="T759" s="1952">
        <f>S759*G759</f>
        <v>3391762.3660800001</v>
      </c>
      <c r="U759" s="1955"/>
      <c r="X759" s="1848">
        <f>P773</f>
        <v>214956</v>
      </c>
      <c r="Y759" s="1848">
        <f>S773</f>
        <v>164776</v>
      </c>
      <c r="Z759" s="1956">
        <v>18.216000000000001</v>
      </c>
      <c r="AA759" s="1956">
        <f>Z759-G759</f>
        <v>0</v>
      </c>
      <c r="AB759" s="1836" t="s">
        <v>1910</v>
      </c>
      <c r="AF759" s="1836"/>
      <c r="AG759" s="1836"/>
      <c r="AH759" s="1836"/>
      <c r="AI759" s="1837">
        <v>220331.91999999998</v>
      </c>
      <c r="AJ759" s="1960">
        <f>AI759-N759</f>
        <v>-22568.360000000015</v>
      </c>
    </row>
    <row r="760" spans="1:36" ht="21.95" customHeight="1" x14ac:dyDescent="0.2">
      <c r="B760" s="2045"/>
      <c r="C760" s="2046" t="str">
        <f>SNI!$D$522</f>
        <v>Bahan</v>
      </c>
      <c r="D760" s="2047"/>
      <c r="E760" s="2047"/>
      <c r="F760" s="2048"/>
      <c r="G760" s="2049"/>
      <c r="H760" s="2050"/>
      <c r="I760" s="2051"/>
      <c r="J760" s="2051"/>
      <c r="K760" s="2052"/>
      <c r="L760" s="2053"/>
      <c r="M760" s="2054"/>
      <c r="N760" s="2055"/>
      <c r="O760" s="2056"/>
      <c r="P760" s="2057"/>
      <c r="Q760" s="2058"/>
      <c r="R760" s="2059"/>
      <c r="S760" s="2059"/>
      <c r="T760" s="2055"/>
      <c r="U760" s="2060"/>
      <c r="Z760" s="1956"/>
      <c r="AA760" s="1956"/>
      <c r="AF760" s="1836"/>
      <c r="AG760" s="1836"/>
      <c r="AH760" s="1836"/>
      <c r="AI760" s="1837"/>
      <c r="AJ760" s="1960"/>
    </row>
    <row r="761" spans="1:36" ht="21.95" customHeight="1" x14ac:dyDescent="0.2">
      <c r="B761" s="2045"/>
      <c r="C761" s="2046"/>
      <c r="D761" s="2047" t="str">
        <f>SNI!$E$522</f>
        <v>Kayu kelas III</v>
      </c>
      <c r="E761" s="2047"/>
      <c r="F761" s="2048"/>
      <c r="G761" s="2049">
        <f>SNI!$H$522</f>
        <v>0.02</v>
      </c>
      <c r="H761" s="2050" t="str">
        <f>SNI!$G$522</f>
        <v>m3</v>
      </c>
      <c r="I761" s="2051"/>
      <c r="J761" s="2051"/>
      <c r="K761" s="2052">
        <f>SNI!$L$522</f>
        <v>1</v>
      </c>
      <c r="L761" s="2053"/>
      <c r="M761" s="2054"/>
      <c r="N761" s="2055">
        <f>SNI!$I$522</f>
        <v>1100000</v>
      </c>
      <c r="O761" s="2056"/>
      <c r="P761" s="1969">
        <f t="shared" ref="P761:P766" si="490">N761*G761</f>
        <v>22000</v>
      </c>
      <c r="Q761" s="1953"/>
      <c r="R761" s="1954"/>
      <c r="S761" s="1954">
        <f t="shared" ref="S761:S766" si="491">P761*K761</f>
        <v>22000</v>
      </c>
      <c r="T761" s="1969">
        <f t="shared" ref="T761:T766" si="492">P761-S761</f>
        <v>0</v>
      </c>
      <c r="U761" s="2060"/>
      <c r="Z761" s="1956"/>
      <c r="AA761" s="1956"/>
      <c r="AF761" s="1836"/>
      <c r="AG761" s="1836"/>
      <c r="AH761" s="1836"/>
      <c r="AI761" s="1837"/>
      <c r="AJ761" s="1960"/>
    </row>
    <row r="762" spans="1:36" ht="21.95" customHeight="1" x14ac:dyDescent="0.2">
      <c r="B762" s="2045"/>
      <c r="C762" s="2046"/>
      <c r="D762" s="2047" t="str">
        <f>SNI!$E$523</f>
        <v>Paku 5 cm - 12 cm</v>
      </c>
      <c r="E762" s="2047"/>
      <c r="F762" s="2048"/>
      <c r="G762" s="2049">
        <f>SNI!$H$523</f>
        <v>0.4</v>
      </c>
      <c r="H762" s="2050" t="str">
        <f>SNI!$G$523</f>
        <v>kg</v>
      </c>
      <c r="I762" s="2051"/>
      <c r="J762" s="2051"/>
      <c r="K762" s="2052">
        <f>SNI!$L$523</f>
        <v>0</v>
      </c>
      <c r="L762" s="2053"/>
      <c r="M762" s="2054"/>
      <c r="N762" s="2055">
        <f>SNI!$I$523</f>
        <v>17000</v>
      </c>
      <c r="O762" s="2056"/>
      <c r="P762" s="1969">
        <f t="shared" si="490"/>
        <v>6800</v>
      </c>
      <c r="Q762" s="1953"/>
      <c r="R762" s="1954"/>
      <c r="S762" s="1954">
        <f t="shared" si="491"/>
        <v>0</v>
      </c>
      <c r="T762" s="1969">
        <f t="shared" si="492"/>
        <v>6800</v>
      </c>
      <c r="U762" s="2060"/>
      <c r="Z762" s="1956"/>
      <c r="AA762" s="1956"/>
      <c r="AF762" s="1836"/>
      <c r="AG762" s="1836"/>
      <c r="AH762" s="1836"/>
      <c r="AI762" s="1837"/>
      <c r="AJ762" s="1960"/>
    </row>
    <row r="763" spans="1:36" ht="21.95" customHeight="1" x14ac:dyDescent="0.2">
      <c r="B763" s="2045"/>
      <c r="C763" s="2046"/>
      <c r="D763" s="2047" t="str">
        <f>SNI!$E$524</f>
        <v>Minyak Bekisting</v>
      </c>
      <c r="E763" s="2047"/>
      <c r="F763" s="2048"/>
      <c r="G763" s="2049">
        <f>SNI!$H$524</f>
        <v>0.2</v>
      </c>
      <c r="H763" s="2050" t="str">
        <f>SNI!$G$524</f>
        <v>ltr</v>
      </c>
      <c r="I763" s="2051"/>
      <c r="J763" s="2051"/>
      <c r="K763" s="2052">
        <f>SNI!$L$524</f>
        <v>0</v>
      </c>
      <c r="L763" s="2053"/>
      <c r="M763" s="2054"/>
      <c r="N763" s="2055">
        <f>SNI!$I$524</f>
        <v>6900</v>
      </c>
      <c r="O763" s="2056"/>
      <c r="P763" s="1969">
        <f t="shared" si="490"/>
        <v>1380</v>
      </c>
      <c r="Q763" s="1953"/>
      <c r="R763" s="1954"/>
      <c r="S763" s="1954">
        <f t="shared" si="491"/>
        <v>0</v>
      </c>
      <c r="T763" s="1969">
        <f t="shared" si="492"/>
        <v>1380</v>
      </c>
      <c r="U763" s="2060"/>
      <c r="Z763" s="1956"/>
      <c r="AA763" s="1956"/>
      <c r="AF763" s="1836"/>
      <c r="AG763" s="1836"/>
      <c r="AH763" s="1836"/>
      <c r="AI763" s="1837"/>
      <c r="AJ763" s="1960"/>
    </row>
    <row r="764" spans="1:36" ht="21.95" customHeight="1" x14ac:dyDescent="0.2">
      <c r="B764" s="2045"/>
      <c r="C764" s="2046"/>
      <c r="D764" s="2047" t="str">
        <f>SNI!$E$525</f>
        <v>Balok kayu kelas II</v>
      </c>
      <c r="E764" s="2047"/>
      <c r="F764" s="2048"/>
      <c r="G764" s="2049">
        <f>SNI!$H$525</f>
        <v>7.4999999999999997E-3</v>
      </c>
      <c r="H764" s="2050" t="str">
        <f>SNI!$G$525</f>
        <v>m3</v>
      </c>
      <c r="I764" s="2051"/>
      <c r="J764" s="2051"/>
      <c r="K764" s="2052">
        <f>SNI!$L$525</f>
        <v>1</v>
      </c>
      <c r="L764" s="2053"/>
      <c r="M764" s="2054"/>
      <c r="N764" s="2055">
        <f>SNI!$I$525</f>
        <v>1600000</v>
      </c>
      <c r="O764" s="2056"/>
      <c r="P764" s="1969">
        <f t="shared" si="490"/>
        <v>12000</v>
      </c>
      <c r="Q764" s="1953"/>
      <c r="R764" s="1954"/>
      <c r="S764" s="1954">
        <f t="shared" si="491"/>
        <v>12000</v>
      </c>
      <c r="T764" s="1969">
        <f t="shared" si="492"/>
        <v>0</v>
      </c>
      <c r="U764" s="2060"/>
      <c r="Z764" s="1956"/>
      <c r="AA764" s="1956"/>
      <c r="AF764" s="1836"/>
      <c r="AG764" s="1836"/>
      <c r="AH764" s="1836"/>
      <c r="AI764" s="1837"/>
      <c r="AJ764" s="1960"/>
    </row>
    <row r="765" spans="1:36" ht="21.95" customHeight="1" x14ac:dyDescent="0.2">
      <c r="B765" s="2045"/>
      <c r="C765" s="2046"/>
      <c r="D765" s="2047" t="str">
        <f>SNI!$E$526</f>
        <v>Plywood tebal 9 mm</v>
      </c>
      <c r="E765" s="2047"/>
      <c r="F765" s="2048"/>
      <c r="G765" s="2049">
        <f>SNI!$H$526</f>
        <v>0.35</v>
      </c>
      <c r="H765" s="2050" t="str">
        <f>SNI!$G$526</f>
        <v>lbr</v>
      </c>
      <c r="I765" s="2051"/>
      <c r="J765" s="2051"/>
      <c r="K765" s="2052">
        <f>SNI!$L$526</f>
        <v>0</v>
      </c>
      <c r="L765" s="2053"/>
      <c r="M765" s="2054"/>
      <c r="N765" s="2055">
        <f>SNI!$I$526</f>
        <v>120000</v>
      </c>
      <c r="O765" s="2056"/>
      <c r="P765" s="1969">
        <f t="shared" si="490"/>
        <v>42000</v>
      </c>
      <c r="Q765" s="1953"/>
      <c r="R765" s="1954"/>
      <c r="S765" s="1954">
        <f t="shared" si="491"/>
        <v>0</v>
      </c>
      <c r="T765" s="1969">
        <f t="shared" si="492"/>
        <v>42000</v>
      </c>
      <c r="U765" s="2060"/>
      <c r="Z765" s="1956"/>
      <c r="AA765" s="1956"/>
      <c r="AF765" s="1836"/>
      <c r="AG765" s="1836"/>
      <c r="AH765" s="1836"/>
      <c r="AI765" s="1837"/>
      <c r="AJ765" s="1960"/>
    </row>
    <row r="766" spans="1:36" ht="21.95" customHeight="1" x14ac:dyDescent="0.2">
      <c r="B766" s="2045"/>
      <c r="C766" s="2046"/>
      <c r="D766" s="2047" t="str">
        <f>SNI!$E$527</f>
        <v>Dolken kayu galam,</v>
      </c>
      <c r="E766" s="2047"/>
      <c r="F766" s="2048"/>
      <c r="G766" s="2049">
        <f>SNI!$H$527</f>
        <v>3</v>
      </c>
      <c r="H766" s="2050" t="str">
        <f>SNI!$G$527</f>
        <v>btg</v>
      </c>
      <c r="I766" s="2051"/>
      <c r="J766" s="2051"/>
      <c r="K766" s="2052">
        <f>SNI!$L$527</f>
        <v>1</v>
      </c>
      <c r="L766" s="2053"/>
      <c r="M766" s="2054"/>
      <c r="N766" s="2055">
        <f>SNI!$I$527</f>
        <v>12000</v>
      </c>
      <c r="O766" s="2056"/>
      <c r="P766" s="1969">
        <f t="shared" si="490"/>
        <v>36000</v>
      </c>
      <c r="Q766" s="1953"/>
      <c r="R766" s="1954"/>
      <c r="S766" s="1954">
        <f t="shared" si="491"/>
        <v>36000</v>
      </c>
      <c r="T766" s="1969">
        <f t="shared" si="492"/>
        <v>0</v>
      </c>
      <c r="U766" s="2060"/>
      <c r="Z766" s="1956"/>
      <c r="AA766" s="1956"/>
      <c r="AF766" s="1836"/>
      <c r="AG766" s="1836"/>
      <c r="AH766" s="1836"/>
      <c r="AI766" s="1837"/>
      <c r="AJ766" s="1960"/>
    </row>
    <row r="767" spans="1:36" ht="21.95" customHeight="1" x14ac:dyDescent="0.2">
      <c r="B767" s="2045"/>
      <c r="C767" s="2046"/>
      <c r="D767" s="2047" t="str">
        <f>SNI!$E$528</f>
        <v>Ø (8 - 10) cm, panj 4 m</v>
      </c>
      <c r="E767" s="2047"/>
      <c r="F767" s="2048"/>
      <c r="G767" s="2049"/>
      <c r="H767" s="2050"/>
      <c r="I767" s="2051"/>
      <c r="J767" s="2051"/>
      <c r="K767" s="2052"/>
      <c r="L767" s="2053"/>
      <c r="M767" s="2054"/>
      <c r="N767" s="2055"/>
      <c r="O767" s="2056"/>
      <c r="P767" s="1969"/>
      <c r="Q767" s="1953"/>
      <c r="R767" s="1954"/>
      <c r="S767" s="1954"/>
      <c r="T767" s="1969"/>
      <c r="U767" s="2060"/>
      <c r="Z767" s="1956"/>
      <c r="AA767" s="1956"/>
      <c r="AF767" s="1836"/>
      <c r="AG767" s="1836"/>
      <c r="AH767" s="1836"/>
      <c r="AI767" s="1837"/>
      <c r="AJ767" s="1960"/>
    </row>
    <row r="768" spans="1:36" ht="21.95" customHeight="1" x14ac:dyDescent="0.2">
      <c r="B768" s="2045"/>
      <c r="C768" s="2046" t="str">
        <f>SNI!$D$530</f>
        <v>Tenaga Kerja</v>
      </c>
      <c r="D768" s="2047"/>
      <c r="E768" s="2047"/>
      <c r="F768" s="2048"/>
      <c r="G768" s="2049"/>
      <c r="H768" s="2050"/>
      <c r="I768" s="2051"/>
      <c r="J768" s="2051"/>
      <c r="K768" s="2052"/>
      <c r="L768" s="2053"/>
      <c r="M768" s="2054"/>
      <c r="N768" s="2055"/>
      <c r="O768" s="2056"/>
      <c r="P768" s="1969"/>
      <c r="Q768" s="1953"/>
      <c r="R768" s="1954"/>
      <c r="S768" s="1954"/>
      <c r="T768" s="1969"/>
      <c r="U768" s="2060"/>
      <c r="Z768" s="1956"/>
      <c r="AA768" s="1956"/>
      <c r="AF768" s="1836"/>
      <c r="AG768" s="1836"/>
      <c r="AH768" s="1836"/>
      <c r="AI768" s="1837"/>
      <c r="AJ768" s="1960"/>
    </row>
    <row r="769" spans="1:36" ht="21.95" customHeight="1" x14ac:dyDescent="0.2">
      <c r="B769" s="2045"/>
      <c r="C769" s="2046"/>
      <c r="D769" s="2047" t="str">
        <f>SNI!$E$530</f>
        <v xml:space="preserve">Pekerja </v>
      </c>
      <c r="E769" s="2047"/>
      <c r="F769" s="2048"/>
      <c r="G769" s="2049">
        <f>SNI!$H$530</f>
        <v>0.66</v>
      </c>
      <c r="H769" s="2050" t="str">
        <f>SNI!$G$530</f>
        <v>OH</v>
      </c>
      <c r="I769" s="2051" t="str">
        <f>SNI!$M$530</f>
        <v>WNI</v>
      </c>
      <c r="J769" s="2051"/>
      <c r="K769" s="2052">
        <f>SNI!$L$530</f>
        <v>1</v>
      </c>
      <c r="L769" s="2053"/>
      <c r="M769" s="2054"/>
      <c r="N769" s="2055">
        <f>SNI!$I$530</f>
        <v>88300</v>
      </c>
      <c r="O769" s="2056"/>
      <c r="P769" s="1969">
        <f t="shared" ref="P769:P772" si="493">N769*G769</f>
        <v>58278</v>
      </c>
      <c r="Q769" s="1953"/>
      <c r="R769" s="1954"/>
      <c r="S769" s="1954">
        <f t="shared" ref="S769:S772" si="494">P769*K769</f>
        <v>58278</v>
      </c>
      <c r="T769" s="1969">
        <f t="shared" ref="T769:T772" si="495">P769-S769</f>
        <v>0</v>
      </c>
      <c r="U769" s="2060"/>
      <c r="Z769" s="1956"/>
      <c r="AA769" s="1956"/>
      <c r="AF769" s="1836"/>
      <c r="AG769" s="1836"/>
      <c r="AH769" s="1836"/>
      <c r="AI769" s="1837"/>
      <c r="AJ769" s="1960"/>
    </row>
    <row r="770" spans="1:36" ht="21.95" customHeight="1" x14ac:dyDescent="0.2">
      <c r="B770" s="2045"/>
      <c r="C770" s="2046"/>
      <c r="D770" s="2047" t="str">
        <f>SNI!$E$531</f>
        <v>Tukang Kayu</v>
      </c>
      <c r="E770" s="2047"/>
      <c r="F770" s="2048"/>
      <c r="G770" s="2049">
        <f>SNI!$H$531</f>
        <v>0.33</v>
      </c>
      <c r="H770" s="2050" t="str">
        <f>SNI!$G$531</f>
        <v>OH</v>
      </c>
      <c r="I770" s="2051" t="str">
        <f>SNI!$M$531</f>
        <v>WNI</v>
      </c>
      <c r="J770" s="2051"/>
      <c r="K770" s="2052">
        <f>SNI!$L$531</f>
        <v>1</v>
      </c>
      <c r="L770" s="2053"/>
      <c r="M770" s="2054"/>
      <c r="N770" s="2055">
        <f>SNI!$I$531</f>
        <v>92000</v>
      </c>
      <c r="O770" s="2056"/>
      <c r="P770" s="1969">
        <f t="shared" si="493"/>
        <v>30360</v>
      </c>
      <c r="Q770" s="1953"/>
      <c r="R770" s="1954"/>
      <c r="S770" s="1954">
        <f t="shared" si="494"/>
        <v>30360</v>
      </c>
      <c r="T770" s="1969">
        <f t="shared" si="495"/>
        <v>0</v>
      </c>
      <c r="U770" s="2060"/>
      <c r="Z770" s="1956"/>
      <c r="AA770" s="1956"/>
      <c r="AF770" s="1836"/>
      <c r="AG770" s="1836"/>
      <c r="AH770" s="1836"/>
      <c r="AI770" s="1837"/>
      <c r="AJ770" s="1960"/>
    </row>
    <row r="771" spans="1:36" ht="21.95" customHeight="1" x14ac:dyDescent="0.2">
      <c r="B771" s="2045"/>
      <c r="C771" s="2046"/>
      <c r="D771" s="2047" t="str">
        <f>SNI!$E$532</f>
        <v>Kepala Tukang</v>
      </c>
      <c r="E771" s="2047"/>
      <c r="F771" s="2048"/>
      <c r="G771" s="2049">
        <f>SNI!$H$532</f>
        <v>3.3000000000000002E-2</v>
      </c>
      <c r="H771" s="2050" t="str">
        <f>SNI!$G$532</f>
        <v>OH</v>
      </c>
      <c r="I771" s="2051" t="str">
        <f>SNI!$M$532</f>
        <v>WNI</v>
      </c>
      <c r="J771" s="2051"/>
      <c r="K771" s="2052">
        <f>SNI!$L$532</f>
        <v>1</v>
      </c>
      <c r="L771" s="2053"/>
      <c r="M771" s="2054"/>
      <c r="N771" s="2055">
        <f>SNI!$I$532</f>
        <v>96000</v>
      </c>
      <c r="O771" s="2056"/>
      <c r="P771" s="1969">
        <f t="shared" si="493"/>
        <v>3168</v>
      </c>
      <c r="Q771" s="1953"/>
      <c r="R771" s="1954"/>
      <c r="S771" s="1954">
        <f t="shared" si="494"/>
        <v>3168</v>
      </c>
      <c r="T771" s="1969">
        <f t="shared" si="495"/>
        <v>0</v>
      </c>
      <c r="U771" s="2060"/>
      <c r="Z771" s="1956"/>
      <c r="AA771" s="1956"/>
      <c r="AF771" s="1836"/>
      <c r="AG771" s="1836"/>
      <c r="AH771" s="1836"/>
      <c r="AI771" s="1837"/>
      <c r="AJ771" s="1960"/>
    </row>
    <row r="772" spans="1:36" ht="21.95" customHeight="1" x14ac:dyDescent="0.2">
      <c r="B772" s="2045"/>
      <c r="C772" s="2046"/>
      <c r="D772" s="2047" t="str">
        <f>SNI!$E$533</f>
        <v>Mandor</v>
      </c>
      <c r="E772" s="2047"/>
      <c r="F772" s="2048"/>
      <c r="G772" s="2049">
        <f>SNI!$H$533</f>
        <v>3.3000000000000002E-2</v>
      </c>
      <c r="H772" s="2050" t="str">
        <f>SNI!$G$533</f>
        <v>OH</v>
      </c>
      <c r="I772" s="2051" t="str">
        <f>SNI!$M$533</f>
        <v>WNI</v>
      </c>
      <c r="J772" s="2051"/>
      <c r="K772" s="2052">
        <f>SNI!$L$533</f>
        <v>1</v>
      </c>
      <c r="L772" s="2053"/>
      <c r="M772" s="2054"/>
      <c r="N772" s="2055">
        <f>SNI!$I$533</f>
        <v>90000</v>
      </c>
      <c r="O772" s="2056"/>
      <c r="P772" s="1969">
        <f t="shared" si="493"/>
        <v>2970</v>
      </c>
      <c r="Q772" s="1953"/>
      <c r="R772" s="1954"/>
      <c r="S772" s="1954">
        <f t="shared" si="494"/>
        <v>2970</v>
      </c>
      <c r="T772" s="1969">
        <f t="shared" si="495"/>
        <v>0</v>
      </c>
      <c r="U772" s="2060"/>
      <c r="Z772" s="1956"/>
      <c r="AA772" s="1956"/>
      <c r="AF772" s="1836"/>
      <c r="AG772" s="1836"/>
      <c r="AH772" s="1836"/>
      <c r="AI772" s="1837"/>
      <c r="AJ772" s="1960"/>
    </row>
    <row r="773" spans="1:36" s="1957" customFormat="1" ht="21.95" customHeight="1" x14ac:dyDescent="0.2">
      <c r="A773" s="1942"/>
      <c r="B773" s="1970"/>
      <c r="C773" s="1971"/>
      <c r="D773" s="1972"/>
      <c r="E773" s="1973"/>
      <c r="F773" s="1974" t="s">
        <v>556</v>
      </c>
      <c r="G773" s="1975">
        <f>B759</f>
        <v>21</v>
      </c>
      <c r="H773" s="1976"/>
      <c r="I773" s="1977"/>
      <c r="J773" s="1977"/>
      <c r="K773" s="1978"/>
      <c r="L773" s="1979"/>
      <c r="M773" s="1980"/>
      <c r="N773" s="1981"/>
      <c r="O773" s="1982"/>
      <c r="P773" s="1983">
        <f>SUM(P761:P772)</f>
        <v>214956</v>
      </c>
      <c r="Q773" s="1984"/>
      <c r="R773" s="1985"/>
      <c r="S773" s="1983">
        <f>SUM(S761:S772)</f>
        <v>164776</v>
      </c>
      <c r="T773" s="1983">
        <f>SUM(T761:T772)</f>
        <v>50180</v>
      </c>
      <c r="U773" s="1986"/>
      <c r="V773" s="1848"/>
      <c r="W773" s="1848"/>
      <c r="X773" s="1848"/>
      <c r="Y773" s="1848"/>
      <c r="Z773" s="1956"/>
      <c r="AA773" s="1956"/>
      <c r="AF773" s="1958"/>
      <c r="AG773" s="1958"/>
      <c r="AH773" s="1958"/>
      <c r="AI773" s="1959"/>
      <c r="AJ773" s="1960"/>
    </row>
    <row r="774" spans="1:36" ht="21.95" customHeight="1" x14ac:dyDescent="0.2">
      <c r="B774" s="2102"/>
      <c r="C774" s="2103"/>
      <c r="D774" s="2081" t="s">
        <v>1796</v>
      </c>
      <c r="E774" s="1930"/>
      <c r="F774" s="1931"/>
      <c r="G774" s="1945"/>
      <c r="H774" s="1933"/>
      <c r="I774" s="1934"/>
      <c r="J774" s="1934"/>
      <c r="K774" s="1935"/>
      <c r="L774" s="1936"/>
      <c r="M774" s="1936"/>
      <c r="N774" s="1951"/>
      <c r="O774" s="2066"/>
      <c r="P774" s="2067"/>
      <c r="Q774" s="1934"/>
      <c r="R774" s="1934"/>
      <c r="S774" s="1934"/>
      <c r="T774" s="1940"/>
      <c r="U774" s="1941"/>
      <c r="Z774" s="1956"/>
      <c r="AA774" s="1956">
        <f>Z774-G774</f>
        <v>0</v>
      </c>
      <c r="AB774" s="1836" t="s">
        <v>1796</v>
      </c>
      <c r="AF774" s="1836"/>
      <c r="AG774" s="1836"/>
      <c r="AH774" s="1836"/>
      <c r="AI774" s="1837"/>
      <c r="AJ774" s="1960">
        <f>AI774-N774</f>
        <v>0</v>
      </c>
    </row>
    <row r="775" spans="1:36" ht="21.95" customHeight="1" x14ac:dyDescent="0.2">
      <c r="A775" s="1833">
        <f>satpek!$B$40</f>
        <v>21</v>
      </c>
      <c r="B775" s="1943">
        <f>B759+1</f>
        <v>22</v>
      </c>
      <c r="C775" s="1937"/>
      <c r="D775" s="1944" t="str">
        <f>VLOOKUP($A775,satpek!$B$20:$N$144,2,0)</f>
        <v>Membuat beton mutu f'c = 21,7 Mpa - K 250</v>
      </c>
      <c r="E775" s="1944"/>
      <c r="F775" s="2004"/>
      <c r="G775" s="1945">
        <f>'[3]B.VOL RAB'!Q201</f>
        <v>9.516</v>
      </c>
      <c r="H775" s="1946" t="str">
        <f>VLOOKUP($A775,satpek!$B$20:$N$144,7,0)</f>
        <v>m3</v>
      </c>
      <c r="I775" s="1947"/>
      <c r="J775" s="1947"/>
      <c r="K775" s="1948"/>
      <c r="L775" s="1949"/>
      <c r="M775" s="1950" t="str">
        <f>VLOOKUP($A775,satpek!$B$20:$N$144,5,0)</f>
        <v>A.4.1.1.8.</v>
      </c>
      <c r="N775" s="1951">
        <f>VLOOKUP($A775,satpek!$B$20:$N$144,6,0)</f>
        <v>1115753.29</v>
      </c>
      <c r="O775" s="1938"/>
      <c r="P775" s="1952">
        <f t="shared" ref="P775:P797" si="496">ROUND((G775*N775),2)</f>
        <v>10617508.310000001</v>
      </c>
      <c r="Q775" s="1953">
        <f>VLOOKUP($A775,satpek!$B$20:$L$138,8,0)</f>
        <v>0.93065078521121514</v>
      </c>
      <c r="R775" s="1954">
        <f>VLOOKUP($A775,satpek!$B$20:$L$138,9,0)</f>
        <v>918917.40999999992</v>
      </c>
      <c r="S775" s="1954">
        <f>VLOOKUP($A775,satpek!$B$20:$L$138,10,0)</f>
        <v>1038376.6732999999</v>
      </c>
      <c r="T775" s="1952">
        <f>S775*G775</f>
        <v>9881192.423122799</v>
      </c>
      <c r="U775" s="1955"/>
      <c r="X775" s="1848">
        <f>P786</f>
        <v>987392.28571428568</v>
      </c>
      <c r="Y775" s="1848">
        <f>S786</f>
        <v>918917.40571428579</v>
      </c>
      <c r="Z775" s="1956">
        <v>9.516</v>
      </c>
      <c r="AA775" s="1956">
        <f>Z775-G775</f>
        <v>0</v>
      </c>
      <c r="AB775" s="1836" t="s">
        <v>1905</v>
      </c>
      <c r="AF775" s="1836"/>
      <c r="AG775" s="1836"/>
      <c r="AH775" s="1836"/>
      <c r="AI775" s="1837">
        <v>1191397.42</v>
      </c>
      <c r="AJ775" s="1960">
        <f>AI775-N775</f>
        <v>75644.129999999888</v>
      </c>
    </row>
    <row r="776" spans="1:36" ht="21.95" customHeight="1" x14ac:dyDescent="0.2">
      <c r="B776" s="2045"/>
      <c r="C776" s="2046" t="str">
        <f>SNI!$D$389</f>
        <v>Bahan</v>
      </c>
      <c r="D776" s="2047"/>
      <c r="E776" s="2047"/>
      <c r="F776" s="2048"/>
      <c r="G776" s="2049"/>
      <c r="H776" s="2050"/>
      <c r="I776" s="2051"/>
      <c r="J776" s="2051"/>
      <c r="K776" s="2052"/>
      <c r="L776" s="2053"/>
      <c r="M776" s="2054"/>
      <c r="N776" s="2055"/>
      <c r="O776" s="2056"/>
      <c r="P776" s="2057"/>
      <c r="Q776" s="2058"/>
      <c r="R776" s="2059"/>
      <c r="S776" s="2059"/>
      <c r="T776" s="2057"/>
      <c r="U776" s="2060"/>
      <c r="Z776" s="1956"/>
      <c r="AA776" s="1956"/>
      <c r="AF776" s="1836"/>
      <c r="AG776" s="1836"/>
      <c r="AH776" s="1836"/>
      <c r="AI776" s="1837"/>
      <c r="AJ776" s="1960"/>
    </row>
    <row r="777" spans="1:36" ht="21.95" customHeight="1" x14ac:dyDescent="0.2">
      <c r="B777" s="2045"/>
      <c r="C777" s="2046"/>
      <c r="D777" s="2047" t="str">
        <f>SNI!$E$389</f>
        <v>PC</v>
      </c>
      <c r="E777" s="2047"/>
      <c r="F777" s="2048"/>
      <c r="G777" s="2049">
        <f>SNI!$H$389</f>
        <v>384</v>
      </c>
      <c r="H777" s="2050" t="str">
        <f>SNI!$G$389</f>
        <v>kg</v>
      </c>
      <c r="I777" s="2051"/>
      <c r="J777" s="2051"/>
      <c r="K777" s="2052">
        <f>SNI!$L$389</f>
        <v>0.85140000000000005</v>
      </c>
      <c r="L777" s="2053"/>
      <c r="M777" s="2054"/>
      <c r="N777" s="2055">
        <f>SNI!$I$389</f>
        <v>1200</v>
      </c>
      <c r="O777" s="2056"/>
      <c r="P777" s="1969">
        <f t="shared" ref="P777:P780" si="497">N777*G777</f>
        <v>460800</v>
      </c>
      <c r="Q777" s="1953"/>
      <c r="R777" s="1954"/>
      <c r="S777" s="1954">
        <f t="shared" ref="S777:S780" si="498">P777*K777</f>
        <v>392325.12</v>
      </c>
      <c r="T777" s="1969">
        <f t="shared" ref="T777:T780" si="499">P777-S777</f>
        <v>68474.880000000005</v>
      </c>
      <c r="U777" s="2060"/>
      <c r="Z777" s="1956"/>
      <c r="AA777" s="1956"/>
      <c r="AF777" s="1836"/>
      <c r="AG777" s="1836"/>
      <c r="AH777" s="1836"/>
      <c r="AI777" s="1837"/>
      <c r="AJ777" s="1960"/>
    </row>
    <row r="778" spans="1:36" ht="21.95" customHeight="1" x14ac:dyDescent="0.2">
      <c r="B778" s="2045"/>
      <c r="C778" s="2046"/>
      <c r="D778" s="2047" t="str">
        <f>SNI!$E$390</f>
        <v>Pasir Beton</v>
      </c>
      <c r="E778" s="2047"/>
      <c r="F778" s="2048"/>
      <c r="G778" s="2049">
        <f>SNI!$H$390</f>
        <v>692</v>
      </c>
      <c r="H778" s="2050" t="str">
        <f>SNI!$G$390</f>
        <v>kg</v>
      </c>
      <c r="I778" s="2051"/>
      <c r="J778" s="2051"/>
      <c r="K778" s="2052">
        <f>SNI!$L$390</f>
        <v>1</v>
      </c>
      <c r="L778" s="2053"/>
      <c r="M778" s="2054"/>
      <c r="N778" s="2055">
        <f>SNI!$I$390</f>
        <v>185.71428571428572</v>
      </c>
      <c r="O778" s="2056"/>
      <c r="P778" s="1969">
        <f t="shared" si="497"/>
        <v>128514.28571428572</v>
      </c>
      <c r="Q778" s="1953"/>
      <c r="R778" s="1954"/>
      <c r="S778" s="1954">
        <f t="shared" si="498"/>
        <v>128514.28571428572</v>
      </c>
      <c r="T778" s="1969">
        <f t="shared" si="499"/>
        <v>0</v>
      </c>
      <c r="U778" s="2060"/>
      <c r="Z778" s="1956"/>
      <c r="AA778" s="1956"/>
      <c r="AF778" s="1836"/>
      <c r="AG778" s="1836"/>
      <c r="AH778" s="1836"/>
      <c r="AI778" s="1837"/>
      <c r="AJ778" s="1960"/>
    </row>
    <row r="779" spans="1:36" ht="21.95" customHeight="1" x14ac:dyDescent="0.2">
      <c r="B779" s="2045"/>
      <c r="C779" s="2046"/>
      <c r="D779" s="2047" t="str">
        <f>SNI!$E$391</f>
        <v>Kerikil ( maks 30 mm )</v>
      </c>
      <c r="E779" s="2047"/>
      <c r="F779" s="2048"/>
      <c r="G779" s="2049">
        <f>SNI!$H$391</f>
        <v>1039</v>
      </c>
      <c r="H779" s="2050" t="str">
        <f>SNI!$G$391</f>
        <v>kg</v>
      </c>
      <c r="I779" s="2051"/>
      <c r="J779" s="2051"/>
      <c r="K779" s="2052">
        <f>SNI!$L$391</f>
        <v>1</v>
      </c>
      <c r="L779" s="2053"/>
      <c r="M779" s="2054"/>
      <c r="N779" s="2055">
        <f>SNI!$I$391</f>
        <v>200</v>
      </c>
      <c r="O779" s="2056"/>
      <c r="P779" s="1969">
        <f t="shared" si="497"/>
        <v>207800</v>
      </c>
      <c r="Q779" s="1953"/>
      <c r="R779" s="1954"/>
      <c r="S779" s="1954">
        <f t="shared" si="498"/>
        <v>207800</v>
      </c>
      <c r="T779" s="1969">
        <f t="shared" si="499"/>
        <v>0</v>
      </c>
      <c r="U779" s="2060"/>
      <c r="Z779" s="1956"/>
      <c r="AA779" s="1956"/>
      <c r="AF779" s="1836"/>
      <c r="AG779" s="1836"/>
      <c r="AH779" s="1836"/>
      <c r="AI779" s="1837"/>
      <c r="AJ779" s="1960"/>
    </row>
    <row r="780" spans="1:36" ht="21.95" customHeight="1" x14ac:dyDescent="0.2">
      <c r="B780" s="2045"/>
      <c r="C780" s="2046"/>
      <c r="D780" s="2047" t="str">
        <f>SNI!$E$392</f>
        <v>Air</v>
      </c>
      <c r="E780" s="2047"/>
      <c r="F780" s="2048"/>
      <c r="G780" s="2049">
        <f>SNI!$H$392</f>
        <v>215</v>
      </c>
      <c r="H780" s="2050" t="str">
        <f>SNI!$G$392</f>
        <v>ltr</v>
      </c>
      <c r="I780" s="2051"/>
      <c r="J780" s="2051"/>
      <c r="K780" s="2052">
        <f>SNI!$L$392</f>
        <v>1</v>
      </c>
      <c r="L780" s="2053"/>
      <c r="M780" s="2054"/>
      <c r="N780" s="2055">
        <f>SNI!$I$392</f>
        <v>45</v>
      </c>
      <c r="O780" s="2056"/>
      <c r="P780" s="1969">
        <f t="shared" si="497"/>
        <v>9675</v>
      </c>
      <c r="Q780" s="1953"/>
      <c r="R780" s="1954"/>
      <c r="S780" s="1954">
        <f t="shared" si="498"/>
        <v>9675</v>
      </c>
      <c r="T780" s="1969">
        <f t="shared" si="499"/>
        <v>0</v>
      </c>
      <c r="U780" s="2060"/>
      <c r="Z780" s="1956"/>
      <c r="AA780" s="1956"/>
      <c r="AF780" s="1836"/>
      <c r="AG780" s="1836"/>
      <c r="AH780" s="1836"/>
      <c r="AI780" s="1837"/>
      <c r="AJ780" s="1960"/>
    </row>
    <row r="781" spans="1:36" ht="21.95" customHeight="1" x14ac:dyDescent="0.2">
      <c r="B781" s="2045"/>
      <c r="C781" s="2046" t="str">
        <f>SNI!$D$394</f>
        <v>Tenaga Kerja</v>
      </c>
      <c r="D781" s="2047"/>
      <c r="E781" s="2047"/>
      <c r="F781" s="2048"/>
      <c r="G781" s="2049"/>
      <c r="H781" s="2050"/>
      <c r="I781" s="2051"/>
      <c r="J781" s="2051"/>
      <c r="K781" s="2052"/>
      <c r="L781" s="2053"/>
      <c r="M781" s="2054"/>
      <c r="N781" s="2055"/>
      <c r="O781" s="2056"/>
      <c r="P781" s="1969"/>
      <c r="Q781" s="1953"/>
      <c r="R781" s="1954"/>
      <c r="S781" s="1954"/>
      <c r="T781" s="1969"/>
      <c r="U781" s="2060"/>
      <c r="Z781" s="1956"/>
      <c r="AA781" s="1956"/>
      <c r="AF781" s="1836"/>
      <c r="AG781" s="1836"/>
      <c r="AH781" s="1836"/>
      <c r="AI781" s="1837"/>
      <c r="AJ781" s="1960"/>
    </row>
    <row r="782" spans="1:36" ht="21.95" customHeight="1" x14ac:dyDescent="0.2">
      <c r="B782" s="2045"/>
      <c r="C782" s="2046"/>
      <c r="D782" s="2047" t="str">
        <f>SNI!$E$394</f>
        <v xml:space="preserve">Pekerja </v>
      </c>
      <c r="E782" s="2047"/>
      <c r="F782" s="2048"/>
      <c r="G782" s="2049">
        <f>SNI!$H$394</f>
        <v>1.65</v>
      </c>
      <c r="H782" s="2050" t="str">
        <f>SNI!$G$394</f>
        <v>OH</v>
      </c>
      <c r="I782" s="2051" t="str">
        <f>SNI!$M$394</f>
        <v>WNI</v>
      </c>
      <c r="J782" s="2051"/>
      <c r="K782" s="2052">
        <f>SNI!$L$394</f>
        <v>1</v>
      </c>
      <c r="L782" s="2053"/>
      <c r="M782" s="2054"/>
      <c r="N782" s="2055">
        <f>SNI!$I$394</f>
        <v>88300</v>
      </c>
      <c r="O782" s="2056"/>
      <c r="P782" s="1969">
        <f t="shared" ref="P782:P785" si="500">N782*G782</f>
        <v>145695</v>
      </c>
      <c r="Q782" s="1953"/>
      <c r="R782" s="1954"/>
      <c r="S782" s="1954">
        <f t="shared" ref="S782:S785" si="501">P782*K782</f>
        <v>145695</v>
      </c>
      <c r="T782" s="1969">
        <f t="shared" ref="T782:T785" si="502">P782-S782</f>
        <v>0</v>
      </c>
      <c r="U782" s="2060"/>
      <c r="Z782" s="1956"/>
      <c r="AA782" s="1956"/>
      <c r="AF782" s="1836"/>
      <c r="AG782" s="1836"/>
      <c r="AH782" s="1836"/>
      <c r="AI782" s="1837"/>
      <c r="AJ782" s="1960"/>
    </row>
    <row r="783" spans="1:36" ht="21.95" customHeight="1" x14ac:dyDescent="0.2">
      <c r="B783" s="2045"/>
      <c r="C783" s="2046"/>
      <c r="D783" s="2047" t="str">
        <f>SNI!$E$395</f>
        <v>Tukang Batu</v>
      </c>
      <c r="E783" s="2047"/>
      <c r="F783" s="2048"/>
      <c r="G783" s="2049">
        <f>SNI!$H$395</f>
        <v>0.27500000000000002</v>
      </c>
      <c r="H783" s="2050" t="str">
        <f>SNI!$G$395</f>
        <v>OH</v>
      </c>
      <c r="I783" s="2051" t="str">
        <f>SNI!$M$395</f>
        <v>WNI</v>
      </c>
      <c r="J783" s="2051"/>
      <c r="K783" s="2052">
        <f>SNI!$L$395</f>
        <v>1</v>
      </c>
      <c r="L783" s="2053"/>
      <c r="M783" s="2054"/>
      <c r="N783" s="2055">
        <f>SNI!$I$395</f>
        <v>90000</v>
      </c>
      <c r="O783" s="2056"/>
      <c r="P783" s="1969">
        <f t="shared" si="500"/>
        <v>24750.000000000004</v>
      </c>
      <c r="Q783" s="1953"/>
      <c r="R783" s="1954"/>
      <c r="S783" s="1954">
        <f t="shared" si="501"/>
        <v>24750.000000000004</v>
      </c>
      <c r="T783" s="1969">
        <f t="shared" si="502"/>
        <v>0</v>
      </c>
      <c r="U783" s="2060"/>
      <c r="Z783" s="1956"/>
      <c r="AA783" s="1956"/>
      <c r="AF783" s="1836"/>
      <c r="AG783" s="1836"/>
      <c r="AH783" s="1836"/>
      <c r="AI783" s="1837"/>
      <c r="AJ783" s="1960"/>
    </row>
    <row r="784" spans="1:36" ht="21.95" customHeight="1" x14ac:dyDescent="0.2">
      <c r="B784" s="2045"/>
      <c r="C784" s="2046"/>
      <c r="D784" s="2047" t="str">
        <f>SNI!$E$396</f>
        <v>Kepala Tukang</v>
      </c>
      <c r="E784" s="2047"/>
      <c r="F784" s="2048"/>
      <c r="G784" s="2049">
        <f>SNI!$H$396</f>
        <v>2.8000000000000001E-2</v>
      </c>
      <c r="H784" s="2050" t="str">
        <f>SNI!$G$396</f>
        <v>OH</v>
      </c>
      <c r="I784" s="2051" t="str">
        <f>SNI!$M$396</f>
        <v>WNI</v>
      </c>
      <c r="J784" s="2051"/>
      <c r="K784" s="2052">
        <f>SNI!$L$396</f>
        <v>1</v>
      </c>
      <c r="L784" s="2053"/>
      <c r="M784" s="2054"/>
      <c r="N784" s="2055">
        <f>SNI!$I$396</f>
        <v>96000</v>
      </c>
      <c r="O784" s="2056"/>
      <c r="P784" s="1969">
        <f t="shared" si="500"/>
        <v>2688</v>
      </c>
      <c r="Q784" s="1953"/>
      <c r="R784" s="1954"/>
      <c r="S784" s="1954">
        <f t="shared" si="501"/>
        <v>2688</v>
      </c>
      <c r="T784" s="1969">
        <f t="shared" si="502"/>
        <v>0</v>
      </c>
      <c r="U784" s="2060"/>
      <c r="Z784" s="1956"/>
      <c r="AA784" s="1956"/>
      <c r="AF784" s="1836"/>
      <c r="AG784" s="1836"/>
      <c r="AH784" s="1836"/>
      <c r="AI784" s="1837"/>
      <c r="AJ784" s="1960"/>
    </row>
    <row r="785" spans="1:36" ht="21.95" customHeight="1" x14ac:dyDescent="0.2">
      <c r="B785" s="2045"/>
      <c r="C785" s="2046"/>
      <c r="D785" s="2047" t="str">
        <f>SNI!$E$397</f>
        <v>Mandor</v>
      </c>
      <c r="E785" s="2047"/>
      <c r="F785" s="2048"/>
      <c r="G785" s="2049">
        <f>SNI!$H$397</f>
        <v>8.3000000000000004E-2</v>
      </c>
      <c r="H785" s="2050" t="str">
        <f>SNI!$G$397</f>
        <v>OH</v>
      </c>
      <c r="I785" s="2051" t="str">
        <f>SNI!$M$397</f>
        <v>WNI</v>
      </c>
      <c r="J785" s="2051"/>
      <c r="K785" s="2052">
        <f>SNI!$L$397</f>
        <v>1</v>
      </c>
      <c r="L785" s="2053"/>
      <c r="M785" s="2054"/>
      <c r="N785" s="2055">
        <f>SNI!$I$397</f>
        <v>90000</v>
      </c>
      <c r="O785" s="2056"/>
      <c r="P785" s="1969">
        <f t="shared" si="500"/>
        <v>7470</v>
      </c>
      <c r="Q785" s="1953"/>
      <c r="R785" s="1954"/>
      <c r="S785" s="1954">
        <f t="shared" si="501"/>
        <v>7470</v>
      </c>
      <c r="T785" s="1969">
        <f t="shared" si="502"/>
        <v>0</v>
      </c>
      <c r="U785" s="2060"/>
      <c r="Z785" s="1956"/>
      <c r="AA785" s="1956"/>
      <c r="AF785" s="1836"/>
      <c r="AG785" s="1836"/>
      <c r="AH785" s="1836"/>
      <c r="AI785" s="1837"/>
      <c r="AJ785" s="1960"/>
    </row>
    <row r="786" spans="1:36" s="1957" customFormat="1" ht="21.95" customHeight="1" x14ac:dyDescent="0.2">
      <c r="A786" s="1942"/>
      <c r="B786" s="1970"/>
      <c r="C786" s="1971"/>
      <c r="D786" s="1972"/>
      <c r="E786" s="1973"/>
      <c r="F786" s="1974" t="s">
        <v>556</v>
      </c>
      <c r="G786" s="1975">
        <f>B775</f>
        <v>22</v>
      </c>
      <c r="H786" s="1976"/>
      <c r="I786" s="1977"/>
      <c r="J786" s="1977"/>
      <c r="K786" s="1978"/>
      <c r="L786" s="1979"/>
      <c r="M786" s="1980"/>
      <c r="N786" s="1981"/>
      <c r="O786" s="1982"/>
      <c r="P786" s="1983">
        <f>SUM(P777:P785)</f>
        <v>987392.28571428568</v>
      </c>
      <c r="Q786" s="1984"/>
      <c r="R786" s="1985"/>
      <c r="S786" s="1983">
        <f>SUM(S777:S785)</f>
        <v>918917.40571428579</v>
      </c>
      <c r="T786" s="1983">
        <f>SUM(T777:T785)</f>
        <v>68474.880000000005</v>
      </c>
      <c r="U786" s="1986"/>
      <c r="V786" s="1848"/>
      <c r="W786" s="1848"/>
      <c r="X786" s="1848"/>
      <c r="Y786" s="1848"/>
      <c r="Z786" s="1956"/>
      <c r="AA786" s="1956"/>
      <c r="AF786" s="1958"/>
      <c r="AG786" s="1958"/>
      <c r="AH786" s="1958"/>
      <c r="AI786" s="1959"/>
      <c r="AJ786" s="1960"/>
    </row>
    <row r="787" spans="1:36" ht="21.95" customHeight="1" x14ac:dyDescent="0.2">
      <c r="A787" s="1833">
        <f>satpek!$B$41</f>
        <v>22</v>
      </c>
      <c r="B787" s="1943">
        <f>B775+1</f>
        <v>23</v>
      </c>
      <c r="C787" s="1937"/>
      <c r="D787" s="1944" t="str">
        <f>VLOOKUP($A787,satpek!$B$20:$N$144,2,0)</f>
        <v>Pembesian 1 kg dengan besi polos atau besi ulir</v>
      </c>
      <c r="E787" s="1944"/>
      <c r="F787" s="2004"/>
      <c r="G787" s="1945">
        <f>'[3]B.VOL RAB'!Q203</f>
        <v>1212.5413331559116</v>
      </c>
      <c r="H787" s="1946" t="str">
        <f>VLOOKUP($A787,satpek!$B$20:$N$144,7,0)</f>
        <v>kg</v>
      </c>
      <c r="I787" s="1947"/>
      <c r="J787" s="1947"/>
      <c r="K787" s="1948"/>
      <c r="L787" s="1949"/>
      <c r="M787" s="1950" t="str">
        <f>VLOOKUP($A787,satpek!$B$20:$N$144,5,0)</f>
        <v>A.4.1.1.17.</v>
      </c>
      <c r="N787" s="1951">
        <f>VLOOKUP($A787,satpek!$B$20:$N$144,6,0)</f>
        <v>15603.94</v>
      </c>
      <c r="O787" s="1938"/>
      <c r="P787" s="1952">
        <f t="shared" si="496"/>
        <v>18920422.210000001</v>
      </c>
      <c r="Q787" s="1953">
        <f>VLOOKUP($A787,satpek!$B$20:$L$138,8,0)</f>
        <v>0.46415793062521393</v>
      </c>
      <c r="R787" s="1954">
        <f>VLOOKUP($A787,satpek!$B$20:$L$138,9,0)</f>
        <v>7242.692500000001</v>
      </c>
      <c r="S787" s="1954">
        <f>VLOOKUP($A787,satpek!$B$20:$L$138,10,0)</f>
        <v>8184.2425250000015</v>
      </c>
      <c r="T787" s="1952">
        <f>S787*G787</f>
        <v>9923732.3421348054</v>
      </c>
      <c r="U787" s="1955"/>
      <c r="X787" s="1848">
        <f>P796</f>
        <v>13808.800000000001</v>
      </c>
      <c r="Y787" s="1848">
        <f>S796</f>
        <v>7242.6925000000001</v>
      </c>
      <c r="Z787" s="1956">
        <v>1212.5413331559116</v>
      </c>
      <c r="AA787" s="1956">
        <f>Z787-G787</f>
        <v>0</v>
      </c>
      <c r="AB787" s="1836" t="s">
        <v>420</v>
      </c>
      <c r="AF787" s="1836"/>
      <c r="AG787" s="1836"/>
      <c r="AH787" s="1836"/>
      <c r="AI787" s="1837">
        <v>15438.06</v>
      </c>
      <c r="AJ787" s="1960">
        <f>AI787-N787</f>
        <v>-165.88000000000102</v>
      </c>
    </row>
    <row r="788" spans="1:36" ht="21.95" customHeight="1" x14ac:dyDescent="0.2">
      <c r="B788" s="2045"/>
      <c r="C788" s="2046" t="str">
        <f>SNI!$D$410</f>
        <v>Bahan</v>
      </c>
      <c r="D788" s="2047"/>
      <c r="E788" s="2047"/>
      <c r="F788" s="2048"/>
      <c r="G788" s="2049"/>
      <c r="H788" s="2050"/>
      <c r="I788" s="2051"/>
      <c r="J788" s="2051"/>
      <c r="K788" s="2052"/>
      <c r="L788" s="2053"/>
      <c r="M788" s="2054"/>
      <c r="N788" s="2055"/>
      <c r="O788" s="2056"/>
      <c r="P788" s="2057"/>
      <c r="Q788" s="2058"/>
      <c r="R788" s="2059"/>
      <c r="S788" s="2059"/>
      <c r="T788" s="2057"/>
      <c r="U788" s="2060"/>
      <c r="Z788" s="1956"/>
      <c r="AA788" s="1956"/>
      <c r="AF788" s="1836"/>
      <c r="AG788" s="1836"/>
      <c r="AH788" s="1836"/>
      <c r="AI788" s="1837"/>
      <c r="AJ788" s="1960"/>
    </row>
    <row r="789" spans="1:36" ht="21.95" customHeight="1" x14ac:dyDescent="0.2">
      <c r="B789" s="2045"/>
      <c r="C789" s="2046"/>
      <c r="D789" s="2047" t="str">
        <f>SNI!$E$410</f>
        <v>Besi Beton ( polos/ulir )</v>
      </c>
      <c r="E789" s="2047"/>
      <c r="F789" s="2048"/>
      <c r="G789" s="2049">
        <f>SNI!$H$410/10</f>
        <v>1.05</v>
      </c>
      <c r="H789" s="2050" t="str">
        <f>SNI!$G$410</f>
        <v>kg</v>
      </c>
      <c r="I789" s="2051"/>
      <c r="J789" s="2051"/>
      <c r="K789" s="2052">
        <f>SNI!$L$410</f>
        <v>0.4879</v>
      </c>
      <c r="L789" s="2053"/>
      <c r="M789" s="2054"/>
      <c r="N789" s="2055">
        <f>SNI!$I$410</f>
        <v>11500</v>
      </c>
      <c r="O789" s="2056"/>
      <c r="P789" s="1969">
        <f t="shared" ref="P789:P790" si="503">N789*G789</f>
        <v>12075</v>
      </c>
      <c r="Q789" s="1953"/>
      <c r="R789" s="1954"/>
      <c r="S789" s="1954">
        <f t="shared" ref="S789:S790" si="504">P789*K789</f>
        <v>5891.3924999999999</v>
      </c>
      <c r="T789" s="1969">
        <f t="shared" ref="T789:T790" si="505">P789-S789</f>
        <v>6183.6075000000001</v>
      </c>
      <c r="U789" s="2060"/>
      <c r="Z789" s="1956"/>
      <c r="AA789" s="1956"/>
      <c r="AF789" s="1836"/>
      <c r="AG789" s="1836"/>
      <c r="AH789" s="1836"/>
      <c r="AI789" s="1837"/>
      <c r="AJ789" s="1960"/>
    </row>
    <row r="790" spans="1:36" ht="21.95" customHeight="1" x14ac:dyDescent="0.2">
      <c r="B790" s="2045"/>
      <c r="C790" s="2046"/>
      <c r="D790" s="2047" t="str">
        <f>SNI!$E$411</f>
        <v>Kawat Beton</v>
      </c>
      <c r="E790" s="2047"/>
      <c r="F790" s="2048"/>
      <c r="G790" s="2049">
        <f>SNI!$H$411/10</f>
        <v>1.4999999999999999E-2</v>
      </c>
      <c r="H790" s="2050">
        <f>SNI!G982</f>
        <v>0</v>
      </c>
      <c r="I790" s="2051"/>
      <c r="J790" s="2051"/>
      <c r="K790" s="2052">
        <f>SNI!$L$411</f>
        <v>0</v>
      </c>
      <c r="L790" s="2053"/>
      <c r="M790" s="2054"/>
      <c r="N790" s="2055">
        <f>SNI!$I$411</f>
        <v>25500</v>
      </c>
      <c r="O790" s="2056"/>
      <c r="P790" s="1969">
        <f t="shared" si="503"/>
        <v>382.5</v>
      </c>
      <c r="Q790" s="1953"/>
      <c r="R790" s="1954"/>
      <c r="S790" s="1954">
        <f t="shared" si="504"/>
        <v>0</v>
      </c>
      <c r="T790" s="1969">
        <f t="shared" si="505"/>
        <v>382.5</v>
      </c>
      <c r="U790" s="2060"/>
      <c r="Z790" s="1956"/>
      <c r="AA790" s="1956"/>
      <c r="AF790" s="1836"/>
      <c r="AG790" s="1836"/>
      <c r="AH790" s="1836"/>
      <c r="AI790" s="1837"/>
      <c r="AJ790" s="1960"/>
    </row>
    <row r="791" spans="1:36" ht="21.95" customHeight="1" x14ac:dyDescent="0.2">
      <c r="B791" s="2045"/>
      <c r="C791" s="2046" t="str">
        <f>SNI!$D$413</f>
        <v>Tenaga Kerja</v>
      </c>
      <c r="D791" s="2047"/>
      <c r="E791" s="2047"/>
      <c r="F791" s="2048"/>
      <c r="G791" s="2049"/>
      <c r="H791" s="2050"/>
      <c r="I791" s="2051"/>
      <c r="J791" s="2051"/>
      <c r="K791" s="2052"/>
      <c r="L791" s="2053"/>
      <c r="M791" s="2054"/>
      <c r="N791" s="2055"/>
      <c r="O791" s="2056"/>
      <c r="P791" s="1969"/>
      <c r="Q791" s="1953"/>
      <c r="R791" s="1954"/>
      <c r="S791" s="1954"/>
      <c r="T791" s="1969"/>
      <c r="U791" s="2060"/>
      <c r="Z791" s="1956"/>
      <c r="AA791" s="1956"/>
      <c r="AF791" s="1836"/>
      <c r="AG791" s="1836"/>
      <c r="AH791" s="1836"/>
      <c r="AI791" s="1837"/>
      <c r="AJ791" s="1960"/>
    </row>
    <row r="792" spans="1:36" ht="21.95" customHeight="1" x14ac:dyDescent="0.2">
      <c r="B792" s="2045"/>
      <c r="C792" s="2046"/>
      <c r="D792" s="2047" t="str">
        <f>SNI!$E$413</f>
        <v xml:space="preserve">Pekerja </v>
      </c>
      <c r="E792" s="2047"/>
      <c r="F792" s="2048"/>
      <c r="G792" s="2049">
        <f>SNI!$H$413/10</f>
        <v>7.000000000000001E-3</v>
      </c>
      <c r="H792" s="2050" t="str">
        <f>SNI!$G$413</f>
        <v>OH</v>
      </c>
      <c r="I792" s="2051" t="str">
        <f>SNI!$M$413</f>
        <v>WNI</v>
      </c>
      <c r="J792" s="2051"/>
      <c r="K792" s="2052">
        <f>SNI!$L$413</f>
        <v>1</v>
      </c>
      <c r="L792" s="2053"/>
      <c r="M792" s="2054"/>
      <c r="N792" s="2055">
        <f>SNI!$I$413</f>
        <v>88300</v>
      </c>
      <c r="O792" s="2056"/>
      <c r="P792" s="1969">
        <f t="shared" ref="P792:P795" si="506">N792*G792</f>
        <v>618.10000000000014</v>
      </c>
      <c r="Q792" s="1953"/>
      <c r="R792" s="1954"/>
      <c r="S792" s="1954">
        <f t="shared" ref="S792:S795" si="507">P792*K792</f>
        <v>618.10000000000014</v>
      </c>
      <c r="T792" s="1969">
        <f t="shared" ref="T792:T795" si="508">P792-S792</f>
        <v>0</v>
      </c>
      <c r="U792" s="2060"/>
      <c r="Z792" s="1956"/>
      <c r="AA792" s="1956"/>
      <c r="AF792" s="1836"/>
      <c r="AG792" s="1836"/>
      <c r="AH792" s="1836"/>
      <c r="AI792" s="1837"/>
      <c r="AJ792" s="1960"/>
    </row>
    <row r="793" spans="1:36" ht="21.95" customHeight="1" x14ac:dyDescent="0.2">
      <c r="B793" s="2045"/>
      <c r="C793" s="2046"/>
      <c r="D793" s="2047" t="str">
        <f>SNI!$E$414</f>
        <v>Tukang Besi</v>
      </c>
      <c r="E793" s="2047"/>
      <c r="F793" s="2048"/>
      <c r="G793" s="2049">
        <f>SNI!$H$414/10</f>
        <v>7.000000000000001E-3</v>
      </c>
      <c r="H793" s="2050" t="str">
        <f>SNI!$G$414</f>
        <v>OH</v>
      </c>
      <c r="I793" s="2051" t="str">
        <f>SNI!$M$414</f>
        <v>WNI</v>
      </c>
      <c r="J793" s="2051"/>
      <c r="K793" s="2052">
        <f>SNI!$L$414</f>
        <v>1</v>
      </c>
      <c r="L793" s="2053"/>
      <c r="M793" s="2054"/>
      <c r="N793" s="2055">
        <f>SNI!$I$414</f>
        <v>90000</v>
      </c>
      <c r="O793" s="2056"/>
      <c r="P793" s="1969">
        <f t="shared" si="506"/>
        <v>630.00000000000011</v>
      </c>
      <c r="Q793" s="1953"/>
      <c r="R793" s="1954"/>
      <c r="S793" s="1954">
        <f t="shared" si="507"/>
        <v>630.00000000000011</v>
      </c>
      <c r="T793" s="1969">
        <f t="shared" si="508"/>
        <v>0</v>
      </c>
      <c r="U793" s="2060"/>
      <c r="Z793" s="1956"/>
      <c r="AA793" s="1956"/>
      <c r="AF793" s="1836"/>
      <c r="AG793" s="1836"/>
      <c r="AH793" s="1836"/>
      <c r="AI793" s="1837"/>
      <c r="AJ793" s="1960"/>
    </row>
    <row r="794" spans="1:36" ht="21.95" customHeight="1" x14ac:dyDescent="0.2">
      <c r="B794" s="2045"/>
      <c r="C794" s="2046"/>
      <c r="D794" s="2047" t="str">
        <f>SNI!$E$415</f>
        <v>Kepala Tukang</v>
      </c>
      <c r="E794" s="2047"/>
      <c r="F794" s="2048"/>
      <c r="G794" s="2049">
        <f>SNI!$H$415/10</f>
        <v>6.9999999999999999E-4</v>
      </c>
      <c r="H794" s="2050" t="str">
        <f>SNI!$G$415</f>
        <v>OH</v>
      </c>
      <c r="I794" s="2051" t="str">
        <f>SNI!$M$415</f>
        <v>WNI</v>
      </c>
      <c r="J794" s="2051"/>
      <c r="K794" s="2052">
        <f>SNI!$L$415</f>
        <v>1</v>
      </c>
      <c r="L794" s="2053"/>
      <c r="M794" s="2054"/>
      <c r="N794" s="2055">
        <f>SNI!$I$415</f>
        <v>96000</v>
      </c>
      <c r="O794" s="2056"/>
      <c r="P794" s="1969">
        <f t="shared" si="506"/>
        <v>67.2</v>
      </c>
      <c r="Q794" s="1953"/>
      <c r="R794" s="1954"/>
      <c r="S794" s="1954">
        <f t="shared" si="507"/>
        <v>67.2</v>
      </c>
      <c r="T794" s="1969">
        <f t="shared" si="508"/>
        <v>0</v>
      </c>
      <c r="U794" s="2060"/>
      <c r="Z794" s="1956"/>
      <c r="AA794" s="1956"/>
      <c r="AF794" s="1836"/>
      <c r="AG794" s="1836"/>
      <c r="AH794" s="1836"/>
      <c r="AI794" s="1837"/>
      <c r="AJ794" s="1960"/>
    </row>
    <row r="795" spans="1:36" ht="21.95" customHeight="1" x14ac:dyDescent="0.2">
      <c r="B795" s="2045"/>
      <c r="C795" s="2046"/>
      <c r="D795" s="2047" t="str">
        <f>SNI!$E$416</f>
        <v>Mandor</v>
      </c>
      <c r="E795" s="2047"/>
      <c r="F795" s="2048"/>
      <c r="G795" s="2049">
        <f>SNI!$H$416/10</f>
        <v>4.0000000000000002E-4</v>
      </c>
      <c r="H795" s="2050" t="str">
        <f>SNI!$G$416</f>
        <v>OH</v>
      </c>
      <c r="I795" s="2051" t="str">
        <f>SNI!$M$416</f>
        <v>WNI</v>
      </c>
      <c r="J795" s="2051"/>
      <c r="K795" s="2052">
        <f>SNI!$L$416</f>
        <v>1</v>
      </c>
      <c r="L795" s="2053"/>
      <c r="M795" s="2054"/>
      <c r="N795" s="2055">
        <f>SNI!$I$416</f>
        <v>90000</v>
      </c>
      <c r="O795" s="2056"/>
      <c r="P795" s="1969">
        <f t="shared" si="506"/>
        <v>36</v>
      </c>
      <c r="Q795" s="1953"/>
      <c r="R795" s="1954"/>
      <c r="S795" s="1954">
        <f t="shared" si="507"/>
        <v>36</v>
      </c>
      <c r="T795" s="1969">
        <f t="shared" si="508"/>
        <v>0</v>
      </c>
      <c r="U795" s="2060"/>
      <c r="Z795" s="1956"/>
      <c r="AA795" s="1956"/>
      <c r="AF795" s="1836"/>
      <c r="AG795" s="1836"/>
      <c r="AH795" s="1836"/>
      <c r="AI795" s="1837"/>
      <c r="AJ795" s="1960"/>
    </row>
    <row r="796" spans="1:36" s="1957" customFormat="1" ht="21.95" customHeight="1" x14ac:dyDescent="0.2">
      <c r="A796" s="1942"/>
      <c r="B796" s="1970"/>
      <c r="C796" s="1971"/>
      <c r="D796" s="1972"/>
      <c r="E796" s="1973"/>
      <c r="F796" s="1974" t="s">
        <v>556</v>
      </c>
      <c r="G796" s="1975">
        <f>B787</f>
        <v>23</v>
      </c>
      <c r="H796" s="1976"/>
      <c r="I796" s="1977"/>
      <c r="J796" s="1977"/>
      <c r="K796" s="1978"/>
      <c r="L796" s="1979"/>
      <c r="M796" s="1980"/>
      <c r="N796" s="1981"/>
      <c r="O796" s="1982"/>
      <c r="P796" s="1983">
        <f>SUM(P789:P795)</f>
        <v>13808.800000000001</v>
      </c>
      <c r="Q796" s="1984"/>
      <c r="R796" s="1985"/>
      <c r="S796" s="1983">
        <f t="shared" ref="S796" si="509">SUM(S789:S795)</f>
        <v>7242.6925000000001</v>
      </c>
      <c r="T796" s="1983">
        <f t="shared" ref="T796" si="510">SUM(T789:T795)</f>
        <v>6566.1075000000001</v>
      </c>
      <c r="U796" s="1986"/>
      <c r="V796" s="1848"/>
      <c r="W796" s="1848"/>
      <c r="X796" s="1848"/>
      <c r="Y796" s="1848"/>
      <c r="Z796" s="1956"/>
      <c r="AA796" s="1956"/>
      <c r="AF796" s="1958"/>
      <c r="AG796" s="1958"/>
      <c r="AH796" s="1958"/>
      <c r="AI796" s="1959"/>
      <c r="AJ796" s="1960"/>
    </row>
    <row r="797" spans="1:36" ht="21.95" customHeight="1" x14ac:dyDescent="0.2">
      <c r="A797" s="1833">
        <f>satpek!$B$46</f>
        <v>27</v>
      </c>
      <c r="B797" s="1943">
        <f>B787+1</f>
        <v>24</v>
      </c>
      <c r="C797" s="1937"/>
      <c r="D797" s="1944" t="str">
        <f>VLOOKUP($A797,satpek!$B$20:$N$144,2,0)</f>
        <v>Memasang bekisting untuk lantai (2x pakai)</v>
      </c>
      <c r="E797" s="1944"/>
      <c r="F797" s="2004"/>
      <c r="G797" s="1945">
        <f>'[3]B.VOL RAB'!Q207</f>
        <v>108.73599999999999</v>
      </c>
      <c r="H797" s="1946" t="str">
        <f>VLOOKUP($A797,satpek!$B$20:$N$144,7,0)</f>
        <v>m2</v>
      </c>
      <c r="I797" s="1947"/>
      <c r="J797" s="1947"/>
      <c r="K797" s="1948"/>
      <c r="L797" s="1949"/>
      <c r="M797" s="1950" t="str">
        <f>VLOOKUP($A797,satpek!$B$20:$N$144,5,0)</f>
        <v>A.4.1.1.24</v>
      </c>
      <c r="N797" s="1951">
        <f>VLOOKUP($A797,satpek!$B$20:$N$144,6,0)</f>
        <v>242900.28</v>
      </c>
      <c r="O797" s="1938"/>
      <c r="P797" s="1952">
        <f t="shared" si="496"/>
        <v>26412004.850000001</v>
      </c>
      <c r="Q797" s="1953">
        <f>VLOOKUP($A797,satpek!$B$20:$L$138,8,0)</f>
        <v>0.76655687675617334</v>
      </c>
      <c r="R797" s="1954">
        <f>VLOOKUP($A797,satpek!$B$20:$L$138,9,0)</f>
        <v>164776</v>
      </c>
      <c r="S797" s="1954">
        <f>VLOOKUP($A797,satpek!$B$20:$L$138,10,0)</f>
        <v>186196.88</v>
      </c>
      <c r="T797" s="1952">
        <f>S797*G797</f>
        <v>20246303.94368</v>
      </c>
      <c r="U797" s="1955"/>
      <c r="X797" s="1848">
        <f>P811</f>
        <v>214956</v>
      </c>
      <c r="Y797" s="1848">
        <f>S811</f>
        <v>164776</v>
      </c>
      <c r="Z797" s="1956">
        <v>108.73599999999999</v>
      </c>
      <c r="AA797" s="1956">
        <f>Z797-G797</f>
        <v>0</v>
      </c>
      <c r="AB797" s="1836" t="s">
        <v>1910</v>
      </c>
      <c r="AF797" s="1836"/>
      <c r="AG797" s="1836"/>
      <c r="AH797" s="1836"/>
      <c r="AI797" s="1837">
        <v>220331.91999999998</v>
      </c>
      <c r="AJ797" s="1960">
        <f>AI797-N797</f>
        <v>-22568.360000000015</v>
      </c>
    </row>
    <row r="798" spans="1:36" ht="21.95" customHeight="1" x14ac:dyDescent="0.2">
      <c r="B798" s="2045"/>
      <c r="C798" s="2046" t="str">
        <f>SNI!$D$522</f>
        <v>Bahan</v>
      </c>
      <c r="D798" s="2047"/>
      <c r="E798" s="2047"/>
      <c r="F798" s="2048"/>
      <c r="G798" s="2049"/>
      <c r="H798" s="2050"/>
      <c r="I798" s="2051"/>
      <c r="J798" s="2051"/>
      <c r="K798" s="2052"/>
      <c r="L798" s="2053"/>
      <c r="M798" s="2054"/>
      <c r="N798" s="2055"/>
      <c r="O798" s="2056"/>
      <c r="P798" s="2057"/>
      <c r="Q798" s="2058"/>
      <c r="R798" s="2059"/>
      <c r="S798" s="2059"/>
      <c r="T798" s="2055"/>
      <c r="U798" s="2060"/>
      <c r="Z798" s="1956"/>
      <c r="AA798" s="1956"/>
      <c r="AF798" s="1836"/>
      <c r="AG798" s="1836"/>
      <c r="AH798" s="1836"/>
      <c r="AI798" s="1837"/>
      <c r="AJ798" s="1960"/>
    </row>
    <row r="799" spans="1:36" ht="21.95" customHeight="1" x14ac:dyDescent="0.2">
      <c r="B799" s="2045"/>
      <c r="C799" s="2046"/>
      <c r="D799" s="2047" t="str">
        <f>SNI!$E$522</f>
        <v>Kayu kelas III</v>
      </c>
      <c r="E799" s="2047"/>
      <c r="F799" s="2048"/>
      <c r="G799" s="2049">
        <f>SNI!$H$522</f>
        <v>0.02</v>
      </c>
      <c r="H799" s="2050" t="str">
        <f>SNI!$G$522</f>
        <v>m3</v>
      </c>
      <c r="I799" s="2051"/>
      <c r="J799" s="2051"/>
      <c r="K799" s="2052">
        <f>SNI!$L$522</f>
        <v>1</v>
      </c>
      <c r="L799" s="2053"/>
      <c r="M799" s="2054"/>
      <c r="N799" s="2055">
        <f>SNI!$I$522</f>
        <v>1100000</v>
      </c>
      <c r="O799" s="2056"/>
      <c r="P799" s="1969">
        <f t="shared" ref="P799:P804" si="511">N799*G799</f>
        <v>22000</v>
      </c>
      <c r="Q799" s="1953"/>
      <c r="R799" s="1954"/>
      <c r="S799" s="1954">
        <f t="shared" ref="S799:S804" si="512">P799*K799</f>
        <v>22000</v>
      </c>
      <c r="T799" s="1969">
        <f t="shared" ref="T799:T804" si="513">P799-S799</f>
        <v>0</v>
      </c>
      <c r="U799" s="2060"/>
      <c r="Z799" s="1956"/>
      <c r="AA799" s="1956"/>
      <c r="AF799" s="1836"/>
      <c r="AG799" s="1836"/>
      <c r="AH799" s="1836"/>
      <c r="AI799" s="1837"/>
      <c r="AJ799" s="1960"/>
    </row>
    <row r="800" spans="1:36" ht="21.95" customHeight="1" x14ac:dyDescent="0.2">
      <c r="B800" s="2045"/>
      <c r="C800" s="2046"/>
      <c r="D800" s="2047" t="str">
        <f>SNI!$E$523</f>
        <v>Paku 5 cm - 12 cm</v>
      </c>
      <c r="E800" s="2047"/>
      <c r="F800" s="2048"/>
      <c r="G800" s="2049">
        <f>SNI!$H$523</f>
        <v>0.4</v>
      </c>
      <c r="H800" s="2050" t="str">
        <f>SNI!$G$523</f>
        <v>kg</v>
      </c>
      <c r="I800" s="2051"/>
      <c r="J800" s="2051"/>
      <c r="K800" s="2052">
        <f>SNI!$L$523</f>
        <v>0</v>
      </c>
      <c r="L800" s="2053"/>
      <c r="M800" s="2054"/>
      <c r="N800" s="2055">
        <f>SNI!$I$523</f>
        <v>17000</v>
      </c>
      <c r="O800" s="2056"/>
      <c r="P800" s="1969">
        <f t="shared" si="511"/>
        <v>6800</v>
      </c>
      <c r="Q800" s="1953"/>
      <c r="R800" s="1954"/>
      <c r="S800" s="1954">
        <f t="shared" si="512"/>
        <v>0</v>
      </c>
      <c r="T800" s="1969">
        <f t="shared" si="513"/>
        <v>6800</v>
      </c>
      <c r="U800" s="2060"/>
      <c r="Z800" s="1956"/>
      <c r="AA800" s="1956"/>
      <c r="AF800" s="1836"/>
      <c r="AG800" s="1836"/>
      <c r="AH800" s="1836"/>
      <c r="AI800" s="1837"/>
      <c r="AJ800" s="1960"/>
    </row>
    <row r="801" spans="1:36" ht="21.95" customHeight="1" x14ac:dyDescent="0.2">
      <c r="B801" s="2045"/>
      <c r="C801" s="2046"/>
      <c r="D801" s="2047" t="str">
        <f>SNI!$E$524</f>
        <v>Minyak Bekisting</v>
      </c>
      <c r="E801" s="2047"/>
      <c r="F801" s="2048"/>
      <c r="G801" s="2049">
        <f>SNI!$H$524</f>
        <v>0.2</v>
      </c>
      <c r="H801" s="2050" t="str">
        <f>SNI!$G$524</f>
        <v>ltr</v>
      </c>
      <c r="I801" s="2051"/>
      <c r="J801" s="2051"/>
      <c r="K801" s="2052">
        <f>SNI!$L$524</f>
        <v>0</v>
      </c>
      <c r="L801" s="2053"/>
      <c r="M801" s="2054"/>
      <c r="N801" s="2055">
        <f>SNI!$I$524</f>
        <v>6900</v>
      </c>
      <c r="O801" s="2056"/>
      <c r="P801" s="1969">
        <f t="shared" si="511"/>
        <v>1380</v>
      </c>
      <c r="Q801" s="1953"/>
      <c r="R801" s="1954"/>
      <c r="S801" s="1954">
        <f t="shared" si="512"/>
        <v>0</v>
      </c>
      <c r="T801" s="1969">
        <f t="shared" si="513"/>
        <v>1380</v>
      </c>
      <c r="U801" s="2060"/>
      <c r="Z801" s="1956"/>
      <c r="AA801" s="1956"/>
      <c r="AF801" s="1836"/>
      <c r="AG801" s="1836"/>
      <c r="AH801" s="1836"/>
      <c r="AI801" s="1837"/>
      <c r="AJ801" s="1960"/>
    </row>
    <row r="802" spans="1:36" ht="21.95" customHeight="1" x14ac:dyDescent="0.2">
      <c r="B802" s="2045"/>
      <c r="C802" s="2046"/>
      <c r="D802" s="2047" t="str">
        <f>SNI!$E$525</f>
        <v>Balok kayu kelas II</v>
      </c>
      <c r="E802" s="2047"/>
      <c r="F802" s="2048"/>
      <c r="G802" s="2049">
        <f>SNI!$H$525</f>
        <v>7.4999999999999997E-3</v>
      </c>
      <c r="H802" s="2050" t="str">
        <f>SNI!$G$525</f>
        <v>m3</v>
      </c>
      <c r="I802" s="2051"/>
      <c r="J802" s="2051"/>
      <c r="K802" s="2052">
        <f>SNI!$L$525</f>
        <v>1</v>
      </c>
      <c r="L802" s="2053"/>
      <c r="M802" s="2054"/>
      <c r="N802" s="2055">
        <f>SNI!$I$525</f>
        <v>1600000</v>
      </c>
      <c r="O802" s="2056"/>
      <c r="P802" s="1969">
        <f t="shared" si="511"/>
        <v>12000</v>
      </c>
      <c r="Q802" s="1953"/>
      <c r="R802" s="1954"/>
      <c r="S802" s="1954">
        <f t="shared" si="512"/>
        <v>12000</v>
      </c>
      <c r="T802" s="1969">
        <f t="shared" si="513"/>
        <v>0</v>
      </c>
      <c r="U802" s="2060"/>
      <c r="Z802" s="1956"/>
      <c r="AA802" s="1956"/>
      <c r="AF802" s="1836"/>
      <c r="AG802" s="1836"/>
      <c r="AH802" s="1836"/>
      <c r="AI802" s="1837"/>
      <c r="AJ802" s="1960"/>
    </row>
    <row r="803" spans="1:36" ht="21.95" customHeight="1" x14ac:dyDescent="0.2">
      <c r="B803" s="2045"/>
      <c r="C803" s="2046"/>
      <c r="D803" s="2047" t="str">
        <f>SNI!$E$526</f>
        <v>Plywood tebal 9 mm</v>
      </c>
      <c r="E803" s="2047"/>
      <c r="F803" s="2048"/>
      <c r="G803" s="2049">
        <f>SNI!$H$526</f>
        <v>0.35</v>
      </c>
      <c r="H803" s="2050" t="str">
        <f>SNI!$G$526</f>
        <v>lbr</v>
      </c>
      <c r="I803" s="2051"/>
      <c r="J803" s="2051"/>
      <c r="K803" s="2052">
        <f>SNI!$L$526</f>
        <v>0</v>
      </c>
      <c r="L803" s="2053"/>
      <c r="M803" s="2054"/>
      <c r="N803" s="2055">
        <f>SNI!$I$526</f>
        <v>120000</v>
      </c>
      <c r="O803" s="2056"/>
      <c r="P803" s="1969">
        <f t="shared" si="511"/>
        <v>42000</v>
      </c>
      <c r="Q803" s="1953"/>
      <c r="R803" s="1954"/>
      <c r="S803" s="1954">
        <f t="shared" si="512"/>
        <v>0</v>
      </c>
      <c r="T803" s="1969">
        <f t="shared" si="513"/>
        <v>42000</v>
      </c>
      <c r="U803" s="2060"/>
      <c r="Z803" s="1956"/>
      <c r="AA803" s="1956"/>
      <c r="AF803" s="1836"/>
      <c r="AG803" s="1836"/>
      <c r="AH803" s="1836"/>
      <c r="AI803" s="1837"/>
      <c r="AJ803" s="1960"/>
    </row>
    <row r="804" spans="1:36" ht="21.95" customHeight="1" x14ac:dyDescent="0.2">
      <c r="B804" s="2045"/>
      <c r="C804" s="2046"/>
      <c r="D804" s="2047" t="str">
        <f>SNI!$E$527</f>
        <v>Dolken kayu galam,</v>
      </c>
      <c r="E804" s="2047"/>
      <c r="F804" s="2048"/>
      <c r="G804" s="2049">
        <f>SNI!$H$527</f>
        <v>3</v>
      </c>
      <c r="H804" s="2050" t="str">
        <f>SNI!$G$527</f>
        <v>btg</v>
      </c>
      <c r="I804" s="2051"/>
      <c r="J804" s="2051"/>
      <c r="K804" s="2052">
        <f>SNI!$L$527</f>
        <v>1</v>
      </c>
      <c r="L804" s="2053"/>
      <c r="M804" s="2054"/>
      <c r="N804" s="2055">
        <f>SNI!$I$527</f>
        <v>12000</v>
      </c>
      <c r="O804" s="2056"/>
      <c r="P804" s="1969">
        <f t="shared" si="511"/>
        <v>36000</v>
      </c>
      <c r="Q804" s="1953"/>
      <c r="R804" s="1954"/>
      <c r="S804" s="1954">
        <f t="shared" si="512"/>
        <v>36000</v>
      </c>
      <c r="T804" s="1969">
        <f t="shared" si="513"/>
        <v>0</v>
      </c>
      <c r="U804" s="2060"/>
      <c r="Z804" s="1956"/>
      <c r="AA804" s="1956"/>
      <c r="AF804" s="1836"/>
      <c r="AG804" s="1836"/>
      <c r="AH804" s="1836"/>
      <c r="AI804" s="1837"/>
      <c r="AJ804" s="1960"/>
    </row>
    <row r="805" spans="1:36" ht="21.95" customHeight="1" x14ac:dyDescent="0.2">
      <c r="B805" s="2045"/>
      <c r="C805" s="2046"/>
      <c r="D805" s="2047" t="str">
        <f>SNI!$E$528</f>
        <v>Ø (8 - 10) cm, panj 4 m</v>
      </c>
      <c r="E805" s="2047"/>
      <c r="F805" s="2048"/>
      <c r="G805" s="2049"/>
      <c r="H805" s="2050"/>
      <c r="I805" s="2051"/>
      <c r="J805" s="2051"/>
      <c r="K805" s="2052"/>
      <c r="L805" s="2053"/>
      <c r="M805" s="2054"/>
      <c r="N805" s="2055"/>
      <c r="O805" s="2056"/>
      <c r="P805" s="1969"/>
      <c r="Q805" s="1953"/>
      <c r="R805" s="1954"/>
      <c r="S805" s="1954"/>
      <c r="T805" s="1969"/>
      <c r="U805" s="2060"/>
      <c r="Z805" s="1956"/>
      <c r="AA805" s="1956"/>
      <c r="AF805" s="1836"/>
      <c r="AG805" s="1836"/>
      <c r="AH805" s="1836"/>
      <c r="AI805" s="1837"/>
      <c r="AJ805" s="1960"/>
    </row>
    <row r="806" spans="1:36" ht="21.95" customHeight="1" x14ac:dyDescent="0.2">
      <c r="B806" s="2045"/>
      <c r="C806" s="2046" t="str">
        <f>SNI!$D$530</f>
        <v>Tenaga Kerja</v>
      </c>
      <c r="D806" s="2047"/>
      <c r="E806" s="2047"/>
      <c r="F806" s="2048"/>
      <c r="G806" s="2049"/>
      <c r="H806" s="2050"/>
      <c r="I806" s="2051"/>
      <c r="J806" s="2051"/>
      <c r="K806" s="2052"/>
      <c r="L806" s="2053"/>
      <c r="M806" s="2054"/>
      <c r="N806" s="2055"/>
      <c r="O806" s="2056"/>
      <c r="P806" s="1969"/>
      <c r="Q806" s="1953"/>
      <c r="R806" s="1954"/>
      <c r="S806" s="1954"/>
      <c r="T806" s="1969"/>
      <c r="U806" s="2060"/>
      <c r="Z806" s="1956"/>
      <c r="AA806" s="1956"/>
      <c r="AF806" s="1836"/>
      <c r="AG806" s="1836"/>
      <c r="AH806" s="1836"/>
      <c r="AI806" s="1837"/>
      <c r="AJ806" s="1960"/>
    </row>
    <row r="807" spans="1:36" ht="21.95" customHeight="1" x14ac:dyDescent="0.2">
      <c r="B807" s="2045"/>
      <c r="C807" s="2046"/>
      <c r="D807" s="2047" t="str">
        <f>SNI!$E$530</f>
        <v xml:space="preserve">Pekerja </v>
      </c>
      <c r="E807" s="2047"/>
      <c r="F807" s="2048"/>
      <c r="G807" s="2049">
        <f>SNI!$H$530</f>
        <v>0.66</v>
      </c>
      <c r="H807" s="2050" t="str">
        <f>SNI!$G$530</f>
        <v>OH</v>
      </c>
      <c r="I807" s="2051" t="str">
        <f>SNI!$M$530</f>
        <v>WNI</v>
      </c>
      <c r="J807" s="2051"/>
      <c r="K807" s="2052">
        <f>SNI!$L$530</f>
        <v>1</v>
      </c>
      <c r="L807" s="2053"/>
      <c r="M807" s="2054"/>
      <c r="N807" s="2055">
        <f>SNI!$I$530</f>
        <v>88300</v>
      </c>
      <c r="O807" s="2056"/>
      <c r="P807" s="1969">
        <f t="shared" ref="P807:P810" si="514">N807*G807</f>
        <v>58278</v>
      </c>
      <c r="Q807" s="1953"/>
      <c r="R807" s="1954"/>
      <c r="S807" s="1954">
        <f t="shared" ref="S807:S810" si="515">P807*K807</f>
        <v>58278</v>
      </c>
      <c r="T807" s="1969">
        <f t="shared" ref="T807:T810" si="516">P807-S807</f>
        <v>0</v>
      </c>
      <c r="U807" s="2060"/>
      <c r="Z807" s="1956"/>
      <c r="AA807" s="1956"/>
      <c r="AF807" s="1836"/>
      <c r="AG807" s="1836"/>
      <c r="AH807" s="1836"/>
      <c r="AI807" s="1837"/>
      <c r="AJ807" s="1960"/>
    </row>
    <row r="808" spans="1:36" ht="21.95" customHeight="1" x14ac:dyDescent="0.2">
      <c r="B808" s="2045"/>
      <c r="C808" s="2046"/>
      <c r="D808" s="2047" t="str">
        <f>SNI!$E$531</f>
        <v>Tukang Kayu</v>
      </c>
      <c r="E808" s="2047"/>
      <c r="F808" s="2048"/>
      <c r="G808" s="2049">
        <f>SNI!$H$531</f>
        <v>0.33</v>
      </c>
      <c r="H808" s="2050" t="str">
        <f>SNI!$G$531</f>
        <v>OH</v>
      </c>
      <c r="I808" s="2051" t="str">
        <f>SNI!$M$531</f>
        <v>WNI</v>
      </c>
      <c r="J808" s="2051"/>
      <c r="K808" s="2052">
        <f>SNI!$L$531</f>
        <v>1</v>
      </c>
      <c r="L808" s="2053"/>
      <c r="M808" s="2054"/>
      <c r="N808" s="2055">
        <f>SNI!$I$531</f>
        <v>92000</v>
      </c>
      <c r="O808" s="2056"/>
      <c r="P808" s="1969">
        <f t="shared" si="514"/>
        <v>30360</v>
      </c>
      <c r="Q808" s="1953"/>
      <c r="R808" s="1954"/>
      <c r="S808" s="1954">
        <f t="shared" si="515"/>
        <v>30360</v>
      </c>
      <c r="T808" s="1969">
        <f t="shared" si="516"/>
        <v>0</v>
      </c>
      <c r="U808" s="2060"/>
      <c r="Z808" s="1956"/>
      <c r="AA808" s="1956"/>
      <c r="AF808" s="1836"/>
      <c r="AG808" s="1836"/>
      <c r="AH808" s="1836"/>
      <c r="AI808" s="1837"/>
      <c r="AJ808" s="1960"/>
    </row>
    <row r="809" spans="1:36" ht="21.95" customHeight="1" x14ac:dyDescent="0.2">
      <c r="B809" s="2045"/>
      <c r="C809" s="2046"/>
      <c r="D809" s="2047" t="str">
        <f>SNI!$E$532</f>
        <v>Kepala Tukang</v>
      </c>
      <c r="E809" s="2047"/>
      <c r="F809" s="2048"/>
      <c r="G809" s="2049">
        <f>SNI!$H$532</f>
        <v>3.3000000000000002E-2</v>
      </c>
      <c r="H809" s="2050" t="str">
        <f>SNI!$G$532</f>
        <v>OH</v>
      </c>
      <c r="I809" s="2051" t="str">
        <f>SNI!$M$532</f>
        <v>WNI</v>
      </c>
      <c r="J809" s="2051"/>
      <c r="K809" s="2052">
        <f>SNI!$L$532</f>
        <v>1</v>
      </c>
      <c r="L809" s="2053"/>
      <c r="M809" s="2054"/>
      <c r="N809" s="2055">
        <f>SNI!$I$532</f>
        <v>96000</v>
      </c>
      <c r="O809" s="2056"/>
      <c r="P809" s="1969">
        <f t="shared" si="514"/>
        <v>3168</v>
      </c>
      <c r="Q809" s="1953"/>
      <c r="R809" s="1954"/>
      <c r="S809" s="1954">
        <f t="shared" si="515"/>
        <v>3168</v>
      </c>
      <c r="T809" s="1969">
        <f t="shared" si="516"/>
        <v>0</v>
      </c>
      <c r="U809" s="2060"/>
      <c r="Z809" s="1956"/>
      <c r="AA809" s="1956"/>
      <c r="AF809" s="1836"/>
      <c r="AG809" s="1836"/>
      <c r="AH809" s="1836"/>
      <c r="AI809" s="1837"/>
      <c r="AJ809" s="1960"/>
    </row>
    <row r="810" spans="1:36" ht="21.95" customHeight="1" x14ac:dyDescent="0.2">
      <c r="B810" s="2045"/>
      <c r="C810" s="2046"/>
      <c r="D810" s="2047" t="str">
        <f>SNI!$E$533</f>
        <v>Mandor</v>
      </c>
      <c r="E810" s="2047"/>
      <c r="F810" s="2048"/>
      <c r="G810" s="2049">
        <f>SNI!$H$533</f>
        <v>3.3000000000000002E-2</v>
      </c>
      <c r="H810" s="2050" t="str">
        <f>SNI!$G$533</f>
        <v>OH</v>
      </c>
      <c r="I810" s="2051" t="str">
        <f>SNI!$M$533</f>
        <v>WNI</v>
      </c>
      <c r="J810" s="2051"/>
      <c r="K810" s="2052">
        <f>SNI!$L$533</f>
        <v>1</v>
      </c>
      <c r="L810" s="2053"/>
      <c r="M810" s="2054"/>
      <c r="N810" s="2055">
        <f>SNI!$I$533</f>
        <v>90000</v>
      </c>
      <c r="O810" s="2056"/>
      <c r="P810" s="1969">
        <f t="shared" si="514"/>
        <v>2970</v>
      </c>
      <c r="Q810" s="1953"/>
      <c r="R810" s="1954"/>
      <c r="S810" s="1954">
        <f t="shared" si="515"/>
        <v>2970</v>
      </c>
      <c r="T810" s="1969">
        <f t="shared" si="516"/>
        <v>0</v>
      </c>
      <c r="U810" s="2060"/>
      <c r="Z810" s="1956"/>
      <c r="AA810" s="1956"/>
      <c r="AF810" s="1836"/>
      <c r="AG810" s="1836"/>
      <c r="AH810" s="1836"/>
      <c r="AI810" s="1837"/>
      <c r="AJ810" s="1960"/>
    </row>
    <row r="811" spans="1:36" s="1957" customFormat="1" ht="21.95" customHeight="1" x14ac:dyDescent="0.2">
      <c r="A811" s="1942"/>
      <c r="B811" s="1970"/>
      <c r="C811" s="1971"/>
      <c r="D811" s="1972"/>
      <c r="E811" s="1973"/>
      <c r="F811" s="1974" t="s">
        <v>556</v>
      </c>
      <c r="G811" s="1975">
        <f>B797</f>
        <v>24</v>
      </c>
      <c r="H811" s="1976"/>
      <c r="I811" s="1977"/>
      <c r="J811" s="1977"/>
      <c r="K811" s="1978"/>
      <c r="L811" s="1979"/>
      <c r="M811" s="1980"/>
      <c r="N811" s="1981"/>
      <c r="O811" s="1982"/>
      <c r="P811" s="1983">
        <f>SUM(P799:P810)</f>
        <v>214956</v>
      </c>
      <c r="Q811" s="1984"/>
      <c r="R811" s="1985"/>
      <c r="S811" s="1983">
        <f>SUM(S799:S810)</f>
        <v>164776</v>
      </c>
      <c r="T811" s="1983">
        <f>SUM(T799:T810)</f>
        <v>50180</v>
      </c>
      <c r="U811" s="1986"/>
      <c r="V811" s="1848"/>
      <c r="W811" s="1848"/>
      <c r="X811" s="1848"/>
      <c r="Y811" s="1848"/>
      <c r="Z811" s="1956"/>
      <c r="AA811" s="1956"/>
      <c r="AF811" s="1958"/>
      <c r="AG811" s="1958"/>
      <c r="AH811" s="1958"/>
      <c r="AI811" s="1959"/>
      <c r="AJ811" s="1960"/>
    </row>
    <row r="812" spans="1:36" ht="21.95" customHeight="1" x14ac:dyDescent="0.2">
      <c r="B812" s="2102"/>
      <c r="C812" s="2103"/>
      <c r="D812" s="2081" t="s">
        <v>1797</v>
      </c>
      <c r="E812" s="1930"/>
      <c r="F812" s="1931"/>
      <c r="G812" s="1945"/>
      <c r="H812" s="1933"/>
      <c r="I812" s="1934"/>
      <c r="J812" s="1934"/>
      <c r="K812" s="1935"/>
      <c r="L812" s="1936"/>
      <c r="M812" s="1936"/>
      <c r="N812" s="1951"/>
      <c r="O812" s="2066"/>
      <c r="P812" s="2067"/>
      <c r="Q812" s="1934"/>
      <c r="R812" s="1934"/>
      <c r="S812" s="1934"/>
      <c r="T812" s="1940"/>
      <c r="U812" s="1941"/>
      <c r="Z812" s="1956"/>
      <c r="AA812" s="1956">
        <f>Z812-G812</f>
        <v>0</v>
      </c>
      <c r="AB812" s="1836" t="s">
        <v>1797</v>
      </c>
      <c r="AF812" s="1836"/>
      <c r="AG812" s="1836"/>
      <c r="AH812" s="1836"/>
      <c r="AI812" s="1837"/>
      <c r="AJ812" s="1960">
        <f>AI812-N812</f>
        <v>0</v>
      </c>
    </row>
    <row r="813" spans="1:36" ht="21.95" customHeight="1" x14ac:dyDescent="0.2">
      <c r="A813" s="1833">
        <f>satpek!$B$40</f>
        <v>21</v>
      </c>
      <c r="B813" s="1943">
        <f>B797+1</f>
        <v>25</v>
      </c>
      <c r="C813" s="1937"/>
      <c r="D813" s="1944" t="str">
        <f>VLOOKUP($A813,satpek!$B$20:$N$144,2,0)</f>
        <v>Membuat beton mutu f'c = 21,7 Mpa - K 250</v>
      </c>
      <c r="E813" s="1944"/>
      <c r="F813" s="2004"/>
      <c r="G813" s="1945">
        <f>'[3]B.VOL RAB'!Q210</f>
        <v>9.3940000000000001</v>
      </c>
      <c r="H813" s="1946" t="str">
        <f>VLOOKUP($A813,satpek!$B$20:$N$144,7,0)</f>
        <v>m3</v>
      </c>
      <c r="I813" s="1947"/>
      <c r="J813" s="1947"/>
      <c r="K813" s="1948"/>
      <c r="L813" s="1949"/>
      <c r="M813" s="1950" t="str">
        <f>VLOOKUP($A813,satpek!$B$20:$N$144,5,0)</f>
        <v>A.4.1.1.8.</v>
      </c>
      <c r="N813" s="1951">
        <f>VLOOKUP($A813,satpek!$B$20:$N$144,6,0)</f>
        <v>1115753.29</v>
      </c>
      <c r="O813" s="1938"/>
      <c r="P813" s="1952">
        <f t="shared" ref="P813:P835" si="517">ROUND((G813*N813),2)</f>
        <v>10481386.41</v>
      </c>
      <c r="Q813" s="1953">
        <f>VLOOKUP($A813,satpek!$B$20:$L$138,8,0)</f>
        <v>0.93065078521121514</v>
      </c>
      <c r="R813" s="1954">
        <f>VLOOKUP($A813,satpek!$B$20:$L$138,9,0)</f>
        <v>918917.40999999992</v>
      </c>
      <c r="S813" s="1954">
        <f>VLOOKUP($A813,satpek!$B$20:$L$138,10,0)</f>
        <v>1038376.6732999999</v>
      </c>
      <c r="T813" s="1952">
        <f>S813*G813</f>
        <v>9754510.4689801987</v>
      </c>
      <c r="U813" s="1955"/>
      <c r="X813" s="1848">
        <f>P824</f>
        <v>987392.28571428568</v>
      </c>
      <c r="Y813" s="1848">
        <f>S824</f>
        <v>918917.40571428579</v>
      </c>
      <c r="Z813" s="1956">
        <v>9.3940000000000001</v>
      </c>
      <c r="AA813" s="1956">
        <f>Z813-G813</f>
        <v>0</v>
      </c>
      <c r="AB813" s="1836" t="s">
        <v>1905</v>
      </c>
      <c r="AF813" s="1836"/>
      <c r="AG813" s="1836"/>
      <c r="AH813" s="1836"/>
      <c r="AI813" s="1837">
        <v>1191397.42</v>
      </c>
      <c r="AJ813" s="1960">
        <f>AI813-N813</f>
        <v>75644.129999999888</v>
      </c>
    </row>
    <row r="814" spans="1:36" ht="21.95" customHeight="1" x14ac:dyDescent="0.2">
      <c r="B814" s="2045"/>
      <c r="C814" s="2046" t="str">
        <f>SNI!$D$389</f>
        <v>Bahan</v>
      </c>
      <c r="D814" s="2047"/>
      <c r="E814" s="2047"/>
      <c r="F814" s="2048"/>
      <c r="G814" s="2049"/>
      <c r="H814" s="2050"/>
      <c r="I814" s="2051"/>
      <c r="J814" s="2051"/>
      <c r="K814" s="2052"/>
      <c r="L814" s="2053"/>
      <c r="M814" s="2054"/>
      <c r="N814" s="2055"/>
      <c r="O814" s="2056"/>
      <c r="P814" s="2057"/>
      <c r="Q814" s="2058"/>
      <c r="R814" s="2059"/>
      <c r="S814" s="2059"/>
      <c r="T814" s="2057"/>
      <c r="U814" s="2060"/>
      <c r="Z814" s="1956"/>
      <c r="AA814" s="1956"/>
      <c r="AF814" s="1836"/>
      <c r="AG814" s="1836"/>
      <c r="AH814" s="1836"/>
      <c r="AI814" s="1837"/>
      <c r="AJ814" s="1960"/>
    </row>
    <row r="815" spans="1:36" ht="21.95" customHeight="1" x14ac:dyDescent="0.2">
      <c r="B815" s="2045"/>
      <c r="C815" s="2046"/>
      <c r="D815" s="2047" t="str">
        <f>SNI!$E$389</f>
        <v>PC</v>
      </c>
      <c r="E815" s="2047"/>
      <c r="F815" s="2048"/>
      <c r="G815" s="2049">
        <f>SNI!$H$389</f>
        <v>384</v>
      </c>
      <c r="H815" s="2050" t="str">
        <f>SNI!$G$389</f>
        <v>kg</v>
      </c>
      <c r="I815" s="2051"/>
      <c r="J815" s="2051"/>
      <c r="K815" s="2052">
        <f>SNI!$L$389</f>
        <v>0.85140000000000005</v>
      </c>
      <c r="L815" s="2053"/>
      <c r="M815" s="2054"/>
      <c r="N815" s="2055">
        <f>SNI!$I$389</f>
        <v>1200</v>
      </c>
      <c r="O815" s="2056"/>
      <c r="P815" s="1969">
        <f t="shared" ref="P815:P818" si="518">N815*G815</f>
        <v>460800</v>
      </c>
      <c r="Q815" s="1953"/>
      <c r="R815" s="1954"/>
      <c r="S815" s="1954">
        <f t="shared" ref="S815:S818" si="519">P815*K815</f>
        <v>392325.12</v>
      </c>
      <c r="T815" s="1969">
        <f t="shared" ref="T815:T818" si="520">P815-S815</f>
        <v>68474.880000000005</v>
      </c>
      <c r="U815" s="2060"/>
      <c r="Z815" s="1956"/>
      <c r="AA815" s="1956"/>
      <c r="AF815" s="1836"/>
      <c r="AG815" s="1836"/>
      <c r="AH815" s="1836"/>
      <c r="AI815" s="1837"/>
      <c r="AJ815" s="1960"/>
    </row>
    <row r="816" spans="1:36" ht="21.95" customHeight="1" x14ac:dyDescent="0.2">
      <c r="B816" s="2045"/>
      <c r="C816" s="2046"/>
      <c r="D816" s="2047" t="str">
        <f>SNI!$E$390</f>
        <v>Pasir Beton</v>
      </c>
      <c r="E816" s="2047"/>
      <c r="F816" s="2048"/>
      <c r="G816" s="2049">
        <f>SNI!$H$390</f>
        <v>692</v>
      </c>
      <c r="H816" s="2050" t="str">
        <f>SNI!$G$390</f>
        <v>kg</v>
      </c>
      <c r="I816" s="2051"/>
      <c r="J816" s="2051"/>
      <c r="K816" s="2052">
        <f>SNI!$L$390</f>
        <v>1</v>
      </c>
      <c r="L816" s="2053"/>
      <c r="M816" s="2054"/>
      <c r="N816" s="2055">
        <f>SNI!$I$390</f>
        <v>185.71428571428572</v>
      </c>
      <c r="O816" s="2056"/>
      <c r="P816" s="1969">
        <f t="shared" si="518"/>
        <v>128514.28571428572</v>
      </c>
      <c r="Q816" s="1953"/>
      <c r="R816" s="1954"/>
      <c r="S816" s="1954">
        <f t="shared" si="519"/>
        <v>128514.28571428572</v>
      </c>
      <c r="T816" s="1969">
        <f t="shared" si="520"/>
        <v>0</v>
      </c>
      <c r="U816" s="2060"/>
      <c r="Z816" s="1956"/>
      <c r="AA816" s="1956"/>
      <c r="AF816" s="1836"/>
      <c r="AG816" s="1836"/>
      <c r="AH816" s="1836"/>
      <c r="AI816" s="1837"/>
      <c r="AJ816" s="1960"/>
    </row>
    <row r="817" spans="1:36" ht="21.95" customHeight="1" x14ac:dyDescent="0.2">
      <c r="B817" s="2045"/>
      <c r="C817" s="2046"/>
      <c r="D817" s="2047" t="str">
        <f>SNI!$E$391</f>
        <v>Kerikil ( maks 30 mm )</v>
      </c>
      <c r="E817" s="2047"/>
      <c r="F817" s="2048"/>
      <c r="G817" s="2049">
        <f>SNI!$H$391</f>
        <v>1039</v>
      </c>
      <c r="H817" s="2050" t="str">
        <f>SNI!$G$391</f>
        <v>kg</v>
      </c>
      <c r="I817" s="2051"/>
      <c r="J817" s="2051"/>
      <c r="K817" s="2052">
        <f>SNI!$L$391</f>
        <v>1</v>
      </c>
      <c r="L817" s="2053"/>
      <c r="M817" s="2054"/>
      <c r="N817" s="2055">
        <f>SNI!$I$391</f>
        <v>200</v>
      </c>
      <c r="O817" s="2056"/>
      <c r="P817" s="1969">
        <f t="shared" si="518"/>
        <v>207800</v>
      </c>
      <c r="Q817" s="1953"/>
      <c r="R817" s="1954"/>
      <c r="S817" s="1954">
        <f t="shared" si="519"/>
        <v>207800</v>
      </c>
      <c r="T817" s="1969">
        <f t="shared" si="520"/>
        <v>0</v>
      </c>
      <c r="U817" s="2060"/>
      <c r="Z817" s="1956"/>
      <c r="AA817" s="1956"/>
      <c r="AF817" s="1836"/>
      <c r="AG817" s="1836"/>
      <c r="AH817" s="1836"/>
      <c r="AI817" s="1837"/>
      <c r="AJ817" s="1960"/>
    </row>
    <row r="818" spans="1:36" ht="21.95" customHeight="1" x14ac:dyDescent="0.2">
      <c r="B818" s="2045"/>
      <c r="C818" s="2046"/>
      <c r="D818" s="2047" t="str">
        <f>SNI!$E$392</f>
        <v>Air</v>
      </c>
      <c r="E818" s="2047"/>
      <c r="F818" s="2048"/>
      <c r="G818" s="2049">
        <f>SNI!$H$392</f>
        <v>215</v>
      </c>
      <c r="H818" s="2050" t="str">
        <f>SNI!$G$392</f>
        <v>ltr</v>
      </c>
      <c r="I818" s="2051"/>
      <c r="J818" s="2051"/>
      <c r="K818" s="2052">
        <f>SNI!$L$392</f>
        <v>1</v>
      </c>
      <c r="L818" s="2053"/>
      <c r="M818" s="2054"/>
      <c r="N818" s="2055">
        <f>SNI!$I$392</f>
        <v>45</v>
      </c>
      <c r="O818" s="2056"/>
      <c r="P818" s="1969">
        <f t="shared" si="518"/>
        <v>9675</v>
      </c>
      <c r="Q818" s="1953"/>
      <c r="R818" s="1954"/>
      <c r="S818" s="1954">
        <f t="shared" si="519"/>
        <v>9675</v>
      </c>
      <c r="T818" s="1969">
        <f t="shared" si="520"/>
        <v>0</v>
      </c>
      <c r="U818" s="2060"/>
      <c r="Z818" s="1956"/>
      <c r="AA818" s="1956"/>
      <c r="AF818" s="1836"/>
      <c r="AG818" s="1836"/>
      <c r="AH818" s="1836"/>
      <c r="AI818" s="1837"/>
      <c r="AJ818" s="1960"/>
    </row>
    <row r="819" spans="1:36" ht="21.95" customHeight="1" x14ac:dyDescent="0.2">
      <c r="B819" s="2045"/>
      <c r="C819" s="2046" t="str">
        <f>SNI!$D$394</f>
        <v>Tenaga Kerja</v>
      </c>
      <c r="D819" s="2047"/>
      <c r="E819" s="2047"/>
      <c r="F819" s="2048"/>
      <c r="G819" s="2049"/>
      <c r="H819" s="2050"/>
      <c r="I819" s="2051"/>
      <c r="J819" s="2051"/>
      <c r="K819" s="2052"/>
      <c r="L819" s="2053"/>
      <c r="M819" s="2054"/>
      <c r="N819" s="2055"/>
      <c r="O819" s="2056"/>
      <c r="P819" s="1969"/>
      <c r="Q819" s="1953"/>
      <c r="R819" s="1954"/>
      <c r="S819" s="1954"/>
      <c r="T819" s="1969"/>
      <c r="U819" s="2060"/>
      <c r="Z819" s="1956"/>
      <c r="AA819" s="1956"/>
      <c r="AF819" s="1836"/>
      <c r="AG819" s="1836"/>
      <c r="AH819" s="1836"/>
      <c r="AI819" s="1837"/>
      <c r="AJ819" s="1960"/>
    </row>
    <row r="820" spans="1:36" ht="21.95" customHeight="1" x14ac:dyDescent="0.2">
      <c r="B820" s="2045"/>
      <c r="C820" s="2046"/>
      <c r="D820" s="2047" t="str">
        <f>SNI!$E$394</f>
        <v xml:space="preserve">Pekerja </v>
      </c>
      <c r="E820" s="2047"/>
      <c r="F820" s="2048"/>
      <c r="G820" s="2049">
        <f>SNI!$H$394</f>
        <v>1.65</v>
      </c>
      <c r="H820" s="2050" t="str">
        <f>SNI!$G$394</f>
        <v>OH</v>
      </c>
      <c r="I820" s="2051" t="str">
        <f>SNI!$M$394</f>
        <v>WNI</v>
      </c>
      <c r="J820" s="2051"/>
      <c r="K820" s="2052">
        <f>SNI!$L$394</f>
        <v>1</v>
      </c>
      <c r="L820" s="2053"/>
      <c r="M820" s="2054"/>
      <c r="N820" s="2055">
        <f>SNI!$I$394</f>
        <v>88300</v>
      </c>
      <c r="O820" s="2056"/>
      <c r="P820" s="1969">
        <f t="shared" ref="P820:P823" si="521">N820*G820</f>
        <v>145695</v>
      </c>
      <c r="Q820" s="1953"/>
      <c r="R820" s="1954"/>
      <c r="S820" s="1954">
        <f t="shared" ref="S820:S823" si="522">P820*K820</f>
        <v>145695</v>
      </c>
      <c r="T820" s="1969">
        <f t="shared" ref="T820:T823" si="523">P820-S820</f>
        <v>0</v>
      </c>
      <c r="U820" s="2060"/>
      <c r="Z820" s="1956"/>
      <c r="AA820" s="1956"/>
      <c r="AF820" s="1836"/>
      <c r="AG820" s="1836"/>
      <c r="AH820" s="1836"/>
      <c r="AI820" s="1837"/>
      <c r="AJ820" s="1960"/>
    </row>
    <row r="821" spans="1:36" ht="21.95" customHeight="1" x14ac:dyDescent="0.2">
      <c r="B821" s="2045"/>
      <c r="C821" s="2046"/>
      <c r="D821" s="2047" t="str">
        <f>SNI!$E$395</f>
        <v>Tukang Batu</v>
      </c>
      <c r="E821" s="2047"/>
      <c r="F821" s="2048"/>
      <c r="G821" s="2049">
        <f>SNI!$H$395</f>
        <v>0.27500000000000002</v>
      </c>
      <c r="H821" s="2050" t="str">
        <f>SNI!$G$395</f>
        <v>OH</v>
      </c>
      <c r="I821" s="2051" t="str">
        <f>SNI!$M$395</f>
        <v>WNI</v>
      </c>
      <c r="J821" s="2051"/>
      <c r="K821" s="2052">
        <f>SNI!$L$395</f>
        <v>1</v>
      </c>
      <c r="L821" s="2053"/>
      <c r="M821" s="2054"/>
      <c r="N821" s="2055">
        <f>SNI!$I$395</f>
        <v>90000</v>
      </c>
      <c r="O821" s="2056"/>
      <c r="P821" s="1969">
        <f t="shared" si="521"/>
        <v>24750.000000000004</v>
      </c>
      <c r="Q821" s="1953"/>
      <c r="R821" s="1954"/>
      <c r="S821" s="1954">
        <f t="shared" si="522"/>
        <v>24750.000000000004</v>
      </c>
      <c r="T821" s="1969">
        <f t="shared" si="523"/>
        <v>0</v>
      </c>
      <c r="U821" s="2060"/>
      <c r="Z821" s="1956"/>
      <c r="AA821" s="1956"/>
      <c r="AF821" s="1836"/>
      <c r="AG821" s="1836"/>
      <c r="AH821" s="1836"/>
      <c r="AI821" s="1837"/>
      <c r="AJ821" s="1960"/>
    </row>
    <row r="822" spans="1:36" ht="21.95" customHeight="1" x14ac:dyDescent="0.2">
      <c r="B822" s="2045"/>
      <c r="C822" s="2046"/>
      <c r="D822" s="2047" t="str">
        <f>SNI!$E$396</f>
        <v>Kepala Tukang</v>
      </c>
      <c r="E822" s="2047"/>
      <c r="F822" s="2048"/>
      <c r="G822" s="2049">
        <f>SNI!$H$396</f>
        <v>2.8000000000000001E-2</v>
      </c>
      <c r="H822" s="2050" t="str">
        <f>SNI!$G$396</f>
        <v>OH</v>
      </c>
      <c r="I822" s="2051" t="str">
        <f>SNI!$M$396</f>
        <v>WNI</v>
      </c>
      <c r="J822" s="2051"/>
      <c r="K822" s="2052">
        <f>SNI!$L$396</f>
        <v>1</v>
      </c>
      <c r="L822" s="2053"/>
      <c r="M822" s="2054"/>
      <c r="N822" s="2055">
        <f>SNI!$I$396</f>
        <v>96000</v>
      </c>
      <c r="O822" s="2056"/>
      <c r="P822" s="1969">
        <f t="shared" si="521"/>
        <v>2688</v>
      </c>
      <c r="Q822" s="1953"/>
      <c r="R822" s="1954"/>
      <c r="S822" s="1954">
        <f t="shared" si="522"/>
        <v>2688</v>
      </c>
      <c r="T822" s="1969">
        <f t="shared" si="523"/>
        <v>0</v>
      </c>
      <c r="U822" s="2060"/>
      <c r="Z822" s="1956"/>
      <c r="AA822" s="1956"/>
      <c r="AF822" s="1836"/>
      <c r="AG822" s="1836"/>
      <c r="AH822" s="1836"/>
      <c r="AI822" s="1837"/>
      <c r="AJ822" s="1960"/>
    </row>
    <row r="823" spans="1:36" ht="21.95" customHeight="1" x14ac:dyDescent="0.2">
      <c r="B823" s="2045"/>
      <c r="C823" s="2046"/>
      <c r="D823" s="2047" t="str">
        <f>SNI!$E$397</f>
        <v>Mandor</v>
      </c>
      <c r="E823" s="2047"/>
      <c r="F823" s="2048"/>
      <c r="G823" s="2049">
        <f>SNI!$H$397</f>
        <v>8.3000000000000004E-2</v>
      </c>
      <c r="H823" s="2050" t="str">
        <f>SNI!$G$397</f>
        <v>OH</v>
      </c>
      <c r="I823" s="2051" t="str">
        <f>SNI!$M$397</f>
        <v>WNI</v>
      </c>
      <c r="J823" s="2051"/>
      <c r="K823" s="2052">
        <f>SNI!$L$397</f>
        <v>1</v>
      </c>
      <c r="L823" s="2053"/>
      <c r="M823" s="2054"/>
      <c r="N823" s="2055">
        <f>SNI!$I$397</f>
        <v>90000</v>
      </c>
      <c r="O823" s="2056"/>
      <c r="P823" s="1969">
        <f t="shared" si="521"/>
        <v>7470</v>
      </c>
      <c r="Q823" s="1953"/>
      <c r="R823" s="1954"/>
      <c r="S823" s="1954">
        <f t="shared" si="522"/>
        <v>7470</v>
      </c>
      <c r="T823" s="1969">
        <f t="shared" si="523"/>
        <v>0</v>
      </c>
      <c r="U823" s="2060"/>
      <c r="Z823" s="1956"/>
      <c r="AA823" s="1956"/>
      <c r="AF823" s="1836"/>
      <c r="AG823" s="1836"/>
      <c r="AH823" s="1836"/>
      <c r="AI823" s="1837"/>
      <c r="AJ823" s="1960"/>
    </row>
    <row r="824" spans="1:36" s="1957" customFormat="1" ht="21.95" customHeight="1" x14ac:dyDescent="0.2">
      <c r="A824" s="1942"/>
      <c r="B824" s="1970"/>
      <c r="C824" s="1971"/>
      <c r="D824" s="1972"/>
      <c r="E824" s="1973"/>
      <c r="F824" s="1974" t="s">
        <v>556</v>
      </c>
      <c r="G824" s="1975">
        <f>B813</f>
        <v>25</v>
      </c>
      <c r="H824" s="1976"/>
      <c r="I824" s="1977"/>
      <c r="J824" s="1977"/>
      <c r="K824" s="1978"/>
      <c r="L824" s="1979"/>
      <c r="M824" s="1980"/>
      <c r="N824" s="1981"/>
      <c r="O824" s="1982"/>
      <c r="P824" s="1983">
        <f>SUM(P815:P823)</f>
        <v>987392.28571428568</v>
      </c>
      <c r="Q824" s="1984"/>
      <c r="R824" s="1985"/>
      <c r="S824" s="1983">
        <f>SUM(S815:S823)</f>
        <v>918917.40571428579</v>
      </c>
      <c r="T824" s="1983">
        <f>SUM(T815:T823)</f>
        <v>68474.880000000005</v>
      </c>
      <c r="U824" s="1986"/>
      <c r="V824" s="1848"/>
      <c r="W824" s="1848"/>
      <c r="X824" s="1848"/>
      <c r="Y824" s="1848"/>
      <c r="Z824" s="1956"/>
      <c r="AA824" s="1956"/>
      <c r="AF824" s="1958"/>
      <c r="AG824" s="1958"/>
      <c r="AH824" s="1958"/>
      <c r="AI824" s="1959"/>
      <c r="AJ824" s="1960"/>
    </row>
    <row r="825" spans="1:36" ht="21.95" customHeight="1" x14ac:dyDescent="0.2">
      <c r="A825" s="1833">
        <f>satpek!$B$41</f>
        <v>22</v>
      </c>
      <c r="B825" s="1943">
        <f>B813+1</f>
        <v>26</v>
      </c>
      <c r="C825" s="1937"/>
      <c r="D825" s="1944" t="str">
        <f>VLOOKUP($A825,satpek!$B$20:$N$144,2,0)</f>
        <v>Pembesian 1 kg dengan besi polos atau besi ulir</v>
      </c>
      <c r="E825" s="1944"/>
      <c r="F825" s="2004"/>
      <c r="G825" s="1945">
        <f>'[3]B.VOL RAB'!Q212</f>
        <v>595.16096804676351</v>
      </c>
      <c r="H825" s="1946" t="str">
        <f>VLOOKUP($A825,satpek!$B$20:$N$144,7,0)</f>
        <v>kg</v>
      </c>
      <c r="I825" s="1947"/>
      <c r="J825" s="1947"/>
      <c r="K825" s="1948"/>
      <c r="L825" s="1949"/>
      <c r="M825" s="1950" t="str">
        <f>VLOOKUP($A825,satpek!$B$20:$N$144,5,0)</f>
        <v>A.4.1.1.17.</v>
      </c>
      <c r="N825" s="1951">
        <f>VLOOKUP($A825,satpek!$B$20:$N$144,6,0)</f>
        <v>15603.94</v>
      </c>
      <c r="O825" s="1938"/>
      <c r="P825" s="1952">
        <f t="shared" si="517"/>
        <v>9286856.0399999991</v>
      </c>
      <c r="Q825" s="1953">
        <f>VLOOKUP($A825,satpek!$B$20:$L$138,8,0)</f>
        <v>0.46415793062521393</v>
      </c>
      <c r="R825" s="1954">
        <f>VLOOKUP($A825,satpek!$B$20:$L$138,9,0)</f>
        <v>7242.692500000001</v>
      </c>
      <c r="S825" s="1954">
        <f>VLOOKUP($A825,satpek!$B$20:$L$138,10,0)</f>
        <v>8184.2425250000015</v>
      </c>
      <c r="T825" s="1952">
        <f>S825*G825</f>
        <v>4870941.7039084891</v>
      </c>
      <c r="U825" s="1955"/>
      <c r="X825" s="1848">
        <f>P834</f>
        <v>13808.800000000001</v>
      </c>
      <c r="Y825" s="1848">
        <f>S834</f>
        <v>7242.6925000000001</v>
      </c>
      <c r="Z825" s="1956">
        <v>595.16096804676351</v>
      </c>
      <c r="AA825" s="1956">
        <f>Z825-G825</f>
        <v>0</v>
      </c>
      <c r="AB825" s="1836" t="s">
        <v>420</v>
      </c>
      <c r="AF825" s="1836"/>
      <c r="AG825" s="1836"/>
      <c r="AH825" s="1836"/>
      <c r="AI825" s="1837">
        <v>15438.06</v>
      </c>
      <c r="AJ825" s="1960">
        <f>AI825-N825</f>
        <v>-165.88000000000102</v>
      </c>
    </row>
    <row r="826" spans="1:36" ht="21.95" customHeight="1" x14ac:dyDescent="0.2">
      <c r="B826" s="2045"/>
      <c r="C826" s="2046" t="str">
        <f>SNI!$D$410</f>
        <v>Bahan</v>
      </c>
      <c r="D826" s="2047"/>
      <c r="E826" s="2047"/>
      <c r="F826" s="2048"/>
      <c r="G826" s="2049"/>
      <c r="H826" s="2050"/>
      <c r="I826" s="2051"/>
      <c r="J826" s="2051"/>
      <c r="K826" s="2052"/>
      <c r="L826" s="2053"/>
      <c r="M826" s="2054"/>
      <c r="N826" s="2055"/>
      <c r="O826" s="2056"/>
      <c r="P826" s="2057"/>
      <c r="Q826" s="2058"/>
      <c r="R826" s="2059"/>
      <c r="S826" s="2059"/>
      <c r="T826" s="2057"/>
      <c r="U826" s="2060"/>
      <c r="Z826" s="1956"/>
      <c r="AA826" s="1956"/>
      <c r="AF826" s="1836"/>
      <c r="AG826" s="1836"/>
      <c r="AH826" s="1836"/>
      <c r="AI826" s="1837"/>
      <c r="AJ826" s="1960"/>
    </row>
    <row r="827" spans="1:36" ht="21.95" customHeight="1" x14ac:dyDescent="0.2">
      <c r="B827" s="2045"/>
      <c r="C827" s="2046"/>
      <c r="D827" s="2047" t="str">
        <f>SNI!$E$410</f>
        <v>Besi Beton ( polos/ulir )</v>
      </c>
      <c r="E827" s="2047"/>
      <c r="F827" s="2048"/>
      <c r="G827" s="2049">
        <f>SNI!$H$410/10</f>
        <v>1.05</v>
      </c>
      <c r="H827" s="2050" t="str">
        <f>SNI!$G$410</f>
        <v>kg</v>
      </c>
      <c r="I827" s="2051"/>
      <c r="J827" s="2051"/>
      <c r="K827" s="2052">
        <f>SNI!$L$410</f>
        <v>0.4879</v>
      </c>
      <c r="L827" s="2053"/>
      <c r="M827" s="2054"/>
      <c r="N827" s="2055">
        <f>SNI!$I$410</f>
        <v>11500</v>
      </c>
      <c r="O827" s="2056"/>
      <c r="P827" s="1969">
        <f t="shared" ref="P827:P828" si="524">N827*G827</f>
        <v>12075</v>
      </c>
      <c r="Q827" s="1953"/>
      <c r="R827" s="1954"/>
      <c r="S827" s="1954">
        <f t="shared" ref="S827:S828" si="525">P827*K827</f>
        <v>5891.3924999999999</v>
      </c>
      <c r="T827" s="1969">
        <f t="shared" ref="T827:T828" si="526">P827-S827</f>
        <v>6183.6075000000001</v>
      </c>
      <c r="U827" s="2060"/>
      <c r="Z827" s="1956"/>
      <c r="AA827" s="1956"/>
      <c r="AF827" s="1836"/>
      <c r="AG827" s="1836"/>
      <c r="AH827" s="1836"/>
      <c r="AI827" s="1837"/>
      <c r="AJ827" s="1960"/>
    </row>
    <row r="828" spans="1:36" ht="21.95" customHeight="1" x14ac:dyDescent="0.2">
      <c r="B828" s="2045"/>
      <c r="C828" s="2046"/>
      <c r="D828" s="2047" t="str">
        <f>SNI!$E$411</f>
        <v>Kawat Beton</v>
      </c>
      <c r="E828" s="2047"/>
      <c r="F828" s="2048"/>
      <c r="G828" s="2049">
        <f>SNI!$H$411/10</f>
        <v>1.4999999999999999E-2</v>
      </c>
      <c r="H828" s="2050" t="e">
        <f>SNI!#REF!</f>
        <v>#REF!</v>
      </c>
      <c r="I828" s="2051"/>
      <c r="J828" s="2051"/>
      <c r="K828" s="2052">
        <f>SNI!$L$411</f>
        <v>0</v>
      </c>
      <c r="L828" s="2053"/>
      <c r="M828" s="2054"/>
      <c r="N828" s="2055">
        <f>SNI!$I$411</f>
        <v>25500</v>
      </c>
      <c r="O828" s="2056"/>
      <c r="P828" s="1969">
        <f t="shared" si="524"/>
        <v>382.5</v>
      </c>
      <c r="Q828" s="1953"/>
      <c r="R828" s="1954"/>
      <c r="S828" s="1954">
        <f t="shared" si="525"/>
        <v>0</v>
      </c>
      <c r="T828" s="1969">
        <f t="shared" si="526"/>
        <v>382.5</v>
      </c>
      <c r="U828" s="2060"/>
      <c r="Z828" s="1956"/>
      <c r="AA828" s="1956"/>
      <c r="AF828" s="1836"/>
      <c r="AG828" s="1836"/>
      <c r="AH828" s="1836"/>
      <c r="AI828" s="1837"/>
      <c r="AJ828" s="1960"/>
    </row>
    <row r="829" spans="1:36" ht="21.95" customHeight="1" x14ac:dyDescent="0.2">
      <c r="B829" s="2045"/>
      <c r="C829" s="2046" t="str">
        <f>SNI!$D$413</f>
        <v>Tenaga Kerja</v>
      </c>
      <c r="D829" s="2047"/>
      <c r="E829" s="2047"/>
      <c r="F829" s="2048"/>
      <c r="G829" s="2049"/>
      <c r="H829" s="2050"/>
      <c r="I829" s="2051"/>
      <c r="J829" s="2051"/>
      <c r="K829" s="2052"/>
      <c r="L829" s="2053"/>
      <c r="M829" s="2054"/>
      <c r="N829" s="2055"/>
      <c r="O829" s="2056"/>
      <c r="P829" s="1969"/>
      <c r="Q829" s="1953"/>
      <c r="R829" s="1954"/>
      <c r="S829" s="1954"/>
      <c r="T829" s="1969"/>
      <c r="U829" s="2060"/>
      <c r="Z829" s="1956"/>
      <c r="AA829" s="1956"/>
      <c r="AF829" s="1836"/>
      <c r="AG829" s="1836"/>
      <c r="AH829" s="1836"/>
      <c r="AI829" s="1837"/>
      <c r="AJ829" s="1960"/>
    </row>
    <row r="830" spans="1:36" ht="21.95" customHeight="1" x14ac:dyDescent="0.2">
      <c r="B830" s="2045"/>
      <c r="C830" s="2046"/>
      <c r="D830" s="2047" t="str">
        <f>SNI!$E$413</f>
        <v xml:space="preserve">Pekerja </v>
      </c>
      <c r="E830" s="2047"/>
      <c r="F830" s="2048"/>
      <c r="G830" s="2049">
        <f>SNI!$H$413/10</f>
        <v>7.000000000000001E-3</v>
      </c>
      <c r="H830" s="2050" t="str">
        <f>SNI!$G$413</f>
        <v>OH</v>
      </c>
      <c r="I830" s="2051" t="str">
        <f>SNI!$M$413</f>
        <v>WNI</v>
      </c>
      <c r="J830" s="2051"/>
      <c r="K830" s="2052">
        <f>SNI!$L$413</f>
        <v>1</v>
      </c>
      <c r="L830" s="2053"/>
      <c r="M830" s="2054"/>
      <c r="N830" s="2055">
        <f>SNI!$I$413</f>
        <v>88300</v>
      </c>
      <c r="O830" s="2056"/>
      <c r="P830" s="1969">
        <f t="shared" ref="P830:P833" si="527">N830*G830</f>
        <v>618.10000000000014</v>
      </c>
      <c r="Q830" s="1953"/>
      <c r="R830" s="1954"/>
      <c r="S830" s="1954">
        <f t="shared" ref="S830:S833" si="528">P830*K830</f>
        <v>618.10000000000014</v>
      </c>
      <c r="T830" s="1969">
        <f t="shared" ref="T830:T833" si="529">P830-S830</f>
        <v>0</v>
      </c>
      <c r="U830" s="2060"/>
      <c r="Z830" s="1956"/>
      <c r="AA830" s="1956"/>
      <c r="AF830" s="1836"/>
      <c r="AG830" s="1836"/>
      <c r="AH830" s="1836"/>
      <c r="AI830" s="1837"/>
      <c r="AJ830" s="1960"/>
    </row>
    <row r="831" spans="1:36" ht="21.95" customHeight="1" x14ac:dyDescent="0.2">
      <c r="B831" s="2045"/>
      <c r="C831" s="2046"/>
      <c r="D831" s="2047" t="str">
        <f>SNI!$E$414</f>
        <v>Tukang Besi</v>
      </c>
      <c r="E831" s="2047"/>
      <c r="F831" s="2048"/>
      <c r="G831" s="2049">
        <f>SNI!$H$414/10</f>
        <v>7.000000000000001E-3</v>
      </c>
      <c r="H831" s="2050" t="str">
        <f>SNI!$G$414</f>
        <v>OH</v>
      </c>
      <c r="I831" s="2051" t="str">
        <f>SNI!$M$414</f>
        <v>WNI</v>
      </c>
      <c r="J831" s="2051"/>
      <c r="K831" s="2052">
        <f>SNI!$L$414</f>
        <v>1</v>
      </c>
      <c r="L831" s="2053"/>
      <c r="M831" s="2054"/>
      <c r="N831" s="2055">
        <f>SNI!$I$414</f>
        <v>90000</v>
      </c>
      <c r="O831" s="2056"/>
      <c r="P831" s="1969">
        <f t="shared" si="527"/>
        <v>630.00000000000011</v>
      </c>
      <c r="Q831" s="1953"/>
      <c r="R831" s="1954"/>
      <c r="S831" s="1954">
        <f t="shared" si="528"/>
        <v>630.00000000000011</v>
      </c>
      <c r="T831" s="1969">
        <f t="shared" si="529"/>
        <v>0</v>
      </c>
      <c r="U831" s="2060"/>
      <c r="Z831" s="1956"/>
      <c r="AA831" s="1956"/>
      <c r="AF831" s="1836"/>
      <c r="AG831" s="1836"/>
      <c r="AH831" s="1836"/>
      <c r="AI831" s="1837"/>
      <c r="AJ831" s="1960"/>
    </row>
    <row r="832" spans="1:36" ht="21.95" customHeight="1" x14ac:dyDescent="0.2">
      <c r="B832" s="2045"/>
      <c r="C832" s="2046"/>
      <c r="D832" s="2047" t="str">
        <f>SNI!$E$415</f>
        <v>Kepala Tukang</v>
      </c>
      <c r="E832" s="2047"/>
      <c r="F832" s="2048"/>
      <c r="G832" s="2049">
        <f>SNI!$H$415/10</f>
        <v>6.9999999999999999E-4</v>
      </c>
      <c r="H832" s="2050" t="str">
        <f>SNI!$G$415</f>
        <v>OH</v>
      </c>
      <c r="I832" s="2051" t="str">
        <f>SNI!$M$415</f>
        <v>WNI</v>
      </c>
      <c r="J832" s="2051"/>
      <c r="K832" s="2052">
        <f>SNI!$L$415</f>
        <v>1</v>
      </c>
      <c r="L832" s="2053"/>
      <c r="M832" s="2054"/>
      <c r="N832" s="2055">
        <f>SNI!$I$415</f>
        <v>96000</v>
      </c>
      <c r="O832" s="2056"/>
      <c r="P832" s="1969">
        <f t="shared" si="527"/>
        <v>67.2</v>
      </c>
      <c r="Q832" s="1953"/>
      <c r="R832" s="1954"/>
      <c r="S832" s="1954">
        <f t="shared" si="528"/>
        <v>67.2</v>
      </c>
      <c r="T832" s="1969">
        <f t="shared" si="529"/>
        <v>0</v>
      </c>
      <c r="U832" s="2060"/>
      <c r="Z832" s="1956"/>
      <c r="AA832" s="1956"/>
      <c r="AF832" s="1836"/>
      <c r="AG832" s="1836"/>
      <c r="AH832" s="1836"/>
      <c r="AI832" s="1837"/>
      <c r="AJ832" s="1960"/>
    </row>
    <row r="833" spans="1:36" ht="21.95" customHeight="1" x14ac:dyDescent="0.2">
      <c r="B833" s="2045"/>
      <c r="C833" s="2046"/>
      <c r="D833" s="2047" t="str">
        <f>SNI!$E$416</f>
        <v>Mandor</v>
      </c>
      <c r="E833" s="2047"/>
      <c r="F833" s="2048"/>
      <c r="G833" s="2049">
        <f>SNI!$H$416/10</f>
        <v>4.0000000000000002E-4</v>
      </c>
      <c r="H833" s="2050" t="str">
        <f>SNI!$G$416</f>
        <v>OH</v>
      </c>
      <c r="I833" s="2051" t="str">
        <f>SNI!$M$416</f>
        <v>WNI</v>
      </c>
      <c r="J833" s="2051"/>
      <c r="K833" s="2052">
        <f>SNI!$L$416</f>
        <v>1</v>
      </c>
      <c r="L833" s="2053"/>
      <c r="M833" s="2054"/>
      <c r="N833" s="2055">
        <f>SNI!$I$416</f>
        <v>90000</v>
      </c>
      <c r="O833" s="2056"/>
      <c r="P833" s="1969">
        <f t="shared" si="527"/>
        <v>36</v>
      </c>
      <c r="Q833" s="1953"/>
      <c r="R833" s="1954"/>
      <c r="S833" s="1954">
        <f t="shared" si="528"/>
        <v>36</v>
      </c>
      <c r="T833" s="1969">
        <f t="shared" si="529"/>
        <v>0</v>
      </c>
      <c r="U833" s="2060"/>
      <c r="Z833" s="1956"/>
      <c r="AA833" s="1956"/>
      <c r="AF833" s="1836"/>
      <c r="AG833" s="1836"/>
      <c r="AH833" s="1836"/>
      <c r="AI833" s="1837"/>
      <c r="AJ833" s="1960"/>
    </row>
    <row r="834" spans="1:36" s="1957" customFormat="1" ht="21.95" customHeight="1" x14ac:dyDescent="0.2">
      <c r="A834" s="1942"/>
      <c r="B834" s="1970"/>
      <c r="C834" s="1971"/>
      <c r="D834" s="1972"/>
      <c r="E834" s="1973"/>
      <c r="F834" s="1974" t="s">
        <v>556</v>
      </c>
      <c r="G834" s="1975">
        <f>B825</f>
        <v>26</v>
      </c>
      <c r="H834" s="1976"/>
      <c r="I834" s="1977"/>
      <c r="J834" s="1977"/>
      <c r="K834" s="1978"/>
      <c r="L834" s="1979"/>
      <c r="M834" s="1980"/>
      <c r="N834" s="1981"/>
      <c r="O834" s="1982"/>
      <c r="P834" s="1983">
        <f>SUM(P827:P833)</f>
        <v>13808.800000000001</v>
      </c>
      <c r="Q834" s="1984"/>
      <c r="R834" s="1985"/>
      <c r="S834" s="1983">
        <f t="shared" ref="S834" si="530">SUM(S827:S833)</f>
        <v>7242.6925000000001</v>
      </c>
      <c r="T834" s="1983">
        <f t="shared" ref="T834" si="531">SUM(T827:T833)</f>
        <v>6566.1075000000001</v>
      </c>
      <c r="U834" s="1986"/>
      <c r="V834" s="1848"/>
      <c r="W834" s="1848"/>
      <c r="X834" s="1848"/>
      <c r="Y834" s="1848"/>
      <c r="Z834" s="1956"/>
      <c r="AA834" s="1956"/>
      <c r="AF834" s="1958"/>
      <c r="AG834" s="1958"/>
      <c r="AH834" s="1958"/>
      <c r="AI834" s="1959"/>
      <c r="AJ834" s="1960"/>
    </row>
    <row r="835" spans="1:36" ht="21.95" customHeight="1" x14ac:dyDescent="0.2">
      <c r="A835" s="1833">
        <f>satpek!$B$46</f>
        <v>27</v>
      </c>
      <c r="B835" s="1943">
        <f>B825+1</f>
        <v>27</v>
      </c>
      <c r="C835" s="1937"/>
      <c r="D835" s="1944" t="str">
        <f>VLOOKUP($A835,satpek!$B$20:$N$144,2,0)</f>
        <v>Memasang bekisting untuk lantai (2x pakai)</v>
      </c>
      <c r="E835" s="1944"/>
      <c r="F835" s="2004"/>
      <c r="G835" s="1945">
        <f>'[3]B.VOL RAB'!Q214</f>
        <v>285.63399999999996</v>
      </c>
      <c r="H835" s="1946" t="str">
        <f>VLOOKUP($A835,satpek!$B$20:$N$144,7,0)</f>
        <v>m2</v>
      </c>
      <c r="I835" s="1947"/>
      <c r="J835" s="1947"/>
      <c r="K835" s="1948"/>
      <c r="L835" s="1949"/>
      <c r="M835" s="1950" t="str">
        <f>VLOOKUP($A835,satpek!$B$20:$N$144,5,0)</f>
        <v>A.4.1.1.24</v>
      </c>
      <c r="N835" s="1951">
        <f>VLOOKUP($A835,satpek!$B$20:$N$144,6,0)</f>
        <v>242900.28</v>
      </c>
      <c r="O835" s="1938"/>
      <c r="P835" s="1952">
        <f t="shared" si="517"/>
        <v>69380578.579999998</v>
      </c>
      <c r="Q835" s="1953">
        <f>VLOOKUP($A835,satpek!$B$20:$L$138,8,0)</f>
        <v>0.76655687675617334</v>
      </c>
      <c r="R835" s="1954">
        <f>VLOOKUP($A835,satpek!$B$20:$L$138,9,0)</f>
        <v>164776</v>
      </c>
      <c r="S835" s="1954">
        <f>VLOOKUP($A835,satpek!$B$20:$L$138,10,0)</f>
        <v>186196.88</v>
      </c>
      <c r="T835" s="1952">
        <f>S835*G835</f>
        <v>53184159.621919997</v>
      </c>
      <c r="U835" s="1955"/>
      <c r="X835" s="1848">
        <f>P849</f>
        <v>214956</v>
      </c>
      <c r="Y835" s="1848">
        <f>S849</f>
        <v>164776</v>
      </c>
      <c r="Z835" s="1956">
        <v>285.63399999999996</v>
      </c>
      <c r="AA835" s="1956">
        <f>Z835-G835</f>
        <v>0</v>
      </c>
      <c r="AB835" s="1836" t="s">
        <v>1910</v>
      </c>
      <c r="AF835" s="1836"/>
      <c r="AG835" s="1836"/>
      <c r="AH835" s="1836"/>
      <c r="AI835" s="1837">
        <v>195923.91999999998</v>
      </c>
      <c r="AJ835" s="1960">
        <f>AI835-N835</f>
        <v>-46976.360000000015</v>
      </c>
    </row>
    <row r="836" spans="1:36" ht="21.95" customHeight="1" x14ac:dyDescent="0.2">
      <c r="B836" s="2045"/>
      <c r="C836" s="2046" t="str">
        <f>SNI!$D$522</f>
        <v>Bahan</v>
      </c>
      <c r="D836" s="2047"/>
      <c r="E836" s="2047"/>
      <c r="F836" s="2048"/>
      <c r="G836" s="2049"/>
      <c r="H836" s="2050"/>
      <c r="I836" s="2051"/>
      <c r="J836" s="2051"/>
      <c r="K836" s="2052"/>
      <c r="L836" s="2053"/>
      <c r="M836" s="2054"/>
      <c r="N836" s="2055"/>
      <c r="O836" s="2056"/>
      <c r="P836" s="2057"/>
      <c r="Q836" s="2058"/>
      <c r="R836" s="2059"/>
      <c r="S836" s="2059"/>
      <c r="T836" s="2055"/>
      <c r="U836" s="2060"/>
      <c r="Z836" s="1956"/>
      <c r="AA836" s="1956"/>
      <c r="AF836" s="1836"/>
      <c r="AG836" s="1836"/>
      <c r="AH836" s="1836"/>
      <c r="AI836" s="1837"/>
      <c r="AJ836" s="1960"/>
    </row>
    <row r="837" spans="1:36" ht="21.95" customHeight="1" x14ac:dyDescent="0.2">
      <c r="B837" s="2045"/>
      <c r="C837" s="2046"/>
      <c r="D837" s="2047" t="str">
        <f>SNI!$E$522</f>
        <v>Kayu kelas III</v>
      </c>
      <c r="E837" s="2047"/>
      <c r="F837" s="2048"/>
      <c r="G837" s="2049">
        <f>SNI!$H$522</f>
        <v>0.02</v>
      </c>
      <c r="H837" s="2050" t="str">
        <f>SNI!$G$522</f>
        <v>m3</v>
      </c>
      <c r="I837" s="2051"/>
      <c r="J837" s="2051"/>
      <c r="K837" s="2052">
        <f>SNI!$L$522</f>
        <v>1</v>
      </c>
      <c r="L837" s="2053"/>
      <c r="M837" s="2054"/>
      <c r="N837" s="2055">
        <f>SNI!$I$522</f>
        <v>1100000</v>
      </c>
      <c r="O837" s="2056"/>
      <c r="P837" s="1969">
        <f t="shared" ref="P837:P842" si="532">N837*G837</f>
        <v>22000</v>
      </c>
      <c r="Q837" s="1953"/>
      <c r="R837" s="1954"/>
      <c r="S837" s="1954">
        <f t="shared" ref="S837:S842" si="533">P837*K837</f>
        <v>22000</v>
      </c>
      <c r="T837" s="1969">
        <f t="shared" ref="T837:T842" si="534">P837-S837</f>
        <v>0</v>
      </c>
      <c r="U837" s="2060"/>
      <c r="Z837" s="1956"/>
      <c r="AA837" s="1956"/>
      <c r="AF837" s="1836"/>
      <c r="AG837" s="1836"/>
      <c r="AH837" s="1836"/>
      <c r="AI837" s="1837"/>
      <c r="AJ837" s="1960"/>
    </row>
    <row r="838" spans="1:36" ht="21.95" customHeight="1" x14ac:dyDescent="0.2">
      <c r="B838" s="2045"/>
      <c r="C838" s="2046"/>
      <c r="D838" s="2047" t="str">
        <f>SNI!$E$523</f>
        <v>Paku 5 cm - 12 cm</v>
      </c>
      <c r="E838" s="2047"/>
      <c r="F838" s="2048"/>
      <c r="G838" s="2049">
        <f>SNI!$H$523</f>
        <v>0.4</v>
      </c>
      <c r="H838" s="2050" t="str">
        <f>SNI!$G$523</f>
        <v>kg</v>
      </c>
      <c r="I838" s="2051"/>
      <c r="J838" s="2051"/>
      <c r="K838" s="2052">
        <f>SNI!$L$523</f>
        <v>0</v>
      </c>
      <c r="L838" s="2053"/>
      <c r="M838" s="2054"/>
      <c r="N838" s="2055">
        <f>SNI!$I$523</f>
        <v>17000</v>
      </c>
      <c r="O838" s="2056"/>
      <c r="P838" s="1969">
        <f t="shared" si="532"/>
        <v>6800</v>
      </c>
      <c r="Q838" s="1953"/>
      <c r="R838" s="1954"/>
      <c r="S838" s="1954">
        <f t="shared" si="533"/>
        <v>0</v>
      </c>
      <c r="T838" s="1969">
        <f t="shared" si="534"/>
        <v>6800</v>
      </c>
      <c r="U838" s="2060"/>
      <c r="Z838" s="1956"/>
      <c r="AA838" s="1956"/>
      <c r="AF838" s="1836"/>
      <c r="AG838" s="1836"/>
      <c r="AH838" s="1836"/>
      <c r="AI838" s="1837"/>
      <c r="AJ838" s="1960"/>
    </row>
    <row r="839" spans="1:36" ht="21.95" customHeight="1" x14ac:dyDescent="0.2">
      <c r="B839" s="2045"/>
      <c r="C839" s="2046"/>
      <c r="D839" s="2047" t="str">
        <f>SNI!$E$524</f>
        <v>Minyak Bekisting</v>
      </c>
      <c r="E839" s="2047"/>
      <c r="F839" s="2048"/>
      <c r="G839" s="2049">
        <f>SNI!$H$524</f>
        <v>0.2</v>
      </c>
      <c r="H839" s="2050" t="str">
        <f>SNI!$G$524</f>
        <v>ltr</v>
      </c>
      <c r="I839" s="2051"/>
      <c r="J839" s="2051"/>
      <c r="K839" s="2052">
        <f>SNI!$L$524</f>
        <v>0</v>
      </c>
      <c r="L839" s="2053"/>
      <c r="M839" s="2054"/>
      <c r="N839" s="2055">
        <f>SNI!$I$524</f>
        <v>6900</v>
      </c>
      <c r="O839" s="2056"/>
      <c r="P839" s="1969">
        <f t="shared" si="532"/>
        <v>1380</v>
      </c>
      <c r="Q839" s="1953"/>
      <c r="R839" s="1954"/>
      <c r="S839" s="1954">
        <f t="shared" si="533"/>
        <v>0</v>
      </c>
      <c r="T839" s="1969">
        <f t="shared" si="534"/>
        <v>1380</v>
      </c>
      <c r="U839" s="2060"/>
      <c r="Z839" s="1956"/>
      <c r="AA839" s="1956"/>
      <c r="AF839" s="1836"/>
      <c r="AG839" s="1836"/>
      <c r="AH839" s="1836"/>
      <c r="AI839" s="1837"/>
      <c r="AJ839" s="1960"/>
    </row>
    <row r="840" spans="1:36" ht="21.95" customHeight="1" x14ac:dyDescent="0.2">
      <c r="B840" s="2045"/>
      <c r="C840" s="2046"/>
      <c r="D840" s="2047" t="str">
        <f>SNI!$E$525</f>
        <v>Balok kayu kelas II</v>
      </c>
      <c r="E840" s="2047"/>
      <c r="F840" s="2048"/>
      <c r="G840" s="2049">
        <f>SNI!$H$525</f>
        <v>7.4999999999999997E-3</v>
      </c>
      <c r="H840" s="2050" t="str">
        <f>SNI!$G$525</f>
        <v>m3</v>
      </c>
      <c r="I840" s="2051"/>
      <c r="J840" s="2051"/>
      <c r="K840" s="2052">
        <f>SNI!$L$525</f>
        <v>1</v>
      </c>
      <c r="L840" s="2053"/>
      <c r="M840" s="2054"/>
      <c r="N840" s="2055">
        <f>SNI!$I$525</f>
        <v>1600000</v>
      </c>
      <c r="O840" s="2056"/>
      <c r="P840" s="1969">
        <f t="shared" si="532"/>
        <v>12000</v>
      </c>
      <c r="Q840" s="1953"/>
      <c r="R840" s="1954"/>
      <c r="S840" s="1954">
        <f t="shared" si="533"/>
        <v>12000</v>
      </c>
      <c r="T840" s="1969">
        <f t="shared" si="534"/>
        <v>0</v>
      </c>
      <c r="U840" s="2060"/>
      <c r="Z840" s="1956"/>
      <c r="AA840" s="1956"/>
      <c r="AF840" s="1836"/>
      <c r="AG840" s="1836"/>
      <c r="AH840" s="1836"/>
      <c r="AI840" s="1837"/>
      <c r="AJ840" s="1960"/>
    </row>
    <row r="841" spans="1:36" ht="21.95" customHeight="1" x14ac:dyDescent="0.2">
      <c r="B841" s="2045"/>
      <c r="C841" s="2046"/>
      <c r="D841" s="2047" t="str">
        <f>SNI!$E$526</f>
        <v>Plywood tebal 9 mm</v>
      </c>
      <c r="E841" s="2047"/>
      <c r="F841" s="2048"/>
      <c r="G841" s="2049">
        <f>SNI!$H$526</f>
        <v>0.35</v>
      </c>
      <c r="H841" s="2050" t="str">
        <f>SNI!$G$526</f>
        <v>lbr</v>
      </c>
      <c r="I841" s="2051"/>
      <c r="J841" s="2051"/>
      <c r="K841" s="2052">
        <f>SNI!$L$526</f>
        <v>0</v>
      </c>
      <c r="L841" s="2053"/>
      <c r="M841" s="2054"/>
      <c r="N841" s="2055">
        <f>SNI!$I$526</f>
        <v>120000</v>
      </c>
      <c r="O841" s="2056"/>
      <c r="P841" s="1969">
        <f t="shared" si="532"/>
        <v>42000</v>
      </c>
      <c r="Q841" s="1953"/>
      <c r="R841" s="1954"/>
      <c r="S841" s="1954">
        <f t="shared" si="533"/>
        <v>0</v>
      </c>
      <c r="T841" s="1969">
        <f t="shared" si="534"/>
        <v>42000</v>
      </c>
      <c r="U841" s="2060"/>
      <c r="Z841" s="1956"/>
      <c r="AA841" s="1956"/>
      <c r="AF841" s="1836"/>
      <c r="AG841" s="1836"/>
      <c r="AH841" s="1836"/>
      <c r="AI841" s="1837"/>
      <c r="AJ841" s="1960"/>
    </row>
    <row r="842" spans="1:36" ht="21.95" customHeight="1" x14ac:dyDescent="0.2">
      <c r="B842" s="2045"/>
      <c r="C842" s="2046"/>
      <c r="D842" s="2047" t="str">
        <f>SNI!$E$527</f>
        <v>Dolken kayu galam,</v>
      </c>
      <c r="E842" s="2047"/>
      <c r="F842" s="2048"/>
      <c r="G842" s="2049">
        <f>SNI!$H$527</f>
        <v>3</v>
      </c>
      <c r="H842" s="2050" t="str">
        <f>SNI!$G$527</f>
        <v>btg</v>
      </c>
      <c r="I842" s="2051"/>
      <c r="J842" s="2051"/>
      <c r="K842" s="2052">
        <f>SNI!$L$527</f>
        <v>1</v>
      </c>
      <c r="L842" s="2053"/>
      <c r="M842" s="2054"/>
      <c r="N842" s="2055">
        <f>SNI!$I$527</f>
        <v>12000</v>
      </c>
      <c r="O842" s="2056"/>
      <c r="P842" s="1969">
        <f t="shared" si="532"/>
        <v>36000</v>
      </c>
      <c r="Q842" s="1953"/>
      <c r="R842" s="1954"/>
      <c r="S842" s="1954">
        <f t="shared" si="533"/>
        <v>36000</v>
      </c>
      <c r="T842" s="1969">
        <f t="shared" si="534"/>
        <v>0</v>
      </c>
      <c r="U842" s="2060"/>
      <c r="Z842" s="1956"/>
      <c r="AA842" s="1956"/>
      <c r="AF842" s="1836"/>
      <c r="AG842" s="1836"/>
      <c r="AH842" s="1836"/>
      <c r="AI842" s="1837"/>
      <c r="AJ842" s="1960"/>
    </row>
    <row r="843" spans="1:36" ht="21.95" customHeight="1" x14ac:dyDescent="0.2">
      <c r="B843" s="2045"/>
      <c r="C843" s="2046"/>
      <c r="D843" s="2047" t="str">
        <f>SNI!$E$528</f>
        <v>Ø (8 - 10) cm, panj 4 m</v>
      </c>
      <c r="E843" s="2047"/>
      <c r="F843" s="2048"/>
      <c r="G843" s="2049"/>
      <c r="H843" s="2050"/>
      <c r="I843" s="2051"/>
      <c r="J843" s="2051"/>
      <c r="K843" s="2052"/>
      <c r="L843" s="2053"/>
      <c r="M843" s="2054"/>
      <c r="N843" s="2055"/>
      <c r="O843" s="2056"/>
      <c r="P843" s="1969"/>
      <c r="Q843" s="1953"/>
      <c r="R843" s="1954"/>
      <c r="S843" s="1954"/>
      <c r="T843" s="1969"/>
      <c r="U843" s="2060"/>
      <c r="Z843" s="1956"/>
      <c r="AA843" s="1956"/>
      <c r="AF843" s="1836"/>
      <c r="AG843" s="1836"/>
      <c r="AH843" s="1836"/>
      <c r="AI843" s="1837"/>
      <c r="AJ843" s="1960"/>
    </row>
    <row r="844" spans="1:36" ht="21.95" customHeight="1" x14ac:dyDescent="0.2">
      <c r="B844" s="2045"/>
      <c r="C844" s="2046" t="str">
        <f>SNI!$D$530</f>
        <v>Tenaga Kerja</v>
      </c>
      <c r="D844" s="2047"/>
      <c r="E844" s="2047"/>
      <c r="F844" s="2048"/>
      <c r="G844" s="2049"/>
      <c r="H844" s="2050"/>
      <c r="I844" s="2051"/>
      <c r="J844" s="2051"/>
      <c r="K844" s="2052"/>
      <c r="L844" s="2053"/>
      <c r="M844" s="2054"/>
      <c r="N844" s="2055"/>
      <c r="O844" s="2056"/>
      <c r="P844" s="1969"/>
      <c r="Q844" s="1953"/>
      <c r="R844" s="1954"/>
      <c r="S844" s="1954"/>
      <c r="T844" s="1969"/>
      <c r="U844" s="2060"/>
      <c r="Z844" s="1956"/>
      <c r="AA844" s="1956"/>
      <c r="AF844" s="1836"/>
      <c r="AG844" s="1836"/>
      <c r="AH844" s="1836"/>
      <c r="AI844" s="1837"/>
      <c r="AJ844" s="1960"/>
    </row>
    <row r="845" spans="1:36" ht="21.95" customHeight="1" x14ac:dyDescent="0.2">
      <c r="B845" s="2045"/>
      <c r="C845" s="2046"/>
      <c r="D845" s="2047" t="str">
        <f>SNI!$E$530</f>
        <v xml:space="preserve">Pekerja </v>
      </c>
      <c r="E845" s="2047"/>
      <c r="F845" s="2048"/>
      <c r="G845" s="2049">
        <f>SNI!$H$530</f>
        <v>0.66</v>
      </c>
      <c r="H845" s="2050" t="str">
        <f>SNI!$G$530</f>
        <v>OH</v>
      </c>
      <c r="I845" s="2051" t="str">
        <f>SNI!$M$530</f>
        <v>WNI</v>
      </c>
      <c r="J845" s="2051"/>
      <c r="K845" s="2052">
        <f>SNI!$L$530</f>
        <v>1</v>
      </c>
      <c r="L845" s="2053"/>
      <c r="M845" s="2054"/>
      <c r="N845" s="2055">
        <f>SNI!$I$530</f>
        <v>88300</v>
      </c>
      <c r="O845" s="2056"/>
      <c r="P845" s="1969">
        <f t="shared" ref="P845:P848" si="535">N845*G845</f>
        <v>58278</v>
      </c>
      <c r="Q845" s="1953"/>
      <c r="R845" s="1954"/>
      <c r="S845" s="1954">
        <f t="shared" ref="S845:S848" si="536">P845*K845</f>
        <v>58278</v>
      </c>
      <c r="T845" s="1969">
        <f t="shared" ref="T845:T848" si="537">P845-S845</f>
        <v>0</v>
      </c>
      <c r="U845" s="2060"/>
      <c r="Z845" s="1956"/>
      <c r="AA845" s="1956"/>
      <c r="AF845" s="1836"/>
      <c r="AG845" s="1836"/>
      <c r="AH845" s="1836"/>
      <c r="AI845" s="1837"/>
      <c r="AJ845" s="1960"/>
    </row>
    <row r="846" spans="1:36" ht="21.95" customHeight="1" x14ac:dyDescent="0.2">
      <c r="B846" s="2045"/>
      <c r="C846" s="2046"/>
      <c r="D846" s="2047" t="str">
        <f>SNI!$E$531</f>
        <v>Tukang Kayu</v>
      </c>
      <c r="E846" s="2047"/>
      <c r="F846" s="2048"/>
      <c r="G846" s="2049">
        <f>SNI!$H$531</f>
        <v>0.33</v>
      </c>
      <c r="H846" s="2050" t="str">
        <f>SNI!$G$531</f>
        <v>OH</v>
      </c>
      <c r="I846" s="2051" t="str">
        <f>SNI!$M$531</f>
        <v>WNI</v>
      </c>
      <c r="J846" s="2051"/>
      <c r="K846" s="2052">
        <f>SNI!$L$531</f>
        <v>1</v>
      </c>
      <c r="L846" s="2053"/>
      <c r="M846" s="2054"/>
      <c r="N846" s="2055">
        <f>SNI!$I$531</f>
        <v>92000</v>
      </c>
      <c r="O846" s="2056"/>
      <c r="P846" s="1969">
        <f t="shared" si="535"/>
        <v>30360</v>
      </c>
      <c r="Q846" s="1953"/>
      <c r="R846" s="1954"/>
      <c r="S846" s="1954">
        <f t="shared" si="536"/>
        <v>30360</v>
      </c>
      <c r="T846" s="1969">
        <f t="shared" si="537"/>
        <v>0</v>
      </c>
      <c r="U846" s="2060"/>
      <c r="Z846" s="1956"/>
      <c r="AA846" s="1956"/>
      <c r="AF846" s="1836"/>
      <c r="AG846" s="1836"/>
      <c r="AH846" s="1836"/>
      <c r="AI846" s="1837"/>
      <c r="AJ846" s="1960"/>
    </row>
    <row r="847" spans="1:36" ht="21.95" customHeight="1" x14ac:dyDescent="0.2">
      <c r="B847" s="2045"/>
      <c r="C847" s="2046"/>
      <c r="D847" s="2047" t="str">
        <f>SNI!$E$532</f>
        <v>Kepala Tukang</v>
      </c>
      <c r="E847" s="2047"/>
      <c r="F847" s="2048"/>
      <c r="G847" s="2049">
        <f>SNI!$H$532</f>
        <v>3.3000000000000002E-2</v>
      </c>
      <c r="H847" s="2050" t="str">
        <f>SNI!$G$532</f>
        <v>OH</v>
      </c>
      <c r="I847" s="2051" t="str">
        <f>SNI!$M$532</f>
        <v>WNI</v>
      </c>
      <c r="J847" s="2051"/>
      <c r="K847" s="2052">
        <f>SNI!$L$532</f>
        <v>1</v>
      </c>
      <c r="L847" s="2053"/>
      <c r="M847" s="2054"/>
      <c r="N847" s="2055">
        <f>SNI!$I$532</f>
        <v>96000</v>
      </c>
      <c r="O847" s="2056"/>
      <c r="P847" s="1969">
        <f t="shared" si="535"/>
        <v>3168</v>
      </c>
      <c r="Q847" s="1953"/>
      <c r="R847" s="1954"/>
      <c r="S847" s="1954">
        <f t="shared" si="536"/>
        <v>3168</v>
      </c>
      <c r="T847" s="1969">
        <f t="shared" si="537"/>
        <v>0</v>
      </c>
      <c r="U847" s="2060"/>
      <c r="Z847" s="1956"/>
      <c r="AA847" s="1956"/>
      <c r="AF847" s="1836"/>
      <c r="AG847" s="1836"/>
      <c r="AH847" s="1836"/>
      <c r="AI847" s="1837"/>
      <c r="AJ847" s="1960"/>
    </row>
    <row r="848" spans="1:36" ht="21.95" customHeight="1" x14ac:dyDescent="0.2">
      <c r="B848" s="2045"/>
      <c r="C848" s="2046"/>
      <c r="D848" s="2047" t="str">
        <f>SNI!$E$533</f>
        <v>Mandor</v>
      </c>
      <c r="E848" s="2047"/>
      <c r="F848" s="2048"/>
      <c r="G848" s="2049">
        <f>SNI!$H$533</f>
        <v>3.3000000000000002E-2</v>
      </c>
      <c r="H848" s="2050" t="str">
        <f>SNI!$G$533</f>
        <v>OH</v>
      </c>
      <c r="I848" s="2051" t="str">
        <f>SNI!$M$533</f>
        <v>WNI</v>
      </c>
      <c r="J848" s="2051"/>
      <c r="K848" s="2052">
        <f>SNI!$L$533</f>
        <v>1</v>
      </c>
      <c r="L848" s="2053"/>
      <c r="M848" s="2054"/>
      <c r="N848" s="2055">
        <f>SNI!$I$533</f>
        <v>90000</v>
      </c>
      <c r="O848" s="2056"/>
      <c r="P848" s="1969">
        <f t="shared" si="535"/>
        <v>2970</v>
      </c>
      <c r="Q848" s="1953"/>
      <c r="R848" s="1954"/>
      <c r="S848" s="1954">
        <f t="shared" si="536"/>
        <v>2970</v>
      </c>
      <c r="T848" s="1969">
        <f t="shared" si="537"/>
        <v>0</v>
      </c>
      <c r="U848" s="2060"/>
      <c r="Z848" s="1956"/>
      <c r="AA848" s="1956"/>
      <c r="AF848" s="1836"/>
      <c r="AG848" s="1836"/>
      <c r="AH848" s="1836"/>
      <c r="AI848" s="1837"/>
      <c r="AJ848" s="1960"/>
    </row>
    <row r="849" spans="1:36" s="1957" customFormat="1" ht="21.95" customHeight="1" x14ac:dyDescent="0.2">
      <c r="A849" s="1942"/>
      <c r="B849" s="1970"/>
      <c r="C849" s="1971"/>
      <c r="D849" s="1972"/>
      <c r="E849" s="1973"/>
      <c r="F849" s="1974" t="s">
        <v>556</v>
      </c>
      <c r="G849" s="1975">
        <f>B835</f>
        <v>27</v>
      </c>
      <c r="H849" s="1976"/>
      <c r="I849" s="1977"/>
      <c r="J849" s="1977"/>
      <c r="K849" s="1978"/>
      <c r="L849" s="1979"/>
      <c r="M849" s="1980"/>
      <c r="N849" s="1981"/>
      <c r="O849" s="1982"/>
      <c r="P849" s="1983">
        <f>SUM(P837:P848)</f>
        <v>214956</v>
      </c>
      <c r="Q849" s="1984"/>
      <c r="R849" s="1985"/>
      <c r="S849" s="1983">
        <f>SUM(S837:S848)</f>
        <v>164776</v>
      </c>
      <c r="T849" s="1983">
        <f>SUM(T837:T848)</f>
        <v>50180</v>
      </c>
      <c r="U849" s="1986"/>
      <c r="V849" s="1848"/>
      <c r="W849" s="1848"/>
      <c r="X849" s="1848"/>
      <c r="Y849" s="1848"/>
      <c r="Z849" s="1956"/>
      <c r="AA849" s="1956"/>
      <c r="AF849" s="1958"/>
      <c r="AG849" s="1958"/>
      <c r="AH849" s="1958"/>
      <c r="AI849" s="1959"/>
      <c r="AJ849" s="1960"/>
    </row>
    <row r="850" spans="1:36" ht="21.95" customHeight="1" x14ac:dyDescent="0.2">
      <c r="B850" s="2102"/>
      <c r="C850" s="2103"/>
      <c r="D850" s="2081" t="s">
        <v>1778</v>
      </c>
      <c r="E850" s="1930"/>
      <c r="F850" s="1931"/>
      <c r="G850" s="1945"/>
      <c r="H850" s="1933"/>
      <c r="I850" s="1934"/>
      <c r="J850" s="1934"/>
      <c r="K850" s="1935"/>
      <c r="L850" s="1936"/>
      <c r="M850" s="1936"/>
      <c r="N850" s="1951"/>
      <c r="O850" s="2066"/>
      <c r="P850" s="2067"/>
      <c r="Q850" s="1934"/>
      <c r="R850" s="1934"/>
      <c r="S850" s="1934"/>
      <c r="T850" s="1940"/>
      <c r="U850" s="1941"/>
      <c r="Z850" s="1956"/>
      <c r="AA850" s="1956">
        <f>Z850-G850</f>
        <v>0</v>
      </c>
      <c r="AB850" s="1836" t="s">
        <v>1778</v>
      </c>
      <c r="AF850" s="1836"/>
      <c r="AG850" s="1836"/>
      <c r="AH850" s="1836"/>
      <c r="AI850" s="1837"/>
      <c r="AJ850" s="1960">
        <f>AI850-N850</f>
        <v>0</v>
      </c>
    </row>
    <row r="851" spans="1:36" ht="21.95" customHeight="1" x14ac:dyDescent="0.2">
      <c r="B851" s="2102"/>
      <c r="C851" s="2103"/>
      <c r="D851" s="2081" t="s">
        <v>1798</v>
      </c>
      <c r="E851" s="1930"/>
      <c r="F851" s="1931"/>
      <c r="G851" s="1945"/>
      <c r="H851" s="1933"/>
      <c r="I851" s="1934"/>
      <c r="J851" s="1934"/>
      <c r="K851" s="1935"/>
      <c r="L851" s="1936"/>
      <c r="M851" s="1936"/>
      <c r="N851" s="1951"/>
      <c r="O851" s="2066"/>
      <c r="P851" s="2067"/>
      <c r="Q851" s="1934"/>
      <c r="R851" s="1934"/>
      <c r="S851" s="1934"/>
      <c r="T851" s="1940"/>
      <c r="U851" s="1941"/>
      <c r="Z851" s="1956"/>
      <c r="AA851" s="1956">
        <f>Z851-G851</f>
        <v>0</v>
      </c>
      <c r="AB851" s="1836" t="s">
        <v>1798</v>
      </c>
      <c r="AF851" s="1836"/>
      <c r="AG851" s="1836"/>
      <c r="AH851" s="1836"/>
      <c r="AI851" s="1837"/>
      <c r="AJ851" s="1960">
        <f>AI851-N851</f>
        <v>0</v>
      </c>
    </row>
    <row r="852" spans="1:36" ht="21.95" customHeight="1" x14ac:dyDescent="0.2">
      <c r="A852" s="1833">
        <f>satpek!$B$40</f>
        <v>21</v>
      </c>
      <c r="B852" s="1943">
        <f>B835+1</f>
        <v>28</v>
      </c>
      <c r="C852" s="1937"/>
      <c r="D852" s="1944" t="str">
        <f>VLOOKUP($A852,satpek!$B$20:$N$144,2,0)</f>
        <v>Membuat beton mutu f'c = 21,7 Mpa - K 250</v>
      </c>
      <c r="E852" s="1944"/>
      <c r="F852" s="2004"/>
      <c r="G852" s="1945">
        <f>'[3]B.VOL RAB'!Q219</f>
        <v>11.52</v>
      </c>
      <c r="H852" s="1946" t="str">
        <f>VLOOKUP($A852,satpek!$B$20:$N$144,7,0)</f>
        <v>m3</v>
      </c>
      <c r="I852" s="1947"/>
      <c r="J852" s="1947"/>
      <c r="K852" s="1948"/>
      <c r="L852" s="1949"/>
      <c r="M852" s="1950" t="str">
        <f>VLOOKUP($A852,satpek!$B$20:$N$144,5,0)</f>
        <v>A.4.1.1.8.</v>
      </c>
      <c r="N852" s="1951">
        <f>VLOOKUP($A852,satpek!$B$20:$N$144,6,0)</f>
        <v>1115753.29</v>
      </c>
      <c r="O852" s="1938"/>
      <c r="P852" s="1952">
        <f t="shared" ref="P852:P874" si="538">ROUND((G852*N852),2)</f>
        <v>12853477.9</v>
      </c>
      <c r="Q852" s="1953">
        <f>VLOOKUP($A852,satpek!$B$20:$L$138,8,0)</f>
        <v>0.93065078521121514</v>
      </c>
      <c r="R852" s="1954">
        <f>VLOOKUP($A852,satpek!$B$20:$L$138,9,0)</f>
        <v>918917.40999999992</v>
      </c>
      <c r="S852" s="1954">
        <f>VLOOKUP($A852,satpek!$B$20:$L$138,10,0)</f>
        <v>1038376.6732999999</v>
      </c>
      <c r="T852" s="1952">
        <f>S852*G852</f>
        <v>11962099.276415998</v>
      </c>
      <c r="U852" s="1955"/>
      <c r="X852" s="1848">
        <f>P863</f>
        <v>987392.28571428568</v>
      </c>
      <c r="Y852" s="1848">
        <f>S863</f>
        <v>918917.40571428579</v>
      </c>
      <c r="Z852" s="1956">
        <v>14.591999999999999</v>
      </c>
      <c r="AA852" s="1956">
        <f>Z852-G852</f>
        <v>3.0719999999999992</v>
      </c>
      <c r="AB852" s="1836" t="s">
        <v>1905</v>
      </c>
      <c r="AF852" s="1836"/>
      <c r="AG852" s="1836"/>
      <c r="AH852" s="1836"/>
      <c r="AI852" s="1837">
        <v>1191397.42</v>
      </c>
      <c r="AJ852" s="1960">
        <f>AI852-N852</f>
        <v>75644.129999999888</v>
      </c>
    </row>
    <row r="853" spans="1:36" ht="21.95" customHeight="1" x14ac:dyDescent="0.2">
      <c r="B853" s="2045"/>
      <c r="C853" s="2046" t="str">
        <f>SNI!$D$389</f>
        <v>Bahan</v>
      </c>
      <c r="D853" s="2047"/>
      <c r="E853" s="2047"/>
      <c r="F853" s="2048"/>
      <c r="G853" s="2049"/>
      <c r="H853" s="2050"/>
      <c r="I853" s="2051"/>
      <c r="J853" s="2051"/>
      <c r="K853" s="2052"/>
      <c r="L853" s="2053"/>
      <c r="M853" s="2054"/>
      <c r="N853" s="2055"/>
      <c r="O853" s="2056"/>
      <c r="P853" s="2057"/>
      <c r="Q853" s="2058"/>
      <c r="R853" s="2059"/>
      <c r="S853" s="2059"/>
      <c r="T853" s="2057"/>
      <c r="U853" s="2060"/>
      <c r="Z853" s="1956"/>
      <c r="AA853" s="1956"/>
      <c r="AF853" s="1836"/>
      <c r="AG853" s="1836"/>
      <c r="AH853" s="1836"/>
      <c r="AI853" s="1837"/>
      <c r="AJ853" s="1960"/>
    </row>
    <row r="854" spans="1:36" ht="21.95" customHeight="1" x14ac:dyDescent="0.2">
      <c r="B854" s="2045"/>
      <c r="C854" s="2046"/>
      <c r="D854" s="2047" t="str">
        <f>SNI!$E$389</f>
        <v>PC</v>
      </c>
      <c r="E854" s="2047"/>
      <c r="F854" s="2048"/>
      <c r="G854" s="2049">
        <f>SNI!$H$389</f>
        <v>384</v>
      </c>
      <c r="H854" s="2050" t="str">
        <f>SNI!$G$389</f>
        <v>kg</v>
      </c>
      <c r="I854" s="2051"/>
      <c r="J854" s="2051"/>
      <c r="K854" s="2052">
        <f>SNI!$L$389</f>
        <v>0.85140000000000005</v>
      </c>
      <c r="L854" s="2053"/>
      <c r="M854" s="2054"/>
      <c r="N854" s="2055">
        <f>SNI!$I$389</f>
        <v>1200</v>
      </c>
      <c r="O854" s="2056"/>
      <c r="P854" s="1969">
        <f t="shared" ref="P854:P857" si="539">N854*G854</f>
        <v>460800</v>
      </c>
      <c r="Q854" s="1953"/>
      <c r="R854" s="1954"/>
      <c r="S854" s="1954">
        <f t="shared" ref="S854:S857" si="540">P854*K854</f>
        <v>392325.12</v>
      </c>
      <c r="T854" s="1969">
        <f t="shared" ref="T854:T857" si="541">P854-S854</f>
        <v>68474.880000000005</v>
      </c>
      <c r="U854" s="2060"/>
      <c r="Z854" s="1956"/>
      <c r="AA854" s="1956"/>
      <c r="AF854" s="1836"/>
      <c r="AG854" s="1836"/>
      <c r="AH854" s="1836"/>
      <c r="AI854" s="1837"/>
      <c r="AJ854" s="1960"/>
    </row>
    <row r="855" spans="1:36" ht="21.95" customHeight="1" x14ac:dyDescent="0.2">
      <c r="B855" s="2045"/>
      <c r="C855" s="2046"/>
      <c r="D855" s="2047" t="str">
        <f>SNI!$E$390</f>
        <v>Pasir Beton</v>
      </c>
      <c r="E855" s="2047"/>
      <c r="F855" s="2048"/>
      <c r="G855" s="2049">
        <f>SNI!$H$390</f>
        <v>692</v>
      </c>
      <c r="H855" s="2050" t="str">
        <f>SNI!$G$390</f>
        <v>kg</v>
      </c>
      <c r="I855" s="2051"/>
      <c r="J855" s="2051"/>
      <c r="K855" s="2052">
        <f>SNI!$L$390</f>
        <v>1</v>
      </c>
      <c r="L855" s="2053"/>
      <c r="M855" s="2054"/>
      <c r="N855" s="2055">
        <f>SNI!$I$390</f>
        <v>185.71428571428572</v>
      </c>
      <c r="O855" s="2056"/>
      <c r="P855" s="1969">
        <f t="shared" si="539"/>
        <v>128514.28571428572</v>
      </c>
      <c r="Q855" s="1953"/>
      <c r="R855" s="1954"/>
      <c r="S855" s="1954">
        <f t="shared" si="540"/>
        <v>128514.28571428572</v>
      </c>
      <c r="T855" s="1969">
        <f t="shared" si="541"/>
        <v>0</v>
      </c>
      <c r="U855" s="2060"/>
      <c r="Z855" s="1956"/>
      <c r="AA855" s="1956"/>
      <c r="AF855" s="1836"/>
      <c r="AG855" s="1836"/>
      <c r="AH855" s="1836"/>
      <c r="AI855" s="1837"/>
      <c r="AJ855" s="1960"/>
    </row>
    <row r="856" spans="1:36" ht="21.95" customHeight="1" x14ac:dyDescent="0.2">
      <c r="B856" s="2045"/>
      <c r="C856" s="2046"/>
      <c r="D856" s="2047" t="str">
        <f>SNI!$E$391</f>
        <v>Kerikil ( maks 30 mm )</v>
      </c>
      <c r="E856" s="2047"/>
      <c r="F856" s="2048"/>
      <c r="G856" s="2049">
        <f>SNI!$H$391</f>
        <v>1039</v>
      </c>
      <c r="H856" s="2050" t="str">
        <f>SNI!$G$391</f>
        <v>kg</v>
      </c>
      <c r="I856" s="2051"/>
      <c r="J856" s="2051"/>
      <c r="K856" s="2052">
        <f>SNI!$L$391</f>
        <v>1</v>
      </c>
      <c r="L856" s="2053"/>
      <c r="M856" s="2054"/>
      <c r="N856" s="2055">
        <f>SNI!$I$391</f>
        <v>200</v>
      </c>
      <c r="O856" s="2056"/>
      <c r="P856" s="1969">
        <f t="shared" si="539"/>
        <v>207800</v>
      </c>
      <c r="Q856" s="1953"/>
      <c r="R856" s="1954"/>
      <c r="S856" s="1954">
        <f t="shared" si="540"/>
        <v>207800</v>
      </c>
      <c r="T856" s="1969">
        <f t="shared" si="541"/>
        <v>0</v>
      </c>
      <c r="U856" s="2060"/>
      <c r="Z856" s="1956"/>
      <c r="AA856" s="1956"/>
      <c r="AF856" s="1836"/>
      <c r="AG856" s="1836"/>
      <c r="AH856" s="1836"/>
      <c r="AI856" s="1837"/>
      <c r="AJ856" s="1960"/>
    </row>
    <row r="857" spans="1:36" ht="21.95" customHeight="1" x14ac:dyDescent="0.2">
      <c r="B857" s="2045"/>
      <c r="C857" s="2046"/>
      <c r="D857" s="2047" t="str">
        <f>SNI!$E$392</f>
        <v>Air</v>
      </c>
      <c r="E857" s="2047"/>
      <c r="F857" s="2048"/>
      <c r="G857" s="2049">
        <f>SNI!$H$392</f>
        <v>215</v>
      </c>
      <c r="H857" s="2050" t="str">
        <f>SNI!$G$392</f>
        <v>ltr</v>
      </c>
      <c r="I857" s="2051"/>
      <c r="J857" s="2051"/>
      <c r="K857" s="2052">
        <f>SNI!$L$392</f>
        <v>1</v>
      </c>
      <c r="L857" s="2053"/>
      <c r="M857" s="2054"/>
      <c r="N857" s="2055">
        <f>SNI!$I$392</f>
        <v>45</v>
      </c>
      <c r="O857" s="2056"/>
      <c r="P857" s="1969">
        <f t="shared" si="539"/>
        <v>9675</v>
      </c>
      <c r="Q857" s="1953"/>
      <c r="R857" s="1954"/>
      <c r="S857" s="1954">
        <f t="shared" si="540"/>
        <v>9675</v>
      </c>
      <c r="T857" s="1969">
        <f t="shared" si="541"/>
        <v>0</v>
      </c>
      <c r="U857" s="2060"/>
      <c r="Z857" s="1956"/>
      <c r="AA857" s="1956"/>
      <c r="AF857" s="1836"/>
      <c r="AG857" s="1836"/>
      <c r="AH857" s="1836"/>
      <c r="AI857" s="1837"/>
      <c r="AJ857" s="1960"/>
    </row>
    <row r="858" spans="1:36" ht="21.95" customHeight="1" x14ac:dyDescent="0.2">
      <c r="B858" s="2045"/>
      <c r="C858" s="2046" t="str">
        <f>SNI!$D$394</f>
        <v>Tenaga Kerja</v>
      </c>
      <c r="D858" s="2047"/>
      <c r="E858" s="2047"/>
      <c r="F858" s="2048"/>
      <c r="G858" s="2049"/>
      <c r="H858" s="2050"/>
      <c r="I858" s="2051"/>
      <c r="J858" s="2051"/>
      <c r="K858" s="2052"/>
      <c r="L858" s="2053"/>
      <c r="M858" s="2054"/>
      <c r="N858" s="2055"/>
      <c r="O858" s="2056"/>
      <c r="P858" s="1969"/>
      <c r="Q858" s="1953"/>
      <c r="R858" s="1954"/>
      <c r="S858" s="1954"/>
      <c r="T858" s="1969"/>
      <c r="U858" s="2060"/>
      <c r="Z858" s="1956"/>
      <c r="AA858" s="1956"/>
      <c r="AF858" s="1836"/>
      <c r="AG858" s="1836"/>
      <c r="AH858" s="1836"/>
      <c r="AI858" s="1837"/>
      <c r="AJ858" s="1960"/>
    </row>
    <row r="859" spans="1:36" ht="21.95" customHeight="1" x14ac:dyDescent="0.2">
      <c r="B859" s="2045"/>
      <c r="C859" s="2046"/>
      <c r="D859" s="2047" t="str">
        <f>SNI!$E$394</f>
        <v xml:space="preserve">Pekerja </v>
      </c>
      <c r="E859" s="2047"/>
      <c r="F859" s="2048"/>
      <c r="G859" s="2049">
        <f>SNI!$H$394</f>
        <v>1.65</v>
      </c>
      <c r="H859" s="2050" t="str">
        <f>SNI!$G$394</f>
        <v>OH</v>
      </c>
      <c r="I859" s="2051" t="str">
        <f>SNI!$M$394</f>
        <v>WNI</v>
      </c>
      <c r="J859" s="2051"/>
      <c r="K859" s="2052">
        <f>SNI!$L$394</f>
        <v>1</v>
      </c>
      <c r="L859" s="2053"/>
      <c r="M859" s="2054"/>
      <c r="N859" s="2055">
        <f>SNI!$I$394</f>
        <v>88300</v>
      </c>
      <c r="O859" s="2056"/>
      <c r="P859" s="1969">
        <f t="shared" ref="P859:P862" si="542">N859*G859</f>
        <v>145695</v>
      </c>
      <c r="Q859" s="1953"/>
      <c r="R859" s="1954"/>
      <c r="S859" s="1954">
        <f t="shared" ref="S859:S862" si="543">P859*K859</f>
        <v>145695</v>
      </c>
      <c r="T859" s="1969">
        <f t="shared" ref="T859:T862" si="544">P859-S859</f>
        <v>0</v>
      </c>
      <c r="U859" s="2060"/>
      <c r="Z859" s="1956"/>
      <c r="AA859" s="1956"/>
      <c r="AF859" s="1836"/>
      <c r="AG859" s="1836"/>
      <c r="AH859" s="1836"/>
      <c r="AI859" s="1837"/>
      <c r="AJ859" s="1960"/>
    </row>
    <row r="860" spans="1:36" ht="21.95" customHeight="1" x14ac:dyDescent="0.2">
      <c r="B860" s="2045"/>
      <c r="C860" s="2046"/>
      <c r="D860" s="2047" t="str">
        <f>SNI!$E$395</f>
        <v>Tukang Batu</v>
      </c>
      <c r="E860" s="2047"/>
      <c r="F860" s="2048"/>
      <c r="G860" s="2049">
        <f>SNI!$H$395</f>
        <v>0.27500000000000002</v>
      </c>
      <c r="H860" s="2050" t="str">
        <f>SNI!$G$395</f>
        <v>OH</v>
      </c>
      <c r="I860" s="2051" t="str">
        <f>SNI!$M$395</f>
        <v>WNI</v>
      </c>
      <c r="J860" s="2051"/>
      <c r="K860" s="2052">
        <f>SNI!$L$395</f>
        <v>1</v>
      </c>
      <c r="L860" s="2053"/>
      <c r="M860" s="2054"/>
      <c r="N860" s="2055">
        <f>SNI!$I$395</f>
        <v>90000</v>
      </c>
      <c r="O860" s="2056"/>
      <c r="P860" s="1969">
        <f t="shared" si="542"/>
        <v>24750.000000000004</v>
      </c>
      <c r="Q860" s="1953"/>
      <c r="R860" s="1954"/>
      <c r="S860" s="1954">
        <f t="shared" si="543"/>
        <v>24750.000000000004</v>
      </c>
      <c r="T860" s="1969">
        <f t="shared" si="544"/>
        <v>0</v>
      </c>
      <c r="U860" s="2060"/>
      <c r="Z860" s="1956"/>
      <c r="AA860" s="1956"/>
      <c r="AF860" s="1836"/>
      <c r="AG860" s="1836"/>
      <c r="AH860" s="1836"/>
      <c r="AI860" s="1837"/>
      <c r="AJ860" s="1960"/>
    </row>
    <row r="861" spans="1:36" ht="21.95" customHeight="1" x14ac:dyDescent="0.2">
      <c r="B861" s="2045"/>
      <c r="C861" s="2046"/>
      <c r="D861" s="2047" t="str">
        <f>SNI!$E$396</f>
        <v>Kepala Tukang</v>
      </c>
      <c r="E861" s="2047"/>
      <c r="F861" s="2048"/>
      <c r="G861" s="2049">
        <f>SNI!$H$396</f>
        <v>2.8000000000000001E-2</v>
      </c>
      <c r="H861" s="2050" t="str">
        <f>SNI!$G$396</f>
        <v>OH</v>
      </c>
      <c r="I861" s="2051" t="str">
        <f>SNI!$M$396</f>
        <v>WNI</v>
      </c>
      <c r="J861" s="2051"/>
      <c r="K861" s="2052">
        <f>SNI!$L$396</f>
        <v>1</v>
      </c>
      <c r="L861" s="2053"/>
      <c r="M861" s="2054"/>
      <c r="N861" s="2055">
        <f>SNI!$I$396</f>
        <v>96000</v>
      </c>
      <c r="O861" s="2056"/>
      <c r="P861" s="1969">
        <f t="shared" si="542"/>
        <v>2688</v>
      </c>
      <c r="Q861" s="1953"/>
      <c r="R861" s="1954"/>
      <c r="S861" s="1954">
        <f t="shared" si="543"/>
        <v>2688</v>
      </c>
      <c r="T861" s="1969">
        <f t="shared" si="544"/>
        <v>0</v>
      </c>
      <c r="U861" s="2060"/>
      <c r="Z861" s="1956"/>
      <c r="AA861" s="1956"/>
      <c r="AF861" s="1836"/>
      <c r="AG861" s="1836"/>
      <c r="AH861" s="1836"/>
      <c r="AI861" s="1837"/>
      <c r="AJ861" s="1960"/>
    </row>
    <row r="862" spans="1:36" ht="21.95" customHeight="1" x14ac:dyDescent="0.2">
      <c r="B862" s="2045"/>
      <c r="C862" s="2046"/>
      <c r="D862" s="2047" t="str">
        <f>SNI!$E$397</f>
        <v>Mandor</v>
      </c>
      <c r="E862" s="2047"/>
      <c r="F862" s="2048"/>
      <c r="G862" s="2049">
        <f>SNI!$H$397</f>
        <v>8.3000000000000004E-2</v>
      </c>
      <c r="H862" s="2050" t="str">
        <f>SNI!$G$397</f>
        <v>OH</v>
      </c>
      <c r="I862" s="2051" t="str">
        <f>SNI!$M$397</f>
        <v>WNI</v>
      </c>
      <c r="J862" s="2051"/>
      <c r="K862" s="2052">
        <f>SNI!$L$397</f>
        <v>1</v>
      </c>
      <c r="L862" s="2053"/>
      <c r="M862" s="2054"/>
      <c r="N862" s="2055">
        <f>SNI!$I$397</f>
        <v>90000</v>
      </c>
      <c r="O862" s="2056"/>
      <c r="P862" s="1969">
        <f t="shared" si="542"/>
        <v>7470</v>
      </c>
      <c r="Q862" s="1953"/>
      <c r="R862" s="1954"/>
      <c r="S862" s="1954">
        <f t="shared" si="543"/>
        <v>7470</v>
      </c>
      <c r="T862" s="1969">
        <f t="shared" si="544"/>
        <v>0</v>
      </c>
      <c r="U862" s="2060"/>
      <c r="Z862" s="1956"/>
      <c r="AA862" s="1956"/>
      <c r="AF862" s="1836"/>
      <c r="AG862" s="1836"/>
      <c r="AH862" s="1836"/>
      <c r="AI862" s="1837"/>
      <c r="AJ862" s="1960"/>
    </row>
    <row r="863" spans="1:36" s="1957" customFormat="1" ht="21.95" customHeight="1" x14ac:dyDescent="0.2">
      <c r="A863" s="1942"/>
      <c r="B863" s="1970"/>
      <c r="C863" s="1971"/>
      <c r="D863" s="1972"/>
      <c r="E863" s="1973"/>
      <c r="F863" s="1974" t="s">
        <v>556</v>
      </c>
      <c r="G863" s="1975">
        <f>B852</f>
        <v>28</v>
      </c>
      <c r="H863" s="1976"/>
      <c r="I863" s="1977"/>
      <c r="J863" s="1977"/>
      <c r="K863" s="1978"/>
      <c r="L863" s="1979"/>
      <c r="M863" s="1980"/>
      <c r="N863" s="1981"/>
      <c r="O863" s="1982"/>
      <c r="P863" s="1983">
        <f>SUM(P854:P862)</f>
        <v>987392.28571428568</v>
      </c>
      <c r="Q863" s="1984"/>
      <c r="R863" s="1985"/>
      <c r="S863" s="1983">
        <f>SUM(S854:S862)</f>
        <v>918917.40571428579</v>
      </c>
      <c r="T863" s="1983">
        <f>SUM(T854:T862)</f>
        <v>68474.880000000005</v>
      </c>
      <c r="U863" s="1986"/>
      <c r="V863" s="1848"/>
      <c r="W863" s="1848"/>
      <c r="X863" s="1848"/>
      <c r="Y863" s="1848"/>
      <c r="Z863" s="1956"/>
      <c r="AA863" s="1956"/>
      <c r="AF863" s="1958"/>
      <c r="AG863" s="1958"/>
      <c r="AH863" s="1958"/>
      <c r="AI863" s="1959"/>
      <c r="AJ863" s="1960"/>
    </row>
    <row r="864" spans="1:36" ht="21.95" customHeight="1" x14ac:dyDescent="0.2">
      <c r="A864" s="1833">
        <f>satpek!$B$41</f>
        <v>22</v>
      </c>
      <c r="B864" s="1943">
        <f>B852+1</f>
        <v>29</v>
      </c>
      <c r="C864" s="1937"/>
      <c r="D864" s="1944" t="str">
        <f>VLOOKUP($A864,satpek!$B$20:$N$144,2,0)</f>
        <v>Pembesian 1 kg dengan besi polos atau besi ulir</v>
      </c>
      <c r="E864" s="1944"/>
      <c r="F864" s="2004"/>
      <c r="G864" s="1945">
        <f>'[3]B.VOL RAB'!Q221</f>
        <v>1930.3790949339673</v>
      </c>
      <c r="H864" s="1946" t="str">
        <f>VLOOKUP($A864,satpek!$B$20:$N$144,7,0)</f>
        <v>kg</v>
      </c>
      <c r="I864" s="1947"/>
      <c r="J864" s="1947"/>
      <c r="K864" s="1948"/>
      <c r="L864" s="1949"/>
      <c r="M864" s="1950" t="str">
        <f>VLOOKUP($A864,satpek!$B$20:$N$144,5,0)</f>
        <v>A.4.1.1.17.</v>
      </c>
      <c r="N864" s="1951">
        <f>VLOOKUP($A864,satpek!$B$20:$N$144,6,0)</f>
        <v>15603.94</v>
      </c>
      <c r="O864" s="1938"/>
      <c r="P864" s="1952">
        <f t="shared" si="538"/>
        <v>30121519.57</v>
      </c>
      <c r="Q864" s="1953">
        <f>VLOOKUP($A864,satpek!$B$20:$L$138,8,0)</f>
        <v>0.46415793062521393</v>
      </c>
      <c r="R864" s="1954">
        <f>VLOOKUP($A864,satpek!$B$20:$L$138,9,0)</f>
        <v>7242.692500000001</v>
      </c>
      <c r="S864" s="1954">
        <f>VLOOKUP($A864,satpek!$B$20:$L$138,10,0)</f>
        <v>8184.2425250000015</v>
      </c>
      <c r="T864" s="1952">
        <f>S864*G864</f>
        <v>15798690.678129589</v>
      </c>
      <c r="U864" s="1955"/>
      <c r="X864" s="1848">
        <f>P873</f>
        <v>13808.800000000001</v>
      </c>
      <c r="Y864" s="1848">
        <f>S873</f>
        <v>7242.6925000000001</v>
      </c>
      <c r="Z864" s="1956">
        <v>2444.9166795612718</v>
      </c>
      <c r="AA864" s="1956">
        <f>Z864-G864</f>
        <v>514.53758462730457</v>
      </c>
      <c r="AB864" s="1836" t="s">
        <v>420</v>
      </c>
      <c r="AF864" s="1836"/>
      <c r="AG864" s="1836"/>
      <c r="AH864" s="1836"/>
      <c r="AI864" s="1837">
        <v>15556.71</v>
      </c>
      <c r="AJ864" s="1960">
        <f>AI864-N864</f>
        <v>-47.230000000001382</v>
      </c>
    </row>
    <row r="865" spans="1:36" ht="21.95" customHeight="1" x14ac:dyDescent="0.2">
      <c r="B865" s="2045"/>
      <c r="C865" s="2046" t="str">
        <f>SNI!$D$410</f>
        <v>Bahan</v>
      </c>
      <c r="D865" s="2047"/>
      <c r="E865" s="2047"/>
      <c r="F865" s="2048"/>
      <c r="G865" s="2049"/>
      <c r="H865" s="2050"/>
      <c r="I865" s="2051"/>
      <c r="J865" s="2051"/>
      <c r="K865" s="2052"/>
      <c r="L865" s="2053"/>
      <c r="M865" s="2054"/>
      <c r="N865" s="2055"/>
      <c r="O865" s="2056"/>
      <c r="P865" s="2057"/>
      <c r="Q865" s="2058"/>
      <c r="R865" s="2059"/>
      <c r="S865" s="2059"/>
      <c r="T865" s="2057"/>
      <c r="U865" s="2060"/>
      <c r="Z865" s="1956"/>
      <c r="AA865" s="1956"/>
      <c r="AF865" s="1836"/>
      <c r="AG865" s="1836"/>
      <c r="AH865" s="1836"/>
      <c r="AI865" s="1837"/>
      <c r="AJ865" s="1960"/>
    </row>
    <row r="866" spans="1:36" ht="21.95" customHeight="1" x14ac:dyDescent="0.2">
      <c r="B866" s="2045"/>
      <c r="C866" s="2046"/>
      <c r="D866" s="2047" t="str">
        <f>SNI!$E$410</f>
        <v>Besi Beton ( polos/ulir )</v>
      </c>
      <c r="E866" s="2047"/>
      <c r="F866" s="2048"/>
      <c r="G866" s="2049">
        <f>SNI!$H$410/10</f>
        <v>1.05</v>
      </c>
      <c r="H866" s="2050" t="str">
        <f>SNI!$G$410</f>
        <v>kg</v>
      </c>
      <c r="I866" s="2051"/>
      <c r="J866" s="2051"/>
      <c r="K866" s="2052">
        <f>SNI!$L$410</f>
        <v>0.4879</v>
      </c>
      <c r="L866" s="2053"/>
      <c r="M866" s="2054"/>
      <c r="N866" s="2055">
        <f>SNI!$I$410</f>
        <v>11500</v>
      </c>
      <c r="O866" s="2056"/>
      <c r="P866" s="1969">
        <f t="shared" ref="P866:P867" si="545">N866*G866</f>
        <v>12075</v>
      </c>
      <c r="Q866" s="1953"/>
      <c r="R866" s="1954"/>
      <c r="S866" s="1954">
        <f t="shared" ref="S866:S867" si="546">P866*K866</f>
        <v>5891.3924999999999</v>
      </c>
      <c r="T866" s="1969">
        <f t="shared" ref="T866:T867" si="547">P866-S866</f>
        <v>6183.6075000000001</v>
      </c>
      <c r="U866" s="2060"/>
      <c r="Z866" s="1956"/>
      <c r="AA866" s="1956"/>
      <c r="AF866" s="1836"/>
      <c r="AG866" s="1836"/>
      <c r="AH866" s="1836"/>
      <c r="AI866" s="1837"/>
      <c r="AJ866" s="1960"/>
    </row>
    <row r="867" spans="1:36" ht="21.95" customHeight="1" x14ac:dyDescent="0.2">
      <c r="B867" s="2045"/>
      <c r="C867" s="2046"/>
      <c r="D867" s="2047" t="str">
        <f>SNI!$E$411</f>
        <v>Kawat Beton</v>
      </c>
      <c r="E867" s="2047"/>
      <c r="F867" s="2048"/>
      <c r="G867" s="2049">
        <f>SNI!$H$411/10</f>
        <v>1.4999999999999999E-2</v>
      </c>
      <c r="H867" s="2050">
        <f>SNI!G1021</f>
        <v>0</v>
      </c>
      <c r="I867" s="2051"/>
      <c r="J867" s="2051"/>
      <c r="K867" s="2052">
        <f>SNI!$L$411</f>
        <v>0</v>
      </c>
      <c r="L867" s="2053"/>
      <c r="M867" s="2054"/>
      <c r="N867" s="2055">
        <f>SNI!$I$411</f>
        <v>25500</v>
      </c>
      <c r="O867" s="2056"/>
      <c r="P867" s="1969">
        <f t="shared" si="545"/>
        <v>382.5</v>
      </c>
      <c r="Q867" s="1953"/>
      <c r="R867" s="1954"/>
      <c r="S867" s="1954">
        <f t="shared" si="546"/>
        <v>0</v>
      </c>
      <c r="T867" s="1969">
        <f t="shared" si="547"/>
        <v>382.5</v>
      </c>
      <c r="U867" s="2060"/>
      <c r="Z867" s="1956"/>
      <c r="AA867" s="1956"/>
      <c r="AF867" s="1836"/>
      <c r="AG867" s="1836"/>
      <c r="AH867" s="1836"/>
      <c r="AI867" s="1837"/>
      <c r="AJ867" s="1960"/>
    </row>
    <row r="868" spans="1:36" ht="21.95" customHeight="1" x14ac:dyDescent="0.2">
      <c r="B868" s="2045"/>
      <c r="C868" s="2046" t="str">
        <f>SNI!$D$413</f>
        <v>Tenaga Kerja</v>
      </c>
      <c r="D868" s="2047"/>
      <c r="E868" s="2047"/>
      <c r="F868" s="2048"/>
      <c r="G868" s="2049"/>
      <c r="H868" s="2050"/>
      <c r="I868" s="2051"/>
      <c r="J868" s="2051"/>
      <c r="K868" s="2052"/>
      <c r="L868" s="2053"/>
      <c r="M868" s="2054"/>
      <c r="N868" s="2055"/>
      <c r="O868" s="2056"/>
      <c r="P868" s="1969"/>
      <c r="Q868" s="1953"/>
      <c r="R868" s="1954"/>
      <c r="S868" s="1954"/>
      <c r="T868" s="1969"/>
      <c r="U868" s="2060"/>
      <c r="Z868" s="1956"/>
      <c r="AA868" s="1956"/>
      <c r="AF868" s="1836"/>
      <c r="AG868" s="1836"/>
      <c r="AH868" s="1836"/>
      <c r="AI868" s="1837"/>
      <c r="AJ868" s="1960"/>
    </row>
    <row r="869" spans="1:36" ht="21.95" customHeight="1" x14ac:dyDescent="0.2">
      <c r="B869" s="2045"/>
      <c r="C869" s="2046"/>
      <c r="D869" s="2047" t="str">
        <f>SNI!$E$413</f>
        <v xml:space="preserve">Pekerja </v>
      </c>
      <c r="E869" s="2047"/>
      <c r="F869" s="2048"/>
      <c r="G869" s="2049">
        <f>SNI!$H$413/10</f>
        <v>7.000000000000001E-3</v>
      </c>
      <c r="H869" s="2050" t="str">
        <f>SNI!$G$413</f>
        <v>OH</v>
      </c>
      <c r="I869" s="2051" t="str">
        <f>SNI!$M$413</f>
        <v>WNI</v>
      </c>
      <c r="J869" s="2051"/>
      <c r="K869" s="2052">
        <f>SNI!$L$413</f>
        <v>1</v>
      </c>
      <c r="L869" s="2053"/>
      <c r="M869" s="2054"/>
      <c r="N869" s="2055">
        <f>SNI!$I$413</f>
        <v>88300</v>
      </c>
      <c r="O869" s="2056"/>
      <c r="P869" s="1969">
        <f t="shared" ref="P869:P872" si="548">N869*G869</f>
        <v>618.10000000000014</v>
      </c>
      <c r="Q869" s="1953"/>
      <c r="R869" s="1954"/>
      <c r="S869" s="1954">
        <f t="shared" ref="S869:S872" si="549">P869*K869</f>
        <v>618.10000000000014</v>
      </c>
      <c r="T869" s="1969">
        <f t="shared" ref="T869:T872" si="550">P869-S869</f>
        <v>0</v>
      </c>
      <c r="U869" s="2060"/>
      <c r="Z869" s="1956"/>
      <c r="AA869" s="1956"/>
      <c r="AF869" s="1836"/>
      <c r="AG869" s="1836"/>
      <c r="AH869" s="1836"/>
      <c r="AI869" s="1837"/>
      <c r="AJ869" s="1960"/>
    </row>
    <row r="870" spans="1:36" ht="21.95" customHeight="1" x14ac:dyDescent="0.2">
      <c r="B870" s="2045"/>
      <c r="C870" s="2046"/>
      <c r="D870" s="2047" t="str">
        <f>SNI!$E$414</f>
        <v>Tukang Besi</v>
      </c>
      <c r="E870" s="2047"/>
      <c r="F870" s="2048"/>
      <c r="G870" s="2049">
        <f>SNI!$H$414/10</f>
        <v>7.000000000000001E-3</v>
      </c>
      <c r="H870" s="2050" t="str">
        <f>SNI!$G$414</f>
        <v>OH</v>
      </c>
      <c r="I870" s="2051" t="str">
        <f>SNI!$M$414</f>
        <v>WNI</v>
      </c>
      <c r="J870" s="2051"/>
      <c r="K870" s="2052">
        <f>SNI!$L$414</f>
        <v>1</v>
      </c>
      <c r="L870" s="2053"/>
      <c r="M870" s="2054"/>
      <c r="N870" s="2055">
        <f>SNI!$I$414</f>
        <v>90000</v>
      </c>
      <c r="O870" s="2056"/>
      <c r="P870" s="1969">
        <f t="shared" si="548"/>
        <v>630.00000000000011</v>
      </c>
      <c r="Q870" s="1953"/>
      <c r="R870" s="1954"/>
      <c r="S870" s="1954">
        <f t="shared" si="549"/>
        <v>630.00000000000011</v>
      </c>
      <c r="T870" s="1969">
        <f t="shared" si="550"/>
        <v>0</v>
      </c>
      <c r="U870" s="2060"/>
      <c r="Z870" s="1956"/>
      <c r="AA870" s="1956"/>
      <c r="AF870" s="1836"/>
      <c r="AG870" s="1836"/>
      <c r="AH870" s="1836"/>
      <c r="AI870" s="1837"/>
      <c r="AJ870" s="1960"/>
    </row>
    <row r="871" spans="1:36" ht="21.95" customHeight="1" x14ac:dyDescent="0.2">
      <c r="B871" s="2045"/>
      <c r="C871" s="2046"/>
      <c r="D871" s="2047" t="str">
        <f>SNI!$E$415</f>
        <v>Kepala Tukang</v>
      </c>
      <c r="E871" s="2047"/>
      <c r="F871" s="2048"/>
      <c r="G871" s="2049">
        <f>SNI!$H$415/10</f>
        <v>6.9999999999999999E-4</v>
      </c>
      <c r="H871" s="2050" t="str">
        <f>SNI!$G$415</f>
        <v>OH</v>
      </c>
      <c r="I871" s="2051" t="str">
        <f>SNI!$M$415</f>
        <v>WNI</v>
      </c>
      <c r="J871" s="2051"/>
      <c r="K871" s="2052">
        <f>SNI!$L$415</f>
        <v>1</v>
      </c>
      <c r="L871" s="2053"/>
      <c r="M871" s="2054"/>
      <c r="N871" s="2055">
        <f>SNI!$I$415</f>
        <v>96000</v>
      </c>
      <c r="O871" s="2056"/>
      <c r="P871" s="1969">
        <f t="shared" si="548"/>
        <v>67.2</v>
      </c>
      <c r="Q871" s="1953"/>
      <c r="R871" s="1954"/>
      <c r="S871" s="1954">
        <f t="shared" si="549"/>
        <v>67.2</v>
      </c>
      <c r="T871" s="1969">
        <f t="shared" si="550"/>
        <v>0</v>
      </c>
      <c r="U871" s="2060"/>
      <c r="Z871" s="1956"/>
      <c r="AA871" s="1956"/>
      <c r="AF871" s="1836"/>
      <c r="AG871" s="1836"/>
      <c r="AH871" s="1836"/>
      <c r="AI871" s="1837"/>
      <c r="AJ871" s="1960"/>
    </row>
    <row r="872" spans="1:36" ht="21.95" customHeight="1" x14ac:dyDescent="0.2">
      <c r="B872" s="2045"/>
      <c r="C872" s="2046"/>
      <c r="D872" s="2047" t="str">
        <f>SNI!$E$416</f>
        <v>Mandor</v>
      </c>
      <c r="E872" s="2047"/>
      <c r="F872" s="2048"/>
      <c r="G872" s="2049">
        <f>SNI!$H$416/10</f>
        <v>4.0000000000000002E-4</v>
      </c>
      <c r="H872" s="2050" t="str">
        <f>SNI!$G$416</f>
        <v>OH</v>
      </c>
      <c r="I872" s="2051" t="str">
        <f>SNI!$M$416</f>
        <v>WNI</v>
      </c>
      <c r="J872" s="2051"/>
      <c r="K872" s="2052">
        <f>SNI!$L$416</f>
        <v>1</v>
      </c>
      <c r="L872" s="2053"/>
      <c r="M872" s="2054"/>
      <c r="N872" s="2055">
        <f>SNI!$I$416</f>
        <v>90000</v>
      </c>
      <c r="O872" s="2056"/>
      <c r="P872" s="1969">
        <f t="shared" si="548"/>
        <v>36</v>
      </c>
      <c r="Q872" s="1953"/>
      <c r="R872" s="1954"/>
      <c r="S872" s="1954">
        <f t="shared" si="549"/>
        <v>36</v>
      </c>
      <c r="T872" s="1969">
        <f t="shared" si="550"/>
        <v>0</v>
      </c>
      <c r="U872" s="2060"/>
      <c r="Z872" s="1956"/>
      <c r="AA872" s="1956"/>
      <c r="AF872" s="1836"/>
      <c r="AG872" s="1836"/>
      <c r="AH872" s="1836"/>
      <c r="AI872" s="1837"/>
      <c r="AJ872" s="1960"/>
    </row>
    <row r="873" spans="1:36" s="1957" customFormat="1" ht="21.95" customHeight="1" x14ac:dyDescent="0.2">
      <c r="A873" s="1942"/>
      <c r="B873" s="1970"/>
      <c r="C873" s="1971"/>
      <c r="D873" s="1972"/>
      <c r="E873" s="1973"/>
      <c r="F873" s="1974" t="s">
        <v>556</v>
      </c>
      <c r="G873" s="1975">
        <f>B864</f>
        <v>29</v>
      </c>
      <c r="H873" s="1976"/>
      <c r="I873" s="1977"/>
      <c r="J873" s="1977"/>
      <c r="K873" s="1978"/>
      <c r="L873" s="1979"/>
      <c r="M873" s="1980"/>
      <c r="N873" s="1981"/>
      <c r="O873" s="1982"/>
      <c r="P873" s="1983">
        <f>SUM(P866:P872)</f>
        <v>13808.800000000001</v>
      </c>
      <c r="Q873" s="1984"/>
      <c r="R873" s="1985"/>
      <c r="S873" s="1983">
        <f t="shared" ref="S873" si="551">SUM(S866:S872)</f>
        <v>7242.6925000000001</v>
      </c>
      <c r="T873" s="1983">
        <f t="shared" ref="T873" si="552">SUM(T866:T872)</f>
        <v>6566.1075000000001</v>
      </c>
      <c r="U873" s="1986"/>
      <c r="V873" s="1848"/>
      <c r="W873" s="1848"/>
      <c r="X873" s="1848"/>
      <c r="Y873" s="1848"/>
      <c r="Z873" s="1956"/>
      <c r="AA873" s="1956"/>
      <c r="AF873" s="1958"/>
      <c r="AG873" s="1958"/>
      <c r="AH873" s="1958"/>
      <c r="AI873" s="1959"/>
      <c r="AJ873" s="1960"/>
    </row>
    <row r="874" spans="1:36" ht="21.95" customHeight="1" x14ac:dyDescent="0.2">
      <c r="A874" s="1833">
        <f>satpek!$B$44</f>
        <v>25</v>
      </c>
      <c r="B874" s="1943">
        <f>B864+1</f>
        <v>30</v>
      </c>
      <c r="C874" s="1937"/>
      <c r="D874" s="1944" t="str">
        <f>VLOOKUP($A874,satpek!$B$20:$N$144,2,0)</f>
        <v>Memasang bekisting untuk kolom (2 kali pakai)</v>
      </c>
      <c r="E874" s="1944"/>
      <c r="F874" s="2004"/>
      <c r="G874" s="1945">
        <f>'[3]B.VOL RAB'!Q224</f>
        <v>57.599999999999994</v>
      </c>
      <c r="H874" s="1946" t="str">
        <f>VLOOKUP($A874,satpek!$B$20:$N$144,7,0)</f>
        <v>m2</v>
      </c>
      <c r="I874" s="1947"/>
      <c r="J874" s="1947"/>
      <c r="K874" s="1948"/>
      <c r="L874" s="1949"/>
      <c r="M874" s="1950" t="str">
        <f>VLOOKUP($A874,satpek!$B$20:$N$144,5,0)</f>
        <v>A.4.1.1.22.</v>
      </c>
      <c r="N874" s="1951">
        <f>VLOOKUP($A874,satpek!$B$20:$N$144,6,0)</f>
        <v>192050.28</v>
      </c>
      <c r="O874" s="1938"/>
      <c r="P874" s="1952">
        <f t="shared" si="538"/>
        <v>11062096.130000001</v>
      </c>
      <c r="Q874" s="1953">
        <f>VLOOKUP($A874,satpek!$B$20:$L$138,8,0)</f>
        <v>0.82830850337734474</v>
      </c>
      <c r="R874" s="1954">
        <f>VLOOKUP($A874,satpek!$B$20:$L$138,9,0)</f>
        <v>140776</v>
      </c>
      <c r="S874" s="1954">
        <f>VLOOKUP($A874,satpek!$B$20:$L$138,10,0)</f>
        <v>159076.88</v>
      </c>
      <c r="T874" s="1952">
        <f>S874*G874</f>
        <v>9162828.2879999988</v>
      </c>
      <c r="U874" s="1955"/>
      <c r="X874" s="1848">
        <f>P888</f>
        <v>169956</v>
      </c>
      <c r="Y874" s="1848">
        <f>S888</f>
        <v>140776</v>
      </c>
      <c r="Z874" s="1956">
        <v>72.959999999999994</v>
      </c>
      <c r="AA874" s="1956">
        <f>Z874-G874</f>
        <v>15.36</v>
      </c>
      <c r="AB874" s="1836" t="s">
        <v>1908</v>
      </c>
      <c r="AF874" s="1836"/>
      <c r="AG874" s="1836"/>
      <c r="AH874" s="1836"/>
      <c r="AI874" s="1837">
        <v>193211.91999999998</v>
      </c>
      <c r="AJ874" s="1960">
        <f>AI874-N874</f>
        <v>1161.6399999999849</v>
      </c>
    </row>
    <row r="875" spans="1:36" ht="21.95" customHeight="1" x14ac:dyDescent="0.2">
      <c r="B875" s="2045"/>
      <c r="C875" s="2046" t="str">
        <f>SNI!$D$473</f>
        <v>Bahan</v>
      </c>
      <c r="D875" s="2047"/>
      <c r="E875" s="2047"/>
      <c r="F875" s="2048"/>
      <c r="G875" s="2049"/>
      <c r="H875" s="2050"/>
      <c r="I875" s="2051"/>
      <c r="J875" s="2051"/>
      <c r="K875" s="2052"/>
      <c r="L875" s="2053"/>
      <c r="M875" s="2054"/>
      <c r="N875" s="2055"/>
      <c r="O875" s="2056"/>
      <c r="P875" s="2057"/>
      <c r="Q875" s="2058"/>
      <c r="R875" s="2059"/>
      <c r="S875" s="2059"/>
      <c r="T875" s="2055"/>
      <c r="U875" s="2060"/>
      <c r="Z875" s="1956"/>
      <c r="AA875" s="1956"/>
      <c r="AF875" s="1836"/>
      <c r="AG875" s="1836"/>
      <c r="AH875" s="1836"/>
      <c r="AI875" s="1837"/>
      <c r="AJ875" s="1960"/>
    </row>
    <row r="876" spans="1:36" ht="21.95" customHeight="1" x14ac:dyDescent="0.2">
      <c r="B876" s="2045"/>
      <c r="C876" s="2046"/>
      <c r="D876" s="2047" t="str">
        <f>SNI!$E$473</f>
        <v>Kayu kelas III</v>
      </c>
      <c r="E876" s="2047"/>
      <c r="F876" s="2048"/>
      <c r="G876" s="2049">
        <f>SNI!$H$473</f>
        <v>0.02</v>
      </c>
      <c r="H876" s="2050" t="str">
        <f>SNI!$G$473</f>
        <v>m3</v>
      </c>
      <c r="I876" s="2051"/>
      <c r="J876" s="2051"/>
      <c r="K876" s="2052">
        <f>SNI!$L$473</f>
        <v>1</v>
      </c>
      <c r="L876" s="2053"/>
      <c r="M876" s="2054"/>
      <c r="N876" s="2055">
        <f>SNI!$I$473</f>
        <v>1100000</v>
      </c>
      <c r="O876" s="2056"/>
      <c r="P876" s="1969">
        <f t="shared" ref="P876:P881" si="553">N876*G876</f>
        <v>22000</v>
      </c>
      <c r="Q876" s="1953"/>
      <c r="R876" s="1954"/>
      <c r="S876" s="1954">
        <f t="shared" ref="S876:S881" si="554">P876*K876</f>
        <v>22000</v>
      </c>
      <c r="T876" s="1969">
        <f t="shared" ref="T876:T881" si="555">P876-S876</f>
        <v>0</v>
      </c>
      <c r="U876" s="2060"/>
      <c r="Z876" s="1956"/>
      <c r="AA876" s="1956"/>
      <c r="AF876" s="1836"/>
      <c r="AG876" s="1836"/>
      <c r="AH876" s="1836"/>
      <c r="AI876" s="1837"/>
      <c r="AJ876" s="1960"/>
    </row>
    <row r="877" spans="1:36" ht="21.95" customHeight="1" x14ac:dyDescent="0.2">
      <c r="B877" s="2045"/>
      <c r="C877" s="2046"/>
      <c r="D877" s="2047" t="str">
        <f>SNI!$E$474</f>
        <v>Paku 5 cm - 12 cm</v>
      </c>
      <c r="E877" s="2047"/>
      <c r="F877" s="2048"/>
      <c r="G877" s="2049">
        <f>SNI!$H$474</f>
        <v>0.4</v>
      </c>
      <c r="H877" s="2050" t="str">
        <f>SNI!$G$474</f>
        <v>kg</v>
      </c>
      <c r="I877" s="2051"/>
      <c r="J877" s="2051"/>
      <c r="K877" s="2052">
        <f>SNI!$L$474</f>
        <v>0</v>
      </c>
      <c r="L877" s="2053"/>
      <c r="M877" s="2054"/>
      <c r="N877" s="2055">
        <f>SNI!$I$474</f>
        <v>17000</v>
      </c>
      <c r="O877" s="2056"/>
      <c r="P877" s="1969">
        <f t="shared" si="553"/>
        <v>6800</v>
      </c>
      <c r="Q877" s="1953"/>
      <c r="R877" s="1954"/>
      <c r="S877" s="1954">
        <f t="shared" si="554"/>
        <v>0</v>
      </c>
      <c r="T877" s="1969">
        <f t="shared" si="555"/>
        <v>6800</v>
      </c>
      <c r="U877" s="2060"/>
      <c r="Z877" s="1956"/>
      <c r="AA877" s="1956"/>
      <c r="AF877" s="1836"/>
      <c r="AG877" s="1836"/>
      <c r="AH877" s="1836"/>
      <c r="AI877" s="1837"/>
      <c r="AJ877" s="1960"/>
    </row>
    <row r="878" spans="1:36" ht="21.95" customHeight="1" x14ac:dyDescent="0.2">
      <c r="B878" s="2045"/>
      <c r="C878" s="2046"/>
      <c r="D878" s="2047" t="str">
        <f>SNI!$E$475</f>
        <v>Minyak Bekisting</v>
      </c>
      <c r="E878" s="2047"/>
      <c r="F878" s="2048"/>
      <c r="G878" s="2049">
        <f>SNI!$H$475</f>
        <v>0.2</v>
      </c>
      <c r="H878" s="2050" t="str">
        <f>SNI!$G$475</f>
        <v>ltr</v>
      </c>
      <c r="I878" s="2051"/>
      <c r="J878" s="2051"/>
      <c r="K878" s="2052">
        <f>SNI!$L$475</f>
        <v>0</v>
      </c>
      <c r="L878" s="2053"/>
      <c r="M878" s="2054"/>
      <c r="N878" s="2055">
        <f>SNI!$I$475</f>
        <v>6900</v>
      </c>
      <c r="O878" s="2056"/>
      <c r="P878" s="1969">
        <f t="shared" si="553"/>
        <v>1380</v>
      </c>
      <c r="Q878" s="1953"/>
      <c r="R878" s="1954"/>
      <c r="S878" s="1954">
        <f t="shared" si="554"/>
        <v>0</v>
      </c>
      <c r="T878" s="1969">
        <f t="shared" si="555"/>
        <v>1380</v>
      </c>
      <c r="U878" s="2060"/>
      <c r="Z878" s="1956"/>
      <c r="AA878" s="1956"/>
      <c r="AF878" s="1836"/>
      <c r="AG878" s="1836"/>
      <c r="AH878" s="1836"/>
      <c r="AI878" s="1837"/>
      <c r="AJ878" s="1960"/>
    </row>
    <row r="879" spans="1:36" ht="21.95" customHeight="1" x14ac:dyDescent="0.2">
      <c r="B879" s="2045"/>
      <c r="C879" s="2046"/>
      <c r="D879" s="2047" t="str">
        <f>SNI!$E$476</f>
        <v>Balok kayu kelas II</v>
      </c>
      <c r="E879" s="2047"/>
      <c r="F879" s="2048"/>
      <c r="G879" s="2049">
        <f>SNI!$H$476</f>
        <v>7.4999999999999997E-3</v>
      </c>
      <c r="H879" s="2050" t="str">
        <f>SNI!$G$476</f>
        <v>m3</v>
      </c>
      <c r="I879" s="2051"/>
      <c r="J879" s="2051"/>
      <c r="K879" s="2052">
        <f>SNI!$L$476</f>
        <v>1</v>
      </c>
      <c r="L879" s="2053"/>
      <c r="M879" s="2054"/>
      <c r="N879" s="2055">
        <f>SNI!$I$476</f>
        <v>1600000</v>
      </c>
      <c r="O879" s="2056"/>
      <c r="P879" s="1969">
        <f t="shared" si="553"/>
        <v>12000</v>
      </c>
      <c r="Q879" s="1953"/>
      <c r="R879" s="1954"/>
      <c r="S879" s="1954">
        <f t="shared" si="554"/>
        <v>12000</v>
      </c>
      <c r="T879" s="1969">
        <f t="shared" si="555"/>
        <v>0</v>
      </c>
      <c r="U879" s="2060"/>
      <c r="Z879" s="1956"/>
      <c r="AA879" s="1956"/>
      <c r="AF879" s="1836"/>
      <c r="AG879" s="1836"/>
      <c r="AH879" s="1836"/>
      <c r="AI879" s="1837"/>
      <c r="AJ879" s="1960"/>
    </row>
    <row r="880" spans="1:36" ht="21.95" customHeight="1" x14ac:dyDescent="0.2">
      <c r="B880" s="2045"/>
      <c r="C880" s="2046"/>
      <c r="D880" s="2047" t="str">
        <f>SNI!$E$477</f>
        <v>Plywood tebal 9 mm</v>
      </c>
      <c r="E880" s="2047"/>
      <c r="F880" s="2048"/>
      <c r="G880" s="2049">
        <f>SNI!$H$477</f>
        <v>0.17499999999999999</v>
      </c>
      <c r="H880" s="2050" t="str">
        <f>SNI!$G$477</f>
        <v>lbr</v>
      </c>
      <c r="I880" s="2051"/>
      <c r="J880" s="2051"/>
      <c r="K880" s="2052">
        <f>SNI!$L$477</f>
        <v>0</v>
      </c>
      <c r="L880" s="2053"/>
      <c r="M880" s="2054"/>
      <c r="N880" s="2055">
        <f>SNI!$I$477</f>
        <v>120000</v>
      </c>
      <c r="O880" s="2056"/>
      <c r="P880" s="1969">
        <f t="shared" si="553"/>
        <v>21000</v>
      </c>
      <c r="Q880" s="1953"/>
      <c r="R880" s="1954"/>
      <c r="S880" s="1954">
        <f t="shared" si="554"/>
        <v>0</v>
      </c>
      <c r="T880" s="1969">
        <f t="shared" si="555"/>
        <v>21000</v>
      </c>
      <c r="U880" s="2060"/>
      <c r="Z880" s="1956"/>
      <c r="AA880" s="1956"/>
      <c r="AF880" s="1836"/>
      <c r="AG880" s="1836"/>
      <c r="AH880" s="1836"/>
      <c r="AI880" s="1837"/>
      <c r="AJ880" s="1960"/>
    </row>
    <row r="881" spans="1:36" ht="21.95" customHeight="1" x14ac:dyDescent="0.2">
      <c r="B881" s="2045"/>
      <c r="C881" s="2046"/>
      <c r="D881" s="2047" t="str">
        <f>SNI!$E$478</f>
        <v>Dolken kayu galam,</v>
      </c>
      <c r="E881" s="2047"/>
      <c r="F881" s="2048"/>
      <c r="G881" s="2049">
        <f>SNI!$H$478</f>
        <v>1</v>
      </c>
      <c r="H881" s="2050" t="str">
        <f>SNI!$G$478</f>
        <v>btg</v>
      </c>
      <c r="I881" s="2051"/>
      <c r="J881" s="2051"/>
      <c r="K881" s="2052">
        <f>SNI!$L$478</f>
        <v>1</v>
      </c>
      <c r="L881" s="2053"/>
      <c r="M881" s="2054"/>
      <c r="N881" s="2055">
        <f>SNI!$I$478</f>
        <v>12000</v>
      </c>
      <c r="O881" s="2056"/>
      <c r="P881" s="1969">
        <f t="shared" si="553"/>
        <v>12000</v>
      </c>
      <c r="Q881" s="1953"/>
      <c r="R881" s="1954"/>
      <c r="S881" s="1954">
        <f t="shared" si="554"/>
        <v>12000</v>
      </c>
      <c r="T881" s="1969">
        <f t="shared" si="555"/>
        <v>0</v>
      </c>
      <c r="U881" s="2060"/>
      <c r="Z881" s="1956"/>
      <c r="AA881" s="1956"/>
      <c r="AF881" s="1836"/>
      <c r="AG881" s="1836"/>
      <c r="AH881" s="1836"/>
      <c r="AI881" s="1837"/>
      <c r="AJ881" s="1960"/>
    </row>
    <row r="882" spans="1:36" ht="21.95" customHeight="1" x14ac:dyDescent="0.2">
      <c r="B882" s="2045"/>
      <c r="C882" s="2046"/>
      <c r="D882" s="2047" t="str">
        <f>SNI!$E$479</f>
        <v>Ø (8 - 10) cm, panj 4 m</v>
      </c>
      <c r="E882" s="2047"/>
      <c r="F882" s="2048"/>
      <c r="G882" s="2049"/>
      <c r="H882" s="2050"/>
      <c r="I882" s="2051"/>
      <c r="J882" s="2051"/>
      <c r="K882" s="2052"/>
      <c r="L882" s="2053"/>
      <c r="M882" s="2054"/>
      <c r="N882" s="2055"/>
      <c r="O882" s="2056"/>
      <c r="P882" s="1969"/>
      <c r="Q882" s="1953"/>
      <c r="R882" s="1954"/>
      <c r="S882" s="1954"/>
      <c r="T882" s="1969"/>
      <c r="U882" s="2060"/>
      <c r="Z882" s="1956"/>
      <c r="AA882" s="1956"/>
      <c r="AF882" s="1836"/>
      <c r="AG882" s="1836"/>
      <c r="AH882" s="1836"/>
      <c r="AI882" s="1837"/>
      <c r="AJ882" s="1960"/>
    </row>
    <row r="883" spans="1:36" ht="21.95" customHeight="1" x14ac:dyDescent="0.2">
      <c r="B883" s="2045"/>
      <c r="C883" s="2046" t="str">
        <f>SNI!$D$481</f>
        <v>Tenaga Kerja</v>
      </c>
      <c r="D883" s="2047"/>
      <c r="E883" s="2047"/>
      <c r="F883" s="2048"/>
      <c r="G883" s="2049"/>
      <c r="H883" s="2050"/>
      <c r="I883" s="2051"/>
      <c r="J883" s="2051"/>
      <c r="K883" s="2052"/>
      <c r="L883" s="2053"/>
      <c r="M883" s="2054"/>
      <c r="N883" s="2055"/>
      <c r="O883" s="2056"/>
      <c r="P883" s="1969"/>
      <c r="Q883" s="1953"/>
      <c r="R883" s="1954"/>
      <c r="S883" s="1954"/>
      <c r="T883" s="1969"/>
      <c r="U883" s="2060"/>
      <c r="Z883" s="1956"/>
      <c r="AA883" s="1956"/>
      <c r="AF883" s="1836"/>
      <c r="AG883" s="1836"/>
      <c r="AH883" s="1836"/>
      <c r="AI883" s="1837"/>
      <c r="AJ883" s="1960"/>
    </row>
    <row r="884" spans="1:36" ht="21.95" customHeight="1" x14ac:dyDescent="0.2">
      <c r="B884" s="2045"/>
      <c r="C884" s="2046"/>
      <c r="D884" s="2047" t="str">
        <f>SNI!$E$481</f>
        <v xml:space="preserve">Pekerja </v>
      </c>
      <c r="E884" s="2047"/>
      <c r="F884" s="2048"/>
      <c r="G884" s="2049">
        <f>SNI!$H$481</f>
        <v>0.66</v>
      </c>
      <c r="H884" s="2050" t="str">
        <f>SNI!$G$481</f>
        <v>OH</v>
      </c>
      <c r="I884" s="2051" t="str">
        <f>SNI!$M$481</f>
        <v>WNI</v>
      </c>
      <c r="J884" s="2051"/>
      <c r="K884" s="2052">
        <f>SNI!$L$481</f>
        <v>1</v>
      </c>
      <c r="L884" s="2053"/>
      <c r="M884" s="2054"/>
      <c r="N884" s="2055">
        <f>SNI!$I$481</f>
        <v>88300</v>
      </c>
      <c r="O884" s="2056"/>
      <c r="P884" s="1969">
        <f t="shared" ref="P884:P887" si="556">N884*G884</f>
        <v>58278</v>
      </c>
      <c r="Q884" s="1953"/>
      <c r="R884" s="1954"/>
      <c r="S884" s="1954">
        <f t="shared" ref="S884:S887" si="557">P884*K884</f>
        <v>58278</v>
      </c>
      <c r="T884" s="1969">
        <f t="shared" ref="T884:T887" si="558">P884-S884</f>
        <v>0</v>
      </c>
      <c r="U884" s="2060"/>
      <c r="Z884" s="1956"/>
      <c r="AA884" s="1956"/>
      <c r="AF884" s="1836"/>
      <c r="AG884" s="1836"/>
      <c r="AH884" s="1836"/>
      <c r="AI884" s="1837"/>
      <c r="AJ884" s="1960"/>
    </row>
    <row r="885" spans="1:36" ht="21.95" customHeight="1" x14ac:dyDescent="0.2">
      <c r="B885" s="2045"/>
      <c r="C885" s="2046"/>
      <c r="D885" s="2047" t="str">
        <f>SNI!$E$482</f>
        <v>Tukang Kayu</v>
      </c>
      <c r="E885" s="2047"/>
      <c r="F885" s="2048"/>
      <c r="G885" s="2049">
        <f>SNI!$H$482</f>
        <v>0.33</v>
      </c>
      <c r="H885" s="2050" t="str">
        <f>SNI!$G$482</f>
        <v>OH</v>
      </c>
      <c r="I885" s="2051" t="str">
        <f>SNI!$M$482</f>
        <v>WNI</v>
      </c>
      <c r="J885" s="2051"/>
      <c r="K885" s="2052">
        <f>SNI!$L$482</f>
        <v>1</v>
      </c>
      <c r="L885" s="2053"/>
      <c r="M885" s="2054"/>
      <c r="N885" s="2055">
        <f>SNI!$I$482</f>
        <v>92000</v>
      </c>
      <c r="O885" s="2056"/>
      <c r="P885" s="1969">
        <f t="shared" si="556"/>
        <v>30360</v>
      </c>
      <c r="Q885" s="1953"/>
      <c r="R885" s="1954"/>
      <c r="S885" s="1954">
        <f t="shared" si="557"/>
        <v>30360</v>
      </c>
      <c r="T885" s="1969">
        <f t="shared" si="558"/>
        <v>0</v>
      </c>
      <c r="U885" s="2060"/>
      <c r="Z885" s="1956"/>
      <c r="AA885" s="1956"/>
      <c r="AF885" s="1836"/>
      <c r="AG885" s="1836"/>
      <c r="AH885" s="1836"/>
      <c r="AI885" s="1837"/>
      <c r="AJ885" s="1960"/>
    </row>
    <row r="886" spans="1:36" ht="21.95" customHeight="1" x14ac:dyDescent="0.2">
      <c r="B886" s="2045"/>
      <c r="C886" s="2046"/>
      <c r="D886" s="2047" t="str">
        <f>SNI!$E$483</f>
        <v>Kepala Tukang</v>
      </c>
      <c r="E886" s="2047"/>
      <c r="F886" s="2048"/>
      <c r="G886" s="2049">
        <f>SNI!$H$483</f>
        <v>3.3000000000000002E-2</v>
      </c>
      <c r="H886" s="2050" t="str">
        <f>SNI!$G$483</f>
        <v>OH</v>
      </c>
      <c r="I886" s="2051" t="str">
        <f>SNI!$M$483</f>
        <v>WNI</v>
      </c>
      <c r="J886" s="2051"/>
      <c r="K886" s="2052">
        <f>SNI!$L$483</f>
        <v>1</v>
      </c>
      <c r="L886" s="2053"/>
      <c r="M886" s="2054"/>
      <c r="N886" s="2055">
        <f>SNI!$I$483</f>
        <v>96000</v>
      </c>
      <c r="O886" s="2056"/>
      <c r="P886" s="1969">
        <f t="shared" si="556"/>
        <v>3168</v>
      </c>
      <c r="Q886" s="1953"/>
      <c r="R886" s="1954"/>
      <c r="S886" s="1954">
        <f t="shared" si="557"/>
        <v>3168</v>
      </c>
      <c r="T886" s="1969">
        <f t="shared" si="558"/>
        <v>0</v>
      </c>
      <c r="U886" s="2060"/>
      <c r="Z886" s="1956"/>
      <c r="AA886" s="1956"/>
      <c r="AF886" s="1836"/>
      <c r="AG886" s="1836"/>
      <c r="AH886" s="1836"/>
      <c r="AI886" s="1837"/>
      <c r="AJ886" s="1960"/>
    </row>
    <row r="887" spans="1:36" ht="21.95" customHeight="1" x14ac:dyDescent="0.2">
      <c r="B887" s="2045"/>
      <c r="C887" s="2046"/>
      <c r="D887" s="2047" t="str">
        <f>SNI!$E$484</f>
        <v>Mandor</v>
      </c>
      <c r="E887" s="2047"/>
      <c r="F887" s="2048"/>
      <c r="G887" s="2049">
        <f>SNI!$H$484</f>
        <v>3.3000000000000002E-2</v>
      </c>
      <c r="H887" s="2050" t="str">
        <f>SNI!$G$484</f>
        <v>OH</v>
      </c>
      <c r="I887" s="2051" t="str">
        <f>SNI!$M$484</f>
        <v>WNI</v>
      </c>
      <c r="J887" s="2051"/>
      <c r="K887" s="2052">
        <f>SNI!$L$484</f>
        <v>1</v>
      </c>
      <c r="L887" s="2053"/>
      <c r="M887" s="2054"/>
      <c r="N887" s="2055">
        <f>SNI!$I$484</f>
        <v>90000</v>
      </c>
      <c r="O887" s="2056"/>
      <c r="P887" s="1969">
        <f t="shared" si="556"/>
        <v>2970</v>
      </c>
      <c r="Q887" s="1953"/>
      <c r="R887" s="1954"/>
      <c r="S887" s="1954">
        <f t="shared" si="557"/>
        <v>2970</v>
      </c>
      <c r="T887" s="1969">
        <f t="shared" si="558"/>
        <v>0</v>
      </c>
      <c r="U887" s="2060"/>
      <c r="Z887" s="1956"/>
      <c r="AA887" s="1956"/>
      <c r="AF887" s="1836"/>
      <c r="AG887" s="1836"/>
      <c r="AH887" s="1836"/>
      <c r="AI887" s="1837"/>
      <c r="AJ887" s="1960"/>
    </row>
    <row r="888" spans="1:36" s="1957" customFormat="1" ht="21.95" customHeight="1" x14ac:dyDescent="0.2">
      <c r="A888" s="1942"/>
      <c r="B888" s="1970"/>
      <c r="C888" s="1971"/>
      <c r="D888" s="1972"/>
      <c r="E888" s="1973"/>
      <c r="F888" s="1974" t="s">
        <v>556</v>
      </c>
      <c r="G888" s="1975">
        <f>B874</f>
        <v>30</v>
      </c>
      <c r="H888" s="1976"/>
      <c r="I888" s="1977"/>
      <c r="J888" s="1977"/>
      <c r="K888" s="1978"/>
      <c r="L888" s="1979"/>
      <c r="M888" s="1980"/>
      <c r="N888" s="1981"/>
      <c r="O888" s="1982"/>
      <c r="P888" s="1983">
        <f>SUM(P876:P887)</f>
        <v>169956</v>
      </c>
      <c r="Q888" s="1984"/>
      <c r="R888" s="1985"/>
      <c r="S888" s="1983">
        <f t="shared" ref="S888" si="559">SUM(S876:S887)</f>
        <v>140776</v>
      </c>
      <c r="T888" s="1983">
        <f t="shared" ref="T888" si="560">SUM(T876:T887)</f>
        <v>29180</v>
      </c>
      <c r="U888" s="1986"/>
      <c r="V888" s="1848"/>
      <c r="W888" s="1848"/>
      <c r="X888" s="1848"/>
      <c r="Y888" s="1848"/>
      <c r="Z888" s="1956"/>
      <c r="AA888" s="1956"/>
      <c r="AF888" s="1958"/>
      <c r="AG888" s="1958"/>
      <c r="AH888" s="1958"/>
      <c r="AI888" s="1959"/>
      <c r="AJ888" s="1960"/>
    </row>
    <row r="889" spans="1:36" ht="21.95" customHeight="1" x14ac:dyDescent="0.2">
      <c r="B889" s="2102"/>
      <c r="C889" s="2103"/>
      <c r="D889" s="2081" t="s">
        <v>1782</v>
      </c>
      <c r="E889" s="1930"/>
      <c r="F889" s="1931"/>
      <c r="G889" s="2104"/>
      <c r="H889" s="1933"/>
      <c r="I889" s="1934"/>
      <c r="J889" s="1934"/>
      <c r="K889" s="1935"/>
      <c r="L889" s="1936"/>
      <c r="M889" s="1936"/>
      <c r="N889" s="1951"/>
      <c r="O889" s="2066"/>
      <c r="P889" s="2067"/>
      <c r="Q889" s="1934"/>
      <c r="R889" s="1934"/>
      <c r="S889" s="1934"/>
      <c r="T889" s="1940"/>
      <c r="U889" s="1941"/>
      <c r="Z889" s="1956"/>
      <c r="AA889" s="1956">
        <f>Z889-G889</f>
        <v>0</v>
      </c>
      <c r="AB889" s="1836" t="s">
        <v>1782</v>
      </c>
      <c r="AF889" s="1836"/>
      <c r="AG889" s="1836"/>
      <c r="AH889" s="1836"/>
      <c r="AI889" s="1837"/>
      <c r="AJ889" s="1960">
        <f>AI889-N889</f>
        <v>0</v>
      </c>
    </row>
    <row r="890" spans="1:36" ht="21.95" customHeight="1" x14ac:dyDescent="0.2">
      <c r="A890" s="1833">
        <f>satpek!$B$47</f>
        <v>28</v>
      </c>
      <c r="B890" s="1943">
        <f>B874+1</f>
        <v>31</v>
      </c>
      <c r="C890" s="1937"/>
      <c r="D890" s="1944" t="str">
        <f>VLOOKUP($A890,satpek!$B$20:$N$144,2,0)</f>
        <v>Membuat kolom praktis beton bertulang 11/11 cm</v>
      </c>
      <c r="E890" s="1944"/>
      <c r="F890" s="2004"/>
      <c r="G890" s="1945">
        <f>'[3]B.VOL RAB'!Q228</f>
        <v>152</v>
      </c>
      <c r="H890" s="1946" t="str">
        <f>VLOOKUP($A890,satpek!$B$20:$N$144,7,0)</f>
        <v>m'</v>
      </c>
      <c r="I890" s="1947"/>
      <c r="J890" s="1947"/>
      <c r="K890" s="1948"/>
      <c r="L890" s="1949"/>
      <c r="M890" s="1950" t="str">
        <f>VLOOKUP($A890,satpek!$B$20:$N$144,5,0)</f>
        <v>A.4.1.1.35.</v>
      </c>
      <c r="N890" s="1951">
        <f>VLOOKUP($A890,satpek!$B$20:$N$144,6,0)</f>
        <v>112610.15</v>
      </c>
      <c r="O890" s="1938"/>
      <c r="P890" s="1952">
        <f t="shared" ref="P890:P907" si="561">ROUND((G890*N890),2)</f>
        <v>17116742.800000001</v>
      </c>
      <c r="Q890" s="1953">
        <f>VLOOKUP($A890,satpek!$B$20:$L$138,8,0)</f>
        <v>0.69870322613014901</v>
      </c>
      <c r="R890" s="1954">
        <f>VLOOKUP($A890,satpek!$B$20:$L$138,9,0)</f>
        <v>69629.27</v>
      </c>
      <c r="S890" s="1954">
        <f>VLOOKUP($A890,satpek!$B$20:$L$138,10,0)</f>
        <v>78681.075100000002</v>
      </c>
      <c r="T890" s="1952">
        <f>S890*G890</f>
        <v>11959523.415200001</v>
      </c>
      <c r="U890" s="1955"/>
      <c r="X890" s="1848">
        <f>P906</f>
        <v>99655</v>
      </c>
      <c r="Y890" s="1848">
        <f>S906</f>
        <v>69629.27</v>
      </c>
      <c r="Z890" s="1956">
        <v>152</v>
      </c>
      <c r="AA890" s="1956">
        <f>Z890-G890</f>
        <v>0</v>
      </c>
      <c r="AB890" s="1836" t="s">
        <v>229</v>
      </c>
      <c r="AF890" s="1836"/>
      <c r="AG890" s="1836"/>
      <c r="AH890" s="1836"/>
      <c r="AI890" s="1837">
        <v>111027.02</v>
      </c>
      <c r="AJ890" s="1960">
        <f>AI890-N890</f>
        <v>-1583.1299999999901</v>
      </c>
    </row>
    <row r="891" spans="1:36" ht="21.95" customHeight="1" x14ac:dyDescent="0.2">
      <c r="B891" s="2045"/>
      <c r="C891" s="2046" t="str">
        <f>SNI!D547</f>
        <v>Bahan</v>
      </c>
      <c r="D891" s="2047"/>
      <c r="E891" s="2047"/>
      <c r="F891" s="2048"/>
      <c r="G891" s="2062"/>
      <c r="H891" s="2050"/>
      <c r="I891" s="2051"/>
      <c r="J891" s="2051"/>
      <c r="K891" s="2052"/>
      <c r="L891" s="2053"/>
      <c r="M891" s="2054"/>
      <c r="N891" s="2055"/>
      <c r="O891" s="2056"/>
      <c r="P891" s="2057"/>
      <c r="Q891" s="2058"/>
      <c r="R891" s="2059"/>
      <c r="S891" s="2059"/>
      <c r="T891" s="2057"/>
      <c r="U891" s="2060"/>
      <c r="Z891" s="1956"/>
      <c r="AA891" s="1956"/>
      <c r="AF891" s="1836"/>
      <c r="AG891" s="1836"/>
      <c r="AH891" s="1836"/>
      <c r="AI891" s="1837"/>
      <c r="AJ891" s="1960"/>
    </row>
    <row r="892" spans="1:36" ht="21.95" customHeight="1" x14ac:dyDescent="0.2">
      <c r="B892" s="2045"/>
      <c r="C892" s="2046"/>
      <c r="D892" s="2047" t="str">
        <f>SNI!E547</f>
        <v>Kayu kelas III</v>
      </c>
      <c r="E892" s="2047"/>
      <c r="F892" s="2048"/>
      <c r="G892" s="2062">
        <f>SNI!H547</f>
        <v>0.02</v>
      </c>
      <c r="H892" s="2050" t="str">
        <f>SNI!G547</f>
        <v>m3</v>
      </c>
      <c r="I892" s="2051"/>
      <c r="J892" s="2051"/>
      <c r="K892" s="2052">
        <f>SNI!L547</f>
        <v>1</v>
      </c>
      <c r="L892" s="2053"/>
      <c r="M892" s="2054"/>
      <c r="N892" s="2055">
        <f>SNI!I547</f>
        <v>1100000</v>
      </c>
      <c r="O892" s="2056"/>
      <c r="P892" s="1969">
        <f t="shared" ref="P892" si="562">N892*G892</f>
        <v>22000</v>
      </c>
      <c r="Q892" s="1953"/>
      <c r="R892" s="1954"/>
      <c r="S892" s="1954">
        <f t="shared" ref="S892" si="563">P892*K892</f>
        <v>22000</v>
      </c>
      <c r="T892" s="1969">
        <f t="shared" ref="T892" si="564">P892-S892</f>
        <v>0</v>
      </c>
      <c r="U892" s="2060"/>
      <c r="Z892" s="1956"/>
      <c r="AA892" s="1956"/>
      <c r="AF892" s="1836"/>
      <c r="AG892" s="1836"/>
      <c r="AH892" s="1836"/>
      <c r="AI892" s="1837"/>
      <c r="AJ892" s="1960"/>
    </row>
    <row r="893" spans="1:36" ht="21.95" customHeight="1" x14ac:dyDescent="0.2">
      <c r="B893" s="2045"/>
      <c r="C893" s="2046"/>
      <c r="D893" s="2047" t="str">
        <f>SNI!E548</f>
        <v>Paku 5 cm - 12 cm</v>
      </c>
      <c r="E893" s="2047"/>
      <c r="F893" s="2048"/>
      <c r="G893" s="2062">
        <f>SNI!H548</f>
        <v>0.01</v>
      </c>
      <c r="H893" s="2050" t="str">
        <f>SNI!G548</f>
        <v>kg</v>
      </c>
      <c r="I893" s="2051"/>
      <c r="J893" s="2051"/>
      <c r="K893" s="2052">
        <f>SNI!L548</f>
        <v>0</v>
      </c>
      <c r="L893" s="2053"/>
      <c r="M893" s="2054"/>
      <c r="N893" s="2055">
        <f>SNI!I548</f>
        <v>17000</v>
      </c>
      <c r="O893" s="2056"/>
      <c r="P893" s="1969">
        <f t="shared" ref="P893:P905" si="565">N893*G893</f>
        <v>170</v>
      </c>
      <c r="Q893" s="1953"/>
      <c r="R893" s="1954"/>
      <c r="S893" s="1954">
        <f t="shared" ref="S893:S905" si="566">P893*K893</f>
        <v>0</v>
      </c>
      <c r="T893" s="1969">
        <f t="shared" ref="T893:T905" si="567">P893-S893</f>
        <v>170</v>
      </c>
      <c r="U893" s="2060"/>
      <c r="Z893" s="1956"/>
      <c r="AA893" s="1956"/>
      <c r="AF893" s="1836"/>
      <c r="AG893" s="1836"/>
      <c r="AH893" s="1836"/>
      <c r="AI893" s="1837"/>
      <c r="AJ893" s="1960"/>
    </row>
    <row r="894" spans="1:36" ht="21.95" customHeight="1" x14ac:dyDescent="0.2">
      <c r="B894" s="2045"/>
      <c r="C894" s="2046"/>
      <c r="D894" s="2047" t="str">
        <f>SNI!E549</f>
        <v>Besi beton polos</v>
      </c>
      <c r="E894" s="2047"/>
      <c r="F894" s="2048"/>
      <c r="G894" s="2062">
        <f>SNI!H549</f>
        <v>3</v>
      </c>
      <c r="H894" s="2050" t="str">
        <f>SNI!G549</f>
        <v>kg</v>
      </c>
      <c r="I894" s="2051"/>
      <c r="J894" s="2051"/>
      <c r="K894" s="2052">
        <f>SNI!L549</f>
        <v>0.4879</v>
      </c>
      <c r="L894" s="2053"/>
      <c r="M894" s="2054"/>
      <c r="N894" s="2055">
        <f>SNI!I549</f>
        <v>11500</v>
      </c>
      <c r="O894" s="2056"/>
      <c r="P894" s="1969">
        <f t="shared" si="565"/>
        <v>34500</v>
      </c>
      <c r="Q894" s="1953"/>
      <c r="R894" s="1954"/>
      <c r="S894" s="1954">
        <f t="shared" si="566"/>
        <v>16832.55</v>
      </c>
      <c r="T894" s="1969">
        <f t="shared" si="567"/>
        <v>17667.45</v>
      </c>
      <c r="U894" s="2060"/>
      <c r="Z894" s="1956"/>
      <c r="AA894" s="1956"/>
      <c r="AF894" s="1836"/>
      <c r="AG894" s="1836"/>
      <c r="AH894" s="1836"/>
      <c r="AI894" s="1837"/>
      <c r="AJ894" s="1960"/>
    </row>
    <row r="895" spans="1:36" ht="21.95" customHeight="1" x14ac:dyDescent="0.2">
      <c r="B895" s="2045"/>
      <c r="C895" s="2046"/>
      <c r="D895" s="2047" t="str">
        <f>SNI!E550</f>
        <v>Kawat beton</v>
      </c>
      <c r="E895" s="2047"/>
      <c r="F895" s="2048"/>
      <c r="G895" s="2062">
        <f>SNI!H550</f>
        <v>0.45</v>
      </c>
      <c r="H895" s="2050" t="str">
        <f>SNI!G550</f>
        <v>kg</v>
      </c>
      <c r="I895" s="2051"/>
      <c r="J895" s="2051"/>
      <c r="K895" s="2052">
        <f>SNI!L550</f>
        <v>0</v>
      </c>
      <c r="L895" s="2053"/>
      <c r="M895" s="2054"/>
      <c r="N895" s="2055">
        <f>SNI!I550</f>
        <v>25500</v>
      </c>
      <c r="O895" s="2056"/>
      <c r="P895" s="1969">
        <f t="shared" si="565"/>
        <v>11475</v>
      </c>
      <c r="Q895" s="1953"/>
      <c r="R895" s="1954"/>
      <c r="S895" s="1954">
        <f t="shared" si="566"/>
        <v>0</v>
      </c>
      <c r="T895" s="1969">
        <f t="shared" si="567"/>
        <v>11475</v>
      </c>
      <c r="U895" s="2060"/>
      <c r="Z895" s="1956"/>
      <c r="AA895" s="1956"/>
      <c r="AF895" s="1836"/>
      <c r="AG895" s="1836"/>
      <c r="AH895" s="1836"/>
      <c r="AI895" s="1837"/>
      <c r="AJ895" s="1960"/>
    </row>
    <row r="896" spans="1:36" ht="21.95" customHeight="1" x14ac:dyDescent="0.2">
      <c r="B896" s="2045"/>
      <c r="C896" s="2046"/>
      <c r="D896" s="2047" t="str">
        <f>SNI!E551</f>
        <v>PC</v>
      </c>
      <c r="E896" s="2047"/>
      <c r="F896" s="2048"/>
      <c r="G896" s="2062">
        <f>SNI!H551</f>
        <v>4</v>
      </c>
      <c r="H896" s="2050" t="str">
        <f>SNI!G551</f>
        <v>kg</v>
      </c>
      <c r="I896" s="2051"/>
      <c r="J896" s="2051"/>
      <c r="K896" s="2052">
        <f>SNI!L551</f>
        <v>0.85140000000000005</v>
      </c>
      <c r="L896" s="2053"/>
      <c r="M896" s="2054"/>
      <c r="N896" s="2055">
        <f>SNI!I551</f>
        <v>1200</v>
      </c>
      <c r="O896" s="2056"/>
      <c r="P896" s="1969">
        <f t="shared" si="565"/>
        <v>4800</v>
      </c>
      <c r="Q896" s="1953"/>
      <c r="R896" s="1954"/>
      <c r="S896" s="1954">
        <f t="shared" si="566"/>
        <v>4086.7200000000003</v>
      </c>
      <c r="T896" s="1969">
        <f t="shared" si="567"/>
        <v>713.27999999999975</v>
      </c>
      <c r="U896" s="2060"/>
      <c r="Z896" s="1956"/>
      <c r="AA896" s="1956"/>
      <c r="AF896" s="1836"/>
      <c r="AG896" s="1836"/>
      <c r="AH896" s="1836"/>
      <c r="AI896" s="1837"/>
      <c r="AJ896" s="1960"/>
    </row>
    <row r="897" spans="1:36" ht="21.95" customHeight="1" x14ac:dyDescent="0.2">
      <c r="B897" s="2045"/>
      <c r="C897" s="2046"/>
      <c r="D897" s="2047" t="str">
        <f>SNI!E552</f>
        <v>Pasir beton</v>
      </c>
      <c r="E897" s="2047"/>
      <c r="F897" s="2048"/>
      <c r="G897" s="2062">
        <f>SNI!H552</f>
        <v>6.0000000000000001E-3</v>
      </c>
      <c r="H897" s="2050" t="str">
        <f>SNI!G552</f>
        <v>m3</v>
      </c>
      <c r="I897" s="2051"/>
      <c r="J897" s="2051"/>
      <c r="K897" s="2052">
        <f>SNI!L552</f>
        <v>1</v>
      </c>
      <c r="L897" s="2053"/>
      <c r="M897" s="2054"/>
      <c r="N897" s="2055">
        <f>SNI!I552</f>
        <v>260000</v>
      </c>
      <c r="O897" s="2056"/>
      <c r="P897" s="1969">
        <f t="shared" si="565"/>
        <v>1560</v>
      </c>
      <c r="Q897" s="1953"/>
      <c r="R897" s="1954"/>
      <c r="S897" s="1954">
        <f t="shared" si="566"/>
        <v>1560</v>
      </c>
      <c r="T897" s="1969">
        <f t="shared" si="567"/>
        <v>0</v>
      </c>
      <c r="U897" s="2060"/>
      <c r="Z897" s="1956"/>
      <c r="AA897" s="1956"/>
      <c r="AF897" s="1836"/>
      <c r="AG897" s="1836"/>
      <c r="AH897" s="1836"/>
      <c r="AI897" s="1837"/>
      <c r="AJ897" s="1960"/>
    </row>
    <row r="898" spans="1:36" ht="21.95" customHeight="1" x14ac:dyDescent="0.2">
      <c r="B898" s="2045"/>
      <c r="C898" s="2046"/>
      <c r="D898" s="2047" t="str">
        <f>SNI!E553</f>
        <v>Kerikil</v>
      </c>
      <c r="E898" s="2047"/>
      <c r="F898" s="2048"/>
      <c r="G898" s="2062">
        <f>SNI!H553</f>
        <v>8.9999999999999993E-3</v>
      </c>
      <c r="H898" s="2050" t="str">
        <f>SNI!G553</f>
        <v>m3</v>
      </c>
      <c r="I898" s="2051"/>
      <c r="J898" s="2051"/>
      <c r="K898" s="2052">
        <f>SNI!L553</f>
        <v>1</v>
      </c>
      <c r="L898" s="2053"/>
      <c r="M898" s="2054"/>
      <c r="N898" s="2055">
        <f>SNI!I553</f>
        <v>270000</v>
      </c>
      <c r="O898" s="2056"/>
      <c r="P898" s="1969">
        <f t="shared" si="565"/>
        <v>2430</v>
      </c>
      <c r="Q898" s="1953"/>
      <c r="R898" s="1954"/>
      <c r="S898" s="1954">
        <f t="shared" si="566"/>
        <v>2430</v>
      </c>
      <c r="T898" s="1969">
        <f t="shared" si="567"/>
        <v>0</v>
      </c>
      <c r="U898" s="2060"/>
      <c r="Z898" s="1956"/>
      <c r="AA898" s="1956"/>
      <c r="AF898" s="1836"/>
      <c r="AG898" s="1836"/>
      <c r="AH898" s="1836"/>
      <c r="AI898" s="1837"/>
      <c r="AJ898" s="1960"/>
    </row>
    <row r="899" spans="1:36" ht="21.95" customHeight="1" x14ac:dyDescent="0.2">
      <c r="B899" s="2045"/>
      <c r="C899" s="2046" t="str">
        <f>SNI!D555</f>
        <v>Tenaga Kerja</v>
      </c>
      <c r="D899" s="2047"/>
      <c r="E899" s="2047"/>
      <c r="F899" s="2048"/>
      <c r="G899" s="2062"/>
      <c r="H899" s="2050"/>
      <c r="I899" s="2051"/>
      <c r="J899" s="2051"/>
      <c r="K899" s="2052"/>
      <c r="L899" s="2053"/>
      <c r="M899" s="2054"/>
      <c r="N899" s="2055"/>
      <c r="O899" s="2056"/>
      <c r="P899" s="1969"/>
      <c r="Q899" s="1953"/>
      <c r="R899" s="1954"/>
      <c r="S899" s="1954"/>
      <c r="T899" s="1969"/>
      <c r="U899" s="2060"/>
      <c r="Z899" s="1956"/>
      <c r="AA899" s="1956"/>
      <c r="AF899" s="1836"/>
      <c r="AG899" s="1836"/>
      <c r="AH899" s="1836"/>
      <c r="AI899" s="1837"/>
      <c r="AJ899" s="1960"/>
    </row>
    <row r="900" spans="1:36" ht="21.95" customHeight="1" x14ac:dyDescent="0.2">
      <c r="B900" s="2045"/>
      <c r="C900" s="2046"/>
      <c r="D900" s="2047" t="str">
        <f>SNI!E555</f>
        <v xml:space="preserve">Pekerja </v>
      </c>
      <c r="E900" s="2047"/>
      <c r="F900" s="2048"/>
      <c r="G900" s="2062">
        <f>SNI!H555</f>
        <v>0.18</v>
      </c>
      <c r="H900" s="2050" t="str">
        <f>SNI!G555</f>
        <v>OH</v>
      </c>
      <c r="I900" s="2051" t="str">
        <f>SNI!M555</f>
        <v>WNI</v>
      </c>
      <c r="J900" s="2051"/>
      <c r="K900" s="2052">
        <f>SNI!L555</f>
        <v>1</v>
      </c>
      <c r="L900" s="2053"/>
      <c r="M900" s="2054"/>
      <c r="N900" s="2055">
        <f>SNI!I555</f>
        <v>88300</v>
      </c>
      <c r="O900" s="2056"/>
      <c r="P900" s="1969">
        <f t="shared" si="565"/>
        <v>15894</v>
      </c>
      <c r="Q900" s="1953"/>
      <c r="R900" s="1954"/>
      <c r="S900" s="1954">
        <f t="shared" si="566"/>
        <v>15894</v>
      </c>
      <c r="T900" s="1969">
        <f t="shared" si="567"/>
        <v>0</v>
      </c>
      <c r="U900" s="2060"/>
      <c r="Z900" s="1956"/>
      <c r="AA900" s="1956"/>
      <c r="AF900" s="1836"/>
      <c r="AG900" s="1836"/>
      <c r="AH900" s="1836"/>
      <c r="AI900" s="1837"/>
      <c r="AJ900" s="1960"/>
    </row>
    <row r="901" spans="1:36" ht="21.95" customHeight="1" x14ac:dyDescent="0.2">
      <c r="B901" s="2045"/>
      <c r="C901" s="2046"/>
      <c r="D901" s="2047" t="str">
        <f>SNI!E556</f>
        <v xml:space="preserve">Tukang Batu </v>
      </c>
      <c r="E901" s="2047"/>
      <c r="F901" s="2048"/>
      <c r="G901" s="2062">
        <f>SNI!H556</f>
        <v>0.02</v>
      </c>
      <c r="H901" s="2050" t="str">
        <f>SNI!G556</f>
        <v>OH</v>
      </c>
      <c r="I901" s="2051" t="str">
        <f>SNI!M556</f>
        <v>WNI</v>
      </c>
      <c r="J901" s="2051"/>
      <c r="K901" s="2052">
        <f>SNI!L556</f>
        <v>1</v>
      </c>
      <c r="L901" s="2053"/>
      <c r="M901" s="2054"/>
      <c r="N901" s="2055">
        <f>SNI!I556</f>
        <v>90000</v>
      </c>
      <c r="O901" s="2056"/>
      <c r="P901" s="1969">
        <f t="shared" si="565"/>
        <v>1800</v>
      </c>
      <c r="Q901" s="1953"/>
      <c r="R901" s="1954"/>
      <c r="S901" s="1954">
        <f t="shared" si="566"/>
        <v>1800</v>
      </c>
      <c r="T901" s="1969">
        <f t="shared" si="567"/>
        <v>0</v>
      </c>
      <c r="U901" s="2060"/>
      <c r="Z901" s="1956"/>
      <c r="AA901" s="1956"/>
      <c r="AF901" s="1836"/>
      <c r="AG901" s="1836"/>
      <c r="AH901" s="1836"/>
      <c r="AI901" s="1837"/>
      <c r="AJ901" s="1960"/>
    </row>
    <row r="902" spans="1:36" ht="21.95" customHeight="1" x14ac:dyDescent="0.2">
      <c r="B902" s="2045"/>
      <c r="C902" s="2046"/>
      <c r="D902" s="2047" t="str">
        <f>SNI!E557</f>
        <v>Tukang Kayu</v>
      </c>
      <c r="E902" s="2047"/>
      <c r="F902" s="2048"/>
      <c r="G902" s="2062">
        <f>SNI!H557</f>
        <v>0.02</v>
      </c>
      <c r="H902" s="2050" t="str">
        <f>SNI!G557</f>
        <v>OH</v>
      </c>
      <c r="I902" s="2051" t="str">
        <f>SNI!M557</f>
        <v>WNI</v>
      </c>
      <c r="J902" s="2051"/>
      <c r="K902" s="2052">
        <f>SNI!L557</f>
        <v>1</v>
      </c>
      <c r="L902" s="2053"/>
      <c r="M902" s="2054"/>
      <c r="N902" s="2055">
        <f>SNI!I557</f>
        <v>92000</v>
      </c>
      <c r="O902" s="2056"/>
      <c r="P902" s="1969">
        <f t="shared" si="565"/>
        <v>1840</v>
      </c>
      <c r="Q902" s="1953"/>
      <c r="R902" s="1954"/>
      <c r="S902" s="1954">
        <f t="shared" si="566"/>
        <v>1840</v>
      </c>
      <c r="T902" s="1969">
        <f t="shared" si="567"/>
        <v>0</v>
      </c>
      <c r="U902" s="2060"/>
      <c r="Z902" s="1956"/>
      <c r="AA902" s="1956"/>
      <c r="AF902" s="1836"/>
      <c r="AG902" s="1836"/>
      <c r="AH902" s="1836"/>
      <c r="AI902" s="1837"/>
      <c r="AJ902" s="1960"/>
    </row>
    <row r="903" spans="1:36" ht="21.95" customHeight="1" x14ac:dyDescent="0.2">
      <c r="B903" s="2045"/>
      <c r="C903" s="2046"/>
      <c r="D903" s="2047" t="str">
        <f>SNI!E558</f>
        <v>Tukang Besi</v>
      </c>
      <c r="E903" s="2047"/>
      <c r="F903" s="2048"/>
      <c r="G903" s="2062">
        <f>SNI!H558</f>
        <v>0.02</v>
      </c>
      <c r="H903" s="2050" t="str">
        <f>SNI!G558</f>
        <v>OH</v>
      </c>
      <c r="I903" s="2051" t="str">
        <f>SNI!M558</f>
        <v>WNI</v>
      </c>
      <c r="J903" s="2051"/>
      <c r="K903" s="2052">
        <f>SNI!L558</f>
        <v>1</v>
      </c>
      <c r="L903" s="2053"/>
      <c r="M903" s="2054"/>
      <c r="N903" s="2055">
        <f>SNI!I558</f>
        <v>90000</v>
      </c>
      <c r="O903" s="2056"/>
      <c r="P903" s="1969">
        <f t="shared" si="565"/>
        <v>1800</v>
      </c>
      <c r="Q903" s="1953"/>
      <c r="R903" s="1954"/>
      <c r="S903" s="1954">
        <f t="shared" si="566"/>
        <v>1800</v>
      </c>
      <c r="T903" s="1969">
        <f t="shared" si="567"/>
        <v>0</v>
      </c>
      <c r="U903" s="2060"/>
      <c r="Z903" s="1956"/>
      <c r="AA903" s="1956"/>
      <c r="AF903" s="1836"/>
      <c r="AG903" s="1836"/>
      <c r="AH903" s="1836"/>
      <c r="AI903" s="1837"/>
      <c r="AJ903" s="1960"/>
    </row>
    <row r="904" spans="1:36" ht="21.95" customHeight="1" x14ac:dyDescent="0.2">
      <c r="B904" s="2045"/>
      <c r="C904" s="2046"/>
      <c r="D904" s="2047" t="str">
        <f>SNI!E559</f>
        <v>Kepala Tukang</v>
      </c>
      <c r="E904" s="2047"/>
      <c r="F904" s="2048"/>
      <c r="G904" s="2062">
        <f>SNI!H559</f>
        <v>6.0000000000000001E-3</v>
      </c>
      <c r="H904" s="2050" t="str">
        <f>SNI!G559</f>
        <v>OH</v>
      </c>
      <c r="I904" s="2051" t="str">
        <f>SNI!M559</f>
        <v>WNI</v>
      </c>
      <c r="J904" s="2051"/>
      <c r="K904" s="2052">
        <f>SNI!L559</f>
        <v>1</v>
      </c>
      <c r="L904" s="2053"/>
      <c r="M904" s="2054"/>
      <c r="N904" s="2055">
        <f>SNI!I559</f>
        <v>96000</v>
      </c>
      <c r="O904" s="2056"/>
      <c r="P904" s="1969">
        <f t="shared" si="565"/>
        <v>576</v>
      </c>
      <c r="Q904" s="1953"/>
      <c r="R904" s="1954"/>
      <c r="S904" s="1954">
        <f t="shared" si="566"/>
        <v>576</v>
      </c>
      <c r="T904" s="1969">
        <f t="shared" si="567"/>
        <v>0</v>
      </c>
      <c r="U904" s="2060"/>
      <c r="Z904" s="1956"/>
      <c r="AA904" s="1956"/>
      <c r="AF904" s="1836"/>
      <c r="AG904" s="1836"/>
      <c r="AH904" s="1836"/>
      <c r="AI904" s="1837"/>
      <c r="AJ904" s="1960"/>
    </row>
    <row r="905" spans="1:36" ht="21.95" customHeight="1" x14ac:dyDescent="0.2">
      <c r="B905" s="2045"/>
      <c r="C905" s="2046"/>
      <c r="D905" s="2047" t="str">
        <f>SNI!E560</f>
        <v>Mandor</v>
      </c>
      <c r="E905" s="2047"/>
      <c r="F905" s="2048"/>
      <c r="G905" s="2062">
        <f>SNI!H560</f>
        <v>8.9999999999999993E-3</v>
      </c>
      <c r="H905" s="2050" t="str">
        <f>SNI!G560</f>
        <v>OH</v>
      </c>
      <c r="I905" s="2051" t="str">
        <f>SNI!M560</f>
        <v>WNI</v>
      </c>
      <c r="J905" s="2051"/>
      <c r="K905" s="2052">
        <f>SNI!L560</f>
        <v>1</v>
      </c>
      <c r="L905" s="2053"/>
      <c r="M905" s="2054"/>
      <c r="N905" s="2055">
        <f>SNI!I560</f>
        <v>90000</v>
      </c>
      <c r="O905" s="2056"/>
      <c r="P905" s="1969">
        <f t="shared" si="565"/>
        <v>809.99999999999989</v>
      </c>
      <c r="Q905" s="1953"/>
      <c r="R905" s="1954"/>
      <c r="S905" s="1954">
        <f t="shared" si="566"/>
        <v>809.99999999999989</v>
      </c>
      <c r="T905" s="1969">
        <f t="shared" si="567"/>
        <v>0</v>
      </c>
      <c r="U905" s="2060"/>
      <c r="Z905" s="1956"/>
      <c r="AA905" s="1956"/>
      <c r="AF905" s="1836"/>
      <c r="AG905" s="1836"/>
      <c r="AH905" s="1836"/>
      <c r="AI905" s="1837"/>
      <c r="AJ905" s="1960"/>
    </row>
    <row r="906" spans="1:36" s="1957" customFormat="1" ht="21.95" customHeight="1" x14ac:dyDescent="0.2">
      <c r="A906" s="1942"/>
      <c r="B906" s="1970"/>
      <c r="C906" s="1971"/>
      <c r="D906" s="1972"/>
      <c r="E906" s="1973"/>
      <c r="F906" s="1974" t="s">
        <v>556</v>
      </c>
      <c r="G906" s="1975">
        <f>B890</f>
        <v>31</v>
      </c>
      <c r="H906" s="1976"/>
      <c r="I906" s="1977"/>
      <c r="J906" s="1977"/>
      <c r="K906" s="1978"/>
      <c r="L906" s="1979"/>
      <c r="M906" s="1980"/>
      <c r="N906" s="1981"/>
      <c r="O906" s="1982"/>
      <c r="P906" s="1983">
        <f>SUM(P892:P905)</f>
        <v>99655</v>
      </c>
      <c r="Q906" s="1984"/>
      <c r="R906" s="1985"/>
      <c r="S906" s="1983">
        <f t="shared" ref="S906:T906" si="568">SUM(S892:S905)</f>
        <v>69629.27</v>
      </c>
      <c r="T906" s="1983">
        <f t="shared" si="568"/>
        <v>30025.73</v>
      </c>
      <c r="U906" s="1986"/>
      <c r="V906" s="1848"/>
      <c r="W906" s="1848"/>
      <c r="X906" s="1848"/>
      <c r="Y906" s="1848"/>
      <c r="Z906" s="1956"/>
      <c r="AA906" s="1956"/>
      <c r="AF906" s="1958"/>
      <c r="AG906" s="1958"/>
      <c r="AH906" s="1958"/>
      <c r="AI906" s="1959"/>
      <c r="AJ906" s="1960"/>
    </row>
    <row r="907" spans="1:36" ht="21.95" customHeight="1" x14ac:dyDescent="0.2">
      <c r="A907" s="1833">
        <f>satpek!$B$48</f>
        <v>29</v>
      </c>
      <c r="B907" s="1943">
        <f>B890+1</f>
        <v>32</v>
      </c>
      <c r="C907" s="1937"/>
      <c r="D907" s="1944" t="s">
        <v>1783</v>
      </c>
      <c r="E907" s="1944"/>
      <c r="F907" s="2004"/>
      <c r="G907" s="2063">
        <f>'[3]B.VOL RAB'!Q229</f>
        <v>132</v>
      </c>
      <c r="H907" s="1946" t="str">
        <f>VLOOKUP($A907,satpek!$B$20:$N$144,7,0)</f>
        <v>m'</v>
      </c>
      <c r="I907" s="1947"/>
      <c r="J907" s="1947"/>
      <c r="K907" s="1948"/>
      <c r="L907" s="1949"/>
      <c r="M907" s="1950" t="str">
        <f>VLOOKUP($A907,satpek!$B$20:$N$144,5,0)</f>
        <v>A.4.1.1.36.</v>
      </c>
      <c r="N907" s="1951">
        <f>VLOOKUP($A907,satpek!$B$20:$N$144,6,0)</f>
        <v>109402.19</v>
      </c>
      <c r="O907" s="1938"/>
      <c r="P907" s="1952">
        <f t="shared" si="561"/>
        <v>14441089.08</v>
      </c>
      <c r="Q907" s="1953">
        <f>VLOOKUP($A907,satpek!$B$20:$L$138,8,0)</f>
        <v>0.75420720314079981</v>
      </c>
      <c r="R907" s="1954">
        <f>VLOOKUP($A907,satpek!$B$20:$L$138,9,0)</f>
        <v>73019.399999999994</v>
      </c>
      <c r="S907" s="1954">
        <f>VLOOKUP($A907,satpek!$B$20:$L$138,10,0)</f>
        <v>82511.921999999991</v>
      </c>
      <c r="T907" s="1952">
        <f>S907*G907</f>
        <v>10891573.703999998</v>
      </c>
      <c r="U907" s="1955"/>
      <c r="X907" s="1848">
        <f>P923</f>
        <v>96816.1</v>
      </c>
      <c r="Y907" s="1848">
        <f>S923</f>
        <v>73019.399999999994</v>
      </c>
      <c r="Z907" s="1956">
        <v>132</v>
      </c>
      <c r="AA907" s="1956">
        <f>Z907-G907</f>
        <v>0</v>
      </c>
      <c r="AB907" s="1836" t="s">
        <v>1783</v>
      </c>
      <c r="AF907" s="1836"/>
      <c r="AG907" s="1836"/>
      <c r="AH907" s="1836"/>
      <c r="AI907" s="1837">
        <v>106967.5</v>
      </c>
      <c r="AJ907" s="1960">
        <f>AI907-N907</f>
        <v>-2434.6900000000023</v>
      </c>
    </row>
    <row r="908" spans="1:36" ht="21.95" customHeight="1" x14ac:dyDescent="0.2">
      <c r="B908" s="2045"/>
      <c r="C908" s="2046" t="str">
        <f>SNI!D574</f>
        <v>Bahan</v>
      </c>
      <c r="D908" s="2047"/>
      <c r="E908" s="2047"/>
      <c r="F908" s="2048"/>
      <c r="G908" s="2064"/>
      <c r="H908" s="2050"/>
      <c r="I908" s="2051"/>
      <c r="J908" s="2051"/>
      <c r="K908" s="2052"/>
      <c r="L908" s="2053"/>
      <c r="M908" s="2054"/>
      <c r="N908" s="2055"/>
      <c r="O908" s="2056"/>
      <c r="P908" s="1969"/>
      <c r="Q908" s="1953"/>
      <c r="R908" s="1954"/>
      <c r="S908" s="1954"/>
      <c r="T908" s="1969"/>
      <c r="U908" s="2060"/>
      <c r="Z908" s="1956"/>
      <c r="AA908" s="1956"/>
      <c r="AF908" s="1836"/>
      <c r="AG908" s="1836"/>
      <c r="AH908" s="1836"/>
      <c r="AI908" s="1837"/>
      <c r="AJ908" s="1960"/>
    </row>
    <row r="909" spans="1:36" ht="21.95" customHeight="1" x14ac:dyDescent="0.2">
      <c r="B909" s="2045"/>
      <c r="C909" s="2046"/>
      <c r="D909" s="2047" t="str">
        <f>SNI!E574</f>
        <v>Kayu kelas III</v>
      </c>
      <c r="E909" s="2047"/>
      <c r="F909" s="2048"/>
      <c r="G909" s="2062">
        <f>SNI!H574</f>
        <v>3.0000000000000001E-3</v>
      </c>
      <c r="H909" s="2050" t="str">
        <f>SNI!G574</f>
        <v>m3</v>
      </c>
      <c r="I909" s="2051"/>
      <c r="J909" s="2051"/>
      <c r="K909" s="2052">
        <f>SNI!L574</f>
        <v>1</v>
      </c>
      <c r="L909" s="2053"/>
      <c r="M909" s="2054"/>
      <c r="N909" s="2055">
        <f>SNI!I574</f>
        <v>1100000</v>
      </c>
      <c r="O909" s="2056"/>
      <c r="P909" s="1969">
        <f t="shared" ref="P909" si="569">N909*G909</f>
        <v>3300</v>
      </c>
      <c r="Q909" s="1953"/>
      <c r="R909" s="1954"/>
      <c r="S909" s="1954">
        <f t="shared" ref="S909" si="570">P909*K909</f>
        <v>3300</v>
      </c>
      <c r="T909" s="1969">
        <f t="shared" ref="T909" si="571">P909-S909</f>
        <v>0</v>
      </c>
      <c r="U909" s="2060"/>
      <c r="Z909" s="1956"/>
      <c r="AA909" s="1956"/>
      <c r="AF909" s="1836"/>
      <c r="AG909" s="1836"/>
      <c r="AH909" s="1836"/>
      <c r="AI909" s="1837"/>
      <c r="AJ909" s="1960"/>
    </row>
    <row r="910" spans="1:36" ht="21.95" customHeight="1" x14ac:dyDescent="0.2">
      <c r="B910" s="2045"/>
      <c r="C910" s="2046"/>
      <c r="D910" s="2047" t="str">
        <f>SNI!E575</f>
        <v>Paku 5 cm - 12 cm</v>
      </c>
      <c r="E910" s="2047"/>
      <c r="F910" s="2048"/>
      <c r="G910" s="2062">
        <f>SNI!H575</f>
        <v>0.02</v>
      </c>
      <c r="H910" s="2050" t="str">
        <f>SNI!G575</f>
        <v>kg</v>
      </c>
      <c r="I910" s="2051"/>
      <c r="J910" s="2051"/>
      <c r="K910" s="2052">
        <f>SNI!L575</f>
        <v>0</v>
      </c>
      <c r="L910" s="2053"/>
      <c r="M910" s="2054"/>
      <c r="N910" s="2055">
        <f>SNI!I575</f>
        <v>17000</v>
      </c>
      <c r="O910" s="2056"/>
      <c r="P910" s="1969">
        <f t="shared" ref="P910:P922" si="572">N910*G910</f>
        <v>340</v>
      </c>
      <c r="Q910" s="1953"/>
      <c r="R910" s="1954"/>
      <c r="S910" s="1954">
        <f t="shared" ref="S910:S922" si="573">P910*K910</f>
        <v>0</v>
      </c>
      <c r="T910" s="1969">
        <f t="shared" ref="T910:T922" si="574">P910-S910</f>
        <v>340</v>
      </c>
      <c r="U910" s="2060"/>
      <c r="Z910" s="1956"/>
      <c r="AA910" s="1956"/>
      <c r="AF910" s="1836"/>
      <c r="AG910" s="1836"/>
      <c r="AH910" s="1836"/>
      <c r="AI910" s="1837"/>
      <c r="AJ910" s="1960"/>
    </row>
    <row r="911" spans="1:36" ht="21.95" customHeight="1" x14ac:dyDescent="0.2">
      <c r="B911" s="2045"/>
      <c r="C911" s="2046"/>
      <c r="D911" s="2047" t="str">
        <f>SNI!E576</f>
        <v>Besi beton polos</v>
      </c>
      <c r="E911" s="2047"/>
      <c r="F911" s="2048"/>
      <c r="G911" s="2062">
        <f>SNI!H576</f>
        <v>3.6</v>
      </c>
      <c r="H911" s="2050" t="str">
        <f>SNI!G576</f>
        <v>kg</v>
      </c>
      <c r="I911" s="2051"/>
      <c r="J911" s="2051"/>
      <c r="K911" s="2052">
        <f>SNI!L576</f>
        <v>0.4879</v>
      </c>
      <c r="L911" s="2053"/>
      <c r="M911" s="2054"/>
      <c r="N911" s="2055">
        <f>SNI!I576</f>
        <v>11500</v>
      </c>
      <c r="O911" s="2056"/>
      <c r="P911" s="1969">
        <f t="shared" si="572"/>
        <v>41400</v>
      </c>
      <c r="Q911" s="1953"/>
      <c r="R911" s="1954"/>
      <c r="S911" s="1954">
        <f t="shared" si="573"/>
        <v>20199.060000000001</v>
      </c>
      <c r="T911" s="1969">
        <f t="shared" si="574"/>
        <v>21200.94</v>
      </c>
      <c r="U911" s="2060"/>
      <c r="Z911" s="1956"/>
      <c r="AA911" s="1956"/>
      <c r="AF911" s="1836"/>
      <c r="AG911" s="1836"/>
      <c r="AH911" s="1836"/>
      <c r="AI911" s="1837"/>
      <c r="AJ911" s="1960"/>
    </row>
    <row r="912" spans="1:36" ht="21.95" customHeight="1" x14ac:dyDescent="0.2">
      <c r="B912" s="2045"/>
      <c r="C912" s="2046"/>
      <c r="D912" s="2047" t="str">
        <f>SNI!E577</f>
        <v>Kawat beton</v>
      </c>
      <c r="E912" s="2047"/>
      <c r="F912" s="2048"/>
      <c r="G912" s="2062">
        <f>SNI!H577</f>
        <v>0.05</v>
      </c>
      <c r="H912" s="2050" t="str">
        <f>SNI!G577</f>
        <v>kg</v>
      </c>
      <c r="I912" s="2051"/>
      <c r="J912" s="2051"/>
      <c r="K912" s="2052">
        <f>SNI!L577</f>
        <v>0</v>
      </c>
      <c r="L912" s="2053"/>
      <c r="M912" s="2054"/>
      <c r="N912" s="2055">
        <f>SNI!I577</f>
        <v>25500</v>
      </c>
      <c r="O912" s="2056"/>
      <c r="P912" s="1969">
        <f t="shared" si="572"/>
        <v>1275</v>
      </c>
      <c r="Q912" s="1953"/>
      <c r="R912" s="1954"/>
      <c r="S912" s="1954">
        <f t="shared" si="573"/>
        <v>0</v>
      </c>
      <c r="T912" s="1969">
        <f t="shared" si="574"/>
        <v>1275</v>
      </c>
      <c r="U912" s="2060"/>
      <c r="Z912" s="1956"/>
      <c r="AA912" s="1956"/>
      <c r="AF912" s="1836"/>
      <c r="AG912" s="1836"/>
      <c r="AH912" s="1836"/>
      <c r="AI912" s="1837"/>
      <c r="AJ912" s="1960"/>
    </row>
    <row r="913" spans="1:36" ht="21.95" customHeight="1" x14ac:dyDescent="0.2">
      <c r="B913" s="2045"/>
      <c r="C913" s="2046"/>
      <c r="D913" s="2047" t="str">
        <f>SNI!E578</f>
        <v>PC</v>
      </c>
      <c r="E913" s="2047"/>
      <c r="F913" s="2048"/>
      <c r="G913" s="2062">
        <f>SNI!H578</f>
        <v>5.5</v>
      </c>
      <c r="H913" s="2050" t="str">
        <f>SNI!G578</f>
        <v>kg</v>
      </c>
      <c r="I913" s="2051"/>
      <c r="J913" s="2051"/>
      <c r="K913" s="2052">
        <f>SNI!L578</f>
        <v>0.85140000000000005</v>
      </c>
      <c r="L913" s="2053"/>
      <c r="M913" s="2054"/>
      <c r="N913" s="2055">
        <f>SNI!I578</f>
        <v>1200</v>
      </c>
      <c r="O913" s="2056"/>
      <c r="P913" s="1969">
        <f t="shared" si="572"/>
        <v>6600</v>
      </c>
      <c r="Q913" s="1953"/>
      <c r="R913" s="1954"/>
      <c r="S913" s="1954">
        <f t="shared" si="573"/>
        <v>5619.2400000000007</v>
      </c>
      <c r="T913" s="1969">
        <f t="shared" si="574"/>
        <v>980.75999999999931</v>
      </c>
      <c r="U913" s="2060"/>
      <c r="Z913" s="1956"/>
      <c r="AA913" s="1956"/>
      <c r="AF913" s="1836"/>
      <c r="AG913" s="1836"/>
      <c r="AH913" s="1836"/>
      <c r="AI913" s="1837"/>
      <c r="AJ913" s="1960"/>
    </row>
    <row r="914" spans="1:36" ht="21.95" customHeight="1" x14ac:dyDescent="0.2">
      <c r="B914" s="2045"/>
      <c r="C914" s="2046"/>
      <c r="D914" s="2047" t="str">
        <f>SNI!E579</f>
        <v>Pasir beton</v>
      </c>
      <c r="E914" s="2047"/>
      <c r="F914" s="2048"/>
      <c r="G914" s="2062">
        <f>SNI!H579</f>
        <v>8.9999999999999993E-3</v>
      </c>
      <c r="H914" s="2050" t="str">
        <f>SNI!G579</f>
        <v>m3</v>
      </c>
      <c r="I914" s="2051"/>
      <c r="J914" s="2051"/>
      <c r="K914" s="2052">
        <f>SNI!L579</f>
        <v>1</v>
      </c>
      <c r="L914" s="2053"/>
      <c r="M914" s="2054"/>
      <c r="N914" s="2055">
        <f>SNI!I579</f>
        <v>260000</v>
      </c>
      <c r="O914" s="2056"/>
      <c r="P914" s="1969">
        <f t="shared" si="572"/>
        <v>2340</v>
      </c>
      <c r="Q914" s="1953"/>
      <c r="R914" s="1954"/>
      <c r="S914" s="1954">
        <f t="shared" si="573"/>
        <v>2340</v>
      </c>
      <c r="T914" s="1969">
        <f t="shared" si="574"/>
        <v>0</v>
      </c>
      <c r="U914" s="2060"/>
      <c r="Z914" s="1956"/>
      <c r="AA914" s="1956"/>
      <c r="AF914" s="1836"/>
      <c r="AG914" s="1836"/>
      <c r="AH914" s="1836"/>
      <c r="AI914" s="1837"/>
      <c r="AJ914" s="1960"/>
    </row>
    <row r="915" spans="1:36" ht="21.95" customHeight="1" x14ac:dyDescent="0.2">
      <c r="B915" s="2045"/>
      <c r="C915" s="2046"/>
      <c r="D915" s="2047" t="str">
        <f>SNI!E580</f>
        <v>Kerikil</v>
      </c>
      <c r="E915" s="2047"/>
      <c r="F915" s="2048"/>
      <c r="G915" s="2062">
        <f>SNI!H580</f>
        <v>1.4999999999999999E-2</v>
      </c>
      <c r="H915" s="2050" t="str">
        <f>SNI!G580</f>
        <v>m3</v>
      </c>
      <c r="I915" s="2051"/>
      <c r="J915" s="2051"/>
      <c r="K915" s="2052">
        <f>SNI!L580</f>
        <v>1</v>
      </c>
      <c r="L915" s="2053"/>
      <c r="M915" s="2054"/>
      <c r="N915" s="2055">
        <f>SNI!I580</f>
        <v>270000</v>
      </c>
      <c r="O915" s="2056"/>
      <c r="P915" s="1969">
        <f t="shared" si="572"/>
        <v>4050</v>
      </c>
      <c r="Q915" s="1953"/>
      <c r="R915" s="1954"/>
      <c r="S915" s="1954">
        <f t="shared" si="573"/>
        <v>4050</v>
      </c>
      <c r="T915" s="1969">
        <f t="shared" si="574"/>
        <v>0</v>
      </c>
      <c r="U915" s="2060"/>
      <c r="Z915" s="1956"/>
      <c r="AA915" s="1956"/>
      <c r="AF915" s="1836"/>
      <c r="AG915" s="1836"/>
      <c r="AH915" s="1836"/>
      <c r="AI915" s="1837"/>
      <c r="AJ915" s="1960"/>
    </row>
    <row r="916" spans="1:36" ht="21.95" customHeight="1" x14ac:dyDescent="0.2">
      <c r="B916" s="2045"/>
      <c r="C916" s="2046" t="str">
        <f>SNI!D582</f>
        <v>Tenaga Kerja</v>
      </c>
      <c r="D916" s="2047"/>
      <c r="E916" s="2047"/>
      <c r="F916" s="2048"/>
      <c r="G916" s="2062"/>
      <c r="H916" s="2050"/>
      <c r="I916" s="2051"/>
      <c r="J916" s="2051"/>
      <c r="K916" s="2052"/>
      <c r="L916" s="2053"/>
      <c r="M916" s="2054"/>
      <c r="N916" s="2055"/>
      <c r="O916" s="2056"/>
      <c r="P916" s="1969"/>
      <c r="Q916" s="1953"/>
      <c r="R916" s="1954"/>
      <c r="S916" s="1954"/>
      <c r="T916" s="1969"/>
      <c r="U916" s="2060"/>
      <c r="Z916" s="1956"/>
      <c r="AA916" s="1956"/>
      <c r="AF916" s="1836"/>
      <c r="AG916" s="1836"/>
      <c r="AH916" s="1836"/>
      <c r="AI916" s="1837"/>
      <c r="AJ916" s="1960"/>
    </row>
    <row r="917" spans="1:36" ht="21.95" customHeight="1" x14ac:dyDescent="0.2">
      <c r="B917" s="2045"/>
      <c r="C917" s="2046"/>
      <c r="D917" s="2047" t="str">
        <f>SNI!E582</f>
        <v xml:space="preserve">Pekerja </v>
      </c>
      <c r="E917" s="2047"/>
      <c r="F917" s="2048"/>
      <c r="G917" s="2062">
        <f>SNI!H582</f>
        <v>0.29699999999999999</v>
      </c>
      <c r="H917" s="2050" t="str">
        <f>SNI!G582</f>
        <v>OH</v>
      </c>
      <c r="I917" s="2051" t="str">
        <f>SNI!M582</f>
        <v>WNI</v>
      </c>
      <c r="J917" s="2051"/>
      <c r="K917" s="2052">
        <f>SNI!L582</f>
        <v>1</v>
      </c>
      <c r="L917" s="2053"/>
      <c r="M917" s="2054"/>
      <c r="N917" s="2055">
        <f>SNI!I582</f>
        <v>88300</v>
      </c>
      <c r="O917" s="2056"/>
      <c r="P917" s="1969">
        <f t="shared" si="572"/>
        <v>26225.1</v>
      </c>
      <c r="Q917" s="1953"/>
      <c r="R917" s="1954"/>
      <c r="S917" s="1954">
        <f t="shared" si="573"/>
        <v>26225.1</v>
      </c>
      <c r="T917" s="1969">
        <f t="shared" si="574"/>
        <v>0</v>
      </c>
      <c r="U917" s="2060"/>
      <c r="Z917" s="1956"/>
      <c r="AA917" s="1956"/>
      <c r="AF917" s="1836"/>
      <c r="AG917" s="1836"/>
      <c r="AH917" s="1836"/>
      <c r="AI917" s="1837"/>
      <c r="AJ917" s="1960"/>
    </row>
    <row r="918" spans="1:36" ht="21.95" customHeight="1" x14ac:dyDescent="0.2">
      <c r="B918" s="2045"/>
      <c r="C918" s="2046"/>
      <c r="D918" s="2047" t="str">
        <f>SNI!E583</f>
        <v xml:space="preserve">Tukang Batu </v>
      </c>
      <c r="E918" s="2047"/>
      <c r="F918" s="2048"/>
      <c r="G918" s="2062">
        <f>SNI!H583</f>
        <v>3.3000000000000002E-2</v>
      </c>
      <c r="H918" s="2050" t="str">
        <f>SNI!G583</f>
        <v>OH</v>
      </c>
      <c r="I918" s="2051" t="str">
        <f>SNI!M583</f>
        <v>WNI</v>
      </c>
      <c r="J918" s="2051"/>
      <c r="K918" s="2052">
        <f>SNI!L583</f>
        <v>1</v>
      </c>
      <c r="L918" s="2053"/>
      <c r="M918" s="2054"/>
      <c r="N918" s="2055">
        <f>SNI!I583</f>
        <v>90000</v>
      </c>
      <c r="O918" s="2056"/>
      <c r="P918" s="1969">
        <f t="shared" si="572"/>
        <v>2970</v>
      </c>
      <c r="Q918" s="1953"/>
      <c r="R918" s="1954"/>
      <c r="S918" s="1954">
        <f t="shared" si="573"/>
        <v>2970</v>
      </c>
      <c r="T918" s="1969">
        <f t="shared" si="574"/>
        <v>0</v>
      </c>
      <c r="U918" s="2060"/>
      <c r="Z918" s="1956"/>
      <c r="AA918" s="1956"/>
      <c r="AF918" s="1836"/>
      <c r="AG918" s="1836"/>
      <c r="AH918" s="1836"/>
      <c r="AI918" s="1837"/>
      <c r="AJ918" s="1960"/>
    </row>
    <row r="919" spans="1:36" ht="21.95" customHeight="1" x14ac:dyDescent="0.2">
      <c r="B919" s="2045"/>
      <c r="C919" s="2046"/>
      <c r="D919" s="2047" t="str">
        <f>SNI!E584</f>
        <v>Tukang Kayu</v>
      </c>
      <c r="E919" s="2047"/>
      <c r="F919" s="2048"/>
      <c r="G919" s="2062">
        <f>SNI!H584</f>
        <v>3.3000000000000002E-2</v>
      </c>
      <c r="H919" s="2050" t="str">
        <f>SNI!G584</f>
        <v>OH</v>
      </c>
      <c r="I919" s="2051" t="str">
        <f>SNI!M584</f>
        <v>WNI</v>
      </c>
      <c r="J919" s="2051"/>
      <c r="K919" s="2052">
        <f>SNI!L584</f>
        <v>1</v>
      </c>
      <c r="L919" s="2053"/>
      <c r="M919" s="2054"/>
      <c r="N919" s="2055">
        <f>SNI!I584</f>
        <v>92000</v>
      </c>
      <c r="O919" s="2056"/>
      <c r="P919" s="1969">
        <f t="shared" si="572"/>
        <v>3036</v>
      </c>
      <c r="Q919" s="1953"/>
      <c r="R919" s="1954"/>
      <c r="S919" s="1954">
        <f t="shared" si="573"/>
        <v>3036</v>
      </c>
      <c r="T919" s="1969">
        <f t="shared" si="574"/>
        <v>0</v>
      </c>
      <c r="U919" s="2060"/>
      <c r="Z919" s="1956"/>
      <c r="AA919" s="1956"/>
      <c r="AF919" s="1836"/>
      <c r="AG919" s="1836"/>
      <c r="AH919" s="1836"/>
      <c r="AI919" s="1837"/>
      <c r="AJ919" s="1960"/>
    </row>
    <row r="920" spans="1:36" ht="21.95" customHeight="1" x14ac:dyDescent="0.2">
      <c r="B920" s="2045"/>
      <c r="C920" s="2046"/>
      <c r="D920" s="2047" t="str">
        <f>SNI!E585</f>
        <v>Tukang Besi</v>
      </c>
      <c r="E920" s="2047"/>
      <c r="F920" s="2048"/>
      <c r="G920" s="2062">
        <f>SNI!H585</f>
        <v>3.3000000000000002E-2</v>
      </c>
      <c r="H920" s="2050" t="str">
        <f>SNI!G585</f>
        <v>OH</v>
      </c>
      <c r="I920" s="2051" t="str">
        <f>SNI!M585</f>
        <v>WNI</v>
      </c>
      <c r="J920" s="2051"/>
      <c r="K920" s="2052">
        <f>SNI!L585</f>
        <v>1</v>
      </c>
      <c r="L920" s="2053"/>
      <c r="M920" s="2054"/>
      <c r="N920" s="2055">
        <f>SNI!I585</f>
        <v>90000</v>
      </c>
      <c r="O920" s="2056"/>
      <c r="P920" s="1969">
        <f t="shared" si="572"/>
        <v>2970</v>
      </c>
      <c r="Q920" s="1953"/>
      <c r="R920" s="1954"/>
      <c r="S920" s="1954">
        <f t="shared" si="573"/>
        <v>2970</v>
      </c>
      <c r="T920" s="1969">
        <f t="shared" si="574"/>
        <v>0</v>
      </c>
      <c r="U920" s="2060"/>
      <c r="Z920" s="1956"/>
      <c r="AA920" s="1956"/>
      <c r="AF920" s="1836"/>
      <c r="AG920" s="1836"/>
      <c r="AH920" s="1836"/>
      <c r="AI920" s="1837"/>
      <c r="AJ920" s="1960"/>
    </row>
    <row r="921" spans="1:36" ht="21.95" customHeight="1" x14ac:dyDescent="0.2">
      <c r="B921" s="2045"/>
      <c r="C921" s="2046"/>
      <c r="D921" s="2047" t="str">
        <f>SNI!E586</f>
        <v>Kepala Tukang</v>
      </c>
      <c r="E921" s="2047"/>
      <c r="F921" s="2048"/>
      <c r="G921" s="2062">
        <f>SNI!H586</f>
        <v>0.01</v>
      </c>
      <c r="H921" s="2050" t="str">
        <f>SNI!G586</f>
        <v>OH</v>
      </c>
      <c r="I921" s="2051" t="str">
        <f>SNI!M586</f>
        <v>WNI</v>
      </c>
      <c r="J921" s="2051"/>
      <c r="K921" s="2052">
        <f>SNI!L586</f>
        <v>1</v>
      </c>
      <c r="L921" s="2053"/>
      <c r="M921" s="2054"/>
      <c r="N921" s="2055">
        <f>SNI!I586</f>
        <v>96000</v>
      </c>
      <c r="O921" s="2056"/>
      <c r="P921" s="1969">
        <f t="shared" si="572"/>
        <v>960</v>
      </c>
      <c r="Q921" s="1953"/>
      <c r="R921" s="1954"/>
      <c r="S921" s="1954">
        <f t="shared" si="573"/>
        <v>960</v>
      </c>
      <c r="T921" s="1969">
        <f t="shared" si="574"/>
        <v>0</v>
      </c>
      <c r="U921" s="2060"/>
      <c r="Z921" s="1956"/>
      <c r="AA921" s="1956"/>
      <c r="AF921" s="1836"/>
      <c r="AG921" s="1836"/>
      <c r="AH921" s="1836"/>
      <c r="AI921" s="1837"/>
      <c r="AJ921" s="1960"/>
    </row>
    <row r="922" spans="1:36" ht="21.95" customHeight="1" x14ac:dyDescent="0.2">
      <c r="B922" s="2045"/>
      <c r="C922" s="2046"/>
      <c r="D922" s="2047" t="str">
        <f>SNI!E587</f>
        <v>Mandor</v>
      </c>
      <c r="E922" s="2047"/>
      <c r="F922" s="2048"/>
      <c r="G922" s="2062">
        <f>SNI!H587</f>
        <v>1.4999999999999999E-2</v>
      </c>
      <c r="H922" s="2050" t="str">
        <f>SNI!G587</f>
        <v>OH</v>
      </c>
      <c r="I922" s="2051" t="str">
        <f>SNI!M587</f>
        <v>WNI</v>
      </c>
      <c r="J922" s="2051"/>
      <c r="K922" s="2052">
        <f>SNI!L587</f>
        <v>1</v>
      </c>
      <c r="L922" s="2053"/>
      <c r="M922" s="2054"/>
      <c r="N922" s="2055">
        <f>SNI!I587</f>
        <v>90000</v>
      </c>
      <c r="O922" s="2056"/>
      <c r="P922" s="1969">
        <f t="shared" si="572"/>
        <v>1350</v>
      </c>
      <c r="Q922" s="1953"/>
      <c r="R922" s="1954"/>
      <c r="S922" s="1954">
        <f t="shared" si="573"/>
        <v>1350</v>
      </c>
      <c r="T922" s="1969">
        <f t="shared" si="574"/>
        <v>0</v>
      </c>
      <c r="U922" s="2060"/>
      <c r="Z922" s="1956"/>
      <c r="AA922" s="1956"/>
      <c r="AF922" s="1836"/>
      <c r="AG922" s="1836"/>
      <c r="AH922" s="1836"/>
      <c r="AI922" s="1837"/>
      <c r="AJ922" s="1960"/>
    </row>
    <row r="923" spans="1:36" s="1957" customFormat="1" ht="21.95" customHeight="1" x14ac:dyDescent="0.2">
      <c r="A923" s="1942"/>
      <c r="B923" s="1970"/>
      <c r="C923" s="1971"/>
      <c r="D923" s="1972"/>
      <c r="E923" s="1973"/>
      <c r="F923" s="1974" t="s">
        <v>556</v>
      </c>
      <c r="G923" s="1975">
        <f>B907</f>
        <v>32</v>
      </c>
      <c r="H923" s="1976"/>
      <c r="I923" s="1977"/>
      <c r="J923" s="1977"/>
      <c r="K923" s="1978"/>
      <c r="L923" s="1979"/>
      <c r="M923" s="1980"/>
      <c r="N923" s="1981"/>
      <c r="O923" s="1982"/>
      <c r="P923" s="1983">
        <f>SUM(P909:P922)</f>
        <v>96816.1</v>
      </c>
      <c r="Q923" s="1984"/>
      <c r="R923" s="1985"/>
      <c r="S923" s="1983">
        <f t="shared" ref="S923" si="575">SUM(S909:S922)</f>
        <v>73019.399999999994</v>
      </c>
      <c r="T923" s="1983">
        <f t="shared" ref="T923" si="576">SUM(T909:T922)</f>
        <v>23796.699999999997</v>
      </c>
      <c r="U923" s="1986"/>
      <c r="V923" s="1848"/>
      <c r="W923" s="1848"/>
      <c r="X923" s="1848"/>
      <c r="Y923" s="1848"/>
      <c r="Z923" s="1956"/>
      <c r="AA923" s="1956"/>
      <c r="AF923" s="1958"/>
      <c r="AG923" s="1958"/>
      <c r="AH923" s="1958"/>
      <c r="AI923" s="1959"/>
      <c r="AJ923" s="1960"/>
    </row>
    <row r="924" spans="1:36" ht="21.95" customHeight="1" x14ac:dyDescent="0.2">
      <c r="B924" s="2017"/>
      <c r="C924" s="2018"/>
      <c r="D924" s="2019"/>
      <c r="E924" s="2019"/>
      <c r="F924" s="2020"/>
      <c r="G924" s="2021"/>
      <c r="H924" s="2022"/>
      <c r="I924" s="2023"/>
      <c r="J924" s="2023"/>
      <c r="K924" s="2024"/>
      <c r="L924" s="2025"/>
      <c r="M924" s="2025"/>
      <c r="N924" s="2026"/>
      <c r="O924" s="2027"/>
      <c r="P924" s="2065" t="s">
        <v>1799</v>
      </c>
      <c r="Q924" s="2029">
        <f>AVERAGE(Q136:Q907)</f>
        <v>0.74801032433392567</v>
      </c>
      <c r="R924" s="2023"/>
      <c r="S924" s="2023"/>
      <c r="T924" s="2068">
        <f>SUM(T136:T907)</f>
        <v>1147314174.8014495</v>
      </c>
      <c r="U924" s="2031"/>
      <c r="V924" s="1848">
        <f>[3]HPS!M135</f>
        <v>1670051823.0199993</v>
      </c>
      <c r="W924" s="1848" t="e">
        <f>#REF!-V924</f>
        <v>#REF!</v>
      </c>
      <c r="Z924" s="1956"/>
      <c r="AA924" s="1956">
        <f>Z924-G924</f>
        <v>0</v>
      </c>
      <c r="AB924" s="2069"/>
      <c r="AF924" s="1836"/>
      <c r="AG924" s="1836"/>
      <c r="AH924" s="1836"/>
      <c r="AI924" s="1837"/>
      <c r="AJ924" s="1960">
        <f>AI924-N924</f>
        <v>0</v>
      </c>
    </row>
    <row r="925" spans="1:36" ht="21.95" customHeight="1" x14ac:dyDescent="0.2">
      <c r="B925" s="2032" t="s">
        <v>1800</v>
      </c>
      <c r="C925" s="1928"/>
      <c r="D925" s="1929" t="s">
        <v>1801</v>
      </c>
      <c r="E925" s="1930"/>
      <c r="F925" s="1931"/>
      <c r="G925" s="1945"/>
      <c r="H925" s="1933"/>
      <c r="I925" s="1934"/>
      <c r="J925" s="1934"/>
      <c r="K925" s="1935"/>
      <c r="L925" s="1936"/>
      <c r="M925" s="1936"/>
      <c r="N925" s="1951"/>
      <c r="O925" s="2089"/>
      <c r="P925" s="2090"/>
      <c r="Q925" s="1934"/>
      <c r="R925" s="1934"/>
      <c r="S925" s="1934"/>
      <c r="T925" s="1940"/>
      <c r="U925" s="1941"/>
      <c r="Z925" s="1956"/>
      <c r="AA925" s="1956">
        <f>Z925-G925</f>
        <v>0</v>
      </c>
      <c r="AB925" s="1836" t="s">
        <v>1801</v>
      </c>
      <c r="AF925" s="1836"/>
      <c r="AG925" s="1836"/>
      <c r="AH925" s="1836"/>
      <c r="AI925" s="1837"/>
      <c r="AJ925" s="1960">
        <f>AI925-N925</f>
        <v>0</v>
      </c>
    </row>
    <row r="926" spans="1:36" ht="21.95" customHeight="1" x14ac:dyDescent="0.2">
      <c r="B926" s="2032"/>
      <c r="C926" s="1928"/>
      <c r="D926" s="1929" t="s">
        <v>1769</v>
      </c>
      <c r="E926" s="1930"/>
      <c r="F926" s="1931"/>
      <c r="G926" s="1945"/>
      <c r="H926" s="1933"/>
      <c r="I926" s="1934"/>
      <c r="J926" s="1934"/>
      <c r="K926" s="1935"/>
      <c r="L926" s="1936"/>
      <c r="M926" s="1936"/>
      <c r="N926" s="1951"/>
      <c r="O926" s="2089"/>
      <c r="P926" s="2090"/>
      <c r="Q926" s="1934"/>
      <c r="R926" s="1934"/>
      <c r="S926" s="1934"/>
      <c r="T926" s="1940"/>
      <c r="U926" s="1941"/>
      <c r="Z926" s="1956"/>
      <c r="AA926" s="1956">
        <f>Z926-G926</f>
        <v>0</v>
      </c>
      <c r="AB926" s="1836" t="s">
        <v>1769</v>
      </c>
      <c r="AF926" s="1836"/>
      <c r="AG926" s="1836"/>
      <c r="AH926" s="1836"/>
      <c r="AI926" s="1837"/>
      <c r="AJ926" s="1960">
        <f>AI926-N926</f>
        <v>0</v>
      </c>
    </row>
    <row r="927" spans="1:36" ht="21.95" customHeight="1" x14ac:dyDescent="0.2">
      <c r="A927" s="1833">
        <f>satpek!$B$34</f>
        <v>15</v>
      </c>
      <c r="B927" s="1943">
        <v>1</v>
      </c>
      <c r="C927" s="1937"/>
      <c r="D927" s="1944" t="str">
        <f>VLOOKUP($A927,satpek!$B$20:$N$144,2,0)</f>
        <v>Membuat dinding bt. merah t: 1/2bata, camp 1PC:8PP</v>
      </c>
      <c r="E927" s="1944"/>
      <c r="F927" s="2004"/>
      <c r="G927" s="1945">
        <f>'[3]B.VOL RAB'!Q233</f>
        <v>549.26</v>
      </c>
      <c r="H927" s="1946" t="str">
        <f>VLOOKUP($A927,satpek!$B$20:$N$144,7,0)</f>
        <v>m2</v>
      </c>
      <c r="I927" s="1947"/>
      <c r="J927" s="1947"/>
      <c r="K927" s="1948"/>
      <c r="L927" s="1949"/>
      <c r="M927" s="1950" t="str">
        <f>VLOOKUP($A927,satpek!$B$20:$N$144,5,0)</f>
        <v>A.4.4.1.12.</v>
      </c>
      <c r="N927" s="1951">
        <f>VLOOKUP($A927,satpek!$B$20:$N$144,6,0)</f>
        <v>129498</v>
      </c>
      <c r="O927" s="1938"/>
      <c r="P927" s="1952">
        <f t="shared" ref="P927:P961" si="577">ROUND((G927*N927),2)</f>
        <v>71128071.480000004</v>
      </c>
      <c r="Q927" s="1953">
        <f>VLOOKUP($A927,satpek!$B$20:$L$138,8,0)</f>
        <v>0.98988586387434552</v>
      </c>
      <c r="R927" s="1954">
        <f>VLOOKUP($A927,satpek!$B$20:$L$138,9,0)</f>
        <v>113440.92</v>
      </c>
      <c r="S927" s="1954">
        <f>VLOOKUP($A927,satpek!$B$20:$L$138,10,0)</f>
        <v>128188.2396</v>
      </c>
      <c r="T927" s="1952">
        <f>S927*G927</f>
        <v>70408672.482695997</v>
      </c>
      <c r="U927" s="1955"/>
      <c r="X927" s="1848">
        <f>P937</f>
        <v>114600</v>
      </c>
      <c r="Y927" s="1848">
        <f>S937</f>
        <v>113440.92</v>
      </c>
      <c r="Z927" s="1956">
        <v>549.26</v>
      </c>
      <c r="AA927" s="1956">
        <f>Z927-G927</f>
        <v>0</v>
      </c>
      <c r="AB927" s="1836" t="s">
        <v>666</v>
      </c>
      <c r="AF927" s="1836"/>
      <c r="AG927" s="1836"/>
      <c r="AH927" s="1836"/>
      <c r="AI927" s="1837">
        <v>119970.97</v>
      </c>
      <c r="AJ927" s="1960">
        <f>AI927-N927</f>
        <v>-9527.0299999999988</v>
      </c>
    </row>
    <row r="928" spans="1:36" ht="21.95" customHeight="1" x14ac:dyDescent="0.2">
      <c r="B928" s="2045"/>
      <c r="C928" s="2046" t="str">
        <f>SNI!$D$272</f>
        <v>Bahan</v>
      </c>
      <c r="D928" s="2047"/>
      <c r="E928" s="2047"/>
      <c r="F928" s="2048"/>
      <c r="G928" s="2049"/>
      <c r="H928" s="2050"/>
      <c r="I928" s="2051"/>
      <c r="J928" s="2051"/>
      <c r="K928" s="2052"/>
      <c r="L928" s="2053"/>
      <c r="M928" s="2054"/>
      <c r="N928" s="2055"/>
      <c r="O928" s="2056"/>
      <c r="P928" s="2057"/>
      <c r="Q928" s="2058"/>
      <c r="R928" s="2059"/>
      <c r="S928" s="2059"/>
      <c r="T928" s="2057"/>
      <c r="U928" s="2060"/>
      <c r="Z928" s="1956"/>
      <c r="AA928" s="1956"/>
      <c r="AF928" s="1836"/>
      <c r="AG928" s="1836"/>
      <c r="AH928" s="1836"/>
      <c r="AI928" s="1837"/>
      <c r="AJ928" s="1960"/>
    </row>
    <row r="929" spans="1:36" ht="21.95" customHeight="1" x14ac:dyDescent="0.2">
      <c r="B929" s="2045"/>
      <c r="C929" s="2046"/>
      <c r="D929" s="2047" t="str">
        <f>SNI!$E$272</f>
        <v>Batu Merah</v>
      </c>
      <c r="E929" s="2047"/>
      <c r="F929" s="2048"/>
      <c r="G929" s="2049">
        <f>SNI!$H$272</f>
        <v>70</v>
      </c>
      <c r="H929" s="2050" t="str">
        <f>SNI!$G$272</f>
        <v>Buah</v>
      </c>
      <c r="I929" s="2051"/>
      <c r="J929" s="2051"/>
      <c r="K929" s="2052">
        <f>SNI!$L$272</f>
        <v>1</v>
      </c>
      <c r="L929" s="2053"/>
      <c r="M929" s="2054"/>
      <c r="N929" s="2055">
        <f>SNI!$I$272</f>
        <v>800</v>
      </c>
      <c r="O929" s="2056"/>
      <c r="P929" s="1969">
        <f t="shared" ref="P929" si="578">N929*G929</f>
        <v>56000</v>
      </c>
      <c r="Q929" s="1953"/>
      <c r="R929" s="1954"/>
      <c r="S929" s="1954">
        <f t="shared" ref="S929" si="579">P929*K929</f>
        <v>56000</v>
      </c>
      <c r="T929" s="1969">
        <f t="shared" ref="T929" si="580">P929-S929</f>
        <v>0</v>
      </c>
      <c r="U929" s="2060"/>
      <c r="Z929" s="1956"/>
      <c r="AA929" s="1956"/>
      <c r="AF929" s="1836"/>
      <c r="AG929" s="1836"/>
      <c r="AH929" s="1836"/>
      <c r="AI929" s="1837"/>
      <c r="AJ929" s="1960"/>
    </row>
    <row r="930" spans="1:36" ht="21.95" customHeight="1" x14ac:dyDescent="0.2">
      <c r="B930" s="2045"/>
      <c r="C930" s="2046"/>
      <c r="D930" s="2047" t="str">
        <f>SNI!$E$273</f>
        <v>PC</v>
      </c>
      <c r="E930" s="2047"/>
      <c r="F930" s="2048"/>
      <c r="G930" s="2049">
        <f>SNI!$H$273</f>
        <v>6.5</v>
      </c>
      <c r="H930" s="2050" t="str">
        <f>SNI!$G$273</f>
        <v>kg</v>
      </c>
      <c r="I930" s="2051"/>
      <c r="J930" s="2051"/>
      <c r="K930" s="2052">
        <f>SNI!$L$273</f>
        <v>0.85140000000000005</v>
      </c>
      <c r="L930" s="2053"/>
      <c r="M930" s="2054"/>
      <c r="N930" s="2055">
        <f>SNI!$I$273</f>
        <v>1200</v>
      </c>
      <c r="O930" s="2056"/>
      <c r="P930" s="1969">
        <f t="shared" ref="P930:P936" si="581">N930*G930</f>
        <v>7800</v>
      </c>
      <c r="Q930" s="1953"/>
      <c r="R930" s="1954"/>
      <c r="S930" s="1954">
        <f t="shared" ref="S930:S936" si="582">P930*K930</f>
        <v>6640.92</v>
      </c>
      <c r="T930" s="1969">
        <f t="shared" ref="T930:T936" si="583">P930-S930</f>
        <v>1159.08</v>
      </c>
      <c r="U930" s="2060"/>
      <c r="Z930" s="1956"/>
      <c r="AA930" s="1956"/>
      <c r="AF930" s="1836"/>
      <c r="AG930" s="1836"/>
      <c r="AH930" s="1836"/>
      <c r="AI930" s="1837"/>
      <c r="AJ930" s="1960"/>
    </row>
    <row r="931" spans="1:36" ht="21.95" customHeight="1" x14ac:dyDescent="0.2">
      <c r="B931" s="2045"/>
      <c r="C931" s="2046"/>
      <c r="D931" s="2047" t="str">
        <f>SNI!$E$274</f>
        <v>Pasir Pasang</v>
      </c>
      <c r="E931" s="2047"/>
      <c r="F931" s="2048"/>
      <c r="G931" s="2049">
        <f>SNI!$H$274</f>
        <v>0.05</v>
      </c>
      <c r="H931" s="2050" t="str">
        <f>SNI!$G$274</f>
        <v>m3</v>
      </c>
      <c r="I931" s="2051"/>
      <c r="J931" s="2051"/>
      <c r="K931" s="2052">
        <f>SNI!$L$274</f>
        <v>1</v>
      </c>
      <c r="L931" s="2053"/>
      <c r="M931" s="2054"/>
      <c r="N931" s="2055">
        <f>SNI!$I$274</f>
        <v>260000</v>
      </c>
      <c r="O931" s="2056"/>
      <c r="P931" s="1969">
        <f t="shared" si="581"/>
        <v>13000</v>
      </c>
      <c r="Q931" s="1953"/>
      <c r="R931" s="1954"/>
      <c r="S931" s="1954">
        <f t="shared" si="582"/>
        <v>13000</v>
      </c>
      <c r="T931" s="1969">
        <f t="shared" si="583"/>
        <v>0</v>
      </c>
      <c r="U931" s="2060"/>
      <c r="Z931" s="1956"/>
      <c r="AA931" s="1956"/>
      <c r="AF931" s="1836"/>
      <c r="AG931" s="1836"/>
      <c r="AH931" s="1836"/>
      <c r="AI931" s="1837"/>
      <c r="AJ931" s="1960"/>
    </row>
    <row r="932" spans="1:36" ht="21.95" customHeight="1" x14ac:dyDescent="0.2">
      <c r="B932" s="2045"/>
      <c r="C932" s="2046" t="str">
        <f>SNI!$D$276</f>
        <v>Tenaga Kerja</v>
      </c>
      <c r="D932" s="2047"/>
      <c r="E932" s="2047"/>
      <c r="F932" s="2048"/>
      <c r="G932" s="2049"/>
      <c r="H932" s="2050"/>
      <c r="I932" s="2051"/>
      <c r="J932" s="2051"/>
      <c r="K932" s="2052"/>
      <c r="L932" s="2053"/>
      <c r="M932" s="2054"/>
      <c r="N932" s="2055"/>
      <c r="O932" s="2056"/>
      <c r="P932" s="1969"/>
      <c r="Q932" s="1953"/>
      <c r="R932" s="1954"/>
      <c r="S932" s="1954"/>
      <c r="T932" s="1969"/>
      <c r="U932" s="2060"/>
      <c r="Z932" s="1956"/>
      <c r="AA932" s="1956"/>
      <c r="AF932" s="1836"/>
      <c r="AG932" s="1836"/>
      <c r="AH932" s="1836"/>
      <c r="AI932" s="1837"/>
      <c r="AJ932" s="1960"/>
    </row>
    <row r="933" spans="1:36" ht="21.95" customHeight="1" x14ac:dyDescent="0.2">
      <c r="B933" s="2045"/>
      <c r="C933" s="2046"/>
      <c r="D933" s="2047" t="str">
        <f>SNI!$E$276</f>
        <v xml:space="preserve">Pekerja </v>
      </c>
      <c r="E933" s="2047"/>
      <c r="F933" s="2048"/>
      <c r="G933" s="2049">
        <f>SNI!$H$276</f>
        <v>0.3</v>
      </c>
      <c r="H933" s="2050" t="str">
        <f>SNI!$G$276</f>
        <v>OH</v>
      </c>
      <c r="I933" s="2051" t="str">
        <f>SNI!$M$276</f>
        <v>WNI</v>
      </c>
      <c r="J933" s="2051"/>
      <c r="K933" s="2052">
        <f>SNI!$L$276</f>
        <v>1</v>
      </c>
      <c r="L933" s="2053"/>
      <c r="M933" s="2054"/>
      <c r="N933" s="2055">
        <f>SNI!$I$276</f>
        <v>88300</v>
      </c>
      <c r="O933" s="2056"/>
      <c r="P933" s="1969">
        <f t="shared" si="581"/>
        <v>26490</v>
      </c>
      <c r="Q933" s="1953"/>
      <c r="R933" s="1954"/>
      <c r="S933" s="1954">
        <f t="shared" si="582"/>
        <v>26490</v>
      </c>
      <c r="T933" s="1969">
        <f t="shared" si="583"/>
        <v>0</v>
      </c>
      <c r="U933" s="2060"/>
      <c r="Z933" s="1956"/>
      <c r="AA933" s="1956"/>
      <c r="AF933" s="1836"/>
      <c r="AG933" s="1836"/>
      <c r="AH933" s="1836"/>
      <c r="AI933" s="1837"/>
      <c r="AJ933" s="1960"/>
    </row>
    <row r="934" spans="1:36" ht="21.95" customHeight="1" x14ac:dyDescent="0.2">
      <c r="B934" s="2045"/>
      <c r="C934" s="2046"/>
      <c r="D934" s="2047" t="str">
        <f>SNI!$E$277</f>
        <v>Tukang Batu</v>
      </c>
      <c r="E934" s="2047"/>
      <c r="F934" s="2048"/>
      <c r="G934" s="2049">
        <f>SNI!$H$277</f>
        <v>0.1</v>
      </c>
      <c r="H934" s="2050" t="str">
        <f>SNI!$G$277</f>
        <v>OH</v>
      </c>
      <c r="I934" s="2051" t="str">
        <f>SNI!$M$277</f>
        <v>WNI</v>
      </c>
      <c r="J934" s="2051"/>
      <c r="K934" s="2052">
        <f>SNI!$L$277</f>
        <v>1</v>
      </c>
      <c r="L934" s="2053"/>
      <c r="M934" s="2054"/>
      <c r="N934" s="2055">
        <f>SNI!$I$277</f>
        <v>90000</v>
      </c>
      <c r="O934" s="2056"/>
      <c r="P934" s="1969">
        <f t="shared" si="581"/>
        <v>9000</v>
      </c>
      <c r="Q934" s="1953"/>
      <c r="R934" s="1954"/>
      <c r="S934" s="1954">
        <f t="shared" si="582"/>
        <v>9000</v>
      </c>
      <c r="T934" s="1969">
        <f t="shared" si="583"/>
        <v>0</v>
      </c>
      <c r="U934" s="2060"/>
      <c r="Z934" s="1956"/>
      <c r="AA934" s="1956"/>
      <c r="AF934" s="1836"/>
      <c r="AG934" s="1836"/>
      <c r="AH934" s="1836"/>
      <c r="AI934" s="1837"/>
      <c r="AJ934" s="1960"/>
    </row>
    <row r="935" spans="1:36" ht="21.95" customHeight="1" x14ac:dyDescent="0.2">
      <c r="B935" s="2045"/>
      <c r="C935" s="2046"/>
      <c r="D935" s="2047" t="str">
        <f>SNI!$E$278</f>
        <v>Kepala Tukang</v>
      </c>
      <c r="E935" s="2047"/>
      <c r="F935" s="2048"/>
      <c r="G935" s="2049">
        <f>SNI!$H$278</f>
        <v>0.01</v>
      </c>
      <c r="H935" s="2050" t="str">
        <f>SNI!$G$278</f>
        <v>OH</v>
      </c>
      <c r="I935" s="2051" t="str">
        <f>SNI!$M$278</f>
        <v>WNI</v>
      </c>
      <c r="J935" s="2051"/>
      <c r="K935" s="2052">
        <f>SNI!$L$278</f>
        <v>1</v>
      </c>
      <c r="L935" s="2053"/>
      <c r="M935" s="2054"/>
      <c r="N935" s="2055">
        <f>SNI!$I$278</f>
        <v>96000</v>
      </c>
      <c r="O935" s="2056"/>
      <c r="P935" s="1969">
        <f t="shared" si="581"/>
        <v>960</v>
      </c>
      <c r="Q935" s="1953"/>
      <c r="R935" s="1954"/>
      <c r="S935" s="1954">
        <f t="shared" si="582"/>
        <v>960</v>
      </c>
      <c r="T935" s="1969">
        <f t="shared" si="583"/>
        <v>0</v>
      </c>
      <c r="U935" s="2060"/>
      <c r="Z935" s="1956"/>
      <c r="AA935" s="1956"/>
      <c r="AF935" s="1836"/>
      <c r="AG935" s="1836"/>
      <c r="AH935" s="1836"/>
      <c r="AI935" s="1837"/>
      <c r="AJ935" s="1960"/>
    </row>
    <row r="936" spans="1:36" ht="21.95" customHeight="1" x14ac:dyDescent="0.2">
      <c r="B936" s="2045"/>
      <c r="C936" s="2046"/>
      <c r="D936" s="2047" t="str">
        <f>SNI!$E$279</f>
        <v>Mandor</v>
      </c>
      <c r="E936" s="2047"/>
      <c r="F936" s="2048"/>
      <c r="G936" s="2049">
        <f>SNI!$H$279</f>
        <v>1.4999999999999999E-2</v>
      </c>
      <c r="H936" s="2050" t="str">
        <f>SNI!$G$279</f>
        <v>OH</v>
      </c>
      <c r="I936" s="2051" t="str">
        <f>SNI!$M$279</f>
        <v>WNI</v>
      </c>
      <c r="J936" s="2051"/>
      <c r="K936" s="2052">
        <f>SNI!$L$279</f>
        <v>1</v>
      </c>
      <c r="L936" s="2053"/>
      <c r="M936" s="2054"/>
      <c r="N936" s="2055">
        <f>SNI!$I$279</f>
        <v>90000</v>
      </c>
      <c r="O936" s="2056"/>
      <c r="P936" s="1969">
        <f t="shared" si="581"/>
        <v>1350</v>
      </c>
      <c r="Q936" s="1953"/>
      <c r="R936" s="1954"/>
      <c r="S936" s="1954">
        <f t="shared" si="582"/>
        <v>1350</v>
      </c>
      <c r="T936" s="1969">
        <f t="shared" si="583"/>
        <v>0</v>
      </c>
      <c r="U936" s="2060"/>
      <c r="Z936" s="1956"/>
      <c r="AA936" s="1956"/>
      <c r="AF936" s="1836"/>
      <c r="AG936" s="1836"/>
      <c r="AH936" s="1836"/>
      <c r="AI936" s="1837"/>
      <c r="AJ936" s="1960"/>
    </row>
    <row r="937" spans="1:36" s="1957" customFormat="1" ht="21.95" customHeight="1" x14ac:dyDescent="0.2">
      <c r="A937" s="1942"/>
      <c r="B937" s="1970"/>
      <c r="C937" s="1971"/>
      <c r="D937" s="1972"/>
      <c r="E937" s="1973"/>
      <c r="F937" s="1974" t="s">
        <v>556</v>
      </c>
      <c r="G937" s="1975">
        <f>B927</f>
        <v>1</v>
      </c>
      <c r="H937" s="1976"/>
      <c r="I937" s="1977"/>
      <c r="J937" s="1977"/>
      <c r="K937" s="1978"/>
      <c r="L937" s="1979"/>
      <c r="M937" s="1980"/>
      <c r="N937" s="1981"/>
      <c r="O937" s="1982"/>
      <c r="P937" s="1983">
        <f>SUM(P929:P936)</f>
        <v>114600</v>
      </c>
      <c r="Q937" s="1984"/>
      <c r="R937" s="1985"/>
      <c r="S937" s="1983">
        <f t="shared" ref="S937:T937" si="584">SUM(S929:S936)</f>
        <v>113440.92</v>
      </c>
      <c r="T937" s="1983">
        <f t="shared" si="584"/>
        <v>1159.08</v>
      </c>
      <c r="U937" s="1986"/>
      <c r="V937" s="1848"/>
      <c r="W937" s="1848"/>
      <c r="X937" s="1848"/>
      <c r="Y937" s="1848"/>
      <c r="Z937" s="1956"/>
      <c r="AA937" s="1956"/>
      <c r="AF937" s="1958"/>
      <c r="AG937" s="1958"/>
      <c r="AH937" s="1958"/>
      <c r="AI937" s="1959"/>
      <c r="AJ937" s="1960"/>
    </row>
    <row r="938" spans="1:36" ht="21.95" customHeight="1" x14ac:dyDescent="0.2">
      <c r="A938" s="1833">
        <f>satpek!$B$58</f>
        <v>39</v>
      </c>
      <c r="B938" s="2105">
        <f>B927+1</f>
        <v>2</v>
      </c>
      <c r="C938" s="1937"/>
      <c r="D938" s="1944" t="str">
        <f>VLOOKUP($A938,satpek!$B$20:$N$144,2,0)</f>
        <v>Membuat dinding partisi gypsum 9mm double</v>
      </c>
      <c r="E938" s="1944"/>
      <c r="F938" s="2004"/>
      <c r="G938" s="1945">
        <f>'[3]B.VOL RAB'!Q262</f>
        <v>247.13599999999997</v>
      </c>
      <c r="H938" s="1946" t="str">
        <f>VLOOKUP($A938,satpek!$B$20:$N$144,7,0)</f>
        <v>m2</v>
      </c>
      <c r="I938" s="1947"/>
      <c r="J938" s="1947"/>
      <c r="K938" s="1948"/>
      <c r="L938" s="1949"/>
      <c r="M938" s="1950" t="str">
        <f>VLOOKUP($A938,satpek!$B$20:$N$144,5,0)</f>
        <v>A.4.2.1.20.</v>
      </c>
      <c r="N938" s="1951">
        <f>VLOOKUP($A938,satpek!$B$20:$N$144,6,0)</f>
        <v>210845.94</v>
      </c>
      <c r="O938" s="1938"/>
      <c r="P938" s="1952">
        <f t="shared" si="577"/>
        <v>52107622.229999997</v>
      </c>
      <c r="Q938" s="1953">
        <f>VLOOKUP($A938,satpek!$B$20:$L$138,8,0)</f>
        <v>0.45788799844557021</v>
      </c>
      <c r="R938" s="1954">
        <f>VLOOKUP($A938,satpek!$B$20:$L$138,9,0)</f>
        <v>85437.014844999998</v>
      </c>
      <c r="S938" s="1954">
        <f>VLOOKUP($A938,satpek!$B$20:$L$138,10,0)</f>
        <v>96543.826774849993</v>
      </c>
      <c r="T938" s="1952">
        <f>S938*G938</f>
        <v>23859455.173829325</v>
      </c>
      <c r="U938" s="1955"/>
      <c r="X938" s="1848">
        <f>P948</f>
        <v>186589.33333333331</v>
      </c>
      <c r="Y938" s="1848">
        <f>S948</f>
        <v>85437.016000000003</v>
      </c>
      <c r="Z938" s="1956">
        <v>247.13599999999997</v>
      </c>
      <c r="AA938" s="1956">
        <f>Z938-G938</f>
        <v>0</v>
      </c>
      <c r="AB938" s="1836" t="s">
        <v>1911</v>
      </c>
      <c r="AF938" s="1836"/>
      <c r="AG938" s="1836"/>
      <c r="AH938" s="1836"/>
      <c r="AI938" s="1837">
        <v>203748.41000000003</v>
      </c>
      <c r="AJ938" s="1960">
        <f>AI938-N938</f>
        <v>-7097.5299999999697</v>
      </c>
    </row>
    <row r="939" spans="1:36" ht="21.95" customHeight="1" x14ac:dyDescent="0.2">
      <c r="B939" s="2106"/>
      <c r="C939" s="2046" t="str">
        <f>SNI!$D$780</f>
        <v>Bahan</v>
      </c>
      <c r="D939" s="2047"/>
      <c r="E939" s="2047"/>
      <c r="F939" s="2048"/>
      <c r="G939" s="2049"/>
      <c r="H939" s="2050"/>
      <c r="I939" s="2051"/>
      <c r="J939" s="2051"/>
      <c r="K939" s="2052"/>
      <c r="L939" s="2053"/>
      <c r="M939" s="2054"/>
      <c r="N939" s="2055"/>
      <c r="O939" s="2056"/>
      <c r="P939" s="2057"/>
      <c r="Q939" s="2058"/>
      <c r="R939" s="2059"/>
      <c r="S939" s="2059"/>
      <c r="T939" s="2057"/>
      <c r="U939" s="2060"/>
      <c r="Z939" s="1956"/>
      <c r="AA939" s="1956"/>
      <c r="AF939" s="1836"/>
      <c r="AG939" s="1836"/>
      <c r="AH939" s="1836"/>
      <c r="AI939" s="1837"/>
      <c r="AJ939" s="1960"/>
    </row>
    <row r="940" spans="1:36" ht="21.95" customHeight="1" x14ac:dyDescent="0.2">
      <c r="B940" s="2106"/>
      <c r="C940" s="2046"/>
      <c r="D940" s="2047" t="str">
        <f>SNI!$E$780</f>
        <v>Gypsum</v>
      </c>
      <c r="E940" s="2047"/>
      <c r="F940" s="2048"/>
      <c r="G940" s="2049">
        <f>SNI!$H$780</f>
        <v>0.72799999999999998</v>
      </c>
      <c r="H940" s="2050" t="str">
        <f>SNI!$G$780</f>
        <v>Lembar</v>
      </c>
      <c r="I940" s="2051"/>
      <c r="J940" s="2051"/>
      <c r="K940" s="2052">
        <f>SNI!$L$780</f>
        <v>0.30320000000000003</v>
      </c>
      <c r="L940" s="2053"/>
      <c r="M940" s="2054"/>
      <c r="N940" s="2055">
        <f>SNI!$I$780</f>
        <v>85000</v>
      </c>
      <c r="O940" s="2056"/>
      <c r="P940" s="1969">
        <f t="shared" ref="P940" si="585">N940*G940</f>
        <v>61880</v>
      </c>
      <c r="Q940" s="1953"/>
      <c r="R940" s="1954"/>
      <c r="S940" s="1954">
        <f t="shared" ref="S940" si="586">P940*K940</f>
        <v>18762.016000000003</v>
      </c>
      <c r="T940" s="1969">
        <f t="shared" ref="T940" si="587">P940-S940</f>
        <v>43117.983999999997</v>
      </c>
      <c r="U940" s="2060"/>
      <c r="Z940" s="1956"/>
      <c r="AA940" s="1956"/>
      <c r="AF940" s="1836"/>
      <c r="AG940" s="1836"/>
      <c r="AH940" s="1836"/>
      <c r="AI940" s="1837"/>
      <c r="AJ940" s="1960"/>
    </row>
    <row r="941" spans="1:36" ht="21.95" customHeight="1" x14ac:dyDescent="0.2">
      <c r="B941" s="2106"/>
      <c r="C941" s="2046"/>
      <c r="D941" s="2047" t="str">
        <f>SNI!$E$781</f>
        <v>Baja ringan C75</v>
      </c>
      <c r="E941" s="2047"/>
      <c r="F941" s="2048"/>
      <c r="G941" s="2049">
        <f>SNI!$H$781</f>
        <v>4</v>
      </c>
      <c r="H941" s="2050" t="str">
        <f>SNI!$G$781</f>
        <v>m'</v>
      </c>
      <c r="I941" s="2051"/>
      <c r="J941" s="2051"/>
      <c r="K941" s="2052">
        <f>SNI!$L$781</f>
        <v>0.34649999999999997</v>
      </c>
      <c r="L941" s="2053"/>
      <c r="M941" s="2054"/>
      <c r="N941" s="2055">
        <f>SNI!$I$781</f>
        <v>20833.333333333332</v>
      </c>
      <c r="O941" s="2056"/>
      <c r="P941" s="1969">
        <f t="shared" ref="P941:P947" si="588">N941*G941</f>
        <v>83333.333333333328</v>
      </c>
      <c r="Q941" s="1953"/>
      <c r="R941" s="1954"/>
      <c r="S941" s="1954">
        <f t="shared" ref="S941:S947" si="589">P941*K941</f>
        <v>28874.999999999996</v>
      </c>
      <c r="T941" s="1969">
        <f t="shared" ref="T941:T947" si="590">P941-S941</f>
        <v>54458.333333333328</v>
      </c>
      <c r="U941" s="2060"/>
      <c r="Z941" s="1956"/>
      <c r="AA941" s="1956"/>
      <c r="AF941" s="1836"/>
      <c r="AG941" s="1836"/>
      <c r="AH941" s="1836"/>
      <c r="AI941" s="1837"/>
      <c r="AJ941" s="1960"/>
    </row>
    <row r="942" spans="1:36" ht="21.95" customHeight="1" x14ac:dyDescent="0.2">
      <c r="B942" s="2106"/>
      <c r="C942" s="2046"/>
      <c r="D942" s="2047" t="str">
        <f>SNI!$E$782</f>
        <v>Sekrup</v>
      </c>
      <c r="E942" s="2047"/>
      <c r="F942" s="2048"/>
      <c r="G942" s="2049">
        <f>SNI!$H$782</f>
        <v>0.14899999999999999</v>
      </c>
      <c r="H942" s="2050" t="str">
        <f>SNI!$G$782</f>
        <v>kg</v>
      </c>
      <c r="I942" s="2051"/>
      <c r="J942" s="2051"/>
      <c r="K942" s="2052">
        <f>SNI!$L$782</f>
        <v>0</v>
      </c>
      <c r="L942" s="2053"/>
      <c r="M942" s="2054"/>
      <c r="N942" s="2055">
        <f>SNI!$I$782</f>
        <v>24000</v>
      </c>
      <c r="O942" s="2056"/>
      <c r="P942" s="1969">
        <f t="shared" si="588"/>
        <v>3576</v>
      </c>
      <c r="Q942" s="1953"/>
      <c r="R942" s="1954"/>
      <c r="S942" s="1954">
        <f t="shared" si="589"/>
        <v>0</v>
      </c>
      <c r="T942" s="1969">
        <f t="shared" si="590"/>
        <v>3576</v>
      </c>
      <c r="U942" s="2060"/>
      <c r="Z942" s="1956"/>
      <c r="AA942" s="1956"/>
      <c r="AF942" s="1836"/>
      <c r="AG942" s="1836"/>
      <c r="AH942" s="1836"/>
      <c r="AI942" s="1837"/>
      <c r="AJ942" s="1960"/>
    </row>
    <row r="943" spans="1:36" ht="21.95" customHeight="1" x14ac:dyDescent="0.2">
      <c r="B943" s="2106"/>
      <c r="C943" s="2046" t="str">
        <f>SNI!$D$784</f>
        <v>Tenaga Kerja</v>
      </c>
      <c r="D943" s="2047"/>
      <c r="E943" s="2047"/>
      <c r="F943" s="2048"/>
      <c r="G943" s="2049"/>
      <c r="H943" s="2050"/>
      <c r="I943" s="2051"/>
      <c r="J943" s="2051"/>
      <c r="K943" s="2052"/>
      <c r="L943" s="2053"/>
      <c r="M943" s="2054"/>
      <c r="N943" s="2055"/>
      <c r="O943" s="2056"/>
      <c r="P943" s="1969"/>
      <c r="Q943" s="1953"/>
      <c r="R943" s="1954"/>
      <c r="S943" s="1954"/>
      <c r="T943" s="1969"/>
      <c r="U943" s="2060"/>
      <c r="Z943" s="1956"/>
      <c r="AA943" s="1956"/>
      <c r="AF943" s="1836"/>
      <c r="AG943" s="1836"/>
      <c r="AH943" s="1836"/>
      <c r="AI943" s="1837"/>
      <c r="AJ943" s="1960"/>
    </row>
    <row r="944" spans="1:36" ht="21.95" customHeight="1" x14ac:dyDescent="0.2">
      <c r="B944" s="2106"/>
      <c r="C944" s="2046"/>
      <c r="D944" s="2047" t="str">
        <f>SNI!$E$784</f>
        <v xml:space="preserve">Pekerja </v>
      </c>
      <c r="E944" s="2047"/>
      <c r="F944" s="2048"/>
      <c r="G944" s="2049">
        <f>SNI!$H$784</f>
        <v>0.3</v>
      </c>
      <c r="H944" s="2050" t="str">
        <f>SNI!$G$784</f>
        <v>OH</v>
      </c>
      <c r="I944" s="2051" t="str">
        <f>SNI!$M$315</f>
        <v>WNI</v>
      </c>
      <c r="J944" s="2051"/>
      <c r="K944" s="2052">
        <f>SNI!$L$784</f>
        <v>1</v>
      </c>
      <c r="L944" s="2053"/>
      <c r="M944" s="2054"/>
      <c r="N944" s="2055">
        <f>SNI!$I$784</f>
        <v>88300</v>
      </c>
      <c r="O944" s="2056"/>
      <c r="P944" s="1969">
        <f t="shared" si="588"/>
        <v>26490</v>
      </c>
      <c r="Q944" s="1953"/>
      <c r="R944" s="1954"/>
      <c r="S944" s="1954">
        <f t="shared" si="589"/>
        <v>26490</v>
      </c>
      <c r="T944" s="1969">
        <f t="shared" si="590"/>
        <v>0</v>
      </c>
      <c r="U944" s="2060"/>
      <c r="Z944" s="1956"/>
      <c r="AA944" s="1956"/>
      <c r="AF944" s="1836"/>
      <c r="AG944" s="1836"/>
      <c r="AH944" s="1836"/>
      <c r="AI944" s="1837"/>
      <c r="AJ944" s="1960"/>
    </row>
    <row r="945" spans="1:36" ht="21.95" customHeight="1" x14ac:dyDescent="0.2">
      <c r="B945" s="2106"/>
      <c r="C945" s="2046"/>
      <c r="D945" s="2047" t="str">
        <f>SNI!$E$785</f>
        <v>Tukang Batu</v>
      </c>
      <c r="E945" s="2047"/>
      <c r="F945" s="2048"/>
      <c r="G945" s="2049">
        <f>SNI!$H$785</f>
        <v>0.1</v>
      </c>
      <c r="H945" s="2050" t="str">
        <f>SNI!$G$785</f>
        <v>OH</v>
      </c>
      <c r="I945" s="2051" t="str">
        <f>SNI!$M$315</f>
        <v>WNI</v>
      </c>
      <c r="J945" s="2051"/>
      <c r="K945" s="2052">
        <f>SNI!$L$785</f>
        <v>1</v>
      </c>
      <c r="L945" s="2053"/>
      <c r="M945" s="2054"/>
      <c r="N945" s="2055">
        <f>SNI!$I$785</f>
        <v>90000</v>
      </c>
      <c r="O945" s="2056"/>
      <c r="P945" s="1969">
        <f t="shared" si="588"/>
        <v>9000</v>
      </c>
      <c r="Q945" s="1953"/>
      <c r="R945" s="1954"/>
      <c r="S945" s="1954">
        <f t="shared" si="589"/>
        <v>9000</v>
      </c>
      <c r="T945" s="1969">
        <f t="shared" si="590"/>
        <v>0</v>
      </c>
      <c r="U945" s="2060"/>
      <c r="Z945" s="1956"/>
      <c r="AA945" s="1956"/>
      <c r="AF945" s="1836"/>
      <c r="AG945" s="1836"/>
      <c r="AH945" s="1836"/>
      <c r="AI945" s="1837"/>
      <c r="AJ945" s="1960"/>
    </row>
    <row r="946" spans="1:36" ht="21.95" customHeight="1" x14ac:dyDescent="0.2">
      <c r="B946" s="2106"/>
      <c r="C946" s="2046"/>
      <c r="D946" s="2047" t="str">
        <f>SNI!$E$786</f>
        <v>Kepala Tukang</v>
      </c>
      <c r="E946" s="2047"/>
      <c r="F946" s="2048"/>
      <c r="G946" s="2049">
        <f>SNI!$H$786</f>
        <v>0.01</v>
      </c>
      <c r="H946" s="2050" t="str">
        <f>SNI!$G$786</f>
        <v>OH</v>
      </c>
      <c r="I946" s="2051" t="str">
        <f>SNI!$M$315</f>
        <v>WNI</v>
      </c>
      <c r="J946" s="2051"/>
      <c r="K946" s="2052">
        <f>SNI!$L$786</f>
        <v>1</v>
      </c>
      <c r="L946" s="2053"/>
      <c r="M946" s="2054"/>
      <c r="N946" s="2055">
        <f>SNI!$I$786</f>
        <v>96000</v>
      </c>
      <c r="O946" s="2056"/>
      <c r="P946" s="1969">
        <f t="shared" si="588"/>
        <v>960</v>
      </c>
      <c r="Q946" s="1953"/>
      <c r="R946" s="1954"/>
      <c r="S946" s="1954">
        <f t="shared" si="589"/>
        <v>960</v>
      </c>
      <c r="T946" s="1969">
        <f t="shared" si="590"/>
        <v>0</v>
      </c>
      <c r="U946" s="2060"/>
      <c r="Z946" s="1956"/>
      <c r="AA946" s="1956"/>
      <c r="AF946" s="1836"/>
      <c r="AG946" s="1836"/>
      <c r="AH946" s="1836"/>
      <c r="AI946" s="1837"/>
      <c r="AJ946" s="1960"/>
    </row>
    <row r="947" spans="1:36" ht="21.95" customHeight="1" x14ac:dyDescent="0.2">
      <c r="B947" s="2106"/>
      <c r="C947" s="2046"/>
      <c r="D947" s="2047" t="str">
        <f>SNI!$E$787</f>
        <v>Mandor</v>
      </c>
      <c r="E947" s="2047"/>
      <c r="F947" s="2048"/>
      <c r="G947" s="2049">
        <f>SNI!H787</f>
        <v>1.4999999999999999E-2</v>
      </c>
      <c r="H947" s="2050" t="str">
        <f>SNI!$G$787</f>
        <v>OH</v>
      </c>
      <c r="I947" s="2051" t="str">
        <f>SNI!$M$315</f>
        <v>WNI</v>
      </c>
      <c r="J947" s="2051"/>
      <c r="K947" s="2052">
        <f>SNI!$L$787</f>
        <v>1</v>
      </c>
      <c r="L947" s="2053"/>
      <c r="M947" s="2054"/>
      <c r="N947" s="2055">
        <f>SNI!$I$787</f>
        <v>90000</v>
      </c>
      <c r="O947" s="2056"/>
      <c r="P947" s="1969">
        <f t="shared" si="588"/>
        <v>1350</v>
      </c>
      <c r="Q947" s="1953"/>
      <c r="R947" s="1954"/>
      <c r="S947" s="1954">
        <f t="shared" si="589"/>
        <v>1350</v>
      </c>
      <c r="T947" s="1969">
        <f t="shared" si="590"/>
        <v>0</v>
      </c>
      <c r="U947" s="2060"/>
      <c r="Z947" s="1956"/>
      <c r="AA947" s="1956"/>
      <c r="AF947" s="1836"/>
      <c r="AG947" s="1836"/>
      <c r="AH947" s="1836"/>
      <c r="AI947" s="1837"/>
      <c r="AJ947" s="1960"/>
    </row>
    <row r="948" spans="1:36" s="1957" customFormat="1" ht="21.95" customHeight="1" x14ac:dyDescent="0.2">
      <c r="A948" s="1942"/>
      <c r="B948" s="1970"/>
      <c r="C948" s="1971"/>
      <c r="D948" s="1972"/>
      <c r="E948" s="1973"/>
      <c r="F948" s="1974" t="s">
        <v>556</v>
      </c>
      <c r="G948" s="1975">
        <f>B938</f>
        <v>2</v>
      </c>
      <c r="H948" s="1976"/>
      <c r="I948" s="1977"/>
      <c r="J948" s="1977"/>
      <c r="K948" s="1978"/>
      <c r="L948" s="1979"/>
      <c r="M948" s="1980"/>
      <c r="N948" s="1981"/>
      <c r="O948" s="1982"/>
      <c r="P948" s="1983">
        <f>SUM(P940:P947)</f>
        <v>186589.33333333331</v>
      </c>
      <c r="Q948" s="1984"/>
      <c r="R948" s="1985"/>
      <c r="S948" s="1983">
        <f t="shared" ref="S948" si="591">SUM(S940:S947)</f>
        <v>85437.016000000003</v>
      </c>
      <c r="T948" s="1983">
        <f t="shared" ref="T948" si="592">SUM(T940:T947)</f>
        <v>101152.31733333333</v>
      </c>
      <c r="U948" s="1986"/>
      <c r="V948" s="1848"/>
      <c r="W948" s="1848"/>
      <c r="X948" s="1848"/>
      <c r="Y948" s="1848"/>
      <c r="Z948" s="1956"/>
      <c r="AA948" s="1956"/>
      <c r="AF948" s="1958"/>
      <c r="AG948" s="1958"/>
      <c r="AH948" s="1958"/>
      <c r="AI948" s="1959"/>
      <c r="AJ948" s="1960"/>
    </row>
    <row r="949" spans="1:36" ht="21.95" customHeight="1" x14ac:dyDescent="0.2">
      <c r="A949" s="1833">
        <f>satpek!$B$36</f>
        <v>17</v>
      </c>
      <c r="B949" s="2105">
        <f>B938+1</f>
        <v>3</v>
      </c>
      <c r="C949" s="1937"/>
      <c r="D949" s="1944" t="str">
        <f>VLOOKUP($A949,satpek!$B$20:$N$144,2,0)</f>
        <v>Memasang plesteran 1 PC : 6 PP, tebal 15 mm</v>
      </c>
      <c r="E949" s="1944"/>
      <c r="F949" s="2004"/>
      <c r="G949" s="1945">
        <f>'[3]B.VOL RAB'!Q280</f>
        <v>1098.52</v>
      </c>
      <c r="H949" s="1946" t="str">
        <f>VLOOKUP($A949,satpek!$B$20:$N$144,7,0)</f>
        <v>m2</v>
      </c>
      <c r="I949" s="1947"/>
      <c r="J949" s="1947"/>
      <c r="K949" s="1948"/>
      <c r="L949" s="1949"/>
      <c r="M949" s="1950" t="str">
        <f>VLOOKUP($A949,satpek!$B$20:$N$144,5,0)</f>
        <v>A.4.4.2.6.</v>
      </c>
      <c r="N949" s="1951">
        <f>VLOOKUP($A949,satpek!$B$20:$N$144,6,0)</f>
        <v>62262.1</v>
      </c>
      <c r="O949" s="1938"/>
      <c r="P949" s="1952">
        <f t="shared" si="577"/>
        <v>68396162.090000004</v>
      </c>
      <c r="Q949" s="1953">
        <f>VLOOKUP($A949,satpek!$B$20:$L$138,8,0)</f>
        <v>0.9857083021169093</v>
      </c>
      <c r="R949" s="1954">
        <f>VLOOKUP($A949,satpek!$B$20:$L$138,9,0)</f>
        <v>54311.738880000004</v>
      </c>
      <c r="S949" s="1954">
        <f>VLOOKUP($A949,satpek!$B$20:$L$138,10,0)</f>
        <v>61372.264934400009</v>
      </c>
      <c r="T949" s="1952">
        <f>S949*G949</f>
        <v>67418660.475737095</v>
      </c>
      <c r="U949" s="1955"/>
      <c r="X949" s="1848">
        <f>P958</f>
        <v>55099.199999999997</v>
      </c>
      <c r="Y949" s="1848">
        <f>S958</f>
        <v>54311.738880000004</v>
      </c>
      <c r="Z949" s="1956">
        <v>1098.52</v>
      </c>
      <c r="AA949" s="1956">
        <f>Z949-G949</f>
        <v>0</v>
      </c>
      <c r="AB949" s="1836" t="s">
        <v>469</v>
      </c>
      <c r="AF949" s="1836"/>
      <c r="AG949" s="1836"/>
      <c r="AH949" s="1836"/>
      <c r="AI949" s="1837">
        <v>59838.25</v>
      </c>
      <c r="AJ949" s="1960">
        <f>AI949-N949</f>
        <v>-2423.8499999999985</v>
      </c>
    </row>
    <row r="950" spans="1:36" ht="21.95" customHeight="1" x14ac:dyDescent="0.2">
      <c r="B950" s="2106"/>
      <c r="C950" s="2046" t="str">
        <f>SNI!$D$312</f>
        <v>Bahan</v>
      </c>
      <c r="D950" s="2047"/>
      <c r="E950" s="2047"/>
      <c r="F950" s="2048"/>
      <c r="G950" s="2049"/>
      <c r="H950" s="2050"/>
      <c r="I950" s="2051"/>
      <c r="J950" s="2051"/>
      <c r="K950" s="2052"/>
      <c r="L950" s="2053"/>
      <c r="M950" s="2054"/>
      <c r="N950" s="2055"/>
      <c r="O950" s="2056"/>
      <c r="P950" s="2057"/>
      <c r="Q950" s="2058"/>
      <c r="R950" s="2059"/>
      <c r="S950" s="2059"/>
      <c r="T950" s="2057"/>
      <c r="U950" s="2060"/>
      <c r="Z950" s="1956"/>
      <c r="AA950" s="1956"/>
      <c r="AF950" s="1836"/>
      <c r="AG950" s="1836"/>
      <c r="AH950" s="1836"/>
      <c r="AI950" s="1837"/>
      <c r="AJ950" s="1960"/>
    </row>
    <row r="951" spans="1:36" ht="21.95" customHeight="1" x14ac:dyDescent="0.2">
      <c r="B951" s="2106"/>
      <c r="C951" s="2046"/>
      <c r="D951" s="2047" t="str">
        <f>SNI!$E$312</f>
        <v>PC</v>
      </c>
      <c r="E951" s="2047"/>
      <c r="F951" s="2048"/>
      <c r="G951" s="2049">
        <f>SNI!$H$312</f>
        <v>4.4160000000000004</v>
      </c>
      <c r="H951" s="2050" t="str">
        <f>SNI!$G$312</f>
        <v>kg</v>
      </c>
      <c r="I951" s="2051"/>
      <c r="J951" s="2051"/>
      <c r="K951" s="2052">
        <f>SNI!$L$312</f>
        <v>0.85140000000000005</v>
      </c>
      <c r="L951" s="2053"/>
      <c r="M951" s="2054"/>
      <c r="N951" s="2055">
        <f>SNI!$I$312</f>
        <v>1200</v>
      </c>
      <c r="O951" s="2056"/>
      <c r="P951" s="1969">
        <f t="shared" ref="P951" si="593">N951*G951</f>
        <v>5299.2000000000007</v>
      </c>
      <c r="Q951" s="1953"/>
      <c r="R951" s="1954"/>
      <c r="S951" s="1954">
        <f t="shared" ref="S951" si="594">P951*K951</f>
        <v>4511.7388800000008</v>
      </c>
      <c r="T951" s="1969">
        <f t="shared" ref="T951" si="595">P951-S951</f>
        <v>787.46111999999994</v>
      </c>
      <c r="U951" s="2060"/>
      <c r="Z951" s="1956"/>
      <c r="AA951" s="1956"/>
      <c r="AF951" s="1836"/>
      <c r="AG951" s="1836"/>
      <c r="AH951" s="1836"/>
      <c r="AI951" s="1837"/>
      <c r="AJ951" s="1960"/>
    </row>
    <row r="952" spans="1:36" ht="21.95" customHeight="1" x14ac:dyDescent="0.2">
      <c r="B952" s="2106"/>
      <c r="C952" s="2046"/>
      <c r="D952" s="2047" t="str">
        <f>SNI!$E$313</f>
        <v>Pasir Pasang</v>
      </c>
      <c r="E952" s="2047"/>
      <c r="F952" s="2048"/>
      <c r="G952" s="2049">
        <f>SNI!$H$313</f>
        <v>2.7E-2</v>
      </c>
      <c r="H952" s="2050" t="str">
        <f>SNI!$G$313</f>
        <v>m3</v>
      </c>
      <c r="I952" s="2051"/>
      <c r="J952" s="2051"/>
      <c r="K952" s="2052">
        <f>SNI!$L$313</f>
        <v>1</v>
      </c>
      <c r="L952" s="2053"/>
      <c r="M952" s="2054"/>
      <c r="N952" s="2055">
        <f>SNI!$I$313</f>
        <v>260000</v>
      </c>
      <c r="O952" s="2056"/>
      <c r="P952" s="1969">
        <f t="shared" ref="P952:P957" si="596">N952*G952</f>
        <v>7020</v>
      </c>
      <c r="Q952" s="1953"/>
      <c r="R952" s="1954"/>
      <c r="S952" s="1954">
        <f t="shared" ref="S952:S957" si="597">P952*K952</f>
        <v>7020</v>
      </c>
      <c r="T952" s="1969">
        <f t="shared" ref="T952:T957" si="598">P952-S952</f>
        <v>0</v>
      </c>
      <c r="U952" s="2060"/>
      <c r="Z952" s="1956"/>
      <c r="AA952" s="1956"/>
      <c r="AF952" s="1836"/>
      <c r="AG952" s="1836"/>
      <c r="AH952" s="1836"/>
      <c r="AI952" s="1837"/>
      <c r="AJ952" s="1960"/>
    </row>
    <row r="953" spans="1:36" ht="21.95" customHeight="1" x14ac:dyDescent="0.2">
      <c r="B953" s="2106"/>
      <c r="C953" s="2046" t="str">
        <f>SNI!$D$315</f>
        <v>Tenaga Kerja</v>
      </c>
      <c r="D953" s="2047"/>
      <c r="E953" s="2047"/>
      <c r="F953" s="2048"/>
      <c r="G953" s="2049"/>
      <c r="H953" s="2050"/>
      <c r="I953" s="2051"/>
      <c r="J953" s="2051"/>
      <c r="K953" s="2052"/>
      <c r="L953" s="2053"/>
      <c r="M953" s="2054"/>
      <c r="N953" s="2055"/>
      <c r="O953" s="2056"/>
      <c r="P953" s="1969"/>
      <c r="Q953" s="1953"/>
      <c r="R953" s="1954"/>
      <c r="S953" s="1954"/>
      <c r="T953" s="1969"/>
      <c r="U953" s="2060"/>
      <c r="Z953" s="1956"/>
      <c r="AA953" s="1956"/>
      <c r="AF953" s="1836"/>
      <c r="AG953" s="1836"/>
      <c r="AH953" s="1836"/>
      <c r="AI953" s="1837"/>
      <c r="AJ953" s="1960"/>
    </row>
    <row r="954" spans="1:36" ht="21.95" customHeight="1" x14ac:dyDescent="0.2">
      <c r="B954" s="2106"/>
      <c r="C954" s="2046"/>
      <c r="D954" s="2047" t="str">
        <f>SNI!$E$315</f>
        <v xml:space="preserve">Pekerja </v>
      </c>
      <c r="E954" s="2047"/>
      <c r="F954" s="2048"/>
      <c r="G954" s="2049">
        <f>SNI!$H$315</f>
        <v>0.3</v>
      </c>
      <c r="H954" s="2050" t="str">
        <f>SNI!$G$315</f>
        <v>OH</v>
      </c>
      <c r="I954" s="2051" t="str">
        <f>SNI!$M$315</f>
        <v>WNI</v>
      </c>
      <c r="J954" s="2051"/>
      <c r="K954" s="2052">
        <f>SNI!$L$315</f>
        <v>1</v>
      </c>
      <c r="L954" s="2053"/>
      <c r="M954" s="2054"/>
      <c r="N954" s="2055">
        <f>SNI!$I$315</f>
        <v>88300</v>
      </c>
      <c r="O954" s="2056"/>
      <c r="P954" s="1969">
        <f t="shared" si="596"/>
        <v>26490</v>
      </c>
      <c r="Q954" s="1953"/>
      <c r="R954" s="1954"/>
      <c r="S954" s="1954">
        <f t="shared" si="597"/>
        <v>26490</v>
      </c>
      <c r="T954" s="1969">
        <f t="shared" si="598"/>
        <v>0</v>
      </c>
      <c r="U954" s="2060"/>
      <c r="Z954" s="1956"/>
      <c r="AA954" s="1956"/>
      <c r="AF954" s="1836"/>
      <c r="AG954" s="1836"/>
      <c r="AH954" s="1836"/>
      <c r="AI954" s="1837"/>
      <c r="AJ954" s="1960"/>
    </row>
    <row r="955" spans="1:36" ht="21.95" customHeight="1" x14ac:dyDescent="0.2">
      <c r="B955" s="2106"/>
      <c r="C955" s="2046"/>
      <c r="D955" s="2047" t="str">
        <f>SNI!$E$316</f>
        <v>Tukang Batu</v>
      </c>
      <c r="E955" s="2047"/>
      <c r="F955" s="2048"/>
      <c r="G955" s="2049">
        <f>SNI!$H$316</f>
        <v>0.15</v>
      </c>
      <c r="H955" s="2050" t="str">
        <f>SNI!$G$316</f>
        <v>OH</v>
      </c>
      <c r="I955" s="2051" t="str">
        <f>SNI!$M$316</f>
        <v>WNI</v>
      </c>
      <c r="J955" s="2051"/>
      <c r="K955" s="2052">
        <f>SNI!$L$316</f>
        <v>1</v>
      </c>
      <c r="L955" s="2053"/>
      <c r="M955" s="2054"/>
      <c r="N955" s="2055">
        <f>SNI!$I$316</f>
        <v>90000</v>
      </c>
      <c r="O955" s="2056"/>
      <c r="P955" s="1969">
        <f t="shared" si="596"/>
        <v>13500</v>
      </c>
      <c r="Q955" s="1953"/>
      <c r="R955" s="1954"/>
      <c r="S955" s="1954">
        <f t="shared" si="597"/>
        <v>13500</v>
      </c>
      <c r="T955" s="1969">
        <f t="shared" si="598"/>
        <v>0</v>
      </c>
      <c r="U955" s="2060"/>
      <c r="Z955" s="1956"/>
      <c r="AA955" s="1956"/>
      <c r="AF955" s="1836"/>
      <c r="AG955" s="1836"/>
      <c r="AH955" s="1836"/>
      <c r="AI955" s="1837"/>
      <c r="AJ955" s="1960"/>
    </row>
    <row r="956" spans="1:36" ht="21.95" customHeight="1" x14ac:dyDescent="0.2">
      <c r="B956" s="2106"/>
      <c r="C956" s="2046"/>
      <c r="D956" s="2047" t="str">
        <f>SNI!$E$317</f>
        <v>Kepala Tukang</v>
      </c>
      <c r="E956" s="2047"/>
      <c r="F956" s="2048"/>
      <c r="G956" s="2049">
        <f>SNI!$H$317</f>
        <v>1.4999999999999999E-2</v>
      </c>
      <c r="H956" s="2050" t="str">
        <f>SNI!$G$317</f>
        <v>OH</v>
      </c>
      <c r="I956" s="2051" t="str">
        <f>SNI!$M$317</f>
        <v>WNI</v>
      </c>
      <c r="J956" s="2051"/>
      <c r="K956" s="2052">
        <f>SNI!$L$317</f>
        <v>1</v>
      </c>
      <c r="L956" s="2053"/>
      <c r="M956" s="2054"/>
      <c r="N956" s="2055">
        <f>SNI!$I$317</f>
        <v>96000</v>
      </c>
      <c r="O956" s="2056"/>
      <c r="P956" s="1969">
        <f t="shared" si="596"/>
        <v>1440</v>
      </c>
      <c r="Q956" s="1953"/>
      <c r="R956" s="1954"/>
      <c r="S956" s="1954">
        <f t="shared" si="597"/>
        <v>1440</v>
      </c>
      <c r="T956" s="1969">
        <f t="shared" si="598"/>
        <v>0</v>
      </c>
      <c r="U956" s="2060"/>
      <c r="Z956" s="1956"/>
      <c r="AA956" s="1956"/>
      <c r="AF956" s="1836"/>
      <c r="AG956" s="1836"/>
      <c r="AH956" s="1836"/>
      <c r="AI956" s="1837"/>
      <c r="AJ956" s="1960"/>
    </row>
    <row r="957" spans="1:36" ht="21.95" customHeight="1" x14ac:dyDescent="0.2">
      <c r="B957" s="2106"/>
      <c r="C957" s="2046"/>
      <c r="D957" s="2047" t="str">
        <f>SNI!E318</f>
        <v>Mandor</v>
      </c>
      <c r="E957" s="2047"/>
      <c r="F957" s="2048"/>
      <c r="G957" s="2049">
        <f>SNI!$H$318</f>
        <v>1.4999999999999999E-2</v>
      </c>
      <c r="H957" s="2050" t="str">
        <f>SNI!$G$318</f>
        <v>OH</v>
      </c>
      <c r="I957" s="2051" t="str">
        <f>SNI!$M$318</f>
        <v>WNI</v>
      </c>
      <c r="J957" s="2051"/>
      <c r="K957" s="2052">
        <f>SNI!$L$318</f>
        <v>1</v>
      </c>
      <c r="L957" s="2053"/>
      <c r="M957" s="2054"/>
      <c r="N957" s="2055">
        <f>SNI!$I$318</f>
        <v>90000</v>
      </c>
      <c r="O957" s="2056"/>
      <c r="P957" s="1969">
        <f t="shared" si="596"/>
        <v>1350</v>
      </c>
      <c r="Q957" s="1953"/>
      <c r="R957" s="1954"/>
      <c r="S957" s="1954">
        <f t="shared" si="597"/>
        <v>1350</v>
      </c>
      <c r="T957" s="1969">
        <f t="shared" si="598"/>
        <v>0</v>
      </c>
      <c r="U957" s="2060"/>
      <c r="Z957" s="1956"/>
      <c r="AA957" s="1956"/>
      <c r="AF957" s="1836"/>
      <c r="AG957" s="1836"/>
      <c r="AH957" s="1836"/>
      <c r="AI957" s="1837"/>
      <c r="AJ957" s="1960"/>
    </row>
    <row r="958" spans="1:36" s="1957" customFormat="1" ht="21.95" customHeight="1" x14ac:dyDescent="0.2">
      <c r="A958" s="1942"/>
      <c r="B958" s="1970"/>
      <c r="C958" s="1971"/>
      <c r="D958" s="1972"/>
      <c r="E958" s="1973"/>
      <c r="F958" s="1974" t="s">
        <v>556</v>
      </c>
      <c r="G958" s="1975">
        <f>B948</f>
        <v>0</v>
      </c>
      <c r="H958" s="1976"/>
      <c r="I958" s="1977"/>
      <c r="J958" s="1977"/>
      <c r="K958" s="1978"/>
      <c r="L958" s="1979"/>
      <c r="M958" s="1980"/>
      <c r="N958" s="1981"/>
      <c r="O958" s="1982"/>
      <c r="P958" s="1983">
        <f>SUM(P950:P957)</f>
        <v>55099.199999999997</v>
      </c>
      <c r="Q958" s="1984"/>
      <c r="R958" s="1985"/>
      <c r="S958" s="1983">
        <f t="shared" ref="S958" si="599">SUM(S950:S957)</f>
        <v>54311.738880000004</v>
      </c>
      <c r="T958" s="1983">
        <f t="shared" ref="T958" si="600">SUM(T950:T957)</f>
        <v>787.46111999999994</v>
      </c>
      <c r="U958" s="1986"/>
      <c r="V958" s="1848"/>
      <c r="W958" s="1848"/>
      <c r="X958" s="1848"/>
      <c r="Y958" s="1848"/>
      <c r="Z958" s="1956"/>
      <c r="AA958" s="1956"/>
      <c r="AF958" s="1958"/>
      <c r="AG958" s="1958"/>
      <c r="AH958" s="1958"/>
      <c r="AI958" s="1959"/>
      <c r="AJ958" s="1960"/>
    </row>
    <row r="959" spans="1:36" ht="21.95" customHeight="1" x14ac:dyDescent="0.2">
      <c r="A959" s="1833">
        <f>satpek!$B$109</f>
        <v>90</v>
      </c>
      <c r="B959" s="2105">
        <f>B949+1</f>
        <v>4</v>
      </c>
      <c r="C959" s="1937"/>
      <c r="D959" s="1944" t="str">
        <f>VLOOKUP($A959,satpek!$B$20:$N$144,2,0)</f>
        <v>Sponengan</v>
      </c>
      <c r="E959" s="1944"/>
      <c r="F959" s="2004"/>
      <c r="G959" s="1945">
        <f>'[3]B.VOL RAB'!Q281</f>
        <v>1206.2</v>
      </c>
      <c r="H959" s="1946" t="str">
        <f>VLOOKUP($A959,satpek!$B$20:$N$144,7,0)</f>
        <v>m'</v>
      </c>
      <c r="I959" s="1947"/>
      <c r="J959" s="1947"/>
      <c r="K959" s="1948"/>
      <c r="L959" s="1949"/>
      <c r="M959" s="1950" t="str">
        <f>VLOOKUP($A959,satpek!$B$20:$N$144,5,0)</f>
        <v>Harga Satuan</v>
      </c>
      <c r="N959" s="1951">
        <f>VLOOKUP($A959,satpek!$B$20:$N$144,6,0)</f>
        <v>15000</v>
      </c>
      <c r="O959" s="1938"/>
      <c r="P959" s="1952">
        <f t="shared" si="577"/>
        <v>18093000</v>
      </c>
      <c r="Q959" s="1953">
        <f>VLOOKUP($A959,satpek!$B$20:$L$138,8,0)</f>
        <v>0.5</v>
      </c>
      <c r="R959" s="1954">
        <f>VLOOKUP($A959,satpek!$B$20:$L$138,9,0)</f>
        <v>0</v>
      </c>
      <c r="S959" s="1954">
        <f>VLOOKUP($A959,satpek!$B$20:$L$138,10,0)</f>
        <v>7500</v>
      </c>
      <c r="T959" s="1952">
        <f>S959*G959</f>
        <v>9046500</v>
      </c>
      <c r="U959" s="1955"/>
      <c r="X959" s="1848">
        <f>P960</f>
        <v>15000</v>
      </c>
      <c r="Y959" s="1848">
        <f>S960</f>
        <v>7500</v>
      </c>
      <c r="Z959" s="1956">
        <v>1206.2</v>
      </c>
      <c r="AA959" s="1956">
        <f>Z959-G959</f>
        <v>0</v>
      </c>
      <c r="AB959" s="1836" t="s">
        <v>585</v>
      </c>
      <c r="AF959" s="1836"/>
      <c r="AG959" s="1836"/>
      <c r="AH959" s="1836"/>
      <c r="AI959" s="1837">
        <v>15000</v>
      </c>
      <c r="AJ959" s="1960">
        <f>AI959-N959</f>
        <v>0</v>
      </c>
    </row>
    <row r="960" spans="1:36" s="1957" customFormat="1" ht="21.95" customHeight="1" x14ac:dyDescent="0.2">
      <c r="A960" s="1942"/>
      <c r="B960" s="1970"/>
      <c r="C960" s="1971"/>
      <c r="D960" s="1972"/>
      <c r="E960" s="1973"/>
      <c r="F960" s="1974"/>
      <c r="G960" s="1975">
        <f>B950</f>
        <v>0</v>
      </c>
      <c r="H960" s="1976"/>
      <c r="I960" s="1977"/>
      <c r="J960" s="1977"/>
      <c r="K960" s="1978">
        <f>satpek!I109</f>
        <v>0.5</v>
      </c>
      <c r="L960" s="1979"/>
      <c r="M960" s="1980"/>
      <c r="N960" s="1981">
        <f>N959</f>
        <v>15000</v>
      </c>
      <c r="O960" s="1982"/>
      <c r="P960" s="1983">
        <f>N960</f>
        <v>15000</v>
      </c>
      <c r="Q960" s="1984"/>
      <c r="R960" s="1985"/>
      <c r="S960" s="1983">
        <f>K960*N960</f>
        <v>7500</v>
      </c>
      <c r="T960" s="1983">
        <f>N960-S960</f>
        <v>7500</v>
      </c>
      <c r="U960" s="1986"/>
      <c r="V960" s="1848"/>
      <c r="W960" s="1848"/>
      <c r="X960" s="1848"/>
      <c r="Y960" s="1848"/>
      <c r="Z960" s="1956"/>
      <c r="AA960" s="1956"/>
      <c r="AF960" s="1958"/>
      <c r="AG960" s="1958"/>
      <c r="AH960" s="1958"/>
      <c r="AI960" s="1959"/>
      <c r="AJ960" s="1960"/>
    </row>
    <row r="961" spans="1:36" ht="21.95" customHeight="1" x14ac:dyDescent="0.2">
      <c r="A961" s="1833">
        <f>satpek!$B$37</f>
        <v>18</v>
      </c>
      <c r="B961" s="2105">
        <f>B959+1</f>
        <v>5</v>
      </c>
      <c r="C961" s="1937"/>
      <c r="D961" s="1944" t="str">
        <f>VLOOKUP($A961,satpek!$B$20:$N$144,2,0)</f>
        <v>Memasang acian</v>
      </c>
      <c r="E961" s="1944"/>
      <c r="F961" s="2004"/>
      <c r="G961" s="1945">
        <f>'[3]B.VOL RAB'!Q284</f>
        <v>1098.52</v>
      </c>
      <c r="H961" s="1946" t="str">
        <f>VLOOKUP($A961,satpek!$B$20:$N$144,7,0)</f>
        <v>m2</v>
      </c>
      <c r="I961" s="1947"/>
      <c r="J961" s="1947"/>
      <c r="K961" s="1948"/>
      <c r="L961" s="1949"/>
      <c r="M961" s="1950" t="str">
        <f>VLOOKUP($A961,satpek!$B$20:$N$144,5,0)</f>
        <v>A.4.4.2.27.</v>
      </c>
      <c r="N961" s="1951">
        <f>VLOOKUP($A961,satpek!$B$20:$N$144,6,0)</f>
        <v>36634.6</v>
      </c>
      <c r="O961" s="1938"/>
      <c r="P961" s="1952">
        <f t="shared" si="577"/>
        <v>40243840.789999999</v>
      </c>
      <c r="Q961" s="1953">
        <f>VLOOKUP($A961,satpek!$B$20:$L$138,8,0)</f>
        <v>0.98212399753238744</v>
      </c>
      <c r="R961" s="1954">
        <f>VLOOKUP($A961,satpek!$B$20:$L$138,9,0)</f>
        <v>31840.46</v>
      </c>
      <c r="S961" s="1954">
        <f>VLOOKUP($A961,satpek!$B$20:$L$138,10,0)</f>
        <v>35979.719799999999</v>
      </c>
      <c r="T961" s="1952">
        <f>S961*G961</f>
        <v>39524441.794695996</v>
      </c>
      <c r="U961" s="1955"/>
      <c r="X961" s="1848">
        <f>P969</f>
        <v>32420</v>
      </c>
      <c r="Y961" s="1848">
        <f>S969</f>
        <v>31840.46</v>
      </c>
      <c r="Z961" s="1956">
        <v>1098.52</v>
      </c>
      <c r="AA961" s="1956">
        <f>Z961-G961</f>
        <v>0</v>
      </c>
      <c r="AB961" s="1836" t="s">
        <v>470</v>
      </c>
      <c r="AF961" s="1836"/>
      <c r="AG961" s="1836"/>
      <c r="AH961" s="1836"/>
      <c r="AI961" s="1837">
        <v>35628.9</v>
      </c>
      <c r="AJ961" s="1960">
        <f>AI961-N961</f>
        <v>-1005.6999999999971</v>
      </c>
    </row>
    <row r="962" spans="1:36" ht="21.95" customHeight="1" x14ac:dyDescent="0.2">
      <c r="B962" s="2107"/>
      <c r="C962" s="2046" t="str">
        <f>SNI!$D$331</f>
        <v>Bahan</v>
      </c>
      <c r="D962" s="2047"/>
      <c r="E962" s="2047"/>
      <c r="F962" s="2048"/>
      <c r="G962" s="2049"/>
      <c r="H962" s="2050"/>
      <c r="I962" s="2051"/>
      <c r="J962" s="2051"/>
      <c r="K962" s="2052"/>
      <c r="L962" s="2053"/>
      <c r="M962" s="2054"/>
      <c r="N962" s="2055"/>
      <c r="O962" s="2056"/>
      <c r="P962" s="2057"/>
      <c r="Q962" s="2058"/>
      <c r="R962" s="2059"/>
      <c r="S962" s="2059"/>
      <c r="T962" s="2055"/>
      <c r="U962" s="2060"/>
      <c r="Z962" s="1956"/>
      <c r="AA962" s="1956"/>
      <c r="AF962" s="1836"/>
      <c r="AG962" s="1836"/>
      <c r="AH962" s="1836"/>
      <c r="AI962" s="1837"/>
      <c r="AJ962" s="1960"/>
    </row>
    <row r="963" spans="1:36" ht="21.95" customHeight="1" x14ac:dyDescent="0.2">
      <c r="B963" s="2107"/>
      <c r="C963" s="2046"/>
      <c r="D963" s="2047" t="str">
        <f>SNI!$E$331</f>
        <v>PC</v>
      </c>
      <c r="E963" s="2047"/>
      <c r="F963" s="2048"/>
      <c r="G963" s="2049">
        <f>SNI!$H$331</f>
        <v>3.25</v>
      </c>
      <c r="H963" s="2050" t="str">
        <f>SNI!$G$331</f>
        <v>kg</v>
      </c>
      <c r="I963" s="2051"/>
      <c r="J963" s="2051"/>
      <c r="K963" s="2052">
        <f>SNI!$L$331</f>
        <v>0.85140000000000005</v>
      </c>
      <c r="L963" s="2053"/>
      <c r="M963" s="2054"/>
      <c r="N963" s="2055">
        <f>SNI!$I$331</f>
        <v>1200</v>
      </c>
      <c r="O963" s="2056"/>
      <c r="P963" s="1969">
        <f t="shared" ref="P963" si="601">N963*G963</f>
        <v>3900</v>
      </c>
      <c r="Q963" s="1953"/>
      <c r="R963" s="1954"/>
      <c r="S963" s="1954">
        <f t="shared" ref="S963" si="602">P963*K963</f>
        <v>3320.46</v>
      </c>
      <c r="T963" s="1969">
        <f t="shared" ref="T963" si="603">P963-S963</f>
        <v>579.54</v>
      </c>
      <c r="U963" s="2060"/>
      <c r="Z963" s="1956"/>
      <c r="AA963" s="1956"/>
      <c r="AF963" s="1836"/>
      <c r="AG963" s="1836"/>
      <c r="AH963" s="1836"/>
      <c r="AI963" s="1837"/>
      <c r="AJ963" s="1960"/>
    </row>
    <row r="964" spans="1:36" ht="21.95" customHeight="1" x14ac:dyDescent="0.2">
      <c r="B964" s="2107"/>
      <c r="C964" s="2046" t="str">
        <f>SNI!$D$333</f>
        <v>Tenaga Kerja</v>
      </c>
      <c r="D964" s="2047"/>
      <c r="E964" s="2047"/>
      <c r="F964" s="2048"/>
      <c r="G964" s="2049"/>
      <c r="H964" s="2050"/>
      <c r="I964" s="2051"/>
      <c r="J964" s="2051"/>
      <c r="K964" s="2052"/>
      <c r="L964" s="2053"/>
      <c r="M964" s="2054"/>
      <c r="N964" s="2055"/>
      <c r="O964" s="2056"/>
      <c r="P964" s="1969"/>
      <c r="Q964" s="1953"/>
      <c r="R964" s="1954"/>
      <c r="S964" s="1954"/>
      <c r="T964" s="1969"/>
      <c r="U964" s="2060"/>
      <c r="Z964" s="1956"/>
      <c r="AA964" s="1956"/>
      <c r="AF964" s="1836"/>
      <c r="AG964" s="1836"/>
      <c r="AH964" s="1836"/>
      <c r="AI964" s="1837"/>
      <c r="AJ964" s="1960"/>
    </row>
    <row r="965" spans="1:36" ht="21.95" customHeight="1" x14ac:dyDescent="0.2">
      <c r="B965" s="2107"/>
      <c r="C965" s="2046"/>
      <c r="D965" s="2047" t="str">
        <f>SNI!$E$333</f>
        <v xml:space="preserve">Pekerja </v>
      </c>
      <c r="E965" s="2047"/>
      <c r="F965" s="2048"/>
      <c r="G965" s="2049">
        <f>SNI!$H$333</f>
        <v>0.2</v>
      </c>
      <c r="H965" s="2050" t="str">
        <f>SNI!$G$333</f>
        <v>OH</v>
      </c>
      <c r="I965" s="2051" t="str">
        <f>SNI!$M$333</f>
        <v>WNI</v>
      </c>
      <c r="J965" s="2051"/>
      <c r="K965" s="2052">
        <f>SNI!$L$333</f>
        <v>1</v>
      </c>
      <c r="L965" s="2053"/>
      <c r="M965" s="2054"/>
      <c r="N965" s="2055">
        <f>SNI!$I$333</f>
        <v>88300</v>
      </c>
      <c r="O965" s="2056"/>
      <c r="P965" s="1969">
        <f t="shared" ref="P965:P968" si="604">N965*G965</f>
        <v>17660</v>
      </c>
      <c r="Q965" s="1953"/>
      <c r="R965" s="1954"/>
      <c r="S965" s="1954">
        <f t="shared" ref="S965:S968" si="605">P965*K965</f>
        <v>17660</v>
      </c>
      <c r="T965" s="1969">
        <f t="shared" ref="T965:T968" si="606">P965-S965</f>
        <v>0</v>
      </c>
      <c r="U965" s="2060"/>
      <c r="Z965" s="1956"/>
      <c r="AA965" s="1956"/>
      <c r="AF965" s="1836"/>
      <c r="AG965" s="1836"/>
      <c r="AH965" s="1836"/>
      <c r="AI965" s="1837"/>
      <c r="AJ965" s="1960"/>
    </row>
    <row r="966" spans="1:36" ht="21.95" customHeight="1" x14ac:dyDescent="0.2">
      <c r="B966" s="2107"/>
      <c r="C966" s="2046"/>
      <c r="D966" s="2047" t="str">
        <f>SNI!$E$334</f>
        <v>Tukang Batu</v>
      </c>
      <c r="E966" s="2047"/>
      <c r="F966" s="2048"/>
      <c r="G966" s="2049">
        <f>SNI!$H$334</f>
        <v>0.1</v>
      </c>
      <c r="H966" s="2050" t="str">
        <f>SNI!$G$334</f>
        <v>OH</v>
      </c>
      <c r="I966" s="2051" t="str">
        <f>SNI!$M$334</f>
        <v>WNI</v>
      </c>
      <c r="J966" s="2051"/>
      <c r="K966" s="2052">
        <f>SNI!$L$334</f>
        <v>1</v>
      </c>
      <c r="L966" s="2053"/>
      <c r="M966" s="2054"/>
      <c r="N966" s="2055">
        <f>SNI!$I$334</f>
        <v>90000</v>
      </c>
      <c r="O966" s="2056"/>
      <c r="P966" s="1969">
        <f t="shared" si="604"/>
        <v>9000</v>
      </c>
      <c r="Q966" s="1953"/>
      <c r="R966" s="1954"/>
      <c r="S966" s="1954">
        <f t="shared" si="605"/>
        <v>9000</v>
      </c>
      <c r="T966" s="1969">
        <f t="shared" si="606"/>
        <v>0</v>
      </c>
      <c r="U966" s="2060"/>
      <c r="Z966" s="1956"/>
      <c r="AA966" s="1956"/>
      <c r="AF966" s="1836"/>
      <c r="AG966" s="1836"/>
      <c r="AH966" s="1836"/>
      <c r="AI966" s="1837"/>
      <c r="AJ966" s="1960"/>
    </row>
    <row r="967" spans="1:36" ht="21.95" customHeight="1" x14ac:dyDescent="0.2">
      <c r="B967" s="2107"/>
      <c r="C967" s="2046"/>
      <c r="D967" s="2047" t="str">
        <f>SNI!$E$335</f>
        <v>Kepala Tukang</v>
      </c>
      <c r="E967" s="2047"/>
      <c r="F967" s="2048"/>
      <c r="G967" s="2049">
        <f>SNI!$H$335</f>
        <v>0.01</v>
      </c>
      <c r="H967" s="2050" t="str">
        <f>SNI!$G$335</f>
        <v>OH</v>
      </c>
      <c r="I967" s="2051" t="str">
        <f>SNI!$M$335</f>
        <v>WNI</v>
      </c>
      <c r="J967" s="2051"/>
      <c r="K967" s="2052">
        <f>SNI!$L$335</f>
        <v>1</v>
      </c>
      <c r="L967" s="2053"/>
      <c r="M967" s="2054"/>
      <c r="N967" s="2055">
        <f>SNI!$I$335</f>
        <v>96000</v>
      </c>
      <c r="O967" s="2056"/>
      <c r="P967" s="1969">
        <f t="shared" si="604"/>
        <v>960</v>
      </c>
      <c r="Q967" s="1953"/>
      <c r="R967" s="1954"/>
      <c r="S967" s="1954">
        <f t="shared" si="605"/>
        <v>960</v>
      </c>
      <c r="T967" s="1969">
        <f t="shared" si="606"/>
        <v>0</v>
      </c>
      <c r="U967" s="2060"/>
      <c r="Z967" s="1956"/>
      <c r="AA967" s="1956"/>
      <c r="AF967" s="1836"/>
      <c r="AG967" s="1836"/>
      <c r="AH967" s="1836"/>
      <c r="AI967" s="1837"/>
      <c r="AJ967" s="1960"/>
    </row>
    <row r="968" spans="1:36" ht="21.95" customHeight="1" x14ac:dyDescent="0.2">
      <c r="B968" s="2107"/>
      <c r="C968" s="2046"/>
      <c r="D968" s="2047" t="str">
        <f>SNI!$E$336</f>
        <v>Mandor</v>
      </c>
      <c r="E968" s="2047"/>
      <c r="F968" s="2048"/>
      <c r="G968" s="2049">
        <f>SNI!$H$336</f>
        <v>0.01</v>
      </c>
      <c r="H968" s="2050" t="str">
        <f>SNI!$G$336</f>
        <v>OH</v>
      </c>
      <c r="I968" s="2051" t="str">
        <f>SNI!$M$336</f>
        <v>WNI</v>
      </c>
      <c r="J968" s="2051"/>
      <c r="K968" s="2052">
        <f>SNI!$L$336</f>
        <v>1</v>
      </c>
      <c r="L968" s="2053"/>
      <c r="M968" s="2054"/>
      <c r="N968" s="2055">
        <f>SNI!$I$336</f>
        <v>90000</v>
      </c>
      <c r="O968" s="2056"/>
      <c r="P968" s="1969">
        <f t="shared" si="604"/>
        <v>900</v>
      </c>
      <c r="Q968" s="1953"/>
      <c r="R968" s="1954"/>
      <c r="S968" s="1954">
        <f t="shared" si="605"/>
        <v>900</v>
      </c>
      <c r="T968" s="1969">
        <f t="shared" si="606"/>
        <v>0</v>
      </c>
      <c r="U968" s="2060"/>
      <c r="Z968" s="1956"/>
      <c r="AA968" s="1956"/>
      <c r="AF968" s="1836"/>
      <c r="AG968" s="1836"/>
      <c r="AH968" s="1836"/>
      <c r="AI968" s="1837"/>
      <c r="AJ968" s="1960"/>
    </row>
    <row r="969" spans="1:36" s="1957" customFormat="1" ht="21.95" customHeight="1" x14ac:dyDescent="0.2">
      <c r="A969" s="1942"/>
      <c r="B969" s="1970"/>
      <c r="C969" s="1971"/>
      <c r="D969" s="1972"/>
      <c r="E969" s="1973"/>
      <c r="F969" s="1974" t="s">
        <v>556</v>
      </c>
      <c r="G969" s="1975">
        <f>B959</f>
        <v>4</v>
      </c>
      <c r="H969" s="1976"/>
      <c r="I969" s="1977"/>
      <c r="J969" s="1977"/>
      <c r="K969" s="1978"/>
      <c r="L969" s="1979"/>
      <c r="M969" s="1980"/>
      <c r="N969" s="1981"/>
      <c r="O969" s="1982"/>
      <c r="P969" s="1983">
        <f>SUM(P963:P968)</f>
        <v>32420</v>
      </c>
      <c r="Q969" s="1984"/>
      <c r="R969" s="1985"/>
      <c r="S969" s="1983">
        <f t="shared" ref="S969:T969" si="607">SUM(S963:S968)</f>
        <v>31840.46</v>
      </c>
      <c r="T969" s="1983">
        <f t="shared" si="607"/>
        <v>579.54</v>
      </c>
      <c r="U969" s="1986"/>
      <c r="V969" s="1848"/>
      <c r="W969" s="1848"/>
      <c r="X969" s="1848"/>
      <c r="Y969" s="1848"/>
      <c r="Z969" s="1956"/>
      <c r="AA969" s="1956"/>
      <c r="AF969" s="1958"/>
      <c r="AG969" s="1958"/>
      <c r="AH969" s="1958"/>
      <c r="AI969" s="1959"/>
      <c r="AJ969" s="1960"/>
    </row>
    <row r="970" spans="1:36" ht="21.95" customHeight="1" x14ac:dyDescent="0.2">
      <c r="B970" s="2032"/>
      <c r="C970" s="1928"/>
      <c r="D970" s="1929" t="s">
        <v>1786</v>
      </c>
      <c r="E970" s="1930"/>
      <c r="F970" s="1931"/>
      <c r="G970" s="1945"/>
      <c r="H970" s="2093"/>
      <c r="I970" s="2094"/>
      <c r="J970" s="2094"/>
      <c r="K970" s="1935"/>
      <c r="L970" s="1950"/>
      <c r="M970" s="1950"/>
      <c r="N970" s="1951"/>
      <c r="O970" s="2108"/>
      <c r="P970" s="1952"/>
      <c r="Q970" s="2094"/>
      <c r="R970" s="2094"/>
      <c r="S970" s="2094"/>
      <c r="T970" s="2096"/>
      <c r="U970" s="2097"/>
      <c r="Z970" s="1956"/>
      <c r="AA970" s="1956">
        <f>Z970-G970</f>
        <v>0</v>
      </c>
      <c r="AB970" s="1836" t="s">
        <v>1786</v>
      </c>
      <c r="AJ970" s="1960">
        <f>AI970-N970</f>
        <v>0</v>
      </c>
    </row>
    <row r="971" spans="1:36" ht="21.95" customHeight="1" x14ac:dyDescent="0.2">
      <c r="A971" s="1833">
        <f>satpek!$B$34</f>
        <v>15</v>
      </c>
      <c r="B971" s="1943">
        <v>1</v>
      </c>
      <c r="C971" s="1937"/>
      <c r="D971" s="1944" t="str">
        <f>VLOOKUP($A971,satpek!$B$20:$N$144,2,0)</f>
        <v>Membuat dinding bt. merah t: 1/2bata, camp 1PC:8PP</v>
      </c>
      <c r="E971" s="1944"/>
      <c r="F971" s="2004"/>
      <c r="G971" s="1945">
        <f>'[3]B.VOL RAB'!Q288</f>
        <v>407.23250000000002</v>
      </c>
      <c r="H971" s="1946" t="str">
        <f>VLOOKUP($A971,satpek!$B$20:$N$144,7,0)</f>
        <v>m2</v>
      </c>
      <c r="I971" s="1947"/>
      <c r="J971" s="1947"/>
      <c r="K971" s="1948"/>
      <c r="L971" s="1949"/>
      <c r="M971" s="1950" t="str">
        <f>VLOOKUP($A971,satpek!$B$20:$N$144,5,0)</f>
        <v>A.4.4.1.12.</v>
      </c>
      <c r="N971" s="1951">
        <f>VLOOKUP($A971,satpek!$B$20:$N$144,6,0)</f>
        <v>129498</v>
      </c>
      <c r="O971" s="1938"/>
      <c r="P971" s="1952">
        <f t="shared" ref="P971:P1005" si="608">ROUND((G971*N971),2)</f>
        <v>52735794.289999999</v>
      </c>
      <c r="Q971" s="1953">
        <f>VLOOKUP($A971,satpek!$B$20:$L$138,8,0)</f>
        <v>0.98988586387434552</v>
      </c>
      <c r="R971" s="1954">
        <f>VLOOKUP($A971,satpek!$B$20:$L$138,9,0)</f>
        <v>113440.92</v>
      </c>
      <c r="S971" s="1954">
        <f>VLOOKUP($A971,satpek!$B$20:$L$138,10,0)</f>
        <v>128188.2396</v>
      </c>
      <c r="T971" s="1952">
        <f>S971*G971</f>
        <v>52202417.282907002</v>
      </c>
      <c r="U971" s="1955"/>
      <c r="X971" s="1848">
        <f>P981</f>
        <v>114600</v>
      </c>
      <c r="Y971" s="1848">
        <f>S981</f>
        <v>113440.92</v>
      </c>
      <c r="Z971" s="1956">
        <v>407.23250000000002</v>
      </c>
      <c r="AA971" s="1956">
        <f>Z971-G971</f>
        <v>0</v>
      </c>
      <c r="AB971" s="1836" t="s">
        <v>666</v>
      </c>
      <c r="AI971" s="1910">
        <v>119970.97</v>
      </c>
      <c r="AJ971" s="1960">
        <f>AI971-N971</f>
        <v>-9527.0299999999988</v>
      </c>
    </row>
    <row r="972" spans="1:36" ht="21.95" customHeight="1" x14ac:dyDescent="0.2">
      <c r="B972" s="2045"/>
      <c r="C972" s="2046" t="str">
        <f>SNI!$D$272</f>
        <v>Bahan</v>
      </c>
      <c r="D972" s="2047"/>
      <c r="E972" s="2047"/>
      <c r="F972" s="2048"/>
      <c r="G972" s="2049"/>
      <c r="H972" s="2050"/>
      <c r="I972" s="2051"/>
      <c r="J972" s="2051"/>
      <c r="K972" s="2052"/>
      <c r="L972" s="2053"/>
      <c r="M972" s="2054"/>
      <c r="N972" s="2055"/>
      <c r="O972" s="2056"/>
      <c r="P972" s="2057"/>
      <c r="Q972" s="2058"/>
      <c r="R972" s="2059"/>
      <c r="S972" s="2059"/>
      <c r="T972" s="2057"/>
      <c r="U972" s="2060"/>
      <c r="Z972" s="1956"/>
      <c r="AA972" s="1956"/>
      <c r="AF972" s="1836"/>
      <c r="AG972" s="1836"/>
      <c r="AH972" s="1836"/>
      <c r="AI972" s="1837"/>
      <c r="AJ972" s="1960"/>
    </row>
    <row r="973" spans="1:36" ht="21.95" customHeight="1" x14ac:dyDescent="0.2">
      <c r="B973" s="2045"/>
      <c r="C973" s="2046"/>
      <c r="D973" s="2047" t="str">
        <f>SNI!$E$272</f>
        <v>Batu Merah</v>
      </c>
      <c r="E973" s="2047"/>
      <c r="F973" s="2048"/>
      <c r="G973" s="2049">
        <f>SNI!$H$272</f>
        <v>70</v>
      </c>
      <c r="H973" s="2050" t="str">
        <f>SNI!$G$272</f>
        <v>Buah</v>
      </c>
      <c r="I973" s="2051"/>
      <c r="J973" s="2051"/>
      <c r="K973" s="2052">
        <f>SNI!$L$272</f>
        <v>1</v>
      </c>
      <c r="L973" s="2053"/>
      <c r="M973" s="2054"/>
      <c r="N973" s="2055">
        <f>SNI!$I$272</f>
        <v>800</v>
      </c>
      <c r="O973" s="2056"/>
      <c r="P973" s="1969">
        <f t="shared" ref="P973:P975" si="609">N973*G973</f>
        <v>56000</v>
      </c>
      <c r="Q973" s="1953"/>
      <c r="R973" s="1954"/>
      <c r="S973" s="1954">
        <f t="shared" ref="S973:S975" si="610">P973*K973</f>
        <v>56000</v>
      </c>
      <c r="T973" s="1969">
        <f t="shared" ref="T973:T975" si="611">P973-S973</f>
        <v>0</v>
      </c>
      <c r="U973" s="2060"/>
      <c r="Z973" s="1956"/>
      <c r="AA973" s="1956"/>
      <c r="AF973" s="1836"/>
      <c r="AG973" s="1836"/>
      <c r="AH973" s="1836"/>
      <c r="AI973" s="1837"/>
      <c r="AJ973" s="1960"/>
    </row>
    <row r="974" spans="1:36" ht="21.95" customHeight="1" x14ac:dyDescent="0.2">
      <c r="B974" s="2045"/>
      <c r="C974" s="2046"/>
      <c r="D974" s="2047" t="str">
        <f>SNI!$E$273</f>
        <v>PC</v>
      </c>
      <c r="E974" s="2047"/>
      <c r="F974" s="2048"/>
      <c r="G974" s="2049">
        <f>SNI!$H$273</f>
        <v>6.5</v>
      </c>
      <c r="H974" s="2050" t="str">
        <f>SNI!$G$273</f>
        <v>kg</v>
      </c>
      <c r="I974" s="2051"/>
      <c r="J974" s="2051"/>
      <c r="K974" s="2052">
        <f>SNI!$L$273</f>
        <v>0.85140000000000005</v>
      </c>
      <c r="L974" s="2053"/>
      <c r="M974" s="2054"/>
      <c r="N974" s="2055">
        <f>SNI!$I$273</f>
        <v>1200</v>
      </c>
      <c r="O974" s="2056"/>
      <c r="P974" s="1969">
        <f t="shared" si="609"/>
        <v>7800</v>
      </c>
      <c r="Q974" s="1953"/>
      <c r="R974" s="1954"/>
      <c r="S974" s="1954">
        <f t="shared" si="610"/>
        <v>6640.92</v>
      </c>
      <c r="T974" s="1969">
        <f t="shared" si="611"/>
        <v>1159.08</v>
      </c>
      <c r="U974" s="2060"/>
      <c r="Z974" s="1956"/>
      <c r="AA974" s="1956"/>
      <c r="AF974" s="1836"/>
      <c r="AG974" s="1836"/>
      <c r="AH974" s="1836"/>
      <c r="AI974" s="1837"/>
      <c r="AJ974" s="1960"/>
    </row>
    <row r="975" spans="1:36" ht="21.95" customHeight="1" x14ac:dyDescent="0.2">
      <c r="B975" s="2045"/>
      <c r="C975" s="2046"/>
      <c r="D975" s="2047" t="str">
        <f>SNI!$E$274</f>
        <v>Pasir Pasang</v>
      </c>
      <c r="E975" s="2047"/>
      <c r="F975" s="2048"/>
      <c r="G975" s="2049">
        <f>SNI!$H$274</f>
        <v>0.05</v>
      </c>
      <c r="H975" s="2050" t="str">
        <f>SNI!$G$274</f>
        <v>m3</v>
      </c>
      <c r="I975" s="2051"/>
      <c r="J975" s="2051"/>
      <c r="K975" s="2052">
        <f>SNI!$L$274</f>
        <v>1</v>
      </c>
      <c r="L975" s="2053"/>
      <c r="M975" s="2054"/>
      <c r="N975" s="2055">
        <f>SNI!$I$274</f>
        <v>260000</v>
      </c>
      <c r="O975" s="2056"/>
      <c r="P975" s="1969">
        <f t="shared" si="609"/>
        <v>13000</v>
      </c>
      <c r="Q975" s="1953"/>
      <c r="R975" s="1954"/>
      <c r="S975" s="1954">
        <f t="shared" si="610"/>
        <v>13000</v>
      </c>
      <c r="T975" s="1969">
        <f t="shared" si="611"/>
        <v>0</v>
      </c>
      <c r="U975" s="2060"/>
      <c r="Z975" s="1956"/>
      <c r="AA975" s="1956"/>
      <c r="AF975" s="1836"/>
      <c r="AG975" s="1836"/>
      <c r="AH975" s="1836"/>
      <c r="AI975" s="1837"/>
      <c r="AJ975" s="1960"/>
    </row>
    <row r="976" spans="1:36" ht="21.95" customHeight="1" x14ac:dyDescent="0.2">
      <c r="B976" s="2045"/>
      <c r="C976" s="2046" t="str">
        <f>SNI!$D$276</f>
        <v>Tenaga Kerja</v>
      </c>
      <c r="D976" s="2047"/>
      <c r="E976" s="2047"/>
      <c r="F976" s="2048"/>
      <c r="G976" s="2049"/>
      <c r="H976" s="2050"/>
      <c r="I976" s="2051"/>
      <c r="J976" s="2051"/>
      <c r="K976" s="2052"/>
      <c r="L976" s="2053"/>
      <c r="M976" s="2054"/>
      <c r="N976" s="2055"/>
      <c r="O976" s="2056"/>
      <c r="P976" s="1969"/>
      <c r="Q976" s="1953"/>
      <c r="R976" s="1954"/>
      <c r="S976" s="1954"/>
      <c r="T976" s="1969"/>
      <c r="U976" s="2060"/>
      <c r="Z976" s="1956"/>
      <c r="AA976" s="1956"/>
      <c r="AF976" s="1836"/>
      <c r="AG976" s="1836"/>
      <c r="AH976" s="1836"/>
      <c r="AI976" s="1837"/>
      <c r="AJ976" s="1960"/>
    </row>
    <row r="977" spans="1:36" ht="21.95" customHeight="1" x14ac:dyDescent="0.2">
      <c r="B977" s="2045"/>
      <c r="C977" s="2046"/>
      <c r="D977" s="2047" t="str">
        <f>SNI!$E$276</f>
        <v xml:space="preserve">Pekerja </v>
      </c>
      <c r="E977" s="2047"/>
      <c r="F977" s="2048"/>
      <c r="G977" s="2049">
        <f>SNI!$H$276</f>
        <v>0.3</v>
      </c>
      <c r="H977" s="2050" t="str">
        <f>SNI!$G$276</f>
        <v>OH</v>
      </c>
      <c r="I977" s="2051" t="str">
        <f>SNI!$M$276</f>
        <v>WNI</v>
      </c>
      <c r="J977" s="2051"/>
      <c r="K977" s="2052">
        <f>SNI!$L$276</f>
        <v>1</v>
      </c>
      <c r="L977" s="2053"/>
      <c r="M977" s="2054"/>
      <c r="N977" s="2055">
        <f>SNI!$I$276</f>
        <v>88300</v>
      </c>
      <c r="O977" s="2056"/>
      <c r="P977" s="1969">
        <f t="shared" ref="P977:P980" si="612">N977*G977</f>
        <v>26490</v>
      </c>
      <c r="Q977" s="1953"/>
      <c r="R977" s="1954"/>
      <c r="S977" s="1954">
        <f t="shared" ref="S977:S980" si="613">P977*K977</f>
        <v>26490</v>
      </c>
      <c r="T977" s="1969">
        <f t="shared" ref="T977:T980" si="614">P977-S977</f>
        <v>0</v>
      </c>
      <c r="U977" s="2060"/>
      <c r="Z977" s="1956"/>
      <c r="AA977" s="1956"/>
      <c r="AF977" s="1836"/>
      <c r="AG977" s="1836"/>
      <c r="AH977" s="1836"/>
      <c r="AI977" s="1837"/>
      <c r="AJ977" s="1960"/>
    </row>
    <row r="978" spans="1:36" ht="21.95" customHeight="1" x14ac:dyDescent="0.2">
      <c r="B978" s="2045"/>
      <c r="C978" s="2046"/>
      <c r="D978" s="2047" t="str">
        <f>SNI!$E$277</f>
        <v>Tukang Batu</v>
      </c>
      <c r="E978" s="2047"/>
      <c r="F978" s="2048"/>
      <c r="G978" s="2049">
        <f>SNI!$H$277</f>
        <v>0.1</v>
      </c>
      <c r="H978" s="2050" t="str">
        <f>SNI!$G$277</f>
        <v>OH</v>
      </c>
      <c r="I978" s="2051" t="str">
        <f>SNI!$M$277</f>
        <v>WNI</v>
      </c>
      <c r="J978" s="2051"/>
      <c r="K978" s="2052">
        <f>SNI!$L$277</f>
        <v>1</v>
      </c>
      <c r="L978" s="2053"/>
      <c r="M978" s="2054"/>
      <c r="N978" s="2055">
        <f>SNI!$I$277</f>
        <v>90000</v>
      </c>
      <c r="O978" s="2056"/>
      <c r="P978" s="1969">
        <f t="shared" si="612"/>
        <v>9000</v>
      </c>
      <c r="Q978" s="1953"/>
      <c r="R978" s="1954"/>
      <c r="S978" s="1954">
        <f t="shared" si="613"/>
        <v>9000</v>
      </c>
      <c r="T978" s="1969">
        <f t="shared" si="614"/>
        <v>0</v>
      </c>
      <c r="U978" s="2060"/>
      <c r="Z978" s="1956"/>
      <c r="AA978" s="1956"/>
      <c r="AF978" s="1836"/>
      <c r="AG978" s="1836"/>
      <c r="AH978" s="1836"/>
      <c r="AI978" s="1837"/>
      <c r="AJ978" s="1960"/>
    </row>
    <row r="979" spans="1:36" ht="21.95" customHeight="1" x14ac:dyDescent="0.2">
      <c r="B979" s="2045"/>
      <c r="C979" s="2046"/>
      <c r="D979" s="2047" t="str">
        <f>SNI!$E$278</f>
        <v>Kepala Tukang</v>
      </c>
      <c r="E979" s="2047"/>
      <c r="F979" s="2048"/>
      <c r="G979" s="2049">
        <f>SNI!$H$278</f>
        <v>0.01</v>
      </c>
      <c r="H979" s="2050" t="str">
        <f>SNI!$G$278</f>
        <v>OH</v>
      </c>
      <c r="I979" s="2051" t="str">
        <f>SNI!$M$278</f>
        <v>WNI</v>
      </c>
      <c r="J979" s="2051"/>
      <c r="K979" s="2052">
        <f>SNI!$L$278</f>
        <v>1</v>
      </c>
      <c r="L979" s="2053"/>
      <c r="M979" s="2054"/>
      <c r="N979" s="2055">
        <f>SNI!$I$278</f>
        <v>96000</v>
      </c>
      <c r="O979" s="2056"/>
      <c r="P979" s="1969">
        <f t="shared" si="612"/>
        <v>960</v>
      </c>
      <c r="Q979" s="1953"/>
      <c r="R979" s="1954"/>
      <c r="S979" s="1954">
        <f t="shared" si="613"/>
        <v>960</v>
      </c>
      <c r="T979" s="1969">
        <f t="shared" si="614"/>
        <v>0</v>
      </c>
      <c r="U979" s="2060"/>
      <c r="Z979" s="1956"/>
      <c r="AA979" s="1956"/>
      <c r="AF979" s="1836"/>
      <c r="AG979" s="1836"/>
      <c r="AH979" s="1836"/>
      <c r="AI979" s="1837"/>
      <c r="AJ979" s="1960"/>
    </row>
    <row r="980" spans="1:36" ht="21.95" customHeight="1" x14ac:dyDescent="0.2">
      <c r="B980" s="2045"/>
      <c r="C980" s="2046"/>
      <c r="D980" s="2047" t="str">
        <f>SNI!$E$279</f>
        <v>Mandor</v>
      </c>
      <c r="E980" s="2047"/>
      <c r="F980" s="2048"/>
      <c r="G980" s="2049">
        <f>SNI!$H$279</f>
        <v>1.4999999999999999E-2</v>
      </c>
      <c r="H980" s="2050" t="str">
        <f>SNI!$G$279</f>
        <v>OH</v>
      </c>
      <c r="I980" s="2051" t="str">
        <f>SNI!$M$279</f>
        <v>WNI</v>
      </c>
      <c r="J980" s="2051"/>
      <c r="K980" s="2052">
        <f>SNI!$L$279</f>
        <v>1</v>
      </c>
      <c r="L980" s="2053"/>
      <c r="M980" s="2054"/>
      <c r="N980" s="2055">
        <f>SNI!$I$279</f>
        <v>90000</v>
      </c>
      <c r="O980" s="2056"/>
      <c r="P980" s="1969">
        <f t="shared" si="612"/>
        <v>1350</v>
      </c>
      <c r="Q980" s="1953"/>
      <c r="R980" s="1954"/>
      <c r="S980" s="1954">
        <f t="shared" si="613"/>
        <v>1350</v>
      </c>
      <c r="T980" s="1969">
        <f t="shared" si="614"/>
        <v>0</v>
      </c>
      <c r="U980" s="2060"/>
      <c r="Z980" s="1956"/>
      <c r="AA980" s="1956"/>
      <c r="AF980" s="1836"/>
      <c r="AG980" s="1836"/>
      <c r="AH980" s="1836"/>
      <c r="AI980" s="1837"/>
      <c r="AJ980" s="1960"/>
    </row>
    <row r="981" spans="1:36" s="1957" customFormat="1" ht="21.95" customHeight="1" x14ac:dyDescent="0.2">
      <c r="A981" s="1942"/>
      <c r="B981" s="1970"/>
      <c r="C981" s="1971"/>
      <c r="D981" s="1972"/>
      <c r="E981" s="1973"/>
      <c r="F981" s="1974" t="s">
        <v>556</v>
      </c>
      <c r="G981" s="1975">
        <f>B971</f>
        <v>1</v>
      </c>
      <c r="H981" s="1976"/>
      <c r="I981" s="1977"/>
      <c r="J981" s="1977"/>
      <c r="K981" s="1978"/>
      <c r="L981" s="1979"/>
      <c r="M981" s="1980"/>
      <c r="N981" s="1981"/>
      <c r="O981" s="1982"/>
      <c r="P981" s="1983">
        <f>SUM(P973:P980)</f>
        <v>114600</v>
      </c>
      <c r="Q981" s="1984"/>
      <c r="R981" s="1985"/>
      <c r="S981" s="1983">
        <f t="shared" ref="S981" si="615">SUM(S973:S980)</f>
        <v>113440.92</v>
      </c>
      <c r="T981" s="1983">
        <f t="shared" ref="T981" si="616">SUM(T973:T980)</f>
        <v>1159.08</v>
      </c>
      <c r="U981" s="1986"/>
      <c r="V981" s="1848"/>
      <c r="W981" s="1848"/>
      <c r="X981" s="1848"/>
      <c r="Y981" s="1848"/>
      <c r="Z981" s="1956"/>
      <c r="AA981" s="1956"/>
      <c r="AF981" s="1958"/>
      <c r="AG981" s="1958"/>
      <c r="AH981" s="1958"/>
      <c r="AI981" s="1959"/>
      <c r="AJ981" s="1960"/>
    </row>
    <row r="982" spans="1:36" ht="21.95" customHeight="1" x14ac:dyDescent="0.2">
      <c r="A982" s="1833">
        <f>satpek!$B$58</f>
        <v>39</v>
      </c>
      <c r="B982" s="2105">
        <f>B971+1</f>
        <v>2</v>
      </c>
      <c r="C982" s="1937"/>
      <c r="D982" s="1944" t="str">
        <f>VLOOKUP($A982,satpek!$B$20:$N$144,2,0)</f>
        <v>Membuat dinding partisi gypsum 9mm double</v>
      </c>
      <c r="E982" s="1944"/>
      <c r="F982" s="2004"/>
      <c r="G982" s="1945">
        <f>'[3]B.VOL RAB'!Q313</f>
        <v>236.99750000000009</v>
      </c>
      <c r="H982" s="1946" t="str">
        <f>VLOOKUP($A982,satpek!$B$20:$N$144,7,0)</f>
        <v>m2</v>
      </c>
      <c r="I982" s="1947"/>
      <c r="J982" s="1947"/>
      <c r="K982" s="1948"/>
      <c r="L982" s="1949"/>
      <c r="M982" s="1950" t="str">
        <f>VLOOKUP($A982,satpek!$B$20:$N$144,5,0)</f>
        <v>A.4.2.1.20.</v>
      </c>
      <c r="N982" s="1951">
        <f>VLOOKUP($A982,satpek!$B$20:$N$144,6,0)</f>
        <v>210845.94</v>
      </c>
      <c r="O982" s="1938"/>
      <c r="P982" s="1952">
        <f t="shared" si="608"/>
        <v>49969960.670000002</v>
      </c>
      <c r="Q982" s="1953">
        <f>VLOOKUP($A982,satpek!$B$20:$L$138,8,0)</f>
        <v>0.45788799844557021</v>
      </c>
      <c r="R982" s="1954">
        <f>VLOOKUP($A982,satpek!$B$20:$L$138,9,0)</f>
        <v>85437.014844999998</v>
      </c>
      <c r="S982" s="1954">
        <f>VLOOKUP($A982,satpek!$B$20:$L$138,10,0)</f>
        <v>96543.826774849993</v>
      </c>
      <c r="T982" s="1952">
        <f>S982*G982</f>
        <v>22880645.586072519</v>
      </c>
      <c r="U982" s="1955"/>
      <c r="X982" s="1848">
        <f>P992</f>
        <v>207739.33333333331</v>
      </c>
      <c r="Y982" s="1848">
        <f>S992</f>
        <v>106587.016</v>
      </c>
      <c r="Z982" s="1956">
        <v>236.99750000000009</v>
      </c>
      <c r="AA982" s="1956">
        <f>Z982-G982</f>
        <v>0</v>
      </c>
      <c r="AB982" s="1836" t="s">
        <v>1911</v>
      </c>
      <c r="AI982" s="1910">
        <v>203748.41000000003</v>
      </c>
      <c r="AJ982" s="1960">
        <f>AI982-N982</f>
        <v>-7097.5299999999697</v>
      </c>
    </row>
    <row r="983" spans="1:36" ht="21.95" customHeight="1" x14ac:dyDescent="0.2">
      <c r="B983" s="2106"/>
      <c r="C983" s="2046" t="str">
        <f>SNI!$D$780</f>
        <v>Bahan</v>
      </c>
      <c r="D983" s="2047"/>
      <c r="E983" s="2047"/>
      <c r="F983" s="2048"/>
      <c r="G983" s="2049"/>
      <c r="H983" s="2050"/>
      <c r="I983" s="2051"/>
      <c r="J983" s="2051"/>
      <c r="K983" s="2052"/>
      <c r="L983" s="2053"/>
      <c r="M983" s="2054"/>
      <c r="N983" s="2055"/>
      <c r="O983" s="2056"/>
      <c r="P983" s="2057"/>
      <c r="Q983" s="2058"/>
      <c r="R983" s="2059"/>
      <c r="S983" s="2059"/>
      <c r="T983" s="2057"/>
      <c r="U983" s="2060"/>
      <c r="Z983" s="1956"/>
      <c r="AA983" s="1956"/>
      <c r="AF983" s="1836"/>
      <c r="AG983" s="1836"/>
      <c r="AH983" s="1836"/>
      <c r="AI983" s="1837"/>
      <c r="AJ983" s="1960"/>
    </row>
    <row r="984" spans="1:36" ht="21.95" customHeight="1" x14ac:dyDescent="0.2">
      <c r="B984" s="2106"/>
      <c r="C984" s="2046"/>
      <c r="D984" s="2047" t="str">
        <f>SNI!$E$780</f>
        <v>Gypsum</v>
      </c>
      <c r="E984" s="2047"/>
      <c r="F984" s="2048"/>
      <c r="G984" s="2049">
        <f>SNI!$H$780</f>
        <v>0.72799999999999998</v>
      </c>
      <c r="H984" s="2050" t="str">
        <f>SNI!$G$780</f>
        <v>Lembar</v>
      </c>
      <c r="I984" s="2051"/>
      <c r="J984" s="2051"/>
      <c r="K984" s="2052">
        <f>SNI!$L$780</f>
        <v>0.30320000000000003</v>
      </c>
      <c r="L984" s="2053"/>
      <c r="M984" s="2054"/>
      <c r="N984" s="2055">
        <f>SNI!$I$780</f>
        <v>85000</v>
      </c>
      <c r="O984" s="2056"/>
      <c r="P984" s="1969">
        <f t="shared" ref="P984:P986" si="617">N984*G984</f>
        <v>61880</v>
      </c>
      <c r="Q984" s="1953"/>
      <c r="R984" s="1954"/>
      <c r="S984" s="1954">
        <f t="shared" ref="S984:S986" si="618">P984*K984</f>
        <v>18762.016000000003</v>
      </c>
      <c r="T984" s="1969">
        <f t="shared" ref="T984:T986" si="619">P984-S984</f>
        <v>43117.983999999997</v>
      </c>
      <c r="U984" s="2060"/>
      <c r="Z984" s="1956"/>
      <c r="AA984" s="1956"/>
      <c r="AF984" s="1836"/>
      <c r="AG984" s="1836"/>
      <c r="AH984" s="1836"/>
      <c r="AI984" s="1837"/>
      <c r="AJ984" s="1960"/>
    </row>
    <row r="985" spans="1:36" ht="21.95" customHeight="1" x14ac:dyDescent="0.2">
      <c r="B985" s="2106"/>
      <c r="C985" s="2046"/>
      <c r="D985" s="2047" t="str">
        <f>SNI!$E$781</f>
        <v>Baja ringan C75</v>
      </c>
      <c r="E985" s="2047"/>
      <c r="F985" s="2048"/>
      <c r="G985" s="2049">
        <f>SNI!$H$781</f>
        <v>4</v>
      </c>
      <c r="H985" s="2050" t="str">
        <f>SNI!$G$781</f>
        <v>m'</v>
      </c>
      <c r="I985" s="2051"/>
      <c r="J985" s="2051"/>
      <c r="K985" s="2052">
        <f>SNI!$L$781</f>
        <v>0.34649999999999997</v>
      </c>
      <c r="L985" s="2053"/>
      <c r="M985" s="2054"/>
      <c r="N985" s="2055">
        <f>SNI!$I$781</f>
        <v>20833.333333333332</v>
      </c>
      <c r="O985" s="2056"/>
      <c r="P985" s="1969">
        <f t="shared" si="617"/>
        <v>83333.333333333328</v>
      </c>
      <c r="Q985" s="1953"/>
      <c r="R985" s="1954"/>
      <c r="S985" s="1954">
        <f t="shared" si="618"/>
        <v>28874.999999999996</v>
      </c>
      <c r="T985" s="1969">
        <f t="shared" si="619"/>
        <v>54458.333333333328</v>
      </c>
      <c r="U985" s="2060"/>
      <c r="Z985" s="1956"/>
      <c r="AA985" s="1956"/>
      <c r="AF985" s="1836"/>
      <c r="AG985" s="1836"/>
      <c r="AH985" s="1836"/>
      <c r="AI985" s="1837"/>
      <c r="AJ985" s="1960"/>
    </row>
    <row r="986" spans="1:36" ht="21.95" customHeight="1" x14ac:dyDescent="0.2">
      <c r="B986" s="2106"/>
      <c r="C986" s="2046"/>
      <c r="D986" s="2047" t="str">
        <f>SNI!$E$782</f>
        <v>Sekrup</v>
      </c>
      <c r="E986" s="2047"/>
      <c r="F986" s="2048"/>
      <c r="G986" s="2049">
        <f>SNI!$H$782</f>
        <v>0.14899999999999999</v>
      </c>
      <c r="H986" s="2050" t="str">
        <f>SNI!$G$782</f>
        <v>kg</v>
      </c>
      <c r="I986" s="2051"/>
      <c r="J986" s="2051"/>
      <c r="K986" s="2052">
        <f>SNI!$L$782</f>
        <v>0</v>
      </c>
      <c r="L986" s="2053"/>
      <c r="M986" s="2054"/>
      <c r="N986" s="2055">
        <f>SNI!$I$782</f>
        <v>24000</v>
      </c>
      <c r="O986" s="2056"/>
      <c r="P986" s="1969">
        <f t="shared" si="617"/>
        <v>3576</v>
      </c>
      <c r="Q986" s="1953"/>
      <c r="R986" s="1954"/>
      <c r="S986" s="1954">
        <f t="shared" si="618"/>
        <v>0</v>
      </c>
      <c r="T986" s="1969">
        <f t="shared" si="619"/>
        <v>3576</v>
      </c>
      <c r="U986" s="2060"/>
      <c r="Z986" s="1956"/>
      <c r="AA986" s="1956"/>
      <c r="AF986" s="1836"/>
      <c r="AG986" s="1836"/>
      <c r="AH986" s="1836"/>
      <c r="AI986" s="1837"/>
      <c r="AJ986" s="1960"/>
    </row>
    <row r="987" spans="1:36" ht="21.95" customHeight="1" x14ac:dyDescent="0.2">
      <c r="B987" s="2106"/>
      <c r="C987" s="2046" t="str">
        <f>SNI!$D$784</f>
        <v>Tenaga Kerja</v>
      </c>
      <c r="D987" s="2047"/>
      <c r="E987" s="2047"/>
      <c r="F987" s="2048"/>
      <c r="G987" s="2049"/>
      <c r="H987" s="2050"/>
      <c r="I987" s="2051"/>
      <c r="J987" s="2051"/>
      <c r="K987" s="2052"/>
      <c r="L987" s="2053"/>
      <c r="M987" s="2054"/>
      <c r="N987" s="2055"/>
      <c r="O987" s="2056"/>
      <c r="P987" s="1969"/>
      <c r="Q987" s="1953"/>
      <c r="R987" s="1954"/>
      <c r="S987" s="1954"/>
      <c r="T987" s="1969"/>
      <c r="U987" s="2060"/>
      <c r="Z987" s="1956"/>
      <c r="AA987" s="1956"/>
      <c r="AF987" s="1836"/>
      <c r="AG987" s="1836"/>
      <c r="AH987" s="1836"/>
      <c r="AI987" s="1837"/>
      <c r="AJ987" s="1960"/>
    </row>
    <row r="988" spans="1:36" ht="21.95" customHeight="1" x14ac:dyDescent="0.2">
      <c r="B988" s="2106"/>
      <c r="C988" s="2046"/>
      <c r="D988" s="2047" t="str">
        <f>SNI!$E$784</f>
        <v xml:space="preserve">Pekerja </v>
      </c>
      <c r="E988" s="2047"/>
      <c r="F988" s="2048"/>
      <c r="G988" s="2049">
        <f>SNI!$H$784</f>
        <v>0.3</v>
      </c>
      <c r="H988" s="2050" t="str">
        <f>SNI!$G$784</f>
        <v>OH</v>
      </c>
      <c r="I988" s="2051" t="str">
        <f>SNI!$M$315</f>
        <v>WNI</v>
      </c>
      <c r="J988" s="2051"/>
      <c r="K988" s="2052">
        <f>SNI!$L$784</f>
        <v>1</v>
      </c>
      <c r="L988" s="2053"/>
      <c r="M988" s="2054"/>
      <c r="N988" s="2055">
        <f>SNI!$I$784</f>
        <v>88300</v>
      </c>
      <c r="O988" s="2056"/>
      <c r="P988" s="1969">
        <f t="shared" ref="P988:P991" si="620">N988*G988</f>
        <v>26490</v>
      </c>
      <c r="Q988" s="1953"/>
      <c r="R988" s="1954"/>
      <c r="S988" s="1954">
        <f t="shared" ref="S988:S991" si="621">P988*K988</f>
        <v>26490</v>
      </c>
      <c r="T988" s="1969">
        <f t="shared" ref="T988:T991" si="622">P988-S988</f>
        <v>0</v>
      </c>
      <c r="U988" s="2060"/>
      <c r="Z988" s="1956"/>
      <c r="AA988" s="1956"/>
      <c r="AF988" s="1836"/>
      <c r="AG988" s="1836"/>
      <c r="AH988" s="1836"/>
      <c r="AI988" s="1837"/>
      <c r="AJ988" s="1960"/>
    </row>
    <row r="989" spans="1:36" ht="21.95" customHeight="1" x14ac:dyDescent="0.2">
      <c r="B989" s="2106"/>
      <c r="C989" s="2046"/>
      <c r="D989" s="2047" t="str">
        <f>SNI!$E$785</f>
        <v>Tukang Batu</v>
      </c>
      <c r="E989" s="2047"/>
      <c r="F989" s="2048"/>
      <c r="G989" s="2049">
        <f>SNI!$H$785</f>
        <v>0.1</v>
      </c>
      <c r="H989" s="2050" t="str">
        <f>SNI!$G$785</f>
        <v>OH</v>
      </c>
      <c r="I989" s="2051" t="str">
        <f>SNI!$M$315</f>
        <v>WNI</v>
      </c>
      <c r="J989" s="2051"/>
      <c r="K989" s="2052">
        <f>SNI!$L$785</f>
        <v>1</v>
      </c>
      <c r="L989" s="2053"/>
      <c r="M989" s="2054"/>
      <c r="N989" s="2055">
        <f>SNI!$I$785</f>
        <v>90000</v>
      </c>
      <c r="O989" s="2056"/>
      <c r="P989" s="1969">
        <f t="shared" si="620"/>
        <v>9000</v>
      </c>
      <c r="Q989" s="1953"/>
      <c r="R989" s="1954"/>
      <c r="S989" s="1954">
        <f t="shared" si="621"/>
        <v>9000</v>
      </c>
      <c r="T989" s="1969">
        <f t="shared" si="622"/>
        <v>0</v>
      </c>
      <c r="U989" s="2060"/>
      <c r="Z989" s="1956"/>
      <c r="AA989" s="1956"/>
      <c r="AF989" s="1836"/>
      <c r="AG989" s="1836"/>
      <c r="AH989" s="1836"/>
      <c r="AI989" s="1837"/>
      <c r="AJ989" s="1960"/>
    </row>
    <row r="990" spans="1:36" ht="21.95" customHeight="1" x14ac:dyDescent="0.2">
      <c r="B990" s="2106"/>
      <c r="C990" s="2046"/>
      <c r="D990" s="2047" t="str">
        <f>SNI!$E$786</f>
        <v>Kepala Tukang</v>
      </c>
      <c r="E990" s="2047"/>
      <c r="F990" s="2048"/>
      <c r="G990" s="2049">
        <f>SNI!$H$786</f>
        <v>0.01</v>
      </c>
      <c r="H990" s="2050" t="str">
        <f>SNI!$G$786</f>
        <v>OH</v>
      </c>
      <c r="I990" s="2051" t="str">
        <f>SNI!$M$315</f>
        <v>WNI</v>
      </c>
      <c r="J990" s="2051"/>
      <c r="K990" s="2052">
        <f>SNI!$L$786</f>
        <v>1</v>
      </c>
      <c r="L990" s="2053"/>
      <c r="M990" s="2054"/>
      <c r="N990" s="2055">
        <f>SNI!$I$786</f>
        <v>96000</v>
      </c>
      <c r="O990" s="2056"/>
      <c r="P990" s="1969">
        <f t="shared" si="620"/>
        <v>960</v>
      </c>
      <c r="Q990" s="1953"/>
      <c r="R990" s="1954"/>
      <c r="S990" s="1954">
        <f t="shared" si="621"/>
        <v>960</v>
      </c>
      <c r="T990" s="1969">
        <f t="shared" si="622"/>
        <v>0</v>
      </c>
      <c r="U990" s="2060"/>
      <c r="Z990" s="1956"/>
      <c r="AA990" s="1956"/>
      <c r="AF990" s="1836"/>
      <c r="AG990" s="1836"/>
      <c r="AH990" s="1836"/>
      <c r="AI990" s="1837"/>
      <c r="AJ990" s="1960"/>
    </row>
    <row r="991" spans="1:36" ht="21.95" customHeight="1" x14ac:dyDescent="0.2">
      <c r="B991" s="2106"/>
      <c r="C991" s="2046"/>
      <c r="D991" s="2047" t="str">
        <f>SNI!$E$787</f>
        <v>Mandor</v>
      </c>
      <c r="E991" s="2047"/>
      <c r="F991" s="2048"/>
      <c r="G991" s="2049">
        <f>SNI!H831</f>
        <v>0.25</v>
      </c>
      <c r="H991" s="2050" t="str">
        <f>SNI!$G$787</f>
        <v>OH</v>
      </c>
      <c r="I991" s="2051" t="str">
        <f>SNI!$M$315</f>
        <v>WNI</v>
      </c>
      <c r="J991" s="2051"/>
      <c r="K991" s="2052">
        <f>SNI!$L$787</f>
        <v>1</v>
      </c>
      <c r="L991" s="2053"/>
      <c r="M991" s="2054"/>
      <c r="N991" s="2055">
        <f>SNI!$I$787</f>
        <v>90000</v>
      </c>
      <c r="O991" s="2056"/>
      <c r="P991" s="1969">
        <f t="shared" si="620"/>
        <v>22500</v>
      </c>
      <c r="Q991" s="1953"/>
      <c r="R991" s="1954"/>
      <c r="S991" s="1954">
        <f t="shared" si="621"/>
        <v>22500</v>
      </c>
      <c r="T991" s="1969">
        <f t="shared" si="622"/>
        <v>0</v>
      </c>
      <c r="U991" s="2060"/>
      <c r="Z991" s="1956"/>
      <c r="AA991" s="1956"/>
      <c r="AF991" s="1836"/>
      <c r="AG991" s="1836"/>
      <c r="AH991" s="1836"/>
      <c r="AI991" s="1837"/>
      <c r="AJ991" s="1960"/>
    </row>
    <row r="992" spans="1:36" s="1957" customFormat="1" ht="21.95" customHeight="1" x14ac:dyDescent="0.2">
      <c r="A992" s="1942"/>
      <c r="B992" s="1970"/>
      <c r="C992" s="1971"/>
      <c r="D992" s="1972"/>
      <c r="E992" s="1973"/>
      <c r="F992" s="1974" t="s">
        <v>556</v>
      </c>
      <c r="G992" s="1975">
        <f>B982</f>
        <v>2</v>
      </c>
      <c r="H992" s="1976"/>
      <c r="I992" s="1977"/>
      <c r="J992" s="1977"/>
      <c r="K992" s="1978"/>
      <c r="L992" s="1979"/>
      <c r="M992" s="1980"/>
      <c r="N992" s="1981"/>
      <c r="O992" s="1982"/>
      <c r="P992" s="1983">
        <f>SUM(P984:P991)</f>
        <v>207739.33333333331</v>
      </c>
      <c r="Q992" s="1984"/>
      <c r="R992" s="1985"/>
      <c r="S992" s="1983">
        <f t="shared" ref="S992" si="623">SUM(S984:S991)</f>
        <v>106587.016</v>
      </c>
      <c r="T992" s="1983">
        <f t="shared" ref="T992" si="624">SUM(T984:T991)</f>
        <v>101152.31733333333</v>
      </c>
      <c r="U992" s="1986"/>
      <c r="V992" s="1848"/>
      <c r="W992" s="1848"/>
      <c r="X992" s="1848"/>
      <c r="Y992" s="1848"/>
      <c r="Z992" s="1956"/>
      <c r="AA992" s="1956"/>
      <c r="AF992" s="1958"/>
      <c r="AG992" s="1958"/>
      <c r="AH992" s="1958"/>
      <c r="AI992" s="1959"/>
      <c r="AJ992" s="1960"/>
    </row>
    <row r="993" spans="1:36" ht="21.95" customHeight="1" x14ac:dyDescent="0.2">
      <c r="A993" s="1833">
        <f>satpek!$B$36</f>
        <v>17</v>
      </c>
      <c r="B993" s="2105">
        <f>B982+1</f>
        <v>3</v>
      </c>
      <c r="C993" s="1937"/>
      <c r="D993" s="1944" t="str">
        <f>VLOOKUP($A993,satpek!$B$20:$N$144,2,0)</f>
        <v>Memasang plesteran 1 PC : 6 PP, tebal 15 mm</v>
      </c>
      <c r="E993" s="1944"/>
      <c r="F993" s="2004"/>
      <c r="G993" s="1945">
        <f>'[3]B.VOL RAB'!Q330</f>
        <v>814.46500000000003</v>
      </c>
      <c r="H993" s="1946" t="str">
        <f>VLOOKUP($A993,satpek!$B$20:$N$144,7,0)</f>
        <v>m2</v>
      </c>
      <c r="I993" s="1947"/>
      <c r="J993" s="1947"/>
      <c r="K993" s="1948"/>
      <c r="L993" s="1949"/>
      <c r="M993" s="1950" t="str">
        <f>VLOOKUP($A993,satpek!$B$20:$N$144,5,0)</f>
        <v>A.4.4.2.6.</v>
      </c>
      <c r="N993" s="1951">
        <f>VLOOKUP($A993,satpek!$B$20:$N$144,6,0)</f>
        <v>62262.1</v>
      </c>
      <c r="O993" s="1938"/>
      <c r="P993" s="1952">
        <f t="shared" si="608"/>
        <v>50710301.280000001</v>
      </c>
      <c r="Q993" s="1953">
        <f>VLOOKUP($A993,satpek!$B$20:$L$138,8,0)</f>
        <v>0.9857083021169093</v>
      </c>
      <c r="R993" s="1954">
        <f>VLOOKUP($A993,satpek!$B$20:$L$138,9,0)</f>
        <v>54311.738880000004</v>
      </c>
      <c r="S993" s="1954">
        <f>VLOOKUP($A993,satpek!$B$20:$L$138,10,0)</f>
        <v>61372.264934400009</v>
      </c>
      <c r="T993" s="1952">
        <f>S993*G993</f>
        <v>49985561.759796105</v>
      </c>
      <c r="U993" s="1955"/>
      <c r="X993" s="1848">
        <f>P1002</f>
        <v>55099.199999999997</v>
      </c>
      <c r="Y993" s="1848">
        <f>S1002</f>
        <v>54311.738880000004</v>
      </c>
      <c r="Z993" s="1956">
        <v>814.46500000000003</v>
      </c>
      <c r="AA993" s="1956">
        <f>Z993-G993</f>
        <v>0</v>
      </c>
      <c r="AB993" s="1836" t="s">
        <v>469</v>
      </c>
      <c r="AI993" s="1910">
        <v>59838.25</v>
      </c>
      <c r="AJ993" s="1960">
        <f>AI993-N993</f>
        <v>-2423.8499999999985</v>
      </c>
    </row>
    <row r="994" spans="1:36" ht="21.95" customHeight="1" x14ac:dyDescent="0.2">
      <c r="B994" s="2106"/>
      <c r="C994" s="2046" t="str">
        <f>SNI!$D$312</f>
        <v>Bahan</v>
      </c>
      <c r="D994" s="2047"/>
      <c r="E994" s="2047"/>
      <c r="F994" s="2048"/>
      <c r="G994" s="2049"/>
      <c r="H994" s="2050"/>
      <c r="I994" s="2051"/>
      <c r="J994" s="2051"/>
      <c r="K994" s="2052"/>
      <c r="L994" s="2053"/>
      <c r="M994" s="2054"/>
      <c r="N994" s="2055"/>
      <c r="O994" s="2056"/>
      <c r="P994" s="2057"/>
      <c r="Q994" s="2058"/>
      <c r="R994" s="2059"/>
      <c r="S994" s="2059"/>
      <c r="T994" s="2057"/>
      <c r="U994" s="2060"/>
      <c r="Z994" s="1956"/>
      <c r="AA994" s="1956"/>
      <c r="AF994" s="1836"/>
      <c r="AG994" s="1836"/>
      <c r="AH994" s="1836"/>
      <c r="AI994" s="1837"/>
      <c r="AJ994" s="1960"/>
    </row>
    <row r="995" spans="1:36" ht="21.95" customHeight="1" x14ac:dyDescent="0.2">
      <c r="B995" s="2106"/>
      <c r="C995" s="2046"/>
      <c r="D995" s="2047" t="str">
        <f>SNI!$E$312</f>
        <v>PC</v>
      </c>
      <c r="E995" s="2047"/>
      <c r="F995" s="2048"/>
      <c r="G995" s="2049">
        <f>SNI!$H$312</f>
        <v>4.4160000000000004</v>
      </c>
      <c r="H995" s="2050" t="str">
        <f>SNI!$G$312</f>
        <v>kg</v>
      </c>
      <c r="I995" s="2051"/>
      <c r="J995" s="2051"/>
      <c r="K995" s="2052">
        <f>SNI!$L$312</f>
        <v>0.85140000000000005</v>
      </c>
      <c r="L995" s="2053"/>
      <c r="M995" s="2054"/>
      <c r="N995" s="2055">
        <f>SNI!$I$312</f>
        <v>1200</v>
      </c>
      <c r="O995" s="2056"/>
      <c r="P995" s="1969">
        <f t="shared" ref="P995:P996" si="625">N995*G995</f>
        <v>5299.2000000000007</v>
      </c>
      <c r="Q995" s="1953"/>
      <c r="R995" s="1954"/>
      <c r="S995" s="1954">
        <f t="shared" ref="S995:S996" si="626">P995*K995</f>
        <v>4511.7388800000008</v>
      </c>
      <c r="T995" s="1969">
        <f t="shared" ref="T995:T996" si="627">P995-S995</f>
        <v>787.46111999999994</v>
      </c>
      <c r="U995" s="2060"/>
      <c r="Z995" s="1956"/>
      <c r="AA995" s="1956"/>
      <c r="AF995" s="1836"/>
      <c r="AG995" s="1836"/>
      <c r="AH995" s="1836"/>
      <c r="AI995" s="1837"/>
      <c r="AJ995" s="1960"/>
    </row>
    <row r="996" spans="1:36" ht="21.95" customHeight="1" x14ac:dyDescent="0.2">
      <c r="B996" s="2106"/>
      <c r="C996" s="2046"/>
      <c r="D996" s="2047" t="str">
        <f>SNI!$E$313</f>
        <v>Pasir Pasang</v>
      </c>
      <c r="E996" s="2047"/>
      <c r="F996" s="2048"/>
      <c r="G996" s="2049">
        <f>SNI!$H$313</f>
        <v>2.7E-2</v>
      </c>
      <c r="H996" s="2050" t="str">
        <f>SNI!$G$313</f>
        <v>m3</v>
      </c>
      <c r="I996" s="2051"/>
      <c r="J996" s="2051"/>
      <c r="K996" s="2052">
        <f>SNI!$L$313</f>
        <v>1</v>
      </c>
      <c r="L996" s="2053"/>
      <c r="M996" s="2054"/>
      <c r="N996" s="2055">
        <f>SNI!$I$313</f>
        <v>260000</v>
      </c>
      <c r="O996" s="2056"/>
      <c r="P996" s="1969">
        <f t="shared" si="625"/>
        <v>7020</v>
      </c>
      <c r="Q996" s="1953"/>
      <c r="R996" s="1954"/>
      <c r="S996" s="1954">
        <f t="shared" si="626"/>
        <v>7020</v>
      </c>
      <c r="T996" s="1969">
        <f t="shared" si="627"/>
        <v>0</v>
      </c>
      <c r="U996" s="2060"/>
      <c r="Z996" s="1956"/>
      <c r="AA996" s="1956"/>
      <c r="AF996" s="1836"/>
      <c r="AG996" s="1836"/>
      <c r="AH996" s="1836"/>
      <c r="AI996" s="1837"/>
      <c r="AJ996" s="1960"/>
    </row>
    <row r="997" spans="1:36" ht="21.95" customHeight="1" x14ac:dyDescent="0.2">
      <c r="B997" s="2106"/>
      <c r="C997" s="2046" t="str">
        <f>SNI!$D$315</f>
        <v>Tenaga Kerja</v>
      </c>
      <c r="D997" s="2047"/>
      <c r="E997" s="2047"/>
      <c r="F997" s="2048"/>
      <c r="G997" s="2049"/>
      <c r="H997" s="2050"/>
      <c r="I997" s="2051"/>
      <c r="J997" s="2051"/>
      <c r="K997" s="2052"/>
      <c r="L997" s="2053"/>
      <c r="M997" s="2054"/>
      <c r="N997" s="2055"/>
      <c r="O997" s="2056"/>
      <c r="P997" s="1969"/>
      <c r="Q997" s="1953"/>
      <c r="R997" s="1954"/>
      <c r="S997" s="1954"/>
      <c r="T997" s="1969"/>
      <c r="U997" s="2060"/>
      <c r="Z997" s="1956"/>
      <c r="AA997" s="1956"/>
      <c r="AF997" s="1836"/>
      <c r="AG997" s="1836"/>
      <c r="AH997" s="1836"/>
      <c r="AI997" s="1837"/>
      <c r="AJ997" s="1960"/>
    </row>
    <row r="998" spans="1:36" ht="21.95" customHeight="1" x14ac:dyDescent="0.2">
      <c r="B998" s="2106"/>
      <c r="C998" s="2046"/>
      <c r="D998" s="2047" t="str">
        <f>SNI!$E$315</f>
        <v xml:space="preserve">Pekerja </v>
      </c>
      <c r="E998" s="2047"/>
      <c r="F998" s="2048"/>
      <c r="G998" s="2049">
        <f>SNI!$H$315</f>
        <v>0.3</v>
      </c>
      <c r="H998" s="2050" t="str">
        <f>SNI!$G$315</f>
        <v>OH</v>
      </c>
      <c r="I998" s="2051" t="str">
        <f>SNI!$M$315</f>
        <v>WNI</v>
      </c>
      <c r="J998" s="2051"/>
      <c r="K998" s="2052">
        <f>SNI!$L$315</f>
        <v>1</v>
      </c>
      <c r="L998" s="2053"/>
      <c r="M998" s="2054"/>
      <c r="N998" s="2055">
        <f>SNI!$I$315</f>
        <v>88300</v>
      </c>
      <c r="O998" s="2056"/>
      <c r="P998" s="1969">
        <f t="shared" ref="P998:P1001" si="628">N998*G998</f>
        <v>26490</v>
      </c>
      <c r="Q998" s="1953"/>
      <c r="R998" s="1954"/>
      <c r="S998" s="1954">
        <f t="shared" ref="S998:S1001" si="629">P998*K998</f>
        <v>26490</v>
      </c>
      <c r="T998" s="1969">
        <f t="shared" ref="T998:T1001" si="630">P998-S998</f>
        <v>0</v>
      </c>
      <c r="U998" s="2060"/>
      <c r="Z998" s="1956"/>
      <c r="AA998" s="1956"/>
      <c r="AF998" s="1836"/>
      <c r="AG998" s="1836"/>
      <c r="AH998" s="1836"/>
      <c r="AI998" s="1837"/>
      <c r="AJ998" s="1960"/>
    </row>
    <row r="999" spans="1:36" ht="21.95" customHeight="1" x14ac:dyDescent="0.2">
      <c r="B999" s="2106"/>
      <c r="C999" s="2046"/>
      <c r="D999" s="2047" t="str">
        <f>SNI!$E$316</f>
        <v>Tukang Batu</v>
      </c>
      <c r="E999" s="2047"/>
      <c r="F999" s="2048"/>
      <c r="G999" s="2049">
        <f>SNI!$H$316</f>
        <v>0.15</v>
      </c>
      <c r="H999" s="2050" t="str">
        <f>SNI!$G$316</f>
        <v>OH</v>
      </c>
      <c r="I999" s="2051" t="str">
        <f>SNI!$M$316</f>
        <v>WNI</v>
      </c>
      <c r="J999" s="2051"/>
      <c r="K999" s="2052">
        <f>SNI!$L$316</f>
        <v>1</v>
      </c>
      <c r="L999" s="2053"/>
      <c r="M999" s="2054"/>
      <c r="N999" s="2055">
        <f>SNI!$I$316</f>
        <v>90000</v>
      </c>
      <c r="O999" s="2056"/>
      <c r="P999" s="1969">
        <f t="shared" si="628"/>
        <v>13500</v>
      </c>
      <c r="Q999" s="1953"/>
      <c r="R999" s="1954"/>
      <c r="S999" s="1954">
        <f t="shared" si="629"/>
        <v>13500</v>
      </c>
      <c r="T999" s="1969">
        <f t="shared" si="630"/>
        <v>0</v>
      </c>
      <c r="U999" s="2060"/>
      <c r="Z999" s="1956"/>
      <c r="AA999" s="1956"/>
      <c r="AF999" s="1836"/>
      <c r="AG999" s="1836"/>
      <c r="AH999" s="1836"/>
      <c r="AI999" s="1837"/>
      <c r="AJ999" s="1960"/>
    </row>
    <row r="1000" spans="1:36" ht="21.95" customHeight="1" x14ac:dyDescent="0.2">
      <c r="B1000" s="2106"/>
      <c r="C1000" s="2046"/>
      <c r="D1000" s="2047" t="str">
        <f>SNI!$E$317</f>
        <v>Kepala Tukang</v>
      </c>
      <c r="E1000" s="2047"/>
      <c r="F1000" s="2048"/>
      <c r="G1000" s="2049">
        <f>SNI!$H$317</f>
        <v>1.4999999999999999E-2</v>
      </c>
      <c r="H1000" s="2050" t="str">
        <f>SNI!$G$317</f>
        <v>OH</v>
      </c>
      <c r="I1000" s="2051" t="str">
        <f>SNI!$M$317</f>
        <v>WNI</v>
      </c>
      <c r="J1000" s="2051"/>
      <c r="K1000" s="2052">
        <f>SNI!$L$317</f>
        <v>1</v>
      </c>
      <c r="L1000" s="2053"/>
      <c r="M1000" s="2054"/>
      <c r="N1000" s="2055">
        <f>SNI!$I$317</f>
        <v>96000</v>
      </c>
      <c r="O1000" s="2056"/>
      <c r="P1000" s="1969">
        <f t="shared" si="628"/>
        <v>1440</v>
      </c>
      <c r="Q1000" s="1953"/>
      <c r="R1000" s="1954"/>
      <c r="S1000" s="1954">
        <f t="shared" si="629"/>
        <v>1440</v>
      </c>
      <c r="T1000" s="1969">
        <f t="shared" si="630"/>
        <v>0</v>
      </c>
      <c r="U1000" s="2060"/>
      <c r="Z1000" s="1956"/>
      <c r="AA1000" s="1956"/>
      <c r="AF1000" s="1836"/>
      <c r="AG1000" s="1836"/>
      <c r="AH1000" s="1836"/>
      <c r="AI1000" s="1837"/>
      <c r="AJ1000" s="1960"/>
    </row>
    <row r="1001" spans="1:36" ht="21.95" customHeight="1" x14ac:dyDescent="0.2">
      <c r="B1001" s="2106"/>
      <c r="C1001" s="2046"/>
      <c r="D1001" s="2047">
        <f>SNI!E362</f>
        <v>0</v>
      </c>
      <c r="E1001" s="2047"/>
      <c r="F1001" s="2048"/>
      <c r="G1001" s="2049">
        <f>SNI!$H$318</f>
        <v>1.4999999999999999E-2</v>
      </c>
      <c r="H1001" s="2050" t="str">
        <f>SNI!$G$318</f>
        <v>OH</v>
      </c>
      <c r="I1001" s="2051" t="str">
        <f>SNI!$M$318</f>
        <v>WNI</v>
      </c>
      <c r="J1001" s="2051"/>
      <c r="K1001" s="2052">
        <f>SNI!$L$318</f>
        <v>1</v>
      </c>
      <c r="L1001" s="2053"/>
      <c r="M1001" s="2054"/>
      <c r="N1001" s="2055">
        <f>SNI!$I$318</f>
        <v>90000</v>
      </c>
      <c r="O1001" s="2056"/>
      <c r="P1001" s="1969">
        <f t="shared" si="628"/>
        <v>1350</v>
      </c>
      <c r="Q1001" s="1953"/>
      <c r="R1001" s="1954"/>
      <c r="S1001" s="1954">
        <f t="shared" si="629"/>
        <v>1350</v>
      </c>
      <c r="T1001" s="1969">
        <f t="shared" si="630"/>
        <v>0</v>
      </c>
      <c r="U1001" s="2060"/>
      <c r="Z1001" s="1956"/>
      <c r="AA1001" s="1956"/>
      <c r="AF1001" s="1836"/>
      <c r="AG1001" s="1836"/>
      <c r="AH1001" s="1836"/>
      <c r="AI1001" s="1837"/>
      <c r="AJ1001" s="1960"/>
    </row>
    <row r="1002" spans="1:36" s="1957" customFormat="1" ht="21.95" customHeight="1" x14ac:dyDescent="0.2">
      <c r="A1002" s="1942"/>
      <c r="B1002" s="1970"/>
      <c r="C1002" s="1971"/>
      <c r="D1002" s="1972"/>
      <c r="E1002" s="1973"/>
      <c r="F1002" s="1974" t="s">
        <v>556</v>
      </c>
      <c r="G1002" s="1975">
        <f>B992</f>
        <v>0</v>
      </c>
      <c r="H1002" s="1976"/>
      <c r="I1002" s="1977"/>
      <c r="J1002" s="1977"/>
      <c r="K1002" s="1978"/>
      <c r="L1002" s="1979"/>
      <c r="M1002" s="1980"/>
      <c r="N1002" s="1981"/>
      <c r="O1002" s="1982"/>
      <c r="P1002" s="1983">
        <f>SUM(P994:P1001)</f>
        <v>55099.199999999997</v>
      </c>
      <c r="Q1002" s="1984"/>
      <c r="R1002" s="1985"/>
      <c r="S1002" s="1983">
        <f t="shared" ref="S1002" si="631">SUM(S994:S1001)</f>
        <v>54311.738880000004</v>
      </c>
      <c r="T1002" s="1983">
        <f t="shared" ref="T1002" si="632">SUM(T994:T1001)</f>
        <v>787.46111999999994</v>
      </c>
      <c r="U1002" s="1986"/>
      <c r="V1002" s="1848"/>
      <c r="W1002" s="1848"/>
      <c r="X1002" s="1848"/>
      <c r="Y1002" s="1848"/>
      <c r="Z1002" s="1956"/>
      <c r="AA1002" s="1956"/>
      <c r="AF1002" s="1958"/>
      <c r="AG1002" s="1958"/>
      <c r="AH1002" s="1958"/>
      <c r="AI1002" s="1959"/>
      <c r="AJ1002" s="1960"/>
    </row>
    <row r="1003" spans="1:36" ht="21.95" customHeight="1" x14ac:dyDescent="0.2">
      <c r="A1003" s="1833">
        <f>satpek!$B$109</f>
        <v>90</v>
      </c>
      <c r="B1003" s="2105">
        <f>B993+1</f>
        <v>4</v>
      </c>
      <c r="C1003" s="1937"/>
      <c r="D1003" s="1944" t="str">
        <f>VLOOKUP($A1003,satpek!$B$20:$N$144,2,0)</f>
        <v>Sponengan</v>
      </c>
      <c r="E1003" s="1944"/>
      <c r="F1003" s="2004"/>
      <c r="G1003" s="1945">
        <f>'[3]B.VOL RAB'!Q331</f>
        <v>1006.24</v>
      </c>
      <c r="H1003" s="1946" t="str">
        <f>VLOOKUP($A1003,satpek!$B$20:$N$144,7,0)</f>
        <v>m'</v>
      </c>
      <c r="I1003" s="1947"/>
      <c r="J1003" s="1947"/>
      <c r="K1003" s="1948"/>
      <c r="L1003" s="1949"/>
      <c r="M1003" s="1950" t="str">
        <f>VLOOKUP($A1003,satpek!$B$20:$N$144,5,0)</f>
        <v>Harga Satuan</v>
      </c>
      <c r="N1003" s="1951">
        <f>VLOOKUP($A1003,satpek!$B$20:$N$144,6,0)</f>
        <v>15000</v>
      </c>
      <c r="O1003" s="1938"/>
      <c r="P1003" s="1952">
        <f t="shared" si="608"/>
        <v>15093600</v>
      </c>
      <c r="Q1003" s="1953">
        <f>VLOOKUP($A1003,satpek!$B$20:$L$138,8,0)</f>
        <v>0.5</v>
      </c>
      <c r="R1003" s="1954">
        <f>VLOOKUP($A1003,satpek!$B$20:$L$138,9,0)</f>
        <v>0</v>
      </c>
      <c r="S1003" s="1954">
        <f>VLOOKUP($A1003,satpek!$B$20:$L$138,10,0)</f>
        <v>7500</v>
      </c>
      <c r="T1003" s="1952">
        <f>S1003*G1003</f>
        <v>7546800</v>
      </c>
      <c r="U1003" s="1955"/>
      <c r="X1003" s="1848">
        <f>P1004</f>
        <v>15000</v>
      </c>
      <c r="Y1003" s="1848">
        <f>S1004</f>
        <v>7500</v>
      </c>
      <c r="Z1003" s="1956">
        <v>1006.24</v>
      </c>
      <c r="AA1003" s="1956">
        <f>Z1003-G1003</f>
        <v>0</v>
      </c>
      <c r="AB1003" s="1836" t="s">
        <v>585</v>
      </c>
      <c r="AI1003" s="1910">
        <v>15000</v>
      </c>
      <c r="AJ1003" s="1960">
        <f>AI1003-N1003</f>
        <v>0</v>
      </c>
    </row>
    <row r="1004" spans="1:36" s="1957" customFormat="1" ht="21.95" customHeight="1" x14ac:dyDescent="0.2">
      <c r="A1004" s="1942"/>
      <c r="B1004" s="1970"/>
      <c r="C1004" s="1971"/>
      <c r="D1004" s="1972"/>
      <c r="E1004" s="1973"/>
      <c r="F1004" s="1974"/>
      <c r="G1004" s="1975">
        <f>B994</f>
        <v>0</v>
      </c>
      <c r="H1004" s="1976"/>
      <c r="I1004" s="1977"/>
      <c r="J1004" s="1977"/>
      <c r="K1004" s="1978">
        <f>satpek!I109</f>
        <v>0.5</v>
      </c>
      <c r="L1004" s="1979"/>
      <c r="M1004" s="1980"/>
      <c r="N1004" s="1981">
        <f>N1003</f>
        <v>15000</v>
      </c>
      <c r="O1004" s="1982"/>
      <c r="P1004" s="1983">
        <f>N1004</f>
        <v>15000</v>
      </c>
      <c r="Q1004" s="1984"/>
      <c r="R1004" s="1985"/>
      <c r="S1004" s="1983">
        <f>K1004*N1004</f>
        <v>7500</v>
      </c>
      <c r="T1004" s="1983">
        <f>N1004-S1004</f>
        <v>7500</v>
      </c>
      <c r="U1004" s="1986"/>
      <c r="V1004" s="1848"/>
      <c r="W1004" s="1848"/>
      <c r="X1004" s="1848"/>
      <c r="Y1004" s="1848"/>
      <c r="Z1004" s="1956"/>
      <c r="AA1004" s="1956"/>
      <c r="AF1004" s="1958"/>
      <c r="AG1004" s="1958"/>
      <c r="AH1004" s="1958"/>
      <c r="AI1004" s="1959"/>
      <c r="AJ1004" s="1960"/>
    </row>
    <row r="1005" spans="1:36" ht="21.95" customHeight="1" x14ac:dyDescent="0.2">
      <c r="A1005" s="1833">
        <f>satpek!$B$37</f>
        <v>18</v>
      </c>
      <c r="B1005" s="2105">
        <f>B1003+1</f>
        <v>5</v>
      </c>
      <c r="C1005" s="1937"/>
      <c r="D1005" s="1944" t="str">
        <f>VLOOKUP($A1005,satpek!$B$20:$N$144,2,0)</f>
        <v>Memasang acian</v>
      </c>
      <c r="E1005" s="1944"/>
      <c r="F1005" s="2004"/>
      <c r="G1005" s="1945">
        <f>'[3]B.VOL RAB'!Q334</f>
        <v>754.95699999999999</v>
      </c>
      <c r="H1005" s="1946" t="str">
        <f>VLOOKUP($A1005,satpek!$B$20:$N$144,7,0)</f>
        <v>m2</v>
      </c>
      <c r="I1005" s="1947"/>
      <c r="J1005" s="1947"/>
      <c r="K1005" s="1948"/>
      <c r="L1005" s="1949"/>
      <c r="M1005" s="1950" t="str">
        <f>VLOOKUP($A1005,satpek!$B$20:$N$144,5,0)</f>
        <v>A.4.4.2.27.</v>
      </c>
      <c r="N1005" s="1951">
        <f>VLOOKUP($A1005,satpek!$B$20:$N$144,6,0)</f>
        <v>36634.6</v>
      </c>
      <c r="O1005" s="1938"/>
      <c r="P1005" s="1952">
        <f t="shared" si="608"/>
        <v>27657547.710000001</v>
      </c>
      <c r="Q1005" s="1953">
        <f>VLOOKUP($A1005,satpek!$B$20:$L$138,8,0)</f>
        <v>0.98212399753238744</v>
      </c>
      <c r="R1005" s="1954">
        <f>VLOOKUP($A1005,satpek!$B$20:$L$138,9,0)</f>
        <v>31840.46</v>
      </c>
      <c r="S1005" s="1954">
        <f>VLOOKUP($A1005,satpek!$B$20:$L$138,10,0)</f>
        <v>35979.719799999999</v>
      </c>
      <c r="T1005" s="1952">
        <f>S1005*G1005</f>
        <v>27163141.321048599</v>
      </c>
      <c r="U1005" s="1955"/>
      <c r="X1005" s="1848">
        <f>P1013</f>
        <v>32420</v>
      </c>
      <c r="Y1005" s="1848">
        <f>S1013</f>
        <v>31840.46</v>
      </c>
      <c r="Z1005" s="1956">
        <v>754.95699999999999</v>
      </c>
      <c r="AA1005" s="1956">
        <f>Z1005-G1005</f>
        <v>0</v>
      </c>
      <c r="AB1005" s="1836" t="s">
        <v>470</v>
      </c>
      <c r="AI1005" s="1910">
        <v>35628.9</v>
      </c>
      <c r="AJ1005" s="1960">
        <f>AI1005-N1005</f>
        <v>-1005.6999999999971</v>
      </c>
    </row>
    <row r="1006" spans="1:36" ht="21.95" customHeight="1" x14ac:dyDescent="0.2">
      <c r="B1006" s="2107"/>
      <c r="C1006" s="2046" t="str">
        <f>SNI!$D$331</f>
        <v>Bahan</v>
      </c>
      <c r="D1006" s="2047"/>
      <c r="E1006" s="2047"/>
      <c r="F1006" s="2048"/>
      <c r="G1006" s="2049"/>
      <c r="H1006" s="2050"/>
      <c r="I1006" s="2051"/>
      <c r="J1006" s="2051"/>
      <c r="K1006" s="2052"/>
      <c r="L1006" s="2053"/>
      <c r="M1006" s="2054"/>
      <c r="N1006" s="2055"/>
      <c r="O1006" s="2056"/>
      <c r="P1006" s="2057"/>
      <c r="Q1006" s="2058"/>
      <c r="R1006" s="2059"/>
      <c r="S1006" s="2059"/>
      <c r="T1006" s="2055"/>
      <c r="U1006" s="2060"/>
      <c r="Z1006" s="1956"/>
      <c r="AA1006" s="1956"/>
      <c r="AF1006" s="1836"/>
      <c r="AG1006" s="1836"/>
      <c r="AH1006" s="1836"/>
      <c r="AI1006" s="1837"/>
      <c r="AJ1006" s="1960"/>
    </row>
    <row r="1007" spans="1:36" ht="21.95" customHeight="1" x14ac:dyDescent="0.2">
      <c r="B1007" s="2107"/>
      <c r="C1007" s="2046"/>
      <c r="D1007" s="2047" t="str">
        <f>SNI!$E$331</f>
        <v>PC</v>
      </c>
      <c r="E1007" s="2047"/>
      <c r="F1007" s="2048"/>
      <c r="G1007" s="2049">
        <f>SNI!$H$331</f>
        <v>3.25</v>
      </c>
      <c r="H1007" s="2050" t="str">
        <f>SNI!$G$331</f>
        <v>kg</v>
      </c>
      <c r="I1007" s="2051"/>
      <c r="J1007" s="2051"/>
      <c r="K1007" s="2052">
        <f>SNI!$L$331</f>
        <v>0.85140000000000005</v>
      </c>
      <c r="L1007" s="2053"/>
      <c r="M1007" s="2054"/>
      <c r="N1007" s="2055">
        <f>SNI!$I$331</f>
        <v>1200</v>
      </c>
      <c r="O1007" s="2056"/>
      <c r="P1007" s="1969">
        <f t="shared" ref="P1007" si="633">N1007*G1007</f>
        <v>3900</v>
      </c>
      <c r="Q1007" s="1953"/>
      <c r="R1007" s="1954"/>
      <c r="S1007" s="1954">
        <f t="shared" ref="S1007" si="634">P1007*K1007</f>
        <v>3320.46</v>
      </c>
      <c r="T1007" s="1969">
        <f t="shared" ref="T1007" si="635">P1007-S1007</f>
        <v>579.54</v>
      </c>
      <c r="U1007" s="2060"/>
      <c r="Z1007" s="1956"/>
      <c r="AA1007" s="1956"/>
      <c r="AF1007" s="1836"/>
      <c r="AG1007" s="1836"/>
      <c r="AH1007" s="1836"/>
      <c r="AI1007" s="1837"/>
      <c r="AJ1007" s="1960"/>
    </row>
    <row r="1008" spans="1:36" ht="21.95" customHeight="1" x14ac:dyDescent="0.2">
      <c r="B1008" s="2107"/>
      <c r="C1008" s="2046" t="str">
        <f>SNI!$D$333</f>
        <v>Tenaga Kerja</v>
      </c>
      <c r="D1008" s="2047"/>
      <c r="E1008" s="2047"/>
      <c r="F1008" s="2048"/>
      <c r="G1008" s="2049"/>
      <c r="H1008" s="2050"/>
      <c r="I1008" s="2051"/>
      <c r="J1008" s="2051"/>
      <c r="K1008" s="2052"/>
      <c r="L1008" s="2053"/>
      <c r="M1008" s="2054"/>
      <c r="N1008" s="2055"/>
      <c r="O1008" s="2056"/>
      <c r="P1008" s="1969"/>
      <c r="Q1008" s="1953"/>
      <c r="R1008" s="1954"/>
      <c r="S1008" s="1954"/>
      <c r="T1008" s="1969"/>
      <c r="U1008" s="2060"/>
      <c r="Z1008" s="1956"/>
      <c r="AA1008" s="1956"/>
      <c r="AF1008" s="1836"/>
      <c r="AG1008" s="1836"/>
      <c r="AH1008" s="1836"/>
      <c r="AI1008" s="1837"/>
      <c r="AJ1008" s="1960"/>
    </row>
    <row r="1009" spans="1:36" ht="21.95" customHeight="1" x14ac:dyDescent="0.2">
      <c r="B1009" s="2107"/>
      <c r="C1009" s="2046"/>
      <c r="D1009" s="2047" t="str">
        <f>SNI!$E$333</f>
        <v xml:space="preserve">Pekerja </v>
      </c>
      <c r="E1009" s="2047"/>
      <c r="F1009" s="2048"/>
      <c r="G1009" s="2049">
        <f>SNI!$H$333</f>
        <v>0.2</v>
      </c>
      <c r="H1009" s="2050" t="str">
        <f>SNI!$G$333</f>
        <v>OH</v>
      </c>
      <c r="I1009" s="2051" t="str">
        <f>SNI!$M$333</f>
        <v>WNI</v>
      </c>
      <c r="J1009" s="2051"/>
      <c r="K1009" s="2052">
        <f>SNI!$L$333</f>
        <v>1</v>
      </c>
      <c r="L1009" s="2053"/>
      <c r="M1009" s="2054"/>
      <c r="N1009" s="2055">
        <f>SNI!$I$333</f>
        <v>88300</v>
      </c>
      <c r="O1009" s="2056"/>
      <c r="P1009" s="1969">
        <f t="shared" ref="P1009:P1012" si="636">N1009*G1009</f>
        <v>17660</v>
      </c>
      <c r="Q1009" s="1953"/>
      <c r="R1009" s="1954"/>
      <c r="S1009" s="1954">
        <f t="shared" ref="S1009:S1012" si="637">P1009*K1009</f>
        <v>17660</v>
      </c>
      <c r="T1009" s="1969">
        <f t="shared" ref="T1009:T1012" si="638">P1009-S1009</f>
        <v>0</v>
      </c>
      <c r="U1009" s="2060"/>
      <c r="Z1009" s="1956"/>
      <c r="AA1009" s="1956"/>
      <c r="AF1009" s="1836"/>
      <c r="AG1009" s="1836"/>
      <c r="AH1009" s="1836"/>
      <c r="AI1009" s="1837"/>
      <c r="AJ1009" s="1960"/>
    </row>
    <row r="1010" spans="1:36" ht="21.95" customHeight="1" x14ac:dyDescent="0.2">
      <c r="B1010" s="2107"/>
      <c r="C1010" s="2046"/>
      <c r="D1010" s="2047" t="str">
        <f>SNI!$E$334</f>
        <v>Tukang Batu</v>
      </c>
      <c r="E1010" s="2047"/>
      <c r="F1010" s="2048"/>
      <c r="G1010" s="2049">
        <f>SNI!$H$334</f>
        <v>0.1</v>
      </c>
      <c r="H1010" s="2050" t="str">
        <f>SNI!$G$334</f>
        <v>OH</v>
      </c>
      <c r="I1010" s="2051" t="str">
        <f>SNI!$M$334</f>
        <v>WNI</v>
      </c>
      <c r="J1010" s="2051"/>
      <c r="K1010" s="2052">
        <f>SNI!$L$334</f>
        <v>1</v>
      </c>
      <c r="L1010" s="2053"/>
      <c r="M1010" s="2054"/>
      <c r="N1010" s="2055">
        <f>SNI!$I$334</f>
        <v>90000</v>
      </c>
      <c r="O1010" s="2056"/>
      <c r="P1010" s="1969">
        <f t="shared" si="636"/>
        <v>9000</v>
      </c>
      <c r="Q1010" s="1953"/>
      <c r="R1010" s="1954"/>
      <c r="S1010" s="1954">
        <f t="shared" si="637"/>
        <v>9000</v>
      </c>
      <c r="T1010" s="1969">
        <f t="shared" si="638"/>
        <v>0</v>
      </c>
      <c r="U1010" s="2060"/>
      <c r="Z1010" s="1956"/>
      <c r="AA1010" s="1956"/>
      <c r="AF1010" s="1836"/>
      <c r="AG1010" s="1836"/>
      <c r="AH1010" s="1836"/>
      <c r="AI1010" s="1837"/>
      <c r="AJ1010" s="1960"/>
    </row>
    <row r="1011" spans="1:36" ht="21.95" customHeight="1" x14ac:dyDescent="0.2">
      <c r="B1011" s="2107"/>
      <c r="C1011" s="2046"/>
      <c r="D1011" s="2047" t="str">
        <f>SNI!$E$335</f>
        <v>Kepala Tukang</v>
      </c>
      <c r="E1011" s="2047"/>
      <c r="F1011" s="2048"/>
      <c r="G1011" s="2049">
        <f>SNI!$H$335</f>
        <v>0.01</v>
      </c>
      <c r="H1011" s="2050" t="str">
        <f>SNI!$G$335</f>
        <v>OH</v>
      </c>
      <c r="I1011" s="2051" t="str">
        <f>SNI!$M$335</f>
        <v>WNI</v>
      </c>
      <c r="J1011" s="2051"/>
      <c r="K1011" s="2052">
        <f>SNI!$L$335</f>
        <v>1</v>
      </c>
      <c r="L1011" s="2053"/>
      <c r="M1011" s="2054"/>
      <c r="N1011" s="2055">
        <f>SNI!$I$335</f>
        <v>96000</v>
      </c>
      <c r="O1011" s="2056"/>
      <c r="P1011" s="1969">
        <f t="shared" si="636"/>
        <v>960</v>
      </c>
      <c r="Q1011" s="1953"/>
      <c r="R1011" s="1954"/>
      <c r="S1011" s="1954">
        <f t="shared" si="637"/>
        <v>960</v>
      </c>
      <c r="T1011" s="1969">
        <f t="shared" si="638"/>
        <v>0</v>
      </c>
      <c r="U1011" s="2060"/>
      <c r="Z1011" s="1956"/>
      <c r="AA1011" s="1956"/>
      <c r="AF1011" s="1836"/>
      <c r="AG1011" s="1836"/>
      <c r="AH1011" s="1836"/>
      <c r="AI1011" s="1837"/>
      <c r="AJ1011" s="1960"/>
    </row>
    <row r="1012" spans="1:36" ht="21.95" customHeight="1" x14ac:dyDescent="0.2">
      <c r="B1012" s="2107"/>
      <c r="C1012" s="2046"/>
      <c r="D1012" s="2047" t="str">
        <f>SNI!$E$336</f>
        <v>Mandor</v>
      </c>
      <c r="E1012" s="2047"/>
      <c r="F1012" s="2048"/>
      <c r="G1012" s="2049">
        <f>SNI!$H$336</f>
        <v>0.01</v>
      </c>
      <c r="H1012" s="2050" t="str">
        <f>SNI!$G$336</f>
        <v>OH</v>
      </c>
      <c r="I1012" s="2051" t="str">
        <f>SNI!$M$336</f>
        <v>WNI</v>
      </c>
      <c r="J1012" s="2051"/>
      <c r="K1012" s="2052">
        <f>SNI!$L$336</f>
        <v>1</v>
      </c>
      <c r="L1012" s="2053"/>
      <c r="M1012" s="2054"/>
      <c r="N1012" s="2055">
        <f>SNI!$I$336</f>
        <v>90000</v>
      </c>
      <c r="O1012" s="2056"/>
      <c r="P1012" s="1969">
        <f t="shared" si="636"/>
        <v>900</v>
      </c>
      <c r="Q1012" s="1953"/>
      <c r="R1012" s="1954"/>
      <c r="S1012" s="1954">
        <f t="shared" si="637"/>
        <v>900</v>
      </c>
      <c r="T1012" s="1969">
        <f t="shared" si="638"/>
        <v>0</v>
      </c>
      <c r="U1012" s="2060"/>
      <c r="Z1012" s="1956"/>
      <c r="AA1012" s="1956"/>
      <c r="AF1012" s="1836"/>
      <c r="AG1012" s="1836"/>
      <c r="AH1012" s="1836"/>
      <c r="AI1012" s="1837"/>
      <c r="AJ1012" s="1960"/>
    </row>
    <row r="1013" spans="1:36" s="1957" customFormat="1" ht="21.95" customHeight="1" x14ac:dyDescent="0.2">
      <c r="A1013" s="1942"/>
      <c r="B1013" s="1970"/>
      <c r="C1013" s="1971"/>
      <c r="D1013" s="1972"/>
      <c r="E1013" s="1973"/>
      <c r="F1013" s="1974" t="s">
        <v>556</v>
      </c>
      <c r="G1013" s="1975">
        <f>B1003</f>
        <v>4</v>
      </c>
      <c r="H1013" s="1976"/>
      <c r="I1013" s="1977"/>
      <c r="J1013" s="1977"/>
      <c r="K1013" s="1978"/>
      <c r="L1013" s="1979"/>
      <c r="M1013" s="1980"/>
      <c r="N1013" s="1981"/>
      <c r="O1013" s="1982"/>
      <c r="P1013" s="1983">
        <f>SUM(P1007:P1012)</f>
        <v>32420</v>
      </c>
      <c r="Q1013" s="1984"/>
      <c r="R1013" s="1985"/>
      <c r="S1013" s="1983">
        <f t="shared" ref="S1013" si="639">SUM(S1007:S1012)</f>
        <v>31840.46</v>
      </c>
      <c r="T1013" s="1983">
        <f t="shared" ref="T1013" si="640">SUM(T1007:T1012)</f>
        <v>579.54</v>
      </c>
      <c r="U1013" s="1986"/>
      <c r="V1013" s="1848"/>
      <c r="W1013" s="1848"/>
      <c r="X1013" s="1848"/>
      <c r="Y1013" s="1848"/>
      <c r="Z1013" s="1956"/>
      <c r="AA1013" s="1956"/>
      <c r="AF1013" s="1958"/>
      <c r="AG1013" s="1958"/>
      <c r="AH1013" s="1958"/>
      <c r="AI1013" s="1959"/>
      <c r="AJ1013" s="1960"/>
    </row>
    <row r="1014" spans="1:36" ht="21.95" customHeight="1" x14ac:dyDescent="0.2">
      <c r="B1014" s="2017"/>
      <c r="C1014" s="2018"/>
      <c r="D1014" s="2019"/>
      <c r="E1014" s="2019"/>
      <c r="F1014" s="2020"/>
      <c r="G1014" s="2021"/>
      <c r="H1014" s="2022"/>
      <c r="I1014" s="2023"/>
      <c r="J1014" s="2023"/>
      <c r="K1014" s="2024"/>
      <c r="L1014" s="2025"/>
      <c r="M1014" s="2025"/>
      <c r="N1014" s="2026"/>
      <c r="O1014" s="2027"/>
      <c r="P1014" s="2065" t="s">
        <v>1802</v>
      </c>
      <c r="Q1014" s="2029">
        <f>AVERAGE(Q925:Q1005)</f>
        <v>0.78312123239384235</v>
      </c>
      <c r="R1014" s="2023"/>
      <c r="S1014" s="2023"/>
      <c r="T1014" s="2068">
        <f>SUM(T925:T1005)</f>
        <v>370464850.39059603</v>
      </c>
      <c r="U1014" s="2031"/>
      <c r="V1014" s="1848">
        <f>[3]HPS!M151</f>
        <v>427086385.24000001</v>
      </c>
      <c r="W1014" s="1848" t="e">
        <f>#REF!-V1014</f>
        <v>#REF!</v>
      </c>
      <c r="Z1014" s="1956"/>
      <c r="AA1014" s="1956">
        <f t="shared" ref="AA1014:AA1279" si="641">Z1014-G1014</f>
        <v>0</v>
      </c>
      <c r="AJ1014" s="1960">
        <f t="shared" ref="AJ1014:AJ1279" si="642">AI1014-N1014</f>
        <v>0</v>
      </c>
    </row>
    <row r="1015" spans="1:36" ht="21.95" customHeight="1" x14ac:dyDescent="0.2">
      <c r="B1015" s="1927" t="s">
        <v>1803</v>
      </c>
      <c r="C1015" s="1928"/>
      <c r="D1015" s="1929" t="s">
        <v>1804</v>
      </c>
      <c r="E1015" s="1930"/>
      <c r="F1015" s="1931"/>
      <c r="G1015" s="1945"/>
      <c r="H1015" s="1933"/>
      <c r="I1015" s="1934"/>
      <c r="J1015" s="1934"/>
      <c r="K1015" s="1935"/>
      <c r="L1015" s="1936"/>
      <c r="M1015" s="1936"/>
      <c r="N1015" s="1951"/>
      <c r="O1015" s="2089"/>
      <c r="P1015" s="2090"/>
      <c r="Q1015" s="1934"/>
      <c r="R1015" s="1934"/>
      <c r="S1015" s="1934"/>
      <c r="T1015" s="1940"/>
      <c r="U1015" s="1941"/>
      <c r="Z1015" s="1956">
        <f>Rekap!Q48</f>
        <v>1175000</v>
      </c>
      <c r="AA1015" s="1956">
        <f t="shared" si="641"/>
        <v>1175000</v>
      </c>
      <c r="AB1015" s="1836" t="s">
        <v>1804</v>
      </c>
      <c r="AF1015" s="1836"/>
      <c r="AG1015" s="1836"/>
      <c r="AH1015" s="1836"/>
      <c r="AI1015" s="1837"/>
      <c r="AJ1015" s="1960">
        <f t="shared" si="642"/>
        <v>0</v>
      </c>
    </row>
    <row r="1016" spans="1:36" ht="21.95" customHeight="1" x14ac:dyDescent="0.2">
      <c r="B1016" s="1927"/>
      <c r="C1016" s="1928"/>
      <c r="D1016" s="1929" t="s">
        <v>1769</v>
      </c>
      <c r="E1016" s="1930"/>
      <c r="F1016" s="1931"/>
      <c r="G1016" s="1945"/>
      <c r="H1016" s="1933"/>
      <c r="I1016" s="1934"/>
      <c r="J1016" s="1934"/>
      <c r="K1016" s="1935"/>
      <c r="L1016" s="1936"/>
      <c r="M1016" s="1936"/>
      <c r="N1016" s="1951"/>
      <c r="O1016" s="2089"/>
      <c r="P1016" s="2090"/>
      <c r="Q1016" s="1934"/>
      <c r="R1016" s="1934"/>
      <c r="S1016" s="1934"/>
      <c r="T1016" s="1940"/>
      <c r="U1016" s="1941"/>
      <c r="Z1016" s="1956"/>
      <c r="AA1016" s="1956">
        <f t="shared" si="641"/>
        <v>0</v>
      </c>
      <c r="AB1016" s="1836" t="s">
        <v>1769</v>
      </c>
      <c r="AF1016" s="1836"/>
      <c r="AG1016" s="1836"/>
      <c r="AH1016" s="1836"/>
      <c r="AI1016" s="1837"/>
      <c r="AJ1016" s="1960">
        <f t="shared" si="642"/>
        <v>0</v>
      </c>
    </row>
    <row r="1017" spans="1:36" s="1957" customFormat="1" ht="21.95" customHeight="1" x14ac:dyDescent="0.2">
      <c r="A1017" s="1942">
        <f>satpek!$B$39</f>
        <v>20</v>
      </c>
      <c r="B1017" s="1943">
        <v>1</v>
      </c>
      <c r="C1017" s="1930"/>
      <c r="D1017" s="1944" t="s">
        <v>1805</v>
      </c>
      <c r="E1017" s="1930"/>
      <c r="F1017" s="1931"/>
      <c r="G1017" s="1945">
        <f>'[3]B.VOL RAB'!Q340</f>
        <v>67.116</v>
      </c>
      <c r="H1017" s="1946" t="str">
        <f>VLOOKUP($A1017,satpek!$B$20:$N$144,7,0)</f>
        <v>m3</v>
      </c>
      <c r="I1017" s="1947"/>
      <c r="J1017" s="1947"/>
      <c r="K1017" s="1948"/>
      <c r="L1017" s="1949"/>
      <c r="M1017" s="1950" t="str">
        <f>VLOOKUP($A1017,satpek!$B$20:$N$144,5,0)</f>
        <v>A.4.1.1.1.</v>
      </c>
      <c r="N1017" s="1951">
        <f>VLOOKUP($A1017,satpek!$B$20:$N$144,6,0)</f>
        <v>958085.99</v>
      </c>
      <c r="O1017" s="1938"/>
      <c r="P1017" s="1952">
        <f t="shared" ref="P1017:P1110" si="643">ROUND((G1017*N1017),2)</f>
        <v>64302899.299999997</v>
      </c>
      <c r="Q1017" s="1953">
        <f>VLOOKUP($A1017,satpek!$B$20:$L$138,8,0)</f>
        <v>0.94805174525042479</v>
      </c>
      <c r="R1017" s="1954">
        <f>VLOOKUP($A1017,satpek!$B$20:$L$138,9,0)</f>
        <v>803818.67</v>
      </c>
      <c r="S1017" s="1954">
        <f>VLOOKUP($A1017,satpek!$B$20:$L$138,10,0)</f>
        <v>908315.09710000001</v>
      </c>
      <c r="T1017" s="1952">
        <f t="shared" ref="T1017:T1110" si="644">S1017*G1017</f>
        <v>60962476.0569636</v>
      </c>
      <c r="U1017" s="1955"/>
      <c r="V1017" s="1848"/>
      <c r="W1017" s="1848"/>
      <c r="X1017" s="1848">
        <f>P1028</f>
        <v>847863.71428571432</v>
      </c>
      <c r="Y1017" s="1848">
        <f>S1028</f>
        <v>847863.71428571432</v>
      </c>
      <c r="Z1017" s="1956">
        <v>67.116</v>
      </c>
      <c r="AA1017" s="1956">
        <f t="shared" si="641"/>
        <v>0</v>
      </c>
      <c r="AB1017" s="1957" t="s">
        <v>1805</v>
      </c>
      <c r="AI1017" s="2109">
        <v>969189.7</v>
      </c>
      <c r="AJ1017" s="1960">
        <f t="shared" si="642"/>
        <v>11103.709999999963</v>
      </c>
    </row>
    <row r="1018" spans="1:36" s="1957" customFormat="1" ht="21.95" customHeight="1" x14ac:dyDescent="0.2">
      <c r="A1018" s="1942"/>
      <c r="B1018" s="2045"/>
      <c r="C1018" s="2110" t="str">
        <f>SNI!D368</f>
        <v>Bahan</v>
      </c>
      <c r="D1018" s="2047"/>
      <c r="E1018" s="2111"/>
      <c r="F1018" s="2112"/>
      <c r="G1018" s="2049"/>
      <c r="H1018" s="2050"/>
      <c r="I1018" s="2051"/>
      <c r="J1018" s="2051"/>
      <c r="K1018" s="2052"/>
      <c r="L1018" s="2053"/>
      <c r="M1018" s="2054"/>
      <c r="N1018" s="2055"/>
      <c r="O1018" s="2056"/>
      <c r="P1018" s="2057"/>
      <c r="Q1018" s="2058"/>
      <c r="R1018" s="2059"/>
      <c r="S1018" s="2059"/>
      <c r="T1018" s="2057"/>
      <c r="U1018" s="2060"/>
      <c r="V1018" s="1848"/>
      <c r="W1018" s="1848"/>
      <c r="X1018" s="1848"/>
      <c r="Y1018" s="1848"/>
      <c r="Z1018" s="1956"/>
      <c r="AA1018" s="1956"/>
      <c r="AI1018" s="2109"/>
      <c r="AJ1018" s="1960"/>
    </row>
    <row r="1019" spans="1:36" s="1957" customFormat="1" ht="21.95" customHeight="1" x14ac:dyDescent="0.2">
      <c r="A1019" s="1942"/>
      <c r="B1019" s="2045"/>
      <c r="C1019" s="2111"/>
      <c r="D1019" s="2047" t="str">
        <f>SNI!E368</f>
        <v>PC</v>
      </c>
      <c r="E1019" s="2111"/>
      <c r="F1019" s="2112"/>
      <c r="G1019" s="2049">
        <f>SNI!H368</f>
        <v>247</v>
      </c>
      <c r="H1019" s="2050" t="str">
        <f>SNI!G368</f>
        <v>kg</v>
      </c>
      <c r="I1019" s="2051"/>
      <c r="J1019" s="2051"/>
      <c r="K1019" s="2052">
        <f>SNI!L368</f>
        <v>0.85140000000000005</v>
      </c>
      <c r="L1019" s="2053"/>
      <c r="M1019" s="2054"/>
      <c r="N1019" s="2055">
        <f>SNI!I368</f>
        <v>1200</v>
      </c>
      <c r="O1019" s="2056"/>
      <c r="P1019" s="1969">
        <f t="shared" ref="P1019" si="645">N1019*G1019</f>
        <v>296400</v>
      </c>
      <c r="Q1019" s="1953"/>
      <c r="R1019" s="1954"/>
      <c r="S1019" s="1954">
        <f t="shared" ref="S1019" si="646">P1019*K1019</f>
        <v>252354.96000000002</v>
      </c>
      <c r="T1019" s="1969">
        <f t="shared" ref="T1019" si="647">P1019-S1019</f>
        <v>44045.039999999979</v>
      </c>
      <c r="U1019" s="2060"/>
      <c r="V1019" s="1848"/>
      <c r="W1019" s="1848"/>
      <c r="X1019" s="1848"/>
      <c r="Y1019" s="1848"/>
      <c r="Z1019" s="1956"/>
      <c r="AA1019" s="1956"/>
      <c r="AI1019" s="2109"/>
      <c r="AJ1019" s="1960"/>
    </row>
    <row r="1020" spans="1:36" s="1957" customFormat="1" ht="21.95" customHeight="1" x14ac:dyDescent="0.2">
      <c r="A1020" s="1942"/>
      <c r="B1020" s="2045"/>
      <c r="C1020" s="2111"/>
      <c r="D1020" s="2047" t="str">
        <f>SNI!E369</f>
        <v>Pasir Beton</v>
      </c>
      <c r="E1020" s="2111"/>
      <c r="F1020" s="2112"/>
      <c r="G1020" s="2049">
        <f>SNI!H369</f>
        <v>869</v>
      </c>
      <c r="H1020" s="2050" t="str">
        <f>SNI!G369</f>
        <v>kg</v>
      </c>
      <c r="I1020" s="2051"/>
      <c r="J1020" s="2051"/>
      <c r="K1020" s="2052">
        <f>SNI!L369</f>
        <v>1</v>
      </c>
      <c r="L1020" s="2053"/>
      <c r="M1020" s="2054"/>
      <c r="N1020" s="2055">
        <f>SNI!I369</f>
        <v>185.71428571428572</v>
      </c>
      <c r="O1020" s="2056"/>
      <c r="P1020" s="1969">
        <f t="shared" ref="P1020:P1027" si="648">N1020*G1020</f>
        <v>161385.71428571429</v>
      </c>
      <c r="Q1020" s="1953"/>
      <c r="R1020" s="1954"/>
      <c r="S1020" s="1954">
        <f t="shared" ref="S1020:S1027" si="649">P1020*K1020</f>
        <v>161385.71428571429</v>
      </c>
      <c r="T1020" s="1969">
        <f t="shared" ref="T1020:T1027" si="650">P1020-S1020</f>
        <v>0</v>
      </c>
      <c r="U1020" s="2060"/>
      <c r="V1020" s="1848"/>
      <c r="W1020" s="1848"/>
      <c r="X1020" s="1848"/>
      <c r="Y1020" s="1848"/>
      <c r="Z1020" s="1956"/>
      <c r="AA1020" s="1956"/>
      <c r="AI1020" s="2109"/>
      <c r="AJ1020" s="1960"/>
    </row>
    <row r="1021" spans="1:36" s="1957" customFormat="1" ht="21.95" customHeight="1" x14ac:dyDescent="0.2">
      <c r="A1021" s="1942"/>
      <c r="B1021" s="2045"/>
      <c r="C1021" s="2111"/>
      <c r="D1021" s="2047" t="str">
        <f>SNI!E370</f>
        <v>Kerikil ( maks 30 mm )</v>
      </c>
      <c r="E1021" s="2111"/>
      <c r="F1021" s="2112"/>
      <c r="G1021" s="2049">
        <f>SNI!H370</f>
        <v>999</v>
      </c>
      <c r="H1021" s="2050" t="str">
        <f>SNI!G370</f>
        <v>kg</v>
      </c>
      <c r="I1021" s="2051"/>
      <c r="J1021" s="2051"/>
      <c r="K1021" s="2052">
        <f>SNI!L370</f>
        <v>1</v>
      </c>
      <c r="L1021" s="2053"/>
      <c r="M1021" s="2054"/>
      <c r="N1021" s="2055">
        <f>SNI!I370</f>
        <v>200</v>
      </c>
      <c r="O1021" s="2056"/>
      <c r="P1021" s="1969">
        <f t="shared" si="648"/>
        <v>199800</v>
      </c>
      <c r="Q1021" s="1953"/>
      <c r="R1021" s="1954"/>
      <c r="S1021" s="1954">
        <f t="shared" si="649"/>
        <v>199800</v>
      </c>
      <c r="T1021" s="1969">
        <f t="shared" si="650"/>
        <v>0</v>
      </c>
      <c r="U1021" s="2060"/>
      <c r="V1021" s="1848"/>
      <c r="W1021" s="1848"/>
      <c r="X1021" s="1848"/>
      <c r="Y1021" s="1848"/>
      <c r="Z1021" s="1956"/>
      <c r="AA1021" s="1956"/>
      <c r="AI1021" s="2109"/>
      <c r="AJ1021" s="1960"/>
    </row>
    <row r="1022" spans="1:36" s="1957" customFormat="1" ht="21.95" customHeight="1" x14ac:dyDescent="0.2">
      <c r="A1022" s="1942"/>
      <c r="B1022" s="2045"/>
      <c r="C1022" s="2111"/>
      <c r="D1022" s="2047" t="str">
        <f>SNI!E371</f>
        <v>Air</v>
      </c>
      <c r="E1022" s="2111"/>
      <c r="F1022" s="2112"/>
      <c r="G1022" s="2049">
        <f>SNI!H371</f>
        <v>215</v>
      </c>
      <c r="H1022" s="2050" t="str">
        <f>SNI!G371</f>
        <v>ltr</v>
      </c>
      <c r="I1022" s="2051"/>
      <c r="J1022" s="2051"/>
      <c r="K1022" s="2052">
        <f>SNI!L371</f>
        <v>1</v>
      </c>
      <c r="L1022" s="2053"/>
      <c r="M1022" s="2054"/>
      <c r="N1022" s="2055">
        <f>SNI!I371</f>
        <v>45</v>
      </c>
      <c r="O1022" s="2056"/>
      <c r="P1022" s="1969">
        <f t="shared" si="648"/>
        <v>9675</v>
      </c>
      <c r="Q1022" s="1953"/>
      <c r="R1022" s="1954"/>
      <c r="S1022" s="1954">
        <f t="shared" si="649"/>
        <v>9675</v>
      </c>
      <c r="T1022" s="1969">
        <f t="shared" si="650"/>
        <v>0</v>
      </c>
      <c r="U1022" s="2060"/>
      <c r="V1022" s="1848"/>
      <c r="W1022" s="1848"/>
      <c r="X1022" s="1848"/>
      <c r="Y1022" s="1848"/>
      <c r="Z1022" s="1956"/>
      <c r="AA1022" s="1956"/>
      <c r="AI1022" s="2109"/>
      <c r="AJ1022" s="1960"/>
    </row>
    <row r="1023" spans="1:36" s="1957" customFormat="1" ht="21.95" customHeight="1" x14ac:dyDescent="0.2">
      <c r="A1023" s="1942"/>
      <c r="B1023" s="2045"/>
      <c r="C1023" s="2110" t="str">
        <f>SNI!D373</f>
        <v>Tenaga Kerja</v>
      </c>
      <c r="D1023" s="2047"/>
      <c r="E1023" s="2111"/>
      <c r="F1023" s="2112"/>
      <c r="G1023" s="2049"/>
      <c r="H1023" s="2050"/>
      <c r="I1023" s="2051"/>
      <c r="J1023" s="2051"/>
      <c r="K1023" s="2052"/>
      <c r="L1023" s="2053"/>
      <c r="M1023" s="2054"/>
      <c r="N1023" s="2055"/>
      <c r="O1023" s="2056"/>
      <c r="P1023" s="1969"/>
      <c r="Q1023" s="1953"/>
      <c r="R1023" s="1954"/>
      <c r="S1023" s="1954"/>
      <c r="T1023" s="1969"/>
      <c r="U1023" s="2060"/>
      <c r="V1023" s="1848"/>
      <c r="W1023" s="1848"/>
      <c r="X1023" s="1848"/>
      <c r="Y1023" s="1848"/>
      <c r="Z1023" s="1956"/>
      <c r="AA1023" s="1956"/>
      <c r="AI1023" s="2109"/>
      <c r="AJ1023" s="1960"/>
    </row>
    <row r="1024" spans="1:36" s="1957" customFormat="1" ht="21.95" customHeight="1" x14ac:dyDescent="0.2">
      <c r="A1024" s="1942"/>
      <c r="B1024" s="2045"/>
      <c r="C1024" s="2111"/>
      <c r="D1024" s="2047" t="str">
        <f>SNI!E373</f>
        <v xml:space="preserve">Pekerja </v>
      </c>
      <c r="E1024" s="2111"/>
      <c r="F1024" s="2112"/>
      <c r="G1024" s="2049">
        <f>SNI!H373</f>
        <v>1.65</v>
      </c>
      <c r="H1024" s="2050" t="str">
        <f>SNI!G373</f>
        <v>OH</v>
      </c>
      <c r="I1024" s="2051" t="str">
        <f>SNI!M373</f>
        <v>WNI</v>
      </c>
      <c r="J1024" s="2051"/>
      <c r="K1024" s="2052">
        <f>SNI!L373</f>
        <v>1</v>
      </c>
      <c r="L1024" s="2053"/>
      <c r="M1024" s="2054"/>
      <c r="N1024" s="2055">
        <f>SNI!I373</f>
        <v>88300</v>
      </c>
      <c r="O1024" s="2056"/>
      <c r="P1024" s="1969">
        <f t="shared" si="648"/>
        <v>145695</v>
      </c>
      <c r="Q1024" s="1953"/>
      <c r="R1024" s="1954"/>
      <c r="S1024" s="1954">
        <f t="shared" si="649"/>
        <v>145695</v>
      </c>
      <c r="T1024" s="1969">
        <f t="shared" si="650"/>
        <v>0</v>
      </c>
      <c r="U1024" s="2060"/>
      <c r="V1024" s="1848"/>
      <c r="W1024" s="1848"/>
      <c r="X1024" s="1848"/>
      <c r="Y1024" s="1848"/>
      <c r="Z1024" s="1956"/>
      <c r="AA1024" s="1956"/>
      <c r="AI1024" s="2109"/>
      <c r="AJ1024" s="1960"/>
    </row>
    <row r="1025" spans="1:36" s="1957" customFormat="1" ht="21.95" customHeight="1" x14ac:dyDescent="0.2">
      <c r="A1025" s="1942"/>
      <c r="B1025" s="2045"/>
      <c r="C1025" s="2111"/>
      <c r="D1025" s="2047" t="str">
        <f>SNI!E374</f>
        <v>Tukang Batu</v>
      </c>
      <c r="E1025" s="2111"/>
      <c r="F1025" s="2112"/>
      <c r="G1025" s="2049">
        <f>SNI!H374</f>
        <v>0.27500000000000002</v>
      </c>
      <c r="H1025" s="2050" t="str">
        <f>SNI!G374</f>
        <v>OH</v>
      </c>
      <c r="I1025" s="2051" t="str">
        <f>SNI!M374</f>
        <v>WNI</v>
      </c>
      <c r="J1025" s="2051"/>
      <c r="K1025" s="2052">
        <f>SNI!L374</f>
        <v>1</v>
      </c>
      <c r="L1025" s="2053"/>
      <c r="M1025" s="2054"/>
      <c r="N1025" s="2055">
        <f>SNI!I374</f>
        <v>90000</v>
      </c>
      <c r="O1025" s="2056"/>
      <c r="P1025" s="1969">
        <f t="shared" si="648"/>
        <v>24750.000000000004</v>
      </c>
      <c r="Q1025" s="1953"/>
      <c r="R1025" s="1954"/>
      <c r="S1025" s="1954">
        <f t="shared" si="649"/>
        <v>24750.000000000004</v>
      </c>
      <c r="T1025" s="1969">
        <f t="shared" si="650"/>
        <v>0</v>
      </c>
      <c r="U1025" s="2060"/>
      <c r="V1025" s="1848"/>
      <c r="W1025" s="1848"/>
      <c r="X1025" s="1848"/>
      <c r="Y1025" s="1848"/>
      <c r="Z1025" s="1956"/>
      <c r="AA1025" s="1956"/>
      <c r="AI1025" s="2109"/>
      <c r="AJ1025" s="1960"/>
    </row>
    <row r="1026" spans="1:36" s="1957" customFormat="1" ht="21.95" customHeight="1" x14ac:dyDescent="0.2">
      <c r="A1026" s="1942"/>
      <c r="B1026" s="2045"/>
      <c r="C1026" s="2111"/>
      <c r="D1026" s="2047" t="str">
        <f>SNI!E375</f>
        <v>Kepala Tukang</v>
      </c>
      <c r="E1026" s="2111"/>
      <c r="F1026" s="2112"/>
      <c r="G1026" s="2049">
        <f>SNI!H375</f>
        <v>2.8000000000000001E-2</v>
      </c>
      <c r="H1026" s="2050" t="str">
        <f>SNI!G375</f>
        <v>OH</v>
      </c>
      <c r="I1026" s="2051" t="str">
        <f>SNI!M375</f>
        <v>WNI</v>
      </c>
      <c r="J1026" s="2051"/>
      <c r="K1026" s="2052">
        <f>SNI!L375</f>
        <v>1</v>
      </c>
      <c r="L1026" s="2053"/>
      <c r="M1026" s="2054"/>
      <c r="N1026" s="2055">
        <f>SNI!I375</f>
        <v>96000</v>
      </c>
      <c r="O1026" s="2056"/>
      <c r="P1026" s="1969">
        <f t="shared" si="648"/>
        <v>2688</v>
      </c>
      <c r="Q1026" s="1953"/>
      <c r="R1026" s="1954"/>
      <c r="S1026" s="1954">
        <f t="shared" si="649"/>
        <v>2688</v>
      </c>
      <c r="T1026" s="1969">
        <f t="shared" si="650"/>
        <v>0</v>
      </c>
      <c r="U1026" s="2060"/>
      <c r="V1026" s="1848"/>
      <c r="W1026" s="1848"/>
      <c r="X1026" s="1848"/>
      <c r="Y1026" s="1848"/>
      <c r="Z1026" s="1956"/>
      <c r="AA1026" s="1956"/>
      <c r="AI1026" s="2109"/>
      <c r="AJ1026" s="1960"/>
    </row>
    <row r="1027" spans="1:36" s="1957" customFormat="1" ht="21.95" customHeight="1" x14ac:dyDescent="0.2">
      <c r="A1027" s="1942"/>
      <c r="B1027" s="2045"/>
      <c r="C1027" s="2111"/>
      <c r="D1027" s="2047" t="str">
        <f>SNI!E376</f>
        <v>Mandor</v>
      </c>
      <c r="E1027" s="2111"/>
      <c r="F1027" s="2112"/>
      <c r="G1027" s="2049">
        <f>SNI!H376</f>
        <v>8.3000000000000004E-2</v>
      </c>
      <c r="H1027" s="2050" t="str">
        <f>SNI!G376</f>
        <v>OH</v>
      </c>
      <c r="I1027" s="2051" t="str">
        <f>SNI!M376</f>
        <v>WNI</v>
      </c>
      <c r="J1027" s="2051"/>
      <c r="K1027" s="2052">
        <f>SNI!L376</f>
        <v>1</v>
      </c>
      <c r="L1027" s="2053"/>
      <c r="M1027" s="2054"/>
      <c r="N1027" s="2055">
        <f>SNI!I376</f>
        <v>90000</v>
      </c>
      <c r="O1027" s="2056"/>
      <c r="P1027" s="1969">
        <f t="shared" si="648"/>
        <v>7470</v>
      </c>
      <c r="Q1027" s="1953"/>
      <c r="R1027" s="1954"/>
      <c r="S1027" s="1954">
        <f t="shared" si="649"/>
        <v>7470</v>
      </c>
      <c r="T1027" s="1969">
        <f t="shared" si="650"/>
        <v>0</v>
      </c>
      <c r="U1027" s="2060"/>
      <c r="V1027" s="1848"/>
      <c r="W1027" s="1848"/>
      <c r="X1027" s="1848"/>
      <c r="Y1027" s="1848"/>
      <c r="Z1027" s="1956"/>
      <c r="AA1027" s="1956"/>
      <c r="AI1027" s="2109"/>
      <c r="AJ1027" s="1960"/>
    </row>
    <row r="1028" spans="1:36" s="1957" customFormat="1" ht="21.95" customHeight="1" x14ac:dyDescent="0.2">
      <c r="A1028" s="1942"/>
      <c r="B1028" s="1970"/>
      <c r="C1028" s="1971"/>
      <c r="D1028" s="1972"/>
      <c r="E1028" s="1973"/>
      <c r="F1028" s="1974" t="s">
        <v>556</v>
      </c>
      <c r="G1028" s="1975">
        <f>B1017</f>
        <v>1</v>
      </c>
      <c r="H1028" s="1976"/>
      <c r="I1028" s="1977"/>
      <c r="J1028" s="1977"/>
      <c r="K1028" s="1978"/>
      <c r="L1028" s="1979"/>
      <c r="M1028" s="1980"/>
      <c r="N1028" s="1981"/>
      <c r="O1028" s="1982"/>
      <c r="P1028" s="1983">
        <f>SUM(P1018:R1027)</f>
        <v>847863.71428571432</v>
      </c>
      <c r="Q1028" s="1984"/>
      <c r="R1028" s="1985"/>
      <c r="S1028" s="1983">
        <f t="shared" ref="S1028:T1028" si="651">SUM(S1018:U1027)</f>
        <v>847863.71428571432</v>
      </c>
      <c r="T1028" s="1983">
        <f t="shared" si="651"/>
        <v>44045.039999999979</v>
      </c>
      <c r="U1028" s="1986"/>
      <c r="V1028" s="1848"/>
      <c r="W1028" s="1848"/>
      <c r="X1028" s="1848"/>
      <c r="Y1028" s="1848"/>
      <c r="Z1028" s="1956"/>
      <c r="AA1028" s="1956"/>
      <c r="AF1028" s="1958"/>
      <c r="AG1028" s="1958"/>
      <c r="AH1028" s="1958"/>
      <c r="AI1028" s="1959"/>
      <c r="AJ1028" s="1960"/>
    </row>
    <row r="1029" spans="1:36" ht="21.95" customHeight="1" x14ac:dyDescent="0.2">
      <c r="A1029" s="1833">
        <f>satpek!$B$62</f>
        <v>43</v>
      </c>
      <c r="B1029" s="1943">
        <f>B1017+1</f>
        <v>2</v>
      </c>
      <c r="C1029" s="1937"/>
      <c r="D1029" s="1944" t="s">
        <v>1806</v>
      </c>
      <c r="E1029" s="1944"/>
      <c r="F1029" s="2004"/>
      <c r="G1029" s="1945">
        <f>'[3]B.VOL RAB'!Q341</f>
        <v>742.51</v>
      </c>
      <c r="H1029" s="1946" t="str">
        <f>VLOOKUP($A1029,satpek!$B$20:$N$144,7,0)</f>
        <v>m2</v>
      </c>
      <c r="I1029" s="1947"/>
      <c r="J1029" s="1947"/>
      <c r="K1029" s="1948"/>
      <c r="L1029" s="1949"/>
      <c r="M1029" s="1950" t="str">
        <f>VLOOKUP($A1029,satpek!$B$20:$N$144,5,0)</f>
        <v>An. Dihitung</v>
      </c>
      <c r="N1029" s="1951">
        <f>VLOOKUP($A1029,satpek!$B$20:$N$144,6,0)</f>
        <v>245041.63</v>
      </c>
      <c r="O1029" s="1938"/>
      <c r="P1029" s="1952">
        <f t="shared" si="643"/>
        <v>181945860.69</v>
      </c>
      <c r="Q1029" s="1953">
        <f>VLOOKUP($A1029,satpek!$B$20:$L$138,8,0)</f>
        <v>0.81409874983283448</v>
      </c>
      <c r="R1029" s="1954">
        <f>VLOOKUP($A1029,satpek!$B$20:$L$138,9,0)</f>
        <v>176538.128</v>
      </c>
      <c r="S1029" s="1954">
        <f>VLOOKUP($A1029,satpek!$B$20:$L$138,10,0)</f>
        <v>199488.08463999999</v>
      </c>
      <c r="T1029" s="1952">
        <f t="shared" si="644"/>
        <v>148121897.72604638</v>
      </c>
      <c r="U1029" s="1955"/>
      <c r="X1029" s="1848">
        <f>P1040</f>
        <v>216851</v>
      </c>
      <c r="Y1029" s="1848">
        <f>S1040</f>
        <v>216851</v>
      </c>
      <c r="Z1029" s="1956">
        <v>742.51</v>
      </c>
      <c r="AA1029" s="1956">
        <f t="shared" si="641"/>
        <v>0</v>
      </c>
      <c r="AB1029" s="1836" t="s">
        <v>1806</v>
      </c>
      <c r="AF1029" s="1836"/>
      <c r="AG1029" s="1836"/>
      <c r="AH1029" s="1836"/>
      <c r="AI1029" s="1837">
        <v>197097.99</v>
      </c>
      <c r="AJ1029" s="1960">
        <f t="shared" si="642"/>
        <v>-47943.640000000014</v>
      </c>
    </row>
    <row r="1030" spans="1:36" ht="21.95" customHeight="1" x14ac:dyDescent="0.2">
      <c r="B1030" s="2045"/>
      <c r="C1030" s="2046" t="str">
        <f>SNI!D866</f>
        <v>Bahan</v>
      </c>
      <c r="D1030" s="2047"/>
      <c r="E1030" s="2047"/>
      <c r="F1030" s="2048"/>
      <c r="G1030" s="2049"/>
      <c r="H1030" s="2050"/>
      <c r="I1030" s="2051"/>
      <c r="J1030" s="2051"/>
      <c r="K1030" s="2052"/>
      <c r="L1030" s="2053"/>
      <c r="M1030" s="2054"/>
      <c r="N1030" s="2055"/>
      <c r="O1030" s="2056"/>
      <c r="P1030" s="2057"/>
      <c r="Q1030" s="2058"/>
      <c r="R1030" s="2059"/>
      <c r="S1030" s="2059"/>
      <c r="T1030" s="2057"/>
      <c r="U1030" s="2060"/>
      <c r="Z1030" s="1956"/>
      <c r="AA1030" s="1956"/>
      <c r="AF1030" s="1836"/>
      <c r="AG1030" s="1836"/>
      <c r="AH1030" s="1836"/>
      <c r="AI1030" s="1837"/>
      <c r="AJ1030" s="1960"/>
    </row>
    <row r="1031" spans="1:36" ht="21.95" customHeight="1" x14ac:dyDescent="0.2">
      <c r="B1031" s="2045"/>
      <c r="C1031" s="2046"/>
      <c r="D1031" s="2047" t="str">
        <f>SNI!E866</f>
        <v>Granit warna muda</v>
      </c>
      <c r="E1031" s="2047"/>
      <c r="F1031" s="2048"/>
      <c r="G1031" s="2049">
        <f>SNI!H866</f>
        <v>3.1</v>
      </c>
      <c r="H1031" s="2050" t="str">
        <f>SNI!G866</f>
        <v>buah</v>
      </c>
      <c r="I1031" s="2051"/>
      <c r="J1031" s="2051"/>
      <c r="K1031" s="2052">
        <f>SNI!L866</f>
        <v>0.69620000000000004</v>
      </c>
      <c r="L1031" s="2053"/>
      <c r="M1031" s="2054"/>
      <c r="N1031" s="2055">
        <f>SNI!I866</f>
        <v>38709.677419354841</v>
      </c>
      <c r="O1031" s="2056"/>
      <c r="P1031" s="1969">
        <f t="shared" ref="P1031" si="652">N1031*G1031</f>
        <v>120000.00000000001</v>
      </c>
      <c r="Q1031" s="1953"/>
      <c r="R1031" s="1954"/>
      <c r="S1031" s="1954">
        <f t="shared" ref="S1031" si="653">P1031*K1031</f>
        <v>83544.000000000015</v>
      </c>
      <c r="T1031" s="1969">
        <f t="shared" ref="T1031" si="654">P1031-S1031</f>
        <v>36456</v>
      </c>
      <c r="U1031" s="2060"/>
      <c r="Z1031" s="1956"/>
      <c r="AA1031" s="1956"/>
      <c r="AF1031" s="1836"/>
      <c r="AG1031" s="1836"/>
      <c r="AH1031" s="1836"/>
      <c r="AI1031" s="1837"/>
      <c r="AJ1031" s="1960"/>
    </row>
    <row r="1032" spans="1:36" ht="21.95" customHeight="1" x14ac:dyDescent="0.2">
      <c r="B1032" s="2045"/>
      <c r="C1032" s="2046"/>
      <c r="D1032" s="2047" t="str">
        <f>SNI!E867</f>
        <v>PC</v>
      </c>
      <c r="E1032" s="2047"/>
      <c r="F1032" s="2048"/>
      <c r="G1032" s="2049">
        <f>SNI!H867</f>
        <v>9.6</v>
      </c>
      <c r="H1032" s="2050" t="str">
        <f>SNI!G867</f>
        <v>kg</v>
      </c>
      <c r="I1032" s="2051"/>
      <c r="J1032" s="2051"/>
      <c r="K1032" s="2052">
        <f>SNI!L867</f>
        <v>0.85140000000000005</v>
      </c>
      <c r="L1032" s="2053"/>
      <c r="M1032" s="2054"/>
      <c r="N1032" s="2055">
        <f>SNI!I867</f>
        <v>1200</v>
      </c>
      <c r="O1032" s="2056"/>
      <c r="P1032" s="1969">
        <f t="shared" ref="P1032:P1039" si="655">N1032*G1032</f>
        <v>11520</v>
      </c>
      <c r="Q1032" s="1953"/>
      <c r="R1032" s="1954"/>
      <c r="S1032" s="1954">
        <f t="shared" ref="S1032:S1039" si="656">P1032*K1032</f>
        <v>9808.1280000000006</v>
      </c>
      <c r="T1032" s="1969">
        <f t="shared" ref="T1032:T1039" si="657">P1032-S1032</f>
        <v>1711.8719999999994</v>
      </c>
      <c r="U1032" s="2060"/>
      <c r="Z1032" s="1956"/>
      <c r="AA1032" s="1956"/>
      <c r="AF1032" s="1836"/>
      <c r="AG1032" s="1836"/>
      <c r="AH1032" s="1836"/>
      <c r="AI1032" s="1837"/>
      <c r="AJ1032" s="1960"/>
    </row>
    <row r="1033" spans="1:36" ht="21.95" customHeight="1" x14ac:dyDescent="0.2">
      <c r="B1033" s="2045"/>
      <c r="C1033" s="2046"/>
      <c r="D1033" s="2047" t="str">
        <f>SNI!E868</f>
        <v>Pasir Pasang</v>
      </c>
      <c r="E1033" s="2047"/>
      <c r="F1033" s="2048"/>
      <c r="G1033" s="2049">
        <f>SNI!H868</f>
        <v>4.4999999999999998E-2</v>
      </c>
      <c r="H1033" s="2050" t="str">
        <f>SNI!G868</f>
        <v>m3</v>
      </c>
      <c r="I1033" s="2051"/>
      <c r="J1033" s="2051"/>
      <c r="K1033" s="2052">
        <f>SNI!L868</f>
        <v>1</v>
      </c>
      <c r="L1033" s="2053"/>
      <c r="M1033" s="2054"/>
      <c r="N1033" s="2055">
        <f>SNI!I868</f>
        <v>260000</v>
      </c>
      <c r="O1033" s="2056"/>
      <c r="P1033" s="1969">
        <f t="shared" si="655"/>
        <v>11700</v>
      </c>
      <c r="Q1033" s="1953"/>
      <c r="R1033" s="1954"/>
      <c r="S1033" s="1954">
        <f t="shared" si="656"/>
        <v>11700</v>
      </c>
      <c r="T1033" s="1969">
        <f t="shared" si="657"/>
        <v>0</v>
      </c>
      <c r="U1033" s="2060"/>
      <c r="Z1033" s="1956"/>
      <c r="AA1033" s="1956"/>
      <c r="AF1033" s="1836"/>
      <c r="AG1033" s="1836"/>
      <c r="AH1033" s="1836"/>
      <c r="AI1033" s="1837"/>
      <c r="AJ1033" s="1960"/>
    </row>
    <row r="1034" spans="1:36" ht="21.95" customHeight="1" x14ac:dyDescent="0.2">
      <c r="B1034" s="2045"/>
      <c r="C1034" s="2046"/>
      <c r="D1034" s="2047" t="str">
        <f>SNI!E869</f>
        <v>Semen Warna</v>
      </c>
      <c r="E1034" s="2047"/>
      <c r="F1034" s="2048"/>
      <c r="G1034" s="2049">
        <f>SNI!H869</f>
        <v>0.15</v>
      </c>
      <c r="H1034" s="2050" t="str">
        <f>SNI!G869</f>
        <v>kg</v>
      </c>
      <c r="I1034" s="2051"/>
      <c r="J1034" s="2051"/>
      <c r="K1034" s="2052">
        <f>SNI!L869</f>
        <v>0</v>
      </c>
      <c r="L1034" s="2053"/>
      <c r="M1034" s="2054"/>
      <c r="N1034" s="2055">
        <f>SNI!I869</f>
        <v>14300</v>
      </c>
      <c r="O1034" s="2056"/>
      <c r="P1034" s="1969">
        <f t="shared" si="655"/>
        <v>2145</v>
      </c>
      <c r="Q1034" s="1953"/>
      <c r="R1034" s="1954"/>
      <c r="S1034" s="1954">
        <f t="shared" si="656"/>
        <v>0</v>
      </c>
      <c r="T1034" s="1969">
        <f t="shared" si="657"/>
        <v>2145</v>
      </c>
      <c r="U1034" s="2060"/>
      <c r="Z1034" s="1956"/>
      <c r="AA1034" s="1956"/>
      <c r="AF1034" s="1836"/>
      <c r="AG1034" s="1836"/>
      <c r="AH1034" s="1836"/>
      <c r="AI1034" s="1837"/>
      <c r="AJ1034" s="1960"/>
    </row>
    <row r="1035" spans="1:36" ht="21.95" customHeight="1" x14ac:dyDescent="0.2">
      <c r="B1035" s="2045"/>
      <c r="C1035" s="2046" t="str">
        <f>SNI!D871</f>
        <v>Tenaga Kerja</v>
      </c>
      <c r="D1035" s="2047"/>
      <c r="E1035" s="2047"/>
      <c r="F1035" s="2048"/>
      <c r="G1035" s="2049"/>
      <c r="H1035" s="2050"/>
      <c r="I1035" s="2051"/>
      <c r="J1035" s="2051"/>
      <c r="K1035" s="2052"/>
      <c r="L1035" s="2053"/>
      <c r="M1035" s="2054"/>
      <c r="N1035" s="2055"/>
      <c r="O1035" s="2056"/>
      <c r="P1035" s="1969"/>
      <c r="Q1035" s="1953"/>
      <c r="R1035" s="1954"/>
      <c r="S1035" s="1954"/>
      <c r="T1035" s="1969"/>
      <c r="U1035" s="2060"/>
      <c r="Z1035" s="1956"/>
      <c r="AA1035" s="1956"/>
      <c r="AF1035" s="1836"/>
      <c r="AG1035" s="1836"/>
      <c r="AH1035" s="1836"/>
      <c r="AI1035" s="1837"/>
      <c r="AJ1035" s="1960"/>
    </row>
    <row r="1036" spans="1:36" ht="21.95" customHeight="1" x14ac:dyDescent="0.2">
      <c r="B1036" s="2045"/>
      <c r="C1036" s="2046"/>
      <c r="D1036" s="2047" t="str">
        <f>SNI!E871</f>
        <v xml:space="preserve">Pekerja </v>
      </c>
      <c r="E1036" s="2047"/>
      <c r="F1036" s="2048"/>
      <c r="G1036" s="2049">
        <f>SNI!H871</f>
        <v>0.5</v>
      </c>
      <c r="H1036" s="2050" t="str">
        <f>SNI!G871</f>
        <v>OH</v>
      </c>
      <c r="I1036" s="2051" t="str">
        <f>SNI!M871</f>
        <v>WNI</v>
      </c>
      <c r="J1036" s="2051"/>
      <c r="K1036" s="2052">
        <f>SNI!L871</f>
        <v>1</v>
      </c>
      <c r="L1036" s="2053"/>
      <c r="M1036" s="2054"/>
      <c r="N1036" s="2055">
        <f>SNI!I871</f>
        <v>88300</v>
      </c>
      <c r="O1036" s="2056"/>
      <c r="P1036" s="1969">
        <f t="shared" si="655"/>
        <v>44150</v>
      </c>
      <c r="Q1036" s="1953"/>
      <c r="R1036" s="1954"/>
      <c r="S1036" s="1954">
        <f t="shared" si="656"/>
        <v>44150</v>
      </c>
      <c r="T1036" s="1969">
        <f t="shared" si="657"/>
        <v>0</v>
      </c>
      <c r="U1036" s="2060"/>
      <c r="Z1036" s="1956"/>
      <c r="AA1036" s="1956"/>
      <c r="AF1036" s="1836"/>
      <c r="AG1036" s="1836"/>
      <c r="AH1036" s="1836"/>
      <c r="AI1036" s="1837"/>
      <c r="AJ1036" s="1960"/>
    </row>
    <row r="1037" spans="1:36" ht="21.95" customHeight="1" x14ac:dyDescent="0.2">
      <c r="B1037" s="2045"/>
      <c r="C1037" s="2046"/>
      <c r="D1037" s="2047" t="str">
        <f>SNI!E872</f>
        <v>Tukang Batu</v>
      </c>
      <c r="E1037" s="2047"/>
      <c r="F1037" s="2048"/>
      <c r="G1037" s="2049">
        <f>SNI!H872</f>
        <v>0.25</v>
      </c>
      <c r="H1037" s="2050" t="str">
        <f>SNI!G872</f>
        <v>OH</v>
      </c>
      <c r="I1037" s="2051" t="str">
        <f>SNI!M872</f>
        <v>WNI</v>
      </c>
      <c r="J1037" s="2051"/>
      <c r="K1037" s="2052">
        <f>SNI!L872</f>
        <v>1</v>
      </c>
      <c r="L1037" s="2053"/>
      <c r="M1037" s="2054"/>
      <c r="N1037" s="2055">
        <f>SNI!I872</f>
        <v>90000</v>
      </c>
      <c r="O1037" s="2056"/>
      <c r="P1037" s="1969">
        <f t="shared" si="655"/>
        <v>22500</v>
      </c>
      <c r="Q1037" s="1953"/>
      <c r="R1037" s="1954"/>
      <c r="S1037" s="1954">
        <f t="shared" si="656"/>
        <v>22500</v>
      </c>
      <c r="T1037" s="1969">
        <f t="shared" si="657"/>
        <v>0</v>
      </c>
      <c r="U1037" s="2060"/>
      <c r="Z1037" s="1956"/>
      <c r="AA1037" s="1956"/>
      <c r="AF1037" s="1836"/>
      <c r="AG1037" s="1836"/>
      <c r="AH1037" s="1836"/>
      <c r="AI1037" s="1837"/>
      <c r="AJ1037" s="1960"/>
    </row>
    <row r="1038" spans="1:36" ht="21.95" customHeight="1" x14ac:dyDescent="0.2">
      <c r="B1038" s="2045"/>
      <c r="C1038" s="2046"/>
      <c r="D1038" s="2047" t="str">
        <f>SNI!E873</f>
        <v>Kepala Tukang</v>
      </c>
      <c r="E1038" s="2047"/>
      <c r="F1038" s="2048"/>
      <c r="G1038" s="2049">
        <f>SNI!H873</f>
        <v>2.5999999999999999E-2</v>
      </c>
      <c r="H1038" s="2050" t="str">
        <f>SNI!G873</f>
        <v>OH</v>
      </c>
      <c r="I1038" s="2051" t="str">
        <f>SNI!M873</f>
        <v>WNI</v>
      </c>
      <c r="J1038" s="2051"/>
      <c r="K1038" s="2052">
        <f>SNI!L873</f>
        <v>1</v>
      </c>
      <c r="L1038" s="2053"/>
      <c r="M1038" s="2054"/>
      <c r="N1038" s="2055">
        <f>SNI!I873</f>
        <v>96000</v>
      </c>
      <c r="O1038" s="2056"/>
      <c r="P1038" s="1969">
        <f t="shared" si="655"/>
        <v>2496</v>
      </c>
      <c r="Q1038" s="1953"/>
      <c r="R1038" s="1954"/>
      <c r="S1038" s="1954">
        <f t="shared" si="656"/>
        <v>2496</v>
      </c>
      <c r="T1038" s="1969">
        <f t="shared" si="657"/>
        <v>0</v>
      </c>
      <c r="U1038" s="2060"/>
      <c r="Z1038" s="1956"/>
      <c r="AA1038" s="1956"/>
      <c r="AF1038" s="1836"/>
      <c r="AG1038" s="1836"/>
      <c r="AH1038" s="1836"/>
      <c r="AI1038" s="1837"/>
      <c r="AJ1038" s="1960"/>
    </row>
    <row r="1039" spans="1:36" ht="21.95" customHeight="1" x14ac:dyDescent="0.2">
      <c r="B1039" s="2045"/>
      <c r="C1039" s="2046"/>
      <c r="D1039" s="2047" t="str">
        <f>SNI!E874</f>
        <v>Mandor</v>
      </c>
      <c r="E1039" s="2047"/>
      <c r="F1039" s="2048"/>
      <c r="G1039" s="2049">
        <f>SNI!H874</f>
        <v>2.5999999999999999E-2</v>
      </c>
      <c r="H1039" s="2050" t="str">
        <f>SNI!G874</f>
        <v>OH</v>
      </c>
      <c r="I1039" s="2051" t="str">
        <f>SNI!M874</f>
        <v>WNI</v>
      </c>
      <c r="J1039" s="2051"/>
      <c r="K1039" s="2052">
        <f>SNI!L874</f>
        <v>1</v>
      </c>
      <c r="L1039" s="2053"/>
      <c r="M1039" s="2054"/>
      <c r="N1039" s="2055">
        <f>SNI!I874</f>
        <v>90000</v>
      </c>
      <c r="O1039" s="2056"/>
      <c r="P1039" s="1969">
        <f t="shared" si="655"/>
        <v>2340</v>
      </c>
      <c r="Q1039" s="1953"/>
      <c r="R1039" s="1954"/>
      <c r="S1039" s="1954">
        <f t="shared" si="656"/>
        <v>2340</v>
      </c>
      <c r="T1039" s="1969">
        <f t="shared" si="657"/>
        <v>0</v>
      </c>
      <c r="U1039" s="2060"/>
      <c r="Z1039" s="1956"/>
      <c r="AA1039" s="1956"/>
      <c r="AF1039" s="1836"/>
      <c r="AG1039" s="1836"/>
      <c r="AH1039" s="1836"/>
      <c r="AI1039" s="1837"/>
      <c r="AJ1039" s="1960"/>
    </row>
    <row r="1040" spans="1:36" s="1957" customFormat="1" ht="21.95" customHeight="1" x14ac:dyDescent="0.2">
      <c r="A1040" s="1942"/>
      <c r="B1040" s="1970"/>
      <c r="C1040" s="1971"/>
      <c r="D1040" s="1972"/>
      <c r="E1040" s="1973"/>
      <c r="F1040" s="1974" t="s">
        <v>556</v>
      </c>
      <c r="G1040" s="1975">
        <f>B1029</f>
        <v>2</v>
      </c>
      <c r="H1040" s="1976"/>
      <c r="I1040" s="1977"/>
      <c r="J1040" s="1977"/>
      <c r="K1040" s="1978"/>
      <c r="L1040" s="1979"/>
      <c r="M1040" s="1980"/>
      <c r="N1040" s="1981"/>
      <c r="O1040" s="1982"/>
      <c r="P1040" s="1983">
        <f>SUM(P1030:R1039)</f>
        <v>216851</v>
      </c>
      <c r="Q1040" s="1984"/>
      <c r="R1040" s="1985"/>
      <c r="S1040" s="1983">
        <f t="shared" ref="S1040" si="658">SUM(S1030:U1039)</f>
        <v>216851</v>
      </c>
      <c r="T1040" s="1983">
        <f t="shared" ref="T1040" si="659">SUM(T1030:V1039)</f>
        <v>40312.872000000003</v>
      </c>
      <c r="U1040" s="1986"/>
      <c r="V1040" s="1848"/>
      <c r="W1040" s="1848"/>
      <c r="X1040" s="1848"/>
      <c r="Y1040" s="1848"/>
      <c r="Z1040" s="1956"/>
      <c r="AA1040" s="1956"/>
      <c r="AF1040" s="1958"/>
      <c r="AG1040" s="1958"/>
      <c r="AH1040" s="1958"/>
      <c r="AI1040" s="1959"/>
      <c r="AJ1040" s="1960"/>
    </row>
    <row r="1041" spans="1:36" ht="21.95" customHeight="1" x14ac:dyDescent="0.2">
      <c r="A1041" s="1833">
        <f>satpek!$B$63</f>
        <v>44</v>
      </c>
      <c r="B1041" s="1943">
        <f>B1029+1</f>
        <v>3</v>
      </c>
      <c r="C1041" s="1937"/>
      <c r="D1041" s="1944" t="s">
        <v>1807</v>
      </c>
      <c r="E1041" s="1944"/>
      <c r="F1041" s="2004"/>
      <c r="G1041" s="1945">
        <f>'[3]B.VOL RAB'!Q348</f>
        <v>80.600000000000009</v>
      </c>
      <c r="H1041" s="1946" t="str">
        <f>VLOOKUP($A1041,satpek!$B$20:$N$144,7,0)</f>
        <v>m2</v>
      </c>
      <c r="I1041" s="1947"/>
      <c r="J1041" s="1947"/>
      <c r="K1041" s="1948"/>
      <c r="L1041" s="1949"/>
      <c r="M1041" s="1950" t="str">
        <f>VLOOKUP($A1041,satpek!$B$20:$N$144,5,0)</f>
        <v>An. Dihitung</v>
      </c>
      <c r="N1041" s="1951">
        <f>VLOOKUP($A1041,satpek!$B$20:$N$144,6,0)</f>
        <v>301541.63</v>
      </c>
      <c r="O1041" s="1938"/>
      <c r="P1041" s="1952">
        <f t="shared" si="643"/>
        <v>24304255.379999999</v>
      </c>
      <c r="Q1041" s="1953">
        <f>VLOOKUP($A1041,satpek!$B$20:$L$138,8,0)</f>
        <v>0.79200800446691222</v>
      </c>
      <c r="R1041" s="1954">
        <f>VLOOKUP($A1041,satpek!$B$20:$L$138,9,0)</f>
        <v>211348.128</v>
      </c>
      <c r="S1041" s="1954">
        <f>VLOOKUP($A1041,satpek!$B$20:$L$138,10,0)</f>
        <v>238823.38464</v>
      </c>
      <c r="T1041" s="1952">
        <f t="shared" si="644"/>
        <v>19249164.801984001</v>
      </c>
      <c r="U1041" s="1955"/>
      <c r="X1041" s="1848">
        <f>P1052</f>
        <v>266851</v>
      </c>
      <c r="Y1041" s="1848">
        <f>S1052</f>
        <v>266851</v>
      </c>
      <c r="Z1041" s="1956">
        <v>80.600000000000009</v>
      </c>
      <c r="AA1041" s="1956">
        <f t="shared" si="641"/>
        <v>0</v>
      </c>
      <c r="AB1041" s="1836" t="s">
        <v>1807</v>
      </c>
      <c r="AF1041" s="1836"/>
      <c r="AG1041" s="1836"/>
      <c r="AH1041" s="1836"/>
      <c r="AI1041" s="1837">
        <v>230387.79</v>
      </c>
      <c r="AJ1041" s="1960">
        <f t="shared" si="642"/>
        <v>-71153.84</v>
      </c>
    </row>
    <row r="1042" spans="1:36" ht="21.95" customHeight="1" x14ac:dyDescent="0.2">
      <c r="B1042" s="2045"/>
      <c r="C1042" s="2046" t="str">
        <f>SNI!D887</f>
        <v>Bahan</v>
      </c>
      <c r="D1042" s="2047"/>
      <c r="E1042" s="2047"/>
      <c r="F1042" s="2048"/>
      <c r="G1042" s="2049"/>
      <c r="H1042" s="2050"/>
      <c r="I1042" s="2051"/>
      <c r="J1042" s="2051"/>
      <c r="K1042" s="2052"/>
      <c r="L1042" s="2053"/>
      <c r="M1042" s="2054"/>
      <c r="N1042" s="2055"/>
      <c r="O1042" s="2056"/>
      <c r="P1042" s="2057"/>
      <c r="Q1042" s="2058"/>
      <c r="R1042" s="2059"/>
      <c r="S1042" s="2059"/>
      <c r="T1042" s="2057"/>
      <c r="U1042" s="2060"/>
      <c r="Z1042" s="1956"/>
      <c r="AA1042" s="1956"/>
      <c r="AF1042" s="1836"/>
      <c r="AG1042" s="1836"/>
      <c r="AH1042" s="1836"/>
      <c r="AI1042" s="1837"/>
      <c r="AJ1042" s="1960"/>
    </row>
    <row r="1043" spans="1:36" ht="21.95" customHeight="1" x14ac:dyDescent="0.2">
      <c r="B1043" s="2045"/>
      <c r="C1043" s="2046"/>
      <c r="D1043" s="2047" t="str">
        <f>SNI!E887</f>
        <v>Keramik exterioir texture</v>
      </c>
      <c r="E1043" s="2047"/>
      <c r="F1043" s="2048"/>
      <c r="G1043" s="2049">
        <f>SNI!H887</f>
        <v>3.1</v>
      </c>
      <c r="H1043" s="2050" t="str">
        <f>SNI!G887</f>
        <v>buah</v>
      </c>
      <c r="I1043" s="2051"/>
      <c r="J1043" s="2051"/>
      <c r="K1043" s="2052">
        <f>SNI!L887</f>
        <v>0.69620000000000004</v>
      </c>
      <c r="L1043" s="2053"/>
      <c r="M1043" s="2054"/>
      <c r="N1043" s="2055">
        <f>SNI!I887</f>
        <v>54838.709677419356</v>
      </c>
      <c r="O1043" s="2056"/>
      <c r="P1043" s="1969">
        <f t="shared" ref="P1043" si="660">N1043*G1043</f>
        <v>170000</v>
      </c>
      <c r="Q1043" s="1953"/>
      <c r="R1043" s="1954"/>
      <c r="S1043" s="1954">
        <f t="shared" ref="S1043" si="661">P1043*K1043</f>
        <v>118354</v>
      </c>
      <c r="T1043" s="1969">
        <f t="shared" ref="T1043" si="662">P1043-S1043</f>
        <v>51646</v>
      </c>
      <c r="U1043" s="2060"/>
      <c r="Z1043" s="1956"/>
      <c r="AA1043" s="1956"/>
      <c r="AF1043" s="1836"/>
      <c r="AG1043" s="1836"/>
      <c r="AH1043" s="1836"/>
      <c r="AI1043" s="1837"/>
      <c r="AJ1043" s="1960"/>
    </row>
    <row r="1044" spans="1:36" ht="21.95" customHeight="1" x14ac:dyDescent="0.2">
      <c r="B1044" s="2045"/>
      <c r="C1044" s="2046"/>
      <c r="D1044" s="2047" t="str">
        <f>SNI!E888</f>
        <v>PC</v>
      </c>
      <c r="E1044" s="2047"/>
      <c r="F1044" s="2048"/>
      <c r="G1044" s="2049">
        <f>SNI!H888</f>
        <v>9.6</v>
      </c>
      <c r="H1044" s="2050" t="str">
        <f>SNI!G888</f>
        <v>kg</v>
      </c>
      <c r="I1044" s="2051"/>
      <c r="J1044" s="2051"/>
      <c r="K1044" s="2052">
        <f>SNI!L888</f>
        <v>0.85140000000000005</v>
      </c>
      <c r="L1044" s="2053"/>
      <c r="M1044" s="2054"/>
      <c r="N1044" s="2055">
        <f>SNI!I888</f>
        <v>1200</v>
      </c>
      <c r="O1044" s="2056"/>
      <c r="P1044" s="1969">
        <f t="shared" ref="P1044:P1051" si="663">N1044*G1044</f>
        <v>11520</v>
      </c>
      <c r="Q1044" s="1953"/>
      <c r="R1044" s="1954"/>
      <c r="S1044" s="1954">
        <f t="shared" ref="S1044:S1051" si="664">P1044*K1044</f>
        <v>9808.1280000000006</v>
      </c>
      <c r="T1044" s="1969">
        <f t="shared" ref="T1044:T1051" si="665">P1044-S1044</f>
        <v>1711.8719999999994</v>
      </c>
      <c r="U1044" s="2060"/>
      <c r="Z1044" s="1956"/>
      <c r="AA1044" s="1956"/>
      <c r="AF1044" s="1836"/>
      <c r="AG1044" s="1836"/>
      <c r="AH1044" s="1836"/>
      <c r="AI1044" s="1837"/>
      <c r="AJ1044" s="1960"/>
    </row>
    <row r="1045" spans="1:36" ht="21.95" customHeight="1" x14ac:dyDescent="0.2">
      <c r="B1045" s="2045"/>
      <c r="C1045" s="2046"/>
      <c r="D1045" s="2047" t="str">
        <f>SNI!E889</f>
        <v>Pasir Pasang</v>
      </c>
      <c r="E1045" s="2047"/>
      <c r="F1045" s="2048"/>
      <c r="G1045" s="2049">
        <f>SNI!H889</f>
        <v>4.4999999999999998E-2</v>
      </c>
      <c r="H1045" s="2050" t="str">
        <f>SNI!G889</f>
        <v>m3</v>
      </c>
      <c r="I1045" s="2051"/>
      <c r="J1045" s="2051"/>
      <c r="K1045" s="2052">
        <f>SNI!L889</f>
        <v>1</v>
      </c>
      <c r="L1045" s="2053"/>
      <c r="M1045" s="2054"/>
      <c r="N1045" s="2055">
        <f>SNI!I889</f>
        <v>260000</v>
      </c>
      <c r="O1045" s="2056"/>
      <c r="P1045" s="1969">
        <f t="shared" si="663"/>
        <v>11700</v>
      </c>
      <c r="Q1045" s="1953"/>
      <c r="R1045" s="1954"/>
      <c r="S1045" s="1954">
        <f t="shared" si="664"/>
        <v>11700</v>
      </c>
      <c r="T1045" s="1969">
        <f t="shared" si="665"/>
        <v>0</v>
      </c>
      <c r="U1045" s="2060"/>
      <c r="Z1045" s="1956"/>
      <c r="AA1045" s="1956"/>
      <c r="AF1045" s="1836"/>
      <c r="AG1045" s="1836"/>
      <c r="AH1045" s="1836"/>
      <c r="AI1045" s="1837"/>
      <c r="AJ1045" s="1960"/>
    </row>
    <row r="1046" spans="1:36" ht="21.95" customHeight="1" x14ac:dyDescent="0.2">
      <c r="B1046" s="2045"/>
      <c r="C1046" s="2046"/>
      <c r="D1046" s="2047" t="str">
        <f>SNI!E890</f>
        <v>Semen Warna</v>
      </c>
      <c r="E1046" s="2047"/>
      <c r="F1046" s="2048"/>
      <c r="G1046" s="2049">
        <f>SNI!H890</f>
        <v>0.15</v>
      </c>
      <c r="H1046" s="2050" t="str">
        <f>SNI!G890</f>
        <v>kg</v>
      </c>
      <c r="I1046" s="2051"/>
      <c r="J1046" s="2051"/>
      <c r="K1046" s="2052">
        <f>SNI!L890</f>
        <v>0</v>
      </c>
      <c r="L1046" s="2053"/>
      <c r="M1046" s="2054"/>
      <c r="N1046" s="2055">
        <f>SNI!I890</f>
        <v>14300</v>
      </c>
      <c r="O1046" s="2056"/>
      <c r="P1046" s="1969">
        <f t="shared" si="663"/>
        <v>2145</v>
      </c>
      <c r="Q1046" s="1953"/>
      <c r="R1046" s="1954"/>
      <c r="S1046" s="1954">
        <f t="shared" si="664"/>
        <v>0</v>
      </c>
      <c r="T1046" s="1969">
        <f t="shared" si="665"/>
        <v>2145</v>
      </c>
      <c r="U1046" s="2060"/>
      <c r="Z1046" s="1956"/>
      <c r="AA1046" s="1956"/>
      <c r="AF1046" s="1836"/>
      <c r="AG1046" s="1836"/>
      <c r="AH1046" s="1836"/>
      <c r="AI1046" s="1837"/>
      <c r="AJ1046" s="1960"/>
    </row>
    <row r="1047" spans="1:36" ht="21.95" customHeight="1" x14ac:dyDescent="0.2">
      <c r="B1047" s="2045"/>
      <c r="C1047" s="2046" t="str">
        <f>SNI!D892</f>
        <v>Tenaga Kerja</v>
      </c>
      <c r="D1047" s="2047"/>
      <c r="E1047" s="2047"/>
      <c r="F1047" s="2048"/>
      <c r="G1047" s="2049"/>
      <c r="H1047" s="2050"/>
      <c r="I1047" s="2051"/>
      <c r="J1047" s="2051"/>
      <c r="K1047" s="2052"/>
      <c r="L1047" s="2053"/>
      <c r="M1047" s="2054"/>
      <c r="N1047" s="2055"/>
      <c r="O1047" s="2056"/>
      <c r="P1047" s="1969"/>
      <c r="Q1047" s="1953"/>
      <c r="R1047" s="1954"/>
      <c r="S1047" s="1954"/>
      <c r="T1047" s="1969"/>
      <c r="U1047" s="2060"/>
      <c r="Z1047" s="1956"/>
      <c r="AA1047" s="1956"/>
      <c r="AF1047" s="1836"/>
      <c r="AG1047" s="1836"/>
      <c r="AH1047" s="1836"/>
      <c r="AI1047" s="1837"/>
      <c r="AJ1047" s="1960"/>
    </row>
    <row r="1048" spans="1:36" ht="21.95" customHeight="1" x14ac:dyDescent="0.2">
      <c r="B1048" s="2045"/>
      <c r="C1048" s="2046"/>
      <c r="D1048" s="2047" t="str">
        <f>SNI!E892</f>
        <v xml:space="preserve">Pekerja </v>
      </c>
      <c r="E1048" s="2047"/>
      <c r="F1048" s="2048"/>
      <c r="G1048" s="2049">
        <f>SNI!H892</f>
        <v>0.5</v>
      </c>
      <c r="H1048" s="2050" t="str">
        <f>SNI!G892</f>
        <v>OH</v>
      </c>
      <c r="I1048" s="2051" t="str">
        <f>SNI!M892</f>
        <v>WNI</v>
      </c>
      <c r="J1048" s="2051"/>
      <c r="K1048" s="2052">
        <f>SNI!L892</f>
        <v>1</v>
      </c>
      <c r="L1048" s="2053"/>
      <c r="M1048" s="2054"/>
      <c r="N1048" s="2055">
        <f>SNI!I892</f>
        <v>88300</v>
      </c>
      <c r="O1048" s="2056"/>
      <c r="P1048" s="1969">
        <f t="shared" si="663"/>
        <v>44150</v>
      </c>
      <c r="Q1048" s="1953"/>
      <c r="R1048" s="1954"/>
      <c r="S1048" s="1954">
        <f t="shared" si="664"/>
        <v>44150</v>
      </c>
      <c r="T1048" s="1969">
        <f t="shared" si="665"/>
        <v>0</v>
      </c>
      <c r="U1048" s="2060"/>
      <c r="Z1048" s="1956"/>
      <c r="AA1048" s="1956"/>
      <c r="AF1048" s="1836"/>
      <c r="AG1048" s="1836"/>
      <c r="AH1048" s="1836"/>
      <c r="AI1048" s="1837"/>
      <c r="AJ1048" s="1960"/>
    </row>
    <row r="1049" spans="1:36" ht="21.95" customHeight="1" x14ac:dyDescent="0.2">
      <c r="B1049" s="2045"/>
      <c r="C1049" s="2046"/>
      <c r="D1049" s="2047" t="str">
        <f>SNI!E893</f>
        <v>Tukang Batu</v>
      </c>
      <c r="E1049" s="2047"/>
      <c r="F1049" s="2048"/>
      <c r="G1049" s="2049">
        <f>SNI!H893</f>
        <v>0.25</v>
      </c>
      <c r="H1049" s="2050" t="str">
        <f>SNI!G893</f>
        <v>OH</v>
      </c>
      <c r="I1049" s="2051" t="str">
        <f>SNI!M893</f>
        <v>WNI</v>
      </c>
      <c r="J1049" s="2051"/>
      <c r="K1049" s="2052">
        <f>SNI!L893</f>
        <v>1</v>
      </c>
      <c r="L1049" s="2053"/>
      <c r="M1049" s="2054"/>
      <c r="N1049" s="2055">
        <f>SNI!I893</f>
        <v>90000</v>
      </c>
      <c r="O1049" s="2056"/>
      <c r="P1049" s="1969">
        <f t="shared" si="663"/>
        <v>22500</v>
      </c>
      <c r="Q1049" s="1953"/>
      <c r="R1049" s="1954"/>
      <c r="S1049" s="1954">
        <f t="shared" si="664"/>
        <v>22500</v>
      </c>
      <c r="T1049" s="1969">
        <f t="shared" si="665"/>
        <v>0</v>
      </c>
      <c r="U1049" s="2060"/>
      <c r="Z1049" s="1956"/>
      <c r="AA1049" s="1956"/>
      <c r="AF1049" s="1836"/>
      <c r="AG1049" s="1836"/>
      <c r="AH1049" s="1836"/>
      <c r="AI1049" s="1837"/>
      <c r="AJ1049" s="1960"/>
    </row>
    <row r="1050" spans="1:36" ht="21.95" customHeight="1" x14ac:dyDescent="0.2">
      <c r="B1050" s="2045"/>
      <c r="C1050" s="2046"/>
      <c r="D1050" s="2047" t="str">
        <f>SNI!E894</f>
        <v>Kepala Tukang</v>
      </c>
      <c r="E1050" s="2047"/>
      <c r="F1050" s="2048"/>
      <c r="G1050" s="2049">
        <f>SNI!H894</f>
        <v>2.5999999999999999E-2</v>
      </c>
      <c r="H1050" s="2050" t="str">
        <f>SNI!G894</f>
        <v>OH</v>
      </c>
      <c r="I1050" s="2051" t="str">
        <f>SNI!M894</f>
        <v>WNI</v>
      </c>
      <c r="J1050" s="2051"/>
      <c r="K1050" s="2052">
        <f>SNI!L894</f>
        <v>1</v>
      </c>
      <c r="L1050" s="2053"/>
      <c r="M1050" s="2054"/>
      <c r="N1050" s="2055">
        <f>SNI!I894</f>
        <v>96000</v>
      </c>
      <c r="O1050" s="2056"/>
      <c r="P1050" s="1969">
        <f t="shared" si="663"/>
        <v>2496</v>
      </c>
      <c r="Q1050" s="1953"/>
      <c r="R1050" s="1954"/>
      <c r="S1050" s="1954">
        <f t="shared" si="664"/>
        <v>2496</v>
      </c>
      <c r="T1050" s="1969">
        <f t="shared" si="665"/>
        <v>0</v>
      </c>
      <c r="U1050" s="2060"/>
      <c r="Z1050" s="1956"/>
      <c r="AA1050" s="1956"/>
      <c r="AF1050" s="1836"/>
      <c r="AG1050" s="1836"/>
      <c r="AH1050" s="1836"/>
      <c r="AI1050" s="1837"/>
      <c r="AJ1050" s="1960"/>
    </row>
    <row r="1051" spans="1:36" ht="21.95" customHeight="1" x14ac:dyDescent="0.2">
      <c r="B1051" s="2045"/>
      <c r="C1051" s="2046"/>
      <c r="D1051" s="2047" t="str">
        <f>SNI!E895</f>
        <v>Mandor</v>
      </c>
      <c r="E1051" s="2047"/>
      <c r="F1051" s="2048"/>
      <c r="G1051" s="2049">
        <f>SNI!H895</f>
        <v>2.5999999999999999E-2</v>
      </c>
      <c r="H1051" s="2050" t="str">
        <f>SNI!G895</f>
        <v>OH</v>
      </c>
      <c r="I1051" s="2051" t="str">
        <f>SNI!M895</f>
        <v>WNI</v>
      </c>
      <c r="J1051" s="2051"/>
      <c r="K1051" s="2052">
        <f>SNI!L895</f>
        <v>1</v>
      </c>
      <c r="L1051" s="2053"/>
      <c r="M1051" s="2054"/>
      <c r="N1051" s="2055">
        <f>SNI!I895</f>
        <v>90000</v>
      </c>
      <c r="O1051" s="2056"/>
      <c r="P1051" s="1969">
        <f t="shared" si="663"/>
        <v>2340</v>
      </c>
      <c r="Q1051" s="1953"/>
      <c r="R1051" s="1954"/>
      <c r="S1051" s="1954">
        <f t="shared" si="664"/>
        <v>2340</v>
      </c>
      <c r="T1051" s="1969">
        <f t="shared" si="665"/>
        <v>0</v>
      </c>
      <c r="U1051" s="2060"/>
      <c r="Z1051" s="1956"/>
      <c r="AA1051" s="1956"/>
      <c r="AF1051" s="1836"/>
      <c r="AG1051" s="1836"/>
      <c r="AH1051" s="1836"/>
      <c r="AI1051" s="1837"/>
      <c r="AJ1051" s="1960"/>
    </row>
    <row r="1052" spans="1:36" s="1957" customFormat="1" ht="21.95" customHeight="1" x14ac:dyDescent="0.2">
      <c r="A1052" s="1942"/>
      <c r="B1052" s="1970"/>
      <c r="C1052" s="1971"/>
      <c r="D1052" s="1972"/>
      <c r="E1052" s="1973"/>
      <c r="F1052" s="1974" t="s">
        <v>556</v>
      </c>
      <c r="G1052" s="1975">
        <f>B1041</f>
        <v>3</v>
      </c>
      <c r="H1052" s="1976"/>
      <c r="I1052" s="1977"/>
      <c r="J1052" s="1977"/>
      <c r="K1052" s="1978"/>
      <c r="L1052" s="1979"/>
      <c r="M1052" s="1980"/>
      <c r="N1052" s="1981"/>
      <c r="O1052" s="1982"/>
      <c r="P1052" s="1983">
        <f>SUM(P1042:R1051)</f>
        <v>266851</v>
      </c>
      <c r="Q1052" s="1984"/>
      <c r="R1052" s="1985"/>
      <c r="S1052" s="1983">
        <f t="shared" ref="S1052" si="666">SUM(S1042:U1051)</f>
        <v>266851</v>
      </c>
      <c r="T1052" s="1983">
        <f t="shared" ref="T1052" si="667">SUM(T1042:V1051)</f>
        <v>55502.872000000003</v>
      </c>
      <c r="U1052" s="1986"/>
      <c r="V1052" s="1848"/>
      <c r="W1052" s="1848"/>
      <c r="X1052" s="1848"/>
      <c r="Y1052" s="1848"/>
      <c r="Z1052" s="1956"/>
      <c r="AA1052" s="1956"/>
      <c r="AF1052" s="1958"/>
      <c r="AG1052" s="1958"/>
      <c r="AH1052" s="1958"/>
      <c r="AI1052" s="1959"/>
      <c r="AJ1052" s="1960"/>
    </row>
    <row r="1053" spans="1:36" ht="21.95" customHeight="1" x14ac:dyDescent="0.2">
      <c r="A1053" s="1833">
        <f>satpek!$B$64</f>
        <v>45</v>
      </c>
      <c r="B1053" s="1943">
        <f>B1041+1</f>
        <v>4</v>
      </c>
      <c r="C1053" s="1937"/>
      <c r="D1053" s="1944" t="str">
        <f>VLOOKUP($A1053,satpek!$B$20:$N$144,2,0)</f>
        <v>Memasang dinding Homogenius tile  uk. (30x60) cm</v>
      </c>
      <c r="E1053" s="1944"/>
      <c r="F1053" s="2004"/>
      <c r="G1053" s="1945">
        <f>'[3]B.VOL RAB'!Q353</f>
        <v>67.824000000000012</v>
      </c>
      <c r="H1053" s="1946" t="str">
        <f>VLOOKUP($A1053,satpek!$B$20:$N$144,7,0)</f>
        <v>m2</v>
      </c>
      <c r="I1053" s="1947"/>
      <c r="J1053" s="1947"/>
      <c r="K1053" s="1948"/>
      <c r="L1053" s="1949"/>
      <c r="M1053" s="1950" t="str">
        <f>VLOOKUP($A1053,satpek!$B$20:$N$144,5,0)</f>
        <v>An. Dihitung</v>
      </c>
      <c r="N1053" s="1951">
        <f>VLOOKUP($A1053,satpek!$B$20:$N$144,6,0)</f>
        <v>281318.25</v>
      </c>
      <c r="O1053" s="1938"/>
      <c r="P1053" s="1952">
        <f t="shared" si="643"/>
        <v>19080128.989999998</v>
      </c>
      <c r="Q1053" s="1953">
        <f>VLOOKUP($A1053,satpek!$B$20:$L$138,8,0)</f>
        <v>0.85772412757045269</v>
      </c>
      <c r="R1053" s="1954">
        <f>VLOOKUP($A1053,satpek!$B$20:$L$138,9,0)</f>
        <v>213534.024</v>
      </c>
      <c r="S1053" s="1954">
        <f>VLOOKUP($A1053,satpek!$B$20:$L$138,10,0)</f>
        <v>241293.44712</v>
      </c>
      <c r="T1053" s="1952">
        <f t="shared" si="644"/>
        <v>16365486.757466882</v>
      </c>
      <c r="U1053" s="1955"/>
      <c r="X1053" s="1848">
        <f>P1064</f>
        <v>248954.2</v>
      </c>
      <c r="Y1053" s="1848">
        <f>S1064</f>
        <v>248954.2</v>
      </c>
      <c r="Z1053" s="1956">
        <v>67.824000000000012</v>
      </c>
      <c r="AA1053" s="1956">
        <f t="shared" si="641"/>
        <v>0</v>
      </c>
      <c r="AB1053" s="1836" t="s">
        <v>1808</v>
      </c>
      <c r="AF1053" s="1836"/>
      <c r="AG1053" s="1836"/>
      <c r="AH1053" s="1836"/>
      <c r="AI1053" s="1837">
        <v>228382.94</v>
      </c>
      <c r="AJ1053" s="1960">
        <f t="shared" si="642"/>
        <v>-52935.31</v>
      </c>
    </row>
    <row r="1054" spans="1:36" ht="21.95" customHeight="1" x14ac:dyDescent="0.2">
      <c r="B1054" s="2045"/>
      <c r="C1054" s="2046" t="str">
        <f>SNI!D908</f>
        <v>Bahan</v>
      </c>
      <c r="D1054" s="2047"/>
      <c r="E1054" s="2047"/>
      <c r="F1054" s="2048"/>
      <c r="G1054" s="2049"/>
      <c r="H1054" s="2050"/>
      <c r="I1054" s="2051"/>
      <c r="J1054" s="2051"/>
      <c r="K1054" s="2052"/>
      <c r="L1054" s="2053"/>
      <c r="M1054" s="2054"/>
      <c r="N1054" s="2055"/>
      <c r="O1054" s="2056"/>
      <c r="P1054" s="2057"/>
      <c r="Q1054" s="2058"/>
      <c r="R1054" s="2059"/>
      <c r="S1054" s="2059"/>
      <c r="T1054" s="2057"/>
      <c r="U1054" s="2060"/>
      <c r="Z1054" s="1956"/>
      <c r="AA1054" s="1956"/>
      <c r="AF1054" s="1836"/>
      <c r="AG1054" s="1836"/>
      <c r="AH1054" s="1836"/>
      <c r="AI1054" s="1837"/>
      <c r="AJ1054" s="1960"/>
    </row>
    <row r="1055" spans="1:36" ht="21.95" customHeight="1" x14ac:dyDescent="0.2">
      <c r="B1055" s="2045"/>
      <c r="C1055" s="2046"/>
      <c r="D1055" s="2047" t="str">
        <f>SNI!E908</f>
        <v>Keramik dind. 30/60</v>
      </c>
      <c r="E1055" s="2047"/>
      <c r="F1055" s="2048"/>
      <c r="G1055" s="2049">
        <f>SNI!H908</f>
        <v>5.83</v>
      </c>
      <c r="H1055" s="2050" t="str">
        <f>SNI!G908</f>
        <v>buah</v>
      </c>
      <c r="I1055" s="2051"/>
      <c r="J1055" s="2051"/>
      <c r="K1055" s="2052">
        <f>SNI!L908</f>
        <v>0.69620000000000004</v>
      </c>
      <c r="L1055" s="2053"/>
      <c r="M1055" s="2054"/>
      <c r="N1055" s="2055">
        <f>SNI!I908</f>
        <v>17495.711835334478</v>
      </c>
      <c r="O1055" s="2056"/>
      <c r="P1055" s="1969">
        <f t="shared" ref="P1055" si="668">N1055*G1055</f>
        <v>102000</v>
      </c>
      <c r="Q1055" s="1953"/>
      <c r="R1055" s="1954"/>
      <c r="S1055" s="1954">
        <f t="shared" ref="S1055" si="669">P1055*K1055</f>
        <v>71012.400000000009</v>
      </c>
      <c r="T1055" s="1969">
        <f t="shared" ref="T1055" si="670">P1055-S1055</f>
        <v>30987.599999999991</v>
      </c>
      <c r="U1055" s="2060"/>
      <c r="Z1055" s="1956"/>
      <c r="AA1055" s="1956"/>
      <c r="AF1055" s="1836"/>
      <c r="AG1055" s="1836"/>
      <c r="AH1055" s="1836"/>
      <c r="AI1055" s="1837"/>
      <c r="AJ1055" s="1960"/>
    </row>
    <row r="1056" spans="1:36" ht="21.95" customHeight="1" x14ac:dyDescent="0.2">
      <c r="B1056" s="2045"/>
      <c r="C1056" s="2046"/>
      <c r="D1056" s="2047" t="str">
        <f>SNI!E909</f>
        <v>PC</v>
      </c>
      <c r="E1056" s="2047"/>
      <c r="F1056" s="2048"/>
      <c r="G1056" s="2049">
        <f>SNI!H909</f>
        <v>9.3000000000000007</v>
      </c>
      <c r="H1056" s="2050" t="str">
        <f>SNI!G909</f>
        <v>kg</v>
      </c>
      <c r="I1056" s="2051"/>
      <c r="J1056" s="2051"/>
      <c r="K1056" s="2052">
        <f>SNI!L909</f>
        <v>0.85140000000000005</v>
      </c>
      <c r="L1056" s="2053"/>
      <c r="M1056" s="2054"/>
      <c r="N1056" s="2055">
        <f>SNI!I909</f>
        <v>1200</v>
      </c>
      <c r="O1056" s="2056"/>
      <c r="P1056" s="1969">
        <f t="shared" ref="P1056:P1063" si="671">N1056*G1056</f>
        <v>11160</v>
      </c>
      <c r="Q1056" s="1953"/>
      <c r="R1056" s="1954"/>
      <c r="S1056" s="1954">
        <f t="shared" ref="S1056:S1063" si="672">P1056*K1056</f>
        <v>9501.6239999999998</v>
      </c>
      <c r="T1056" s="1969">
        <f t="shared" ref="T1056:T1063" si="673">P1056-S1056</f>
        <v>1658.3760000000002</v>
      </c>
      <c r="U1056" s="2060"/>
      <c r="Z1056" s="1956"/>
      <c r="AA1056" s="1956"/>
      <c r="AF1056" s="1836"/>
      <c r="AG1056" s="1836"/>
      <c r="AH1056" s="1836"/>
      <c r="AI1056" s="1837"/>
      <c r="AJ1056" s="1960"/>
    </row>
    <row r="1057" spans="1:36" ht="21.95" customHeight="1" x14ac:dyDescent="0.2">
      <c r="B1057" s="2045"/>
      <c r="C1057" s="2046"/>
      <c r="D1057" s="2047" t="str">
        <f>SNI!E910</f>
        <v>Pasir Pasang</v>
      </c>
      <c r="E1057" s="2047"/>
      <c r="F1057" s="2048"/>
      <c r="G1057" s="2049">
        <f>SNI!H910</f>
        <v>1.7999999999999999E-2</v>
      </c>
      <c r="H1057" s="2050" t="str">
        <f>SNI!G910</f>
        <v>m3</v>
      </c>
      <c r="I1057" s="2051"/>
      <c r="J1057" s="2051"/>
      <c r="K1057" s="2052">
        <f>SNI!L910</f>
        <v>1</v>
      </c>
      <c r="L1057" s="2053"/>
      <c r="M1057" s="2054"/>
      <c r="N1057" s="2055">
        <f>SNI!I910</f>
        <v>260000</v>
      </c>
      <c r="O1057" s="2056"/>
      <c r="P1057" s="1969">
        <f t="shared" si="671"/>
        <v>4680</v>
      </c>
      <c r="Q1057" s="1953"/>
      <c r="R1057" s="1954"/>
      <c r="S1057" s="1954">
        <f t="shared" si="672"/>
        <v>4680</v>
      </c>
      <c r="T1057" s="1969">
        <f t="shared" si="673"/>
        <v>0</v>
      </c>
      <c r="U1057" s="2060"/>
      <c r="Z1057" s="1956"/>
      <c r="AA1057" s="1956"/>
      <c r="AF1057" s="1836"/>
      <c r="AG1057" s="1836"/>
      <c r="AH1057" s="1836"/>
      <c r="AI1057" s="1837"/>
      <c r="AJ1057" s="1960"/>
    </row>
    <row r="1058" spans="1:36" ht="21.95" customHeight="1" x14ac:dyDescent="0.2">
      <c r="B1058" s="2045"/>
      <c r="C1058" s="2046"/>
      <c r="D1058" s="2047" t="str">
        <f>SNI!E911</f>
        <v>Semen Warna</v>
      </c>
      <c r="E1058" s="2047"/>
      <c r="F1058" s="2048"/>
      <c r="G1058" s="2049">
        <f>SNI!H911</f>
        <v>0.19400000000000001</v>
      </c>
      <c r="H1058" s="2050" t="str">
        <f>SNI!G911</f>
        <v>kg</v>
      </c>
      <c r="I1058" s="2051"/>
      <c r="J1058" s="2051"/>
      <c r="K1058" s="2052">
        <f>SNI!L911</f>
        <v>0</v>
      </c>
      <c r="L1058" s="2053"/>
      <c r="M1058" s="2054"/>
      <c r="N1058" s="2055">
        <f>SNI!I911</f>
        <v>14300</v>
      </c>
      <c r="O1058" s="2056"/>
      <c r="P1058" s="1969">
        <f t="shared" si="671"/>
        <v>2774.2000000000003</v>
      </c>
      <c r="Q1058" s="1953"/>
      <c r="R1058" s="1954"/>
      <c r="S1058" s="1954">
        <f t="shared" si="672"/>
        <v>0</v>
      </c>
      <c r="T1058" s="1969">
        <f t="shared" si="673"/>
        <v>2774.2000000000003</v>
      </c>
      <c r="U1058" s="2060"/>
      <c r="Z1058" s="1956"/>
      <c r="AA1058" s="1956"/>
      <c r="AF1058" s="1836"/>
      <c r="AG1058" s="1836"/>
      <c r="AH1058" s="1836"/>
      <c r="AI1058" s="1837"/>
      <c r="AJ1058" s="1960"/>
    </row>
    <row r="1059" spans="1:36" ht="21.95" customHeight="1" x14ac:dyDescent="0.2">
      <c r="B1059" s="2045"/>
      <c r="C1059" s="2046" t="str">
        <f>SNI!D913</f>
        <v>Tenaga Kerja</v>
      </c>
      <c r="D1059" s="2047"/>
      <c r="E1059" s="2047"/>
      <c r="F1059" s="2048"/>
      <c r="G1059" s="2049"/>
      <c r="H1059" s="2050"/>
      <c r="I1059" s="2051"/>
      <c r="J1059" s="2051"/>
      <c r="K1059" s="2052"/>
      <c r="L1059" s="2053"/>
      <c r="M1059" s="2054"/>
      <c r="N1059" s="2055"/>
      <c r="O1059" s="2056"/>
      <c r="P1059" s="1969"/>
      <c r="Q1059" s="1953"/>
      <c r="R1059" s="1954"/>
      <c r="S1059" s="1954"/>
      <c r="T1059" s="1969"/>
      <c r="U1059" s="2060"/>
      <c r="Z1059" s="1956"/>
      <c r="AA1059" s="1956"/>
      <c r="AF1059" s="1836"/>
      <c r="AG1059" s="1836"/>
      <c r="AH1059" s="1836"/>
      <c r="AI1059" s="1837"/>
      <c r="AJ1059" s="1960"/>
    </row>
    <row r="1060" spans="1:36" ht="21.95" customHeight="1" x14ac:dyDescent="0.2">
      <c r="B1060" s="2045"/>
      <c r="C1060" s="2046"/>
      <c r="D1060" s="2047" t="str">
        <f>SNI!E913</f>
        <v xml:space="preserve">Pekerja </v>
      </c>
      <c r="E1060" s="2047"/>
      <c r="F1060" s="2048"/>
      <c r="G1060" s="2049">
        <f>SNI!H913</f>
        <v>0.9</v>
      </c>
      <c r="H1060" s="2050" t="str">
        <f>SNI!G913</f>
        <v>OH</v>
      </c>
      <c r="I1060" s="2051" t="str">
        <f>SNI!M913</f>
        <v>WNI</v>
      </c>
      <c r="J1060" s="2051"/>
      <c r="K1060" s="2052">
        <f>SNI!L913</f>
        <v>1</v>
      </c>
      <c r="L1060" s="2053"/>
      <c r="M1060" s="2054"/>
      <c r="N1060" s="2055">
        <f>SNI!I913</f>
        <v>88300</v>
      </c>
      <c r="O1060" s="2056"/>
      <c r="P1060" s="1969">
        <f t="shared" si="671"/>
        <v>79470</v>
      </c>
      <c r="Q1060" s="1953"/>
      <c r="R1060" s="1954"/>
      <c r="S1060" s="1954">
        <f t="shared" si="672"/>
        <v>79470</v>
      </c>
      <c r="T1060" s="1969">
        <f t="shared" si="673"/>
        <v>0</v>
      </c>
      <c r="U1060" s="2060"/>
      <c r="Z1060" s="1956"/>
      <c r="AA1060" s="1956"/>
      <c r="AF1060" s="1836"/>
      <c r="AG1060" s="1836"/>
      <c r="AH1060" s="1836"/>
      <c r="AI1060" s="1837"/>
      <c r="AJ1060" s="1960"/>
    </row>
    <row r="1061" spans="1:36" ht="21.95" customHeight="1" x14ac:dyDescent="0.2">
      <c r="B1061" s="2045"/>
      <c r="C1061" s="2046"/>
      <c r="D1061" s="2047" t="str">
        <f>SNI!E914</f>
        <v>Tukang Batu</v>
      </c>
      <c r="E1061" s="2047"/>
      <c r="F1061" s="2048"/>
      <c r="G1061" s="2049">
        <f>SNI!H914</f>
        <v>0.45</v>
      </c>
      <c r="H1061" s="2050" t="str">
        <f>SNI!G914</f>
        <v>OH</v>
      </c>
      <c r="I1061" s="2051" t="str">
        <f>SNI!M914</f>
        <v>WNI</v>
      </c>
      <c r="J1061" s="2051"/>
      <c r="K1061" s="2052">
        <f>SNI!L914</f>
        <v>1</v>
      </c>
      <c r="L1061" s="2053"/>
      <c r="M1061" s="2054"/>
      <c r="N1061" s="2055">
        <f>SNI!I914</f>
        <v>90000</v>
      </c>
      <c r="O1061" s="2056"/>
      <c r="P1061" s="1969">
        <f t="shared" si="671"/>
        <v>40500</v>
      </c>
      <c r="Q1061" s="1953"/>
      <c r="R1061" s="1954"/>
      <c r="S1061" s="1954">
        <f t="shared" si="672"/>
        <v>40500</v>
      </c>
      <c r="T1061" s="1969">
        <f t="shared" si="673"/>
        <v>0</v>
      </c>
      <c r="U1061" s="2060"/>
      <c r="Z1061" s="1956"/>
      <c r="AA1061" s="1956"/>
      <c r="AF1061" s="1836"/>
      <c r="AG1061" s="1836"/>
      <c r="AH1061" s="1836"/>
      <c r="AI1061" s="1837"/>
      <c r="AJ1061" s="1960"/>
    </row>
    <row r="1062" spans="1:36" ht="21.95" customHeight="1" x14ac:dyDescent="0.2">
      <c r="B1062" s="2045"/>
      <c r="C1062" s="2046"/>
      <c r="D1062" s="2047" t="str">
        <f>SNI!E915</f>
        <v>Kepala Tukang</v>
      </c>
      <c r="E1062" s="2047"/>
      <c r="F1062" s="2048"/>
      <c r="G1062" s="2049">
        <f>SNI!H915</f>
        <v>4.4999999999999998E-2</v>
      </c>
      <c r="H1062" s="2050" t="str">
        <f>SNI!G915</f>
        <v>OH</v>
      </c>
      <c r="I1062" s="2051" t="str">
        <f>SNI!M915</f>
        <v>WNI</v>
      </c>
      <c r="J1062" s="2051"/>
      <c r="K1062" s="2052">
        <f>SNI!L915</f>
        <v>1</v>
      </c>
      <c r="L1062" s="2053"/>
      <c r="M1062" s="2054"/>
      <c r="N1062" s="2055">
        <f>SNI!I915</f>
        <v>96000</v>
      </c>
      <c r="O1062" s="2056"/>
      <c r="P1062" s="1969">
        <f t="shared" si="671"/>
        <v>4320</v>
      </c>
      <c r="Q1062" s="1953"/>
      <c r="R1062" s="1954"/>
      <c r="S1062" s="1954">
        <f t="shared" si="672"/>
        <v>4320</v>
      </c>
      <c r="T1062" s="1969">
        <f t="shared" si="673"/>
        <v>0</v>
      </c>
      <c r="U1062" s="2060"/>
      <c r="Z1062" s="1956"/>
      <c r="AA1062" s="1956"/>
      <c r="AF1062" s="1836"/>
      <c r="AG1062" s="1836"/>
      <c r="AH1062" s="1836"/>
      <c r="AI1062" s="1837"/>
      <c r="AJ1062" s="1960"/>
    </row>
    <row r="1063" spans="1:36" ht="21.95" customHeight="1" x14ac:dyDescent="0.2">
      <c r="B1063" s="2045"/>
      <c r="C1063" s="2046"/>
      <c r="D1063" s="2047" t="str">
        <f>SNI!E916</f>
        <v>Mandor</v>
      </c>
      <c r="E1063" s="2047"/>
      <c r="F1063" s="2048"/>
      <c r="G1063" s="2049">
        <f>SNI!H916</f>
        <v>4.4999999999999998E-2</v>
      </c>
      <c r="H1063" s="2050" t="str">
        <f>SNI!G916</f>
        <v>OH</v>
      </c>
      <c r="I1063" s="2051" t="str">
        <f>SNI!M916</f>
        <v>WNI</v>
      </c>
      <c r="J1063" s="2051"/>
      <c r="K1063" s="2052">
        <f>SNI!L916</f>
        <v>1</v>
      </c>
      <c r="L1063" s="2053"/>
      <c r="M1063" s="2054"/>
      <c r="N1063" s="2055">
        <f>SNI!I916</f>
        <v>90000</v>
      </c>
      <c r="O1063" s="2056"/>
      <c r="P1063" s="1969">
        <f t="shared" si="671"/>
        <v>4050</v>
      </c>
      <c r="Q1063" s="1953"/>
      <c r="R1063" s="1954"/>
      <c r="S1063" s="1954">
        <f t="shared" si="672"/>
        <v>4050</v>
      </c>
      <c r="T1063" s="1969">
        <f t="shared" si="673"/>
        <v>0</v>
      </c>
      <c r="U1063" s="2060"/>
      <c r="Z1063" s="1956"/>
      <c r="AA1063" s="1956"/>
      <c r="AF1063" s="1836"/>
      <c r="AG1063" s="1836"/>
      <c r="AH1063" s="1836"/>
      <c r="AI1063" s="1837"/>
      <c r="AJ1063" s="1960"/>
    </row>
    <row r="1064" spans="1:36" s="1957" customFormat="1" ht="21.95" customHeight="1" x14ac:dyDescent="0.2">
      <c r="A1064" s="1942"/>
      <c r="B1064" s="1970"/>
      <c r="C1064" s="1971"/>
      <c r="D1064" s="1972"/>
      <c r="E1064" s="1973"/>
      <c r="F1064" s="1974" t="s">
        <v>556</v>
      </c>
      <c r="G1064" s="1975">
        <f>B1053</f>
        <v>4</v>
      </c>
      <c r="H1064" s="1976"/>
      <c r="I1064" s="1977"/>
      <c r="J1064" s="1977"/>
      <c r="K1064" s="1978"/>
      <c r="L1064" s="1979"/>
      <c r="M1064" s="1980"/>
      <c r="N1064" s="1981"/>
      <c r="O1064" s="1982"/>
      <c r="P1064" s="1983">
        <f>SUM(P1054:R1063)</f>
        <v>248954.2</v>
      </c>
      <c r="Q1064" s="1984"/>
      <c r="R1064" s="1985"/>
      <c r="S1064" s="1983">
        <f t="shared" ref="S1064" si="674">SUM(S1054:U1063)</f>
        <v>248954.2</v>
      </c>
      <c r="T1064" s="1983">
        <f t="shared" ref="T1064" si="675">SUM(T1054:V1063)</f>
        <v>35420.175999999992</v>
      </c>
      <c r="U1064" s="1986"/>
      <c r="V1064" s="1848"/>
      <c r="W1064" s="1848"/>
      <c r="X1064" s="1848"/>
      <c r="Y1064" s="1848"/>
      <c r="Z1064" s="1956"/>
      <c r="AA1064" s="1956"/>
      <c r="AF1064" s="1958"/>
      <c r="AG1064" s="1958"/>
      <c r="AH1064" s="1958"/>
      <c r="AI1064" s="1959"/>
      <c r="AJ1064" s="1960"/>
    </row>
    <row r="1065" spans="1:36" ht="21.95" customHeight="1" x14ac:dyDescent="0.2">
      <c r="A1065" s="1833">
        <f>satpek!$B$61</f>
        <v>42</v>
      </c>
      <c r="B1065" s="1943">
        <f>B1053+1</f>
        <v>5</v>
      </c>
      <c r="C1065" s="1937"/>
      <c r="D1065" s="1944" t="str">
        <f>VLOOKUP($A1065,satpek!$B$20:$N$144,2,0)</f>
        <v>Pasang batu andesit</v>
      </c>
      <c r="E1065" s="1944"/>
      <c r="F1065" s="2004"/>
      <c r="G1065" s="1945">
        <f>V1065</f>
        <v>45.2029</v>
      </c>
      <c r="H1065" s="1946" t="str">
        <f>VLOOKUP($A1065,satpek!$B$20:$N$144,7,0)</f>
        <v>m2</v>
      </c>
      <c r="I1065" s="1947"/>
      <c r="J1065" s="1947"/>
      <c r="K1065" s="1948"/>
      <c r="L1065" s="1949"/>
      <c r="M1065" s="1950" t="str">
        <f>VLOOKUP($A1065,satpek!$B$20:$N$144,5,0)</f>
        <v>A.4.4.3.58b.</v>
      </c>
      <c r="N1065" s="1951">
        <f>VLOOKUP($A1065,satpek!$B$20:$N$144,6,0)</f>
        <v>362752.6</v>
      </c>
      <c r="O1065" s="1938"/>
      <c r="P1065" s="1952">
        <f t="shared" si="643"/>
        <v>16397469.5</v>
      </c>
      <c r="Q1065" s="1953">
        <f>VLOOKUP($A1065,satpek!$B$20:$L$138,8,0)</f>
        <v>0.99347311693975449</v>
      </c>
      <c r="R1065" s="1954">
        <f>VLOOKUP($A1065,satpek!$B$20:$L$138,9,0)</f>
        <v>318924.74</v>
      </c>
      <c r="S1065" s="1954">
        <f>VLOOKUP($A1065,satpek!$B$20:$L$138,10,0)</f>
        <v>360384.95620000002</v>
      </c>
      <c r="T1065" s="1952">
        <f t="shared" si="644"/>
        <v>16290445.13661298</v>
      </c>
      <c r="U1065" s="1955"/>
      <c r="V1065" s="1848">
        <f>23.791*1.9</f>
        <v>45.2029</v>
      </c>
      <c r="X1065" s="1848">
        <f>P1075</f>
        <v>321020</v>
      </c>
      <c r="Y1065" s="1848">
        <f>S1075</f>
        <v>318924.74</v>
      </c>
      <c r="Z1065" s="1956">
        <v>41.8</v>
      </c>
      <c r="AA1065" s="1956">
        <f t="shared" si="641"/>
        <v>-3.4029000000000025</v>
      </c>
      <c r="AB1065" s="1836" t="s">
        <v>1912</v>
      </c>
      <c r="AF1065" s="1836"/>
      <c r="AG1065" s="1836"/>
      <c r="AH1065" s="1836"/>
      <c r="AI1065" s="1837">
        <v>358046.15</v>
      </c>
      <c r="AJ1065" s="1960">
        <f t="shared" si="642"/>
        <v>-4706.4499999999534</v>
      </c>
    </row>
    <row r="1066" spans="1:36" ht="21.95" customHeight="1" x14ac:dyDescent="0.2">
      <c r="B1066" s="2045"/>
      <c r="C1066" s="2046" t="str">
        <f>SNI!D846</f>
        <v>Bahan</v>
      </c>
      <c r="D1066" s="2047"/>
      <c r="E1066" s="2047"/>
      <c r="F1066" s="2048"/>
      <c r="G1066" s="2049"/>
      <c r="H1066" s="2050"/>
      <c r="I1066" s="2051"/>
      <c r="J1066" s="2051"/>
      <c r="K1066" s="2052"/>
      <c r="L1066" s="2053"/>
      <c r="M1066" s="2054"/>
      <c r="N1066" s="2055"/>
      <c r="O1066" s="2056"/>
      <c r="P1066" s="2057"/>
      <c r="Q1066" s="2058"/>
      <c r="R1066" s="2059"/>
      <c r="S1066" s="2059"/>
      <c r="T1066" s="2057"/>
      <c r="U1066" s="2060"/>
      <c r="Z1066" s="1956"/>
      <c r="AA1066" s="1956"/>
      <c r="AF1066" s="1836"/>
      <c r="AG1066" s="1836"/>
      <c r="AH1066" s="1836"/>
      <c r="AI1066" s="1837"/>
      <c r="AJ1066" s="1960"/>
    </row>
    <row r="1067" spans="1:36" ht="21.95" customHeight="1" x14ac:dyDescent="0.2">
      <c r="B1067" s="2045"/>
      <c r="C1067" s="2046"/>
      <c r="D1067" s="2047" t="str">
        <f>SNI!E846</f>
        <v>Batu andesit</v>
      </c>
      <c r="E1067" s="2047"/>
      <c r="F1067" s="2048"/>
      <c r="G1067" s="2049">
        <f>SNI!H846</f>
        <v>1.1000000000000001</v>
      </c>
      <c r="H1067" s="2050" t="str">
        <f>SNI!G846</f>
        <v>m2</v>
      </c>
      <c r="I1067" s="2051"/>
      <c r="J1067" s="2051"/>
      <c r="K1067" s="2052">
        <f>SNI!L846</f>
        <v>1</v>
      </c>
      <c r="L1067" s="2053"/>
      <c r="M1067" s="2054"/>
      <c r="N1067" s="2055">
        <f>SNI!I846</f>
        <v>180000</v>
      </c>
      <c r="O1067" s="2056"/>
      <c r="P1067" s="1969">
        <f t="shared" ref="P1067" si="676">N1067*G1067</f>
        <v>198000.00000000003</v>
      </c>
      <c r="Q1067" s="1953"/>
      <c r="R1067" s="1954"/>
      <c r="S1067" s="1954">
        <f t="shared" ref="S1067" si="677">P1067*K1067</f>
        <v>198000.00000000003</v>
      </c>
      <c r="T1067" s="1969">
        <f t="shared" ref="T1067" si="678">P1067-S1067</f>
        <v>0</v>
      </c>
      <c r="U1067" s="2060"/>
      <c r="Z1067" s="1956"/>
      <c r="AA1067" s="1956"/>
      <c r="AF1067" s="1836"/>
      <c r="AG1067" s="1836"/>
      <c r="AH1067" s="1836"/>
      <c r="AI1067" s="1837"/>
      <c r="AJ1067" s="1960"/>
    </row>
    <row r="1068" spans="1:36" ht="21.95" customHeight="1" x14ac:dyDescent="0.2">
      <c r="B1068" s="2045"/>
      <c r="C1068" s="2046"/>
      <c r="D1068" s="2047" t="str">
        <f>SNI!E847</f>
        <v>PC</v>
      </c>
      <c r="E1068" s="2047"/>
      <c r="F1068" s="2048"/>
      <c r="G1068" s="2049">
        <f>SNI!H847</f>
        <v>11.75</v>
      </c>
      <c r="H1068" s="2050" t="str">
        <f>SNI!G847</f>
        <v>kg</v>
      </c>
      <c r="I1068" s="2051"/>
      <c r="J1068" s="2051"/>
      <c r="K1068" s="2052">
        <f>SNI!L847</f>
        <v>0.85140000000000005</v>
      </c>
      <c r="L1068" s="2053"/>
      <c r="M1068" s="2054"/>
      <c r="N1068" s="2055">
        <f>SNI!I847</f>
        <v>1200</v>
      </c>
      <c r="O1068" s="2056"/>
      <c r="P1068" s="1969">
        <f t="shared" ref="P1068:P1074" si="679">N1068*G1068</f>
        <v>14100</v>
      </c>
      <c r="Q1068" s="1953"/>
      <c r="R1068" s="1954"/>
      <c r="S1068" s="1954">
        <f t="shared" ref="S1068:S1074" si="680">P1068*K1068</f>
        <v>12004.74</v>
      </c>
      <c r="T1068" s="1969">
        <f t="shared" ref="T1068:T1074" si="681">P1068-S1068</f>
        <v>2095.2600000000002</v>
      </c>
      <c r="U1068" s="2060"/>
      <c r="Z1068" s="1956"/>
      <c r="AA1068" s="1956"/>
      <c r="AF1068" s="1836"/>
      <c r="AG1068" s="1836"/>
      <c r="AH1068" s="1836"/>
      <c r="AI1068" s="1837"/>
      <c r="AJ1068" s="1960"/>
    </row>
    <row r="1069" spans="1:36" ht="21.95" customHeight="1" x14ac:dyDescent="0.2">
      <c r="B1069" s="2045"/>
      <c r="C1069" s="2046"/>
      <c r="D1069" s="2047" t="str">
        <f>SNI!E848</f>
        <v xml:space="preserve">Pasir Pasang </v>
      </c>
      <c r="E1069" s="2047"/>
      <c r="F1069" s="2048"/>
      <c r="G1069" s="2049">
        <f>SNI!H848</f>
        <v>3.5000000000000003E-2</v>
      </c>
      <c r="H1069" s="2050" t="str">
        <f>SNI!G848</f>
        <v>m3</v>
      </c>
      <c r="I1069" s="2051"/>
      <c r="J1069" s="2051"/>
      <c r="K1069" s="2052">
        <f>SNI!L848</f>
        <v>1</v>
      </c>
      <c r="L1069" s="2053"/>
      <c r="M1069" s="2054"/>
      <c r="N1069" s="2055">
        <f>SNI!I848</f>
        <v>260000</v>
      </c>
      <c r="O1069" s="2056"/>
      <c r="P1069" s="1969">
        <f t="shared" si="679"/>
        <v>9100</v>
      </c>
      <c r="Q1069" s="1953"/>
      <c r="R1069" s="1954"/>
      <c r="S1069" s="1954">
        <f t="shared" si="680"/>
        <v>9100</v>
      </c>
      <c r="T1069" s="1969">
        <f t="shared" si="681"/>
        <v>0</v>
      </c>
      <c r="U1069" s="2060"/>
      <c r="Z1069" s="1956"/>
      <c r="AA1069" s="1956"/>
      <c r="AF1069" s="1836"/>
      <c r="AG1069" s="1836"/>
      <c r="AH1069" s="1836"/>
      <c r="AI1069" s="1837"/>
      <c r="AJ1069" s="1960"/>
    </row>
    <row r="1070" spans="1:36" ht="21.95" customHeight="1" x14ac:dyDescent="0.2">
      <c r="B1070" s="2045"/>
      <c r="C1070" s="2046" t="str">
        <f>SNI!D924</f>
        <v>Memasang 1 m' "step nose" uk. (10x40) cm</v>
      </c>
      <c r="D1070" s="2047"/>
      <c r="E1070" s="2047"/>
      <c r="F1070" s="2048"/>
      <c r="G1070" s="2049"/>
      <c r="H1070" s="2050"/>
      <c r="I1070" s="2051"/>
      <c r="J1070" s="2051"/>
      <c r="K1070" s="2052"/>
      <c r="L1070" s="2053"/>
      <c r="M1070" s="2054"/>
      <c r="N1070" s="2055"/>
      <c r="O1070" s="2056"/>
      <c r="P1070" s="1969"/>
      <c r="Q1070" s="1953"/>
      <c r="R1070" s="1954"/>
      <c r="S1070" s="1954"/>
      <c r="T1070" s="1969"/>
      <c r="U1070" s="2060"/>
      <c r="Z1070" s="1956"/>
      <c r="AA1070" s="1956"/>
      <c r="AF1070" s="1836"/>
      <c r="AG1070" s="1836"/>
      <c r="AH1070" s="1836"/>
      <c r="AI1070" s="1837"/>
      <c r="AJ1070" s="1960"/>
    </row>
    <row r="1071" spans="1:36" ht="21.95" customHeight="1" x14ac:dyDescent="0.2">
      <c r="B1071" s="2045"/>
      <c r="C1071" s="2046"/>
      <c r="D1071" s="2047" t="str">
        <f>SNI!E850</f>
        <v xml:space="preserve">Pekerja </v>
      </c>
      <c r="E1071" s="2047"/>
      <c r="F1071" s="2048"/>
      <c r="G1071" s="2049">
        <f>SNI!H850</f>
        <v>0.7</v>
      </c>
      <c r="H1071" s="2050" t="str">
        <f>SNI!G850</f>
        <v>OH</v>
      </c>
      <c r="I1071" s="2051" t="str">
        <f>SNI!M850</f>
        <v>WNI</v>
      </c>
      <c r="J1071" s="2051"/>
      <c r="K1071" s="2052">
        <f>SNI!L850</f>
        <v>1</v>
      </c>
      <c r="L1071" s="2053"/>
      <c r="M1071" s="2054"/>
      <c r="N1071" s="2055">
        <f>SNI!I850</f>
        <v>88300</v>
      </c>
      <c r="O1071" s="2056"/>
      <c r="P1071" s="1969">
        <f t="shared" si="679"/>
        <v>61809.999999999993</v>
      </c>
      <c r="Q1071" s="1953"/>
      <c r="R1071" s="1954"/>
      <c r="S1071" s="1954">
        <f t="shared" si="680"/>
        <v>61809.999999999993</v>
      </c>
      <c r="T1071" s="1969">
        <f t="shared" si="681"/>
        <v>0</v>
      </c>
      <c r="U1071" s="2060"/>
      <c r="Z1071" s="1956"/>
      <c r="AA1071" s="1956"/>
      <c r="AF1071" s="1836"/>
      <c r="AG1071" s="1836"/>
      <c r="AH1071" s="1836"/>
      <c r="AI1071" s="1837"/>
      <c r="AJ1071" s="1960"/>
    </row>
    <row r="1072" spans="1:36" ht="21.95" customHeight="1" x14ac:dyDescent="0.2">
      <c r="B1072" s="2045"/>
      <c r="C1072" s="2046"/>
      <c r="D1072" s="2047" t="str">
        <f>SNI!E851</f>
        <v>Tukang Batu</v>
      </c>
      <c r="E1072" s="2047"/>
      <c r="F1072" s="2048"/>
      <c r="G1072" s="2049">
        <f>SNI!H851</f>
        <v>0.35</v>
      </c>
      <c r="H1072" s="2050" t="str">
        <f>SNI!G851</f>
        <v>OH</v>
      </c>
      <c r="I1072" s="2051" t="str">
        <f>SNI!M851</f>
        <v>WNI</v>
      </c>
      <c r="J1072" s="2051"/>
      <c r="K1072" s="2052">
        <f>SNI!L851</f>
        <v>1</v>
      </c>
      <c r="L1072" s="2053"/>
      <c r="M1072" s="2054"/>
      <c r="N1072" s="2055">
        <f>SNI!I851</f>
        <v>90000</v>
      </c>
      <c r="O1072" s="2056"/>
      <c r="P1072" s="1969">
        <f t="shared" si="679"/>
        <v>31499.999999999996</v>
      </c>
      <c r="Q1072" s="1953"/>
      <c r="R1072" s="1954"/>
      <c r="S1072" s="1954">
        <f t="shared" si="680"/>
        <v>31499.999999999996</v>
      </c>
      <c r="T1072" s="1969">
        <f t="shared" si="681"/>
        <v>0</v>
      </c>
      <c r="U1072" s="2060"/>
      <c r="Z1072" s="1956"/>
      <c r="AA1072" s="1956"/>
      <c r="AF1072" s="1836"/>
      <c r="AG1072" s="1836"/>
      <c r="AH1072" s="1836"/>
      <c r="AI1072" s="1837"/>
      <c r="AJ1072" s="1960"/>
    </row>
    <row r="1073" spans="1:36" ht="21.95" customHeight="1" x14ac:dyDescent="0.2">
      <c r="B1073" s="2045"/>
      <c r="C1073" s="2046"/>
      <c r="D1073" s="2047" t="str">
        <f>SNI!E852</f>
        <v>Kepala Tukang</v>
      </c>
      <c r="E1073" s="2047"/>
      <c r="F1073" s="2048"/>
      <c r="G1073" s="2049">
        <f>SNI!H852</f>
        <v>3.5000000000000003E-2</v>
      </c>
      <c r="H1073" s="2050" t="str">
        <f>SNI!G852</f>
        <v>OH</v>
      </c>
      <c r="I1073" s="2051" t="str">
        <f>SNI!M852</f>
        <v>WNI</v>
      </c>
      <c r="J1073" s="2051"/>
      <c r="K1073" s="2052">
        <f>SNI!L852</f>
        <v>1</v>
      </c>
      <c r="L1073" s="2053"/>
      <c r="M1073" s="2054"/>
      <c r="N1073" s="2055">
        <f>SNI!I852</f>
        <v>96000</v>
      </c>
      <c r="O1073" s="2056"/>
      <c r="P1073" s="1969">
        <f t="shared" si="679"/>
        <v>3360.0000000000005</v>
      </c>
      <c r="Q1073" s="1953"/>
      <c r="R1073" s="1954"/>
      <c r="S1073" s="1954">
        <f t="shared" si="680"/>
        <v>3360.0000000000005</v>
      </c>
      <c r="T1073" s="1969">
        <f t="shared" si="681"/>
        <v>0</v>
      </c>
      <c r="U1073" s="2060"/>
      <c r="Z1073" s="1956"/>
      <c r="AA1073" s="1956"/>
      <c r="AF1073" s="1836"/>
      <c r="AG1073" s="1836"/>
      <c r="AH1073" s="1836"/>
      <c r="AI1073" s="1837"/>
      <c r="AJ1073" s="1960"/>
    </row>
    <row r="1074" spans="1:36" ht="21.95" customHeight="1" x14ac:dyDescent="0.2">
      <c r="B1074" s="2045"/>
      <c r="C1074" s="2046"/>
      <c r="D1074" s="2047" t="str">
        <f>SNI!E853</f>
        <v>Mandor</v>
      </c>
      <c r="E1074" s="2047"/>
      <c r="F1074" s="2048"/>
      <c r="G1074" s="2049">
        <f>SNI!H853</f>
        <v>3.5000000000000003E-2</v>
      </c>
      <c r="H1074" s="2050" t="str">
        <f>SNI!G853</f>
        <v>OH</v>
      </c>
      <c r="I1074" s="2051" t="str">
        <f>SNI!M853</f>
        <v>WNI</v>
      </c>
      <c r="J1074" s="2051"/>
      <c r="K1074" s="2052">
        <f>SNI!L853</f>
        <v>1</v>
      </c>
      <c r="L1074" s="2053"/>
      <c r="M1074" s="2054"/>
      <c r="N1074" s="2055">
        <f>SNI!I853</f>
        <v>90000</v>
      </c>
      <c r="O1074" s="2056"/>
      <c r="P1074" s="1969">
        <f t="shared" si="679"/>
        <v>3150.0000000000005</v>
      </c>
      <c r="Q1074" s="1953"/>
      <c r="R1074" s="1954"/>
      <c r="S1074" s="1954">
        <f t="shared" si="680"/>
        <v>3150.0000000000005</v>
      </c>
      <c r="T1074" s="1969">
        <f t="shared" si="681"/>
        <v>0</v>
      </c>
      <c r="U1074" s="2060"/>
      <c r="Z1074" s="1956"/>
      <c r="AA1074" s="1956"/>
      <c r="AF1074" s="1836"/>
      <c r="AG1074" s="1836"/>
      <c r="AH1074" s="1836"/>
      <c r="AI1074" s="1837"/>
      <c r="AJ1074" s="1960"/>
    </row>
    <row r="1075" spans="1:36" s="1957" customFormat="1" ht="21.95" customHeight="1" x14ac:dyDescent="0.2">
      <c r="A1075" s="1942"/>
      <c r="B1075" s="1970"/>
      <c r="C1075" s="1971"/>
      <c r="D1075" s="1972"/>
      <c r="E1075" s="1973"/>
      <c r="F1075" s="1974" t="s">
        <v>556</v>
      </c>
      <c r="G1075" s="1975">
        <f>B1065</f>
        <v>5</v>
      </c>
      <c r="H1075" s="1976"/>
      <c r="I1075" s="1977"/>
      <c r="J1075" s="1977"/>
      <c r="K1075" s="1978"/>
      <c r="L1075" s="1979"/>
      <c r="M1075" s="1980"/>
      <c r="N1075" s="1981"/>
      <c r="O1075" s="1982"/>
      <c r="P1075" s="1983">
        <f>SUM(P1067:P1074)</f>
        <v>321020</v>
      </c>
      <c r="Q1075" s="1984"/>
      <c r="R1075" s="1985"/>
      <c r="S1075" s="1983">
        <f t="shared" ref="S1075:T1075" si="682">SUM(S1067:S1074)</f>
        <v>318924.74</v>
      </c>
      <c r="T1075" s="1983">
        <f t="shared" si="682"/>
        <v>2095.2600000000002</v>
      </c>
      <c r="U1075" s="1986"/>
      <c r="V1075" s="1848"/>
      <c r="W1075" s="1848"/>
      <c r="X1075" s="1848"/>
      <c r="Y1075" s="1848"/>
      <c r="Z1075" s="1956"/>
      <c r="AA1075" s="1956"/>
      <c r="AF1075" s="1958"/>
      <c r="AG1075" s="1958"/>
      <c r="AH1075" s="1958"/>
      <c r="AI1075" s="1959"/>
      <c r="AJ1075" s="1960"/>
    </row>
    <row r="1076" spans="1:36" ht="21.95" customHeight="1" x14ac:dyDescent="0.2">
      <c r="A1076" s="1833">
        <f>satpek!$B$105</f>
        <v>86</v>
      </c>
      <c r="B1076" s="1943">
        <f>B1065+1</f>
        <v>6</v>
      </c>
      <c r="C1076" s="1937"/>
      <c r="D1076" s="1944" t="str">
        <f>VLOOKUP($A1076,satpek!$B$20:$N$144,2,0)</f>
        <v>Memasang paving tb. 8 cm, K.250, polos</v>
      </c>
      <c r="E1076" s="1944"/>
      <c r="F1076" s="2004"/>
      <c r="G1076" s="1945">
        <f>'[3]B.VOL RAB'!Q359</f>
        <v>183.52999999999997</v>
      </c>
      <c r="H1076" s="1946" t="str">
        <f>VLOOKUP($A1076,satpek!$B$20:$N$144,7,0)</f>
        <v>m2</v>
      </c>
      <c r="I1076" s="1947"/>
      <c r="J1076" s="1947"/>
      <c r="K1076" s="1948"/>
      <c r="L1076" s="1949"/>
      <c r="M1076" s="1950" t="str">
        <f>VLOOKUP($A1076,satpek!$B$20:$N$144,5,0)</f>
        <v>An. Dihitung</v>
      </c>
      <c r="N1076" s="1951">
        <f>VLOOKUP($A1076,satpek!$B$20:$N$144,6,0)</f>
        <v>206637.45</v>
      </c>
      <c r="O1076" s="1938"/>
      <c r="P1076" s="1952">
        <f t="shared" si="643"/>
        <v>37924171.200000003</v>
      </c>
      <c r="Q1076" s="1953">
        <f>VLOOKUP($A1076,satpek!$B$20:$L$138,8,0)</f>
        <v>1</v>
      </c>
      <c r="R1076" s="1954">
        <f>VLOOKUP($A1076,satpek!$B$20:$L$138,9,0)</f>
        <v>182865</v>
      </c>
      <c r="S1076" s="1954">
        <f>VLOOKUP($A1076,satpek!$B$20:$L$138,10,0)</f>
        <v>206637.45</v>
      </c>
      <c r="T1076" s="1952">
        <f t="shared" si="644"/>
        <v>37924171.1985</v>
      </c>
      <c r="U1076" s="1955"/>
      <c r="V1076" s="1848">
        <f>Rekap!Q48</f>
        <v>1175000</v>
      </c>
      <c r="X1076" s="1848">
        <f>P1085</f>
        <v>182865</v>
      </c>
      <c r="Y1076" s="1848">
        <f>S1085</f>
        <v>182865</v>
      </c>
      <c r="Z1076" s="1956">
        <v>183.52999999999997</v>
      </c>
      <c r="AA1076" s="1956">
        <f t="shared" si="641"/>
        <v>0</v>
      </c>
      <c r="AB1076" s="1836" t="s">
        <v>234</v>
      </c>
      <c r="AF1076" s="1836"/>
      <c r="AG1076" s="1836"/>
      <c r="AH1076" s="1836"/>
      <c r="AI1076" s="1837">
        <v>199348.95</v>
      </c>
      <c r="AJ1076" s="1960">
        <f t="shared" si="642"/>
        <v>-7288.5</v>
      </c>
    </row>
    <row r="1077" spans="1:36" ht="21.95" customHeight="1" x14ac:dyDescent="0.2">
      <c r="B1077" s="2045"/>
      <c r="C1077" s="2046" t="str">
        <f>SNI!D1706</f>
        <v>Bahan</v>
      </c>
      <c r="D1077" s="2047"/>
      <c r="E1077" s="2047"/>
      <c r="F1077" s="2048"/>
      <c r="G1077" s="2049"/>
      <c r="H1077" s="2050"/>
      <c r="I1077" s="2051"/>
      <c r="J1077" s="2051"/>
      <c r="K1077" s="2052"/>
      <c r="L1077" s="2053"/>
      <c r="M1077" s="2054"/>
      <c r="N1077" s="2055"/>
      <c r="O1077" s="2056"/>
      <c r="P1077" s="2057"/>
      <c r="Q1077" s="2058"/>
      <c r="R1077" s="2059"/>
      <c r="S1077" s="2059"/>
      <c r="T1077" s="2057"/>
      <c r="U1077" s="2060"/>
      <c r="Z1077" s="1956"/>
      <c r="AA1077" s="1956"/>
      <c r="AF1077" s="1836"/>
      <c r="AG1077" s="1836"/>
      <c r="AH1077" s="1836"/>
      <c r="AI1077" s="1837"/>
      <c r="AJ1077" s="1960"/>
    </row>
    <row r="1078" spans="1:36" ht="21.95" customHeight="1" x14ac:dyDescent="0.2">
      <c r="B1078" s="2045"/>
      <c r="C1078" s="2046"/>
      <c r="D1078" s="2047" t="str">
        <f>SNI!E1706</f>
        <v>Paving tebal 8 cm</v>
      </c>
      <c r="E1078" s="2047"/>
      <c r="F1078" s="2048"/>
      <c r="G1078" s="2049">
        <f>SNI!H1706</f>
        <v>1</v>
      </c>
      <c r="H1078" s="2050" t="str">
        <f>SNI!G1706</f>
        <v>m2</v>
      </c>
      <c r="I1078" s="2051"/>
      <c r="J1078" s="2051"/>
      <c r="K1078" s="2052">
        <f>SNI!L1706</f>
        <v>1</v>
      </c>
      <c r="L1078" s="2053"/>
      <c r="M1078" s="2054"/>
      <c r="N1078" s="2055">
        <f>SNI!I1706</f>
        <v>128000</v>
      </c>
      <c r="O1078" s="2056"/>
      <c r="P1078" s="1969">
        <f t="shared" ref="P1078" si="683">N1078*G1078</f>
        <v>128000</v>
      </c>
      <c r="Q1078" s="1953"/>
      <c r="R1078" s="1954"/>
      <c r="S1078" s="1954">
        <f t="shared" ref="S1078" si="684">P1078*K1078</f>
        <v>128000</v>
      </c>
      <c r="T1078" s="1969">
        <f t="shared" ref="T1078" si="685">P1078-S1078</f>
        <v>0</v>
      </c>
      <c r="U1078" s="2060"/>
      <c r="Z1078" s="1956"/>
      <c r="AA1078" s="1956"/>
      <c r="AF1078" s="1836"/>
      <c r="AG1078" s="1836"/>
      <c r="AH1078" s="1836"/>
      <c r="AI1078" s="1837"/>
      <c r="AJ1078" s="1960"/>
    </row>
    <row r="1079" spans="1:36" ht="21.95" customHeight="1" x14ac:dyDescent="0.2">
      <c r="B1079" s="2045"/>
      <c r="C1079" s="2046"/>
      <c r="D1079" s="2047" t="str">
        <f>SNI!E1707</f>
        <v>Pasir Pasang</v>
      </c>
      <c r="E1079" s="2047"/>
      <c r="F1079" s="2048"/>
      <c r="G1079" s="2049">
        <f>SNI!H1707</f>
        <v>0.08</v>
      </c>
      <c r="H1079" s="2050" t="str">
        <f>SNI!G1707</f>
        <v>m3</v>
      </c>
      <c r="I1079" s="2051"/>
      <c r="J1079" s="2051"/>
      <c r="K1079" s="2052">
        <f>SNI!L1707</f>
        <v>1</v>
      </c>
      <c r="L1079" s="2053"/>
      <c r="M1079" s="2054"/>
      <c r="N1079" s="2055">
        <f>SNI!I1707</f>
        <v>260000</v>
      </c>
      <c r="O1079" s="2056"/>
      <c r="P1079" s="1969">
        <f t="shared" ref="P1079:P1084" si="686">N1079*G1079</f>
        <v>20800</v>
      </c>
      <c r="Q1079" s="1953"/>
      <c r="R1079" s="1954"/>
      <c r="S1079" s="1954">
        <f t="shared" ref="S1079:S1084" si="687">P1079*K1079</f>
        <v>20800</v>
      </c>
      <c r="T1079" s="1969">
        <f t="shared" ref="T1079:T1084" si="688">P1079-S1079</f>
        <v>0</v>
      </c>
      <c r="U1079" s="2060"/>
      <c r="Z1079" s="1956"/>
      <c r="AA1079" s="1956"/>
      <c r="AF1079" s="1836"/>
      <c r="AG1079" s="1836"/>
      <c r="AH1079" s="1836"/>
      <c r="AI1079" s="1837"/>
      <c r="AJ1079" s="1960"/>
    </row>
    <row r="1080" spans="1:36" ht="21.95" customHeight="1" x14ac:dyDescent="0.2">
      <c r="B1080" s="2045"/>
      <c r="C1080" s="2046" t="str">
        <f>SNI!D1709</f>
        <v>Tenaga Kerja</v>
      </c>
      <c r="D1080" s="2047"/>
      <c r="E1080" s="2047"/>
      <c r="F1080" s="2048"/>
      <c r="G1080" s="2049"/>
      <c r="H1080" s="2050"/>
      <c r="I1080" s="2051"/>
      <c r="J1080" s="2051"/>
      <c r="K1080" s="2052"/>
      <c r="L1080" s="2053"/>
      <c r="M1080" s="2054"/>
      <c r="N1080" s="2055"/>
      <c r="O1080" s="2056"/>
      <c r="P1080" s="1969"/>
      <c r="Q1080" s="1953"/>
      <c r="R1080" s="1954"/>
      <c r="S1080" s="1954"/>
      <c r="T1080" s="1969"/>
      <c r="U1080" s="2060"/>
      <c r="Z1080" s="1956"/>
      <c r="AA1080" s="1956"/>
      <c r="AF1080" s="1836"/>
      <c r="AG1080" s="1836"/>
      <c r="AH1080" s="1836"/>
      <c r="AI1080" s="1837"/>
      <c r="AJ1080" s="1960"/>
    </row>
    <row r="1081" spans="1:36" ht="21.95" customHeight="1" x14ac:dyDescent="0.2">
      <c r="B1081" s="2045"/>
      <c r="C1081" s="2046"/>
      <c r="D1081" s="2047" t="str">
        <f>SNI!E1709</f>
        <v>Pekerja</v>
      </c>
      <c r="E1081" s="2047"/>
      <c r="F1081" s="2048"/>
      <c r="G1081" s="2049">
        <f>SNI!H1709</f>
        <v>0.15</v>
      </c>
      <c r="H1081" s="2050" t="str">
        <f>SNI!G1709</f>
        <v>OH</v>
      </c>
      <c r="I1081" s="2051" t="str">
        <f>SNI!M1709</f>
        <v>WNI</v>
      </c>
      <c r="J1081" s="2051"/>
      <c r="K1081" s="2052">
        <f>SNI!L1709</f>
        <v>1</v>
      </c>
      <c r="L1081" s="2053"/>
      <c r="M1081" s="2054"/>
      <c r="N1081" s="2055">
        <f>SNI!I1709</f>
        <v>88300</v>
      </c>
      <c r="O1081" s="2056"/>
      <c r="P1081" s="1969">
        <f t="shared" si="686"/>
        <v>13245</v>
      </c>
      <c r="Q1081" s="1953"/>
      <c r="R1081" s="1954"/>
      <c r="S1081" s="1954">
        <f t="shared" si="687"/>
        <v>13245</v>
      </c>
      <c r="T1081" s="1969">
        <f t="shared" si="688"/>
        <v>0</v>
      </c>
      <c r="U1081" s="2060"/>
      <c r="Z1081" s="1956"/>
      <c r="AA1081" s="1956"/>
      <c r="AF1081" s="1836"/>
      <c r="AG1081" s="1836"/>
      <c r="AH1081" s="1836"/>
      <c r="AI1081" s="1837"/>
      <c r="AJ1081" s="1960"/>
    </row>
    <row r="1082" spans="1:36" ht="21.95" customHeight="1" x14ac:dyDescent="0.2">
      <c r="B1082" s="2045"/>
      <c r="C1082" s="2046"/>
      <c r="D1082" s="2047" t="str">
        <f>SNI!E1710</f>
        <v>Tukang batu</v>
      </c>
      <c r="E1082" s="2047"/>
      <c r="F1082" s="2048"/>
      <c r="G1082" s="2049">
        <f>SNI!H1710</f>
        <v>0.2</v>
      </c>
      <c r="H1082" s="2050" t="str">
        <f>SNI!G1710</f>
        <v>OH</v>
      </c>
      <c r="I1082" s="2051" t="str">
        <f>SNI!M1710</f>
        <v>WNI</v>
      </c>
      <c r="J1082" s="2051"/>
      <c r="K1082" s="2052">
        <f>SNI!L1710</f>
        <v>1</v>
      </c>
      <c r="L1082" s="2053"/>
      <c r="M1082" s="2054"/>
      <c r="N1082" s="2055">
        <f>SNI!I1710</f>
        <v>90000</v>
      </c>
      <c r="O1082" s="2056"/>
      <c r="P1082" s="1969">
        <f t="shared" si="686"/>
        <v>18000</v>
      </c>
      <c r="Q1082" s="1953"/>
      <c r="R1082" s="1954"/>
      <c r="S1082" s="1954">
        <f t="shared" si="687"/>
        <v>18000</v>
      </c>
      <c r="T1082" s="1969">
        <f t="shared" si="688"/>
        <v>0</v>
      </c>
      <c r="U1082" s="2060"/>
      <c r="Z1082" s="1956"/>
      <c r="AA1082" s="1956"/>
      <c r="AF1082" s="1836"/>
      <c r="AG1082" s="1836"/>
      <c r="AH1082" s="1836"/>
      <c r="AI1082" s="1837"/>
      <c r="AJ1082" s="1960"/>
    </row>
    <row r="1083" spans="1:36" ht="21.95" customHeight="1" x14ac:dyDescent="0.2">
      <c r="B1083" s="2045"/>
      <c r="C1083" s="2046"/>
      <c r="D1083" s="2047" t="str">
        <f>SNI!E1711</f>
        <v>Kep.Tukang</v>
      </c>
      <c r="E1083" s="2047"/>
      <c r="F1083" s="2048"/>
      <c r="G1083" s="2049">
        <f>SNI!H1711</f>
        <v>0.02</v>
      </c>
      <c r="H1083" s="2050" t="str">
        <f>SNI!G1711</f>
        <v>OH</v>
      </c>
      <c r="I1083" s="2051" t="str">
        <f>SNI!M1711</f>
        <v>WNI</v>
      </c>
      <c r="J1083" s="2051"/>
      <c r="K1083" s="2052">
        <f>SNI!L1711</f>
        <v>1</v>
      </c>
      <c r="L1083" s="2053"/>
      <c r="M1083" s="2054"/>
      <c r="N1083" s="2055">
        <f>SNI!I1711</f>
        <v>96000</v>
      </c>
      <c r="O1083" s="2056"/>
      <c r="P1083" s="1969">
        <f t="shared" si="686"/>
        <v>1920</v>
      </c>
      <c r="Q1083" s="1953"/>
      <c r="R1083" s="1954"/>
      <c r="S1083" s="1954">
        <f t="shared" si="687"/>
        <v>1920</v>
      </c>
      <c r="T1083" s="1969">
        <f t="shared" si="688"/>
        <v>0</v>
      </c>
      <c r="U1083" s="2060"/>
      <c r="Z1083" s="1956"/>
      <c r="AA1083" s="1956"/>
      <c r="AF1083" s="1836"/>
      <c r="AG1083" s="1836"/>
      <c r="AH1083" s="1836"/>
      <c r="AI1083" s="1837"/>
      <c r="AJ1083" s="1960"/>
    </row>
    <row r="1084" spans="1:36" ht="21.95" customHeight="1" x14ac:dyDescent="0.2">
      <c r="B1084" s="2045"/>
      <c r="C1084" s="2046"/>
      <c r="D1084" s="2047" t="str">
        <f>SNI!E1712</f>
        <v>Mandor</v>
      </c>
      <c r="E1084" s="2047"/>
      <c r="F1084" s="2048"/>
      <c r="G1084" s="2049">
        <f>SNI!H1712</f>
        <v>0.01</v>
      </c>
      <c r="H1084" s="2050" t="str">
        <f>SNI!G1712</f>
        <v>OH</v>
      </c>
      <c r="I1084" s="2051" t="str">
        <f>SNI!M1712</f>
        <v>WNI</v>
      </c>
      <c r="J1084" s="2051"/>
      <c r="K1084" s="2052">
        <f>SNI!L1712</f>
        <v>1</v>
      </c>
      <c r="L1084" s="2053"/>
      <c r="M1084" s="2054"/>
      <c r="N1084" s="2055">
        <f>SNI!I1712</f>
        <v>90000</v>
      </c>
      <c r="O1084" s="2056"/>
      <c r="P1084" s="1969">
        <f t="shared" si="686"/>
        <v>900</v>
      </c>
      <c r="Q1084" s="1953"/>
      <c r="R1084" s="1954"/>
      <c r="S1084" s="1954">
        <f t="shared" si="687"/>
        <v>900</v>
      </c>
      <c r="T1084" s="1969">
        <f t="shared" si="688"/>
        <v>0</v>
      </c>
      <c r="U1084" s="2060"/>
      <c r="Z1084" s="1956"/>
      <c r="AA1084" s="1956"/>
      <c r="AF1084" s="1836"/>
      <c r="AG1084" s="1836"/>
      <c r="AH1084" s="1836"/>
      <c r="AI1084" s="1837"/>
      <c r="AJ1084" s="1960"/>
    </row>
    <row r="1085" spans="1:36" s="1957" customFormat="1" ht="21.95" customHeight="1" x14ac:dyDescent="0.2">
      <c r="A1085" s="1942"/>
      <c r="B1085" s="1970"/>
      <c r="C1085" s="1971"/>
      <c r="D1085" s="1972"/>
      <c r="E1085" s="1973"/>
      <c r="F1085" s="1974" t="s">
        <v>556</v>
      </c>
      <c r="G1085" s="1975">
        <f>B1076</f>
        <v>6</v>
      </c>
      <c r="H1085" s="1976"/>
      <c r="I1085" s="1977"/>
      <c r="J1085" s="1977"/>
      <c r="K1085" s="1978"/>
      <c r="L1085" s="1979"/>
      <c r="M1085" s="1980"/>
      <c r="N1085" s="1981"/>
      <c r="O1085" s="1982"/>
      <c r="P1085" s="1983">
        <f>SUM(P1077:P1084)</f>
        <v>182865</v>
      </c>
      <c r="Q1085" s="1984"/>
      <c r="R1085" s="1985"/>
      <c r="S1085" s="1983">
        <f t="shared" ref="S1085" si="689">SUM(S1077:S1084)</f>
        <v>182865</v>
      </c>
      <c r="T1085" s="1983">
        <f t="shared" ref="T1085" si="690">SUM(T1077:T1084)</f>
        <v>0</v>
      </c>
      <c r="U1085" s="1986"/>
      <c r="V1085" s="1848"/>
      <c r="W1085" s="1848"/>
      <c r="X1085" s="1848"/>
      <c r="Y1085" s="1848"/>
      <c r="Z1085" s="1956"/>
      <c r="AA1085" s="1956"/>
      <c r="AF1085" s="1958"/>
      <c r="AG1085" s="1958"/>
      <c r="AH1085" s="1958"/>
      <c r="AI1085" s="1959"/>
      <c r="AJ1085" s="1960"/>
    </row>
    <row r="1086" spans="1:36" ht="21.95" customHeight="1" x14ac:dyDescent="0.2">
      <c r="A1086" s="1833">
        <f>satpek!$B$60</f>
        <v>41</v>
      </c>
      <c r="B1086" s="1943">
        <f>B1076+1</f>
        <v>7</v>
      </c>
      <c r="C1086" s="1937"/>
      <c r="D1086" s="1944" t="str">
        <f>VLOOKUP($A1086,satpek!$B$20:$N$144,2,0)</f>
        <v xml:space="preserve">Memasang lantai keramik unpolish ukuran 30/30 cm </v>
      </c>
      <c r="E1086" s="1944"/>
      <c r="F1086" s="2004"/>
      <c r="G1086" s="1945">
        <f>'[3]B.VOL RAB'!Q361</f>
        <v>18.840000000000003</v>
      </c>
      <c r="H1086" s="1946" t="str">
        <f>VLOOKUP($A1086,satpek!$B$20:$N$144,7,0)</f>
        <v>m2</v>
      </c>
      <c r="I1086" s="1947"/>
      <c r="J1086" s="1947"/>
      <c r="K1086" s="1948"/>
      <c r="L1086" s="1949"/>
      <c r="M1086" s="1950" t="str">
        <f>VLOOKUP($A1086,satpek!$B$20:$N$144,5,0)</f>
        <v>A.4.4.3.35.</v>
      </c>
      <c r="N1086" s="1951">
        <f>VLOOKUP($A1086,satpek!$B$20:$N$144,6,0)</f>
        <v>186829.68</v>
      </c>
      <c r="O1086" s="1938"/>
      <c r="P1086" s="1952">
        <f t="shared" si="643"/>
        <v>3519871.17</v>
      </c>
      <c r="Q1086" s="1953">
        <f>VLOOKUP($A1086,satpek!$B$20:$L$138,8,0)</f>
        <v>0.83020878695504929</v>
      </c>
      <c r="R1086" s="1954">
        <f>VLOOKUP($A1086,satpek!$B$20:$L$138,9,0)</f>
        <v>137263.40000000002</v>
      </c>
      <c r="S1086" s="1954">
        <f>VLOOKUP($A1086,satpek!$B$20:$L$138,10,0)</f>
        <v>155107.64200000002</v>
      </c>
      <c r="T1086" s="1952">
        <f t="shared" si="644"/>
        <v>2922227.9752800008</v>
      </c>
      <c r="U1086" s="1955"/>
      <c r="X1086" s="1848">
        <f>P1097</f>
        <v>165336</v>
      </c>
      <c r="Y1086" s="1848">
        <f>S1097</f>
        <v>137263.40000000002</v>
      </c>
      <c r="Z1086" s="1956">
        <v>18.840000000000003</v>
      </c>
      <c r="AA1086" s="1956">
        <f t="shared" si="641"/>
        <v>0</v>
      </c>
      <c r="AB1086" s="2016" t="s">
        <v>1809</v>
      </c>
      <c r="AF1086" s="1836"/>
      <c r="AG1086" s="1836"/>
      <c r="AH1086" s="1836"/>
      <c r="AI1086" s="1837">
        <v>176741.04</v>
      </c>
      <c r="AJ1086" s="1960">
        <f t="shared" si="642"/>
        <v>-10088.639999999985</v>
      </c>
    </row>
    <row r="1087" spans="1:36" ht="21.95" customHeight="1" x14ac:dyDescent="0.2">
      <c r="B1087" s="2045"/>
      <c r="C1087" s="2046" t="str">
        <f>SNI!D825</f>
        <v>Bahan</v>
      </c>
      <c r="D1087" s="2047"/>
      <c r="E1087" s="2047"/>
      <c r="F1087" s="2048"/>
      <c r="G1087" s="2049"/>
      <c r="H1087" s="2050"/>
      <c r="I1087" s="2051"/>
      <c r="J1087" s="2051"/>
      <c r="K1087" s="2052"/>
      <c r="L1087" s="2053"/>
      <c r="M1087" s="2054"/>
      <c r="N1087" s="2055"/>
      <c r="O1087" s="2056"/>
      <c r="P1087" s="2057"/>
      <c r="Q1087" s="2058"/>
      <c r="R1087" s="2059"/>
      <c r="S1087" s="2059"/>
      <c r="T1087" s="2057"/>
      <c r="U1087" s="2060"/>
      <c r="Z1087" s="1956"/>
      <c r="AA1087" s="1956"/>
      <c r="AB1087" s="2113"/>
      <c r="AF1087" s="1836"/>
      <c r="AG1087" s="1836"/>
      <c r="AH1087" s="1836"/>
      <c r="AI1087" s="1837"/>
      <c r="AJ1087" s="1960"/>
    </row>
    <row r="1088" spans="1:36" ht="21.95" customHeight="1" x14ac:dyDescent="0.2">
      <c r="B1088" s="2045"/>
      <c r="C1088" s="2046"/>
      <c r="D1088" s="2047" t="str">
        <f>SNI!E825</f>
        <v>Ubin Keramik dof</v>
      </c>
      <c r="E1088" s="2047"/>
      <c r="F1088" s="2048"/>
      <c r="G1088" s="2049">
        <f>SNI!H825</f>
        <v>1.05</v>
      </c>
      <c r="H1088" s="2050" t="str">
        <f>SNI!G825</f>
        <v>doos</v>
      </c>
      <c r="I1088" s="2051"/>
      <c r="J1088" s="2051"/>
      <c r="K1088" s="2052">
        <f>SNI!L825</f>
        <v>0.69620000000000004</v>
      </c>
      <c r="L1088" s="2053"/>
      <c r="M1088" s="2054"/>
      <c r="N1088" s="2055">
        <f>SNI!I825</f>
        <v>60000</v>
      </c>
      <c r="O1088" s="2056"/>
      <c r="P1088" s="1969">
        <f t="shared" ref="P1088" si="691">N1088*G1088</f>
        <v>63000</v>
      </c>
      <c r="Q1088" s="1953"/>
      <c r="R1088" s="1954"/>
      <c r="S1088" s="1954">
        <f t="shared" ref="S1088" si="692">P1088*K1088</f>
        <v>43860.600000000006</v>
      </c>
      <c r="T1088" s="1969">
        <f t="shared" ref="T1088" si="693">P1088-S1088</f>
        <v>19139.399999999994</v>
      </c>
      <c r="U1088" s="2060"/>
      <c r="Z1088" s="1956"/>
      <c r="AA1088" s="1956"/>
      <c r="AB1088" s="2113"/>
      <c r="AF1088" s="1836"/>
      <c r="AG1088" s="1836"/>
      <c r="AH1088" s="1836"/>
      <c r="AI1088" s="1837"/>
      <c r="AJ1088" s="1960"/>
    </row>
    <row r="1089" spans="1:36" ht="21.95" customHeight="1" x14ac:dyDescent="0.2">
      <c r="B1089" s="2045"/>
      <c r="C1089" s="2046"/>
      <c r="D1089" s="2047" t="str">
        <f>SNI!E826</f>
        <v>PC</v>
      </c>
      <c r="E1089" s="2047"/>
      <c r="F1089" s="2048"/>
      <c r="G1089" s="2049">
        <f>SNI!H826</f>
        <v>10</v>
      </c>
      <c r="H1089" s="2050" t="str">
        <f>SNI!G826</f>
        <v>kg</v>
      </c>
      <c r="I1089" s="2051"/>
      <c r="J1089" s="2051"/>
      <c r="K1089" s="2052">
        <f>SNI!L826</f>
        <v>0.85140000000000005</v>
      </c>
      <c r="L1089" s="2053"/>
      <c r="M1089" s="2054"/>
      <c r="N1089" s="2055">
        <f>SNI!I826</f>
        <v>1200</v>
      </c>
      <c r="O1089" s="2056"/>
      <c r="P1089" s="1969">
        <f t="shared" ref="P1089:P1096" si="694">N1089*G1089</f>
        <v>12000</v>
      </c>
      <c r="Q1089" s="1953"/>
      <c r="R1089" s="1954"/>
      <c r="S1089" s="1954">
        <f t="shared" ref="S1089:S1096" si="695">P1089*K1089</f>
        <v>10216.800000000001</v>
      </c>
      <c r="T1089" s="1969">
        <f t="shared" ref="T1089:T1096" si="696">P1089-S1089</f>
        <v>1783.1999999999989</v>
      </c>
      <c r="U1089" s="2060"/>
      <c r="Z1089" s="1956"/>
      <c r="AA1089" s="1956"/>
      <c r="AB1089" s="2113"/>
      <c r="AF1089" s="1836"/>
      <c r="AG1089" s="1836"/>
      <c r="AH1089" s="1836"/>
      <c r="AI1089" s="1837"/>
      <c r="AJ1089" s="1960"/>
    </row>
    <row r="1090" spans="1:36" ht="21.95" customHeight="1" x14ac:dyDescent="0.2">
      <c r="B1090" s="2045"/>
      <c r="C1090" s="2046"/>
      <c r="D1090" s="2047" t="str">
        <f>SNI!E827</f>
        <v>Pasir Pasang</v>
      </c>
      <c r="E1090" s="2047"/>
      <c r="F1090" s="2048"/>
      <c r="G1090" s="2049">
        <f>SNI!H827</f>
        <v>4.4999999999999998E-2</v>
      </c>
      <c r="H1090" s="2050" t="str">
        <f>SNI!G827</f>
        <v>m3</v>
      </c>
      <c r="I1090" s="2051"/>
      <c r="J1090" s="2051"/>
      <c r="K1090" s="2052">
        <f>SNI!L827</f>
        <v>1</v>
      </c>
      <c r="L1090" s="2053"/>
      <c r="M1090" s="2054"/>
      <c r="N1090" s="2055">
        <f>SNI!I827</f>
        <v>260000</v>
      </c>
      <c r="O1090" s="2056"/>
      <c r="P1090" s="1969">
        <f t="shared" si="694"/>
        <v>11700</v>
      </c>
      <c r="Q1090" s="1953"/>
      <c r="R1090" s="1954"/>
      <c r="S1090" s="1954">
        <f t="shared" si="695"/>
        <v>11700</v>
      </c>
      <c r="T1090" s="1969">
        <f t="shared" si="696"/>
        <v>0</v>
      </c>
      <c r="U1090" s="2060"/>
      <c r="Z1090" s="1956"/>
      <c r="AA1090" s="1956"/>
      <c r="AB1090" s="2113"/>
      <c r="AF1090" s="1836"/>
      <c r="AG1090" s="1836"/>
      <c r="AH1090" s="1836"/>
      <c r="AI1090" s="1837"/>
      <c r="AJ1090" s="1960"/>
    </row>
    <row r="1091" spans="1:36" ht="21.95" customHeight="1" x14ac:dyDescent="0.2">
      <c r="B1091" s="2045"/>
      <c r="C1091" s="2046"/>
      <c r="D1091" s="2047" t="str">
        <f>SNI!E828</f>
        <v>Semen Warna</v>
      </c>
      <c r="E1091" s="2047"/>
      <c r="F1091" s="2048"/>
      <c r="G1091" s="2049">
        <f>SNI!H828</f>
        <v>0.5</v>
      </c>
      <c r="H1091" s="2050" t="str">
        <f>SNI!G828</f>
        <v>kg</v>
      </c>
      <c r="I1091" s="2051"/>
      <c r="J1091" s="2051"/>
      <c r="K1091" s="2052">
        <f>SNI!L828</f>
        <v>0</v>
      </c>
      <c r="L1091" s="2053"/>
      <c r="M1091" s="2054"/>
      <c r="N1091" s="2055">
        <f>SNI!I828</f>
        <v>14300</v>
      </c>
      <c r="O1091" s="2056"/>
      <c r="P1091" s="1969">
        <f t="shared" si="694"/>
        <v>7150</v>
      </c>
      <c r="Q1091" s="1953"/>
      <c r="R1091" s="1954"/>
      <c r="S1091" s="1954">
        <f t="shared" si="695"/>
        <v>0</v>
      </c>
      <c r="T1091" s="1969">
        <f t="shared" si="696"/>
        <v>7150</v>
      </c>
      <c r="U1091" s="2060"/>
      <c r="Z1091" s="1956"/>
      <c r="AA1091" s="1956"/>
      <c r="AB1091" s="2113"/>
      <c r="AF1091" s="1836"/>
      <c r="AG1091" s="1836"/>
      <c r="AH1091" s="1836"/>
      <c r="AI1091" s="1837"/>
      <c r="AJ1091" s="1960"/>
    </row>
    <row r="1092" spans="1:36" ht="21.95" customHeight="1" x14ac:dyDescent="0.2">
      <c r="B1092" s="2045"/>
      <c r="C1092" s="2046" t="str">
        <f>SNI!D830</f>
        <v>Tenaga Kerja</v>
      </c>
      <c r="D1092" s="2047"/>
      <c r="E1092" s="2047"/>
      <c r="F1092" s="2048"/>
      <c r="G1092" s="2049"/>
      <c r="H1092" s="2050"/>
      <c r="I1092" s="2051"/>
      <c r="J1092" s="2051"/>
      <c r="K1092" s="2052"/>
      <c r="L1092" s="2053"/>
      <c r="M1092" s="2054"/>
      <c r="N1092" s="2055"/>
      <c r="O1092" s="2056"/>
      <c r="P1092" s="1969"/>
      <c r="Q1092" s="1953"/>
      <c r="R1092" s="1954"/>
      <c r="S1092" s="1954"/>
      <c r="T1092" s="1969"/>
      <c r="U1092" s="2060"/>
      <c r="Z1092" s="1956"/>
      <c r="AA1092" s="1956"/>
      <c r="AB1092" s="2113"/>
      <c r="AF1092" s="1836"/>
      <c r="AG1092" s="1836"/>
      <c r="AH1092" s="1836"/>
      <c r="AI1092" s="1837"/>
      <c r="AJ1092" s="1960"/>
    </row>
    <row r="1093" spans="1:36" ht="21.95" customHeight="1" x14ac:dyDescent="0.2">
      <c r="B1093" s="2045"/>
      <c r="C1093" s="2046"/>
      <c r="D1093" s="2047" t="str">
        <f>SNI!E830</f>
        <v xml:space="preserve">Pekerja </v>
      </c>
      <c r="E1093" s="2047"/>
      <c r="F1093" s="2048"/>
      <c r="G1093" s="2049">
        <f>SNI!H830</f>
        <v>0.5</v>
      </c>
      <c r="H1093" s="2050" t="str">
        <f>SNI!G830</f>
        <v>OH</v>
      </c>
      <c r="I1093" s="2051" t="str">
        <f>SNI!M830</f>
        <v>WNI</v>
      </c>
      <c r="J1093" s="2051"/>
      <c r="K1093" s="2052">
        <f>SNI!L830</f>
        <v>1</v>
      </c>
      <c r="L1093" s="2053"/>
      <c r="M1093" s="2054"/>
      <c r="N1093" s="2055">
        <f>SNI!I830</f>
        <v>88300</v>
      </c>
      <c r="O1093" s="2056"/>
      <c r="P1093" s="1969">
        <f t="shared" si="694"/>
        <v>44150</v>
      </c>
      <c r="Q1093" s="1953"/>
      <c r="R1093" s="1954"/>
      <c r="S1093" s="1954">
        <f t="shared" si="695"/>
        <v>44150</v>
      </c>
      <c r="T1093" s="1969">
        <f t="shared" si="696"/>
        <v>0</v>
      </c>
      <c r="U1093" s="2060"/>
      <c r="Z1093" s="1956"/>
      <c r="AA1093" s="1956"/>
      <c r="AB1093" s="2113"/>
      <c r="AF1093" s="1836"/>
      <c r="AG1093" s="1836"/>
      <c r="AH1093" s="1836"/>
      <c r="AI1093" s="1837"/>
      <c r="AJ1093" s="1960"/>
    </row>
    <row r="1094" spans="1:36" ht="21.95" customHeight="1" x14ac:dyDescent="0.2">
      <c r="B1094" s="2045"/>
      <c r="C1094" s="2046"/>
      <c r="D1094" s="2047" t="str">
        <f>SNI!E831</f>
        <v>Tukang Batu</v>
      </c>
      <c r="E1094" s="2047"/>
      <c r="F1094" s="2048"/>
      <c r="G1094" s="2049">
        <f>SNI!H831</f>
        <v>0.25</v>
      </c>
      <c r="H1094" s="2050" t="str">
        <f>SNI!G831</f>
        <v>OH</v>
      </c>
      <c r="I1094" s="2051" t="str">
        <f>SNI!M831</f>
        <v>WNI</v>
      </c>
      <c r="J1094" s="2051"/>
      <c r="K1094" s="2052">
        <f>SNI!L831</f>
        <v>1</v>
      </c>
      <c r="L1094" s="2053"/>
      <c r="M1094" s="2054"/>
      <c r="N1094" s="2055">
        <f>SNI!I831</f>
        <v>90000</v>
      </c>
      <c r="O1094" s="2056"/>
      <c r="P1094" s="1969">
        <f t="shared" si="694"/>
        <v>22500</v>
      </c>
      <c r="Q1094" s="1953"/>
      <c r="R1094" s="1954"/>
      <c r="S1094" s="1954">
        <f t="shared" si="695"/>
        <v>22500</v>
      </c>
      <c r="T1094" s="1969">
        <f t="shared" si="696"/>
        <v>0</v>
      </c>
      <c r="U1094" s="2060"/>
      <c r="Z1094" s="1956"/>
      <c r="AA1094" s="1956"/>
      <c r="AB1094" s="2113"/>
      <c r="AF1094" s="1836"/>
      <c r="AG1094" s="1836"/>
      <c r="AH1094" s="1836"/>
      <c r="AI1094" s="1837"/>
      <c r="AJ1094" s="1960"/>
    </row>
    <row r="1095" spans="1:36" ht="21.95" customHeight="1" x14ac:dyDescent="0.2">
      <c r="B1095" s="2045"/>
      <c r="C1095" s="2046"/>
      <c r="D1095" s="2047" t="str">
        <f>SNI!E832</f>
        <v>Kepala Tukang</v>
      </c>
      <c r="E1095" s="2047"/>
      <c r="F1095" s="2048"/>
      <c r="G1095" s="2049">
        <f>SNI!H832</f>
        <v>2.5999999999999999E-2</v>
      </c>
      <c r="H1095" s="2050" t="str">
        <f>SNI!G832</f>
        <v>OH</v>
      </c>
      <c r="I1095" s="2051" t="str">
        <f>SNI!M832</f>
        <v>WNI</v>
      </c>
      <c r="J1095" s="2051"/>
      <c r="K1095" s="2052">
        <f>SNI!L832</f>
        <v>1</v>
      </c>
      <c r="L1095" s="2053"/>
      <c r="M1095" s="2054"/>
      <c r="N1095" s="2055">
        <f>SNI!I832</f>
        <v>96000</v>
      </c>
      <c r="O1095" s="2056"/>
      <c r="P1095" s="1969">
        <f t="shared" si="694"/>
        <v>2496</v>
      </c>
      <c r="Q1095" s="1953"/>
      <c r="R1095" s="1954"/>
      <c r="S1095" s="1954">
        <f t="shared" si="695"/>
        <v>2496</v>
      </c>
      <c r="T1095" s="1969">
        <f t="shared" si="696"/>
        <v>0</v>
      </c>
      <c r="U1095" s="2060"/>
      <c r="Z1095" s="1956"/>
      <c r="AA1095" s="1956"/>
      <c r="AB1095" s="2113"/>
      <c r="AF1095" s="1836"/>
      <c r="AG1095" s="1836"/>
      <c r="AH1095" s="1836"/>
      <c r="AI1095" s="1837"/>
      <c r="AJ1095" s="1960"/>
    </row>
    <row r="1096" spans="1:36" ht="21.95" customHeight="1" x14ac:dyDescent="0.2">
      <c r="B1096" s="2045"/>
      <c r="C1096" s="2046"/>
      <c r="D1096" s="2047" t="str">
        <f>SNI!E833</f>
        <v>Mandor</v>
      </c>
      <c r="E1096" s="2047"/>
      <c r="F1096" s="2048"/>
      <c r="G1096" s="2049">
        <f>SNI!H833</f>
        <v>2.5999999999999999E-2</v>
      </c>
      <c r="H1096" s="2050" t="str">
        <f>SNI!G833</f>
        <v>OH</v>
      </c>
      <c r="I1096" s="2051" t="str">
        <f>SNI!M833</f>
        <v>WNI</v>
      </c>
      <c r="J1096" s="2051"/>
      <c r="K1096" s="2052">
        <f>SNI!L833</f>
        <v>1</v>
      </c>
      <c r="L1096" s="2053"/>
      <c r="M1096" s="2054"/>
      <c r="N1096" s="2055">
        <f>SNI!I833</f>
        <v>90000</v>
      </c>
      <c r="O1096" s="2056"/>
      <c r="P1096" s="1969">
        <f t="shared" si="694"/>
        <v>2340</v>
      </c>
      <c r="Q1096" s="1953"/>
      <c r="R1096" s="1954"/>
      <c r="S1096" s="1954">
        <f t="shared" si="695"/>
        <v>2340</v>
      </c>
      <c r="T1096" s="1969">
        <f t="shared" si="696"/>
        <v>0</v>
      </c>
      <c r="U1096" s="2060"/>
      <c r="Z1096" s="1956"/>
      <c r="AA1096" s="1956"/>
      <c r="AB1096" s="2113"/>
      <c r="AF1096" s="1836"/>
      <c r="AG1096" s="1836"/>
      <c r="AH1096" s="1836"/>
      <c r="AI1096" s="1837"/>
      <c r="AJ1096" s="1960"/>
    </row>
    <row r="1097" spans="1:36" s="1957" customFormat="1" ht="21.95" customHeight="1" x14ac:dyDescent="0.2">
      <c r="A1097" s="1942"/>
      <c r="B1097" s="1970"/>
      <c r="C1097" s="1971"/>
      <c r="D1097" s="1972"/>
      <c r="E1097" s="1973"/>
      <c r="F1097" s="1974" t="s">
        <v>556</v>
      </c>
      <c r="G1097" s="1975">
        <f>B1086</f>
        <v>7</v>
      </c>
      <c r="H1097" s="1976"/>
      <c r="I1097" s="1977"/>
      <c r="J1097" s="1977"/>
      <c r="K1097" s="1978"/>
      <c r="L1097" s="1979"/>
      <c r="M1097" s="1980"/>
      <c r="N1097" s="1981"/>
      <c r="O1097" s="1982"/>
      <c r="P1097" s="1983">
        <f>SUM(P1088:P1096)</f>
        <v>165336</v>
      </c>
      <c r="Q1097" s="1984"/>
      <c r="R1097" s="1985"/>
      <c r="S1097" s="1983">
        <f t="shared" ref="S1097:T1097" si="697">SUM(S1088:S1096)</f>
        <v>137263.40000000002</v>
      </c>
      <c r="T1097" s="1983">
        <f t="shared" si="697"/>
        <v>28072.599999999991</v>
      </c>
      <c r="U1097" s="1986"/>
      <c r="V1097" s="1848"/>
      <c r="W1097" s="1848"/>
      <c r="X1097" s="1848"/>
      <c r="Y1097" s="1848"/>
      <c r="Z1097" s="1956"/>
      <c r="AA1097" s="1956"/>
      <c r="AF1097" s="1958"/>
      <c r="AG1097" s="1958"/>
      <c r="AH1097" s="1958"/>
      <c r="AI1097" s="1959"/>
      <c r="AJ1097" s="1960"/>
    </row>
    <row r="1098" spans="1:36" ht="21.95" customHeight="1" x14ac:dyDescent="0.2">
      <c r="A1098" s="1833">
        <f>satpek!$B$59</f>
        <v>40</v>
      </c>
      <c r="B1098" s="1943">
        <f>B1086+1</f>
        <v>8</v>
      </c>
      <c r="C1098" s="1937"/>
      <c r="D1098" s="1944" t="str">
        <f>VLOOKUP($A1098,satpek!$B$20:$N$144,2,0)</f>
        <v>Memasang plint lantai Homogenius tile uk. (10 x 60) cm</v>
      </c>
      <c r="E1098" s="1944"/>
      <c r="F1098" s="2004"/>
      <c r="G1098" s="1945">
        <f>'[3]B.VOL RAB'!Q365</f>
        <v>614.89999999999964</v>
      </c>
      <c r="H1098" s="1946" t="str">
        <f>VLOOKUP($A1098,satpek!$B$20:$N$144,7,0)</f>
        <v>m'</v>
      </c>
      <c r="I1098" s="1947"/>
      <c r="J1098" s="1947"/>
      <c r="K1098" s="1948"/>
      <c r="L1098" s="1949"/>
      <c r="M1098" s="1950" t="str">
        <f>VLOOKUP($A1098,satpek!$B$20:$N$144,5,0)</f>
        <v>A.4.4.3.28.a.</v>
      </c>
      <c r="N1098" s="1951">
        <f>VLOOKUP($A1098,satpek!$B$20:$N$144,6,0)</f>
        <v>38068.57</v>
      </c>
      <c r="O1098" s="1938"/>
      <c r="P1098" s="1952">
        <f t="shared" si="643"/>
        <v>23408363.690000001</v>
      </c>
      <c r="Q1098" s="1953">
        <f>VLOOKUP($A1098,satpek!$B$20:$L$138,8,0)</f>
        <v>0.83654205230193834</v>
      </c>
      <c r="R1098" s="1954">
        <f>VLOOKUP($A1098,satpek!$B$20:$L$138,9,0)</f>
        <v>28182.265200000002</v>
      </c>
      <c r="S1098" s="1954">
        <f>VLOOKUP($A1098,satpek!$B$20:$L$138,10,0)</f>
        <v>31845.959676000002</v>
      </c>
      <c r="T1098" s="1952">
        <f t="shared" si="644"/>
        <v>19582080.604772389</v>
      </c>
      <c r="U1098" s="1955"/>
      <c r="X1098" s="1848">
        <f>P1109</f>
        <v>33689</v>
      </c>
      <c r="Y1098" s="1848">
        <f>S1109</f>
        <v>28182.265200000002</v>
      </c>
      <c r="Z1098" s="1956">
        <v>614.89999999999964</v>
      </c>
      <c r="AA1098" s="1956">
        <f t="shared" si="641"/>
        <v>0</v>
      </c>
      <c r="AB1098" s="1836" t="s">
        <v>1810</v>
      </c>
      <c r="AF1098" s="1836"/>
      <c r="AG1098" s="1836"/>
      <c r="AH1098" s="1836"/>
      <c r="AI1098" s="1837">
        <v>72758.44</v>
      </c>
      <c r="AJ1098" s="1960">
        <f t="shared" si="642"/>
        <v>34689.870000000003</v>
      </c>
    </row>
    <row r="1099" spans="1:36" ht="21.95" customHeight="1" x14ac:dyDescent="0.2">
      <c r="B1099" s="2045"/>
      <c r="C1099" s="2046" t="str">
        <f>SNI!D803</f>
        <v>Bahan</v>
      </c>
      <c r="D1099" s="2047"/>
      <c r="E1099" s="2047"/>
      <c r="F1099" s="2048"/>
      <c r="G1099" s="2049"/>
      <c r="H1099" s="2050"/>
      <c r="I1099" s="2051"/>
      <c r="J1099" s="2051"/>
      <c r="K1099" s="2052"/>
      <c r="L1099" s="2053"/>
      <c r="M1099" s="2054"/>
      <c r="N1099" s="2055"/>
      <c r="O1099" s="2056"/>
      <c r="P1099" s="2057"/>
      <c r="Q1099" s="2058"/>
      <c r="R1099" s="2059"/>
      <c r="S1099" s="2059"/>
      <c r="T1099" s="2057"/>
      <c r="U1099" s="2060"/>
      <c r="Z1099" s="1956"/>
      <c r="AA1099" s="1956"/>
      <c r="AF1099" s="1836"/>
      <c r="AG1099" s="1836"/>
      <c r="AH1099" s="1836"/>
      <c r="AI1099" s="1837"/>
      <c r="AJ1099" s="1960"/>
    </row>
    <row r="1100" spans="1:36" ht="21.95" customHeight="1" x14ac:dyDescent="0.2">
      <c r="B1100" s="2045"/>
      <c r="C1100" s="2046"/>
      <c r="D1100" s="2047" t="str">
        <f>SNI!E803</f>
        <v>Plint granit tile 10/60</v>
      </c>
      <c r="E1100" s="2047"/>
      <c r="F1100" s="2048"/>
      <c r="G1100" s="2049">
        <f>SNI!H803</f>
        <v>1.7</v>
      </c>
      <c r="H1100" s="2050" t="str">
        <f>SNI!G803</f>
        <v>buah</v>
      </c>
      <c r="I1100" s="2051"/>
      <c r="J1100" s="2051"/>
      <c r="K1100" s="2052">
        <f>SNI!L803</f>
        <v>0.69620000000000004</v>
      </c>
      <c r="L1100" s="2053"/>
      <c r="M1100" s="2054"/>
      <c r="N1100" s="2055">
        <f>SNI!I803</f>
        <v>7500</v>
      </c>
      <c r="O1100" s="2056"/>
      <c r="P1100" s="1969">
        <f t="shared" ref="P1100" si="698">N1100*G1100</f>
        <v>12750</v>
      </c>
      <c r="Q1100" s="1953"/>
      <c r="R1100" s="1954"/>
      <c r="S1100" s="1954">
        <f t="shared" ref="S1100" si="699">P1100*K1100</f>
        <v>8876.5500000000011</v>
      </c>
      <c r="T1100" s="1969">
        <f t="shared" ref="T1100" si="700">P1100-S1100</f>
        <v>3873.4499999999989</v>
      </c>
      <c r="U1100" s="2060"/>
      <c r="Z1100" s="1956"/>
      <c r="AA1100" s="1956"/>
      <c r="AF1100" s="1836"/>
      <c r="AG1100" s="1836"/>
      <c r="AH1100" s="1836"/>
      <c r="AI1100" s="1837"/>
      <c r="AJ1100" s="1960"/>
    </row>
    <row r="1101" spans="1:36" ht="21.95" customHeight="1" x14ac:dyDescent="0.2">
      <c r="B1101" s="2045"/>
      <c r="C1101" s="2046"/>
      <c r="D1101" s="2047" t="str">
        <f>SNI!E804</f>
        <v>PC</v>
      </c>
      <c r="E1101" s="2047"/>
      <c r="F1101" s="2048"/>
      <c r="G1101" s="2049">
        <f>SNI!H804</f>
        <v>1.1399999999999999</v>
      </c>
      <c r="H1101" s="2050" t="str">
        <f>SNI!G804</f>
        <v>kg</v>
      </c>
      <c r="I1101" s="2051"/>
      <c r="J1101" s="2051"/>
      <c r="K1101" s="2052">
        <f>SNI!L804</f>
        <v>0.85140000000000005</v>
      </c>
      <c r="L1101" s="2053"/>
      <c r="M1101" s="2054"/>
      <c r="N1101" s="2055">
        <f>SNI!I804</f>
        <v>1200</v>
      </c>
      <c r="O1101" s="2056"/>
      <c r="P1101" s="1969">
        <f t="shared" ref="P1101:P1108" si="701">N1101*G1101</f>
        <v>1367.9999999999998</v>
      </c>
      <c r="Q1101" s="1953"/>
      <c r="R1101" s="1954"/>
      <c r="S1101" s="1954">
        <f t="shared" ref="S1101:S1108" si="702">P1101*K1101</f>
        <v>1164.7151999999999</v>
      </c>
      <c r="T1101" s="1969">
        <f t="shared" ref="T1101:T1108" si="703">P1101-S1101</f>
        <v>203.2847999999999</v>
      </c>
      <c r="U1101" s="2060"/>
      <c r="Z1101" s="1956"/>
      <c r="AA1101" s="1956"/>
      <c r="AF1101" s="1836"/>
      <c r="AG1101" s="1836"/>
      <c r="AH1101" s="1836"/>
      <c r="AI1101" s="1837"/>
      <c r="AJ1101" s="1960"/>
    </row>
    <row r="1102" spans="1:36" ht="21.95" customHeight="1" x14ac:dyDescent="0.2">
      <c r="B1102" s="2045"/>
      <c r="C1102" s="2046"/>
      <c r="D1102" s="2047" t="str">
        <f>SNI!E805</f>
        <v>Pasir Pasang</v>
      </c>
      <c r="E1102" s="2047"/>
      <c r="F1102" s="2048"/>
      <c r="G1102" s="2049">
        <f>SNI!H805</f>
        <v>3.0000000000000001E-3</v>
      </c>
      <c r="H1102" s="2050" t="str">
        <f>SNI!G805</f>
        <v>m3</v>
      </c>
      <c r="I1102" s="2051"/>
      <c r="J1102" s="2051"/>
      <c r="K1102" s="2052">
        <f>SNI!L805</f>
        <v>1</v>
      </c>
      <c r="L1102" s="2053"/>
      <c r="M1102" s="2054"/>
      <c r="N1102" s="2055">
        <f>SNI!I805</f>
        <v>260000</v>
      </c>
      <c r="O1102" s="2056"/>
      <c r="P1102" s="1969">
        <f t="shared" si="701"/>
        <v>780</v>
      </c>
      <c r="Q1102" s="1953"/>
      <c r="R1102" s="1954"/>
      <c r="S1102" s="1954">
        <f t="shared" si="702"/>
        <v>780</v>
      </c>
      <c r="T1102" s="1969">
        <f t="shared" si="703"/>
        <v>0</v>
      </c>
      <c r="U1102" s="2060"/>
      <c r="Z1102" s="1956"/>
      <c r="AA1102" s="1956"/>
      <c r="AF1102" s="1836"/>
      <c r="AG1102" s="1836"/>
      <c r="AH1102" s="1836"/>
      <c r="AI1102" s="1837"/>
      <c r="AJ1102" s="1960"/>
    </row>
    <row r="1103" spans="1:36" ht="21.95" customHeight="1" x14ac:dyDescent="0.2">
      <c r="B1103" s="2045"/>
      <c r="C1103" s="2046"/>
      <c r="D1103" s="2047" t="str">
        <f>SNI!E806</f>
        <v>Semen Warna</v>
      </c>
      <c r="E1103" s="2047"/>
      <c r="F1103" s="2048"/>
      <c r="G1103" s="2049">
        <f>SNI!H806</f>
        <v>0.1</v>
      </c>
      <c r="H1103" s="2050" t="str">
        <f>SNI!G806</f>
        <v>kg</v>
      </c>
      <c r="I1103" s="2051"/>
      <c r="J1103" s="2051"/>
      <c r="K1103" s="2052">
        <f>SNI!L806</f>
        <v>0</v>
      </c>
      <c r="L1103" s="2053"/>
      <c r="M1103" s="2054"/>
      <c r="N1103" s="2055">
        <f>SNI!I806</f>
        <v>14300</v>
      </c>
      <c r="O1103" s="2056"/>
      <c r="P1103" s="1969">
        <f t="shared" si="701"/>
        <v>1430</v>
      </c>
      <c r="Q1103" s="1953"/>
      <c r="R1103" s="1954"/>
      <c r="S1103" s="1954">
        <f t="shared" si="702"/>
        <v>0</v>
      </c>
      <c r="T1103" s="1969">
        <f t="shared" si="703"/>
        <v>1430</v>
      </c>
      <c r="U1103" s="2060"/>
      <c r="Z1103" s="1956"/>
      <c r="AA1103" s="1956"/>
      <c r="AF1103" s="1836"/>
      <c r="AG1103" s="1836"/>
      <c r="AH1103" s="1836"/>
      <c r="AI1103" s="1837"/>
      <c r="AJ1103" s="1960"/>
    </row>
    <row r="1104" spans="1:36" ht="21.95" customHeight="1" x14ac:dyDescent="0.2">
      <c r="B1104" s="2045"/>
      <c r="C1104" s="2046" t="str">
        <f>SNI!D808</f>
        <v>Tenaga Kerja</v>
      </c>
      <c r="D1104" s="2047"/>
      <c r="E1104" s="2047"/>
      <c r="F1104" s="2048"/>
      <c r="G1104" s="2049"/>
      <c r="H1104" s="2050"/>
      <c r="I1104" s="2051"/>
      <c r="J1104" s="2051"/>
      <c r="K1104" s="2052"/>
      <c r="L1104" s="2053"/>
      <c r="M1104" s="2054"/>
      <c r="N1104" s="2055"/>
      <c r="O1104" s="2056"/>
      <c r="P1104" s="1969"/>
      <c r="Q1104" s="1953"/>
      <c r="R1104" s="1954"/>
      <c r="S1104" s="1954"/>
      <c r="T1104" s="1969"/>
      <c r="U1104" s="2060"/>
      <c r="Z1104" s="1956"/>
      <c r="AA1104" s="1956"/>
      <c r="AF1104" s="1836"/>
      <c r="AG1104" s="1836"/>
      <c r="AH1104" s="1836"/>
      <c r="AI1104" s="1837"/>
      <c r="AJ1104" s="1960"/>
    </row>
    <row r="1105" spans="1:36" ht="21.95" customHeight="1" x14ac:dyDescent="0.2">
      <c r="B1105" s="2045"/>
      <c r="C1105" s="2046"/>
      <c r="D1105" s="2047" t="str">
        <f>SNI!E808</f>
        <v xml:space="preserve">Pekerja </v>
      </c>
      <c r="E1105" s="2047"/>
      <c r="F1105" s="2048"/>
      <c r="G1105" s="2049">
        <f>SNI!H808</f>
        <v>0.09</v>
      </c>
      <c r="H1105" s="2050" t="str">
        <f>SNI!G808</f>
        <v>OH</v>
      </c>
      <c r="I1105" s="2051" t="str">
        <f>SNI!M808</f>
        <v>WNI</v>
      </c>
      <c r="J1105" s="2051"/>
      <c r="K1105" s="2052">
        <f>SNI!L808</f>
        <v>1</v>
      </c>
      <c r="L1105" s="2053"/>
      <c r="M1105" s="2054"/>
      <c r="N1105" s="2055">
        <f>SNI!I808</f>
        <v>88300</v>
      </c>
      <c r="O1105" s="2056"/>
      <c r="P1105" s="1969">
        <f t="shared" si="701"/>
        <v>7947</v>
      </c>
      <c r="Q1105" s="1953"/>
      <c r="R1105" s="1954"/>
      <c r="S1105" s="1954">
        <f t="shared" si="702"/>
        <v>7947</v>
      </c>
      <c r="T1105" s="1969">
        <f t="shared" si="703"/>
        <v>0</v>
      </c>
      <c r="U1105" s="2060"/>
      <c r="Z1105" s="1956"/>
      <c r="AA1105" s="1956"/>
      <c r="AF1105" s="1836"/>
      <c r="AG1105" s="1836"/>
      <c r="AH1105" s="1836"/>
      <c r="AI1105" s="1837"/>
      <c r="AJ1105" s="1960"/>
    </row>
    <row r="1106" spans="1:36" ht="21.95" customHeight="1" x14ac:dyDescent="0.2">
      <c r="B1106" s="2045"/>
      <c r="C1106" s="2046"/>
      <c r="D1106" s="2047" t="str">
        <f>SNI!E809</f>
        <v>Tukang Batu</v>
      </c>
      <c r="E1106" s="2047"/>
      <c r="F1106" s="2048"/>
      <c r="G1106" s="2049">
        <f>SNI!H809</f>
        <v>0.09</v>
      </c>
      <c r="H1106" s="2050" t="str">
        <f>SNI!G809</f>
        <v>OH</v>
      </c>
      <c r="I1106" s="2051" t="str">
        <f>SNI!M809</f>
        <v>WNI</v>
      </c>
      <c r="J1106" s="2051"/>
      <c r="K1106" s="2052">
        <f>SNI!L809</f>
        <v>1</v>
      </c>
      <c r="L1106" s="2053"/>
      <c r="M1106" s="2054"/>
      <c r="N1106" s="2055">
        <f>SNI!I809</f>
        <v>90000</v>
      </c>
      <c r="O1106" s="2056"/>
      <c r="P1106" s="1969">
        <f t="shared" si="701"/>
        <v>8100</v>
      </c>
      <c r="Q1106" s="1953"/>
      <c r="R1106" s="1954"/>
      <c r="S1106" s="1954">
        <f t="shared" si="702"/>
        <v>8100</v>
      </c>
      <c r="T1106" s="1969">
        <f t="shared" si="703"/>
        <v>0</v>
      </c>
      <c r="U1106" s="2060"/>
      <c r="Z1106" s="1956"/>
      <c r="AA1106" s="1956"/>
      <c r="AF1106" s="1836"/>
      <c r="AG1106" s="1836"/>
      <c r="AH1106" s="1836"/>
      <c r="AI1106" s="1837"/>
      <c r="AJ1106" s="1960"/>
    </row>
    <row r="1107" spans="1:36" ht="21.95" customHeight="1" x14ac:dyDescent="0.2">
      <c r="B1107" s="2045"/>
      <c r="C1107" s="2046"/>
      <c r="D1107" s="2047" t="str">
        <f>SNI!E810</f>
        <v>Kepala Tukang</v>
      </c>
      <c r="E1107" s="2047"/>
      <c r="F1107" s="2048"/>
      <c r="G1107" s="2049">
        <f>SNI!H810</f>
        <v>8.9999999999999993E-3</v>
      </c>
      <c r="H1107" s="2050" t="str">
        <f>SNI!G810</f>
        <v>OH</v>
      </c>
      <c r="I1107" s="2051" t="str">
        <f>SNI!M810</f>
        <v>WNI</v>
      </c>
      <c r="J1107" s="2051"/>
      <c r="K1107" s="2052">
        <f>SNI!L810</f>
        <v>1</v>
      </c>
      <c r="L1107" s="2053"/>
      <c r="M1107" s="2054"/>
      <c r="N1107" s="2055">
        <f>SNI!I810</f>
        <v>96000</v>
      </c>
      <c r="O1107" s="2056"/>
      <c r="P1107" s="1969">
        <f t="shared" si="701"/>
        <v>863.99999999999989</v>
      </c>
      <c r="Q1107" s="1953"/>
      <c r="R1107" s="1954"/>
      <c r="S1107" s="1954">
        <f t="shared" si="702"/>
        <v>863.99999999999989</v>
      </c>
      <c r="T1107" s="1969">
        <f t="shared" si="703"/>
        <v>0</v>
      </c>
      <c r="U1107" s="2060"/>
      <c r="Z1107" s="1956"/>
      <c r="AA1107" s="1956"/>
      <c r="AF1107" s="1836"/>
      <c r="AG1107" s="1836"/>
      <c r="AH1107" s="1836"/>
      <c r="AI1107" s="1837"/>
      <c r="AJ1107" s="1960"/>
    </row>
    <row r="1108" spans="1:36" ht="21.95" customHeight="1" x14ac:dyDescent="0.2">
      <c r="B1108" s="2045"/>
      <c r="C1108" s="2046"/>
      <c r="D1108" s="2047" t="str">
        <f>SNI!E811</f>
        <v>Mandor</v>
      </c>
      <c r="E1108" s="2047"/>
      <c r="F1108" s="2048"/>
      <c r="G1108" s="2049">
        <f>SNI!H811</f>
        <v>5.0000000000000001E-3</v>
      </c>
      <c r="H1108" s="2050" t="str">
        <f>SNI!G811</f>
        <v>OH</v>
      </c>
      <c r="I1108" s="2051" t="str">
        <f>SNI!M811</f>
        <v>WNI</v>
      </c>
      <c r="J1108" s="2051"/>
      <c r="K1108" s="2052">
        <f>SNI!L811</f>
        <v>1</v>
      </c>
      <c r="L1108" s="2053"/>
      <c r="M1108" s="2054"/>
      <c r="N1108" s="2055">
        <f>SNI!I811</f>
        <v>90000</v>
      </c>
      <c r="O1108" s="2056"/>
      <c r="P1108" s="1969">
        <f t="shared" si="701"/>
        <v>450</v>
      </c>
      <c r="Q1108" s="1953"/>
      <c r="R1108" s="1954"/>
      <c r="S1108" s="1954">
        <f t="shared" si="702"/>
        <v>450</v>
      </c>
      <c r="T1108" s="1969">
        <f t="shared" si="703"/>
        <v>0</v>
      </c>
      <c r="U1108" s="2060"/>
      <c r="Z1108" s="1956"/>
      <c r="AA1108" s="1956"/>
      <c r="AF1108" s="1836"/>
      <c r="AG1108" s="1836"/>
      <c r="AH1108" s="1836"/>
      <c r="AI1108" s="1837"/>
      <c r="AJ1108" s="1960"/>
    </row>
    <row r="1109" spans="1:36" s="1957" customFormat="1" ht="21.95" customHeight="1" x14ac:dyDescent="0.2">
      <c r="A1109" s="1942"/>
      <c r="B1109" s="1970"/>
      <c r="C1109" s="1971"/>
      <c r="D1109" s="1972"/>
      <c r="E1109" s="1973"/>
      <c r="F1109" s="1974" t="s">
        <v>556</v>
      </c>
      <c r="G1109" s="1975">
        <f>B1098</f>
        <v>8</v>
      </c>
      <c r="H1109" s="1976"/>
      <c r="I1109" s="1977"/>
      <c r="J1109" s="1977"/>
      <c r="K1109" s="1978"/>
      <c r="L1109" s="1979"/>
      <c r="M1109" s="1980"/>
      <c r="N1109" s="1981"/>
      <c r="O1109" s="1982"/>
      <c r="P1109" s="1983">
        <f>SUM(P1100:P1108)</f>
        <v>33689</v>
      </c>
      <c r="Q1109" s="1984"/>
      <c r="R1109" s="1985"/>
      <c r="S1109" s="1983">
        <f t="shared" ref="S1109" si="704">SUM(S1100:S1108)</f>
        <v>28182.265200000002</v>
      </c>
      <c r="T1109" s="1983">
        <f t="shared" ref="T1109" si="705">SUM(T1100:T1108)</f>
        <v>5506.7347999999984</v>
      </c>
      <c r="U1109" s="1986"/>
      <c r="V1109" s="1848"/>
      <c r="W1109" s="1848"/>
      <c r="X1109" s="1848"/>
      <c r="Y1109" s="1848"/>
      <c r="Z1109" s="1956"/>
      <c r="AA1109" s="1956"/>
      <c r="AF1109" s="1958"/>
      <c r="AG1109" s="1958"/>
      <c r="AH1109" s="1958"/>
      <c r="AI1109" s="1959"/>
      <c r="AJ1109" s="1960"/>
    </row>
    <row r="1110" spans="1:36" ht="21.95" customHeight="1" x14ac:dyDescent="0.2">
      <c r="A1110" s="1833">
        <f>satpek!$B$65</f>
        <v>46</v>
      </c>
      <c r="B1110" s="1943">
        <f>B1098+1</f>
        <v>9</v>
      </c>
      <c r="C1110" s="1937"/>
      <c r="D1110" s="1944" t="s">
        <v>1811</v>
      </c>
      <c r="E1110" s="1944"/>
      <c r="F1110" s="2004"/>
      <c r="G1110" s="1945">
        <f>'[3]B.VOL RAB'!Q368</f>
        <v>175.4</v>
      </c>
      <c r="H1110" s="1946" t="str">
        <f>VLOOKUP($A1110,satpek!$B$20:$N$144,7,0)</f>
        <v>m'</v>
      </c>
      <c r="I1110" s="1947"/>
      <c r="J1110" s="1947"/>
      <c r="K1110" s="1948"/>
      <c r="L1110" s="1949"/>
      <c r="M1110" s="1950" t="str">
        <f>VLOOKUP($A1110,satpek!$B$20:$N$144,5,0)</f>
        <v>An. Dihitung</v>
      </c>
      <c r="N1110" s="1951">
        <f>VLOOKUP($A1110,satpek!$B$20:$N$144,6,0)</f>
        <v>65535.37</v>
      </c>
      <c r="O1110" s="1938"/>
      <c r="P1110" s="1952">
        <f t="shared" si="643"/>
        <v>11494903.9</v>
      </c>
      <c r="Q1110" s="1953">
        <f>VLOOKUP($A1110,satpek!$B$20:$L$138,8,0)</f>
        <v>0.7887839071382633</v>
      </c>
      <c r="R1110" s="1954">
        <f>VLOOKUP($A1110,satpek!$B$20:$L$138,9,0)</f>
        <v>45746.232600000003</v>
      </c>
      <c r="S1110" s="1954">
        <f>VLOOKUP($A1110,satpek!$B$20:$L$138,10,0)</f>
        <v>51693.242838000006</v>
      </c>
      <c r="T1110" s="1952">
        <f t="shared" si="644"/>
        <v>9066994.7937852014</v>
      </c>
      <c r="U1110" s="1955"/>
      <c r="X1110" s="1848">
        <f>P1121</f>
        <v>57995.9</v>
      </c>
      <c r="Y1110" s="1848">
        <f>S1121</f>
        <v>45746.232600000003</v>
      </c>
      <c r="Z1110" s="1956">
        <v>175.4</v>
      </c>
      <c r="AA1110" s="1956">
        <f t="shared" si="641"/>
        <v>0</v>
      </c>
      <c r="AB1110" s="1836" t="s">
        <v>1811</v>
      </c>
      <c r="AF1110" s="1836"/>
      <c r="AG1110" s="1836"/>
      <c r="AH1110" s="1836"/>
      <c r="AI1110" s="1837">
        <v>65393.1</v>
      </c>
      <c r="AJ1110" s="1960">
        <f t="shared" si="642"/>
        <v>-142.27000000000407</v>
      </c>
    </row>
    <row r="1111" spans="1:36" ht="21.95" customHeight="1" x14ac:dyDescent="0.2">
      <c r="B1111" s="2045"/>
      <c r="C1111" s="2046" t="str">
        <f>SNI!D929</f>
        <v>Bahan</v>
      </c>
      <c r="D1111" s="2047"/>
      <c r="E1111" s="2047"/>
      <c r="F1111" s="2048"/>
      <c r="G1111" s="2049"/>
      <c r="H1111" s="2050"/>
      <c r="I1111" s="2051"/>
      <c r="J1111" s="2051"/>
      <c r="K1111" s="2052"/>
      <c r="L1111" s="2053"/>
      <c r="M1111" s="2054"/>
      <c r="N1111" s="2055"/>
      <c r="O1111" s="2056"/>
      <c r="P1111" s="2057"/>
      <c r="Q1111" s="2058"/>
      <c r="R1111" s="2059"/>
      <c r="S1111" s="2059"/>
      <c r="T1111" s="2055"/>
      <c r="U1111" s="2060"/>
      <c r="Z1111" s="1956"/>
      <c r="AA1111" s="1956"/>
      <c r="AF1111" s="1836"/>
      <c r="AG1111" s="1836"/>
      <c r="AH1111" s="1836"/>
      <c r="AI1111" s="1837"/>
      <c r="AJ1111" s="1960"/>
    </row>
    <row r="1112" spans="1:36" ht="21.95" customHeight="1" x14ac:dyDescent="0.2">
      <c r="B1112" s="2045"/>
      <c r="C1112" s="2046"/>
      <c r="D1112" s="2047" t="str">
        <f>SNI!E929</f>
        <v>Keramik stepnose 10x60</v>
      </c>
      <c r="E1112" s="2047"/>
      <c r="F1112" s="2048"/>
      <c r="G1112" s="2049">
        <f>SNI!H929</f>
        <v>2.625</v>
      </c>
      <c r="H1112" s="2050" t="str">
        <f>SNI!G929</f>
        <v>buah</v>
      </c>
      <c r="I1112" s="2051"/>
      <c r="J1112" s="2051"/>
      <c r="K1112" s="2052">
        <f>SNI!L929</f>
        <v>0.69620000000000004</v>
      </c>
      <c r="L1112" s="2053"/>
      <c r="M1112" s="2054"/>
      <c r="N1112" s="2055">
        <f>SNI!I929</f>
        <v>15000</v>
      </c>
      <c r="O1112" s="2056"/>
      <c r="P1112" s="1969">
        <f t="shared" ref="P1112" si="706">N1112*G1112</f>
        <v>39375</v>
      </c>
      <c r="Q1112" s="1953"/>
      <c r="R1112" s="1954"/>
      <c r="S1112" s="1954">
        <f t="shared" ref="S1112" si="707">P1112*K1112</f>
        <v>27412.875</v>
      </c>
      <c r="T1112" s="1969">
        <f t="shared" ref="T1112" si="708">P1112-S1112</f>
        <v>11962.125</v>
      </c>
      <c r="U1112" s="2060"/>
      <c r="Z1112" s="1956"/>
      <c r="AA1112" s="1956"/>
      <c r="AF1112" s="1836"/>
      <c r="AG1112" s="1836"/>
      <c r="AH1112" s="1836"/>
      <c r="AI1112" s="1837"/>
      <c r="AJ1112" s="1960"/>
    </row>
    <row r="1113" spans="1:36" ht="21.95" customHeight="1" x14ac:dyDescent="0.2">
      <c r="B1113" s="2045"/>
      <c r="C1113" s="2046"/>
      <c r="D1113" s="2047" t="str">
        <f>SNI!E930</f>
        <v>PC</v>
      </c>
      <c r="E1113" s="2047"/>
      <c r="F1113" s="2048"/>
      <c r="G1113" s="2049">
        <f>SNI!H930</f>
        <v>0.56999999999999995</v>
      </c>
      <c r="H1113" s="2050" t="str">
        <f>SNI!G930</f>
        <v>kg</v>
      </c>
      <c r="I1113" s="2051"/>
      <c r="J1113" s="2051"/>
      <c r="K1113" s="2052">
        <f>SNI!L930</f>
        <v>0.85140000000000005</v>
      </c>
      <c r="L1113" s="2053"/>
      <c r="M1113" s="2054"/>
      <c r="N1113" s="2055">
        <f>SNI!I930</f>
        <v>1200</v>
      </c>
      <c r="O1113" s="2056"/>
      <c r="P1113" s="1969">
        <f t="shared" ref="P1113:P1120" si="709">N1113*G1113</f>
        <v>683.99999999999989</v>
      </c>
      <c r="Q1113" s="1953"/>
      <c r="R1113" s="1954"/>
      <c r="S1113" s="1954">
        <f t="shared" ref="S1113:S1120" si="710">P1113*K1113</f>
        <v>582.35759999999993</v>
      </c>
      <c r="T1113" s="1969">
        <f t="shared" ref="T1113:T1120" si="711">P1113-S1113</f>
        <v>101.64239999999995</v>
      </c>
      <c r="U1113" s="2060"/>
      <c r="Z1113" s="1956"/>
      <c r="AA1113" s="1956"/>
      <c r="AF1113" s="1836"/>
      <c r="AG1113" s="1836"/>
      <c r="AH1113" s="1836"/>
      <c r="AI1113" s="1837"/>
      <c r="AJ1113" s="1960"/>
    </row>
    <row r="1114" spans="1:36" ht="21.95" customHeight="1" x14ac:dyDescent="0.2">
      <c r="B1114" s="2045"/>
      <c r="C1114" s="2046"/>
      <c r="D1114" s="2047" t="str">
        <f>SNI!E931</f>
        <v>Pasir Pasang</v>
      </c>
      <c r="E1114" s="2047"/>
      <c r="F1114" s="2048"/>
      <c r="G1114" s="2049">
        <f>SNI!H931</f>
        <v>1.5E-3</v>
      </c>
      <c r="H1114" s="2050" t="str">
        <f>SNI!G931</f>
        <v>m3</v>
      </c>
      <c r="I1114" s="2051"/>
      <c r="J1114" s="2051"/>
      <c r="K1114" s="2052">
        <f>SNI!L931</f>
        <v>1</v>
      </c>
      <c r="L1114" s="2053"/>
      <c r="M1114" s="2054"/>
      <c r="N1114" s="2055">
        <f>SNI!I931</f>
        <v>260000</v>
      </c>
      <c r="O1114" s="2056"/>
      <c r="P1114" s="1969">
        <f t="shared" si="709"/>
        <v>390</v>
      </c>
      <c r="Q1114" s="1953"/>
      <c r="R1114" s="1954"/>
      <c r="S1114" s="1954">
        <f t="shared" si="710"/>
        <v>390</v>
      </c>
      <c r="T1114" s="1969">
        <f t="shared" si="711"/>
        <v>0</v>
      </c>
      <c r="U1114" s="2060"/>
      <c r="Z1114" s="1956"/>
      <c r="AA1114" s="1956"/>
      <c r="AF1114" s="1836"/>
      <c r="AG1114" s="1836"/>
      <c r="AH1114" s="1836"/>
      <c r="AI1114" s="1837"/>
      <c r="AJ1114" s="1960"/>
    </row>
    <row r="1115" spans="1:36" ht="21.95" customHeight="1" x14ac:dyDescent="0.2">
      <c r="B1115" s="2045"/>
      <c r="C1115" s="2046"/>
      <c r="D1115" s="2047" t="str">
        <f>SNI!E932</f>
        <v>Semen Warna</v>
      </c>
      <c r="E1115" s="2047"/>
      <c r="F1115" s="2048"/>
      <c r="G1115" s="2049">
        <f>SNI!H932</f>
        <v>1.2999999999999999E-2</v>
      </c>
      <c r="H1115" s="2050" t="str">
        <f>SNI!G932</f>
        <v>kg</v>
      </c>
      <c r="I1115" s="2051"/>
      <c r="J1115" s="2051"/>
      <c r="K1115" s="2052">
        <f>SNI!L932</f>
        <v>0</v>
      </c>
      <c r="L1115" s="2053"/>
      <c r="M1115" s="2054"/>
      <c r="N1115" s="2055">
        <f>SNI!I932</f>
        <v>14300</v>
      </c>
      <c r="O1115" s="2056"/>
      <c r="P1115" s="1969">
        <f t="shared" si="709"/>
        <v>185.89999999999998</v>
      </c>
      <c r="Q1115" s="1953"/>
      <c r="R1115" s="1954"/>
      <c r="S1115" s="1954">
        <f t="shared" si="710"/>
        <v>0</v>
      </c>
      <c r="T1115" s="1969">
        <f t="shared" si="711"/>
        <v>185.89999999999998</v>
      </c>
      <c r="U1115" s="2060"/>
      <c r="Z1115" s="1956"/>
      <c r="AA1115" s="1956"/>
      <c r="AF1115" s="1836"/>
      <c r="AG1115" s="1836"/>
      <c r="AH1115" s="1836"/>
      <c r="AI1115" s="1837"/>
      <c r="AJ1115" s="1960"/>
    </row>
    <row r="1116" spans="1:36" ht="21.95" customHeight="1" x14ac:dyDescent="0.2">
      <c r="B1116" s="2045"/>
      <c r="C1116" s="2046" t="str">
        <f>SNI!D934</f>
        <v>Tenaga Kerja</v>
      </c>
      <c r="D1116" s="2047"/>
      <c r="E1116" s="2047"/>
      <c r="F1116" s="2048"/>
      <c r="G1116" s="2049"/>
      <c r="H1116" s="2050"/>
      <c r="I1116" s="2051"/>
      <c r="J1116" s="2051"/>
      <c r="K1116" s="2052"/>
      <c r="L1116" s="2053"/>
      <c r="M1116" s="2054"/>
      <c r="N1116" s="2055"/>
      <c r="O1116" s="2056"/>
      <c r="P1116" s="1969"/>
      <c r="Q1116" s="1953"/>
      <c r="R1116" s="1954"/>
      <c r="S1116" s="1954"/>
      <c r="T1116" s="1969"/>
      <c r="U1116" s="2060"/>
      <c r="Z1116" s="1956"/>
      <c r="AA1116" s="1956"/>
      <c r="AF1116" s="1836"/>
      <c r="AG1116" s="1836"/>
      <c r="AH1116" s="1836"/>
      <c r="AI1116" s="1837"/>
      <c r="AJ1116" s="1960"/>
    </row>
    <row r="1117" spans="1:36" ht="21.95" customHeight="1" x14ac:dyDescent="0.2">
      <c r="B1117" s="2045"/>
      <c r="C1117" s="2046"/>
      <c r="D1117" s="2047" t="str">
        <f>SNI!E934</f>
        <v xml:space="preserve">Pekerja </v>
      </c>
      <c r="E1117" s="2047"/>
      <c r="F1117" s="2048"/>
      <c r="G1117" s="2049">
        <f>SNI!H934</f>
        <v>0.09</v>
      </c>
      <c r="H1117" s="2050" t="str">
        <f>SNI!G934</f>
        <v>OH</v>
      </c>
      <c r="I1117" s="2051" t="str">
        <f>SNI!M934</f>
        <v>WNI</v>
      </c>
      <c r="J1117" s="2051"/>
      <c r="K1117" s="2052">
        <f>SNI!L934</f>
        <v>1</v>
      </c>
      <c r="L1117" s="2053"/>
      <c r="M1117" s="2054"/>
      <c r="N1117" s="2055">
        <f>SNI!I934</f>
        <v>88300</v>
      </c>
      <c r="O1117" s="2056"/>
      <c r="P1117" s="1969">
        <f t="shared" si="709"/>
        <v>7947</v>
      </c>
      <c r="Q1117" s="1953"/>
      <c r="R1117" s="1954"/>
      <c r="S1117" s="1954">
        <f t="shared" si="710"/>
        <v>7947</v>
      </c>
      <c r="T1117" s="1969">
        <f t="shared" si="711"/>
        <v>0</v>
      </c>
      <c r="U1117" s="2060"/>
      <c r="Z1117" s="1956"/>
      <c r="AA1117" s="1956"/>
      <c r="AF1117" s="1836"/>
      <c r="AG1117" s="1836"/>
      <c r="AH1117" s="1836"/>
      <c r="AI1117" s="1837"/>
      <c r="AJ1117" s="1960"/>
    </row>
    <row r="1118" spans="1:36" ht="21.95" customHeight="1" x14ac:dyDescent="0.2">
      <c r="B1118" s="2045"/>
      <c r="C1118" s="2046"/>
      <c r="D1118" s="2047" t="str">
        <f>SNI!E935</f>
        <v>Tukang Batu</v>
      </c>
      <c r="E1118" s="2047"/>
      <c r="F1118" s="2048"/>
      <c r="G1118" s="2049">
        <f>SNI!H935</f>
        <v>0.09</v>
      </c>
      <c r="H1118" s="2050" t="str">
        <f>SNI!G935</f>
        <v>OH</v>
      </c>
      <c r="I1118" s="2051" t="str">
        <f>SNI!M935</f>
        <v>WNI</v>
      </c>
      <c r="J1118" s="2051"/>
      <c r="K1118" s="2052">
        <f>SNI!L935</f>
        <v>1</v>
      </c>
      <c r="L1118" s="2053"/>
      <c r="M1118" s="2054"/>
      <c r="N1118" s="2055">
        <f>SNI!I935</f>
        <v>90000</v>
      </c>
      <c r="O1118" s="2056"/>
      <c r="P1118" s="1969">
        <f t="shared" si="709"/>
        <v>8100</v>
      </c>
      <c r="Q1118" s="1953"/>
      <c r="R1118" s="1954"/>
      <c r="S1118" s="1954">
        <f t="shared" si="710"/>
        <v>8100</v>
      </c>
      <c r="T1118" s="1969">
        <f t="shared" si="711"/>
        <v>0</v>
      </c>
      <c r="U1118" s="2060"/>
      <c r="Z1118" s="1956"/>
      <c r="AA1118" s="1956"/>
      <c r="AF1118" s="1836"/>
      <c r="AG1118" s="1836"/>
      <c r="AH1118" s="1836"/>
      <c r="AI1118" s="1837"/>
      <c r="AJ1118" s="1960"/>
    </row>
    <row r="1119" spans="1:36" ht="21.95" customHeight="1" x14ac:dyDescent="0.2">
      <c r="B1119" s="2045"/>
      <c r="C1119" s="2046"/>
      <c r="D1119" s="2047" t="str">
        <f>SNI!E936</f>
        <v>Kepala Tukang</v>
      </c>
      <c r="E1119" s="2047"/>
      <c r="F1119" s="2048"/>
      <c r="G1119" s="2049">
        <f>SNI!H936</f>
        <v>8.9999999999999993E-3</v>
      </c>
      <c r="H1119" s="2050" t="str">
        <f>SNI!G936</f>
        <v>OH</v>
      </c>
      <c r="I1119" s="2051" t="str">
        <f>SNI!M936</f>
        <v>WNI</v>
      </c>
      <c r="J1119" s="2051"/>
      <c r="K1119" s="2052">
        <f>SNI!L936</f>
        <v>1</v>
      </c>
      <c r="L1119" s="2053"/>
      <c r="M1119" s="2054"/>
      <c r="N1119" s="2055">
        <f>SNI!I936</f>
        <v>96000</v>
      </c>
      <c r="O1119" s="2056"/>
      <c r="P1119" s="1969">
        <f t="shared" si="709"/>
        <v>863.99999999999989</v>
      </c>
      <c r="Q1119" s="1953"/>
      <c r="R1119" s="1954"/>
      <c r="S1119" s="1954">
        <f t="shared" si="710"/>
        <v>863.99999999999989</v>
      </c>
      <c r="T1119" s="1969">
        <f t="shared" si="711"/>
        <v>0</v>
      </c>
      <c r="U1119" s="2060"/>
      <c r="Z1119" s="1956"/>
      <c r="AA1119" s="1956"/>
      <c r="AF1119" s="1836"/>
      <c r="AG1119" s="1836"/>
      <c r="AH1119" s="1836"/>
      <c r="AI1119" s="1837"/>
      <c r="AJ1119" s="1960"/>
    </row>
    <row r="1120" spans="1:36" ht="21.95" customHeight="1" x14ac:dyDescent="0.2">
      <c r="B1120" s="2045"/>
      <c r="C1120" s="2046"/>
      <c r="D1120" s="2047" t="str">
        <f>SNI!E937</f>
        <v>Mandor</v>
      </c>
      <c r="E1120" s="2047"/>
      <c r="F1120" s="2048"/>
      <c r="G1120" s="2049">
        <f>SNI!H937</f>
        <v>5.0000000000000001E-3</v>
      </c>
      <c r="H1120" s="2050" t="str">
        <f>SNI!G937</f>
        <v>OH</v>
      </c>
      <c r="I1120" s="2051" t="str">
        <f>SNI!M937</f>
        <v>WNI</v>
      </c>
      <c r="J1120" s="2051"/>
      <c r="K1120" s="2052">
        <f>SNI!L937</f>
        <v>1</v>
      </c>
      <c r="L1120" s="2053"/>
      <c r="M1120" s="2054"/>
      <c r="N1120" s="2055">
        <f>SNI!I937</f>
        <v>90000</v>
      </c>
      <c r="O1120" s="2056"/>
      <c r="P1120" s="1969">
        <f t="shared" si="709"/>
        <v>450</v>
      </c>
      <c r="Q1120" s="1953"/>
      <c r="R1120" s="1954"/>
      <c r="S1120" s="1954">
        <f t="shared" si="710"/>
        <v>450</v>
      </c>
      <c r="T1120" s="1969">
        <f t="shared" si="711"/>
        <v>0</v>
      </c>
      <c r="U1120" s="2060"/>
      <c r="Z1120" s="1956"/>
      <c r="AA1120" s="1956"/>
      <c r="AF1120" s="1836"/>
      <c r="AG1120" s="1836"/>
      <c r="AH1120" s="1836"/>
      <c r="AI1120" s="1837"/>
      <c r="AJ1120" s="1960"/>
    </row>
    <row r="1121" spans="1:36" s="1957" customFormat="1" ht="21.95" customHeight="1" x14ac:dyDescent="0.2">
      <c r="A1121" s="1942"/>
      <c r="B1121" s="1970"/>
      <c r="C1121" s="1971"/>
      <c r="D1121" s="1972"/>
      <c r="E1121" s="1973"/>
      <c r="F1121" s="1974" t="s">
        <v>556</v>
      </c>
      <c r="G1121" s="1975">
        <f>B1110</f>
        <v>9</v>
      </c>
      <c r="H1121" s="1976"/>
      <c r="I1121" s="1977"/>
      <c r="J1121" s="1977"/>
      <c r="K1121" s="1978"/>
      <c r="L1121" s="1979"/>
      <c r="M1121" s="1980"/>
      <c r="N1121" s="1981"/>
      <c r="O1121" s="1982"/>
      <c r="P1121" s="1983">
        <f>SUM(P1112:P1120)</f>
        <v>57995.9</v>
      </c>
      <c r="Q1121" s="1984"/>
      <c r="R1121" s="1985"/>
      <c r="S1121" s="1983">
        <f t="shared" ref="S1121" si="712">SUM(S1112:S1120)</f>
        <v>45746.232600000003</v>
      </c>
      <c r="T1121" s="1983">
        <f t="shared" ref="T1121" si="713">SUM(T1112:T1120)</f>
        <v>12249.6674</v>
      </c>
      <c r="U1121" s="1986"/>
      <c r="V1121" s="1848"/>
      <c r="W1121" s="1848"/>
      <c r="X1121" s="1848"/>
      <c r="Y1121" s="1848"/>
      <c r="Z1121" s="1956"/>
      <c r="AA1121" s="1956"/>
      <c r="AF1121" s="1958"/>
      <c r="AG1121" s="1958"/>
      <c r="AH1121" s="1958"/>
      <c r="AI1121" s="1959"/>
      <c r="AJ1121" s="1960"/>
    </row>
    <row r="1122" spans="1:36" ht="21.95" customHeight="1" x14ac:dyDescent="0.2">
      <c r="B1122" s="1927"/>
      <c r="C1122" s="1928"/>
      <c r="D1122" s="1929" t="s">
        <v>1786</v>
      </c>
      <c r="E1122" s="1930"/>
      <c r="F1122" s="1931"/>
      <c r="G1122" s="1945"/>
      <c r="H1122" s="1933"/>
      <c r="I1122" s="1934"/>
      <c r="J1122" s="1934"/>
      <c r="K1122" s="1935"/>
      <c r="L1122" s="1936"/>
      <c r="M1122" s="1936"/>
      <c r="N1122" s="1951"/>
      <c r="O1122" s="2089"/>
      <c r="P1122" s="2090"/>
      <c r="Q1122" s="1934"/>
      <c r="R1122" s="1934"/>
      <c r="S1122" s="1934"/>
      <c r="T1122" s="1940"/>
      <c r="U1122" s="1941"/>
      <c r="Z1122" s="1956"/>
      <c r="AA1122" s="1956">
        <f t="shared" si="641"/>
        <v>0</v>
      </c>
      <c r="AB1122" s="1836" t="s">
        <v>1786</v>
      </c>
      <c r="AF1122" s="1836"/>
      <c r="AG1122" s="1836"/>
      <c r="AH1122" s="1836"/>
      <c r="AI1122" s="1837"/>
      <c r="AJ1122" s="1960">
        <f t="shared" si="642"/>
        <v>0</v>
      </c>
    </row>
    <row r="1123" spans="1:36" s="1957" customFormat="1" ht="21.95" customHeight="1" x14ac:dyDescent="0.2">
      <c r="A1123" s="1942">
        <f>satpek!$B$39</f>
        <v>20</v>
      </c>
      <c r="B1123" s="1943">
        <v>1</v>
      </c>
      <c r="C1123" s="1930"/>
      <c r="D1123" s="1944" t="str">
        <f>D1017</f>
        <v>Membuat lantai kerja beton mutu f'c = 7,4 Mpa, T : 8 cm</v>
      </c>
      <c r="E1123" s="1930"/>
      <c r="F1123" s="1931"/>
      <c r="G1123" s="1945">
        <f>'[3]B.VOL RAB'!Q374</f>
        <v>61.06</v>
      </c>
      <c r="H1123" s="1946" t="str">
        <f>VLOOKUP($A1123,satpek!$B$20:$N$144,7,0)</f>
        <v>m3</v>
      </c>
      <c r="I1123" s="1947"/>
      <c r="J1123" s="1947"/>
      <c r="K1123" s="1948"/>
      <c r="L1123" s="1949"/>
      <c r="M1123" s="1950" t="str">
        <f>VLOOKUP($A1123,satpek!$B$20:$N$144,5,0)</f>
        <v>A.4.1.1.1.</v>
      </c>
      <c r="N1123" s="1951">
        <f>VLOOKUP($A1123,satpek!$B$20:$N$144,6,0)</f>
        <v>958085.99</v>
      </c>
      <c r="O1123" s="1938"/>
      <c r="P1123" s="1952">
        <f t="shared" ref="P1123:P1171" si="714">ROUND((G1123*N1123),2)</f>
        <v>58500730.549999997</v>
      </c>
      <c r="Q1123" s="1953">
        <f>VLOOKUP($A1123,satpek!$B$20:$L$138,8,0)</f>
        <v>0.94805174525042479</v>
      </c>
      <c r="R1123" s="1954">
        <f>VLOOKUP($A1123,satpek!$B$20:$L$138,9,0)</f>
        <v>803818.67</v>
      </c>
      <c r="S1123" s="1954">
        <f>VLOOKUP($A1123,satpek!$B$20:$L$138,10,0)</f>
        <v>908315.09710000001</v>
      </c>
      <c r="T1123" s="1952">
        <f>S1123*G1123</f>
        <v>55461719.828926004</v>
      </c>
      <c r="U1123" s="1955"/>
      <c r="V1123" s="1848"/>
      <c r="W1123" s="1848"/>
      <c r="X1123" s="1848">
        <f>P1134</f>
        <v>847863.71428571432</v>
      </c>
      <c r="Y1123" s="1848">
        <f>S1134</f>
        <v>803818.67428571428</v>
      </c>
      <c r="Z1123" s="1956">
        <v>61.06</v>
      </c>
      <c r="AA1123" s="1956">
        <f t="shared" si="641"/>
        <v>0</v>
      </c>
      <c r="AB1123" s="1957" t="s">
        <v>1805</v>
      </c>
      <c r="AI1123" s="2109">
        <v>969189.7</v>
      </c>
      <c r="AJ1123" s="1960">
        <f t="shared" si="642"/>
        <v>11103.709999999963</v>
      </c>
    </row>
    <row r="1124" spans="1:36" s="1957" customFormat="1" ht="21.95" customHeight="1" x14ac:dyDescent="0.2">
      <c r="A1124" s="1942"/>
      <c r="B1124" s="2045"/>
      <c r="C1124" s="2110" t="str">
        <f>SNI!D368</f>
        <v>Bahan</v>
      </c>
      <c r="D1124" s="2047"/>
      <c r="E1124" s="2111"/>
      <c r="F1124" s="2112"/>
      <c r="G1124" s="2049"/>
      <c r="H1124" s="2050"/>
      <c r="I1124" s="2051"/>
      <c r="J1124" s="2051"/>
      <c r="K1124" s="2052"/>
      <c r="L1124" s="2053"/>
      <c r="M1124" s="2054"/>
      <c r="N1124" s="2055"/>
      <c r="O1124" s="2056"/>
      <c r="P1124" s="2057"/>
      <c r="Q1124" s="2058"/>
      <c r="R1124" s="2059"/>
      <c r="S1124" s="2059"/>
      <c r="T1124" s="2057"/>
      <c r="U1124" s="2060"/>
      <c r="V1124" s="1848"/>
      <c r="W1124" s="1848"/>
      <c r="X1124" s="1848"/>
      <c r="Y1124" s="1848"/>
      <c r="Z1124" s="1956"/>
      <c r="AA1124" s="1956"/>
      <c r="AI1124" s="2109"/>
      <c r="AJ1124" s="1960"/>
    </row>
    <row r="1125" spans="1:36" s="1957" customFormat="1" ht="21.95" customHeight="1" x14ac:dyDescent="0.2">
      <c r="A1125" s="1942"/>
      <c r="B1125" s="2045"/>
      <c r="C1125" s="2111"/>
      <c r="D1125" s="2047" t="str">
        <f>SNI!E368</f>
        <v>PC</v>
      </c>
      <c r="E1125" s="2111"/>
      <c r="F1125" s="2112"/>
      <c r="G1125" s="2049">
        <f>SNI!H368</f>
        <v>247</v>
      </c>
      <c r="H1125" s="2050" t="str">
        <f>SNI!G368</f>
        <v>kg</v>
      </c>
      <c r="I1125" s="2051"/>
      <c r="J1125" s="2051"/>
      <c r="K1125" s="2052">
        <f>SNI!L368</f>
        <v>0.85140000000000005</v>
      </c>
      <c r="L1125" s="2053"/>
      <c r="M1125" s="2054"/>
      <c r="N1125" s="2055">
        <f>SNI!I368</f>
        <v>1200</v>
      </c>
      <c r="O1125" s="2056"/>
      <c r="P1125" s="1969">
        <f t="shared" ref="P1125" si="715">N1125*G1125</f>
        <v>296400</v>
      </c>
      <c r="Q1125" s="1953"/>
      <c r="R1125" s="1954"/>
      <c r="S1125" s="1954">
        <f t="shared" ref="S1125" si="716">P1125*K1125</f>
        <v>252354.96000000002</v>
      </c>
      <c r="T1125" s="1969">
        <f t="shared" ref="T1125" si="717">P1125-S1125</f>
        <v>44045.039999999979</v>
      </c>
      <c r="U1125" s="2060"/>
      <c r="V1125" s="1848"/>
      <c r="W1125" s="1848"/>
      <c r="X1125" s="1848"/>
      <c r="Y1125" s="1848"/>
      <c r="Z1125" s="1956"/>
      <c r="AA1125" s="1956"/>
      <c r="AI1125" s="2109"/>
      <c r="AJ1125" s="1960"/>
    </row>
    <row r="1126" spans="1:36" s="1957" customFormat="1" ht="21.95" customHeight="1" x14ac:dyDescent="0.2">
      <c r="A1126" s="1942"/>
      <c r="B1126" s="2045"/>
      <c r="C1126" s="2111"/>
      <c r="D1126" s="2047" t="str">
        <f>SNI!E369</f>
        <v>Pasir Beton</v>
      </c>
      <c r="E1126" s="2111"/>
      <c r="F1126" s="2112"/>
      <c r="G1126" s="2049">
        <f>SNI!H369</f>
        <v>869</v>
      </c>
      <c r="H1126" s="2050" t="str">
        <f>SNI!G369</f>
        <v>kg</v>
      </c>
      <c r="I1126" s="2051"/>
      <c r="J1126" s="2051"/>
      <c r="K1126" s="2052">
        <f>SNI!L369</f>
        <v>1</v>
      </c>
      <c r="L1126" s="2053"/>
      <c r="M1126" s="2054"/>
      <c r="N1126" s="2055">
        <f>SNI!I369</f>
        <v>185.71428571428572</v>
      </c>
      <c r="O1126" s="2056"/>
      <c r="P1126" s="1969">
        <f t="shared" ref="P1126:P1133" si="718">N1126*G1126</f>
        <v>161385.71428571429</v>
      </c>
      <c r="Q1126" s="1953"/>
      <c r="R1126" s="1954"/>
      <c r="S1126" s="1954">
        <f t="shared" ref="S1126:S1133" si="719">P1126*K1126</f>
        <v>161385.71428571429</v>
      </c>
      <c r="T1126" s="1969">
        <f t="shared" ref="T1126:T1133" si="720">P1126-S1126</f>
        <v>0</v>
      </c>
      <c r="U1126" s="2060"/>
      <c r="V1126" s="1848"/>
      <c r="W1126" s="1848"/>
      <c r="X1126" s="1848"/>
      <c r="Y1126" s="1848"/>
      <c r="Z1126" s="1956"/>
      <c r="AA1126" s="1956"/>
      <c r="AI1126" s="2109"/>
      <c r="AJ1126" s="1960"/>
    </row>
    <row r="1127" spans="1:36" s="1957" customFormat="1" ht="21.95" customHeight="1" x14ac:dyDescent="0.2">
      <c r="A1127" s="1942"/>
      <c r="B1127" s="2045"/>
      <c r="C1127" s="2111"/>
      <c r="D1127" s="2047" t="str">
        <f>SNI!E370</f>
        <v>Kerikil ( maks 30 mm )</v>
      </c>
      <c r="E1127" s="2111"/>
      <c r="F1127" s="2112"/>
      <c r="G1127" s="2049">
        <f>SNI!H370</f>
        <v>999</v>
      </c>
      <c r="H1127" s="2050" t="str">
        <f>SNI!G370</f>
        <v>kg</v>
      </c>
      <c r="I1127" s="2051"/>
      <c r="J1127" s="2051"/>
      <c r="K1127" s="2052">
        <f>SNI!L370</f>
        <v>1</v>
      </c>
      <c r="L1127" s="2053"/>
      <c r="M1127" s="2054"/>
      <c r="N1127" s="2055">
        <f>SNI!I370</f>
        <v>200</v>
      </c>
      <c r="O1127" s="2056"/>
      <c r="P1127" s="1969">
        <f t="shared" si="718"/>
        <v>199800</v>
      </c>
      <c r="Q1127" s="1953"/>
      <c r="R1127" s="1954"/>
      <c r="S1127" s="1954">
        <f t="shared" si="719"/>
        <v>199800</v>
      </c>
      <c r="T1127" s="1969">
        <f t="shared" si="720"/>
        <v>0</v>
      </c>
      <c r="U1127" s="2060"/>
      <c r="V1127" s="1848"/>
      <c r="W1127" s="1848"/>
      <c r="X1127" s="1848"/>
      <c r="Y1127" s="1848"/>
      <c r="Z1127" s="1956"/>
      <c r="AA1127" s="1956"/>
      <c r="AI1127" s="2109"/>
      <c r="AJ1127" s="1960"/>
    </row>
    <row r="1128" spans="1:36" s="1957" customFormat="1" ht="21.95" customHeight="1" x14ac:dyDescent="0.2">
      <c r="A1128" s="1942"/>
      <c r="B1128" s="2045"/>
      <c r="C1128" s="2111"/>
      <c r="D1128" s="2047" t="str">
        <f>SNI!E371</f>
        <v>Air</v>
      </c>
      <c r="E1128" s="2111"/>
      <c r="F1128" s="2112"/>
      <c r="G1128" s="2049">
        <f>SNI!H371</f>
        <v>215</v>
      </c>
      <c r="H1128" s="2050" t="str">
        <f>SNI!G371</f>
        <v>ltr</v>
      </c>
      <c r="I1128" s="2051"/>
      <c r="J1128" s="2051"/>
      <c r="K1128" s="2052">
        <f>SNI!L371</f>
        <v>1</v>
      </c>
      <c r="L1128" s="2053"/>
      <c r="M1128" s="2054"/>
      <c r="N1128" s="2055">
        <f>SNI!I371</f>
        <v>45</v>
      </c>
      <c r="O1128" s="2056"/>
      <c r="P1128" s="1969">
        <f t="shared" si="718"/>
        <v>9675</v>
      </c>
      <c r="Q1128" s="1953"/>
      <c r="R1128" s="1954"/>
      <c r="S1128" s="1954">
        <f t="shared" si="719"/>
        <v>9675</v>
      </c>
      <c r="T1128" s="1969">
        <f t="shared" si="720"/>
        <v>0</v>
      </c>
      <c r="U1128" s="2060"/>
      <c r="V1128" s="1848"/>
      <c r="W1128" s="1848"/>
      <c r="X1128" s="1848"/>
      <c r="Y1128" s="1848"/>
      <c r="Z1128" s="1956"/>
      <c r="AA1128" s="1956"/>
      <c r="AI1128" s="2109"/>
      <c r="AJ1128" s="1960"/>
    </row>
    <row r="1129" spans="1:36" s="1957" customFormat="1" ht="21.95" customHeight="1" x14ac:dyDescent="0.2">
      <c r="A1129" s="1942"/>
      <c r="B1129" s="2045"/>
      <c r="C1129" s="2110" t="str">
        <f>SNI!D373</f>
        <v>Tenaga Kerja</v>
      </c>
      <c r="D1129" s="2047"/>
      <c r="E1129" s="2111"/>
      <c r="F1129" s="2112"/>
      <c r="G1129" s="2049"/>
      <c r="H1129" s="2050"/>
      <c r="I1129" s="2051"/>
      <c r="J1129" s="2051"/>
      <c r="K1129" s="2052"/>
      <c r="L1129" s="2053"/>
      <c r="M1129" s="2054"/>
      <c r="N1129" s="2055"/>
      <c r="O1129" s="2056"/>
      <c r="P1129" s="1969"/>
      <c r="Q1129" s="1953"/>
      <c r="R1129" s="1954"/>
      <c r="S1129" s="1954"/>
      <c r="T1129" s="1969"/>
      <c r="U1129" s="2060"/>
      <c r="V1129" s="1848"/>
      <c r="W1129" s="1848"/>
      <c r="X1129" s="1848"/>
      <c r="Y1129" s="1848"/>
      <c r="Z1129" s="1956"/>
      <c r="AA1129" s="1956"/>
      <c r="AI1129" s="2109"/>
      <c r="AJ1129" s="1960"/>
    </row>
    <row r="1130" spans="1:36" s="1957" customFormat="1" ht="21.95" customHeight="1" x14ac:dyDescent="0.2">
      <c r="A1130" s="1942"/>
      <c r="B1130" s="2045"/>
      <c r="C1130" s="2111"/>
      <c r="D1130" s="2047" t="str">
        <f>SNI!E373</f>
        <v xml:space="preserve">Pekerja </v>
      </c>
      <c r="E1130" s="2111"/>
      <c r="F1130" s="2112"/>
      <c r="G1130" s="2049">
        <f>SNI!H373</f>
        <v>1.65</v>
      </c>
      <c r="H1130" s="2050" t="str">
        <f>SNI!G373</f>
        <v>OH</v>
      </c>
      <c r="I1130" s="2051" t="str">
        <f>SNI!M373</f>
        <v>WNI</v>
      </c>
      <c r="J1130" s="2051"/>
      <c r="K1130" s="2052">
        <f>SNI!L373</f>
        <v>1</v>
      </c>
      <c r="L1130" s="2053"/>
      <c r="M1130" s="2054"/>
      <c r="N1130" s="2055">
        <f>SNI!I373</f>
        <v>88300</v>
      </c>
      <c r="O1130" s="2056"/>
      <c r="P1130" s="1969">
        <f t="shared" si="718"/>
        <v>145695</v>
      </c>
      <c r="Q1130" s="1953"/>
      <c r="R1130" s="1954"/>
      <c r="S1130" s="1954">
        <f t="shared" si="719"/>
        <v>145695</v>
      </c>
      <c r="T1130" s="1969">
        <f t="shared" si="720"/>
        <v>0</v>
      </c>
      <c r="U1130" s="2060"/>
      <c r="V1130" s="1848"/>
      <c r="W1130" s="1848"/>
      <c r="X1130" s="1848"/>
      <c r="Y1130" s="1848"/>
      <c r="Z1130" s="1956"/>
      <c r="AA1130" s="1956"/>
      <c r="AI1130" s="2109"/>
      <c r="AJ1130" s="1960"/>
    </row>
    <row r="1131" spans="1:36" s="1957" customFormat="1" ht="21.95" customHeight="1" x14ac:dyDescent="0.2">
      <c r="A1131" s="1942"/>
      <c r="B1131" s="2045"/>
      <c r="C1131" s="2111"/>
      <c r="D1131" s="2047" t="str">
        <f>SNI!E374</f>
        <v>Tukang Batu</v>
      </c>
      <c r="E1131" s="2111"/>
      <c r="F1131" s="2112"/>
      <c r="G1131" s="2049">
        <f>SNI!H374</f>
        <v>0.27500000000000002</v>
      </c>
      <c r="H1131" s="2050" t="str">
        <f>SNI!G374</f>
        <v>OH</v>
      </c>
      <c r="I1131" s="2051" t="str">
        <f>SNI!M374</f>
        <v>WNI</v>
      </c>
      <c r="J1131" s="2051"/>
      <c r="K1131" s="2052">
        <f>SNI!L374</f>
        <v>1</v>
      </c>
      <c r="L1131" s="2053"/>
      <c r="M1131" s="2054"/>
      <c r="N1131" s="2055">
        <f>SNI!I374</f>
        <v>90000</v>
      </c>
      <c r="O1131" s="2056"/>
      <c r="P1131" s="1969">
        <f t="shared" si="718"/>
        <v>24750.000000000004</v>
      </c>
      <c r="Q1131" s="1953"/>
      <c r="R1131" s="1954"/>
      <c r="S1131" s="1954">
        <f t="shared" si="719"/>
        <v>24750.000000000004</v>
      </c>
      <c r="T1131" s="1969">
        <f t="shared" si="720"/>
        <v>0</v>
      </c>
      <c r="U1131" s="2060"/>
      <c r="V1131" s="1848"/>
      <c r="W1131" s="1848"/>
      <c r="X1131" s="1848"/>
      <c r="Y1131" s="1848"/>
      <c r="Z1131" s="1956"/>
      <c r="AA1131" s="1956"/>
      <c r="AI1131" s="2109"/>
      <c r="AJ1131" s="1960"/>
    </row>
    <row r="1132" spans="1:36" s="1957" customFormat="1" ht="21.95" customHeight="1" x14ac:dyDescent="0.2">
      <c r="A1132" s="1942"/>
      <c r="B1132" s="2045"/>
      <c r="C1132" s="2111"/>
      <c r="D1132" s="2047" t="str">
        <f>SNI!E375</f>
        <v>Kepala Tukang</v>
      </c>
      <c r="E1132" s="2111"/>
      <c r="F1132" s="2112"/>
      <c r="G1132" s="2049">
        <f>SNI!H375</f>
        <v>2.8000000000000001E-2</v>
      </c>
      <c r="H1132" s="2050" t="str">
        <f>SNI!G375</f>
        <v>OH</v>
      </c>
      <c r="I1132" s="2051" t="str">
        <f>SNI!M375</f>
        <v>WNI</v>
      </c>
      <c r="J1132" s="2051"/>
      <c r="K1132" s="2052">
        <f>SNI!L375</f>
        <v>1</v>
      </c>
      <c r="L1132" s="2053"/>
      <c r="M1132" s="2054"/>
      <c r="N1132" s="2055">
        <f>SNI!I375</f>
        <v>96000</v>
      </c>
      <c r="O1132" s="2056"/>
      <c r="P1132" s="1969">
        <f t="shared" si="718"/>
        <v>2688</v>
      </c>
      <c r="Q1132" s="1953"/>
      <c r="R1132" s="1954"/>
      <c r="S1132" s="1954">
        <f t="shared" si="719"/>
        <v>2688</v>
      </c>
      <c r="T1132" s="1969">
        <f t="shared" si="720"/>
        <v>0</v>
      </c>
      <c r="U1132" s="2060"/>
      <c r="V1132" s="1848"/>
      <c r="W1132" s="1848"/>
      <c r="X1132" s="1848"/>
      <c r="Y1132" s="1848"/>
      <c r="Z1132" s="1956"/>
      <c r="AA1132" s="1956"/>
      <c r="AI1132" s="2109"/>
      <c r="AJ1132" s="1960"/>
    </row>
    <row r="1133" spans="1:36" s="1957" customFormat="1" ht="21.95" customHeight="1" x14ac:dyDescent="0.2">
      <c r="A1133" s="1942"/>
      <c r="B1133" s="2045"/>
      <c r="C1133" s="2111"/>
      <c r="D1133" s="2047" t="str">
        <f>SNI!E376</f>
        <v>Mandor</v>
      </c>
      <c r="E1133" s="2111"/>
      <c r="F1133" s="2112"/>
      <c r="G1133" s="2049">
        <f>SNI!H376</f>
        <v>8.3000000000000004E-2</v>
      </c>
      <c r="H1133" s="2050" t="str">
        <f>SNI!G376</f>
        <v>OH</v>
      </c>
      <c r="I1133" s="2051" t="str">
        <f>SNI!M376</f>
        <v>WNI</v>
      </c>
      <c r="J1133" s="2051"/>
      <c r="K1133" s="2052">
        <f>SNI!L376</f>
        <v>1</v>
      </c>
      <c r="L1133" s="2053"/>
      <c r="M1133" s="2054"/>
      <c r="N1133" s="2055">
        <f>SNI!I376</f>
        <v>90000</v>
      </c>
      <c r="O1133" s="2056"/>
      <c r="P1133" s="1969">
        <f t="shared" si="718"/>
        <v>7470</v>
      </c>
      <c r="Q1133" s="1953"/>
      <c r="R1133" s="1954"/>
      <c r="S1133" s="1954">
        <f t="shared" si="719"/>
        <v>7470</v>
      </c>
      <c r="T1133" s="1969">
        <f t="shared" si="720"/>
        <v>0</v>
      </c>
      <c r="U1133" s="2060"/>
      <c r="V1133" s="1848"/>
      <c r="W1133" s="1848"/>
      <c r="X1133" s="1848"/>
      <c r="Y1133" s="1848"/>
      <c r="Z1133" s="1956"/>
      <c r="AA1133" s="1956"/>
      <c r="AI1133" s="2109"/>
      <c r="AJ1133" s="1960"/>
    </row>
    <row r="1134" spans="1:36" s="1957" customFormat="1" ht="21.95" customHeight="1" x14ac:dyDescent="0.2">
      <c r="A1134" s="1942"/>
      <c r="B1134" s="1970"/>
      <c r="C1134" s="1971"/>
      <c r="D1134" s="1972"/>
      <c r="E1134" s="1973"/>
      <c r="F1134" s="1974" t="s">
        <v>556</v>
      </c>
      <c r="G1134" s="1975">
        <f>B1123</f>
        <v>1</v>
      </c>
      <c r="H1134" s="1976"/>
      <c r="I1134" s="1977"/>
      <c r="J1134" s="1977"/>
      <c r="K1134" s="1978"/>
      <c r="L1134" s="1979"/>
      <c r="M1134" s="1980"/>
      <c r="N1134" s="1981"/>
      <c r="O1134" s="1982"/>
      <c r="P1134" s="1983">
        <f>SUM(P1125:P1133)</f>
        <v>847863.71428571432</v>
      </c>
      <c r="Q1134" s="1984"/>
      <c r="R1134" s="1985"/>
      <c r="S1134" s="1983">
        <f t="shared" ref="S1134" si="721">SUM(S1125:S1133)</f>
        <v>803818.67428571428</v>
      </c>
      <c r="T1134" s="1983">
        <f t="shared" ref="T1134" si="722">SUM(T1125:T1133)</f>
        <v>44045.039999999979</v>
      </c>
      <c r="U1134" s="1986"/>
      <c r="V1134" s="1848"/>
      <c r="W1134" s="1848"/>
      <c r="X1134" s="1848"/>
      <c r="Y1134" s="1848"/>
      <c r="Z1134" s="1956"/>
      <c r="AA1134" s="1956"/>
      <c r="AF1134" s="1958"/>
      <c r="AG1134" s="1958"/>
      <c r="AH1134" s="1958"/>
      <c r="AI1134" s="1959"/>
      <c r="AJ1134" s="1960"/>
    </row>
    <row r="1135" spans="1:36" ht="21.95" customHeight="1" x14ac:dyDescent="0.2">
      <c r="A1135" s="1833">
        <f>satpek!$B$62</f>
        <v>43</v>
      </c>
      <c r="B1135" s="1943">
        <f>B1123+1</f>
        <v>2</v>
      </c>
      <c r="C1135" s="1937"/>
      <c r="D1135" s="1944" t="s">
        <v>1806</v>
      </c>
      <c r="E1135" s="1944"/>
      <c r="F1135" s="2004"/>
      <c r="G1135" s="1945">
        <f>'[3]B.VOL RAB'!Q375</f>
        <v>724.55499999999995</v>
      </c>
      <c r="H1135" s="1946" t="str">
        <f>VLOOKUP($A1135,satpek!$B$20:$N$144,7,0)</f>
        <v>m2</v>
      </c>
      <c r="I1135" s="1947"/>
      <c r="J1135" s="1947"/>
      <c r="K1135" s="1948"/>
      <c r="L1135" s="1949"/>
      <c r="M1135" s="1950" t="str">
        <f>VLOOKUP($A1135,satpek!$B$20:$N$144,5,0)</f>
        <v>An. Dihitung</v>
      </c>
      <c r="N1135" s="1951">
        <f>VLOOKUP($A1135,satpek!$B$20:$N$144,6,0)</f>
        <v>245041.63</v>
      </c>
      <c r="O1135" s="1938"/>
      <c r="P1135" s="1952">
        <f t="shared" si="714"/>
        <v>177546138.22</v>
      </c>
      <c r="Q1135" s="1953">
        <f>VLOOKUP($A1135,satpek!$B$20:$L$138,8,0)</f>
        <v>0.81409874983283448</v>
      </c>
      <c r="R1135" s="1954">
        <f>VLOOKUP($A1135,satpek!$B$20:$L$138,9,0)</f>
        <v>176538.128</v>
      </c>
      <c r="S1135" s="1954">
        <f>VLOOKUP($A1135,satpek!$B$20:$L$138,10,0)</f>
        <v>199488.08463999999</v>
      </c>
      <c r="T1135" s="1952">
        <f>S1135*G1135</f>
        <v>144540089.16633517</v>
      </c>
      <c r="U1135" s="1955"/>
      <c r="X1135" s="1848">
        <f>P1146</f>
        <v>216851</v>
      </c>
      <c r="Y1135" s="1848">
        <f>S1146</f>
        <v>176538.12800000003</v>
      </c>
      <c r="Z1135" s="1956">
        <v>724.55499999999995</v>
      </c>
      <c r="AA1135" s="1956">
        <f t="shared" si="641"/>
        <v>0</v>
      </c>
      <c r="AB1135" s="1836" t="s">
        <v>1806</v>
      </c>
      <c r="AF1135" s="1836"/>
      <c r="AG1135" s="1836"/>
      <c r="AH1135" s="1836"/>
      <c r="AI1135" s="1837">
        <v>197097.99</v>
      </c>
      <c r="AJ1135" s="1960">
        <f t="shared" si="642"/>
        <v>-47943.640000000014</v>
      </c>
    </row>
    <row r="1136" spans="1:36" ht="21.95" customHeight="1" x14ac:dyDescent="0.2">
      <c r="B1136" s="2045"/>
      <c r="C1136" s="2046" t="str">
        <f>SNI!D866</f>
        <v>Bahan</v>
      </c>
      <c r="D1136" s="2047"/>
      <c r="E1136" s="2047"/>
      <c r="F1136" s="2048"/>
      <c r="G1136" s="2049"/>
      <c r="H1136" s="2050"/>
      <c r="I1136" s="2051"/>
      <c r="J1136" s="2051"/>
      <c r="K1136" s="2052"/>
      <c r="L1136" s="2053"/>
      <c r="M1136" s="2054"/>
      <c r="N1136" s="2055"/>
      <c r="O1136" s="2056"/>
      <c r="P1136" s="2057"/>
      <c r="Q1136" s="2058"/>
      <c r="R1136" s="2059"/>
      <c r="S1136" s="2059"/>
      <c r="T1136" s="2057"/>
      <c r="U1136" s="2060"/>
      <c r="Z1136" s="1956"/>
      <c r="AA1136" s="1956"/>
      <c r="AF1136" s="1836"/>
      <c r="AG1136" s="1836"/>
      <c r="AH1136" s="1836"/>
      <c r="AI1136" s="1837"/>
      <c r="AJ1136" s="1960"/>
    </row>
    <row r="1137" spans="1:36" ht="21.95" customHeight="1" x14ac:dyDescent="0.2">
      <c r="B1137" s="2045"/>
      <c r="C1137" s="2046"/>
      <c r="D1137" s="2047" t="str">
        <f>SNI!E866</f>
        <v>Granit warna muda</v>
      </c>
      <c r="E1137" s="2047"/>
      <c r="F1137" s="2048"/>
      <c r="G1137" s="2049">
        <f>SNI!H866</f>
        <v>3.1</v>
      </c>
      <c r="H1137" s="2050" t="str">
        <f>SNI!G866</f>
        <v>buah</v>
      </c>
      <c r="I1137" s="2051"/>
      <c r="J1137" s="2051"/>
      <c r="K1137" s="2052">
        <f>SNI!L866</f>
        <v>0.69620000000000004</v>
      </c>
      <c r="L1137" s="2053"/>
      <c r="M1137" s="2054"/>
      <c r="N1137" s="2055">
        <f>SNI!I866</f>
        <v>38709.677419354841</v>
      </c>
      <c r="O1137" s="2056"/>
      <c r="P1137" s="1969">
        <f t="shared" ref="P1137" si="723">N1137*G1137</f>
        <v>120000.00000000001</v>
      </c>
      <c r="Q1137" s="1953"/>
      <c r="R1137" s="1954"/>
      <c r="S1137" s="1954">
        <f t="shared" ref="S1137" si="724">P1137*K1137</f>
        <v>83544.000000000015</v>
      </c>
      <c r="T1137" s="1969">
        <f t="shared" ref="T1137" si="725">P1137-S1137</f>
        <v>36456</v>
      </c>
      <c r="U1137" s="2060"/>
      <c r="Z1137" s="1956"/>
      <c r="AA1137" s="1956"/>
      <c r="AF1137" s="1836"/>
      <c r="AG1137" s="1836"/>
      <c r="AH1137" s="1836"/>
      <c r="AI1137" s="1837"/>
      <c r="AJ1137" s="1960"/>
    </row>
    <row r="1138" spans="1:36" ht="21.95" customHeight="1" x14ac:dyDescent="0.2">
      <c r="B1138" s="2045"/>
      <c r="C1138" s="2046"/>
      <c r="D1138" s="2047" t="str">
        <f>SNI!E867</f>
        <v>PC</v>
      </c>
      <c r="E1138" s="2047"/>
      <c r="F1138" s="2048"/>
      <c r="G1138" s="2049">
        <f>SNI!H867</f>
        <v>9.6</v>
      </c>
      <c r="H1138" s="2050" t="str">
        <f>SNI!G867</f>
        <v>kg</v>
      </c>
      <c r="I1138" s="2051"/>
      <c r="J1138" s="2051"/>
      <c r="K1138" s="2052">
        <f>SNI!L867</f>
        <v>0.85140000000000005</v>
      </c>
      <c r="L1138" s="2053"/>
      <c r="M1138" s="2054"/>
      <c r="N1138" s="2055">
        <f>SNI!I867</f>
        <v>1200</v>
      </c>
      <c r="O1138" s="2056"/>
      <c r="P1138" s="1969">
        <f t="shared" ref="P1138:P1145" si="726">N1138*G1138</f>
        <v>11520</v>
      </c>
      <c r="Q1138" s="1953"/>
      <c r="R1138" s="1954"/>
      <c r="S1138" s="1954">
        <f t="shared" ref="S1138:S1145" si="727">P1138*K1138</f>
        <v>9808.1280000000006</v>
      </c>
      <c r="T1138" s="1969">
        <f t="shared" ref="T1138:T1145" si="728">P1138-S1138</f>
        <v>1711.8719999999994</v>
      </c>
      <c r="U1138" s="2060"/>
      <c r="Z1138" s="1956"/>
      <c r="AA1138" s="1956"/>
      <c r="AF1138" s="1836"/>
      <c r="AG1138" s="1836"/>
      <c r="AH1138" s="1836"/>
      <c r="AI1138" s="1837"/>
      <c r="AJ1138" s="1960"/>
    </row>
    <row r="1139" spans="1:36" ht="21.95" customHeight="1" x14ac:dyDescent="0.2">
      <c r="B1139" s="2045"/>
      <c r="C1139" s="2046"/>
      <c r="D1139" s="2047" t="str">
        <f>SNI!E868</f>
        <v>Pasir Pasang</v>
      </c>
      <c r="E1139" s="2047"/>
      <c r="F1139" s="2048"/>
      <c r="G1139" s="2049">
        <f>SNI!H868</f>
        <v>4.4999999999999998E-2</v>
      </c>
      <c r="H1139" s="2050" t="str">
        <f>SNI!G868</f>
        <v>m3</v>
      </c>
      <c r="I1139" s="2051"/>
      <c r="J1139" s="2051"/>
      <c r="K1139" s="2052">
        <f>SNI!L868</f>
        <v>1</v>
      </c>
      <c r="L1139" s="2053"/>
      <c r="M1139" s="2054"/>
      <c r="N1139" s="2055">
        <f>SNI!I868</f>
        <v>260000</v>
      </c>
      <c r="O1139" s="2056"/>
      <c r="P1139" s="1969">
        <f t="shared" si="726"/>
        <v>11700</v>
      </c>
      <c r="Q1139" s="1953"/>
      <c r="R1139" s="1954"/>
      <c r="S1139" s="1954">
        <f t="shared" si="727"/>
        <v>11700</v>
      </c>
      <c r="T1139" s="1969">
        <f t="shared" si="728"/>
        <v>0</v>
      </c>
      <c r="U1139" s="2060"/>
      <c r="Z1139" s="1956"/>
      <c r="AA1139" s="1956"/>
      <c r="AF1139" s="1836"/>
      <c r="AG1139" s="1836"/>
      <c r="AH1139" s="1836"/>
      <c r="AI1139" s="1837"/>
      <c r="AJ1139" s="1960"/>
    </row>
    <row r="1140" spans="1:36" ht="21.95" customHeight="1" x14ac:dyDescent="0.2">
      <c r="B1140" s="2045"/>
      <c r="C1140" s="2046"/>
      <c r="D1140" s="2047" t="str">
        <f>SNI!E869</f>
        <v>Semen Warna</v>
      </c>
      <c r="E1140" s="2047"/>
      <c r="F1140" s="2048"/>
      <c r="G1140" s="2049">
        <f>SNI!H869</f>
        <v>0.15</v>
      </c>
      <c r="H1140" s="2050" t="str">
        <f>SNI!G869</f>
        <v>kg</v>
      </c>
      <c r="I1140" s="2051"/>
      <c r="J1140" s="2051"/>
      <c r="K1140" s="2052">
        <f>SNI!L869</f>
        <v>0</v>
      </c>
      <c r="L1140" s="2053"/>
      <c r="M1140" s="2054"/>
      <c r="N1140" s="2055">
        <f>SNI!I869</f>
        <v>14300</v>
      </c>
      <c r="O1140" s="2056"/>
      <c r="P1140" s="1969">
        <f t="shared" si="726"/>
        <v>2145</v>
      </c>
      <c r="Q1140" s="1953"/>
      <c r="R1140" s="1954"/>
      <c r="S1140" s="1954">
        <f t="shared" si="727"/>
        <v>0</v>
      </c>
      <c r="T1140" s="1969">
        <f t="shared" si="728"/>
        <v>2145</v>
      </c>
      <c r="U1140" s="2060"/>
      <c r="Z1140" s="1956"/>
      <c r="AA1140" s="1956"/>
      <c r="AF1140" s="1836"/>
      <c r="AG1140" s="1836"/>
      <c r="AH1140" s="1836"/>
      <c r="AI1140" s="1837"/>
      <c r="AJ1140" s="1960"/>
    </row>
    <row r="1141" spans="1:36" ht="21.95" customHeight="1" x14ac:dyDescent="0.2">
      <c r="B1141" s="2045"/>
      <c r="C1141" s="2046" t="str">
        <f>SNI!D871</f>
        <v>Tenaga Kerja</v>
      </c>
      <c r="D1141" s="2047"/>
      <c r="E1141" s="2047"/>
      <c r="F1141" s="2048"/>
      <c r="G1141" s="2049"/>
      <c r="H1141" s="2050"/>
      <c r="I1141" s="2051"/>
      <c r="J1141" s="2051"/>
      <c r="K1141" s="2052"/>
      <c r="L1141" s="2053"/>
      <c r="M1141" s="2054"/>
      <c r="N1141" s="2055"/>
      <c r="O1141" s="2056"/>
      <c r="P1141" s="1969"/>
      <c r="Q1141" s="1953"/>
      <c r="R1141" s="1954"/>
      <c r="S1141" s="1954"/>
      <c r="T1141" s="1969"/>
      <c r="U1141" s="2060"/>
      <c r="Z1141" s="1956"/>
      <c r="AA1141" s="1956"/>
      <c r="AF1141" s="1836"/>
      <c r="AG1141" s="1836"/>
      <c r="AH1141" s="1836"/>
      <c r="AI1141" s="1837"/>
      <c r="AJ1141" s="1960"/>
    </row>
    <row r="1142" spans="1:36" ht="21.95" customHeight="1" x14ac:dyDescent="0.2">
      <c r="B1142" s="2045"/>
      <c r="C1142" s="2046"/>
      <c r="D1142" s="2047" t="str">
        <f>SNI!E871</f>
        <v xml:space="preserve">Pekerja </v>
      </c>
      <c r="E1142" s="2047"/>
      <c r="F1142" s="2048"/>
      <c r="G1142" s="2049">
        <f>SNI!H871</f>
        <v>0.5</v>
      </c>
      <c r="H1142" s="2050" t="str">
        <f>SNI!G871</f>
        <v>OH</v>
      </c>
      <c r="I1142" s="2051" t="str">
        <f>SNI!M871</f>
        <v>WNI</v>
      </c>
      <c r="J1142" s="2051"/>
      <c r="K1142" s="2052">
        <f>SNI!L871</f>
        <v>1</v>
      </c>
      <c r="L1142" s="2053"/>
      <c r="M1142" s="2054"/>
      <c r="N1142" s="2055">
        <f>SNI!I871</f>
        <v>88300</v>
      </c>
      <c r="O1142" s="2056"/>
      <c r="P1142" s="1969">
        <f t="shared" si="726"/>
        <v>44150</v>
      </c>
      <c r="Q1142" s="1953"/>
      <c r="R1142" s="1954"/>
      <c r="S1142" s="1954">
        <f t="shared" si="727"/>
        <v>44150</v>
      </c>
      <c r="T1142" s="1969">
        <f t="shared" si="728"/>
        <v>0</v>
      </c>
      <c r="U1142" s="2060"/>
      <c r="Z1142" s="1956"/>
      <c r="AA1142" s="1956"/>
      <c r="AF1142" s="1836"/>
      <c r="AG1142" s="1836"/>
      <c r="AH1142" s="1836"/>
      <c r="AI1142" s="1837"/>
      <c r="AJ1142" s="1960"/>
    </row>
    <row r="1143" spans="1:36" ht="21.95" customHeight="1" x14ac:dyDescent="0.2">
      <c r="B1143" s="2045"/>
      <c r="C1143" s="2046"/>
      <c r="D1143" s="2047" t="str">
        <f>SNI!E872</f>
        <v>Tukang Batu</v>
      </c>
      <c r="E1143" s="2047"/>
      <c r="F1143" s="2048"/>
      <c r="G1143" s="2049">
        <f>SNI!H872</f>
        <v>0.25</v>
      </c>
      <c r="H1143" s="2050" t="str">
        <f>SNI!G872</f>
        <v>OH</v>
      </c>
      <c r="I1143" s="2051" t="str">
        <f>SNI!M872</f>
        <v>WNI</v>
      </c>
      <c r="J1143" s="2051"/>
      <c r="K1143" s="2052">
        <f>SNI!L872</f>
        <v>1</v>
      </c>
      <c r="L1143" s="2053"/>
      <c r="M1143" s="2054"/>
      <c r="N1143" s="2055">
        <f>SNI!I872</f>
        <v>90000</v>
      </c>
      <c r="O1143" s="2056"/>
      <c r="P1143" s="1969">
        <f t="shared" si="726"/>
        <v>22500</v>
      </c>
      <c r="Q1143" s="1953"/>
      <c r="R1143" s="1954"/>
      <c r="S1143" s="1954">
        <f t="shared" si="727"/>
        <v>22500</v>
      </c>
      <c r="T1143" s="1969">
        <f t="shared" si="728"/>
        <v>0</v>
      </c>
      <c r="U1143" s="2060"/>
      <c r="Z1143" s="1956"/>
      <c r="AA1143" s="1956"/>
      <c r="AF1143" s="1836"/>
      <c r="AG1143" s="1836"/>
      <c r="AH1143" s="1836"/>
      <c r="AI1143" s="1837"/>
      <c r="AJ1143" s="1960"/>
    </row>
    <row r="1144" spans="1:36" ht="21.95" customHeight="1" x14ac:dyDescent="0.2">
      <c r="B1144" s="2045"/>
      <c r="C1144" s="2046"/>
      <c r="D1144" s="2047" t="str">
        <f>SNI!E873</f>
        <v>Kepala Tukang</v>
      </c>
      <c r="E1144" s="2047"/>
      <c r="F1144" s="2048"/>
      <c r="G1144" s="2049">
        <f>SNI!H873</f>
        <v>2.5999999999999999E-2</v>
      </c>
      <c r="H1144" s="2050" t="str">
        <f>SNI!G873</f>
        <v>OH</v>
      </c>
      <c r="I1144" s="2051" t="str">
        <f>SNI!M873</f>
        <v>WNI</v>
      </c>
      <c r="J1144" s="2051"/>
      <c r="K1144" s="2052">
        <f>SNI!L873</f>
        <v>1</v>
      </c>
      <c r="L1144" s="2053"/>
      <c r="M1144" s="2054"/>
      <c r="N1144" s="2055">
        <f>SNI!I873</f>
        <v>96000</v>
      </c>
      <c r="O1144" s="2056"/>
      <c r="P1144" s="1969">
        <f t="shared" si="726"/>
        <v>2496</v>
      </c>
      <c r="Q1144" s="1953"/>
      <c r="R1144" s="1954"/>
      <c r="S1144" s="1954">
        <f t="shared" si="727"/>
        <v>2496</v>
      </c>
      <c r="T1144" s="1969">
        <f t="shared" si="728"/>
        <v>0</v>
      </c>
      <c r="U1144" s="2060"/>
      <c r="Z1144" s="1956"/>
      <c r="AA1144" s="1956"/>
      <c r="AF1144" s="1836"/>
      <c r="AG1144" s="1836"/>
      <c r="AH1144" s="1836"/>
      <c r="AI1144" s="1837"/>
      <c r="AJ1144" s="1960"/>
    </row>
    <row r="1145" spans="1:36" ht="21.95" customHeight="1" x14ac:dyDescent="0.2">
      <c r="B1145" s="2045"/>
      <c r="C1145" s="2046"/>
      <c r="D1145" s="2047" t="str">
        <f>SNI!E874</f>
        <v>Mandor</v>
      </c>
      <c r="E1145" s="2047"/>
      <c r="F1145" s="2048"/>
      <c r="G1145" s="2049">
        <f>SNI!H874</f>
        <v>2.5999999999999999E-2</v>
      </c>
      <c r="H1145" s="2050" t="str">
        <f>SNI!G874</f>
        <v>OH</v>
      </c>
      <c r="I1145" s="2051" t="str">
        <f>SNI!M874</f>
        <v>WNI</v>
      </c>
      <c r="J1145" s="2051"/>
      <c r="K1145" s="2052">
        <f>SNI!L874</f>
        <v>1</v>
      </c>
      <c r="L1145" s="2053"/>
      <c r="M1145" s="2054"/>
      <c r="N1145" s="2055">
        <f>SNI!I874</f>
        <v>90000</v>
      </c>
      <c r="O1145" s="2056"/>
      <c r="P1145" s="1969">
        <f t="shared" si="726"/>
        <v>2340</v>
      </c>
      <c r="Q1145" s="1953"/>
      <c r="R1145" s="1954"/>
      <c r="S1145" s="1954">
        <f t="shared" si="727"/>
        <v>2340</v>
      </c>
      <c r="T1145" s="1969">
        <f t="shared" si="728"/>
        <v>0</v>
      </c>
      <c r="U1145" s="2060"/>
      <c r="Z1145" s="1956"/>
      <c r="AA1145" s="1956"/>
      <c r="AF1145" s="1836"/>
      <c r="AG1145" s="1836"/>
      <c r="AH1145" s="1836"/>
      <c r="AI1145" s="1837"/>
      <c r="AJ1145" s="1960"/>
    </row>
    <row r="1146" spans="1:36" s="1957" customFormat="1" ht="21.95" customHeight="1" x14ac:dyDescent="0.2">
      <c r="A1146" s="1942"/>
      <c r="B1146" s="1970"/>
      <c r="C1146" s="1971"/>
      <c r="D1146" s="1972"/>
      <c r="E1146" s="1973"/>
      <c r="F1146" s="1974" t="s">
        <v>556</v>
      </c>
      <c r="G1146" s="1975">
        <f>B1135</f>
        <v>2</v>
      </c>
      <c r="H1146" s="1976"/>
      <c r="I1146" s="1977"/>
      <c r="J1146" s="1977"/>
      <c r="K1146" s="1978"/>
      <c r="L1146" s="1979"/>
      <c r="M1146" s="1980"/>
      <c r="N1146" s="1981"/>
      <c r="O1146" s="1982"/>
      <c r="P1146" s="1983">
        <f>SUM(P1137:P1145)</f>
        <v>216851</v>
      </c>
      <c r="Q1146" s="1984"/>
      <c r="R1146" s="1985"/>
      <c r="S1146" s="1983">
        <f t="shared" ref="S1146" si="729">SUM(S1137:S1145)</f>
        <v>176538.12800000003</v>
      </c>
      <c r="T1146" s="1983">
        <f t="shared" ref="T1146" si="730">SUM(T1137:T1145)</f>
        <v>40312.872000000003</v>
      </c>
      <c r="U1146" s="1986"/>
      <c r="V1146" s="1848"/>
      <c r="W1146" s="1848"/>
      <c r="X1146" s="1848"/>
      <c r="Y1146" s="1848"/>
      <c r="Z1146" s="1956"/>
      <c r="AA1146" s="1956"/>
      <c r="AF1146" s="1958"/>
      <c r="AG1146" s="1958"/>
      <c r="AH1146" s="1958"/>
      <c r="AI1146" s="1959"/>
      <c r="AJ1146" s="1960"/>
    </row>
    <row r="1147" spans="1:36" ht="21.95" customHeight="1" x14ac:dyDescent="0.2">
      <c r="A1147" s="1833">
        <f>satpek!$B$64</f>
        <v>45</v>
      </c>
      <c r="B1147" s="1943">
        <f>B1135+1</f>
        <v>3</v>
      </c>
      <c r="C1147" s="1937"/>
      <c r="D1147" s="1944" t="str">
        <f>VLOOKUP($A1147,satpek!$B$20:$N$144,2,0)</f>
        <v>Memasang dinding Homogenius tile  uk. (30x60) cm</v>
      </c>
      <c r="E1147" s="1944"/>
      <c r="F1147" s="2004"/>
      <c r="G1147" s="1945">
        <f>'[3]B.VOL RAB'!Q381</f>
        <v>59.508000000000017</v>
      </c>
      <c r="H1147" s="1946" t="str">
        <f>VLOOKUP($A1147,satpek!$B$20:$N$144,7,0)</f>
        <v>m2</v>
      </c>
      <c r="I1147" s="1947"/>
      <c r="J1147" s="1947"/>
      <c r="K1147" s="1948"/>
      <c r="L1147" s="1949"/>
      <c r="M1147" s="1950" t="str">
        <f>VLOOKUP($A1147,satpek!$B$20:$N$144,5,0)</f>
        <v>An. Dihitung</v>
      </c>
      <c r="N1147" s="1951">
        <f>VLOOKUP($A1147,satpek!$B$20:$N$144,6,0)</f>
        <v>281318.25</v>
      </c>
      <c r="O1147" s="1938"/>
      <c r="P1147" s="1952">
        <f t="shared" si="714"/>
        <v>16740686.42</v>
      </c>
      <c r="Q1147" s="1953">
        <f>VLOOKUP($A1147,satpek!$B$20:$L$138,8,0)</f>
        <v>0.85772412757045269</v>
      </c>
      <c r="R1147" s="1954">
        <f>VLOOKUP($A1147,satpek!$B$20:$L$138,9,0)</f>
        <v>213534.024</v>
      </c>
      <c r="S1147" s="1954">
        <f>VLOOKUP($A1147,satpek!$B$20:$L$138,10,0)</f>
        <v>241293.44712</v>
      </c>
      <c r="T1147" s="1952">
        <f>S1147*G1147</f>
        <v>14358890.451216964</v>
      </c>
      <c r="U1147" s="1955"/>
      <c r="X1147" s="1848">
        <f>P1158</f>
        <v>248954.2</v>
      </c>
      <c r="Y1147" s="1848">
        <f>S1158</f>
        <v>213534.024</v>
      </c>
      <c r="Z1147" s="1956">
        <v>59.508000000000017</v>
      </c>
      <c r="AA1147" s="1956">
        <f t="shared" si="641"/>
        <v>0</v>
      </c>
      <c r="AB1147" s="1836" t="s">
        <v>1808</v>
      </c>
      <c r="AF1147" s="1836"/>
      <c r="AG1147" s="1836"/>
      <c r="AH1147" s="1836"/>
      <c r="AI1147" s="1837">
        <v>228382.94</v>
      </c>
      <c r="AJ1147" s="1960">
        <f t="shared" si="642"/>
        <v>-52935.31</v>
      </c>
    </row>
    <row r="1148" spans="1:36" ht="21.95" customHeight="1" x14ac:dyDescent="0.2">
      <c r="B1148" s="2045"/>
      <c r="C1148" s="2046" t="str">
        <f>SNI!D908</f>
        <v>Bahan</v>
      </c>
      <c r="D1148" s="2047"/>
      <c r="E1148" s="2047"/>
      <c r="F1148" s="2048"/>
      <c r="G1148" s="2049"/>
      <c r="H1148" s="2050"/>
      <c r="I1148" s="2051"/>
      <c r="J1148" s="2051"/>
      <c r="K1148" s="2052"/>
      <c r="L1148" s="2053"/>
      <c r="M1148" s="2054"/>
      <c r="N1148" s="2055"/>
      <c r="O1148" s="2056"/>
      <c r="P1148" s="2057"/>
      <c r="Q1148" s="2058"/>
      <c r="R1148" s="2059"/>
      <c r="S1148" s="2059"/>
      <c r="T1148" s="2057"/>
      <c r="U1148" s="2060"/>
      <c r="Z1148" s="1956"/>
      <c r="AA1148" s="1956"/>
      <c r="AF1148" s="1836"/>
      <c r="AG1148" s="1836"/>
      <c r="AH1148" s="1836"/>
      <c r="AI1148" s="1837"/>
      <c r="AJ1148" s="1960"/>
    </row>
    <row r="1149" spans="1:36" ht="21.95" customHeight="1" x14ac:dyDescent="0.2">
      <c r="B1149" s="2045"/>
      <c r="C1149" s="2046"/>
      <c r="D1149" s="2047" t="str">
        <f>SNI!E908</f>
        <v>Keramik dind. 30/60</v>
      </c>
      <c r="E1149" s="2047"/>
      <c r="F1149" s="2048"/>
      <c r="G1149" s="2049">
        <f>SNI!H908</f>
        <v>5.83</v>
      </c>
      <c r="H1149" s="2050" t="str">
        <f>SNI!G908</f>
        <v>buah</v>
      </c>
      <c r="I1149" s="2051"/>
      <c r="J1149" s="2051"/>
      <c r="K1149" s="2052">
        <f>SNI!L908</f>
        <v>0.69620000000000004</v>
      </c>
      <c r="L1149" s="2053"/>
      <c r="M1149" s="2054"/>
      <c r="N1149" s="2055">
        <f>SNI!I908</f>
        <v>17495.711835334478</v>
      </c>
      <c r="O1149" s="2056"/>
      <c r="P1149" s="1969">
        <f t="shared" ref="P1149" si="731">N1149*G1149</f>
        <v>102000</v>
      </c>
      <c r="Q1149" s="1953"/>
      <c r="R1149" s="1954"/>
      <c r="S1149" s="1954">
        <f t="shared" ref="S1149" si="732">P1149*K1149</f>
        <v>71012.400000000009</v>
      </c>
      <c r="T1149" s="1969">
        <f t="shared" ref="T1149" si="733">P1149-S1149</f>
        <v>30987.599999999991</v>
      </c>
      <c r="U1149" s="2060"/>
      <c r="Z1149" s="1956"/>
      <c r="AA1149" s="1956"/>
      <c r="AF1149" s="1836"/>
      <c r="AG1149" s="1836"/>
      <c r="AH1149" s="1836"/>
      <c r="AI1149" s="1837"/>
      <c r="AJ1149" s="1960"/>
    </row>
    <row r="1150" spans="1:36" ht="21.95" customHeight="1" x14ac:dyDescent="0.2">
      <c r="B1150" s="2045"/>
      <c r="C1150" s="2046"/>
      <c r="D1150" s="2047" t="str">
        <f>SNI!E909</f>
        <v>PC</v>
      </c>
      <c r="E1150" s="2047"/>
      <c r="F1150" s="2048"/>
      <c r="G1150" s="2049">
        <f>SNI!H909</f>
        <v>9.3000000000000007</v>
      </c>
      <c r="H1150" s="2050" t="str">
        <f>SNI!G909</f>
        <v>kg</v>
      </c>
      <c r="I1150" s="2051"/>
      <c r="J1150" s="2051"/>
      <c r="K1150" s="2052">
        <f>SNI!L909</f>
        <v>0.85140000000000005</v>
      </c>
      <c r="L1150" s="2053"/>
      <c r="M1150" s="2054"/>
      <c r="N1150" s="2055">
        <f>SNI!I909</f>
        <v>1200</v>
      </c>
      <c r="O1150" s="2056"/>
      <c r="P1150" s="1969">
        <f t="shared" ref="P1150:P1157" si="734">N1150*G1150</f>
        <v>11160</v>
      </c>
      <c r="Q1150" s="1953"/>
      <c r="R1150" s="1954"/>
      <c r="S1150" s="1954">
        <f t="shared" ref="S1150:S1157" si="735">P1150*K1150</f>
        <v>9501.6239999999998</v>
      </c>
      <c r="T1150" s="1969">
        <f t="shared" ref="T1150:T1157" si="736">P1150-S1150</f>
        <v>1658.3760000000002</v>
      </c>
      <c r="U1150" s="2060"/>
      <c r="Z1150" s="1956"/>
      <c r="AA1150" s="1956"/>
      <c r="AF1150" s="1836"/>
      <c r="AG1150" s="1836"/>
      <c r="AH1150" s="1836"/>
      <c r="AI1150" s="1837"/>
      <c r="AJ1150" s="1960"/>
    </row>
    <row r="1151" spans="1:36" ht="21.95" customHeight="1" x14ac:dyDescent="0.2">
      <c r="B1151" s="2045"/>
      <c r="C1151" s="2046"/>
      <c r="D1151" s="2047" t="str">
        <f>SNI!E910</f>
        <v>Pasir Pasang</v>
      </c>
      <c r="E1151" s="2047"/>
      <c r="F1151" s="2048"/>
      <c r="G1151" s="2049">
        <f>SNI!H910</f>
        <v>1.7999999999999999E-2</v>
      </c>
      <c r="H1151" s="2050" t="str">
        <f>SNI!G910</f>
        <v>m3</v>
      </c>
      <c r="I1151" s="2051"/>
      <c r="J1151" s="2051"/>
      <c r="K1151" s="2052">
        <f>SNI!L910</f>
        <v>1</v>
      </c>
      <c r="L1151" s="2053"/>
      <c r="M1151" s="2054"/>
      <c r="N1151" s="2055">
        <f>SNI!I910</f>
        <v>260000</v>
      </c>
      <c r="O1151" s="2056"/>
      <c r="P1151" s="1969">
        <f t="shared" si="734"/>
        <v>4680</v>
      </c>
      <c r="Q1151" s="1953"/>
      <c r="R1151" s="1954"/>
      <c r="S1151" s="1954">
        <f t="shared" si="735"/>
        <v>4680</v>
      </c>
      <c r="T1151" s="1969">
        <f t="shared" si="736"/>
        <v>0</v>
      </c>
      <c r="U1151" s="2060"/>
      <c r="Z1151" s="1956"/>
      <c r="AA1151" s="1956"/>
      <c r="AF1151" s="1836"/>
      <c r="AG1151" s="1836"/>
      <c r="AH1151" s="1836"/>
      <c r="AI1151" s="1837"/>
      <c r="AJ1151" s="1960"/>
    </row>
    <row r="1152" spans="1:36" ht="21.95" customHeight="1" x14ac:dyDescent="0.2">
      <c r="B1152" s="2045"/>
      <c r="C1152" s="2046"/>
      <c r="D1152" s="2047" t="str">
        <f>SNI!E911</f>
        <v>Semen Warna</v>
      </c>
      <c r="E1152" s="2047"/>
      <c r="F1152" s="2048"/>
      <c r="G1152" s="2049">
        <f>SNI!H911</f>
        <v>0.19400000000000001</v>
      </c>
      <c r="H1152" s="2050" t="str">
        <f>SNI!G911</f>
        <v>kg</v>
      </c>
      <c r="I1152" s="2051"/>
      <c r="J1152" s="2051"/>
      <c r="K1152" s="2052">
        <f>SNI!L911</f>
        <v>0</v>
      </c>
      <c r="L1152" s="2053"/>
      <c r="M1152" s="2054"/>
      <c r="N1152" s="2055">
        <f>SNI!I911</f>
        <v>14300</v>
      </c>
      <c r="O1152" s="2056"/>
      <c r="P1152" s="1969">
        <f t="shared" si="734"/>
        <v>2774.2000000000003</v>
      </c>
      <c r="Q1152" s="1953"/>
      <c r="R1152" s="1954"/>
      <c r="S1152" s="1954">
        <f t="shared" si="735"/>
        <v>0</v>
      </c>
      <c r="T1152" s="1969">
        <f t="shared" si="736"/>
        <v>2774.2000000000003</v>
      </c>
      <c r="U1152" s="2060"/>
      <c r="Z1152" s="1956"/>
      <c r="AA1152" s="1956"/>
      <c r="AF1152" s="1836"/>
      <c r="AG1152" s="1836"/>
      <c r="AH1152" s="1836"/>
      <c r="AI1152" s="1837"/>
      <c r="AJ1152" s="1960"/>
    </row>
    <row r="1153" spans="1:36" ht="21.95" customHeight="1" x14ac:dyDescent="0.2">
      <c r="B1153" s="2045"/>
      <c r="C1153" s="2046" t="str">
        <f>SNI!D913</f>
        <v>Tenaga Kerja</v>
      </c>
      <c r="D1153" s="2047"/>
      <c r="E1153" s="2047"/>
      <c r="F1153" s="2048"/>
      <c r="G1153" s="2049"/>
      <c r="H1153" s="2050"/>
      <c r="I1153" s="2051"/>
      <c r="J1153" s="2051"/>
      <c r="K1153" s="2052"/>
      <c r="L1153" s="2053"/>
      <c r="M1153" s="2054"/>
      <c r="N1153" s="2055"/>
      <c r="O1153" s="2056"/>
      <c r="P1153" s="1969"/>
      <c r="Q1153" s="1953"/>
      <c r="R1153" s="1954"/>
      <c r="S1153" s="1954"/>
      <c r="T1153" s="1969"/>
      <c r="U1153" s="2060"/>
      <c r="Z1153" s="1956"/>
      <c r="AA1153" s="1956"/>
      <c r="AF1153" s="1836"/>
      <c r="AG1153" s="1836"/>
      <c r="AH1153" s="1836"/>
      <c r="AI1153" s="1837"/>
      <c r="AJ1153" s="1960"/>
    </row>
    <row r="1154" spans="1:36" ht="21.95" customHeight="1" x14ac:dyDescent="0.2">
      <c r="B1154" s="2045"/>
      <c r="C1154" s="2046"/>
      <c r="D1154" s="2047" t="str">
        <f>SNI!E913</f>
        <v xml:space="preserve">Pekerja </v>
      </c>
      <c r="E1154" s="2047"/>
      <c r="F1154" s="2048"/>
      <c r="G1154" s="2049">
        <f>SNI!H913</f>
        <v>0.9</v>
      </c>
      <c r="H1154" s="2050" t="str">
        <f>SNI!G913</f>
        <v>OH</v>
      </c>
      <c r="I1154" s="2051" t="str">
        <f>SNI!M913</f>
        <v>WNI</v>
      </c>
      <c r="J1154" s="2051"/>
      <c r="K1154" s="2052">
        <f>SNI!L913</f>
        <v>1</v>
      </c>
      <c r="L1154" s="2053"/>
      <c r="M1154" s="2054"/>
      <c r="N1154" s="2055">
        <f>SNI!I913</f>
        <v>88300</v>
      </c>
      <c r="O1154" s="2056"/>
      <c r="P1154" s="1969">
        <f t="shared" si="734"/>
        <v>79470</v>
      </c>
      <c r="Q1154" s="1953"/>
      <c r="R1154" s="1954"/>
      <c r="S1154" s="1954">
        <f t="shared" si="735"/>
        <v>79470</v>
      </c>
      <c r="T1154" s="1969">
        <f t="shared" si="736"/>
        <v>0</v>
      </c>
      <c r="U1154" s="2060"/>
      <c r="Z1154" s="1956"/>
      <c r="AA1154" s="1956"/>
      <c r="AF1154" s="1836"/>
      <c r="AG1154" s="1836"/>
      <c r="AH1154" s="1836"/>
      <c r="AI1154" s="1837"/>
      <c r="AJ1154" s="1960"/>
    </row>
    <row r="1155" spans="1:36" ht="21.95" customHeight="1" x14ac:dyDescent="0.2">
      <c r="B1155" s="2045"/>
      <c r="C1155" s="2046"/>
      <c r="D1155" s="2047" t="str">
        <f>SNI!E914</f>
        <v>Tukang Batu</v>
      </c>
      <c r="E1155" s="2047"/>
      <c r="F1155" s="2048"/>
      <c r="G1155" s="2049">
        <f>SNI!H914</f>
        <v>0.45</v>
      </c>
      <c r="H1155" s="2050" t="str">
        <f>SNI!G914</f>
        <v>OH</v>
      </c>
      <c r="I1155" s="2051" t="str">
        <f>SNI!M914</f>
        <v>WNI</v>
      </c>
      <c r="J1155" s="2051"/>
      <c r="K1155" s="2052">
        <f>SNI!L914</f>
        <v>1</v>
      </c>
      <c r="L1155" s="2053"/>
      <c r="M1155" s="2054"/>
      <c r="N1155" s="2055">
        <f>SNI!I914</f>
        <v>90000</v>
      </c>
      <c r="O1155" s="2056"/>
      <c r="P1155" s="1969">
        <f t="shared" si="734"/>
        <v>40500</v>
      </c>
      <c r="Q1155" s="1953"/>
      <c r="R1155" s="1954"/>
      <c r="S1155" s="1954">
        <f t="shared" si="735"/>
        <v>40500</v>
      </c>
      <c r="T1155" s="1969">
        <f t="shared" si="736"/>
        <v>0</v>
      </c>
      <c r="U1155" s="2060"/>
      <c r="Z1155" s="1956"/>
      <c r="AA1155" s="1956"/>
      <c r="AF1155" s="1836"/>
      <c r="AG1155" s="1836"/>
      <c r="AH1155" s="1836"/>
      <c r="AI1155" s="1837"/>
      <c r="AJ1155" s="1960"/>
    </row>
    <row r="1156" spans="1:36" ht="21.95" customHeight="1" x14ac:dyDescent="0.2">
      <c r="B1156" s="2045"/>
      <c r="C1156" s="2046"/>
      <c r="D1156" s="2047" t="str">
        <f>SNI!E915</f>
        <v>Kepala Tukang</v>
      </c>
      <c r="E1156" s="2047"/>
      <c r="F1156" s="2048"/>
      <c r="G1156" s="2049">
        <f>SNI!H915</f>
        <v>4.4999999999999998E-2</v>
      </c>
      <c r="H1156" s="2050" t="str">
        <f>SNI!G915</f>
        <v>OH</v>
      </c>
      <c r="I1156" s="2051" t="str">
        <f>SNI!M915</f>
        <v>WNI</v>
      </c>
      <c r="J1156" s="2051"/>
      <c r="K1156" s="2052">
        <f>SNI!L915</f>
        <v>1</v>
      </c>
      <c r="L1156" s="2053"/>
      <c r="M1156" s="2054"/>
      <c r="N1156" s="2055">
        <f>SNI!I915</f>
        <v>96000</v>
      </c>
      <c r="O1156" s="2056"/>
      <c r="P1156" s="1969">
        <f t="shared" si="734"/>
        <v>4320</v>
      </c>
      <c r="Q1156" s="1953"/>
      <c r="R1156" s="1954"/>
      <c r="S1156" s="1954">
        <f t="shared" si="735"/>
        <v>4320</v>
      </c>
      <c r="T1156" s="1969">
        <f t="shared" si="736"/>
        <v>0</v>
      </c>
      <c r="U1156" s="2060"/>
      <c r="Z1156" s="1956"/>
      <c r="AA1156" s="1956"/>
      <c r="AF1156" s="1836"/>
      <c r="AG1156" s="1836"/>
      <c r="AH1156" s="1836"/>
      <c r="AI1156" s="1837"/>
      <c r="AJ1156" s="1960"/>
    </row>
    <row r="1157" spans="1:36" ht="21.95" customHeight="1" x14ac:dyDescent="0.2">
      <c r="B1157" s="2045"/>
      <c r="C1157" s="2046"/>
      <c r="D1157" s="2047" t="str">
        <f>SNI!E916</f>
        <v>Mandor</v>
      </c>
      <c r="E1157" s="2047"/>
      <c r="F1157" s="2048"/>
      <c r="G1157" s="2049">
        <f>SNI!H916</f>
        <v>4.4999999999999998E-2</v>
      </c>
      <c r="H1157" s="2050" t="str">
        <f>SNI!G916</f>
        <v>OH</v>
      </c>
      <c r="I1157" s="2051" t="str">
        <f>SNI!M916</f>
        <v>WNI</v>
      </c>
      <c r="J1157" s="2051"/>
      <c r="K1157" s="2052">
        <f>SNI!L916</f>
        <v>1</v>
      </c>
      <c r="L1157" s="2053"/>
      <c r="M1157" s="2054"/>
      <c r="N1157" s="2055">
        <f>SNI!I916</f>
        <v>90000</v>
      </c>
      <c r="O1157" s="2056"/>
      <c r="P1157" s="1969">
        <f t="shared" si="734"/>
        <v>4050</v>
      </c>
      <c r="Q1157" s="1953"/>
      <c r="R1157" s="1954"/>
      <c r="S1157" s="1954">
        <f t="shared" si="735"/>
        <v>4050</v>
      </c>
      <c r="T1157" s="1969">
        <f t="shared" si="736"/>
        <v>0</v>
      </c>
      <c r="U1157" s="2060"/>
      <c r="Z1157" s="1956"/>
      <c r="AA1157" s="1956"/>
      <c r="AF1157" s="1836"/>
      <c r="AG1157" s="1836"/>
      <c r="AH1157" s="1836"/>
      <c r="AI1157" s="1837"/>
      <c r="AJ1157" s="1960"/>
    </row>
    <row r="1158" spans="1:36" s="1957" customFormat="1" ht="21.95" customHeight="1" x14ac:dyDescent="0.2">
      <c r="A1158" s="1942"/>
      <c r="B1158" s="1970"/>
      <c r="C1158" s="1971"/>
      <c r="D1158" s="1972"/>
      <c r="E1158" s="1973"/>
      <c r="F1158" s="1974" t="s">
        <v>556</v>
      </c>
      <c r="G1158" s="1975">
        <f>B1147</f>
        <v>3</v>
      </c>
      <c r="H1158" s="1976"/>
      <c r="I1158" s="1977"/>
      <c r="J1158" s="1977"/>
      <c r="K1158" s="1978"/>
      <c r="L1158" s="1979"/>
      <c r="M1158" s="1980"/>
      <c r="N1158" s="1981"/>
      <c r="O1158" s="1982"/>
      <c r="P1158" s="1983">
        <f>SUM(P1149:P1157)</f>
        <v>248954.2</v>
      </c>
      <c r="Q1158" s="1984"/>
      <c r="R1158" s="1985"/>
      <c r="S1158" s="1983">
        <f t="shared" ref="S1158" si="737">SUM(S1149:S1157)</f>
        <v>213534.024</v>
      </c>
      <c r="T1158" s="1983">
        <f t="shared" ref="T1158" si="738">SUM(T1149:T1157)</f>
        <v>35420.175999999992</v>
      </c>
      <c r="U1158" s="1986"/>
      <c r="V1158" s="1848"/>
      <c r="W1158" s="1848"/>
      <c r="X1158" s="1848"/>
      <c r="Y1158" s="1848"/>
      <c r="Z1158" s="1956"/>
      <c r="AA1158" s="1956"/>
      <c r="AF1158" s="1958"/>
      <c r="AG1158" s="1958"/>
      <c r="AH1158" s="1958"/>
      <c r="AI1158" s="1959"/>
      <c r="AJ1158" s="1960"/>
    </row>
    <row r="1159" spans="1:36" ht="21.95" customHeight="1" x14ac:dyDescent="0.2">
      <c r="A1159" s="1833">
        <f>satpek!$B$60</f>
        <v>41</v>
      </c>
      <c r="B1159" s="1943">
        <f>B1147+1</f>
        <v>4</v>
      </c>
      <c r="C1159" s="1937"/>
      <c r="D1159" s="1944" t="str">
        <f>VLOOKUP($A1159,satpek!$B$20:$N$144,2,0)</f>
        <v xml:space="preserve">Memasang lantai keramik unpolish ukuran 30/30 cm </v>
      </c>
      <c r="E1159" s="1944"/>
      <c r="F1159" s="2004"/>
      <c r="G1159" s="1945">
        <f>'[3]B.VOL RAB'!Q386</f>
        <v>16.53</v>
      </c>
      <c r="H1159" s="1946" t="str">
        <f>VLOOKUP($A1159,satpek!$B$20:$N$144,7,0)</f>
        <v>m2</v>
      </c>
      <c r="I1159" s="1947"/>
      <c r="J1159" s="1947"/>
      <c r="K1159" s="1948"/>
      <c r="L1159" s="1949"/>
      <c r="M1159" s="1950" t="str">
        <f>VLOOKUP($A1159,satpek!$B$20:$N$144,5,0)</f>
        <v>A.4.4.3.35.</v>
      </c>
      <c r="N1159" s="1951">
        <f>VLOOKUP($A1159,satpek!$B$20:$N$144,6,0)</f>
        <v>186829.68</v>
      </c>
      <c r="O1159" s="1938"/>
      <c r="P1159" s="1952">
        <f t="shared" si="714"/>
        <v>3088294.61</v>
      </c>
      <c r="Q1159" s="1953">
        <f>VLOOKUP($A1159,satpek!$B$20:$L$138,8,0)</f>
        <v>0.83020878695504929</v>
      </c>
      <c r="R1159" s="1954">
        <f>VLOOKUP($A1159,satpek!$B$20:$L$138,9,0)</f>
        <v>137263.40000000002</v>
      </c>
      <c r="S1159" s="1954">
        <f>VLOOKUP($A1159,satpek!$B$20:$L$138,10,0)</f>
        <v>155107.64200000002</v>
      </c>
      <c r="T1159" s="1952">
        <f>S1159*G1159</f>
        <v>2563929.3222600007</v>
      </c>
      <c r="U1159" s="1955"/>
      <c r="X1159" s="1848">
        <f>P1170</f>
        <v>165336</v>
      </c>
      <c r="Y1159" s="1848">
        <f>S1170</f>
        <v>137263.40000000002</v>
      </c>
      <c r="Z1159" s="1956">
        <v>16.53</v>
      </c>
      <c r="AA1159" s="1956">
        <f t="shared" si="641"/>
        <v>0</v>
      </c>
      <c r="AB1159" s="1836" t="s">
        <v>1809</v>
      </c>
      <c r="AF1159" s="1836"/>
      <c r="AG1159" s="1836"/>
      <c r="AH1159" s="1836"/>
      <c r="AI1159" s="1837">
        <v>176741.04</v>
      </c>
      <c r="AJ1159" s="1960">
        <f t="shared" si="642"/>
        <v>-10088.639999999985</v>
      </c>
    </row>
    <row r="1160" spans="1:36" ht="21.95" customHeight="1" x14ac:dyDescent="0.2">
      <c r="B1160" s="2045"/>
      <c r="C1160" s="2046" t="str">
        <f>SNI!D825</f>
        <v>Bahan</v>
      </c>
      <c r="D1160" s="2047"/>
      <c r="E1160" s="2047"/>
      <c r="F1160" s="2048"/>
      <c r="G1160" s="2049"/>
      <c r="H1160" s="2050"/>
      <c r="I1160" s="2051"/>
      <c r="J1160" s="2051"/>
      <c r="K1160" s="2052"/>
      <c r="L1160" s="2053"/>
      <c r="M1160" s="2054"/>
      <c r="N1160" s="2055"/>
      <c r="O1160" s="2056"/>
      <c r="P1160" s="2057"/>
      <c r="Q1160" s="2058"/>
      <c r="R1160" s="2059"/>
      <c r="S1160" s="2059"/>
      <c r="T1160" s="2057"/>
      <c r="U1160" s="2060"/>
      <c r="Z1160" s="1956"/>
      <c r="AA1160" s="1956"/>
      <c r="AF1160" s="1836"/>
      <c r="AG1160" s="1836"/>
      <c r="AH1160" s="1836"/>
      <c r="AI1160" s="1837"/>
      <c r="AJ1160" s="1960"/>
    </row>
    <row r="1161" spans="1:36" ht="21.95" customHeight="1" x14ac:dyDescent="0.2">
      <c r="B1161" s="2045"/>
      <c r="C1161" s="2046"/>
      <c r="D1161" s="2047" t="str">
        <f>SNI!E825</f>
        <v>Ubin Keramik dof</v>
      </c>
      <c r="E1161" s="2047"/>
      <c r="F1161" s="2048"/>
      <c r="G1161" s="2049">
        <f>SNI!H825</f>
        <v>1.05</v>
      </c>
      <c r="H1161" s="2050" t="str">
        <f>SNI!G825</f>
        <v>doos</v>
      </c>
      <c r="I1161" s="2051"/>
      <c r="J1161" s="2051"/>
      <c r="K1161" s="2052">
        <f>SNI!L825</f>
        <v>0.69620000000000004</v>
      </c>
      <c r="L1161" s="2053"/>
      <c r="M1161" s="2054"/>
      <c r="N1161" s="2055">
        <f>SNI!I825</f>
        <v>60000</v>
      </c>
      <c r="O1161" s="2056"/>
      <c r="P1161" s="1969">
        <f t="shared" ref="P1161" si="739">N1161*G1161</f>
        <v>63000</v>
      </c>
      <c r="Q1161" s="1953"/>
      <c r="R1161" s="1954"/>
      <c r="S1161" s="1954">
        <f t="shared" ref="S1161" si="740">P1161*K1161</f>
        <v>43860.600000000006</v>
      </c>
      <c r="T1161" s="1969">
        <f t="shared" ref="T1161" si="741">P1161-S1161</f>
        <v>19139.399999999994</v>
      </c>
      <c r="U1161" s="2060"/>
      <c r="Z1161" s="1956"/>
      <c r="AA1161" s="1956"/>
      <c r="AF1161" s="1836"/>
      <c r="AG1161" s="1836"/>
      <c r="AH1161" s="1836"/>
      <c r="AI1161" s="1837"/>
      <c r="AJ1161" s="1960"/>
    </row>
    <row r="1162" spans="1:36" ht="21.95" customHeight="1" x14ac:dyDescent="0.2">
      <c r="B1162" s="2045"/>
      <c r="C1162" s="2046"/>
      <c r="D1162" s="2047" t="str">
        <f>SNI!E826</f>
        <v>PC</v>
      </c>
      <c r="E1162" s="2047"/>
      <c r="F1162" s="2048"/>
      <c r="G1162" s="2049">
        <f>SNI!H826</f>
        <v>10</v>
      </c>
      <c r="H1162" s="2050" t="str">
        <f>SNI!G826</f>
        <v>kg</v>
      </c>
      <c r="I1162" s="2051"/>
      <c r="J1162" s="2051"/>
      <c r="K1162" s="2052">
        <f>SNI!L826</f>
        <v>0.85140000000000005</v>
      </c>
      <c r="L1162" s="2053"/>
      <c r="M1162" s="2054"/>
      <c r="N1162" s="2055">
        <f>SNI!I826</f>
        <v>1200</v>
      </c>
      <c r="O1162" s="2056"/>
      <c r="P1162" s="1969">
        <f t="shared" ref="P1162:P1169" si="742">N1162*G1162</f>
        <v>12000</v>
      </c>
      <c r="Q1162" s="1953"/>
      <c r="R1162" s="1954"/>
      <c r="S1162" s="1954">
        <f t="shared" ref="S1162:S1169" si="743">P1162*K1162</f>
        <v>10216.800000000001</v>
      </c>
      <c r="T1162" s="1969">
        <f t="shared" ref="T1162:T1169" si="744">P1162-S1162</f>
        <v>1783.1999999999989</v>
      </c>
      <c r="U1162" s="2060"/>
      <c r="Z1162" s="1956"/>
      <c r="AA1162" s="1956"/>
      <c r="AF1162" s="1836"/>
      <c r="AG1162" s="1836"/>
      <c r="AH1162" s="1836"/>
      <c r="AI1162" s="1837"/>
      <c r="AJ1162" s="1960"/>
    </row>
    <row r="1163" spans="1:36" ht="21.95" customHeight="1" x14ac:dyDescent="0.2">
      <c r="B1163" s="2045"/>
      <c r="C1163" s="2046"/>
      <c r="D1163" s="2047" t="str">
        <f>SNI!E827</f>
        <v>Pasir Pasang</v>
      </c>
      <c r="E1163" s="2047"/>
      <c r="F1163" s="2048"/>
      <c r="G1163" s="2049">
        <f>SNI!H827</f>
        <v>4.4999999999999998E-2</v>
      </c>
      <c r="H1163" s="2050" t="str">
        <f>SNI!G827</f>
        <v>m3</v>
      </c>
      <c r="I1163" s="2051"/>
      <c r="J1163" s="2051"/>
      <c r="K1163" s="2052">
        <f>SNI!L827</f>
        <v>1</v>
      </c>
      <c r="L1163" s="2053"/>
      <c r="M1163" s="2054"/>
      <c r="N1163" s="2055">
        <f>SNI!I827</f>
        <v>260000</v>
      </c>
      <c r="O1163" s="2056"/>
      <c r="P1163" s="1969">
        <f t="shared" si="742"/>
        <v>11700</v>
      </c>
      <c r="Q1163" s="1953"/>
      <c r="R1163" s="1954"/>
      <c r="S1163" s="1954">
        <f t="shared" si="743"/>
        <v>11700</v>
      </c>
      <c r="T1163" s="1969">
        <f t="shared" si="744"/>
        <v>0</v>
      </c>
      <c r="U1163" s="2060"/>
      <c r="Z1163" s="1956"/>
      <c r="AA1163" s="1956"/>
      <c r="AF1163" s="1836"/>
      <c r="AG1163" s="1836"/>
      <c r="AH1163" s="1836"/>
      <c r="AI1163" s="1837"/>
      <c r="AJ1163" s="1960"/>
    </row>
    <row r="1164" spans="1:36" ht="21.95" customHeight="1" x14ac:dyDescent="0.2">
      <c r="B1164" s="2045"/>
      <c r="C1164" s="2046"/>
      <c r="D1164" s="2047" t="str">
        <f>SNI!E828</f>
        <v>Semen Warna</v>
      </c>
      <c r="E1164" s="2047"/>
      <c r="F1164" s="2048"/>
      <c r="G1164" s="2049">
        <f>SNI!H828</f>
        <v>0.5</v>
      </c>
      <c r="H1164" s="2050" t="str">
        <f>SNI!G828</f>
        <v>kg</v>
      </c>
      <c r="I1164" s="2051"/>
      <c r="J1164" s="2051"/>
      <c r="K1164" s="2052">
        <f>SNI!L828</f>
        <v>0</v>
      </c>
      <c r="L1164" s="2053"/>
      <c r="M1164" s="2054"/>
      <c r="N1164" s="2055">
        <f>SNI!I828</f>
        <v>14300</v>
      </c>
      <c r="O1164" s="2056"/>
      <c r="P1164" s="1969">
        <f t="shared" si="742"/>
        <v>7150</v>
      </c>
      <c r="Q1164" s="1953"/>
      <c r="R1164" s="1954"/>
      <c r="S1164" s="1954">
        <f t="shared" si="743"/>
        <v>0</v>
      </c>
      <c r="T1164" s="1969">
        <f t="shared" si="744"/>
        <v>7150</v>
      </c>
      <c r="U1164" s="2060"/>
      <c r="Z1164" s="1956"/>
      <c r="AA1164" s="1956"/>
      <c r="AF1164" s="1836"/>
      <c r="AG1164" s="1836"/>
      <c r="AH1164" s="1836"/>
      <c r="AI1164" s="1837"/>
      <c r="AJ1164" s="1960"/>
    </row>
    <row r="1165" spans="1:36" ht="21.95" customHeight="1" x14ac:dyDescent="0.2">
      <c r="B1165" s="2045"/>
      <c r="C1165" s="2046" t="str">
        <f>SNI!D830</f>
        <v>Tenaga Kerja</v>
      </c>
      <c r="D1165" s="2047"/>
      <c r="E1165" s="2047"/>
      <c r="F1165" s="2048"/>
      <c r="G1165" s="2049"/>
      <c r="H1165" s="2050"/>
      <c r="I1165" s="2051"/>
      <c r="J1165" s="2051"/>
      <c r="K1165" s="2052"/>
      <c r="L1165" s="2053"/>
      <c r="M1165" s="2054"/>
      <c r="N1165" s="2055"/>
      <c r="O1165" s="2056"/>
      <c r="P1165" s="1969"/>
      <c r="Q1165" s="1953"/>
      <c r="R1165" s="1954"/>
      <c r="S1165" s="1954"/>
      <c r="T1165" s="1969"/>
      <c r="U1165" s="2060"/>
      <c r="Z1165" s="1956"/>
      <c r="AA1165" s="1956"/>
      <c r="AF1165" s="1836"/>
      <c r="AG1165" s="1836"/>
      <c r="AH1165" s="1836"/>
      <c r="AI1165" s="1837"/>
      <c r="AJ1165" s="1960"/>
    </row>
    <row r="1166" spans="1:36" ht="21.95" customHeight="1" x14ac:dyDescent="0.2">
      <c r="B1166" s="2045"/>
      <c r="C1166" s="2046"/>
      <c r="D1166" s="2047" t="str">
        <f>SNI!E830</f>
        <v xml:space="preserve">Pekerja </v>
      </c>
      <c r="E1166" s="2047"/>
      <c r="F1166" s="2048"/>
      <c r="G1166" s="2049">
        <f>SNI!H830</f>
        <v>0.5</v>
      </c>
      <c r="H1166" s="2050" t="str">
        <f>SNI!G830</f>
        <v>OH</v>
      </c>
      <c r="I1166" s="2051" t="str">
        <f>SNI!M830</f>
        <v>WNI</v>
      </c>
      <c r="J1166" s="2051"/>
      <c r="K1166" s="2052">
        <f>SNI!L830</f>
        <v>1</v>
      </c>
      <c r="L1166" s="2053"/>
      <c r="M1166" s="2054"/>
      <c r="N1166" s="2055">
        <f>SNI!I830</f>
        <v>88300</v>
      </c>
      <c r="O1166" s="2056"/>
      <c r="P1166" s="1969">
        <f t="shared" si="742"/>
        <v>44150</v>
      </c>
      <c r="Q1166" s="1953"/>
      <c r="R1166" s="1954"/>
      <c r="S1166" s="1954">
        <f t="shared" si="743"/>
        <v>44150</v>
      </c>
      <c r="T1166" s="1969">
        <f t="shared" si="744"/>
        <v>0</v>
      </c>
      <c r="U1166" s="2060"/>
      <c r="Z1166" s="1956"/>
      <c r="AA1166" s="1956"/>
      <c r="AF1166" s="1836"/>
      <c r="AG1166" s="1836"/>
      <c r="AH1166" s="1836"/>
      <c r="AI1166" s="1837"/>
      <c r="AJ1166" s="1960"/>
    </row>
    <row r="1167" spans="1:36" ht="21.95" customHeight="1" x14ac:dyDescent="0.2">
      <c r="B1167" s="2045"/>
      <c r="C1167" s="2046"/>
      <c r="D1167" s="2047" t="str">
        <f>SNI!E831</f>
        <v>Tukang Batu</v>
      </c>
      <c r="E1167" s="2047"/>
      <c r="F1167" s="2048"/>
      <c r="G1167" s="2049">
        <f>SNI!H831</f>
        <v>0.25</v>
      </c>
      <c r="H1167" s="2050" t="str">
        <f>SNI!G831</f>
        <v>OH</v>
      </c>
      <c r="I1167" s="2051" t="str">
        <f>SNI!M831</f>
        <v>WNI</v>
      </c>
      <c r="J1167" s="2051"/>
      <c r="K1167" s="2052">
        <f>SNI!L831</f>
        <v>1</v>
      </c>
      <c r="L1167" s="2053"/>
      <c r="M1167" s="2054"/>
      <c r="N1167" s="2055">
        <f>SNI!I831</f>
        <v>90000</v>
      </c>
      <c r="O1167" s="2056"/>
      <c r="P1167" s="1969">
        <f t="shared" si="742"/>
        <v>22500</v>
      </c>
      <c r="Q1167" s="1953"/>
      <c r="R1167" s="1954"/>
      <c r="S1167" s="1954">
        <f t="shared" si="743"/>
        <v>22500</v>
      </c>
      <c r="T1167" s="1969">
        <f t="shared" si="744"/>
        <v>0</v>
      </c>
      <c r="U1167" s="2060"/>
      <c r="Z1167" s="1956"/>
      <c r="AA1167" s="1956"/>
      <c r="AF1167" s="1836"/>
      <c r="AG1167" s="1836"/>
      <c r="AH1167" s="1836"/>
      <c r="AI1167" s="1837"/>
      <c r="AJ1167" s="1960"/>
    </row>
    <row r="1168" spans="1:36" ht="21.95" customHeight="1" x14ac:dyDescent="0.2">
      <c r="B1168" s="2045"/>
      <c r="C1168" s="2046"/>
      <c r="D1168" s="2047" t="str">
        <f>SNI!E832</f>
        <v>Kepala Tukang</v>
      </c>
      <c r="E1168" s="2047"/>
      <c r="F1168" s="2048"/>
      <c r="G1168" s="2049">
        <f>SNI!H832</f>
        <v>2.5999999999999999E-2</v>
      </c>
      <c r="H1168" s="2050" t="str">
        <f>SNI!G832</f>
        <v>OH</v>
      </c>
      <c r="I1168" s="2051" t="str">
        <f>SNI!M832</f>
        <v>WNI</v>
      </c>
      <c r="J1168" s="2051"/>
      <c r="K1168" s="2052">
        <f>SNI!L832</f>
        <v>1</v>
      </c>
      <c r="L1168" s="2053"/>
      <c r="M1168" s="2054"/>
      <c r="N1168" s="2055">
        <f>SNI!I832</f>
        <v>96000</v>
      </c>
      <c r="O1168" s="2056"/>
      <c r="P1168" s="1969">
        <f t="shared" si="742"/>
        <v>2496</v>
      </c>
      <c r="Q1168" s="1953"/>
      <c r="R1168" s="1954"/>
      <c r="S1168" s="1954">
        <f t="shared" si="743"/>
        <v>2496</v>
      </c>
      <c r="T1168" s="1969">
        <f t="shared" si="744"/>
        <v>0</v>
      </c>
      <c r="U1168" s="2060"/>
      <c r="Z1168" s="1956"/>
      <c r="AA1168" s="1956"/>
      <c r="AF1168" s="1836"/>
      <c r="AG1168" s="1836"/>
      <c r="AH1168" s="1836"/>
      <c r="AI1168" s="1837"/>
      <c r="AJ1168" s="1960"/>
    </row>
    <row r="1169" spans="1:36" ht="21.95" customHeight="1" x14ac:dyDescent="0.2">
      <c r="B1169" s="2045"/>
      <c r="C1169" s="2046"/>
      <c r="D1169" s="2047" t="str">
        <f>SNI!E833</f>
        <v>Mandor</v>
      </c>
      <c r="E1169" s="2047"/>
      <c r="F1169" s="2048"/>
      <c r="G1169" s="2049">
        <f>SNI!H833</f>
        <v>2.5999999999999999E-2</v>
      </c>
      <c r="H1169" s="2050" t="str">
        <f>SNI!G833</f>
        <v>OH</v>
      </c>
      <c r="I1169" s="2051" t="str">
        <f>SNI!M833</f>
        <v>WNI</v>
      </c>
      <c r="J1169" s="2051"/>
      <c r="K1169" s="2052">
        <f>SNI!L833</f>
        <v>1</v>
      </c>
      <c r="L1169" s="2053"/>
      <c r="M1169" s="2054"/>
      <c r="N1169" s="2055">
        <f>SNI!I833</f>
        <v>90000</v>
      </c>
      <c r="O1169" s="2056"/>
      <c r="P1169" s="1969">
        <f t="shared" si="742"/>
        <v>2340</v>
      </c>
      <c r="Q1169" s="1953"/>
      <c r="R1169" s="1954"/>
      <c r="S1169" s="1954">
        <f t="shared" si="743"/>
        <v>2340</v>
      </c>
      <c r="T1169" s="1969">
        <f t="shared" si="744"/>
        <v>0</v>
      </c>
      <c r="U1169" s="2060"/>
      <c r="Z1169" s="1956"/>
      <c r="AA1169" s="1956"/>
      <c r="AF1169" s="1836"/>
      <c r="AG1169" s="1836"/>
      <c r="AH1169" s="1836"/>
      <c r="AI1169" s="1837"/>
      <c r="AJ1169" s="1960"/>
    </row>
    <row r="1170" spans="1:36" s="1957" customFormat="1" ht="21.95" customHeight="1" x14ac:dyDescent="0.2">
      <c r="A1170" s="1942"/>
      <c r="B1170" s="1970"/>
      <c r="C1170" s="1971"/>
      <c r="D1170" s="1972"/>
      <c r="E1170" s="1973"/>
      <c r="F1170" s="1974" t="s">
        <v>556</v>
      </c>
      <c r="G1170" s="1975">
        <f>B1159</f>
        <v>4</v>
      </c>
      <c r="H1170" s="1976"/>
      <c r="I1170" s="1977"/>
      <c r="J1170" s="1977"/>
      <c r="K1170" s="1978"/>
      <c r="L1170" s="1979"/>
      <c r="M1170" s="1980"/>
      <c r="N1170" s="1981"/>
      <c r="O1170" s="1982"/>
      <c r="P1170" s="1983">
        <f>SUM(P1161:P1169)</f>
        <v>165336</v>
      </c>
      <c r="Q1170" s="1984"/>
      <c r="R1170" s="1985"/>
      <c r="S1170" s="1983">
        <f t="shared" ref="S1170" si="745">SUM(S1161:S1169)</f>
        <v>137263.40000000002</v>
      </c>
      <c r="T1170" s="1983">
        <f t="shared" ref="T1170" si="746">SUM(T1161:T1169)</f>
        <v>28072.599999999991</v>
      </c>
      <c r="U1170" s="1986"/>
      <c r="V1170" s="1848"/>
      <c r="W1170" s="1848"/>
      <c r="X1170" s="1848"/>
      <c r="Y1170" s="1848"/>
      <c r="Z1170" s="1956"/>
      <c r="AA1170" s="1956"/>
      <c r="AF1170" s="1958"/>
      <c r="AG1170" s="1958"/>
      <c r="AH1170" s="1958"/>
      <c r="AI1170" s="1959"/>
      <c r="AJ1170" s="1960"/>
    </row>
    <row r="1171" spans="1:36" ht="21.95" customHeight="1" x14ac:dyDescent="0.2">
      <c r="A1171" s="1833">
        <f>satpek!$B$59</f>
        <v>40</v>
      </c>
      <c r="B1171" s="1943">
        <f>B1159+1</f>
        <v>5</v>
      </c>
      <c r="C1171" s="1937"/>
      <c r="D1171" s="1944" t="str">
        <f>VLOOKUP($A1171,satpek!$B$20:$N$144,2,0)</f>
        <v>Memasang plint lantai Homogenius tile uk. (10 x 60) cm</v>
      </c>
      <c r="E1171" s="1944"/>
      <c r="F1171" s="2004"/>
      <c r="G1171" s="1945">
        <f>'[3]B.VOL RAB'!Q390</f>
        <v>643.69999999999959</v>
      </c>
      <c r="H1171" s="1946" t="str">
        <f>VLOOKUP($A1171,satpek!$B$20:$N$144,7,0)</f>
        <v>m'</v>
      </c>
      <c r="I1171" s="1947"/>
      <c r="J1171" s="1947"/>
      <c r="K1171" s="1948"/>
      <c r="L1171" s="1949"/>
      <c r="M1171" s="1950" t="str">
        <f>VLOOKUP($A1171,satpek!$B$20:$N$144,5,0)</f>
        <v>A.4.4.3.28.a.</v>
      </c>
      <c r="N1171" s="1951">
        <f>VLOOKUP($A1171,satpek!$B$20:$N$144,6,0)</f>
        <v>38068.57</v>
      </c>
      <c r="O1171" s="1938"/>
      <c r="P1171" s="1952">
        <f t="shared" si="714"/>
        <v>24504738.510000002</v>
      </c>
      <c r="Q1171" s="1953">
        <f>VLOOKUP($A1171,satpek!$B$20:$L$138,8,0)</f>
        <v>0.83654205230193834</v>
      </c>
      <c r="R1171" s="1954">
        <f>VLOOKUP($A1171,satpek!$B$20:$L$138,9,0)</f>
        <v>28182.265200000002</v>
      </c>
      <c r="S1171" s="1954">
        <f>VLOOKUP($A1171,satpek!$B$20:$L$138,10,0)</f>
        <v>31845.959676000002</v>
      </c>
      <c r="T1171" s="1952">
        <f>S1171*G1171</f>
        <v>20499244.243441187</v>
      </c>
      <c r="U1171" s="1955"/>
      <c r="X1171" s="1848">
        <f>P1182</f>
        <v>33689</v>
      </c>
      <c r="Y1171" s="1848">
        <f>S1182</f>
        <v>28182.265200000002</v>
      </c>
      <c r="Z1171" s="1956">
        <v>643.69999999999959</v>
      </c>
      <c r="AA1171" s="1956">
        <f t="shared" si="641"/>
        <v>0</v>
      </c>
      <c r="AB1171" s="1836" t="s">
        <v>1810</v>
      </c>
      <c r="AF1171" s="1836"/>
      <c r="AG1171" s="1836"/>
      <c r="AH1171" s="1836"/>
      <c r="AI1171" s="1837">
        <v>72758.44</v>
      </c>
      <c r="AJ1171" s="1960">
        <f t="shared" si="642"/>
        <v>34689.870000000003</v>
      </c>
    </row>
    <row r="1172" spans="1:36" ht="21.95" customHeight="1" x14ac:dyDescent="0.2">
      <c r="B1172" s="2045"/>
      <c r="C1172" s="2046" t="str">
        <f>SNI!D803</f>
        <v>Bahan</v>
      </c>
      <c r="D1172" s="2047"/>
      <c r="E1172" s="2047"/>
      <c r="F1172" s="2048"/>
      <c r="G1172" s="2049"/>
      <c r="H1172" s="2050"/>
      <c r="I1172" s="2051"/>
      <c r="J1172" s="2051"/>
      <c r="K1172" s="2052"/>
      <c r="L1172" s="2053"/>
      <c r="M1172" s="2054"/>
      <c r="N1172" s="2055"/>
      <c r="O1172" s="2056"/>
      <c r="P1172" s="1969"/>
      <c r="Q1172" s="1953"/>
      <c r="R1172" s="1954"/>
      <c r="S1172" s="1954"/>
      <c r="T1172" s="1969"/>
      <c r="U1172" s="2060"/>
      <c r="Z1172" s="1956"/>
      <c r="AA1172" s="1956"/>
      <c r="AF1172" s="1836"/>
      <c r="AG1172" s="1836"/>
      <c r="AH1172" s="1836"/>
      <c r="AI1172" s="1837"/>
      <c r="AJ1172" s="1960"/>
    </row>
    <row r="1173" spans="1:36" ht="21.95" customHeight="1" x14ac:dyDescent="0.2">
      <c r="B1173" s="2045"/>
      <c r="C1173" s="2046"/>
      <c r="D1173" s="2047" t="str">
        <f>SNI!E803</f>
        <v>Plint granit tile 10/60</v>
      </c>
      <c r="E1173" s="2047"/>
      <c r="F1173" s="2048"/>
      <c r="G1173" s="2049">
        <f>SNI!H803</f>
        <v>1.7</v>
      </c>
      <c r="H1173" s="2050" t="str">
        <f>SNI!G803</f>
        <v>buah</v>
      </c>
      <c r="I1173" s="2051"/>
      <c r="J1173" s="2051"/>
      <c r="K1173" s="2052">
        <f>SNI!L803</f>
        <v>0.69620000000000004</v>
      </c>
      <c r="L1173" s="2053"/>
      <c r="M1173" s="2054"/>
      <c r="N1173" s="2055">
        <f>SNI!I803</f>
        <v>7500</v>
      </c>
      <c r="O1173" s="2056"/>
      <c r="P1173" s="1969">
        <f t="shared" ref="P1173" si="747">N1173*G1173</f>
        <v>12750</v>
      </c>
      <c r="Q1173" s="1953"/>
      <c r="R1173" s="1954"/>
      <c r="S1173" s="1954">
        <f t="shared" ref="S1173" si="748">P1173*K1173</f>
        <v>8876.5500000000011</v>
      </c>
      <c r="T1173" s="1969">
        <f t="shared" ref="T1173" si="749">P1173-S1173</f>
        <v>3873.4499999999989</v>
      </c>
      <c r="U1173" s="2060"/>
      <c r="Z1173" s="1956"/>
      <c r="AA1173" s="1956"/>
      <c r="AF1173" s="1836"/>
      <c r="AG1173" s="1836"/>
      <c r="AH1173" s="1836"/>
      <c r="AI1173" s="1837"/>
      <c r="AJ1173" s="1960"/>
    </row>
    <row r="1174" spans="1:36" ht="21.95" customHeight="1" x14ac:dyDescent="0.2">
      <c r="B1174" s="2045"/>
      <c r="C1174" s="2046"/>
      <c r="D1174" s="2047" t="str">
        <f>SNI!E804</f>
        <v>PC</v>
      </c>
      <c r="E1174" s="2047"/>
      <c r="F1174" s="2048"/>
      <c r="G1174" s="2049">
        <f>SNI!H804</f>
        <v>1.1399999999999999</v>
      </c>
      <c r="H1174" s="2050" t="str">
        <f>SNI!G804</f>
        <v>kg</v>
      </c>
      <c r="I1174" s="2051"/>
      <c r="J1174" s="2051"/>
      <c r="K1174" s="2052">
        <f>SNI!L804</f>
        <v>0.85140000000000005</v>
      </c>
      <c r="L1174" s="2053"/>
      <c r="M1174" s="2054"/>
      <c r="N1174" s="2055">
        <f>SNI!I804</f>
        <v>1200</v>
      </c>
      <c r="O1174" s="2056"/>
      <c r="P1174" s="1969">
        <f t="shared" ref="P1174:P1181" si="750">N1174*G1174</f>
        <v>1367.9999999999998</v>
      </c>
      <c r="Q1174" s="1953"/>
      <c r="R1174" s="1954"/>
      <c r="S1174" s="1954">
        <f t="shared" ref="S1174:S1181" si="751">P1174*K1174</f>
        <v>1164.7151999999999</v>
      </c>
      <c r="T1174" s="1969">
        <f t="shared" ref="T1174:T1181" si="752">P1174-S1174</f>
        <v>203.2847999999999</v>
      </c>
      <c r="U1174" s="2060"/>
      <c r="Z1174" s="1956"/>
      <c r="AA1174" s="1956"/>
      <c r="AF1174" s="1836"/>
      <c r="AG1174" s="1836"/>
      <c r="AH1174" s="1836"/>
      <c r="AI1174" s="1837"/>
      <c r="AJ1174" s="1960"/>
    </row>
    <row r="1175" spans="1:36" ht="21.95" customHeight="1" x14ac:dyDescent="0.2">
      <c r="B1175" s="2045"/>
      <c r="C1175" s="2046"/>
      <c r="D1175" s="2047" t="str">
        <f>SNI!E805</f>
        <v>Pasir Pasang</v>
      </c>
      <c r="E1175" s="2047"/>
      <c r="F1175" s="2048"/>
      <c r="G1175" s="2049">
        <f>SNI!H805</f>
        <v>3.0000000000000001E-3</v>
      </c>
      <c r="H1175" s="2050" t="str">
        <f>SNI!G805</f>
        <v>m3</v>
      </c>
      <c r="I1175" s="2051"/>
      <c r="J1175" s="2051"/>
      <c r="K1175" s="2052">
        <f>SNI!L805</f>
        <v>1</v>
      </c>
      <c r="L1175" s="2053"/>
      <c r="M1175" s="2054"/>
      <c r="N1175" s="2055">
        <f>SNI!I805</f>
        <v>260000</v>
      </c>
      <c r="O1175" s="2056"/>
      <c r="P1175" s="1969">
        <f t="shared" si="750"/>
        <v>780</v>
      </c>
      <c r="Q1175" s="1953"/>
      <c r="R1175" s="1954"/>
      <c r="S1175" s="1954">
        <f t="shared" si="751"/>
        <v>780</v>
      </c>
      <c r="T1175" s="1969">
        <f t="shared" si="752"/>
        <v>0</v>
      </c>
      <c r="U1175" s="2060"/>
      <c r="Z1175" s="1956"/>
      <c r="AA1175" s="1956"/>
      <c r="AF1175" s="1836"/>
      <c r="AG1175" s="1836"/>
      <c r="AH1175" s="1836"/>
      <c r="AI1175" s="1837"/>
      <c r="AJ1175" s="1960"/>
    </row>
    <row r="1176" spans="1:36" ht="21.95" customHeight="1" x14ac:dyDescent="0.2">
      <c r="B1176" s="2045"/>
      <c r="C1176" s="2046"/>
      <c r="D1176" s="2047" t="str">
        <f>SNI!E806</f>
        <v>Semen Warna</v>
      </c>
      <c r="E1176" s="2047"/>
      <c r="F1176" s="2048"/>
      <c r="G1176" s="2049">
        <f>SNI!H806</f>
        <v>0.1</v>
      </c>
      <c r="H1176" s="2050" t="str">
        <f>SNI!G806</f>
        <v>kg</v>
      </c>
      <c r="I1176" s="2051"/>
      <c r="J1176" s="2051"/>
      <c r="K1176" s="2052">
        <f>SNI!L806</f>
        <v>0</v>
      </c>
      <c r="L1176" s="2053"/>
      <c r="M1176" s="2054"/>
      <c r="N1176" s="2055">
        <f>SNI!I806</f>
        <v>14300</v>
      </c>
      <c r="O1176" s="2056"/>
      <c r="P1176" s="1969">
        <f t="shared" si="750"/>
        <v>1430</v>
      </c>
      <c r="Q1176" s="1953"/>
      <c r="R1176" s="1954"/>
      <c r="S1176" s="1954">
        <f t="shared" si="751"/>
        <v>0</v>
      </c>
      <c r="T1176" s="1969">
        <f t="shared" si="752"/>
        <v>1430</v>
      </c>
      <c r="U1176" s="2060"/>
      <c r="Z1176" s="1956"/>
      <c r="AA1176" s="1956"/>
      <c r="AF1176" s="1836"/>
      <c r="AG1176" s="1836"/>
      <c r="AH1176" s="1836"/>
      <c r="AI1176" s="1837"/>
      <c r="AJ1176" s="1960"/>
    </row>
    <row r="1177" spans="1:36" ht="21.95" customHeight="1" x14ac:dyDescent="0.2">
      <c r="B1177" s="2045"/>
      <c r="C1177" s="2046" t="str">
        <f>SNI!D808</f>
        <v>Tenaga Kerja</v>
      </c>
      <c r="D1177" s="2047"/>
      <c r="E1177" s="2047"/>
      <c r="F1177" s="2048"/>
      <c r="G1177" s="2049"/>
      <c r="H1177" s="2050"/>
      <c r="I1177" s="2051"/>
      <c r="J1177" s="2051"/>
      <c r="K1177" s="2052"/>
      <c r="L1177" s="2053"/>
      <c r="M1177" s="2054"/>
      <c r="N1177" s="2055"/>
      <c r="O1177" s="2056"/>
      <c r="P1177" s="1969"/>
      <c r="Q1177" s="1953"/>
      <c r="R1177" s="1954"/>
      <c r="S1177" s="1954"/>
      <c r="T1177" s="1969"/>
      <c r="U1177" s="2060"/>
      <c r="Z1177" s="1956"/>
      <c r="AA1177" s="1956"/>
      <c r="AF1177" s="1836"/>
      <c r="AG1177" s="1836"/>
      <c r="AH1177" s="1836"/>
      <c r="AI1177" s="1837"/>
      <c r="AJ1177" s="1960"/>
    </row>
    <row r="1178" spans="1:36" ht="21.95" customHeight="1" x14ac:dyDescent="0.2">
      <c r="B1178" s="2045"/>
      <c r="C1178" s="2046"/>
      <c r="D1178" s="2047" t="str">
        <f>SNI!E808</f>
        <v xml:space="preserve">Pekerja </v>
      </c>
      <c r="E1178" s="2047"/>
      <c r="F1178" s="2048"/>
      <c r="G1178" s="2049">
        <f>SNI!H808</f>
        <v>0.09</v>
      </c>
      <c r="H1178" s="2050" t="str">
        <f>SNI!G808</f>
        <v>OH</v>
      </c>
      <c r="I1178" s="2051" t="str">
        <f>SNI!M808</f>
        <v>WNI</v>
      </c>
      <c r="J1178" s="2051"/>
      <c r="K1178" s="2052">
        <f>SNI!L808</f>
        <v>1</v>
      </c>
      <c r="L1178" s="2053"/>
      <c r="M1178" s="2054"/>
      <c r="N1178" s="2055">
        <f>SNI!I808</f>
        <v>88300</v>
      </c>
      <c r="O1178" s="2056"/>
      <c r="P1178" s="1969">
        <f t="shared" si="750"/>
        <v>7947</v>
      </c>
      <c r="Q1178" s="1953"/>
      <c r="R1178" s="1954"/>
      <c r="S1178" s="1954">
        <f t="shared" si="751"/>
        <v>7947</v>
      </c>
      <c r="T1178" s="1969">
        <f t="shared" si="752"/>
        <v>0</v>
      </c>
      <c r="U1178" s="2060"/>
      <c r="Z1178" s="1956"/>
      <c r="AA1178" s="1956"/>
      <c r="AF1178" s="1836"/>
      <c r="AG1178" s="1836"/>
      <c r="AH1178" s="1836"/>
      <c r="AI1178" s="1837"/>
      <c r="AJ1178" s="1960"/>
    </row>
    <row r="1179" spans="1:36" ht="21.95" customHeight="1" x14ac:dyDescent="0.2">
      <c r="B1179" s="2045"/>
      <c r="C1179" s="2046"/>
      <c r="D1179" s="2047" t="str">
        <f>SNI!E809</f>
        <v>Tukang Batu</v>
      </c>
      <c r="E1179" s="2047"/>
      <c r="F1179" s="2048"/>
      <c r="G1179" s="2049">
        <f>SNI!H809</f>
        <v>0.09</v>
      </c>
      <c r="H1179" s="2050" t="str">
        <f>SNI!G809</f>
        <v>OH</v>
      </c>
      <c r="I1179" s="2051" t="str">
        <f>SNI!M809</f>
        <v>WNI</v>
      </c>
      <c r="J1179" s="2051"/>
      <c r="K1179" s="2052">
        <f>SNI!L809</f>
        <v>1</v>
      </c>
      <c r="L1179" s="2053"/>
      <c r="M1179" s="2054"/>
      <c r="N1179" s="2055">
        <f>SNI!I809</f>
        <v>90000</v>
      </c>
      <c r="O1179" s="2056"/>
      <c r="P1179" s="1969">
        <f t="shared" si="750"/>
        <v>8100</v>
      </c>
      <c r="Q1179" s="1953"/>
      <c r="R1179" s="1954"/>
      <c r="S1179" s="1954">
        <f t="shared" si="751"/>
        <v>8100</v>
      </c>
      <c r="T1179" s="1969">
        <f t="shared" si="752"/>
        <v>0</v>
      </c>
      <c r="U1179" s="2060"/>
      <c r="Z1179" s="1956"/>
      <c r="AA1179" s="1956"/>
      <c r="AF1179" s="1836"/>
      <c r="AG1179" s="1836"/>
      <c r="AH1179" s="1836"/>
      <c r="AI1179" s="1837"/>
      <c r="AJ1179" s="1960"/>
    </row>
    <row r="1180" spans="1:36" ht="21.95" customHeight="1" x14ac:dyDescent="0.2">
      <c r="B1180" s="2045"/>
      <c r="C1180" s="2046"/>
      <c r="D1180" s="2047" t="str">
        <f>SNI!E810</f>
        <v>Kepala Tukang</v>
      </c>
      <c r="E1180" s="2047"/>
      <c r="F1180" s="2048"/>
      <c r="G1180" s="2049">
        <f>SNI!H810</f>
        <v>8.9999999999999993E-3</v>
      </c>
      <c r="H1180" s="2050" t="str">
        <f>SNI!G810</f>
        <v>OH</v>
      </c>
      <c r="I1180" s="2051" t="str">
        <f>SNI!M810</f>
        <v>WNI</v>
      </c>
      <c r="J1180" s="2051"/>
      <c r="K1180" s="2052">
        <f>SNI!L810</f>
        <v>1</v>
      </c>
      <c r="L1180" s="2053"/>
      <c r="M1180" s="2054"/>
      <c r="N1180" s="2055">
        <f>SNI!I810</f>
        <v>96000</v>
      </c>
      <c r="O1180" s="2056"/>
      <c r="P1180" s="1969">
        <f t="shared" si="750"/>
        <v>863.99999999999989</v>
      </c>
      <c r="Q1180" s="1953"/>
      <c r="R1180" s="1954"/>
      <c r="S1180" s="1954">
        <f t="shared" si="751"/>
        <v>863.99999999999989</v>
      </c>
      <c r="T1180" s="1969">
        <f t="shared" si="752"/>
        <v>0</v>
      </c>
      <c r="U1180" s="2060"/>
      <c r="Z1180" s="1956"/>
      <c r="AA1180" s="1956"/>
      <c r="AF1180" s="1836"/>
      <c r="AG1180" s="1836"/>
      <c r="AH1180" s="1836"/>
      <c r="AI1180" s="1837"/>
      <c r="AJ1180" s="1960"/>
    </row>
    <row r="1181" spans="1:36" ht="21.95" customHeight="1" x14ac:dyDescent="0.2">
      <c r="B1181" s="2045"/>
      <c r="C1181" s="2046"/>
      <c r="D1181" s="2047" t="str">
        <f>SNI!E811</f>
        <v>Mandor</v>
      </c>
      <c r="E1181" s="2047"/>
      <c r="F1181" s="2048"/>
      <c r="G1181" s="2049">
        <f>SNI!H811</f>
        <v>5.0000000000000001E-3</v>
      </c>
      <c r="H1181" s="2050" t="str">
        <f>SNI!G811</f>
        <v>OH</v>
      </c>
      <c r="I1181" s="2051" t="str">
        <f>SNI!M811</f>
        <v>WNI</v>
      </c>
      <c r="J1181" s="2051"/>
      <c r="K1181" s="2052">
        <f>SNI!L811</f>
        <v>1</v>
      </c>
      <c r="L1181" s="2053"/>
      <c r="M1181" s="2054"/>
      <c r="N1181" s="2055">
        <f>SNI!I811</f>
        <v>90000</v>
      </c>
      <c r="O1181" s="2056"/>
      <c r="P1181" s="1969">
        <f t="shared" si="750"/>
        <v>450</v>
      </c>
      <c r="Q1181" s="1953"/>
      <c r="R1181" s="1954"/>
      <c r="S1181" s="1954">
        <f t="shared" si="751"/>
        <v>450</v>
      </c>
      <c r="T1181" s="1969">
        <f t="shared" si="752"/>
        <v>0</v>
      </c>
      <c r="U1181" s="2060"/>
      <c r="Z1181" s="1956"/>
      <c r="AA1181" s="1956"/>
      <c r="AF1181" s="1836"/>
      <c r="AG1181" s="1836"/>
      <c r="AH1181" s="1836"/>
      <c r="AI1181" s="1837"/>
      <c r="AJ1181" s="1960"/>
    </row>
    <row r="1182" spans="1:36" s="1957" customFormat="1" ht="21.95" customHeight="1" x14ac:dyDescent="0.2">
      <c r="A1182" s="1942"/>
      <c r="B1182" s="1970"/>
      <c r="C1182" s="1971"/>
      <c r="D1182" s="1972"/>
      <c r="E1182" s="1973"/>
      <c r="F1182" s="1974" t="s">
        <v>556</v>
      </c>
      <c r="G1182" s="1975">
        <f>B1171</f>
        <v>5</v>
      </c>
      <c r="H1182" s="1976"/>
      <c r="I1182" s="1977"/>
      <c r="J1182" s="1977"/>
      <c r="K1182" s="1978"/>
      <c r="L1182" s="1979"/>
      <c r="M1182" s="1980"/>
      <c r="N1182" s="1981"/>
      <c r="O1182" s="1982"/>
      <c r="P1182" s="1983">
        <f>SUM(P1173:P1181)</f>
        <v>33689</v>
      </c>
      <c r="Q1182" s="1984"/>
      <c r="R1182" s="1985"/>
      <c r="S1182" s="1983">
        <f t="shared" ref="S1182" si="753">SUM(S1173:S1181)</f>
        <v>28182.265200000002</v>
      </c>
      <c r="T1182" s="1983">
        <f t="shared" ref="T1182" si="754">SUM(T1173:T1181)</f>
        <v>5506.7347999999984</v>
      </c>
      <c r="U1182" s="1986"/>
      <c r="V1182" s="1848"/>
      <c r="W1182" s="1848"/>
      <c r="X1182" s="1848"/>
      <c r="Y1182" s="1848"/>
      <c r="Z1182" s="1956"/>
      <c r="AA1182" s="1956"/>
      <c r="AF1182" s="1958"/>
      <c r="AG1182" s="1958"/>
      <c r="AH1182" s="1958"/>
      <c r="AI1182" s="1959"/>
      <c r="AJ1182" s="1960"/>
    </row>
    <row r="1183" spans="1:36" s="2127" customFormat="1" ht="21.95" customHeight="1" x14ac:dyDescent="0.2">
      <c r="A1183" s="1910"/>
      <c r="B1183" s="2114"/>
      <c r="C1183" s="2115"/>
      <c r="D1183" s="2116"/>
      <c r="E1183" s="2116"/>
      <c r="F1183" s="2117"/>
      <c r="G1183" s="2021"/>
      <c r="H1183" s="2118"/>
      <c r="I1183" s="2119"/>
      <c r="J1183" s="2119"/>
      <c r="K1183" s="2120"/>
      <c r="L1183" s="2121"/>
      <c r="M1183" s="2121"/>
      <c r="N1183" s="2026"/>
      <c r="O1183" s="2027"/>
      <c r="P1183" s="2065" t="s">
        <v>1812</v>
      </c>
      <c r="Q1183" s="2122">
        <f>AVERAGE(Q1016:Q1171)</f>
        <v>0.86767971088330931</v>
      </c>
      <c r="R1183" s="2119"/>
      <c r="S1183" s="2119"/>
      <c r="T1183" s="2123">
        <f>SUM(T1016:T1171)</f>
        <v>568650929.883991</v>
      </c>
      <c r="U1183" s="2124"/>
      <c r="V1183" s="2125">
        <f>[3]HPS!M169</f>
        <v>677806837.46000004</v>
      </c>
      <c r="W1183" s="2125" t="e">
        <f>#REF!-V1183</f>
        <v>#REF!</v>
      </c>
      <c r="X1183" s="2125"/>
      <c r="Y1183" s="2125"/>
      <c r="Z1183" s="1958"/>
      <c r="AA1183" s="1958">
        <f t="shared" si="641"/>
        <v>0</v>
      </c>
      <c r="AB1183" s="2126"/>
      <c r="AI1183" s="1910"/>
      <c r="AJ1183" s="2128">
        <f t="shared" si="642"/>
        <v>0</v>
      </c>
    </row>
    <row r="1184" spans="1:36" ht="21.95" customHeight="1" x14ac:dyDescent="0.2">
      <c r="B1184" s="1927" t="s">
        <v>1813</v>
      </c>
      <c r="C1184" s="1928"/>
      <c r="D1184" s="1929" t="s">
        <v>1814</v>
      </c>
      <c r="E1184" s="1930"/>
      <c r="F1184" s="1931"/>
      <c r="G1184" s="1945"/>
      <c r="H1184" s="1933"/>
      <c r="I1184" s="1934"/>
      <c r="J1184" s="1934"/>
      <c r="K1184" s="1935"/>
      <c r="L1184" s="1936"/>
      <c r="M1184" s="1936"/>
      <c r="N1184" s="1951"/>
      <c r="O1184" s="2066"/>
      <c r="P1184" s="2067"/>
      <c r="Q1184" s="1934"/>
      <c r="R1184" s="1934"/>
      <c r="S1184" s="1934"/>
      <c r="T1184" s="1940"/>
      <c r="U1184" s="1941"/>
      <c r="Z1184" s="1956"/>
      <c r="AA1184" s="1956">
        <f t="shared" si="641"/>
        <v>0</v>
      </c>
      <c r="AB1184" s="1836" t="s">
        <v>1814</v>
      </c>
      <c r="AF1184" s="1836"/>
      <c r="AG1184" s="1836"/>
      <c r="AH1184" s="1836"/>
      <c r="AI1184" s="1837"/>
      <c r="AJ1184" s="1960">
        <f t="shared" si="642"/>
        <v>0</v>
      </c>
    </row>
    <row r="1185" spans="1:36" ht="21.95" customHeight="1" x14ac:dyDescent="0.2">
      <c r="B1185" s="1927"/>
      <c r="C1185" s="1928"/>
      <c r="D1185" s="1929" t="s">
        <v>1769</v>
      </c>
      <c r="E1185" s="1930"/>
      <c r="F1185" s="1931"/>
      <c r="G1185" s="1945"/>
      <c r="H1185" s="1933"/>
      <c r="I1185" s="1934"/>
      <c r="J1185" s="1934"/>
      <c r="K1185" s="1935"/>
      <c r="L1185" s="1936"/>
      <c r="M1185" s="1936"/>
      <c r="N1185" s="1951"/>
      <c r="O1185" s="2066"/>
      <c r="P1185" s="2067"/>
      <c r="Q1185" s="1934"/>
      <c r="R1185" s="1934"/>
      <c r="S1185" s="1934"/>
      <c r="T1185" s="1940"/>
      <c r="U1185" s="1941"/>
      <c r="Z1185" s="1956"/>
      <c r="AA1185" s="1956">
        <f t="shared" si="641"/>
        <v>0</v>
      </c>
      <c r="AB1185" s="1836" t="s">
        <v>1769</v>
      </c>
      <c r="AF1185" s="1836"/>
      <c r="AG1185" s="1836"/>
      <c r="AH1185" s="1836"/>
      <c r="AI1185" s="1837"/>
      <c r="AJ1185" s="1960">
        <f t="shared" si="642"/>
        <v>0</v>
      </c>
    </row>
    <row r="1186" spans="1:36" ht="21.95" customHeight="1" x14ac:dyDescent="0.2">
      <c r="A1186" s="1833">
        <f>satpek!$B$53</f>
        <v>34</v>
      </c>
      <c r="B1186" s="1943">
        <v>1</v>
      </c>
      <c r="C1186" s="1937"/>
      <c r="D1186" s="1944" t="str">
        <f>VLOOKUP($A1186,satpek!$B$20:$N$144,2,0)</f>
        <v>Memasang rk. plafond besi hollow uk. (60x80) cm</v>
      </c>
      <c r="E1186" s="1944"/>
      <c r="F1186" s="2004"/>
      <c r="G1186" s="1945">
        <f>'[3]B.VOL RAB'!Q395</f>
        <v>785.32499999999993</v>
      </c>
      <c r="H1186" s="1946" t="str">
        <f>VLOOKUP($A1186,satpek!$B$20:$N$144,7,0)</f>
        <v>m2</v>
      </c>
      <c r="I1186" s="1947"/>
      <c r="J1186" s="1947"/>
      <c r="K1186" s="1948"/>
      <c r="L1186" s="1949"/>
      <c r="M1186" s="1950" t="str">
        <f>VLOOKUP($A1186,satpek!$B$20:$N$144,5,0)</f>
        <v>A.4.2.1.20.</v>
      </c>
      <c r="N1186" s="1951">
        <f>VLOOKUP($A1186,satpek!$B$20:$N$144,6,0)</f>
        <v>98134.85</v>
      </c>
      <c r="O1186" s="1938"/>
      <c r="P1186" s="1952">
        <f t="shared" ref="P1186:P1197" si="755">ROUND((G1186*N1186),2)</f>
        <v>77067751.079999998</v>
      </c>
      <c r="Q1186" s="1953">
        <f>VLOOKUP($A1186,satpek!$B$20:$L$138,8,0)</f>
        <v>0.71051931602279927</v>
      </c>
      <c r="R1186" s="1954">
        <f>VLOOKUP($A1186,satpek!$B$20:$L$138,9,0)</f>
        <v>61705.05</v>
      </c>
      <c r="S1186" s="1954">
        <f>VLOOKUP($A1186,satpek!$B$20:$L$138,10,0)</f>
        <v>69726.7065</v>
      </c>
      <c r="T1186" s="1952">
        <f>S1186*G1186</f>
        <v>54758125.782112494</v>
      </c>
      <c r="U1186" s="1955"/>
      <c r="X1186" s="1848">
        <f>P1196</f>
        <v>86845</v>
      </c>
      <c r="Y1186" s="1848">
        <f>S1196</f>
        <v>61705.05</v>
      </c>
      <c r="Z1186" s="1956">
        <v>785.32499999999993</v>
      </c>
      <c r="AA1186" s="1956">
        <f t="shared" si="641"/>
        <v>0</v>
      </c>
      <c r="AB1186" s="2061" t="s">
        <v>783</v>
      </c>
      <c r="AF1186" s="1836"/>
      <c r="AG1186" s="1836"/>
      <c r="AH1186" s="1836"/>
      <c r="AI1186" s="1837">
        <v>96452.28</v>
      </c>
      <c r="AJ1186" s="1960">
        <f t="shared" si="642"/>
        <v>-1682.570000000007</v>
      </c>
    </row>
    <row r="1187" spans="1:36" ht="21.95" customHeight="1" x14ac:dyDescent="0.2">
      <c r="B1187" s="2045"/>
      <c r="C1187" s="2046" t="str">
        <f>SNI!$D$676</f>
        <v>Bahan</v>
      </c>
      <c r="D1187" s="2047"/>
      <c r="E1187" s="2047"/>
      <c r="F1187" s="2048"/>
      <c r="G1187" s="2049"/>
      <c r="H1187" s="2050"/>
      <c r="I1187" s="2051"/>
      <c r="J1187" s="2051"/>
      <c r="K1187" s="2052"/>
      <c r="L1187" s="2053"/>
      <c r="M1187" s="2054"/>
      <c r="N1187" s="2055"/>
      <c r="O1187" s="2056"/>
      <c r="P1187" s="2057"/>
      <c r="Q1187" s="2058"/>
      <c r="R1187" s="2059"/>
      <c r="S1187" s="2059"/>
      <c r="T1187" s="2057"/>
      <c r="U1187" s="2060"/>
      <c r="Z1187" s="1956"/>
      <c r="AA1187" s="1956"/>
      <c r="AB1187" s="2061"/>
      <c r="AF1187" s="1836"/>
      <c r="AG1187" s="1836"/>
      <c r="AH1187" s="1836"/>
      <c r="AI1187" s="1837"/>
      <c r="AJ1187" s="1960"/>
    </row>
    <row r="1188" spans="1:36" ht="21.95" customHeight="1" x14ac:dyDescent="0.2">
      <c r="B1188" s="2045"/>
      <c r="C1188" s="2046"/>
      <c r="D1188" s="2047" t="str">
        <f>SNI!$E$676</f>
        <v xml:space="preserve">Hollow 3,8/3,8 </v>
      </c>
      <c r="E1188" s="2047"/>
      <c r="F1188" s="2048"/>
      <c r="G1188" s="2049">
        <f>SNI!$H$676</f>
        <v>3.5</v>
      </c>
      <c r="H1188" s="2050" t="str">
        <f>SNI!$G$676</f>
        <v>m'</v>
      </c>
      <c r="I1188" s="2051"/>
      <c r="J1188" s="2051"/>
      <c r="K1188" s="2052">
        <f>SNI!$L$676</f>
        <v>0.45050000000000001</v>
      </c>
      <c r="L1188" s="2053"/>
      <c r="M1188" s="2054"/>
      <c r="N1188" s="2055">
        <f>SNI!$I$676</f>
        <v>8600</v>
      </c>
      <c r="O1188" s="2056"/>
      <c r="P1188" s="1969">
        <f t="shared" ref="P1188" si="756">N1188*G1188</f>
        <v>30100</v>
      </c>
      <c r="Q1188" s="1953"/>
      <c r="R1188" s="1954"/>
      <c r="S1188" s="1954">
        <f t="shared" ref="S1188" si="757">P1188*K1188</f>
        <v>13560.050000000001</v>
      </c>
      <c r="T1188" s="1969">
        <f t="shared" ref="T1188" si="758">P1188-S1188</f>
        <v>16539.949999999997</v>
      </c>
      <c r="U1188" s="2060"/>
      <c r="Z1188" s="1956"/>
      <c r="AA1188" s="1956"/>
      <c r="AB1188" s="2061"/>
      <c r="AF1188" s="1836"/>
      <c r="AG1188" s="1836"/>
      <c r="AH1188" s="1836"/>
      <c r="AI1188" s="1837"/>
      <c r="AJ1188" s="1960"/>
    </row>
    <row r="1189" spans="1:36" ht="21.95" customHeight="1" x14ac:dyDescent="0.2">
      <c r="B1189" s="2045"/>
      <c r="C1189" s="2046"/>
      <c r="D1189" s="2047" t="str">
        <f>SNI!$E$677</f>
        <v>Assesoris</v>
      </c>
      <c r="E1189" s="2047"/>
      <c r="F1189" s="2048"/>
      <c r="G1189" s="2049">
        <f>SNI!$H$677</f>
        <v>1</v>
      </c>
      <c r="H1189" s="2050" t="str">
        <f>SNI!$G$677</f>
        <v>ls</v>
      </c>
      <c r="I1189" s="2051"/>
      <c r="J1189" s="2051"/>
      <c r="K1189" s="2052">
        <f>SNI!$L$677</f>
        <v>0</v>
      </c>
      <c r="L1189" s="2053"/>
      <c r="M1189" s="2054"/>
      <c r="N1189" s="2055">
        <f>SNI!$I$677</f>
        <v>8600</v>
      </c>
      <c r="O1189" s="2056"/>
      <c r="P1189" s="1969">
        <f t="shared" ref="P1189:P1195" si="759">N1189*G1189</f>
        <v>8600</v>
      </c>
      <c r="Q1189" s="1953"/>
      <c r="R1189" s="1954"/>
      <c r="S1189" s="1954">
        <f t="shared" ref="S1189:S1195" si="760">P1189*K1189</f>
        <v>0</v>
      </c>
      <c r="T1189" s="1969">
        <f t="shared" ref="T1189:T1195" si="761">P1189-S1189</f>
        <v>8600</v>
      </c>
      <c r="U1189" s="2060"/>
      <c r="Z1189" s="1956"/>
      <c r="AA1189" s="1956"/>
      <c r="AB1189" s="2061"/>
      <c r="AF1189" s="1836"/>
      <c r="AG1189" s="1836"/>
      <c r="AH1189" s="1836"/>
      <c r="AI1189" s="1837"/>
      <c r="AJ1189" s="1960"/>
    </row>
    <row r="1190" spans="1:36" ht="21.95" customHeight="1" x14ac:dyDescent="0.2">
      <c r="B1190" s="2045"/>
      <c r="C1190" s="2046"/>
      <c r="D1190" s="2047" t="str">
        <f>SNI!$E$678</f>
        <v>(perkuatan, las, dll)</v>
      </c>
      <c r="E1190" s="2047"/>
      <c r="F1190" s="2048"/>
      <c r="G1190" s="2049"/>
      <c r="H1190" s="2050"/>
      <c r="I1190" s="2051"/>
      <c r="J1190" s="2051"/>
      <c r="K1190" s="2052"/>
      <c r="L1190" s="2053"/>
      <c r="M1190" s="2054"/>
      <c r="N1190" s="2055"/>
      <c r="O1190" s="2056"/>
      <c r="P1190" s="1969"/>
      <c r="Q1190" s="1953"/>
      <c r="R1190" s="1954"/>
      <c r="S1190" s="1954"/>
      <c r="T1190" s="1969"/>
      <c r="U1190" s="2060"/>
      <c r="Z1190" s="1956"/>
      <c r="AA1190" s="1956"/>
      <c r="AB1190" s="2061"/>
      <c r="AF1190" s="1836"/>
      <c r="AG1190" s="1836"/>
      <c r="AH1190" s="1836"/>
      <c r="AI1190" s="1837"/>
      <c r="AJ1190" s="1960"/>
    </row>
    <row r="1191" spans="1:36" ht="21.95" customHeight="1" x14ac:dyDescent="0.2">
      <c r="B1191" s="2045"/>
      <c r="C1191" s="2046" t="str">
        <f>SNI!$D$680</f>
        <v>Tenaga Kerja</v>
      </c>
      <c r="D1191" s="2047"/>
      <c r="E1191" s="2047"/>
      <c r="F1191" s="2048"/>
      <c r="G1191" s="2049"/>
      <c r="H1191" s="2050"/>
      <c r="I1191" s="2051"/>
      <c r="J1191" s="2051"/>
      <c r="K1191" s="2052"/>
      <c r="L1191" s="2053"/>
      <c r="M1191" s="2054"/>
      <c r="N1191" s="2055"/>
      <c r="O1191" s="2056"/>
      <c r="P1191" s="1969"/>
      <c r="Q1191" s="1953"/>
      <c r="R1191" s="1954"/>
      <c r="S1191" s="1954"/>
      <c r="T1191" s="1969"/>
      <c r="U1191" s="2060"/>
      <c r="Z1191" s="1956"/>
      <c r="AA1191" s="1956"/>
      <c r="AB1191" s="2061"/>
      <c r="AF1191" s="1836"/>
      <c r="AG1191" s="1836"/>
      <c r="AH1191" s="1836"/>
      <c r="AI1191" s="1837"/>
      <c r="AJ1191" s="1960"/>
    </row>
    <row r="1192" spans="1:36" ht="21.95" customHeight="1" x14ac:dyDescent="0.2">
      <c r="B1192" s="2045"/>
      <c r="C1192" s="2046"/>
      <c r="D1192" s="2047" t="str">
        <f>SNI!$E$680</f>
        <v xml:space="preserve">Pekerja </v>
      </c>
      <c r="E1192" s="2047"/>
      <c r="F1192" s="2048"/>
      <c r="G1192" s="2049">
        <f>SNI!$H$680</f>
        <v>0.25</v>
      </c>
      <c r="H1192" s="2050" t="str">
        <f>SNI!$G$680</f>
        <v>OH</v>
      </c>
      <c r="I1192" s="2051" t="str">
        <f>SNI!$M$680</f>
        <v>WNI</v>
      </c>
      <c r="J1192" s="2051"/>
      <c r="K1192" s="2052">
        <f>SNI!$L$680</f>
        <v>1</v>
      </c>
      <c r="L1192" s="2053"/>
      <c r="M1192" s="2054"/>
      <c r="N1192" s="2055">
        <f>SNI!$I$680</f>
        <v>88300</v>
      </c>
      <c r="O1192" s="2056"/>
      <c r="P1192" s="1969">
        <f t="shared" si="759"/>
        <v>22075</v>
      </c>
      <c r="Q1192" s="1953"/>
      <c r="R1192" s="1954"/>
      <c r="S1192" s="1954">
        <f t="shared" si="760"/>
        <v>22075</v>
      </c>
      <c r="T1192" s="1969">
        <f t="shared" si="761"/>
        <v>0</v>
      </c>
      <c r="U1192" s="2060"/>
      <c r="Z1192" s="1956"/>
      <c r="AA1192" s="1956"/>
      <c r="AB1192" s="2061"/>
      <c r="AF1192" s="1836"/>
      <c r="AG1192" s="1836"/>
      <c r="AH1192" s="1836"/>
      <c r="AI1192" s="1837"/>
      <c r="AJ1192" s="1960"/>
    </row>
    <row r="1193" spans="1:36" ht="21.95" customHeight="1" x14ac:dyDescent="0.2">
      <c r="B1193" s="2045"/>
      <c r="C1193" s="2046"/>
      <c r="D1193" s="2047" t="str">
        <f>SNI!$E$681</f>
        <v>Tukang besi</v>
      </c>
      <c r="E1193" s="2047"/>
      <c r="F1193" s="2048"/>
      <c r="G1193" s="2049">
        <f>SNI!$H$681</f>
        <v>0.25</v>
      </c>
      <c r="H1193" s="2050" t="str">
        <f>SNI!$G$681</f>
        <v>OH</v>
      </c>
      <c r="I1193" s="2051" t="str">
        <f>SNI!$M$681</f>
        <v>WNI</v>
      </c>
      <c r="J1193" s="2051"/>
      <c r="K1193" s="2052">
        <f>SNI!$L$681</f>
        <v>1</v>
      </c>
      <c r="L1193" s="2053"/>
      <c r="M1193" s="2054"/>
      <c r="N1193" s="2055">
        <f>SNI!$I$681</f>
        <v>90000</v>
      </c>
      <c r="O1193" s="2056"/>
      <c r="P1193" s="1969">
        <f t="shared" si="759"/>
        <v>22500</v>
      </c>
      <c r="Q1193" s="1953"/>
      <c r="R1193" s="1954"/>
      <c r="S1193" s="1954">
        <f t="shared" si="760"/>
        <v>22500</v>
      </c>
      <c r="T1193" s="1969">
        <f t="shared" si="761"/>
        <v>0</v>
      </c>
      <c r="U1193" s="2060"/>
      <c r="Z1193" s="1956"/>
      <c r="AA1193" s="1956"/>
      <c r="AB1193" s="2061"/>
      <c r="AF1193" s="1836"/>
      <c r="AG1193" s="1836"/>
      <c r="AH1193" s="1836"/>
      <c r="AI1193" s="1837"/>
      <c r="AJ1193" s="1960"/>
    </row>
    <row r="1194" spans="1:36" ht="21.95" customHeight="1" x14ac:dyDescent="0.2">
      <c r="B1194" s="2045"/>
      <c r="C1194" s="2046"/>
      <c r="D1194" s="2047" t="str">
        <f>SNI!$E$682</f>
        <v>Kepala tukang</v>
      </c>
      <c r="E1194" s="2047"/>
      <c r="F1194" s="2048"/>
      <c r="G1194" s="2049">
        <f>SNI!$H$682</f>
        <v>2.5000000000000001E-2</v>
      </c>
      <c r="H1194" s="2050" t="str">
        <f>SNI!$G$682</f>
        <v>OH</v>
      </c>
      <c r="I1194" s="2051" t="str">
        <f>SNI!$M$682</f>
        <v>WNI</v>
      </c>
      <c r="J1194" s="2051"/>
      <c r="K1194" s="2052">
        <f>SNI!$L$682</f>
        <v>1</v>
      </c>
      <c r="L1194" s="2053"/>
      <c r="M1194" s="2054"/>
      <c r="N1194" s="2055">
        <f>SNI!$I$682</f>
        <v>96000</v>
      </c>
      <c r="O1194" s="2056"/>
      <c r="P1194" s="1969">
        <f t="shared" si="759"/>
        <v>2400</v>
      </c>
      <c r="Q1194" s="1953"/>
      <c r="R1194" s="1954"/>
      <c r="S1194" s="1954">
        <f t="shared" si="760"/>
        <v>2400</v>
      </c>
      <c r="T1194" s="1969">
        <f t="shared" si="761"/>
        <v>0</v>
      </c>
      <c r="U1194" s="2060"/>
      <c r="Z1194" s="1956"/>
      <c r="AA1194" s="1956"/>
      <c r="AB1194" s="2061"/>
      <c r="AF1194" s="1836"/>
      <c r="AG1194" s="1836"/>
      <c r="AH1194" s="1836"/>
      <c r="AI1194" s="1837"/>
      <c r="AJ1194" s="1960"/>
    </row>
    <row r="1195" spans="1:36" ht="21.95" customHeight="1" x14ac:dyDescent="0.2">
      <c r="B1195" s="2045"/>
      <c r="C1195" s="2046"/>
      <c r="D1195" s="2047" t="str">
        <f>SNI!$E$683</f>
        <v>Mandor</v>
      </c>
      <c r="E1195" s="2047"/>
      <c r="F1195" s="2048"/>
      <c r="G1195" s="2049">
        <f>SNI!$H$683</f>
        <v>1.2999999999999999E-2</v>
      </c>
      <c r="H1195" s="2050" t="str">
        <f>SNI!$G$683</f>
        <v>OH</v>
      </c>
      <c r="I1195" s="2051" t="str">
        <f>SNI!$M$683</f>
        <v>WNI</v>
      </c>
      <c r="J1195" s="2051"/>
      <c r="K1195" s="2052">
        <f>SNI!$L$683</f>
        <v>1</v>
      </c>
      <c r="L1195" s="2053"/>
      <c r="M1195" s="2054"/>
      <c r="N1195" s="2055">
        <f>SNI!$I$683</f>
        <v>90000</v>
      </c>
      <c r="O1195" s="2056"/>
      <c r="P1195" s="1969">
        <f t="shared" si="759"/>
        <v>1170</v>
      </c>
      <c r="Q1195" s="1953"/>
      <c r="R1195" s="1954"/>
      <c r="S1195" s="1954">
        <f t="shared" si="760"/>
        <v>1170</v>
      </c>
      <c r="T1195" s="1969">
        <f t="shared" si="761"/>
        <v>0</v>
      </c>
      <c r="U1195" s="2060"/>
      <c r="Z1195" s="1956"/>
      <c r="AA1195" s="1956"/>
      <c r="AB1195" s="2061"/>
      <c r="AF1195" s="1836"/>
      <c r="AG1195" s="1836"/>
      <c r="AH1195" s="1836"/>
      <c r="AI1195" s="1837"/>
      <c r="AJ1195" s="1960"/>
    </row>
    <row r="1196" spans="1:36" s="1957" customFormat="1" ht="21.95" customHeight="1" x14ac:dyDescent="0.2">
      <c r="A1196" s="1942"/>
      <c r="B1196" s="1970"/>
      <c r="C1196" s="1971"/>
      <c r="D1196" s="1972"/>
      <c r="E1196" s="1973"/>
      <c r="F1196" s="1974" t="s">
        <v>556</v>
      </c>
      <c r="G1196" s="1975">
        <f>B1186</f>
        <v>1</v>
      </c>
      <c r="H1196" s="1976"/>
      <c r="I1196" s="1977"/>
      <c r="J1196" s="1977"/>
      <c r="K1196" s="1978"/>
      <c r="L1196" s="1979"/>
      <c r="M1196" s="1980"/>
      <c r="N1196" s="1981"/>
      <c r="O1196" s="1982"/>
      <c r="P1196" s="1983">
        <f>SUM(P1188:P1195)</f>
        <v>86845</v>
      </c>
      <c r="Q1196" s="1984"/>
      <c r="R1196" s="1985"/>
      <c r="S1196" s="1983">
        <f t="shared" ref="S1196:T1196" si="762">SUM(S1188:S1195)</f>
        <v>61705.05</v>
      </c>
      <c r="T1196" s="1983">
        <f t="shared" si="762"/>
        <v>25139.949999999997</v>
      </c>
      <c r="U1196" s="1986"/>
      <c r="V1196" s="1848"/>
      <c r="W1196" s="1848"/>
      <c r="X1196" s="1848"/>
      <c r="Y1196" s="1848"/>
      <c r="Z1196" s="1956"/>
      <c r="AA1196" s="1956"/>
      <c r="AF1196" s="1958"/>
      <c r="AG1196" s="1958"/>
      <c r="AH1196" s="1958"/>
      <c r="AI1196" s="1959"/>
      <c r="AJ1196" s="1960"/>
    </row>
    <row r="1197" spans="1:36" ht="21.95" customHeight="1" x14ac:dyDescent="0.2">
      <c r="A1197" s="1833">
        <f>satpek!$B$49</f>
        <v>30</v>
      </c>
      <c r="B1197" s="1943">
        <f>B1186+1</f>
        <v>2</v>
      </c>
      <c r="C1197" s="1937"/>
      <c r="D1197" s="1944" t="str">
        <f>VLOOKUP($A1197,satpek!$B$20:$N$144,2,0)</f>
        <v>Memasang langit-langit gypsum board uk. (120x240), tb. 9 mm.</v>
      </c>
      <c r="E1197" s="1944"/>
      <c r="F1197" s="2004"/>
      <c r="G1197" s="1945">
        <f>'[3]B.VOL RAB'!Q399</f>
        <v>753.75</v>
      </c>
      <c r="H1197" s="1946" t="str">
        <f>VLOOKUP($A1197,satpek!$B$20:$N$144,7,0)</f>
        <v>m2</v>
      </c>
      <c r="I1197" s="1947"/>
      <c r="J1197" s="1947"/>
      <c r="K1197" s="1948"/>
      <c r="L1197" s="1949"/>
      <c r="M1197" s="1950" t="str">
        <f>VLOOKUP($A1197,satpek!$B$20:$N$144,5,0)</f>
        <v>A.4.5.1.7.</v>
      </c>
      <c r="N1197" s="1951">
        <f>VLOOKUP($A1197,satpek!$B$20:$N$144,6,0)</f>
        <v>54047.9</v>
      </c>
      <c r="O1197" s="1938"/>
      <c r="P1197" s="1952">
        <f t="shared" si="755"/>
        <v>40738604.630000003</v>
      </c>
      <c r="Q1197" s="1953">
        <f>VLOOKUP($A1197,satpek!$B$20:$L$138,8,0)</f>
        <v>0.47799105164122929</v>
      </c>
      <c r="R1197" s="1954">
        <f>VLOOKUP($A1197,satpek!$B$20:$L$138,9,0)</f>
        <v>22862.311999999998</v>
      </c>
      <c r="S1197" s="1954">
        <f>VLOOKUP($A1197,satpek!$B$20:$L$138,10,0)</f>
        <v>25834.412559999997</v>
      </c>
      <c r="T1197" s="1952">
        <f>S1197*G1197</f>
        <v>19472688.467099998</v>
      </c>
      <c r="U1197" s="1955"/>
      <c r="X1197" s="1848">
        <f>P1206</f>
        <v>47830</v>
      </c>
      <c r="Y1197" s="1848">
        <f>S1206</f>
        <v>22862.311999999998</v>
      </c>
      <c r="Z1197" s="1956">
        <v>753.75</v>
      </c>
      <c r="AA1197" s="1956">
        <f t="shared" si="641"/>
        <v>0</v>
      </c>
      <c r="AB1197" s="1836" t="s">
        <v>786</v>
      </c>
      <c r="AF1197" s="1836"/>
      <c r="AG1197" s="1836"/>
      <c r="AH1197" s="1836"/>
      <c r="AI1197" s="1837">
        <v>54466.229999999996</v>
      </c>
      <c r="AJ1197" s="1960">
        <f t="shared" si="642"/>
        <v>418.32999999999447</v>
      </c>
    </row>
    <row r="1198" spans="1:36" ht="21.95" customHeight="1" x14ac:dyDescent="0.2">
      <c r="B1198" s="2045"/>
      <c r="C1198" s="2046" t="str">
        <f>SNI!$D$600</f>
        <v>Bahan</v>
      </c>
      <c r="D1198" s="2047"/>
      <c r="E1198" s="2047"/>
      <c r="F1198" s="2048"/>
      <c r="G1198" s="2049"/>
      <c r="H1198" s="2050"/>
      <c r="I1198" s="2051"/>
      <c r="J1198" s="2051"/>
      <c r="K1198" s="2052"/>
      <c r="L1198" s="2053"/>
      <c r="M1198" s="2054"/>
      <c r="N1198" s="2055"/>
      <c r="O1198" s="2056"/>
      <c r="P1198" s="2057"/>
      <c r="Q1198" s="2058"/>
      <c r="R1198" s="2059"/>
      <c r="S1198" s="2059"/>
      <c r="T1198" s="2057"/>
      <c r="U1198" s="2060"/>
      <c r="Z1198" s="1956"/>
      <c r="AA1198" s="1956"/>
      <c r="AF1198" s="1836"/>
      <c r="AG1198" s="1836"/>
      <c r="AH1198" s="1836"/>
      <c r="AI1198" s="1837"/>
      <c r="AJ1198" s="1960"/>
    </row>
    <row r="1199" spans="1:36" ht="21.95" customHeight="1" x14ac:dyDescent="0.2">
      <c r="B1199" s="2045"/>
      <c r="C1199" s="2046"/>
      <c r="D1199" s="2047" t="str">
        <f>SNI!$E$600</f>
        <v>Gypsum Board</v>
      </c>
      <c r="E1199" s="2047"/>
      <c r="F1199" s="2048"/>
      <c r="G1199" s="2049">
        <f>SNI!$H$600</f>
        <v>0.36399999999999999</v>
      </c>
      <c r="H1199" s="2050" t="str">
        <f>SNI!$G$600</f>
        <v>Lembar</v>
      </c>
      <c r="I1199" s="2051"/>
      <c r="J1199" s="2051"/>
      <c r="K1199" s="2052">
        <f>SNI!$L$600</f>
        <v>0.27479999999999999</v>
      </c>
      <c r="L1199" s="2053"/>
      <c r="M1199" s="2054"/>
      <c r="N1199" s="2055">
        <f>SNI!$I$600</f>
        <v>85000</v>
      </c>
      <c r="O1199" s="2056"/>
      <c r="P1199" s="1969">
        <f t="shared" ref="P1199" si="763">N1199*G1199</f>
        <v>30940</v>
      </c>
      <c r="Q1199" s="1953"/>
      <c r="R1199" s="1954"/>
      <c r="S1199" s="1954">
        <f t="shared" ref="S1199" si="764">P1199*K1199</f>
        <v>8502.3119999999999</v>
      </c>
      <c r="T1199" s="1969">
        <f t="shared" ref="T1199" si="765">P1199-S1199</f>
        <v>22437.688000000002</v>
      </c>
      <c r="U1199" s="2060"/>
      <c r="Z1199" s="1956"/>
      <c r="AA1199" s="1956"/>
      <c r="AF1199" s="1836"/>
      <c r="AG1199" s="1836"/>
      <c r="AH1199" s="1836"/>
      <c r="AI1199" s="1837"/>
      <c r="AJ1199" s="1960"/>
    </row>
    <row r="1200" spans="1:36" ht="21.95" customHeight="1" x14ac:dyDescent="0.2">
      <c r="B1200" s="2045"/>
      <c r="C1200" s="2046"/>
      <c r="D1200" s="2047" t="str">
        <f>SNI!$E$601</f>
        <v>Paku skrup</v>
      </c>
      <c r="E1200" s="2047"/>
      <c r="F1200" s="2048"/>
      <c r="G1200" s="2049">
        <f>SNI!$H$601</f>
        <v>0.11</v>
      </c>
      <c r="H1200" s="2050" t="str">
        <f>SNI!$G$601</f>
        <v>kg</v>
      </c>
      <c r="I1200" s="2051"/>
      <c r="J1200" s="2051"/>
      <c r="K1200" s="2052">
        <f>SNI!$L$601</f>
        <v>0</v>
      </c>
      <c r="L1200" s="2053"/>
      <c r="M1200" s="2054"/>
      <c r="N1200" s="2055">
        <f>SNI!$I$601</f>
        <v>23000</v>
      </c>
      <c r="O1200" s="2056"/>
      <c r="P1200" s="1969">
        <f t="shared" ref="P1200:P1205" si="766">N1200*G1200</f>
        <v>2530</v>
      </c>
      <c r="Q1200" s="1953"/>
      <c r="R1200" s="1954"/>
      <c r="S1200" s="1954">
        <f t="shared" ref="S1200:S1205" si="767">P1200*K1200</f>
        <v>0</v>
      </c>
      <c r="T1200" s="1969">
        <f t="shared" ref="T1200:T1205" si="768">P1200-S1200</f>
        <v>2530</v>
      </c>
      <c r="U1200" s="2060"/>
      <c r="Z1200" s="1956"/>
      <c r="AA1200" s="1956"/>
      <c r="AF1200" s="1836"/>
      <c r="AG1200" s="1836"/>
      <c r="AH1200" s="1836"/>
      <c r="AI1200" s="1837"/>
      <c r="AJ1200" s="1960"/>
    </row>
    <row r="1201" spans="1:36" ht="21.95" customHeight="1" x14ac:dyDescent="0.2">
      <c r="B1201" s="2045"/>
      <c r="C1201" s="2046" t="str">
        <f>SNI!$D$603</f>
        <v>Tenaga Kerja</v>
      </c>
      <c r="D1201" s="2047"/>
      <c r="E1201" s="2047"/>
      <c r="F1201" s="2048"/>
      <c r="G1201" s="2049"/>
      <c r="H1201" s="2050"/>
      <c r="I1201" s="2051"/>
      <c r="J1201" s="2051"/>
      <c r="K1201" s="2052"/>
      <c r="L1201" s="2053"/>
      <c r="M1201" s="2054"/>
      <c r="N1201" s="2055"/>
      <c r="O1201" s="2056"/>
      <c r="P1201" s="1969"/>
      <c r="Q1201" s="1953"/>
      <c r="R1201" s="1954"/>
      <c r="S1201" s="1954"/>
      <c r="T1201" s="1969"/>
      <c r="U1201" s="2060"/>
      <c r="Z1201" s="1956"/>
      <c r="AA1201" s="1956"/>
      <c r="AF1201" s="1836"/>
      <c r="AG1201" s="1836"/>
      <c r="AH1201" s="1836"/>
      <c r="AI1201" s="1837"/>
      <c r="AJ1201" s="1960"/>
    </row>
    <row r="1202" spans="1:36" ht="21.95" customHeight="1" x14ac:dyDescent="0.2">
      <c r="B1202" s="2045"/>
      <c r="C1202" s="2046"/>
      <c r="D1202" s="2047" t="str">
        <f>SNI!$E$603</f>
        <v xml:space="preserve">Pekerja </v>
      </c>
      <c r="E1202" s="2047"/>
      <c r="F1202" s="2048"/>
      <c r="G1202" s="2049">
        <f>SNI!$H$603</f>
        <v>0.1</v>
      </c>
      <c r="H1202" s="2050" t="str">
        <f>SNI!$G$603</f>
        <v>OH</v>
      </c>
      <c r="I1202" s="2051" t="str">
        <f>SNI!$M$603</f>
        <v>WNI</v>
      </c>
      <c r="J1202" s="2051"/>
      <c r="K1202" s="2052">
        <f>SNI!$L$603</f>
        <v>1</v>
      </c>
      <c r="L1202" s="2053"/>
      <c r="M1202" s="2054"/>
      <c r="N1202" s="2055">
        <f>SNI!$I$603</f>
        <v>88300</v>
      </c>
      <c r="O1202" s="2056"/>
      <c r="P1202" s="1969">
        <f t="shared" si="766"/>
        <v>8830</v>
      </c>
      <c r="Q1202" s="1953"/>
      <c r="R1202" s="1954"/>
      <c r="S1202" s="1954">
        <f t="shared" si="767"/>
        <v>8830</v>
      </c>
      <c r="T1202" s="1969">
        <f t="shared" si="768"/>
        <v>0</v>
      </c>
      <c r="U1202" s="2060"/>
      <c r="Z1202" s="1956"/>
      <c r="AA1202" s="1956"/>
      <c r="AF1202" s="1836"/>
      <c r="AG1202" s="1836"/>
      <c r="AH1202" s="1836"/>
      <c r="AI1202" s="1837"/>
      <c r="AJ1202" s="1960"/>
    </row>
    <row r="1203" spans="1:36" ht="21.95" customHeight="1" x14ac:dyDescent="0.2">
      <c r="B1203" s="2045"/>
      <c r="C1203" s="2046"/>
      <c r="D1203" s="2047" t="str">
        <f>SNI!$E$604</f>
        <v>Tukang kayu</v>
      </c>
      <c r="E1203" s="2047"/>
      <c r="F1203" s="2048"/>
      <c r="G1203" s="2049">
        <f>SNI!$H$604</f>
        <v>0.05</v>
      </c>
      <c r="H1203" s="2050" t="str">
        <f>SNI!$G$604</f>
        <v>OH</v>
      </c>
      <c r="I1203" s="2051" t="str">
        <f>SNI!$M$604</f>
        <v>WNI</v>
      </c>
      <c r="J1203" s="2051"/>
      <c r="K1203" s="2052">
        <f>SNI!$L$604</f>
        <v>1</v>
      </c>
      <c r="L1203" s="2053"/>
      <c r="M1203" s="2054"/>
      <c r="N1203" s="2055">
        <f>SNI!$I$604</f>
        <v>92000</v>
      </c>
      <c r="O1203" s="2056"/>
      <c r="P1203" s="1969">
        <f t="shared" si="766"/>
        <v>4600</v>
      </c>
      <c r="Q1203" s="1953"/>
      <c r="R1203" s="1954"/>
      <c r="S1203" s="1954">
        <f t="shared" si="767"/>
        <v>4600</v>
      </c>
      <c r="T1203" s="1969">
        <f t="shared" si="768"/>
        <v>0</v>
      </c>
      <c r="U1203" s="2060"/>
      <c r="Z1203" s="1956"/>
      <c r="AA1203" s="1956"/>
      <c r="AF1203" s="1836"/>
      <c r="AG1203" s="1836"/>
      <c r="AH1203" s="1836"/>
      <c r="AI1203" s="1837"/>
      <c r="AJ1203" s="1960"/>
    </row>
    <row r="1204" spans="1:36" ht="21.95" customHeight="1" x14ac:dyDescent="0.2">
      <c r="B1204" s="2045"/>
      <c r="C1204" s="2046"/>
      <c r="D1204" s="2047" t="str">
        <f>SNI!$E$605</f>
        <v>Kepala tukang</v>
      </c>
      <c r="E1204" s="2047"/>
      <c r="F1204" s="2048"/>
      <c r="G1204" s="2049">
        <f>SNI!$H$605</f>
        <v>5.0000000000000001E-3</v>
      </c>
      <c r="H1204" s="2050" t="str">
        <f>SNI!$G$605</f>
        <v>OH</v>
      </c>
      <c r="I1204" s="2051" t="str">
        <f>SNI!$M$605</f>
        <v>WNI</v>
      </c>
      <c r="J1204" s="2051"/>
      <c r="K1204" s="2052">
        <f>SNI!$L$605</f>
        <v>1</v>
      </c>
      <c r="L1204" s="2053"/>
      <c r="M1204" s="2054"/>
      <c r="N1204" s="2055">
        <f>SNI!$I$605</f>
        <v>96000</v>
      </c>
      <c r="O1204" s="2056"/>
      <c r="P1204" s="1969">
        <f t="shared" si="766"/>
        <v>480</v>
      </c>
      <c r="Q1204" s="1953"/>
      <c r="R1204" s="1954"/>
      <c r="S1204" s="1954">
        <f t="shared" si="767"/>
        <v>480</v>
      </c>
      <c r="T1204" s="1969">
        <f t="shared" si="768"/>
        <v>0</v>
      </c>
      <c r="U1204" s="2060"/>
      <c r="Z1204" s="1956"/>
      <c r="AA1204" s="1956"/>
      <c r="AF1204" s="1836"/>
      <c r="AG1204" s="1836"/>
      <c r="AH1204" s="1836"/>
      <c r="AI1204" s="1837"/>
      <c r="AJ1204" s="1960"/>
    </row>
    <row r="1205" spans="1:36" ht="21.95" customHeight="1" x14ac:dyDescent="0.2">
      <c r="B1205" s="2045"/>
      <c r="C1205" s="2046"/>
      <c r="D1205" s="2047" t="str">
        <f>SNI!E606</f>
        <v>Mandor</v>
      </c>
      <c r="E1205" s="2047"/>
      <c r="F1205" s="2048"/>
      <c r="G1205" s="2049">
        <f>SNI!$H$606</f>
        <v>5.0000000000000001E-3</v>
      </c>
      <c r="H1205" s="2050" t="str">
        <f>SNI!$G$606</f>
        <v>OH</v>
      </c>
      <c r="I1205" s="2051" t="str">
        <f>SNI!$M$606</f>
        <v>WNI</v>
      </c>
      <c r="J1205" s="2051"/>
      <c r="K1205" s="2052">
        <f>SNI!$L$606</f>
        <v>1</v>
      </c>
      <c r="L1205" s="2053"/>
      <c r="M1205" s="2054"/>
      <c r="N1205" s="2055">
        <f>SNI!$I$606</f>
        <v>90000</v>
      </c>
      <c r="O1205" s="2056"/>
      <c r="P1205" s="1969">
        <f t="shared" si="766"/>
        <v>450</v>
      </c>
      <c r="Q1205" s="1953"/>
      <c r="R1205" s="1954"/>
      <c r="S1205" s="1954">
        <f t="shared" si="767"/>
        <v>450</v>
      </c>
      <c r="T1205" s="1969">
        <f t="shared" si="768"/>
        <v>0</v>
      </c>
      <c r="U1205" s="2060"/>
      <c r="Z1205" s="1956"/>
      <c r="AA1205" s="1956"/>
      <c r="AF1205" s="1836"/>
      <c r="AG1205" s="1836"/>
      <c r="AH1205" s="1836"/>
      <c r="AI1205" s="1837"/>
      <c r="AJ1205" s="1960"/>
    </row>
    <row r="1206" spans="1:36" s="1957" customFormat="1" ht="21.95" customHeight="1" x14ac:dyDescent="0.2">
      <c r="A1206" s="1942"/>
      <c r="B1206" s="1970"/>
      <c r="C1206" s="1971"/>
      <c r="D1206" s="1972"/>
      <c r="E1206" s="1973"/>
      <c r="F1206" s="1974" t="s">
        <v>556</v>
      </c>
      <c r="G1206" s="1975">
        <f>B1197</f>
        <v>2</v>
      </c>
      <c r="H1206" s="1976"/>
      <c r="I1206" s="1977"/>
      <c r="J1206" s="1977"/>
      <c r="K1206" s="1978"/>
      <c r="L1206" s="1979"/>
      <c r="M1206" s="1980"/>
      <c r="N1206" s="1981"/>
      <c r="O1206" s="1982"/>
      <c r="P1206" s="1983">
        <f>SUM(P1199:P1205)</f>
        <v>47830</v>
      </c>
      <c r="Q1206" s="1984"/>
      <c r="R1206" s="1985"/>
      <c r="S1206" s="1983">
        <f t="shared" ref="S1206:T1206" si="769">SUM(S1199:S1205)</f>
        <v>22862.311999999998</v>
      </c>
      <c r="T1206" s="1983">
        <f t="shared" si="769"/>
        <v>24967.688000000002</v>
      </c>
      <c r="U1206" s="1986"/>
      <c r="V1206" s="1848"/>
      <c r="W1206" s="1848"/>
      <c r="X1206" s="1848"/>
      <c r="Y1206" s="1848"/>
      <c r="Z1206" s="1956"/>
      <c r="AA1206" s="1956"/>
      <c r="AF1206" s="1958"/>
      <c r="AG1206" s="1958"/>
      <c r="AH1206" s="1958"/>
      <c r="AI1206" s="1959"/>
      <c r="AJ1206" s="1960"/>
    </row>
    <row r="1207" spans="1:36" ht="21.95" customHeight="1" x14ac:dyDescent="0.2">
      <c r="A1207" s="1833">
        <f>satpek!$B$50</f>
        <v>31</v>
      </c>
      <c r="B1207" s="1943">
        <f>B1197+1</f>
        <v>3</v>
      </c>
      <c r="C1207" s="1937"/>
      <c r="D1207" s="1944" t="str">
        <f>VLOOKUP($A1207,satpek!$B$20:$N$144,2,0)</f>
        <v>Memasang plafond PVC</v>
      </c>
      <c r="E1207" s="1944"/>
      <c r="F1207" s="2004"/>
      <c r="G1207" s="1945">
        <f>'[3]B.VOL RAB'!Q405</f>
        <v>39.9</v>
      </c>
      <c r="H1207" s="1946" t="str">
        <f>VLOOKUP($A1207,satpek!$B$20:$N$144,7,0)</f>
        <v>m2</v>
      </c>
      <c r="I1207" s="1947"/>
      <c r="J1207" s="1947"/>
      <c r="K1207" s="1948"/>
      <c r="L1207" s="1949"/>
      <c r="M1207" s="1950" t="str">
        <f>VLOOKUP($A1207,satpek!$B$20:$N$144,5,0)</f>
        <v>An.Dihitung</v>
      </c>
      <c r="N1207" s="1951">
        <f>VLOOKUP($A1207,satpek!$B$20:$N$144,6,0)</f>
        <v>167579</v>
      </c>
      <c r="O1207" s="1938"/>
      <c r="P1207" s="1952">
        <f>ROUND((G1207*N1207),2)</f>
        <v>6686402.0999999996</v>
      </c>
      <c r="Q1207" s="1953">
        <f>VLOOKUP($A1207,satpek!$B$20:$L$138,8,0)</f>
        <v>0.65594032366824007</v>
      </c>
      <c r="R1207" s="1954">
        <f>VLOOKUP($A1207,satpek!$B$20:$L$138,9,0)</f>
        <v>97275.95</v>
      </c>
      <c r="S1207" s="1954">
        <f>VLOOKUP($A1207,satpek!$B$20:$L$138,10,0)</f>
        <v>109921.8235</v>
      </c>
      <c r="T1207" s="1952">
        <f>S1207*G1207</f>
        <v>4385880.75765</v>
      </c>
      <c r="U1207" s="1955"/>
      <c r="X1207" s="1848">
        <f>P1216</f>
        <v>148300</v>
      </c>
      <c r="Y1207" s="1848">
        <f>S1216</f>
        <v>97275.95</v>
      </c>
      <c r="Z1207" s="1956">
        <v>39.9</v>
      </c>
      <c r="AA1207" s="1956">
        <f t="shared" si="641"/>
        <v>0</v>
      </c>
      <c r="AB1207" s="1836" t="s">
        <v>1815</v>
      </c>
      <c r="AF1207" s="1836"/>
      <c r="AG1207" s="1836"/>
      <c r="AH1207" s="1836"/>
      <c r="AI1207" s="1837">
        <v>167245.65</v>
      </c>
      <c r="AJ1207" s="1960">
        <f t="shared" si="642"/>
        <v>-333.35000000000582</v>
      </c>
    </row>
    <row r="1208" spans="1:36" ht="21.95" customHeight="1" x14ac:dyDescent="0.2">
      <c r="B1208" s="2045"/>
      <c r="C1208" s="2046" t="str">
        <f>SNI!$D$619</f>
        <v>Bahan</v>
      </c>
      <c r="D1208" s="2047"/>
      <c r="E1208" s="2047"/>
      <c r="F1208" s="2048"/>
      <c r="G1208" s="2049"/>
      <c r="H1208" s="2050"/>
      <c r="I1208" s="2051"/>
      <c r="J1208" s="2051"/>
      <c r="K1208" s="2052"/>
      <c r="L1208" s="2053"/>
      <c r="M1208" s="2054"/>
      <c r="N1208" s="2055"/>
      <c r="O1208" s="2056"/>
      <c r="P1208" s="2057"/>
      <c r="Q1208" s="2058"/>
      <c r="R1208" s="2059"/>
      <c r="S1208" s="2059"/>
      <c r="T1208" s="2057"/>
      <c r="U1208" s="2060"/>
      <c r="Z1208" s="1956"/>
      <c r="AA1208" s="1956"/>
      <c r="AF1208" s="1836"/>
      <c r="AG1208" s="1836"/>
      <c r="AH1208" s="1836"/>
      <c r="AI1208" s="1837"/>
      <c r="AJ1208" s="1960"/>
    </row>
    <row r="1209" spans="1:36" ht="21.95" customHeight="1" x14ac:dyDescent="0.2">
      <c r="B1209" s="2045"/>
      <c r="C1209" s="2046"/>
      <c r="D1209" s="2047" t="str">
        <f>SNI!$E$619</f>
        <v>Plafond PVC 6mm x 20 cm</v>
      </c>
      <c r="E1209" s="2047"/>
      <c r="F1209" s="2048"/>
      <c r="G1209" s="2049">
        <f>SNI!$H$619</f>
        <v>5.05</v>
      </c>
      <c r="H1209" s="2050" t="str">
        <f>SNI!$G$619</f>
        <v>m'</v>
      </c>
      <c r="I1209" s="2051"/>
      <c r="J1209" s="2051"/>
      <c r="K1209" s="2052">
        <f>SNI!$L$619</f>
        <v>0.63149999999999995</v>
      </c>
      <c r="L1209" s="2053"/>
      <c r="M1209" s="2054"/>
      <c r="N1209" s="2055">
        <f>SNI!$I$619</f>
        <v>26000</v>
      </c>
      <c r="O1209" s="2056"/>
      <c r="P1209" s="1969">
        <f t="shared" ref="P1209" si="770">N1209*G1209</f>
        <v>131300</v>
      </c>
      <c r="Q1209" s="1953"/>
      <c r="R1209" s="1954"/>
      <c r="S1209" s="1954">
        <f t="shared" ref="S1209" si="771">P1209*K1209</f>
        <v>82915.95</v>
      </c>
      <c r="T1209" s="1969">
        <f t="shared" ref="T1209" si="772">P1209-S1209</f>
        <v>48384.05</v>
      </c>
      <c r="U1209" s="2060"/>
      <c r="Z1209" s="1956"/>
      <c r="AA1209" s="1956"/>
      <c r="AF1209" s="1836"/>
      <c r="AG1209" s="1836"/>
      <c r="AH1209" s="1836"/>
      <c r="AI1209" s="1837"/>
      <c r="AJ1209" s="1960"/>
    </row>
    <row r="1210" spans="1:36" ht="21.95" customHeight="1" x14ac:dyDescent="0.2">
      <c r="B1210" s="2045"/>
      <c r="C1210" s="2046"/>
      <c r="D1210" s="2047" t="str">
        <f>SNI!$E$620</f>
        <v>Paku skrup</v>
      </c>
      <c r="E1210" s="2047"/>
      <c r="F1210" s="2048"/>
      <c r="G1210" s="2049">
        <f>SNI!$H$620</f>
        <v>0.11</v>
      </c>
      <c r="H1210" s="2050" t="str">
        <f>SNI!$G$620</f>
        <v>kg</v>
      </c>
      <c r="I1210" s="2051"/>
      <c r="J1210" s="2051"/>
      <c r="K1210" s="2052">
        <f>SNI!$L$620</f>
        <v>0</v>
      </c>
      <c r="L1210" s="2053"/>
      <c r="M1210" s="2054"/>
      <c r="N1210" s="2055">
        <f>SNI!$I$620</f>
        <v>24000</v>
      </c>
      <c r="O1210" s="2056"/>
      <c r="P1210" s="1969">
        <f t="shared" ref="P1210:P1215" si="773">N1210*G1210</f>
        <v>2640</v>
      </c>
      <c r="Q1210" s="1953"/>
      <c r="R1210" s="1954"/>
      <c r="S1210" s="1954">
        <f t="shared" ref="S1210:S1215" si="774">P1210*K1210</f>
        <v>0</v>
      </c>
      <c r="T1210" s="1969">
        <f t="shared" ref="T1210:T1215" si="775">P1210-S1210</f>
        <v>2640</v>
      </c>
      <c r="U1210" s="2060"/>
      <c r="Z1210" s="1956"/>
      <c r="AA1210" s="1956"/>
      <c r="AF1210" s="1836"/>
      <c r="AG1210" s="1836"/>
      <c r="AH1210" s="1836"/>
      <c r="AI1210" s="1837"/>
      <c r="AJ1210" s="1960"/>
    </row>
    <row r="1211" spans="1:36" ht="21.95" customHeight="1" x14ac:dyDescent="0.2">
      <c r="B1211" s="2045"/>
      <c r="C1211" s="2046" t="str">
        <f>SNI!$D$622</f>
        <v>Tenaga Kerja</v>
      </c>
      <c r="D1211" s="2047"/>
      <c r="E1211" s="2047"/>
      <c r="F1211" s="2048"/>
      <c r="G1211" s="2049"/>
      <c r="H1211" s="2050"/>
      <c r="I1211" s="2051"/>
      <c r="J1211" s="2051"/>
      <c r="K1211" s="2052"/>
      <c r="L1211" s="2053"/>
      <c r="M1211" s="2054"/>
      <c r="N1211" s="2055"/>
      <c r="O1211" s="2056"/>
      <c r="P1211" s="1969"/>
      <c r="Q1211" s="1953"/>
      <c r="R1211" s="1954"/>
      <c r="S1211" s="1954"/>
      <c r="T1211" s="1969"/>
      <c r="U1211" s="2060"/>
      <c r="Z1211" s="1956"/>
      <c r="AA1211" s="1956"/>
      <c r="AF1211" s="1836"/>
      <c r="AG1211" s="1836"/>
      <c r="AH1211" s="1836"/>
      <c r="AI1211" s="1837"/>
      <c r="AJ1211" s="1960"/>
    </row>
    <row r="1212" spans="1:36" ht="21.95" customHeight="1" x14ac:dyDescent="0.2">
      <c r="B1212" s="2045"/>
      <c r="C1212" s="2046"/>
      <c r="D1212" s="2047" t="str">
        <f>SNI!$E$622</f>
        <v xml:space="preserve">Pekerja </v>
      </c>
      <c r="E1212" s="2047"/>
      <c r="F1212" s="2048"/>
      <c r="G1212" s="2049">
        <f>SNI!$H$622</f>
        <v>0.1</v>
      </c>
      <c r="H1212" s="2050" t="str">
        <f>SNI!$G$622</f>
        <v>OH</v>
      </c>
      <c r="I1212" s="2051" t="str">
        <f>SNI!$M$622</f>
        <v>WNI</v>
      </c>
      <c r="J1212" s="2051"/>
      <c r="K1212" s="2052">
        <f>SNI!$L$622</f>
        <v>1</v>
      </c>
      <c r="L1212" s="2053"/>
      <c r="M1212" s="2054"/>
      <c r="N1212" s="2055">
        <f>SNI!$I$622</f>
        <v>88300</v>
      </c>
      <c r="O1212" s="2056"/>
      <c r="P1212" s="1969">
        <f t="shared" si="773"/>
        <v>8830</v>
      </c>
      <c r="Q1212" s="1953"/>
      <c r="R1212" s="1954"/>
      <c r="S1212" s="1954">
        <f t="shared" si="774"/>
        <v>8830</v>
      </c>
      <c r="T1212" s="1969">
        <f t="shared" si="775"/>
        <v>0</v>
      </c>
      <c r="U1212" s="2060"/>
      <c r="Z1212" s="1956"/>
      <c r="AA1212" s="1956"/>
      <c r="AF1212" s="1836"/>
      <c r="AG1212" s="1836"/>
      <c r="AH1212" s="1836"/>
      <c r="AI1212" s="1837"/>
      <c r="AJ1212" s="1960"/>
    </row>
    <row r="1213" spans="1:36" ht="21.95" customHeight="1" x14ac:dyDescent="0.2">
      <c r="B1213" s="2045"/>
      <c r="C1213" s="2046"/>
      <c r="D1213" s="2047" t="str">
        <f>SNI!$E$623</f>
        <v>Tukang Kayu</v>
      </c>
      <c r="E1213" s="2047"/>
      <c r="F1213" s="2048"/>
      <c r="G1213" s="2049">
        <f>SNI!$H$623</f>
        <v>0.05</v>
      </c>
      <c r="H1213" s="2050" t="str">
        <f>SNI!$G$623</f>
        <v>OH</v>
      </c>
      <c r="I1213" s="2051" t="str">
        <f>SNI!$M$623</f>
        <v>WNI</v>
      </c>
      <c r="J1213" s="2051"/>
      <c r="K1213" s="2052">
        <f>SNI!$L$623</f>
        <v>1</v>
      </c>
      <c r="L1213" s="2053"/>
      <c r="M1213" s="2054"/>
      <c r="N1213" s="2055">
        <f>SNI!$I$623</f>
        <v>92000</v>
      </c>
      <c r="O1213" s="2056"/>
      <c r="P1213" s="1969">
        <f t="shared" si="773"/>
        <v>4600</v>
      </c>
      <c r="Q1213" s="1953"/>
      <c r="R1213" s="1954"/>
      <c r="S1213" s="1954">
        <f t="shared" si="774"/>
        <v>4600</v>
      </c>
      <c r="T1213" s="1969">
        <f t="shared" si="775"/>
        <v>0</v>
      </c>
      <c r="U1213" s="2060"/>
      <c r="Z1213" s="1956"/>
      <c r="AA1213" s="1956"/>
      <c r="AF1213" s="1836"/>
      <c r="AG1213" s="1836"/>
      <c r="AH1213" s="1836"/>
      <c r="AI1213" s="1837"/>
      <c r="AJ1213" s="1960"/>
    </row>
    <row r="1214" spans="1:36" ht="21.95" customHeight="1" x14ac:dyDescent="0.2">
      <c r="B1214" s="2045"/>
      <c r="C1214" s="2046"/>
      <c r="D1214" s="2047" t="str">
        <f>SNI!$E$624</f>
        <v>Kepala Tukang</v>
      </c>
      <c r="E1214" s="2047"/>
      <c r="F1214" s="2048"/>
      <c r="G1214" s="2049">
        <f>SNI!$H$624</f>
        <v>5.0000000000000001E-3</v>
      </c>
      <c r="H1214" s="2050" t="str">
        <f>SNI!$G$624</f>
        <v>OH</v>
      </c>
      <c r="I1214" s="2051" t="str">
        <f>SNI!$M$624</f>
        <v>WNI</v>
      </c>
      <c r="J1214" s="2051"/>
      <c r="K1214" s="2052">
        <f>SNI!$L$624</f>
        <v>1</v>
      </c>
      <c r="L1214" s="2053"/>
      <c r="M1214" s="2054"/>
      <c r="N1214" s="2055">
        <f>SNI!$I$624</f>
        <v>96000</v>
      </c>
      <c r="O1214" s="2056"/>
      <c r="P1214" s="1969">
        <f t="shared" si="773"/>
        <v>480</v>
      </c>
      <c r="Q1214" s="1953"/>
      <c r="R1214" s="1954"/>
      <c r="S1214" s="1954">
        <f t="shared" si="774"/>
        <v>480</v>
      </c>
      <c r="T1214" s="1969">
        <f t="shared" si="775"/>
        <v>0</v>
      </c>
      <c r="U1214" s="2060"/>
      <c r="Z1214" s="1956"/>
      <c r="AA1214" s="1956"/>
      <c r="AF1214" s="1836"/>
      <c r="AG1214" s="1836"/>
      <c r="AH1214" s="1836"/>
      <c r="AI1214" s="1837"/>
      <c r="AJ1214" s="1960"/>
    </row>
    <row r="1215" spans="1:36" ht="21.95" customHeight="1" x14ac:dyDescent="0.2">
      <c r="B1215" s="2045"/>
      <c r="C1215" s="2046"/>
      <c r="D1215" s="2047" t="str">
        <f>SNI!$E$625</f>
        <v>Mandor</v>
      </c>
      <c r="E1215" s="2047"/>
      <c r="F1215" s="2048"/>
      <c r="G1215" s="2049">
        <f>SNI!$H$625</f>
        <v>5.0000000000000001E-3</v>
      </c>
      <c r="H1215" s="2050" t="str">
        <f>SNI!$G$625</f>
        <v>OH</v>
      </c>
      <c r="I1215" s="2051" t="str">
        <f>SNI!$M$625</f>
        <v>WNI</v>
      </c>
      <c r="J1215" s="2051"/>
      <c r="K1215" s="2052">
        <f>SNI!$L$625</f>
        <v>1</v>
      </c>
      <c r="L1215" s="2053"/>
      <c r="M1215" s="2054"/>
      <c r="N1215" s="2055">
        <f>SNI!$I$625</f>
        <v>90000</v>
      </c>
      <c r="O1215" s="2056"/>
      <c r="P1215" s="1969">
        <f t="shared" si="773"/>
        <v>450</v>
      </c>
      <c r="Q1215" s="1953"/>
      <c r="R1215" s="1954"/>
      <c r="S1215" s="1954">
        <f t="shared" si="774"/>
        <v>450</v>
      </c>
      <c r="T1215" s="1969">
        <f t="shared" si="775"/>
        <v>0</v>
      </c>
      <c r="U1215" s="2060"/>
      <c r="Z1215" s="1956"/>
      <c r="AA1215" s="1956"/>
      <c r="AF1215" s="1836"/>
      <c r="AG1215" s="1836"/>
      <c r="AH1215" s="1836"/>
      <c r="AI1215" s="1837"/>
      <c r="AJ1215" s="1960"/>
    </row>
    <row r="1216" spans="1:36" s="1957" customFormat="1" ht="21.95" customHeight="1" x14ac:dyDescent="0.2">
      <c r="A1216" s="1942"/>
      <c r="B1216" s="1970"/>
      <c r="C1216" s="1971"/>
      <c r="D1216" s="1972"/>
      <c r="E1216" s="1973"/>
      <c r="F1216" s="1974" t="s">
        <v>556</v>
      </c>
      <c r="G1216" s="1975">
        <f>B1207</f>
        <v>3</v>
      </c>
      <c r="H1216" s="1976"/>
      <c r="I1216" s="1977"/>
      <c r="J1216" s="1977"/>
      <c r="K1216" s="1978"/>
      <c r="L1216" s="1979"/>
      <c r="M1216" s="1980"/>
      <c r="N1216" s="1981"/>
      <c r="O1216" s="1982"/>
      <c r="P1216" s="1983">
        <f>SUM(P1209:P1215)</f>
        <v>148300</v>
      </c>
      <c r="Q1216" s="1984"/>
      <c r="R1216" s="1985"/>
      <c r="S1216" s="1983">
        <f t="shared" ref="S1216" si="776">SUM(S1209:S1215)</f>
        <v>97275.95</v>
      </c>
      <c r="T1216" s="1983">
        <f t="shared" ref="T1216" si="777">SUM(T1209:T1215)</f>
        <v>51024.05</v>
      </c>
      <c r="U1216" s="1986"/>
      <c r="V1216" s="1848"/>
      <c r="W1216" s="1848"/>
      <c r="X1216" s="1848"/>
      <c r="Y1216" s="1848"/>
      <c r="Z1216" s="1956"/>
      <c r="AA1216" s="1956"/>
      <c r="AF1216" s="1958"/>
      <c r="AG1216" s="1958"/>
      <c r="AH1216" s="1958"/>
      <c r="AI1216" s="1959"/>
      <c r="AJ1216" s="1960"/>
    </row>
    <row r="1217" spans="1:36" ht="21.95" customHeight="1" x14ac:dyDescent="0.2">
      <c r="A1217" s="1833">
        <f>satpek!$B$51</f>
        <v>32</v>
      </c>
      <c r="B1217" s="1943">
        <f>B1207+1</f>
        <v>4</v>
      </c>
      <c r="C1217" s="1937"/>
      <c r="D1217" s="1944" t="str">
        <f>VLOOKUP($A1217,satpek!$B$20:$N$144,2,0)</f>
        <v>Memasang list plafond gypsum profil</v>
      </c>
      <c r="E1217" s="1944"/>
      <c r="F1217" s="2004"/>
      <c r="G1217" s="1945">
        <f>'[3]B.VOL RAB'!Q407</f>
        <v>459.6999999999997</v>
      </c>
      <c r="H1217" s="1946" t="str">
        <f>VLOOKUP($A1217,satpek!$B$20:$N$144,7,0)</f>
        <v>m'</v>
      </c>
      <c r="I1217" s="1947"/>
      <c r="J1217" s="1947"/>
      <c r="K1217" s="1948"/>
      <c r="L1217" s="1949"/>
      <c r="M1217" s="1950" t="str">
        <f>VLOOKUP($A1217,satpek!$B$20:$N$144,5,0)</f>
        <v>An.Dihitung</v>
      </c>
      <c r="N1217" s="1951">
        <f>VLOOKUP($A1217,satpek!$B$20:$N$144,6,0)</f>
        <v>30469.32</v>
      </c>
      <c r="O1217" s="1938"/>
      <c r="P1217" s="1952">
        <f>ROUND((G1217*N1217),2)</f>
        <v>14006746.4</v>
      </c>
      <c r="Q1217" s="1953">
        <f>VLOOKUP($A1217,satpek!$B$20:$L$138,8,0)</f>
        <v>0.58238985313751668</v>
      </c>
      <c r="R1217" s="1954">
        <f>VLOOKUP($A1217,satpek!$B$20:$L$138,9,0)</f>
        <v>15703.56</v>
      </c>
      <c r="S1217" s="1954">
        <f>VLOOKUP($A1217,satpek!$B$20:$L$138,10,0)</f>
        <v>17745.022799999999</v>
      </c>
      <c r="T1217" s="1952">
        <f>S1217*G1217</f>
        <v>8157386.9811599944</v>
      </c>
      <c r="U1217" s="1955"/>
      <c r="X1217" s="1848">
        <f>P1226</f>
        <v>26964</v>
      </c>
      <c r="Y1217" s="1848">
        <f>S1226</f>
        <v>15703.56</v>
      </c>
      <c r="Z1217" s="1956">
        <v>459.6999999999997</v>
      </c>
      <c r="AA1217" s="1956">
        <f t="shared" si="641"/>
        <v>0</v>
      </c>
      <c r="AB1217" s="1836" t="s">
        <v>667</v>
      </c>
      <c r="AF1217" s="1836"/>
      <c r="AG1217" s="1836"/>
      <c r="AH1217" s="1836"/>
      <c r="AI1217" s="1837">
        <v>30387.96</v>
      </c>
      <c r="AJ1217" s="1960">
        <f t="shared" si="642"/>
        <v>-81.360000000000582</v>
      </c>
    </row>
    <row r="1218" spans="1:36" ht="21.95" customHeight="1" x14ac:dyDescent="0.2">
      <c r="B1218" s="2045"/>
      <c r="C1218" s="2046" t="str">
        <f>SNI!$D$638</f>
        <v>Bahan</v>
      </c>
      <c r="D1218" s="2047"/>
      <c r="E1218" s="2047"/>
      <c r="F1218" s="2048"/>
      <c r="G1218" s="2049"/>
      <c r="H1218" s="2050"/>
      <c r="I1218" s="2051"/>
      <c r="J1218" s="2051"/>
      <c r="K1218" s="2052"/>
      <c r="L1218" s="2053"/>
      <c r="M1218" s="2054"/>
      <c r="N1218" s="2055"/>
      <c r="O1218" s="2056"/>
      <c r="P1218" s="2057"/>
      <c r="Q1218" s="2058"/>
      <c r="R1218" s="2059"/>
      <c r="S1218" s="2059"/>
      <c r="T1218" s="2057"/>
      <c r="U1218" s="2060"/>
      <c r="Z1218" s="1956"/>
      <c r="AA1218" s="1956"/>
      <c r="AF1218" s="1836"/>
      <c r="AG1218" s="1836"/>
      <c r="AH1218" s="1836"/>
      <c r="AI1218" s="1837"/>
      <c r="AJ1218" s="1960"/>
    </row>
    <row r="1219" spans="1:36" ht="21.95" customHeight="1" x14ac:dyDescent="0.2">
      <c r="B1219" s="2045"/>
      <c r="C1219" s="2046"/>
      <c r="D1219" s="2047" t="str">
        <f>SNI!$E$638</f>
        <v>List gypsum profil</v>
      </c>
      <c r="E1219" s="2047"/>
      <c r="F1219" s="2048"/>
      <c r="G1219" s="2049">
        <f>SNI!$H$638</f>
        <v>1.05</v>
      </c>
      <c r="H1219" s="2050" t="str">
        <f>SNI!$G$638</f>
        <v>m'</v>
      </c>
      <c r="I1219" s="2051"/>
      <c r="J1219" s="2051"/>
      <c r="K1219" s="2052">
        <f>SNI!$L$638</f>
        <v>0.27479999999999999</v>
      </c>
      <c r="L1219" s="2053"/>
      <c r="M1219" s="2054"/>
      <c r="N1219" s="2055">
        <f>SNI!$I$638</f>
        <v>14000</v>
      </c>
      <c r="O1219" s="2056"/>
      <c r="P1219" s="1969">
        <f t="shared" ref="P1219" si="778">N1219*G1219</f>
        <v>14700</v>
      </c>
      <c r="Q1219" s="1953"/>
      <c r="R1219" s="1954"/>
      <c r="S1219" s="1954">
        <f t="shared" ref="S1219" si="779">P1219*K1219</f>
        <v>4039.56</v>
      </c>
      <c r="T1219" s="1969">
        <f t="shared" ref="T1219" si="780">P1219-S1219</f>
        <v>10660.44</v>
      </c>
      <c r="U1219" s="2060"/>
      <c r="Z1219" s="1956"/>
      <c r="AA1219" s="1956"/>
      <c r="AF1219" s="1836"/>
      <c r="AG1219" s="1836"/>
      <c r="AH1219" s="1836"/>
      <c r="AI1219" s="1837"/>
      <c r="AJ1219" s="1960"/>
    </row>
    <row r="1220" spans="1:36" ht="21.95" customHeight="1" x14ac:dyDescent="0.2">
      <c r="B1220" s="2045"/>
      <c r="C1220" s="2046"/>
      <c r="D1220" s="2047" t="str">
        <f>SNI!$E$639</f>
        <v>Tepung gypsum</v>
      </c>
      <c r="E1220" s="2047"/>
      <c r="F1220" s="2048"/>
      <c r="G1220" s="2049">
        <f>SNI!H639</f>
        <v>0.15</v>
      </c>
      <c r="H1220" s="2050" t="str">
        <f>SNI!$G$639</f>
        <v>kg</v>
      </c>
      <c r="I1220" s="2051"/>
      <c r="J1220" s="2051"/>
      <c r="K1220" s="2052">
        <f>SNI!$L$639</f>
        <v>0</v>
      </c>
      <c r="L1220" s="2053"/>
      <c r="M1220" s="2054"/>
      <c r="N1220" s="2055">
        <f>SNI!$I$639</f>
        <v>4000</v>
      </c>
      <c r="O1220" s="2056"/>
      <c r="P1220" s="1969">
        <f t="shared" ref="P1220:P1225" si="781">N1220*G1220</f>
        <v>600</v>
      </c>
      <c r="Q1220" s="1953"/>
      <c r="R1220" s="1954"/>
      <c r="S1220" s="1954">
        <f t="shared" ref="S1220:S1225" si="782">P1220*K1220</f>
        <v>0</v>
      </c>
      <c r="T1220" s="1969">
        <f t="shared" ref="T1220:T1225" si="783">P1220-S1220</f>
        <v>600</v>
      </c>
      <c r="U1220" s="2060"/>
      <c r="Z1220" s="1956"/>
      <c r="AA1220" s="1956"/>
      <c r="AF1220" s="1836"/>
      <c r="AG1220" s="1836"/>
      <c r="AH1220" s="1836"/>
      <c r="AI1220" s="1837"/>
      <c r="AJ1220" s="1960"/>
    </row>
    <row r="1221" spans="1:36" ht="21.95" customHeight="1" x14ac:dyDescent="0.2">
      <c r="B1221" s="2045"/>
      <c r="C1221" s="2046" t="str">
        <f>SNI!$D$641</f>
        <v>Tenaga Kerja</v>
      </c>
      <c r="D1221" s="2047"/>
      <c r="E1221" s="2047"/>
      <c r="F1221" s="2048"/>
      <c r="G1221" s="2049"/>
      <c r="H1221" s="2050"/>
      <c r="I1221" s="2051"/>
      <c r="J1221" s="2051"/>
      <c r="K1221" s="2052"/>
      <c r="L1221" s="2053"/>
      <c r="M1221" s="2054"/>
      <c r="N1221" s="2055"/>
      <c r="O1221" s="2056"/>
      <c r="P1221" s="1969"/>
      <c r="Q1221" s="1953"/>
      <c r="R1221" s="1954"/>
      <c r="S1221" s="1954"/>
      <c r="T1221" s="1969"/>
      <c r="U1221" s="2060"/>
      <c r="Z1221" s="1956"/>
      <c r="AA1221" s="1956"/>
      <c r="AF1221" s="1836"/>
      <c r="AG1221" s="1836"/>
      <c r="AH1221" s="1836"/>
      <c r="AI1221" s="1837"/>
      <c r="AJ1221" s="1960"/>
    </row>
    <row r="1222" spans="1:36" ht="21.95" customHeight="1" x14ac:dyDescent="0.2">
      <c r="B1222" s="2045"/>
      <c r="C1222" s="2046"/>
      <c r="D1222" s="2047" t="str">
        <f>SNI!E641</f>
        <v xml:space="preserve">Pekerja </v>
      </c>
      <c r="E1222" s="2047"/>
      <c r="F1222" s="2048"/>
      <c r="G1222" s="2049">
        <f>SNI!$H$641</f>
        <v>0.06</v>
      </c>
      <c r="H1222" s="2050" t="str">
        <f>SNI!$G$641</f>
        <v>OH</v>
      </c>
      <c r="I1222" s="2051" t="str">
        <f>SNI!$M$641</f>
        <v>WNI</v>
      </c>
      <c r="J1222" s="2051"/>
      <c r="K1222" s="2052">
        <f>SNI!$L$641</f>
        <v>1</v>
      </c>
      <c r="L1222" s="2053"/>
      <c r="M1222" s="2054"/>
      <c r="N1222" s="2055">
        <f>SNI!$I$641</f>
        <v>88300</v>
      </c>
      <c r="O1222" s="2056"/>
      <c r="P1222" s="1969">
        <f t="shared" si="781"/>
        <v>5298</v>
      </c>
      <c r="Q1222" s="1953"/>
      <c r="R1222" s="1954"/>
      <c r="S1222" s="1954">
        <f t="shared" si="782"/>
        <v>5298</v>
      </c>
      <c r="T1222" s="1969">
        <f t="shared" si="783"/>
        <v>0</v>
      </c>
      <c r="U1222" s="2060"/>
      <c r="Z1222" s="1956"/>
      <c r="AA1222" s="1956"/>
      <c r="AF1222" s="1836"/>
      <c r="AG1222" s="1836"/>
      <c r="AH1222" s="1836"/>
      <c r="AI1222" s="1837"/>
      <c r="AJ1222" s="1960"/>
    </row>
    <row r="1223" spans="1:36" ht="21.95" customHeight="1" x14ac:dyDescent="0.2">
      <c r="B1223" s="2045"/>
      <c r="C1223" s="2046"/>
      <c r="D1223" s="2047" t="str">
        <f>SNI!$E$642</f>
        <v>Tukang kayu</v>
      </c>
      <c r="E1223" s="2047"/>
      <c r="F1223" s="2048"/>
      <c r="G1223" s="2049">
        <f>SNI!$H$642</f>
        <v>0.06</v>
      </c>
      <c r="H1223" s="2050" t="str">
        <f>SNI!$G$642</f>
        <v>OH</v>
      </c>
      <c r="I1223" s="2051" t="str">
        <f>SNI!$M$642</f>
        <v>WNI</v>
      </c>
      <c r="J1223" s="2051"/>
      <c r="K1223" s="2052">
        <f>SNI!$L$642</f>
        <v>1</v>
      </c>
      <c r="L1223" s="2053"/>
      <c r="M1223" s="2054"/>
      <c r="N1223" s="2055">
        <f>SNI!$I$642</f>
        <v>92000</v>
      </c>
      <c r="O1223" s="2056"/>
      <c r="P1223" s="1969">
        <f t="shared" si="781"/>
        <v>5520</v>
      </c>
      <c r="Q1223" s="1953"/>
      <c r="R1223" s="1954"/>
      <c r="S1223" s="1954">
        <f t="shared" si="782"/>
        <v>5520</v>
      </c>
      <c r="T1223" s="1969">
        <f t="shared" si="783"/>
        <v>0</v>
      </c>
      <c r="U1223" s="2060"/>
      <c r="Z1223" s="1956"/>
      <c r="AA1223" s="1956"/>
      <c r="AF1223" s="1836"/>
      <c r="AG1223" s="1836"/>
      <c r="AH1223" s="1836"/>
      <c r="AI1223" s="1837"/>
      <c r="AJ1223" s="1960"/>
    </row>
    <row r="1224" spans="1:36" ht="21.95" customHeight="1" x14ac:dyDescent="0.2">
      <c r="B1224" s="2045"/>
      <c r="C1224" s="2046"/>
      <c r="D1224" s="2047" t="str">
        <f>SNI!$E$643</f>
        <v>Kepala tukang</v>
      </c>
      <c r="E1224" s="2047"/>
      <c r="F1224" s="2048"/>
      <c r="G1224" s="2049">
        <f>SNI!$H$643</f>
        <v>6.0000000000000001E-3</v>
      </c>
      <c r="H1224" s="2050" t="str">
        <f>SNI!$G$643</f>
        <v>OH</v>
      </c>
      <c r="I1224" s="2051" t="str">
        <f>SNI!$M$643</f>
        <v>WNI</v>
      </c>
      <c r="J1224" s="2051"/>
      <c r="K1224" s="2052">
        <f>SNI!$L$643</f>
        <v>1</v>
      </c>
      <c r="L1224" s="2053"/>
      <c r="M1224" s="2054"/>
      <c r="N1224" s="2055">
        <f>SNI!$I$643</f>
        <v>96000</v>
      </c>
      <c r="O1224" s="2056"/>
      <c r="P1224" s="1969">
        <f t="shared" si="781"/>
        <v>576</v>
      </c>
      <c r="Q1224" s="1953"/>
      <c r="R1224" s="1954"/>
      <c r="S1224" s="1954">
        <f t="shared" si="782"/>
        <v>576</v>
      </c>
      <c r="T1224" s="1969">
        <f t="shared" si="783"/>
        <v>0</v>
      </c>
      <c r="U1224" s="2060"/>
      <c r="Z1224" s="1956"/>
      <c r="AA1224" s="1956"/>
      <c r="AF1224" s="1836"/>
      <c r="AG1224" s="1836"/>
      <c r="AH1224" s="1836"/>
      <c r="AI1224" s="1837"/>
      <c r="AJ1224" s="1960"/>
    </row>
    <row r="1225" spans="1:36" ht="21.95" customHeight="1" x14ac:dyDescent="0.2">
      <c r="B1225" s="2045"/>
      <c r="C1225" s="2046"/>
      <c r="D1225" s="2047" t="str">
        <f>SNI!$E$644</f>
        <v>Mandor</v>
      </c>
      <c r="E1225" s="2047"/>
      <c r="F1225" s="2048"/>
      <c r="G1225" s="2049">
        <f>SNI!$H$644</f>
        <v>3.0000000000000001E-3</v>
      </c>
      <c r="H1225" s="2050" t="str">
        <f>SNI!$G$644</f>
        <v>OH</v>
      </c>
      <c r="I1225" s="2051" t="str">
        <f>SNI!$M$644</f>
        <v>WNI</v>
      </c>
      <c r="J1225" s="2051"/>
      <c r="K1225" s="2052">
        <f>SNI!$L$644</f>
        <v>1</v>
      </c>
      <c r="L1225" s="2053"/>
      <c r="M1225" s="2054"/>
      <c r="N1225" s="2055">
        <f>SNI!$I$644</f>
        <v>90000</v>
      </c>
      <c r="O1225" s="2056"/>
      <c r="P1225" s="1969">
        <f t="shared" si="781"/>
        <v>270</v>
      </c>
      <c r="Q1225" s="1953"/>
      <c r="R1225" s="1954"/>
      <c r="S1225" s="1954">
        <f t="shared" si="782"/>
        <v>270</v>
      </c>
      <c r="T1225" s="1969">
        <f t="shared" si="783"/>
        <v>0</v>
      </c>
      <c r="U1225" s="2060"/>
      <c r="Z1225" s="1956"/>
      <c r="AA1225" s="1956"/>
      <c r="AF1225" s="1836"/>
      <c r="AG1225" s="1836"/>
      <c r="AH1225" s="1836"/>
      <c r="AI1225" s="1837"/>
      <c r="AJ1225" s="1960"/>
    </row>
    <row r="1226" spans="1:36" s="1957" customFormat="1" ht="21.95" customHeight="1" x14ac:dyDescent="0.2">
      <c r="A1226" s="1942"/>
      <c r="B1226" s="1970"/>
      <c r="C1226" s="1971"/>
      <c r="D1226" s="1972"/>
      <c r="E1226" s="1973"/>
      <c r="F1226" s="1974" t="s">
        <v>556</v>
      </c>
      <c r="G1226" s="1975">
        <f>B1217</f>
        <v>4</v>
      </c>
      <c r="H1226" s="1976"/>
      <c r="I1226" s="1977"/>
      <c r="J1226" s="1977"/>
      <c r="K1226" s="1978"/>
      <c r="L1226" s="1979"/>
      <c r="M1226" s="1980"/>
      <c r="N1226" s="1981"/>
      <c r="O1226" s="1982"/>
      <c r="P1226" s="1983">
        <f>SUM(P1219:P1225)</f>
        <v>26964</v>
      </c>
      <c r="Q1226" s="1984"/>
      <c r="R1226" s="1985"/>
      <c r="S1226" s="1983">
        <f t="shared" ref="S1226" si="784">SUM(S1219:S1225)</f>
        <v>15703.56</v>
      </c>
      <c r="T1226" s="1983">
        <f t="shared" ref="T1226" si="785">SUM(T1219:T1225)</f>
        <v>11260.44</v>
      </c>
      <c r="U1226" s="1986"/>
      <c r="V1226" s="1848"/>
      <c r="W1226" s="1848"/>
      <c r="X1226" s="1848"/>
      <c r="Y1226" s="1848"/>
      <c r="Z1226" s="1956"/>
      <c r="AA1226" s="1956"/>
      <c r="AF1226" s="1958"/>
      <c r="AG1226" s="1958"/>
      <c r="AH1226" s="1958"/>
      <c r="AI1226" s="1959"/>
      <c r="AJ1226" s="1960"/>
    </row>
    <row r="1227" spans="1:36" ht="21.95" customHeight="1" x14ac:dyDescent="0.2">
      <c r="A1227" s="1833">
        <f>satpek!$B$52</f>
        <v>33</v>
      </c>
      <c r="B1227" s="1943">
        <f>B1217+1</f>
        <v>5</v>
      </c>
      <c r="C1227" s="1937"/>
      <c r="D1227" s="1944" t="str">
        <f>VLOOKUP($A1227,satpek!$B$20:$N$144,2,0)</f>
        <v>Memasang list plafond PVC</v>
      </c>
      <c r="E1227" s="1944"/>
      <c r="F1227" s="2004"/>
      <c r="G1227" s="1945">
        <f>'[3]B.VOL RAB'!Q409</f>
        <v>25.4</v>
      </c>
      <c r="H1227" s="1946" t="str">
        <f>VLOOKUP($A1227,satpek!$B$20:$N$144,7,0)</f>
        <v>m'</v>
      </c>
      <c r="I1227" s="1947"/>
      <c r="J1227" s="1947"/>
      <c r="K1227" s="1948"/>
      <c r="L1227" s="1949"/>
      <c r="M1227" s="1950" t="str">
        <f>VLOOKUP($A1227,satpek!$B$20:$N$144,5,0)</f>
        <v>An.Dihitung</v>
      </c>
      <c r="N1227" s="1951">
        <f>VLOOKUP($A1227,satpek!$B$20:$N$144,6,0)</f>
        <v>39690.120000000003</v>
      </c>
      <c r="O1227" s="1938"/>
      <c r="P1227" s="1952">
        <f>ROUND((G1227*N1227),2)</f>
        <v>1008129.05</v>
      </c>
      <c r="Q1227" s="1953">
        <f>VLOOKUP($A1227,satpek!$B$20:$L$138,8,0)</f>
        <v>0.74739921421250433</v>
      </c>
      <c r="R1227" s="1954">
        <f>VLOOKUP($A1227,satpek!$B$20:$L$138,9,0)</f>
        <v>26251.65</v>
      </c>
      <c r="S1227" s="1954">
        <f>VLOOKUP($A1227,satpek!$B$20:$L$138,10,0)</f>
        <v>29664.364500000003</v>
      </c>
      <c r="T1227" s="1952">
        <f>S1227*G1227</f>
        <v>753474.85830000008</v>
      </c>
      <c r="U1227" s="1955"/>
      <c r="X1227" s="1848">
        <f>P1236</f>
        <v>35124</v>
      </c>
      <c r="Y1227" s="1848">
        <f>S1236</f>
        <v>26251.65</v>
      </c>
      <c r="Z1227" s="1956">
        <v>25.4</v>
      </c>
      <c r="AA1227" s="1956">
        <f t="shared" si="641"/>
        <v>0</v>
      </c>
      <c r="AB1227" s="1836" t="s">
        <v>1816</v>
      </c>
      <c r="AF1227" s="1836"/>
      <c r="AG1227" s="1836"/>
      <c r="AH1227" s="1836"/>
      <c r="AI1227" s="1837">
        <v>39490.11</v>
      </c>
      <c r="AJ1227" s="1960">
        <f t="shared" si="642"/>
        <v>-200.01000000000204</v>
      </c>
    </row>
    <row r="1228" spans="1:36" ht="21.95" customHeight="1" x14ac:dyDescent="0.2">
      <c r="B1228" s="2045"/>
      <c r="C1228" s="2046" t="str">
        <f>SNI!$D$657</f>
        <v>Bahan</v>
      </c>
      <c r="D1228" s="2047"/>
      <c r="E1228" s="2047"/>
      <c r="F1228" s="2048"/>
      <c r="G1228" s="2049"/>
      <c r="H1228" s="2050"/>
      <c r="I1228" s="2051"/>
      <c r="J1228" s="2051"/>
      <c r="K1228" s="2052"/>
      <c r="L1228" s="2053"/>
      <c r="M1228" s="2054"/>
      <c r="N1228" s="2055"/>
      <c r="O1228" s="2056"/>
      <c r="P1228" s="2057"/>
      <c r="Q1228" s="2058"/>
      <c r="R1228" s="2059"/>
      <c r="S1228" s="2059"/>
      <c r="T1228" s="2055"/>
      <c r="U1228" s="2060"/>
      <c r="Z1228" s="1956"/>
      <c r="AA1228" s="1956"/>
      <c r="AF1228" s="1836"/>
      <c r="AG1228" s="1836"/>
      <c r="AH1228" s="1836"/>
      <c r="AI1228" s="1837"/>
      <c r="AJ1228" s="1960"/>
    </row>
    <row r="1229" spans="1:36" ht="21.95" customHeight="1" x14ac:dyDescent="0.2">
      <c r="B1229" s="2045"/>
      <c r="C1229" s="2046"/>
      <c r="D1229" s="2047" t="str">
        <f>SNI!E657</f>
        <v>List PVC profil</v>
      </c>
      <c r="E1229" s="2047"/>
      <c r="F1229" s="2048"/>
      <c r="G1229" s="2049">
        <f>SNI!$H$657</f>
        <v>1.05</v>
      </c>
      <c r="H1229" s="2050" t="str">
        <f>SNI!G657</f>
        <v>m'</v>
      </c>
      <c r="I1229" s="2051"/>
      <c r="J1229" s="2051"/>
      <c r="K1229" s="2052">
        <f>SNI!$L$657</f>
        <v>0.63149999999999995</v>
      </c>
      <c r="L1229" s="2053"/>
      <c r="M1229" s="2054"/>
      <c r="N1229" s="2055">
        <f>SNI!$I$657</f>
        <v>22000</v>
      </c>
      <c r="O1229" s="2056"/>
      <c r="P1229" s="1969">
        <f t="shared" ref="P1229" si="786">N1229*G1229</f>
        <v>23100</v>
      </c>
      <c r="Q1229" s="1953"/>
      <c r="R1229" s="1954"/>
      <c r="S1229" s="1954">
        <f t="shared" ref="S1229" si="787">P1229*K1229</f>
        <v>14587.65</v>
      </c>
      <c r="T1229" s="1969">
        <f t="shared" ref="T1229" si="788">P1229-S1229</f>
        <v>8512.35</v>
      </c>
      <c r="U1229" s="2060"/>
      <c r="Z1229" s="1956"/>
      <c r="AA1229" s="1956"/>
      <c r="AF1229" s="1836"/>
      <c r="AG1229" s="1836"/>
      <c r="AH1229" s="1836"/>
      <c r="AI1229" s="1837"/>
      <c r="AJ1229" s="1960"/>
    </row>
    <row r="1230" spans="1:36" ht="21.95" customHeight="1" x14ac:dyDescent="0.2">
      <c r="B1230" s="2045"/>
      <c r="C1230" s="2046"/>
      <c r="D1230" s="2047" t="str">
        <f>SNI!E658</f>
        <v>Paku skrup</v>
      </c>
      <c r="E1230" s="2047"/>
      <c r="F1230" s="2048"/>
      <c r="G1230" s="2049">
        <f>SNI!$H$658</f>
        <v>1.4999999999999999E-2</v>
      </c>
      <c r="H1230" s="2050" t="str">
        <f>SNI!$G$658</f>
        <v>kg</v>
      </c>
      <c r="I1230" s="2051"/>
      <c r="J1230" s="2051"/>
      <c r="K1230" s="2052">
        <f>SNI!$L$658</f>
        <v>0</v>
      </c>
      <c r="L1230" s="2053"/>
      <c r="M1230" s="2054"/>
      <c r="N1230" s="2055">
        <f>SNI!$I$658</f>
        <v>24000</v>
      </c>
      <c r="O1230" s="2056"/>
      <c r="P1230" s="1969">
        <f t="shared" ref="P1230:P1235" si="789">N1230*G1230</f>
        <v>360</v>
      </c>
      <c r="Q1230" s="1953"/>
      <c r="R1230" s="1954"/>
      <c r="S1230" s="1954">
        <f t="shared" ref="S1230:S1235" si="790">P1230*K1230</f>
        <v>0</v>
      </c>
      <c r="T1230" s="1969">
        <f t="shared" ref="T1230:T1235" si="791">P1230-S1230</f>
        <v>360</v>
      </c>
      <c r="U1230" s="2060"/>
      <c r="Z1230" s="1956"/>
      <c r="AA1230" s="1956"/>
      <c r="AF1230" s="1836"/>
      <c r="AG1230" s="1836"/>
      <c r="AH1230" s="1836"/>
      <c r="AI1230" s="1837"/>
      <c r="AJ1230" s="1960"/>
    </row>
    <row r="1231" spans="1:36" ht="21.95" customHeight="1" x14ac:dyDescent="0.2">
      <c r="B1231" s="2045"/>
      <c r="C1231" s="2046" t="str">
        <f>SNI!$D$660</f>
        <v>Tenaga Kerja</v>
      </c>
      <c r="D1231" s="2047"/>
      <c r="E1231" s="2047"/>
      <c r="F1231" s="2048"/>
      <c r="G1231" s="2049"/>
      <c r="H1231" s="2050"/>
      <c r="I1231" s="2051"/>
      <c r="J1231" s="2051"/>
      <c r="K1231" s="2052"/>
      <c r="L1231" s="2053"/>
      <c r="M1231" s="2054"/>
      <c r="N1231" s="2055"/>
      <c r="O1231" s="2056"/>
      <c r="P1231" s="1969"/>
      <c r="Q1231" s="1953"/>
      <c r="R1231" s="1954"/>
      <c r="S1231" s="1954"/>
      <c r="T1231" s="1969"/>
      <c r="U1231" s="2060"/>
      <c r="Z1231" s="1956"/>
      <c r="AA1231" s="1956"/>
      <c r="AF1231" s="1836"/>
      <c r="AG1231" s="1836"/>
      <c r="AH1231" s="1836"/>
      <c r="AI1231" s="1837"/>
      <c r="AJ1231" s="1960"/>
    </row>
    <row r="1232" spans="1:36" ht="21.95" customHeight="1" x14ac:dyDescent="0.2">
      <c r="B1232" s="2045"/>
      <c r="C1232" s="2046"/>
      <c r="D1232" s="2047" t="str">
        <f>SNI!$E$660</f>
        <v xml:space="preserve">Pekerja </v>
      </c>
      <c r="E1232" s="2047"/>
      <c r="F1232" s="2048"/>
      <c r="G1232" s="2049">
        <f>SNI!$H$660</f>
        <v>0.06</v>
      </c>
      <c r="H1232" s="2050" t="str">
        <f>SNI!$G$660</f>
        <v>OH</v>
      </c>
      <c r="I1232" s="2051" t="str">
        <f>SNI!$M$660</f>
        <v>WNI</v>
      </c>
      <c r="J1232" s="2051"/>
      <c r="K1232" s="2052">
        <f>SNI!$L$660</f>
        <v>1</v>
      </c>
      <c r="L1232" s="2053"/>
      <c r="M1232" s="2054"/>
      <c r="N1232" s="2055">
        <f>SNI!$I$660</f>
        <v>88300</v>
      </c>
      <c r="O1232" s="2056"/>
      <c r="P1232" s="1969">
        <f t="shared" si="789"/>
        <v>5298</v>
      </c>
      <c r="Q1232" s="1953"/>
      <c r="R1232" s="1954"/>
      <c r="S1232" s="1954">
        <f t="shared" si="790"/>
        <v>5298</v>
      </c>
      <c r="T1232" s="1969">
        <f t="shared" si="791"/>
        <v>0</v>
      </c>
      <c r="U1232" s="2060"/>
      <c r="Z1232" s="1956"/>
      <c r="AA1232" s="1956"/>
      <c r="AF1232" s="1836"/>
      <c r="AG1232" s="1836"/>
      <c r="AH1232" s="1836"/>
      <c r="AI1232" s="1837"/>
      <c r="AJ1232" s="1960"/>
    </row>
    <row r="1233" spans="1:36" ht="21.95" customHeight="1" x14ac:dyDescent="0.2">
      <c r="B1233" s="2045"/>
      <c r="C1233" s="2046"/>
      <c r="D1233" s="2047" t="str">
        <f>SNI!$E$661</f>
        <v>Tukang kayu</v>
      </c>
      <c r="E1233" s="2047"/>
      <c r="F1233" s="2048"/>
      <c r="G1233" s="2049">
        <f>SNI!$H$661</f>
        <v>0.06</v>
      </c>
      <c r="H1233" s="2050" t="str">
        <f>SNI!$G$661</f>
        <v>OH</v>
      </c>
      <c r="I1233" s="2051" t="str">
        <f>SNI!$M$661</f>
        <v>WNI</v>
      </c>
      <c r="J1233" s="2051"/>
      <c r="K1233" s="2052">
        <f>SNI!$L$661</f>
        <v>1</v>
      </c>
      <c r="L1233" s="2053"/>
      <c r="M1233" s="2054"/>
      <c r="N1233" s="2055">
        <f>SNI!$I$661</f>
        <v>92000</v>
      </c>
      <c r="O1233" s="2056"/>
      <c r="P1233" s="1969">
        <f t="shared" si="789"/>
        <v>5520</v>
      </c>
      <c r="Q1233" s="1953"/>
      <c r="R1233" s="1954"/>
      <c r="S1233" s="1954">
        <f t="shared" si="790"/>
        <v>5520</v>
      </c>
      <c r="T1233" s="1969">
        <f t="shared" si="791"/>
        <v>0</v>
      </c>
      <c r="U1233" s="2060"/>
      <c r="Z1233" s="1956"/>
      <c r="AA1233" s="1956"/>
      <c r="AF1233" s="1836"/>
      <c r="AG1233" s="1836"/>
      <c r="AH1233" s="1836"/>
      <c r="AI1233" s="1837"/>
      <c r="AJ1233" s="1960"/>
    </row>
    <row r="1234" spans="1:36" ht="21.95" customHeight="1" x14ac:dyDescent="0.2">
      <c r="B1234" s="2045"/>
      <c r="C1234" s="2046"/>
      <c r="D1234" s="2047" t="str">
        <f>SNI!$E$662</f>
        <v>Kepala tukang</v>
      </c>
      <c r="E1234" s="2047"/>
      <c r="F1234" s="2048"/>
      <c r="G1234" s="2049">
        <f>SNI!$H$662</f>
        <v>6.0000000000000001E-3</v>
      </c>
      <c r="H1234" s="2050" t="str">
        <f>SNI!$G$662</f>
        <v>OH</v>
      </c>
      <c r="I1234" s="2051" t="str">
        <f>SNI!$M$662</f>
        <v>WNI</v>
      </c>
      <c r="J1234" s="2051"/>
      <c r="K1234" s="2052">
        <f>SNI!$L$662</f>
        <v>1</v>
      </c>
      <c r="L1234" s="2053"/>
      <c r="M1234" s="2054"/>
      <c r="N1234" s="2055">
        <f>SNI!$I$662</f>
        <v>96000</v>
      </c>
      <c r="O1234" s="2056"/>
      <c r="P1234" s="1969">
        <f t="shared" si="789"/>
        <v>576</v>
      </c>
      <c r="Q1234" s="1953"/>
      <c r="R1234" s="1954"/>
      <c r="S1234" s="1954">
        <f t="shared" si="790"/>
        <v>576</v>
      </c>
      <c r="T1234" s="1969">
        <f t="shared" si="791"/>
        <v>0</v>
      </c>
      <c r="U1234" s="2060"/>
      <c r="Z1234" s="1956"/>
      <c r="AA1234" s="1956"/>
      <c r="AF1234" s="1836"/>
      <c r="AG1234" s="1836"/>
      <c r="AH1234" s="1836"/>
      <c r="AI1234" s="1837"/>
      <c r="AJ1234" s="1960"/>
    </row>
    <row r="1235" spans="1:36" ht="21.95" customHeight="1" x14ac:dyDescent="0.2">
      <c r="B1235" s="2045"/>
      <c r="C1235" s="2046"/>
      <c r="D1235" s="2047" t="str">
        <f>SNI!$E$663</f>
        <v>Mandor</v>
      </c>
      <c r="E1235" s="2047"/>
      <c r="F1235" s="2048"/>
      <c r="G1235" s="2049">
        <f>SNI!H663</f>
        <v>3.0000000000000001E-3</v>
      </c>
      <c r="H1235" s="2050" t="str">
        <f>SNI!$G$663</f>
        <v>OH</v>
      </c>
      <c r="I1235" s="2051" t="str">
        <f>SNI!$M$663</f>
        <v>WNI</v>
      </c>
      <c r="J1235" s="2051"/>
      <c r="K1235" s="2052">
        <f>SNI!$L$663</f>
        <v>1</v>
      </c>
      <c r="L1235" s="2053"/>
      <c r="M1235" s="2054"/>
      <c r="N1235" s="2055">
        <f>SNI!I663</f>
        <v>90000</v>
      </c>
      <c r="O1235" s="2056"/>
      <c r="P1235" s="1969">
        <f t="shared" si="789"/>
        <v>270</v>
      </c>
      <c r="Q1235" s="1953"/>
      <c r="R1235" s="1954"/>
      <c r="S1235" s="1954">
        <f t="shared" si="790"/>
        <v>270</v>
      </c>
      <c r="T1235" s="1969">
        <f t="shared" si="791"/>
        <v>0</v>
      </c>
      <c r="U1235" s="2060"/>
      <c r="Z1235" s="1956"/>
      <c r="AA1235" s="1956"/>
      <c r="AF1235" s="1836"/>
      <c r="AG1235" s="1836"/>
      <c r="AH1235" s="1836"/>
      <c r="AI1235" s="1837"/>
      <c r="AJ1235" s="1960"/>
    </row>
    <row r="1236" spans="1:36" s="1957" customFormat="1" ht="21.95" customHeight="1" x14ac:dyDescent="0.2">
      <c r="A1236" s="1942"/>
      <c r="B1236" s="1970"/>
      <c r="C1236" s="1971"/>
      <c r="D1236" s="1972"/>
      <c r="E1236" s="1973"/>
      <c r="F1236" s="1974" t="s">
        <v>556</v>
      </c>
      <c r="G1236" s="1975">
        <f>B1227</f>
        <v>5</v>
      </c>
      <c r="H1236" s="1976"/>
      <c r="I1236" s="1977"/>
      <c r="J1236" s="1977"/>
      <c r="K1236" s="1978"/>
      <c r="L1236" s="1979"/>
      <c r="M1236" s="1980"/>
      <c r="N1236" s="1981"/>
      <c r="O1236" s="1982"/>
      <c r="P1236" s="1983">
        <f>SUM(P1229:P1235)</f>
        <v>35124</v>
      </c>
      <c r="Q1236" s="1984"/>
      <c r="R1236" s="1985"/>
      <c r="S1236" s="1983">
        <f t="shared" ref="S1236" si="792">SUM(S1229:S1235)</f>
        <v>26251.65</v>
      </c>
      <c r="T1236" s="1983">
        <f t="shared" ref="T1236" si="793">SUM(T1229:T1235)</f>
        <v>8872.35</v>
      </c>
      <c r="U1236" s="1986"/>
      <c r="V1236" s="1848"/>
      <c r="W1236" s="1848"/>
      <c r="X1236" s="1848"/>
      <c r="Y1236" s="1848"/>
      <c r="Z1236" s="1956"/>
      <c r="AA1236" s="1956"/>
      <c r="AF1236" s="1958"/>
      <c r="AG1236" s="1958"/>
      <c r="AH1236" s="1958"/>
      <c r="AI1236" s="1959"/>
      <c r="AJ1236" s="1960"/>
    </row>
    <row r="1237" spans="1:36" ht="21.95" customHeight="1" x14ac:dyDescent="0.2">
      <c r="B1237" s="1927"/>
      <c r="C1237" s="1928"/>
      <c r="D1237" s="1929" t="s">
        <v>1786</v>
      </c>
      <c r="E1237" s="1930"/>
      <c r="F1237" s="1931"/>
      <c r="G1237" s="1945"/>
      <c r="H1237" s="1933"/>
      <c r="I1237" s="1934"/>
      <c r="J1237" s="1934"/>
      <c r="K1237" s="1935"/>
      <c r="L1237" s="1936"/>
      <c r="M1237" s="1936"/>
      <c r="N1237" s="1951"/>
      <c r="O1237" s="2066"/>
      <c r="P1237" s="2067"/>
      <c r="Q1237" s="1934"/>
      <c r="R1237" s="1934"/>
      <c r="S1237" s="1934"/>
      <c r="T1237" s="1940"/>
      <c r="U1237" s="1941"/>
      <c r="Z1237" s="1956"/>
      <c r="AA1237" s="1956">
        <f t="shared" si="641"/>
        <v>0</v>
      </c>
      <c r="AB1237" s="1836" t="s">
        <v>1786</v>
      </c>
      <c r="AJ1237" s="1960">
        <f t="shared" si="642"/>
        <v>0</v>
      </c>
    </row>
    <row r="1238" spans="1:36" ht="21.95" customHeight="1" x14ac:dyDescent="0.2">
      <c r="A1238" s="1833">
        <f>satpek!$B$53</f>
        <v>34</v>
      </c>
      <c r="B1238" s="1943">
        <v>1</v>
      </c>
      <c r="C1238" s="1937"/>
      <c r="D1238" s="1944" t="str">
        <f>VLOOKUP($A1238,satpek!$B$20:$N$144,2,0)</f>
        <v>Memasang rk. plafond besi hollow uk. (60x80) cm</v>
      </c>
      <c r="E1238" s="1944"/>
      <c r="F1238" s="2004"/>
      <c r="G1238" s="1945">
        <f>'[3]B.VOL RAB'!Q412</f>
        <v>831.65</v>
      </c>
      <c r="H1238" s="1946" t="str">
        <f>VLOOKUP($A1238,satpek!$B$20:$N$144,7,0)</f>
        <v>m2</v>
      </c>
      <c r="I1238" s="1947"/>
      <c r="J1238" s="1947"/>
      <c r="K1238" s="1948"/>
      <c r="L1238" s="1949"/>
      <c r="M1238" s="1950" t="str">
        <f>VLOOKUP($A1238,satpek!$B$20:$N$144,5,0)</f>
        <v>A.4.2.1.20.</v>
      </c>
      <c r="N1238" s="1951">
        <f>VLOOKUP($A1238,satpek!$B$20:$N$144,6,0)</f>
        <v>98134.85</v>
      </c>
      <c r="O1238" s="1938"/>
      <c r="P1238" s="1952">
        <f t="shared" ref="P1238:P1279" si="794">ROUND((G1238*N1238),2)</f>
        <v>81613848</v>
      </c>
      <c r="Q1238" s="1953">
        <f>VLOOKUP($A1238,satpek!$B$20:$L$138,8,0)</f>
        <v>0.71051931602279927</v>
      </c>
      <c r="R1238" s="1954">
        <f>VLOOKUP($A1238,satpek!$B$20:$L$138,9,0)</f>
        <v>61705.05</v>
      </c>
      <c r="S1238" s="1954">
        <f>VLOOKUP($A1238,satpek!$B$20:$L$138,10,0)</f>
        <v>69726.7065</v>
      </c>
      <c r="T1238" s="1952">
        <f>S1238*G1238</f>
        <v>57988215.460725002</v>
      </c>
      <c r="U1238" s="1955"/>
      <c r="X1238" s="1848">
        <f>P1248</f>
        <v>86845</v>
      </c>
      <c r="Y1238" s="1848">
        <f>S1248</f>
        <v>61705.05</v>
      </c>
      <c r="Z1238" s="1956">
        <v>831.65</v>
      </c>
      <c r="AA1238" s="1956">
        <f t="shared" si="641"/>
        <v>0</v>
      </c>
      <c r="AB1238" s="1836" t="s">
        <v>783</v>
      </c>
      <c r="AI1238" s="1910">
        <v>96452.28</v>
      </c>
      <c r="AJ1238" s="1960">
        <f t="shared" si="642"/>
        <v>-1682.570000000007</v>
      </c>
    </row>
    <row r="1239" spans="1:36" ht="21.95" customHeight="1" x14ac:dyDescent="0.2">
      <c r="B1239" s="2045"/>
      <c r="C1239" s="2046" t="str">
        <f>SNI!$D$676</f>
        <v>Bahan</v>
      </c>
      <c r="D1239" s="2047"/>
      <c r="E1239" s="2047"/>
      <c r="F1239" s="2048"/>
      <c r="G1239" s="2049"/>
      <c r="H1239" s="2050"/>
      <c r="I1239" s="2051"/>
      <c r="J1239" s="2051"/>
      <c r="K1239" s="2052"/>
      <c r="L1239" s="2053"/>
      <c r="M1239" s="2054"/>
      <c r="N1239" s="2055"/>
      <c r="O1239" s="2056"/>
      <c r="P1239" s="2057"/>
      <c r="Q1239" s="2058"/>
      <c r="R1239" s="2059"/>
      <c r="S1239" s="2059"/>
      <c r="T1239" s="2057"/>
      <c r="U1239" s="2060"/>
      <c r="Z1239" s="1956"/>
      <c r="AA1239" s="1956"/>
      <c r="AB1239" s="2061"/>
      <c r="AF1239" s="1836"/>
      <c r="AG1239" s="1836"/>
      <c r="AH1239" s="1836"/>
      <c r="AI1239" s="1837"/>
      <c r="AJ1239" s="1960"/>
    </row>
    <row r="1240" spans="1:36" ht="21.95" customHeight="1" x14ac:dyDescent="0.2">
      <c r="B1240" s="2045"/>
      <c r="C1240" s="2046"/>
      <c r="D1240" s="2047" t="str">
        <f>SNI!$E$676</f>
        <v xml:space="preserve">Hollow 3,8/3,8 </v>
      </c>
      <c r="E1240" s="2047"/>
      <c r="F1240" s="2048"/>
      <c r="G1240" s="2049">
        <f>SNI!$H$676</f>
        <v>3.5</v>
      </c>
      <c r="H1240" s="2050" t="str">
        <f>SNI!$G$676</f>
        <v>m'</v>
      </c>
      <c r="I1240" s="2051"/>
      <c r="J1240" s="2051"/>
      <c r="K1240" s="2052">
        <f>SNI!$L$676</f>
        <v>0.45050000000000001</v>
      </c>
      <c r="L1240" s="2053"/>
      <c r="M1240" s="2054"/>
      <c r="N1240" s="2055">
        <f>SNI!$I$676</f>
        <v>8600</v>
      </c>
      <c r="O1240" s="2056"/>
      <c r="P1240" s="1969">
        <f t="shared" ref="P1240:P1241" si="795">N1240*G1240</f>
        <v>30100</v>
      </c>
      <c r="Q1240" s="1953"/>
      <c r="R1240" s="1954"/>
      <c r="S1240" s="1954">
        <f t="shared" ref="S1240:S1241" si="796">P1240*K1240</f>
        <v>13560.050000000001</v>
      </c>
      <c r="T1240" s="1969">
        <f t="shared" ref="T1240:T1241" si="797">P1240-S1240</f>
        <v>16539.949999999997</v>
      </c>
      <c r="U1240" s="2060"/>
      <c r="Z1240" s="1956"/>
      <c r="AA1240" s="1956"/>
      <c r="AB1240" s="2061"/>
      <c r="AF1240" s="1836"/>
      <c r="AG1240" s="1836"/>
      <c r="AH1240" s="1836"/>
      <c r="AI1240" s="1837"/>
      <c r="AJ1240" s="1960"/>
    </row>
    <row r="1241" spans="1:36" ht="21.95" customHeight="1" x14ac:dyDescent="0.2">
      <c r="B1241" s="2045"/>
      <c r="C1241" s="2046"/>
      <c r="D1241" s="2047" t="str">
        <f>SNI!$E$677</f>
        <v>Assesoris</v>
      </c>
      <c r="E1241" s="2047"/>
      <c r="F1241" s="2048"/>
      <c r="G1241" s="2049">
        <f>SNI!$H$677</f>
        <v>1</v>
      </c>
      <c r="H1241" s="2050" t="str">
        <f>SNI!$G$677</f>
        <v>ls</v>
      </c>
      <c r="I1241" s="2051"/>
      <c r="J1241" s="2051"/>
      <c r="K1241" s="2052">
        <f>SNI!$L$677</f>
        <v>0</v>
      </c>
      <c r="L1241" s="2053"/>
      <c r="M1241" s="2054"/>
      <c r="N1241" s="2055">
        <f>SNI!$I$677</f>
        <v>8600</v>
      </c>
      <c r="O1241" s="2056"/>
      <c r="P1241" s="1969">
        <f t="shared" si="795"/>
        <v>8600</v>
      </c>
      <c r="Q1241" s="1953"/>
      <c r="R1241" s="1954"/>
      <c r="S1241" s="1954">
        <f t="shared" si="796"/>
        <v>0</v>
      </c>
      <c r="T1241" s="1969">
        <f t="shared" si="797"/>
        <v>8600</v>
      </c>
      <c r="U1241" s="2060"/>
      <c r="Z1241" s="1956"/>
      <c r="AA1241" s="1956"/>
      <c r="AB1241" s="2061"/>
      <c r="AF1241" s="1836"/>
      <c r="AG1241" s="1836"/>
      <c r="AH1241" s="1836"/>
      <c r="AI1241" s="1837"/>
      <c r="AJ1241" s="1960"/>
    </row>
    <row r="1242" spans="1:36" ht="21.95" customHeight="1" x14ac:dyDescent="0.2">
      <c r="B1242" s="2045"/>
      <c r="C1242" s="2046"/>
      <c r="D1242" s="2047" t="str">
        <f>SNI!$E$678</f>
        <v>(perkuatan, las, dll)</v>
      </c>
      <c r="E1242" s="2047"/>
      <c r="F1242" s="2048"/>
      <c r="G1242" s="2049"/>
      <c r="H1242" s="2050"/>
      <c r="I1242" s="2051"/>
      <c r="J1242" s="2051"/>
      <c r="K1242" s="2052"/>
      <c r="L1242" s="2053"/>
      <c r="M1242" s="2054"/>
      <c r="N1242" s="2055"/>
      <c r="O1242" s="2056"/>
      <c r="P1242" s="1969"/>
      <c r="Q1242" s="1953"/>
      <c r="R1242" s="1954"/>
      <c r="S1242" s="1954"/>
      <c r="T1242" s="1969"/>
      <c r="U1242" s="2060"/>
      <c r="Z1242" s="1956"/>
      <c r="AA1242" s="1956"/>
      <c r="AB1242" s="2061"/>
      <c r="AF1242" s="1836"/>
      <c r="AG1242" s="1836"/>
      <c r="AH1242" s="1836"/>
      <c r="AI1242" s="1837"/>
      <c r="AJ1242" s="1960"/>
    </row>
    <row r="1243" spans="1:36" ht="21.95" customHeight="1" x14ac:dyDescent="0.2">
      <c r="B1243" s="2045"/>
      <c r="C1243" s="2046" t="str">
        <f>SNI!$D$680</f>
        <v>Tenaga Kerja</v>
      </c>
      <c r="D1243" s="2047"/>
      <c r="E1243" s="2047"/>
      <c r="F1243" s="2048"/>
      <c r="G1243" s="2049"/>
      <c r="H1243" s="2050"/>
      <c r="I1243" s="2051"/>
      <c r="J1243" s="2051"/>
      <c r="K1243" s="2052"/>
      <c r="L1243" s="2053"/>
      <c r="M1243" s="2054"/>
      <c r="N1243" s="2055"/>
      <c r="O1243" s="2056"/>
      <c r="P1243" s="1969"/>
      <c r="Q1243" s="1953"/>
      <c r="R1243" s="1954"/>
      <c r="S1243" s="1954"/>
      <c r="T1243" s="1969"/>
      <c r="U1243" s="2060"/>
      <c r="Z1243" s="1956"/>
      <c r="AA1243" s="1956"/>
      <c r="AB1243" s="2061"/>
      <c r="AF1243" s="1836"/>
      <c r="AG1243" s="1836"/>
      <c r="AH1243" s="1836"/>
      <c r="AI1243" s="1837"/>
      <c r="AJ1243" s="1960"/>
    </row>
    <row r="1244" spans="1:36" ht="21.95" customHeight="1" x14ac:dyDescent="0.2">
      <c r="B1244" s="2045"/>
      <c r="C1244" s="2046"/>
      <c r="D1244" s="2047" t="str">
        <f>SNI!$E$680</f>
        <v xml:space="preserve">Pekerja </v>
      </c>
      <c r="E1244" s="2047"/>
      <c r="F1244" s="2048"/>
      <c r="G1244" s="2049">
        <f>SNI!$H$680</f>
        <v>0.25</v>
      </c>
      <c r="H1244" s="2050" t="str">
        <f>SNI!$G$680</f>
        <v>OH</v>
      </c>
      <c r="I1244" s="2051" t="str">
        <f>SNI!$M$680</f>
        <v>WNI</v>
      </c>
      <c r="J1244" s="2051"/>
      <c r="K1244" s="2052">
        <f>SNI!$L$680</f>
        <v>1</v>
      </c>
      <c r="L1244" s="2053"/>
      <c r="M1244" s="2054"/>
      <c r="N1244" s="2055">
        <f>SNI!$I$680</f>
        <v>88300</v>
      </c>
      <c r="O1244" s="2056"/>
      <c r="P1244" s="1969">
        <f t="shared" ref="P1244:P1247" si="798">N1244*G1244</f>
        <v>22075</v>
      </c>
      <c r="Q1244" s="1953"/>
      <c r="R1244" s="1954"/>
      <c r="S1244" s="1954">
        <f t="shared" ref="S1244:S1247" si="799">P1244*K1244</f>
        <v>22075</v>
      </c>
      <c r="T1244" s="1969">
        <f t="shared" ref="T1244:T1247" si="800">P1244-S1244</f>
        <v>0</v>
      </c>
      <c r="U1244" s="2060"/>
      <c r="Z1244" s="1956"/>
      <c r="AA1244" s="1956"/>
      <c r="AB1244" s="2061"/>
      <c r="AF1244" s="1836"/>
      <c r="AG1244" s="1836"/>
      <c r="AH1244" s="1836"/>
      <c r="AI1244" s="1837"/>
      <c r="AJ1244" s="1960"/>
    </row>
    <row r="1245" spans="1:36" ht="21.95" customHeight="1" x14ac:dyDescent="0.2">
      <c r="B1245" s="2045"/>
      <c r="C1245" s="2046"/>
      <c r="D1245" s="2047" t="str">
        <f>SNI!$E$681</f>
        <v>Tukang besi</v>
      </c>
      <c r="E1245" s="2047"/>
      <c r="F1245" s="2048"/>
      <c r="G1245" s="2049">
        <f>SNI!$H$681</f>
        <v>0.25</v>
      </c>
      <c r="H1245" s="2050" t="str">
        <f>SNI!$G$681</f>
        <v>OH</v>
      </c>
      <c r="I1245" s="2051" t="str">
        <f>SNI!$M$681</f>
        <v>WNI</v>
      </c>
      <c r="J1245" s="2051"/>
      <c r="K1245" s="2052">
        <f>SNI!$L$681</f>
        <v>1</v>
      </c>
      <c r="L1245" s="2053"/>
      <c r="M1245" s="2054"/>
      <c r="N1245" s="2055">
        <f>SNI!$I$681</f>
        <v>90000</v>
      </c>
      <c r="O1245" s="2056"/>
      <c r="P1245" s="1969">
        <f t="shared" si="798"/>
        <v>22500</v>
      </c>
      <c r="Q1245" s="1953"/>
      <c r="R1245" s="1954"/>
      <c r="S1245" s="1954">
        <f t="shared" si="799"/>
        <v>22500</v>
      </c>
      <c r="T1245" s="1969">
        <f t="shared" si="800"/>
        <v>0</v>
      </c>
      <c r="U1245" s="2060"/>
      <c r="Z1245" s="1956"/>
      <c r="AA1245" s="1956"/>
      <c r="AB1245" s="2061"/>
      <c r="AF1245" s="1836"/>
      <c r="AG1245" s="1836"/>
      <c r="AH1245" s="1836"/>
      <c r="AI1245" s="1837"/>
      <c r="AJ1245" s="1960"/>
    </row>
    <row r="1246" spans="1:36" ht="21.95" customHeight="1" x14ac:dyDescent="0.2">
      <c r="B1246" s="2045"/>
      <c r="C1246" s="2046"/>
      <c r="D1246" s="2047" t="str">
        <f>SNI!$E$682</f>
        <v>Kepala tukang</v>
      </c>
      <c r="E1246" s="2047"/>
      <c r="F1246" s="2048"/>
      <c r="G1246" s="2049">
        <f>SNI!$H$682</f>
        <v>2.5000000000000001E-2</v>
      </c>
      <c r="H1246" s="2050" t="str">
        <f>SNI!$G$682</f>
        <v>OH</v>
      </c>
      <c r="I1246" s="2051" t="str">
        <f>SNI!$M$682</f>
        <v>WNI</v>
      </c>
      <c r="J1246" s="2051"/>
      <c r="K1246" s="2052">
        <f>SNI!$L$682</f>
        <v>1</v>
      </c>
      <c r="L1246" s="2053"/>
      <c r="M1246" s="2054"/>
      <c r="N1246" s="2055">
        <f>SNI!$I$682</f>
        <v>96000</v>
      </c>
      <c r="O1246" s="2056"/>
      <c r="P1246" s="1969">
        <f t="shared" si="798"/>
        <v>2400</v>
      </c>
      <c r="Q1246" s="1953"/>
      <c r="R1246" s="1954"/>
      <c r="S1246" s="1954">
        <f t="shared" si="799"/>
        <v>2400</v>
      </c>
      <c r="T1246" s="1969">
        <f t="shared" si="800"/>
        <v>0</v>
      </c>
      <c r="U1246" s="2060"/>
      <c r="Z1246" s="1956"/>
      <c r="AA1246" s="1956"/>
      <c r="AB1246" s="2061"/>
      <c r="AF1246" s="1836"/>
      <c r="AG1246" s="1836"/>
      <c r="AH1246" s="1836"/>
      <c r="AI1246" s="1837"/>
      <c r="AJ1246" s="1960"/>
    </row>
    <row r="1247" spans="1:36" ht="21.95" customHeight="1" x14ac:dyDescent="0.2">
      <c r="B1247" s="2045"/>
      <c r="C1247" s="2046"/>
      <c r="D1247" s="2047" t="str">
        <f>SNI!$E$683</f>
        <v>Mandor</v>
      </c>
      <c r="E1247" s="2047"/>
      <c r="F1247" s="2048"/>
      <c r="G1247" s="2049">
        <f>SNI!$H$683</f>
        <v>1.2999999999999999E-2</v>
      </c>
      <c r="H1247" s="2050" t="str">
        <f>SNI!$G$683</f>
        <v>OH</v>
      </c>
      <c r="I1247" s="2051" t="str">
        <f>SNI!$M$683</f>
        <v>WNI</v>
      </c>
      <c r="J1247" s="2051"/>
      <c r="K1247" s="2052">
        <f>SNI!$L$683</f>
        <v>1</v>
      </c>
      <c r="L1247" s="2053"/>
      <c r="M1247" s="2054"/>
      <c r="N1247" s="2055">
        <f>SNI!$I$683</f>
        <v>90000</v>
      </c>
      <c r="O1247" s="2056"/>
      <c r="P1247" s="1969">
        <f t="shared" si="798"/>
        <v>1170</v>
      </c>
      <c r="Q1247" s="1953"/>
      <c r="R1247" s="1954"/>
      <c r="S1247" s="1954">
        <f t="shared" si="799"/>
        <v>1170</v>
      </c>
      <c r="T1247" s="1969">
        <f t="shared" si="800"/>
        <v>0</v>
      </c>
      <c r="U1247" s="2060"/>
      <c r="Z1247" s="1956"/>
      <c r="AA1247" s="1956"/>
      <c r="AB1247" s="2061"/>
      <c r="AF1247" s="1836"/>
      <c r="AG1247" s="1836"/>
      <c r="AH1247" s="1836"/>
      <c r="AI1247" s="1837"/>
      <c r="AJ1247" s="1960"/>
    </row>
    <row r="1248" spans="1:36" s="1957" customFormat="1" ht="21.95" customHeight="1" x14ac:dyDescent="0.2">
      <c r="A1248" s="1942"/>
      <c r="B1248" s="1970"/>
      <c r="C1248" s="1971"/>
      <c r="D1248" s="1972"/>
      <c r="E1248" s="1973"/>
      <c r="F1248" s="1974" t="s">
        <v>556</v>
      </c>
      <c r="G1248" s="1975">
        <f>B1238</f>
        <v>1</v>
      </c>
      <c r="H1248" s="1976"/>
      <c r="I1248" s="1977"/>
      <c r="J1248" s="1977"/>
      <c r="K1248" s="1978"/>
      <c r="L1248" s="1979"/>
      <c r="M1248" s="1980"/>
      <c r="N1248" s="1981"/>
      <c r="O1248" s="1982"/>
      <c r="P1248" s="1983">
        <f>SUM(P1240:P1247)</f>
        <v>86845</v>
      </c>
      <c r="Q1248" s="1984"/>
      <c r="R1248" s="1985"/>
      <c r="S1248" s="1983">
        <f t="shared" ref="S1248" si="801">SUM(S1240:S1247)</f>
        <v>61705.05</v>
      </c>
      <c r="T1248" s="1983">
        <f t="shared" ref="T1248" si="802">SUM(T1240:T1247)</f>
        <v>25139.949999999997</v>
      </c>
      <c r="U1248" s="1986"/>
      <c r="V1248" s="1848"/>
      <c r="W1248" s="1848"/>
      <c r="X1248" s="1848"/>
      <c r="Y1248" s="1848"/>
      <c r="Z1248" s="1956"/>
      <c r="AA1248" s="1956"/>
      <c r="AF1248" s="1958"/>
      <c r="AG1248" s="1958"/>
      <c r="AH1248" s="1958"/>
      <c r="AI1248" s="1959"/>
      <c r="AJ1248" s="1960"/>
    </row>
    <row r="1249" spans="1:36" ht="21.95" customHeight="1" x14ac:dyDescent="0.2">
      <c r="A1249" s="1833">
        <f>satpek!$B$49</f>
        <v>30</v>
      </c>
      <c r="B1249" s="1943">
        <f>B1238+1</f>
        <v>2</v>
      </c>
      <c r="C1249" s="1937"/>
      <c r="D1249" s="1944" t="str">
        <f>VLOOKUP($A1249,satpek!$B$20:$N$144,2,0)</f>
        <v>Memasang langit-langit gypsum board uk. (120x240), tb. 9 mm.</v>
      </c>
      <c r="E1249" s="1944"/>
      <c r="F1249" s="2004"/>
      <c r="G1249" s="1945">
        <f>'[3]B.VOL RAB'!Q415</f>
        <v>829.65</v>
      </c>
      <c r="H1249" s="1946" t="str">
        <f>VLOOKUP($A1249,satpek!$B$20:$N$144,7,0)</f>
        <v>m2</v>
      </c>
      <c r="I1249" s="1947"/>
      <c r="J1249" s="1947"/>
      <c r="K1249" s="1948"/>
      <c r="L1249" s="1949"/>
      <c r="M1249" s="1950" t="str">
        <f>VLOOKUP($A1249,satpek!$B$20:$N$144,5,0)</f>
        <v>A.4.5.1.7.</v>
      </c>
      <c r="N1249" s="1951">
        <f>VLOOKUP($A1249,satpek!$B$20:$N$144,6,0)</f>
        <v>54047.9</v>
      </c>
      <c r="O1249" s="1938"/>
      <c r="P1249" s="1952">
        <f t="shared" si="794"/>
        <v>44840840.240000002</v>
      </c>
      <c r="Q1249" s="1953">
        <f>VLOOKUP($A1249,satpek!$B$20:$L$138,8,0)</f>
        <v>0.47799105164122929</v>
      </c>
      <c r="R1249" s="1954">
        <f>VLOOKUP($A1249,satpek!$B$20:$L$138,9,0)</f>
        <v>22862.311999999998</v>
      </c>
      <c r="S1249" s="1954">
        <f>VLOOKUP($A1249,satpek!$B$20:$L$138,10,0)</f>
        <v>25834.412559999997</v>
      </c>
      <c r="T1249" s="1952">
        <f>S1249*G1249</f>
        <v>21433520.380403996</v>
      </c>
      <c r="U1249" s="1955"/>
      <c r="X1249" s="1848">
        <f>P1258</f>
        <v>47830</v>
      </c>
      <c r="Y1249" s="1848">
        <f>S1258</f>
        <v>22862.311999999998</v>
      </c>
      <c r="Z1249" s="1956">
        <v>829.65</v>
      </c>
      <c r="AA1249" s="1956">
        <f t="shared" si="641"/>
        <v>0</v>
      </c>
      <c r="AB1249" s="1836" t="s">
        <v>786</v>
      </c>
      <c r="AI1249" s="1910">
        <v>54466.229999999996</v>
      </c>
      <c r="AJ1249" s="1960">
        <f t="shared" si="642"/>
        <v>418.32999999999447</v>
      </c>
    </row>
    <row r="1250" spans="1:36" ht="21.95" customHeight="1" x14ac:dyDescent="0.2">
      <c r="B1250" s="2045"/>
      <c r="C1250" s="2046" t="str">
        <f>SNI!$D$600</f>
        <v>Bahan</v>
      </c>
      <c r="D1250" s="2047"/>
      <c r="E1250" s="2047"/>
      <c r="F1250" s="2048"/>
      <c r="G1250" s="2049"/>
      <c r="H1250" s="2050"/>
      <c r="I1250" s="2051"/>
      <c r="J1250" s="2051"/>
      <c r="K1250" s="2052"/>
      <c r="L1250" s="2053"/>
      <c r="M1250" s="2054"/>
      <c r="N1250" s="2055"/>
      <c r="O1250" s="2056"/>
      <c r="P1250" s="2057"/>
      <c r="Q1250" s="2058"/>
      <c r="R1250" s="2059"/>
      <c r="S1250" s="2059"/>
      <c r="T1250" s="2057"/>
      <c r="U1250" s="2060"/>
      <c r="Z1250" s="1956"/>
      <c r="AA1250" s="1956"/>
      <c r="AF1250" s="1836"/>
      <c r="AG1250" s="1836"/>
      <c r="AH1250" s="1836"/>
      <c r="AI1250" s="1837"/>
      <c r="AJ1250" s="1960"/>
    </row>
    <row r="1251" spans="1:36" ht="21.95" customHeight="1" x14ac:dyDescent="0.2">
      <c r="B1251" s="2045"/>
      <c r="C1251" s="2046"/>
      <c r="D1251" s="2047" t="str">
        <f>SNI!$E$600</f>
        <v>Gypsum Board</v>
      </c>
      <c r="E1251" s="2047"/>
      <c r="F1251" s="2048"/>
      <c r="G1251" s="2049">
        <f>SNI!$H$600</f>
        <v>0.36399999999999999</v>
      </c>
      <c r="H1251" s="2050" t="str">
        <f>SNI!$G$600</f>
        <v>Lembar</v>
      </c>
      <c r="I1251" s="2051"/>
      <c r="J1251" s="2051"/>
      <c r="K1251" s="2052">
        <f>SNI!$L$600</f>
        <v>0.27479999999999999</v>
      </c>
      <c r="L1251" s="2053"/>
      <c r="M1251" s="2054"/>
      <c r="N1251" s="2055">
        <f>SNI!$I$600</f>
        <v>85000</v>
      </c>
      <c r="O1251" s="2056"/>
      <c r="P1251" s="1969">
        <f t="shared" ref="P1251:P1252" si="803">N1251*G1251</f>
        <v>30940</v>
      </c>
      <c r="Q1251" s="1953"/>
      <c r="R1251" s="1954"/>
      <c r="S1251" s="1954">
        <f t="shared" ref="S1251:S1252" si="804">P1251*K1251</f>
        <v>8502.3119999999999</v>
      </c>
      <c r="T1251" s="1969">
        <f t="shared" ref="T1251:T1252" si="805">P1251-S1251</f>
        <v>22437.688000000002</v>
      </c>
      <c r="U1251" s="2060"/>
      <c r="Z1251" s="1956"/>
      <c r="AA1251" s="1956"/>
      <c r="AF1251" s="1836"/>
      <c r="AG1251" s="1836"/>
      <c r="AH1251" s="1836"/>
      <c r="AI1251" s="1837"/>
      <c r="AJ1251" s="1960"/>
    </row>
    <row r="1252" spans="1:36" ht="21.95" customHeight="1" x14ac:dyDescent="0.2">
      <c r="B1252" s="2045"/>
      <c r="C1252" s="2046"/>
      <c r="D1252" s="2047" t="str">
        <f>SNI!$E$601</f>
        <v>Paku skrup</v>
      </c>
      <c r="E1252" s="2047"/>
      <c r="F1252" s="2048"/>
      <c r="G1252" s="2049">
        <f>SNI!$H$601</f>
        <v>0.11</v>
      </c>
      <c r="H1252" s="2050" t="str">
        <f>SNI!$G$601</f>
        <v>kg</v>
      </c>
      <c r="I1252" s="2051"/>
      <c r="J1252" s="2051"/>
      <c r="K1252" s="2052">
        <f>SNI!$L$601</f>
        <v>0</v>
      </c>
      <c r="L1252" s="2053"/>
      <c r="M1252" s="2054"/>
      <c r="N1252" s="2055">
        <f>SNI!$I$601</f>
        <v>23000</v>
      </c>
      <c r="O1252" s="2056"/>
      <c r="P1252" s="1969">
        <f t="shared" si="803"/>
        <v>2530</v>
      </c>
      <c r="Q1252" s="1953"/>
      <c r="R1252" s="1954"/>
      <c r="S1252" s="1954">
        <f t="shared" si="804"/>
        <v>0</v>
      </c>
      <c r="T1252" s="1969">
        <f t="shared" si="805"/>
        <v>2530</v>
      </c>
      <c r="U1252" s="2060"/>
      <c r="Z1252" s="1956"/>
      <c r="AA1252" s="1956"/>
      <c r="AF1252" s="1836"/>
      <c r="AG1252" s="1836"/>
      <c r="AH1252" s="1836"/>
      <c r="AI1252" s="1837"/>
      <c r="AJ1252" s="1960"/>
    </row>
    <row r="1253" spans="1:36" ht="21.95" customHeight="1" x14ac:dyDescent="0.2">
      <c r="B1253" s="2045"/>
      <c r="C1253" s="2046" t="str">
        <f>SNI!$D$603</f>
        <v>Tenaga Kerja</v>
      </c>
      <c r="D1253" s="2047"/>
      <c r="E1253" s="2047"/>
      <c r="F1253" s="2048"/>
      <c r="G1253" s="2049"/>
      <c r="H1253" s="2050"/>
      <c r="I1253" s="2051"/>
      <c r="J1253" s="2051"/>
      <c r="K1253" s="2052"/>
      <c r="L1253" s="2053"/>
      <c r="M1253" s="2054"/>
      <c r="N1253" s="2055"/>
      <c r="O1253" s="2056"/>
      <c r="P1253" s="1969"/>
      <c r="Q1253" s="1953"/>
      <c r="R1253" s="1954"/>
      <c r="S1253" s="1954"/>
      <c r="T1253" s="1969"/>
      <c r="U1253" s="2060"/>
      <c r="Z1253" s="1956"/>
      <c r="AA1253" s="1956"/>
      <c r="AF1253" s="1836"/>
      <c r="AG1253" s="1836"/>
      <c r="AH1253" s="1836"/>
      <c r="AI1253" s="1837"/>
      <c r="AJ1253" s="1960"/>
    </row>
    <row r="1254" spans="1:36" ht="21.95" customHeight="1" x14ac:dyDescent="0.2">
      <c r="B1254" s="2045"/>
      <c r="C1254" s="2046"/>
      <c r="D1254" s="2047" t="str">
        <f>SNI!$E$603</f>
        <v xml:space="preserve">Pekerja </v>
      </c>
      <c r="E1254" s="2047"/>
      <c r="F1254" s="2048"/>
      <c r="G1254" s="2049">
        <f>SNI!$H$603</f>
        <v>0.1</v>
      </c>
      <c r="H1254" s="2050" t="str">
        <f>SNI!$G$603</f>
        <v>OH</v>
      </c>
      <c r="I1254" s="2051" t="str">
        <f>SNI!$M$603</f>
        <v>WNI</v>
      </c>
      <c r="J1254" s="2051"/>
      <c r="K1254" s="2052">
        <f>SNI!$L$603</f>
        <v>1</v>
      </c>
      <c r="L1254" s="2053"/>
      <c r="M1254" s="2054"/>
      <c r="N1254" s="2055">
        <f>SNI!$I$603</f>
        <v>88300</v>
      </c>
      <c r="O1254" s="2056"/>
      <c r="P1254" s="1969">
        <f t="shared" ref="P1254:P1257" si="806">N1254*G1254</f>
        <v>8830</v>
      </c>
      <c r="Q1254" s="1953"/>
      <c r="R1254" s="1954"/>
      <c r="S1254" s="1954">
        <f t="shared" ref="S1254:S1257" si="807">P1254*K1254</f>
        <v>8830</v>
      </c>
      <c r="T1254" s="1969">
        <f t="shared" ref="T1254:T1257" si="808">P1254-S1254</f>
        <v>0</v>
      </c>
      <c r="U1254" s="2060"/>
      <c r="Z1254" s="1956"/>
      <c r="AA1254" s="1956"/>
      <c r="AF1254" s="1836"/>
      <c r="AG1254" s="1836"/>
      <c r="AH1254" s="1836"/>
      <c r="AI1254" s="1837"/>
      <c r="AJ1254" s="1960"/>
    </row>
    <row r="1255" spans="1:36" ht="21.95" customHeight="1" x14ac:dyDescent="0.2">
      <c r="B1255" s="2045"/>
      <c r="C1255" s="2046"/>
      <c r="D1255" s="2047" t="str">
        <f>SNI!$E$604</f>
        <v>Tukang kayu</v>
      </c>
      <c r="E1255" s="2047"/>
      <c r="F1255" s="2048"/>
      <c r="G1255" s="2049">
        <f>SNI!$H$604</f>
        <v>0.05</v>
      </c>
      <c r="H1255" s="2050" t="str">
        <f>SNI!$G$604</f>
        <v>OH</v>
      </c>
      <c r="I1255" s="2051" t="str">
        <f>SNI!$M$604</f>
        <v>WNI</v>
      </c>
      <c r="J1255" s="2051"/>
      <c r="K1255" s="2052">
        <f>SNI!$L$604</f>
        <v>1</v>
      </c>
      <c r="L1255" s="2053"/>
      <c r="M1255" s="2054"/>
      <c r="N1255" s="2055">
        <f>SNI!$I$604</f>
        <v>92000</v>
      </c>
      <c r="O1255" s="2056"/>
      <c r="P1255" s="1969">
        <f t="shared" si="806"/>
        <v>4600</v>
      </c>
      <c r="Q1255" s="1953"/>
      <c r="R1255" s="1954"/>
      <c r="S1255" s="1954">
        <f t="shared" si="807"/>
        <v>4600</v>
      </c>
      <c r="T1255" s="1969">
        <f t="shared" si="808"/>
        <v>0</v>
      </c>
      <c r="U1255" s="2060"/>
      <c r="Z1255" s="1956"/>
      <c r="AA1255" s="1956"/>
      <c r="AF1255" s="1836"/>
      <c r="AG1255" s="1836"/>
      <c r="AH1255" s="1836"/>
      <c r="AI1255" s="1837"/>
      <c r="AJ1255" s="1960"/>
    </row>
    <row r="1256" spans="1:36" ht="21.95" customHeight="1" x14ac:dyDescent="0.2">
      <c r="B1256" s="2045"/>
      <c r="C1256" s="2046"/>
      <c r="D1256" s="2047" t="str">
        <f>SNI!$E$605</f>
        <v>Kepala tukang</v>
      </c>
      <c r="E1256" s="2047"/>
      <c r="F1256" s="2048"/>
      <c r="G1256" s="2049">
        <f>SNI!$H$605</f>
        <v>5.0000000000000001E-3</v>
      </c>
      <c r="H1256" s="2050" t="str">
        <f>SNI!$G$605</f>
        <v>OH</v>
      </c>
      <c r="I1256" s="2051" t="str">
        <f>SNI!$M$605</f>
        <v>WNI</v>
      </c>
      <c r="J1256" s="2051"/>
      <c r="K1256" s="2052">
        <f>SNI!$L$605</f>
        <v>1</v>
      </c>
      <c r="L1256" s="2053"/>
      <c r="M1256" s="2054"/>
      <c r="N1256" s="2055">
        <f>SNI!$I$605</f>
        <v>96000</v>
      </c>
      <c r="O1256" s="2056"/>
      <c r="P1256" s="1969">
        <f t="shared" si="806"/>
        <v>480</v>
      </c>
      <c r="Q1256" s="1953"/>
      <c r="R1256" s="1954"/>
      <c r="S1256" s="1954">
        <f t="shared" si="807"/>
        <v>480</v>
      </c>
      <c r="T1256" s="1969">
        <f t="shared" si="808"/>
        <v>0</v>
      </c>
      <c r="U1256" s="2060"/>
      <c r="Z1256" s="1956"/>
      <c r="AA1256" s="1956"/>
      <c r="AF1256" s="1836"/>
      <c r="AG1256" s="1836"/>
      <c r="AH1256" s="1836"/>
      <c r="AI1256" s="1837"/>
      <c r="AJ1256" s="1960"/>
    </row>
    <row r="1257" spans="1:36" ht="21.95" customHeight="1" x14ac:dyDescent="0.2">
      <c r="B1257" s="2045"/>
      <c r="C1257" s="2046"/>
      <c r="D1257" s="2047" t="str">
        <f>SNI!E639</f>
        <v>Tepung gypsum</v>
      </c>
      <c r="E1257" s="2047"/>
      <c r="F1257" s="2048"/>
      <c r="G1257" s="2049">
        <f>SNI!$H$606</f>
        <v>5.0000000000000001E-3</v>
      </c>
      <c r="H1257" s="2050" t="str">
        <f>SNI!$G$606</f>
        <v>OH</v>
      </c>
      <c r="I1257" s="2051" t="str">
        <f>SNI!$M$606</f>
        <v>WNI</v>
      </c>
      <c r="J1257" s="2051"/>
      <c r="K1257" s="2052">
        <f>SNI!$L$606</f>
        <v>1</v>
      </c>
      <c r="L1257" s="2053"/>
      <c r="M1257" s="2054"/>
      <c r="N1257" s="2055">
        <f>SNI!$I$606</f>
        <v>90000</v>
      </c>
      <c r="O1257" s="2056"/>
      <c r="P1257" s="1969">
        <f t="shared" si="806"/>
        <v>450</v>
      </c>
      <c r="Q1257" s="1953"/>
      <c r="R1257" s="1954"/>
      <c r="S1257" s="1954">
        <f t="shared" si="807"/>
        <v>450</v>
      </c>
      <c r="T1257" s="1969">
        <f t="shared" si="808"/>
        <v>0</v>
      </c>
      <c r="U1257" s="2060"/>
      <c r="Z1257" s="1956"/>
      <c r="AA1257" s="1956"/>
      <c r="AF1257" s="1836"/>
      <c r="AG1257" s="1836"/>
      <c r="AH1257" s="1836"/>
      <c r="AI1257" s="1837"/>
      <c r="AJ1257" s="1960"/>
    </row>
    <row r="1258" spans="1:36" s="1957" customFormat="1" ht="21.95" customHeight="1" x14ac:dyDescent="0.2">
      <c r="A1258" s="1942"/>
      <c r="B1258" s="1970"/>
      <c r="C1258" s="1971"/>
      <c r="D1258" s="1972"/>
      <c r="E1258" s="1973"/>
      <c r="F1258" s="1974" t="s">
        <v>556</v>
      </c>
      <c r="G1258" s="1975">
        <f>B1249</f>
        <v>2</v>
      </c>
      <c r="H1258" s="1976"/>
      <c r="I1258" s="1977"/>
      <c r="J1258" s="1977"/>
      <c r="K1258" s="1978"/>
      <c r="L1258" s="1979"/>
      <c r="M1258" s="1980"/>
      <c r="N1258" s="1981"/>
      <c r="O1258" s="1982"/>
      <c r="P1258" s="1983">
        <f>SUM(P1251:P1257)</f>
        <v>47830</v>
      </c>
      <c r="Q1258" s="1984"/>
      <c r="R1258" s="1985"/>
      <c r="S1258" s="1983">
        <f t="shared" ref="S1258" si="809">SUM(S1251:S1257)</f>
        <v>22862.311999999998</v>
      </c>
      <c r="T1258" s="1983">
        <f t="shared" ref="T1258" si="810">SUM(T1251:T1257)</f>
        <v>24967.688000000002</v>
      </c>
      <c r="U1258" s="1986"/>
      <c r="V1258" s="1848"/>
      <c r="W1258" s="1848"/>
      <c r="X1258" s="1848"/>
      <c r="Y1258" s="1848"/>
      <c r="Z1258" s="1956"/>
      <c r="AA1258" s="1956"/>
      <c r="AF1258" s="1958"/>
      <c r="AG1258" s="1958"/>
      <c r="AH1258" s="1958"/>
      <c r="AI1258" s="1959"/>
      <c r="AJ1258" s="1960"/>
    </row>
    <row r="1259" spans="1:36" ht="21.95" customHeight="1" x14ac:dyDescent="0.2">
      <c r="A1259" s="1833">
        <f>satpek!$B$51</f>
        <v>32</v>
      </c>
      <c r="B1259" s="1943">
        <f>B1249+1</f>
        <v>3</v>
      </c>
      <c r="C1259" s="1937"/>
      <c r="D1259" s="1944" t="str">
        <f>VLOOKUP($A1259,satpek!$B$20:$N$144,2,0)</f>
        <v>Memasang list plafond gypsum profil</v>
      </c>
      <c r="E1259" s="1944"/>
      <c r="F1259" s="2004"/>
      <c r="G1259" s="1945">
        <f>'[3]B.VOL RAB'!Q419</f>
        <v>427.89999999999981</v>
      </c>
      <c r="H1259" s="1946" t="str">
        <f>VLOOKUP($A1259,satpek!$B$20:$N$144,7,0)</f>
        <v>m'</v>
      </c>
      <c r="I1259" s="1947"/>
      <c r="J1259" s="1947"/>
      <c r="K1259" s="1948"/>
      <c r="L1259" s="1949"/>
      <c r="M1259" s="1950" t="str">
        <f>VLOOKUP($A1259,satpek!$B$20:$N$144,5,0)</f>
        <v>An.Dihitung</v>
      </c>
      <c r="N1259" s="1951">
        <f>VLOOKUP($A1259,satpek!$B$20:$N$144,6,0)</f>
        <v>30469.32</v>
      </c>
      <c r="O1259" s="1938"/>
      <c r="P1259" s="1952">
        <f t="shared" si="794"/>
        <v>13037822.029999999</v>
      </c>
      <c r="Q1259" s="1953">
        <f>VLOOKUP($A1259,satpek!$B$20:$L$138,8,0)</f>
        <v>0.58238985313751668</v>
      </c>
      <c r="R1259" s="1954">
        <f>VLOOKUP($A1259,satpek!$B$20:$L$138,9,0)</f>
        <v>15703.56</v>
      </c>
      <c r="S1259" s="1954">
        <f>VLOOKUP($A1259,satpek!$B$20:$L$138,10,0)</f>
        <v>17745.022799999999</v>
      </c>
      <c r="T1259" s="1952">
        <f>S1259*G1259</f>
        <v>7593095.2561199963</v>
      </c>
      <c r="U1259" s="1955"/>
      <c r="X1259" s="1848">
        <f>P1268</f>
        <v>27364</v>
      </c>
      <c r="Y1259" s="1848">
        <f>S1268</f>
        <v>15703.56</v>
      </c>
      <c r="Z1259" s="1956">
        <v>427.89999999999981</v>
      </c>
      <c r="AA1259" s="1956">
        <f t="shared" si="641"/>
        <v>0</v>
      </c>
      <c r="AB1259" s="1836" t="s">
        <v>667</v>
      </c>
      <c r="AI1259" s="1910">
        <v>30387.96</v>
      </c>
      <c r="AJ1259" s="1960">
        <f t="shared" si="642"/>
        <v>-81.360000000000582</v>
      </c>
    </row>
    <row r="1260" spans="1:36" ht="21.95" customHeight="1" x14ac:dyDescent="0.2">
      <c r="B1260" s="2045"/>
      <c r="C1260" s="2046" t="str">
        <f>SNI!$D$638</f>
        <v>Bahan</v>
      </c>
      <c r="D1260" s="2047"/>
      <c r="E1260" s="2047"/>
      <c r="F1260" s="2048"/>
      <c r="G1260" s="2049"/>
      <c r="H1260" s="2050"/>
      <c r="I1260" s="2051"/>
      <c r="J1260" s="2051"/>
      <c r="K1260" s="2052"/>
      <c r="L1260" s="2053"/>
      <c r="M1260" s="2054"/>
      <c r="N1260" s="2055"/>
      <c r="O1260" s="2056"/>
      <c r="P1260" s="2057"/>
      <c r="Q1260" s="2058"/>
      <c r="R1260" s="2059"/>
      <c r="S1260" s="2059"/>
      <c r="T1260" s="2057"/>
      <c r="U1260" s="2060"/>
      <c r="Z1260" s="1956"/>
      <c r="AA1260" s="1956"/>
      <c r="AF1260" s="1836"/>
      <c r="AG1260" s="1836"/>
      <c r="AH1260" s="1836"/>
      <c r="AI1260" s="1837"/>
      <c r="AJ1260" s="1960"/>
    </row>
    <row r="1261" spans="1:36" ht="21.95" customHeight="1" x14ac:dyDescent="0.2">
      <c r="B1261" s="2045"/>
      <c r="C1261" s="2046"/>
      <c r="D1261" s="2047" t="str">
        <f>SNI!$E$638</f>
        <v>List gypsum profil</v>
      </c>
      <c r="E1261" s="2047"/>
      <c r="F1261" s="2048"/>
      <c r="G1261" s="2049">
        <f>SNI!$H$638</f>
        <v>1.05</v>
      </c>
      <c r="H1261" s="2050" t="str">
        <f>SNI!$G$638</f>
        <v>m'</v>
      </c>
      <c r="I1261" s="2051"/>
      <c r="J1261" s="2051"/>
      <c r="K1261" s="2052">
        <f>SNI!$L$638</f>
        <v>0.27479999999999999</v>
      </c>
      <c r="L1261" s="2053"/>
      <c r="M1261" s="2054"/>
      <c r="N1261" s="2055">
        <f>SNI!$I$638</f>
        <v>14000</v>
      </c>
      <c r="O1261" s="2056"/>
      <c r="P1261" s="1969">
        <f t="shared" ref="P1261:P1262" si="811">N1261*G1261</f>
        <v>14700</v>
      </c>
      <c r="Q1261" s="1953"/>
      <c r="R1261" s="1954"/>
      <c r="S1261" s="1954">
        <f t="shared" ref="S1261:S1262" si="812">P1261*K1261</f>
        <v>4039.56</v>
      </c>
      <c r="T1261" s="1969">
        <f t="shared" ref="T1261:T1262" si="813">P1261-S1261</f>
        <v>10660.44</v>
      </c>
      <c r="U1261" s="2060"/>
      <c r="Z1261" s="1956"/>
      <c r="AA1261" s="1956"/>
      <c r="AF1261" s="1836"/>
      <c r="AG1261" s="1836"/>
      <c r="AH1261" s="1836"/>
      <c r="AI1261" s="1837"/>
      <c r="AJ1261" s="1960"/>
    </row>
    <row r="1262" spans="1:36" ht="21.95" customHeight="1" x14ac:dyDescent="0.2">
      <c r="B1262" s="2045"/>
      <c r="C1262" s="2046"/>
      <c r="D1262" s="2047" t="str">
        <f>SNI!$E$639</f>
        <v>Tepung gypsum</v>
      </c>
      <c r="E1262" s="2047"/>
      <c r="F1262" s="2048"/>
      <c r="G1262" s="2049">
        <f>SNI!H681</f>
        <v>0.25</v>
      </c>
      <c r="H1262" s="2050" t="str">
        <f>SNI!$G$639</f>
        <v>kg</v>
      </c>
      <c r="I1262" s="2051"/>
      <c r="J1262" s="2051"/>
      <c r="K1262" s="2052">
        <f>SNI!$L$639</f>
        <v>0</v>
      </c>
      <c r="L1262" s="2053"/>
      <c r="M1262" s="2054"/>
      <c r="N1262" s="2055">
        <f>SNI!$I$639</f>
        <v>4000</v>
      </c>
      <c r="O1262" s="2056"/>
      <c r="P1262" s="1969">
        <f t="shared" si="811"/>
        <v>1000</v>
      </c>
      <c r="Q1262" s="1953"/>
      <c r="R1262" s="1954"/>
      <c r="S1262" s="1954">
        <f t="shared" si="812"/>
        <v>0</v>
      </c>
      <c r="T1262" s="1969">
        <f t="shared" si="813"/>
        <v>1000</v>
      </c>
      <c r="U1262" s="2060"/>
      <c r="Z1262" s="1956"/>
      <c r="AA1262" s="1956"/>
      <c r="AF1262" s="1836"/>
      <c r="AG1262" s="1836"/>
      <c r="AH1262" s="1836"/>
      <c r="AI1262" s="1837"/>
      <c r="AJ1262" s="1960"/>
    </row>
    <row r="1263" spans="1:36" ht="21.95" customHeight="1" x14ac:dyDescent="0.2">
      <c r="B1263" s="2045"/>
      <c r="C1263" s="2046" t="str">
        <f>SNI!$D$641</f>
        <v>Tenaga Kerja</v>
      </c>
      <c r="D1263" s="2047"/>
      <c r="E1263" s="2047"/>
      <c r="F1263" s="2048"/>
      <c r="G1263" s="2049"/>
      <c r="H1263" s="2050"/>
      <c r="I1263" s="2051"/>
      <c r="J1263" s="2051"/>
      <c r="K1263" s="2052"/>
      <c r="L1263" s="2053"/>
      <c r="M1263" s="2054"/>
      <c r="N1263" s="2055"/>
      <c r="O1263" s="2056"/>
      <c r="P1263" s="1969"/>
      <c r="Q1263" s="1953"/>
      <c r="R1263" s="1954"/>
      <c r="S1263" s="1954"/>
      <c r="T1263" s="1969"/>
      <c r="U1263" s="2060"/>
      <c r="Z1263" s="1956"/>
      <c r="AA1263" s="1956"/>
      <c r="AF1263" s="1836"/>
      <c r="AG1263" s="1836"/>
      <c r="AH1263" s="1836"/>
      <c r="AI1263" s="1837"/>
      <c r="AJ1263" s="1960"/>
    </row>
    <row r="1264" spans="1:36" ht="21.95" customHeight="1" x14ac:dyDescent="0.2">
      <c r="B1264" s="2045"/>
      <c r="C1264" s="2046"/>
      <c r="D1264" s="2047" t="str">
        <f>SNI!E683</f>
        <v>Mandor</v>
      </c>
      <c r="E1264" s="2047"/>
      <c r="F1264" s="2048"/>
      <c r="G1264" s="2049">
        <f>SNI!$H$641</f>
        <v>0.06</v>
      </c>
      <c r="H1264" s="2050" t="str">
        <f>SNI!$G$641</f>
        <v>OH</v>
      </c>
      <c r="I1264" s="2051" t="str">
        <f>SNI!$M$641</f>
        <v>WNI</v>
      </c>
      <c r="J1264" s="2051"/>
      <c r="K1264" s="2052">
        <f>SNI!$L$641</f>
        <v>1</v>
      </c>
      <c r="L1264" s="2053"/>
      <c r="M1264" s="2054"/>
      <c r="N1264" s="2055">
        <f>SNI!$I$641</f>
        <v>88300</v>
      </c>
      <c r="O1264" s="2056"/>
      <c r="P1264" s="1969">
        <f t="shared" ref="P1264:P1267" si="814">N1264*G1264</f>
        <v>5298</v>
      </c>
      <c r="Q1264" s="1953"/>
      <c r="R1264" s="1954"/>
      <c r="S1264" s="1954">
        <f t="shared" ref="S1264:S1267" si="815">P1264*K1264</f>
        <v>5298</v>
      </c>
      <c r="T1264" s="1969">
        <f t="shared" ref="T1264:T1267" si="816">P1264-S1264</f>
        <v>0</v>
      </c>
      <c r="U1264" s="2060"/>
      <c r="Z1264" s="1956"/>
      <c r="AA1264" s="1956"/>
      <c r="AF1264" s="1836"/>
      <c r="AG1264" s="1836"/>
      <c r="AH1264" s="1836"/>
      <c r="AI1264" s="1837"/>
      <c r="AJ1264" s="1960"/>
    </row>
    <row r="1265" spans="1:36" ht="21.95" customHeight="1" x14ac:dyDescent="0.2">
      <c r="B1265" s="2045"/>
      <c r="C1265" s="2046"/>
      <c r="D1265" s="2047" t="str">
        <f>SNI!$E$642</f>
        <v>Tukang kayu</v>
      </c>
      <c r="E1265" s="2047"/>
      <c r="F1265" s="2048"/>
      <c r="G1265" s="2049">
        <f>SNI!$H$642</f>
        <v>0.06</v>
      </c>
      <c r="H1265" s="2050" t="str">
        <f>SNI!$G$642</f>
        <v>OH</v>
      </c>
      <c r="I1265" s="2051" t="str">
        <f>SNI!$M$642</f>
        <v>WNI</v>
      </c>
      <c r="J1265" s="2051"/>
      <c r="K1265" s="2052">
        <f>SNI!$L$642</f>
        <v>1</v>
      </c>
      <c r="L1265" s="2053"/>
      <c r="M1265" s="2054"/>
      <c r="N1265" s="2055">
        <f>SNI!$I$642</f>
        <v>92000</v>
      </c>
      <c r="O1265" s="2056"/>
      <c r="P1265" s="1969">
        <f t="shared" si="814"/>
        <v>5520</v>
      </c>
      <c r="Q1265" s="1953"/>
      <c r="R1265" s="1954"/>
      <c r="S1265" s="1954">
        <f t="shared" si="815"/>
        <v>5520</v>
      </c>
      <c r="T1265" s="1969">
        <f t="shared" si="816"/>
        <v>0</v>
      </c>
      <c r="U1265" s="2060"/>
      <c r="Z1265" s="1956"/>
      <c r="AA1265" s="1956"/>
      <c r="AF1265" s="1836"/>
      <c r="AG1265" s="1836"/>
      <c r="AH1265" s="1836"/>
      <c r="AI1265" s="1837"/>
      <c r="AJ1265" s="1960"/>
    </row>
    <row r="1266" spans="1:36" ht="21.95" customHeight="1" x14ac:dyDescent="0.2">
      <c r="B1266" s="2045"/>
      <c r="C1266" s="2046"/>
      <c r="D1266" s="2047" t="str">
        <f>SNI!$E$643</f>
        <v>Kepala tukang</v>
      </c>
      <c r="E1266" s="2047"/>
      <c r="F1266" s="2048"/>
      <c r="G1266" s="2049">
        <f>SNI!$H$643</f>
        <v>6.0000000000000001E-3</v>
      </c>
      <c r="H1266" s="2050" t="str">
        <f>SNI!$G$643</f>
        <v>OH</v>
      </c>
      <c r="I1266" s="2051" t="str">
        <f>SNI!$M$643</f>
        <v>WNI</v>
      </c>
      <c r="J1266" s="2051"/>
      <c r="K1266" s="2052">
        <f>SNI!$L$643</f>
        <v>1</v>
      </c>
      <c r="L1266" s="2053"/>
      <c r="M1266" s="2054"/>
      <c r="N1266" s="2055">
        <f>SNI!$I$643</f>
        <v>96000</v>
      </c>
      <c r="O1266" s="2056"/>
      <c r="P1266" s="1969">
        <f t="shared" si="814"/>
        <v>576</v>
      </c>
      <c r="Q1266" s="1953"/>
      <c r="R1266" s="1954"/>
      <c r="S1266" s="1954">
        <f t="shared" si="815"/>
        <v>576</v>
      </c>
      <c r="T1266" s="1969">
        <f t="shared" si="816"/>
        <v>0</v>
      </c>
      <c r="U1266" s="2060"/>
      <c r="Z1266" s="1956"/>
      <c r="AA1266" s="1956"/>
      <c r="AF1266" s="1836"/>
      <c r="AG1266" s="1836"/>
      <c r="AH1266" s="1836"/>
      <c r="AI1266" s="1837"/>
      <c r="AJ1266" s="1960"/>
    </row>
    <row r="1267" spans="1:36" ht="21.95" customHeight="1" x14ac:dyDescent="0.2">
      <c r="B1267" s="2045"/>
      <c r="C1267" s="2046"/>
      <c r="D1267" s="2047" t="str">
        <f>SNI!$E$644</f>
        <v>Mandor</v>
      </c>
      <c r="E1267" s="2047"/>
      <c r="F1267" s="2048"/>
      <c r="G1267" s="2049">
        <f>SNI!$H$644</f>
        <v>3.0000000000000001E-3</v>
      </c>
      <c r="H1267" s="2050" t="str">
        <f>SNI!$G$644</f>
        <v>OH</v>
      </c>
      <c r="I1267" s="2051" t="str">
        <f>SNI!$M$644</f>
        <v>WNI</v>
      </c>
      <c r="J1267" s="2051"/>
      <c r="K1267" s="2052">
        <f>SNI!$L$644</f>
        <v>1</v>
      </c>
      <c r="L1267" s="2053"/>
      <c r="M1267" s="2054"/>
      <c r="N1267" s="2055">
        <f>SNI!$I$644</f>
        <v>90000</v>
      </c>
      <c r="O1267" s="2056"/>
      <c r="P1267" s="1969">
        <f t="shared" si="814"/>
        <v>270</v>
      </c>
      <c r="Q1267" s="1953"/>
      <c r="R1267" s="1954"/>
      <c r="S1267" s="1954">
        <f t="shared" si="815"/>
        <v>270</v>
      </c>
      <c r="T1267" s="1969">
        <f t="shared" si="816"/>
        <v>0</v>
      </c>
      <c r="U1267" s="2060"/>
      <c r="Z1267" s="1956"/>
      <c r="AA1267" s="1956"/>
      <c r="AF1267" s="1836"/>
      <c r="AG1267" s="1836"/>
      <c r="AH1267" s="1836"/>
      <c r="AI1267" s="1837"/>
      <c r="AJ1267" s="1960"/>
    </row>
    <row r="1268" spans="1:36" s="1957" customFormat="1" ht="21.95" customHeight="1" x14ac:dyDescent="0.2">
      <c r="A1268" s="1942"/>
      <c r="B1268" s="1970"/>
      <c r="C1268" s="1971"/>
      <c r="D1268" s="1972"/>
      <c r="E1268" s="1973"/>
      <c r="F1268" s="1974" t="s">
        <v>556</v>
      </c>
      <c r="G1268" s="1975">
        <f>B1259</f>
        <v>3</v>
      </c>
      <c r="H1268" s="1976"/>
      <c r="I1268" s="1977"/>
      <c r="J1268" s="1977"/>
      <c r="K1268" s="1978"/>
      <c r="L1268" s="1979"/>
      <c r="M1268" s="1980"/>
      <c r="N1268" s="1981"/>
      <c r="O1268" s="1982"/>
      <c r="P1268" s="1983">
        <f>SUM(P1261:P1267)</f>
        <v>27364</v>
      </c>
      <c r="Q1268" s="1984"/>
      <c r="R1268" s="1985"/>
      <c r="S1268" s="1983">
        <f t="shared" ref="S1268" si="817">SUM(S1261:S1267)</f>
        <v>15703.56</v>
      </c>
      <c r="T1268" s="1983">
        <f t="shared" ref="T1268" si="818">SUM(T1261:T1267)</f>
        <v>11660.44</v>
      </c>
      <c r="U1268" s="1986"/>
      <c r="V1268" s="1848"/>
      <c r="W1268" s="1848"/>
      <c r="X1268" s="1848"/>
      <c r="Y1268" s="1848"/>
      <c r="Z1268" s="1956"/>
      <c r="AA1268" s="1956"/>
      <c r="AF1268" s="1958"/>
      <c r="AG1268" s="1958"/>
      <c r="AH1268" s="1958"/>
      <c r="AI1268" s="1959"/>
      <c r="AJ1268" s="1960"/>
    </row>
    <row r="1269" spans="1:36" ht="21.95" customHeight="1" x14ac:dyDescent="0.2">
      <c r="A1269" s="1833">
        <f>satpek!$B$50</f>
        <v>31</v>
      </c>
      <c r="B1269" s="1943">
        <f>B1259+1</f>
        <v>4</v>
      </c>
      <c r="C1269" s="1937"/>
      <c r="D1269" s="1944" t="str">
        <f>VLOOKUP($A1269,satpek!$B$20:$N$144,2,0)</f>
        <v>Memasang plafond PVC</v>
      </c>
      <c r="E1269" s="1944"/>
      <c r="F1269" s="2004"/>
      <c r="G1269" s="1945">
        <f>'[3]B.VOL RAB'!Q420</f>
        <v>68.399999999999991</v>
      </c>
      <c r="H1269" s="1946" t="str">
        <f>VLOOKUP($A1269,satpek!$B$20:$N$144,7,0)</f>
        <v>m2</v>
      </c>
      <c r="I1269" s="1947"/>
      <c r="J1269" s="1947"/>
      <c r="K1269" s="1948"/>
      <c r="L1269" s="1949"/>
      <c r="M1269" s="1950" t="str">
        <f>VLOOKUP($A1269,satpek!$B$20:$N$144,5,0)</f>
        <v>An.Dihitung</v>
      </c>
      <c r="N1269" s="1951">
        <f>VLOOKUP($A1269,satpek!$B$20:$N$144,6,0)</f>
        <v>167579</v>
      </c>
      <c r="O1269" s="1938"/>
      <c r="P1269" s="1952">
        <f t="shared" si="794"/>
        <v>11462403.6</v>
      </c>
      <c r="Q1269" s="1953">
        <f>VLOOKUP($A1269,satpek!$B$20:$L$138,8,0)</f>
        <v>0.65594032366824007</v>
      </c>
      <c r="R1269" s="1954">
        <f>VLOOKUP($A1269,satpek!$B$20:$L$138,9,0)</f>
        <v>97275.95</v>
      </c>
      <c r="S1269" s="1954">
        <f>VLOOKUP($A1269,satpek!$B$20:$L$138,10,0)</f>
        <v>109921.8235</v>
      </c>
      <c r="T1269" s="1952">
        <f>S1269*G1269</f>
        <v>7518652.7273999993</v>
      </c>
      <c r="U1269" s="1955"/>
      <c r="X1269" s="1848">
        <f>P1278</f>
        <v>148300</v>
      </c>
      <c r="Y1269" s="1848">
        <f>S1278</f>
        <v>97275.95</v>
      </c>
      <c r="Z1269" s="1956">
        <v>68.399999999999991</v>
      </c>
      <c r="AA1269" s="1956">
        <f t="shared" si="641"/>
        <v>0</v>
      </c>
      <c r="AB1269" s="1836" t="s">
        <v>1815</v>
      </c>
      <c r="AF1269" s="1836"/>
      <c r="AG1269" s="1836"/>
      <c r="AH1269" s="1836"/>
      <c r="AI1269" s="1837">
        <v>167245.65</v>
      </c>
      <c r="AJ1269" s="1960">
        <f t="shared" si="642"/>
        <v>-333.35000000000582</v>
      </c>
    </row>
    <row r="1270" spans="1:36" ht="21.95" customHeight="1" x14ac:dyDescent="0.2">
      <c r="B1270" s="2045"/>
      <c r="C1270" s="2046" t="str">
        <f>SNI!$D$619</f>
        <v>Bahan</v>
      </c>
      <c r="D1270" s="2047"/>
      <c r="E1270" s="2047"/>
      <c r="F1270" s="2048"/>
      <c r="G1270" s="2049"/>
      <c r="H1270" s="2050"/>
      <c r="I1270" s="2051"/>
      <c r="J1270" s="2051"/>
      <c r="K1270" s="2052"/>
      <c r="L1270" s="2053"/>
      <c r="M1270" s="2054"/>
      <c r="N1270" s="2055"/>
      <c r="O1270" s="2056"/>
      <c r="P1270" s="2057"/>
      <c r="Q1270" s="2058"/>
      <c r="R1270" s="2059"/>
      <c r="S1270" s="2059"/>
      <c r="T1270" s="2057"/>
      <c r="U1270" s="2060"/>
      <c r="Z1270" s="1956"/>
      <c r="AA1270" s="1956"/>
      <c r="AF1270" s="1836"/>
      <c r="AG1270" s="1836"/>
      <c r="AH1270" s="1836"/>
      <c r="AI1270" s="1837"/>
      <c r="AJ1270" s="1960"/>
    </row>
    <row r="1271" spans="1:36" ht="21.95" customHeight="1" x14ac:dyDescent="0.2">
      <c r="B1271" s="2045"/>
      <c r="C1271" s="2046"/>
      <c r="D1271" s="2047" t="str">
        <f>SNI!$E$619</f>
        <v>Plafond PVC 6mm x 20 cm</v>
      </c>
      <c r="E1271" s="2047"/>
      <c r="F1271" s="2048"/>
      <c r="G1271" s="2049">
        <f>SNI!$H$619</f>
        <v>5.05</v>
      </c>
      <c r="H1271" s="2050" t="str">
        <f>SNI!$G$619</f>
        <v>m'</v>
      </c>
      <c r="I1271" s="2051"/>
      <c r="J1271" s="2051"/>
      <c r="K1271" s="2052">
        <f>SNI!$L$619</f>
        <v>0.63149999999999995</v>
      </c>
      <c r="L1271" s="2053"/>
      <c r="M1271" s="2054"/>
      <c r="N1271" s="2055">
        <f>SNI!$I$619</f>
        <v>26000</v>
      </c>
      <c r="O1271" s="2056"/>
      <c r="P1271" s="1969">
        <f t="shared" ref="P1271:P1272" si="819">N1271*G1271</f>
        <v>131300</v>
      </c>
      <c r="Q1271" s="1953"/>
      <c r="R1271" s="1954"/>
      <c r="S1271" s="1954">
        <f t="shared" ref="S1271:S1272" si="820">P1271*K1271</f>
        <v>82915.95</v>
      </c>
      <c r="T1271" s="1969">
        <f t="shared" ref="T1271:T1272" si="821">P1271-S1271</f>
        <v>48384.05</v>
      </c>
      <c r="U1271" s="2060"/>
      <c r="Z1271" s="1956"/>
      <c r="AA1271" s="1956"/>
      <c r="AF1271" s="1836"/>
      <c r="AG1271" s="1836"/>
      <c r="AH1271" s="1836"/>
      <c r="AI1271" s="1837"/>
      <c r="AJ1271" s="1960"/>
    </row>
    <row r="1272" spans="1:36" ht="21.95" customHeight="1" x14ac:dyDescent="0.2">
      <c r="B1272" s="2045"/>
      <c r="C1272" s="2046"/>
      <c r="D1272" s="2047" t="str">
        <f>SNI!$E$620</f>
        <v>Paku skrup</v>
      </c>
      <c r="E1272" s="2047"/>
      <c r="F1272" s="2048"/>
      <c r="G1272" s="2049">
        <f>SNI!$H$620</f>
        <v>0.11</v>
      </c>
      <c r="H1272" s="2050" t="str">
        <f>SNI!$G$620</f>
        <v>kg</v>
      </c>
      <c r="I1272" s="2051"/>
      <c r="J1272" s="2051"/>
      <c r="K1272" s="2052">
        <f>SNI!$L$620</f>
        <v>0</v>
      </c>
      <c r="L1272" s="2053"/>
      <c r="M1272" s="2054"/>
      <c r="N1272" s="2055">
        <f>SNI!$I$620</f>
        <v>24000</v>
      </c>
      <c r="O1272" s="2056"/>
      <c r="P1272" s="1969">
        <f t="shared" si="819"/>
        <v>2640</v>
      </c>
      <c r="Q1272" s="1953"/>
      <c r="R1272" s="1954"/>
      <c r="S1272" s="1954">
        <f t="shared" si="820"/>
        <v>0</v>
      </c>
      <c r="T1272" s="1969">
        <f t="shared" si="821"/>
        <v>2640</v>
      </c>
      <c r="U1272" s="2060"/>
      <c r="Z1272" s="1956"/>
      <c r="AA1272" s="1956"/>
      <c r="AF1272" s="1836"/>
      <c r="AG1272" s="1836"/>
      <c r="AH1272" s="1836"/>
      <c r="AI1272" s="1837"/>
      <c r="AJ1272" s="1960"/>
    </row>
    <row r="1273" spans="1:36" ht="21.95" customHeight="1" x14ac:dyDescent="0.2">
      <c r="B1273" s="2045"/>
      <c r="C1273" s="2046" t="str">
        <f>SNI!$D$622</f>
        <v>Tenaga Kerja</v>
      </c>
      <c r="D1273" s="2047"/>
      <c r="E1273" s="2047"/>
      <c r="F1273" s="2048"/>
      <c r="G1273" s="2049"/>
      <c r="H1273" s="2050"/>
      <c r="I1273" s="2051"/>
      <c r="J1273" s="2051"/>
      <c r="K1273" s="2052"/>
      <c r="L1273" s="2053"/>
      <c r="M1273" s="2054"/>
      <c r="N1273" s="2055"/>
      <c r="O1273" s="2056"/>
      <c r="P1273" s="1969"/>
      <c r="Q1273" s="1953"/>
      <c r="R1273" s="1954"/>
      <c r="S1273" s="1954"/>
      <c r="T1273" s="1969"/>
      <c r="U1273" s="2060"/>
      <c r="Z1273" s="1956"/>
      <c r="AA1273" s="1956"/>
      <c r="AF1273" s="1836"/>
      <c r="AG1273" s="1836"/>
      <c r="AH1273" s="1836"/>
      <c r="AI1273" s="1837"/>
      <c r="AJ1273" s="1960"/>
    </row>
    <row r="1274" spans="1:36" ht="21.95" customHeight="1" x14ac:dyDescent="0.2">
      <c r="B1274" s="2045"/>
      <c r="C1274" s="2046"/>
      <c r="D1274" s="2047" t="str">
        <f>SNI!$E$622</f>
        <v xml:space="preserve">Pekerja </v>
      </c>
      <c r="E1274" s="2047"/>
      <c r="F1274" s="2048"/>
      <c r="G1274" s="2049">
        <f>SNI!$H$622</f>
        <v>0.1</v>
      </c>
      <c r="H1274" s="2050" t="str">
        <f>SNI!$G$622</f>
        <v>OH</v>
      </c>
      <c r="I1274" s="2051" t="str">
        <f>SNI!$M$622</f>
        <v>WNI</v>
      </c>
      <c r="J1274" s="2051"/>
      <c r="K1274" s="2052">
        <f>SNI!$L$622</f>
        <v>1</v>
      </c>
      <c r="L1274" s="2053"/>
      <c r="M1274" s="2054"/>
      <c r="N1274" s="2055">
        <f>SNI!$I$622</f>
        <v>88300</v>
      </c>
      <c r="O1274" s="2056"/>
      <c r="P1274" s="1969">
        <f t="shared" ref="P1274:P1277" si="822">N1274*G1274</f>
        <v>8830</v>
      </c>
      <c r="Q1274" s="1953"/>
      <c r="R1274" s="1954"/>
      <c r="S1274" s="1954">
        <f t="shared" ref="S1274:S1277" si="823">P1274*K1274</f>
        <v>8830</v>
      </c>
      <c r="T1274" s="1969">
        <f t="shared" ref="T1274:T1277" si="824">P1274-S1274</f>
        <v>0</v>
      </c>
      <c r="U1274" s="2060"/>
      <c r="Z1274" s="1956"/>
      <c r="AA1274" s="1956"/>
      <c r="AF1274" s="1836"/>
      <c r="AG1274" s="1836"/>
      <c r="AH1274" s="1836"/>
      <c r="AI1274" s="1837"/>
      <c r="AJ1274" s="1960"/>
    </row>
    <row r="1275" spans="1:36" ht="21.95" customHeight="1" x14ac:dyDescent="0.2">
      <c r="B1275" s="2045"/>
      <c r="C1275" s="2046"/>
      <c r="D1275" s="2047" t="str">
        <f>SNI!$E$623</f>
        <v>Tukang Kayu</v>
      </c>
      <c r="E1275" s="2047"/>
      <c r="F1275" s="2048"/>
      <c r="G1275" s="2049">
        <f>SNI!$H$623</f>
        <v>0.05</v>
      </c>
      <c r="H1275" s="2050" t="str">
        <f>SNI!$G$623</f>
        <v>OH</v>
      </c>
      <c r="I1275" s="2051" t="str">
        <f>SNI!$M$623</f>
        <v>WNI</v>
      </c>
      <c r="J1275" s="2051"/>
      <c r="K1275" s="2052">
        <f>SNI!$L$623</f>
        <v>1</v>
      </c>
      <c r="L1275" s="2053"/>
      <c r="M1275" s="2054"/>
      <c r="N1275" s="2055">
        <f>SNI!$I$623</f>
        <v>92000</v>
      </c>
      <c r="O1275" s="2056"/>
      <c r="P1275" s="1969">
        <f t="shared" si="822"/>
        <v>4600</v>
      </c>
      <c r="Q1275" s="1953"/>
      <c r="R1275" s="1954"/>
      <c r="S1275" s="1954">
        <f t="shared" si="823"/>
        <v>4600</v>
      </c>
      <c r="T1275" s="1969">
        <f t="shared" si="824"/>
        <v>0</v>
      </c>
      <c r="U1275" s="2060"/>
      <c r="Z1275" s="1956"/>
      <c r="AA1275" s="1956"/>
      <c r="AF1275" s="1836"/>
      <c r="AG1275" s="1836"/>
      <c r="AH1275" s="1836"/>
      <c r="AI1275" s="1837"/>
      <c r="AJ1275" s="1960"/>
    </row>
    <row r="1276" spans="1:36" ht="21.95" customHeight="1" x14ac:dyDescent="0.2">
      <c r="B1276" s="2045"/>
      <c r="C1276" s="2046"/>
      <c r="D1276" s="2047" t="str">
        <f>SNI!$E$624</f>
        <v>Kepala Tukang</v>
      </c>
      <c r="E1276" s="2047"/>
      <c r="F1276" s="2048"/>
      <c r="G1276" s="2049">
        <f>SNI!$H$624</f>
        <v>5.0000000000000001E-3</v>
      </c>
      <c r="H1276" s="2050" t="str">
        <f>SNI!$G$624</f>
        <v>OH</v>
      </c>
      <c r="I1276" s="2051" t="str">
        <f>SNI!$M$624</f>
        <v>WNI</v>
      </c>
      <c r="J1276" s="2051"/>
      <c r="K1276" s="2052">
        <f>SNI!$L$624</f>
        <v>1</v>
      </c>
      <c r="L1276" s="2053"/>
      <c r="M1276" s="2054"/>
      <c r="N1276" s="2055">
        <f>SNI!$I$624</f>
        <v>96000</v>
      </c>
      <c r="O1276" s="2056"/>
      <c r="P1276" s="1969">
        <f t="shared" si="822"/>
        <v>480</v>
      </c>
      <c r="Q1276" s="1953"/>
      <c r="R1276" s="1954"/>
      <c r="S1276" s="1954">
        <f t="shared" si="823"/>
        <v>480</v>
      </c>
      <c r="T1276" s="1969">
        <f t="shared" si="824"/>
        <v>0</v>
      </c>
      <c r="U1276" s="2060"/>
      <c r="Z1276" s="1956"/>
      <c r="AA1276" s="1956"/>
      <c r="AF1276" s="1836"/>
      <c r="AG1276" s="1836"/>
      <c r="AH1276" s="1836"/>
      <c r="AI1276" s="1837"/>
      <c r="AJ1276" s="1960"/>
    </row>
    <row r="1277" spans="1:36" ht="21.95" customHeight="1" x14ac:dyDescent="0.2">
      <c r="B1277" s="2045"/>
      <c r="C1277" s="2046"/>
      <c r="D1277" s="2047" t="str">
        <f>SNI!$E$625</f>
        <v>Mandor</v>
      </c>
      <c r="E1277" s="2047"/>
      <c r="F1277" s="2048"/>
      <c r="G1277" s="2049">
        <f>SNI!$H$625</f>
        <v>5.0000000000000001E-3</v>
      </c>
      <c r="H1277" s="2050" t="str">
        <f>SNI!$G$625</f>
        <v>OH</v>
      </c>
      <c r="I1277" s="2051" t="str">
        <f>SNI!$M$625</f>
        <v>WNI</v>
      </c>
      <c r="J1277" s="2051"/>
      <c r="K1277" s="2052">
        <f>SNI!$L$625</f>
        <v>1</v>
      </c>
      <c r="L1277" s="2053"/>
      <c r="M1277" s="2054"/>
      <c r="N1277" s="2055">
        <f>SNI!$I$625</f>
        <v>90000</v>
      </c>
      <c r="O1277" s="2056"/>
      <c r="P1277" s="1969">
        <f t="shared" si="822"/>
        <v>450</v>
      </c>
      <c r="Q1277" s="1953"/>
      <c r="R1277" s="1954"/>
      <c r="S1277" s="1954">
        <f t="shared" si="823"/>
        <v>450</v>
      </c>
      <c r="T1277" s="1969">
        <f t="shared" si="824"/>
        <v>0</v>
      </c>
      <c r="U1277" s="2060"/>
      <c r="Z1277" s="1956"/>
      <c r="AA1277" s="1956"/>
      <c r="AF1277" s="1836"/>
      <c r="AG1277" s="1836"/>
      <c r="AH1277" s="1836"/>
      <c r="AI1277" s="1837"/>
      <c r="AJ1277" s="1960"/>
    </row>
    <row r="1278" spans="1:36" s="1957" customFormat="1" ht="21.95" customHeight="1" x14ac:dyDescent="0.2">
      <c r="A1278" s="1942"/>
      <c r="B1278" s="1970"/>
      <c r="C1278" s="1971"/>
      <c r="D1278" s="1972"/>
      <c r="E1278" s="1973"/>
      <c r="F1278" s="1974" t="s">
        <v>556</v>
      </c>
      <c r="G1278" s="1975">
        <f>B1269</f>
        <v>4</v>
      </c>
      <c r="H1278" s="1976"/>
      <c r="I1278" s="1977"/>
      <c r="J1278" s="1977"/>
      <c r="K1278" s="1978"/>
      <c r="L1278" s="1979"/>
      <c r="M1278" s="1980"/>
      <c r="N1278" s="1981"/>
      <c r="O1278" s="1982"/>
      <c r="P1278" s="1983">
        <f>SUM(P1271:P1277)</f>
        <v>148300</v>
      </c>
      <c r="Q1278" s="1984"/>
      <c r="R1278" s="1985"/>
      <c r="S1278" s="1983">
        <f t="shared" ref="S1278" si="825">SUM(S1271:S1277)</f>
        <v>97275.95</v>
      </c>
      <c r="T1278" s="1983">
        <f t="shared" ref="T1278" si="826">SUM(T1271:T1277)</f>
        <v>51024.05</v>
      </c>
      <c r="U1278" s="1986"/>
      <c r="V1278" s="1848"/>
      <c r="W1278" s="1848"/>
      <c r="X1278" s="1848"/>
      <c r="Y1278" s="1848"/>
      <c r="Z1278" s="1956"/>
      <c r="AA1278" s="1956"/>
      <c r="AF1278" s="1958"/>
      <c r="AG1278" s="1958"/>
      <c r="AH1278" s="1958"/>
      <c r="AI1278" s="1959"/>
      <c r="AJ1278" s="1960"/>
    </row>
    <row r="1279" spans="1:36" ht="21.95" customHeight="1" x14ac:dyDescent="0.2">
      <c r="A1279" s="1833">
        <f>satpek!$B$52</f>
        <v>33</v>
      </c>
      <c r="B1279" s="1943">
        <f>B1269+1</f>
        <v>5</v>
      </c>
      <c r="C1279" s="1937"/>
      <c r="D1279" s="1944" t="str">
        <f>VLOOKUP($A1279,satpek!$B$20:$N$144,2,0)</f>
        <v>Memasang list plafond PVC</v>
      </c>
      <c r="E1279" s="1944"/>
      <c r="F1279" s="2004"/>
      <c r="G1279" s="1945">
        <f>'[3]B.VOL RAB'!Q432</f>
        <v>117.80000000000001</v>
      </c>
      <c r="H1279" s="1946" t="str">
        <f>VLOOKUP($A1279,satpek!$B$20:$N$144,7,0)</f>
        <v>m'</v>
      </c>
      <c r="I1279" s="1947"/>
      <c r="J1279" s="1947"/>
      <c r="K1279" s="1948"/>
      <c r="L1279" s="1949"/>
      <c r="M1279" s="1950" t="str">
        <f>VLOOKUP($A1279,satpek!$B$20:$N$144,5,0)</f>
        <v>An.Dihitung</v>
      </c>
      <c r="N1279" s="1951">
        <f>VLOOKUP($A1279,satpek!$B$20:$N$144,6,0)</f>
        <v>39690.120000000003</v>
      </c>
      <c r="O1279" s="1938"/>
      <c r="P1279" s="1952">
        <f t="shared" si="794"/>
        <v>4675496.1399999997</v>
      </c>
      <c r="Q1279" s="1953">
        <f>VLOOKUP($A1279,satpek!$B$20:$L$138,8,0)</f>
        <v>0.74739921421250433</v>
      </c>
      <c r="R1279" s="1954">
        <f>VLOOKUP($A1279,satpek!$B$20:$L$138,9,0)</f>
        <v>26251.65</v>
      </c>
      <c r="S1279" s="1954">
        <f>VLOOKUP($A1279,satpek!$B$20:$L$138,10,0)</f>
        <v>29664.364500000003</v>
      </c>
      <c r="T1279" s="1952">
        <f>S1279*G1279</f>
        <v>3494462.1381000006</v>
      </c>
      <c r="U1279" s="1955"/>
      <c r="X1279" s="1848">
        <f>P1289</f>
        <v>86845</v>
      </c>
      <c r="Y1279" s="1848">
        <f>S1289</f>
        <v>61705.05</v>
      </c>
      <c r="Z1279" s="1956">
        <v>117.80000000000001</v>
      </c>
      <c r="AA1279" s="1956">
        <f t="shared" si="641"/>
        <v>0</v>
      </c>
      <c r="AB1279" s="1836" t="s">
        <v>1816</v>
      </c>
      <c r="AF1279" s="1836"/>
      <c r="AG1279" s="1836"/>
      <c r="AH1279" s="1836"/>
      <c r="AI1279" s="1837">
        <v>39490.11</v>
      </c>
      <c r="AJ1279" s="1960">
        <f t="shared" si="642"/>
        <v>-200.01000000000204</v>
      </c>
    </row>
    <row r="1280" spans="1:36" ht="21.95" customHeight="1" x14ac:dyDescent="0.2">
      <c r="B1280" s="2045"/>
      <c r="C1280" s="2046" t="str">
        <f>SNI!$D$676</f>
        <v>Bahan</v>
      </c>
      <c r="D1280" s="2047"/>
      <c r="E1280" s="2047"/>
      <c r="F1280" s="2048"/>
      <c r="G1280" s="2049"/>
      <c r="H1280" s="2050"/>
      <c r="I1280" s="2051"/>
      <c r="J1280" s="2051"/>
      <c r="K1280" s="2052"/>
      <c r="L1280" s="2053"/>
      <c r="M1280" s="2054"/>
      <c r="N1280" s="2055"/>
      <c r="O1280" s="2056"/>
      <c r="P1280" s="2057"/>
      <c r="Q1280" s="2058"/>
      <c r="R1280" s="2059"/>
      <c r="S1280" s="2059"/>
      <c r="T1280" s="2057"/>
      <c r="U1280" s="2060"/>
      <c r="Z1280" s="1956"/>
      <c r="AA1280" s="1956"/>
      <c r="AB1280" s="2061"/>
      <c r="AF1280" s="1836"/>
      <c r="AG1280" s="1836"/>
      <c r="AH1280" s="1836"/>
      <c r="AI1280" s="1837"/>
      <c r="AJ1280" s="1960"/>
    </row>
    <row r="1281" spans="1:36" ht="21.95" customHeight="1" x14ac:dyDescent="0.2">
      <c r="B1281" s="2045"/>
      <c r="C1281" s="2046"/>
      <c r="D1281" s="2047" t="str">
        <f>SNI!$E$676</f>
        <v xml:space="preserve">Hollow 3,8/3,8 </v>
      </c>
      <c r="E1281" s="2047"/>
      <c r="F1281" s="2048"/>
      <c r="G1281" s="2049">
        <f>SNI!$H$676</f>
        <v>3.5</v>
      </c>
      <c r="H1281" s="2050" t="str">
        <f>SNI!$G$676</f>
        <v>m'</v>
      </c>
      <c r="I1281" s="2051"/>
      <c r="J1281" s="2051"/>
      <c r="K1281" s="2052">
        <f>SNI!$L$676</f>
        <v>0.45050000000000001</v>
      </c>
      <c r="L1281" s="2053"/>
      <c r="M1281" s="2054"/>
      <c r="N1281" s="2055">
        <f>SNI!$I$676</f>
        <v>8600</v>
      </c>
      <c r="O1281" s="2056"/>
      <c r="P1281" s="1969">
        <f t="shared" ref="P1281:P1282" si="827">N1281*G1281</f>
        <v>30100</v>
      </c>
      <c r="Q1281" s="1953"/>
      <c r="R1281" s="1954"/>
      <c r="S1281" s="1954">
        <f t="shared" ref="S1281:S1282" si="828">P1281*K1281</f>
        <v>13560.050000000001</v>
      </c>
      <c r="T1281" s="1969">
        <f t="shared" ref="T1281:T1282" si="829">P1281-S1281</f>
        <v>16539.949999999997</v>
      </c>
      <c r="U1281" s="2060"/>
      <c r="Z1281" s="1956"/>
      <c r="AA1281" s="1956"/>
      <c r="AB1281" s="2061"/>
      <c r="AF1281" s="1836"/>
      <c r="AG1281" s="1836"/>
      <c r="AH1281" s="1836"/>
      <c r="AI1281" s="1837"/>
      <c r="AJ1281" s="1960"/>
    </row>
    <row r="1282" spans="1:36" ht="21.95" customHeight="1" x14ac:dyDescent="0.2">
      <c r="B1282" s="2045"/>
      <c r="C1282" s="2046"/>
      <c r="D1282" s="2047" t="str">
        <f>SNI!$E$677</f>
        <v>Assesoris</v>
      </c>
      <c r="E1282" s="2047"/>
      <c r="F1282" s="2048"/>
      <c r="G1282" s="2049">
        <f>SNI!$H$677</f>
        <v>1</v>
      </c>
      <c r="H1282" s="2050" t="str">
        <f>SNI!$G$677</f>
        <v>ls</v>
      </c>
      <c r="I1282" s="2051"/>
      <c r="J1282" s="2051"/>
      <c r="K1282" s="2052">
        <f>SNI!$L$677</f>
        <v>0</v>
      </c>
      <c r="L1282" s="2053"/>
      <c r="M1282" s="2054"/>
      <c r="N1282" s="2055">
        <f>SNI!$I$677</f>
        <v>8600</v>
      </c>
      <c r="O1282" s="2056"/>
      <c r="P1282" s="1969">
        <f t="shared" si="827"/>
        <v>8600</v>
      </c>
      <c r="Q1282" s="1953"/>
      <c r="R1282" s="1954"/>
      <c r="S1282" s="1954">
        <f t="shared" si="828"/>
        <v>0</v>
      </c>
      <c r="T1282" s="1969">
        <f t="shared" si="829"/>
        <v>8600</v>
      </c>
      <c r="U1282" s="2060"/>
      <c r="Z1282" s="1956"/>
      <c r="AA1282" s="1956"/>
      <c r="AB1282" s="2061"/>
      <c r="AF1282" s="1836"/>
      <c r="AG1282" s="1836"/>
      <c r="AH1282" s="1836"/>
      <c r="AI1282" s="1837"/>
      <c r="AJ1282" s="1960"/>
    </row>
    <row r="1283" spans="1:36" ht="21.95" customHeight="1" x14ac:dyDescent="0.2">
      <c r="B1283" s="2045"/>
      <c r="C1283" s="2046"/>
      <c r="D1283" s="2047" t="str">
        <f>SNI!$E$678</f>
        <v>(perkuatan, las, dll)</v>
      </c>
      <c r="E1283" s="2047"/>
      <c r="F1283" s="2048"/>
      <c r="G1283" s="2049"/>
      <c r="H1283" s="2050"/>
      <c r="I1283" s="2051"/>
      <c r="J1283" s="2051"/>
      <c r="K1283" s="2052"/>
      <c r="L1283" s="2053"/>
      <c r="M1283" s="2054"/>
      <c r="N1283" s="2055"/>
      <c r="O1283" s="2056"/>
      <c r="P1283" s="1969"/>
      <c r="Q1283" s="1953"/>
      <c r="R1283" s="1954"/>
      <c r="S1283" s="1954"/>
      <c r="T1283" s="1969"/>
      <c r="U1283" s="2060"/>
      <c r="Z1283" s="1956"/>
      <c r="AA1283" s="1956"/>
      <c r="AB1283" s="2061"/>
      <c r="AF1283" s="1836"/>
      <c r="AG1283" s="1836"/>
      <c r="AH1283" s="1836"/>
      <c r="AI1283" s="1837"/>
      <c r="AJ1283" s="1960"/>
    </row>
    <row r="1284" spans="1:36" ht="21.95" customHeight="1" x14ac:dyDescent="0.2">
      <c r="B1284" s="2045"/>
      <c r="C1284" s="2046" t="str">
        <f>SNI!$D$680</f>
        <v>Tenaga Kerja</v>
      </c>
      <c r="D1284" s="2047"/>
      <c r="E1284" s="2047"/>
      <c r="F1284" s="2048"/>
      <c r="G1284" s="2049"/>
      <c r="H1284" s="2050"/>
      <c r="I1284" s="2051"/>
      <c r="J1284" s="2051"/>
      <c r="K1284" s="2052"/>
      <c r="L1284" s="2053"/>
      <c r="M1284" s="2054"/>
      <c r="N1284" s="2055"/>
      <c r="O1284" s="2056"/>
      <c r="P1284" s="1969"/>
      <c r="Q1284" s="1953"/>
      <c r="R1284" s="1954"/>
      <c r="S1284" s="1954"/>
      <c r="T1284" s="1969"/>
      <c r="U1284" s="2060"/>
      <c r="Z1284" s="1956"/>
      <c r="AA1284" s="1956"/>
      <c r="AB1284" s="2061"/>
      <c r="AF1284" s="1836"/>
      <c r="AG1284" s="1836"/>
      <c r="AH1284" s="1836"/>
      <c r="AI1284" s="1837"/>
      <c r="AJ1284" s="1960"/>
    </row>
    <row r="1285" spans="1:36" ht="21.95" customHeight="1" x14ac:dyDescent="0.2">
      <c r="B1285" s="2045"/>
      <c r="C1285" s="2046"/>
      <c r="D1285" s="2047" t="str">
        <f>SNI!$E$680</f>
        <v xml:space="preserve">Pekerja </v>
      </c>
      <c r="E1285" s="2047"/>
      <c r="F1285" s="2048"/>
      <c r="G1285" s="2049">
        <f>SNI!$H$680</f>
        <v>0.25</v>
      </c>
      <c r="H1285" s="2050" t="str">
        <f>SNI!$G$680</f>
        <v>OH</v>
      </c>
      <c r="I1285" s="2051" t="str">
        <f>SNI!$M$680</f>
        <v>WNI</v>
      </c>
      <c r="J1285" s="2051"/>
      <c r="K1285" s="2052">
        <f>SNI!$L$680</f>
        <v>1</v>
      </c>
      <c r="L1285" s="2053"/>
      <c r="M1285" s="2054"/>
      <c r="N1285" s="2055">
        <f>SNI!$I$680</f>
        <v>88300</v>
      </c>
      <c r="O1285" s="2056"/>
      <c r="P1285" s="1969">
        <f t="shared" ref="P1285:P1288" si="830">N1285*G1285</f>
        <v>22075</v>
      </c>
      <c r="Q1285" s="1953"/>
      <c r="R1285" s="1954"/>
      <c r="S1285" s="1954">
        <f t="shared" ref="S1285:S1288" si="831">P1285*K1285</f>
        <v>22075</v>
      </c>
      <c r="T1285" s="1969">
        <f t="shared" ref="T1285:T1288" si="832">P1285-S1285</f>
        <v>0</v>
      </c>
      <c r="U1285" s="2060"/>
      <c r="Z1285" s="1956"/>
      <c r="AA1285" s="1956"/>
      <c r="AB1285" s="2061"/>
      <c r="AF1285" s="1836"/>
      <c r="AG1285" s="1836"/>
      <c r="AH1285" s="1836"/>
      <c r="AI1285" s="1837"/>
      <c r="AJ1285" s="1960"/>
    </row>
    <row r="1286" spans="1:36" ht="21.95" customHeight="1" x14ac:dyDescent="0.2">
      <c r="B1286" s="2045"/>
      <c r="C1286" s="2046"/>
      <c r="D1286" s="2047" t="str">
        <f>SNI!$E$681</f>
        <v>Tukang besi</v>
      </c>
      <c r="E1286" s="2047"/>
      <c r="F1286" s="2048"/>
      <c r="G1286" s="2049">
        <f>SNI!$H$681</f>
        <v>0.25</v>
      </c>
      <c r="H1286" s="2050" t="str">
        <f>SNI!$G$681</f>
        <v>OH</v>
      </c>
      <c r="I1286" s="2051" t="str">
        <f>SNI!$M$681</f>
        <v>WNI</v>
      </c>
      <c r="J1286" s="2051"/>
      <c r="K1286" s="2052">
        <f>SNI!$L$681</f>
        <v>1</v>
      </c>
      <c r="L1286" s="2053"/>
      <c r="M1286" s="2054"/>
      <c r="N1286" s="2055">
        <f>SNI!$I$681</f>
        <v>90000</v>
      </c>
      <c r="O1286" s="2056"/>
      <c r="P1286" s="1969">
        <f t="shared" si="830"/>
        <v>22500</v>
      </c>
      <c r="Q1286" s="1953"/>
      <c r="R1286" s="1954"/>
      <c r="S1286" s="1954">
        <f t="shared" si="831"/>
        <v>22500</v>
      </c>
      <c r="T1286" s="1969">
        <f t="shared" si="832"/>
        <v>0</v>
      </c>
      <c r="U1286" s="2060"/>
      <c r="Z1286" s="1956"/>
      <c r="AA1286" s="1956"/>
      <c r="AB1286" s="2061"/>
      <c r="AF1286" s="1836"/>
      <c r="AG1286" s="1836"/>
      <c r="AH1286" s="1836"/>
      <c r="AI1286" s="1837"/>
      <c r="AJ1286" s="1960"/>
    </row>
    <row r="1287" spans="1:36" ht="21.95" customHeight="1" x14ac:dyDescent="0.2">
      <c r="B1287" s="2045"/>
      <c r="C1287" s="2046"/>
      <c r="D1287" s="2047" t="str">
        <f>SNI!$E$682</f>
        <v>Kepala tukang</v>
      </c>
      <c r="E1287" s="2047"/>
      <c r="F1287" s="2048"/>
      <c r="G1287" s="2049">
        <f>SNI!$H$682</f>
        <v>2.5000000000000001E-2</v>
      </c>
      <c r="H1287" s="2050" t="str">
        <f>SNI!$G$682</f>
        <v>OH</v>
      </c>
      <c r="I1287" s="2051" t="str">
        <f>SNI!$M$682</f>
        <v>WNI</v>
      </c>
      <c r="J1287" s="2051"/>
      <c r="K1287" s="2052">
        <f>SNI!$L$682</f>
        <v>1</v>
      </c>
      <c r="L1287" s="2053"/>
      <c r="M1287" s="2054"/>
      <c r="N1287" s="2055">
        <f>SNI!$I$682</f>
        <v>96000</v>
      </c>
      <c r="O1287" s="2056"/>
      <c r="P1287" s="1969">
        <f t="shared" si="830"/>
        <v>2400</v>
      </c>
      <c r="Q1287" s="1953"/>
      <c r="R1287" s="1954"/>
      <c r="S1287" s="1954">
        <f t="shared" si="831"/>
        <v>2400</v>
      </c>
      <c r="T1287" s="1969">
        <f t="shared" si="832"/>
        <v>0</v>
      </c>
      <c r="U1287" s="2060"/>
      <c r="Z1287" s="1956"/>
      <c r="AA1287" s="1956"/>
      <c r="AB1287" s="2061"/>
      <c r="AF1287" s="1836"/>
      <c r="AG1287" s="1836"/>
      <c r="AH1287" s="1836"/>
      <c r="AI1287" s="1837"/>
      <c r="AJ1287" s="1960"/>
    </row>
    <row r="1288" spans="1:36" ht="21.95" customHeight="1" x14ac:dyDescent="0.2">
      <c r="B1288" s="2045"/>
      <c r="C1288" s="2046"/>
      <c r="D1288" s="2047" t="str">
        <f>SNI!$E$683</f>
        <v>Mandor</v>
      </c>
      <c r="E1288" s="2047"/>
      <c r="F1288" s="2048"/>
      <c r="G1288" s="2049">
        <f>SNI!$H$683</f>
        <v>1.2999999999999999E-2</v>
      </c>
      <c r="H1288" s="2050" t="str">
        <f>SNI!$G$683</f>
        <v>OH</v>
      </c>
      <c r="I1288" s="2051" t="str">
        <f>SNI!$M$683</f>
        <v>WNI</v>
      </c>
      <c r="J1288" s="2051"/>
      <c r="K1288" s="2052">
        <f>SNI!$L$683</f>
        <v>1</v>
      </c>
      <c r="L1288" s="2053"/>
      <c r="M1288" s="2054"/>
      <c r="N1288" s="2055">
        <f>SNI!$I$683</f>
        <v>90000</v>
      </c>
      <c r="O1288" s="2056"/>
      <c r="P1288" s="1969">
        <f t="shared" si="830"/>
        <v>1170</v>
      </c>
      <c r="Q1288" s="1953"/>
      <c r="R1288" s="1954"/>
      <c r="S1288" s="1954">
        <f t="shared" si="831"/>
        <v>1170</v>
      </c>
      <c r="T1288" s="1969">
        <f t="shared" si="832"/>
        <v>0</v>
      </c>
      <c r="U1288" s="2060"/>
      <c r="Z1288" s="1956"/>
      <c r="AA1288" s="1956"/>
      <c r="AB1288" s="2061"/>
      <c r="AF1288" s="1836"/>
      <c r="AG1288" s="1836"/>
      <c r="AH1288" s="1836"/>
      <c r="AI1288" s="1837"/>
      <c r="AJ1288" s="1960"/>
    </row>
    <row r="1289" spans="1:36" s="1957" customFormat="1" ht="21.95" customHeight="1" x14ac:dyDescent="0.2">
      <c r="A1289" s="1942"/>
      <c r="B1289" s="1970"/>
      <c r="C1289" s="1971"/>
      <c r="D1289" s="1972"/>
      <c r="E1289" s="1973"/>
      <c r="F1289" s="1974" t="s">
        <v>556</v>
      </c>
      <c r="G1289" s="1975">
        <f>B1279</f>
        <v>5</v>
      </c>
      <c r="H1289" s="1976"/>
      <c r="I1289" s="1977"/>
      <c r="J1289" s="1977"/>
      <c r="K1289" s="1978"/>
      <c r="L1289" s="1979"/>
      <c r="M1289" s="1980"/>
      <c r="N1289" s="1981"/>
      <c r="O1289" s="1982"/>
      <c r="P1289" s="1983">
        <f>SUM(P1281:P1288)</f>
        <v>86845</v>
      </c>
      <c r="Q1289" s="1984"/>
      <c r="R1289" s="1985"/>
      <c r="S1289" s="1983">
        <f t="shared" ref="S1289" si="833">SUM(S1281:S1288)</f>
        <v>61705.05</v>
      </c>
      <c r="T1289" s="1983">
        <f t="shared" ref="T1289" si="834">SUM(T1281:T1288)</f>
        <v>25139.949999999997</v>
      </c>
      <c r="U1289" s="1986"/>
      <c r="V1289" s="1848"/>
      <c r="W1289" s="1848"/>
      <c r="X1289" s="1848"/>
      <c r="Y1289" s="1848"/>
      <c r="Z1289" s="1956"/>
      <c r="AA1289" s="1956"/>
      <c r="AF1289" s="1958"/>
      <c r="AG1289" s="1958"/>
      <c r="AH1289" s="1958"/>
      <c r="AI1289" s="1959"/>
      <c r="AJ1289" s="1960"/>
    </row>
    <row r="1290" spans="1:36" ht="21.95" customHeight="1" x14ac:dyDescent="0.2">
      <c r="B1290" s="2017"/>
      <c r="C1290" s="2018"/>
      <c r="D1290" s="2019"/>
      <c r="E1290" s="2019"/>
      <c r="F1290" s="2020"/>
      <c r="G1290" s="2021"/>
      <c r="H1290" s="2022"/>
      <c r="I1290" s="2023"/>
      <c r="J1290" s="2023"/>
      <c r="K1290" s="2024"/>
      <c r="L1290" s="2025"/>
      <c r="M1290" s="2025"/>
      <c r="N1290" s="2026"/>
      <c r="O1290" s="2027"/>
      <c r="P1290" s="2065" t="s">
        <v>1817</v>
      </c>
      <c r="Q1290" s="2029">
        <f>AVERAGE(Q1185:Q1279)</f>
        <v>0.63484795173645781</v>
      </c>
      <c r="R1290" s="2023"/>
      <c r="S1290" s="2023"/>
      <c r="T1290" s="2068">
        <f>SUM(T1185:T1279)</f>
        <v>186023616.02107143</v>
      </c>
      <c r="U1290" s="2031"/>
      <c r="V1290" s="1848">
        <f>[3]HPS!M183</f>
        <v>292942794.96999997</v>
      </c>
      <c r="W1290" s="1848" t="e">
        <f>#REF!-V1290</f>
        <v>#REF!</v>
      </c>
      <c r="Z1290" s="1956"/>
      <c r="AA1290" s="1956">
        <f t="shared" ref="AA1290:AA1493" si="835">Z1290-G1290</f>
        <v>0</v>
      </c>
      <c r="AJ1290" s="1960">
        <f t="shared" ref="AJ1290:AJ1493" si="836">AI1290-N1290</f>
        <v>0</v>
      </c>
    </row>
    <row r="1291" spans="1:36" ht="21.95" customHeight="1" x14ac:dyDescent="0.2">
      <c r="B1291" s="1927" t="s">
        <v>1818</v>
      </c>
      <c r="C1291" s="2033"/>
      <c r="D1291" s="2034" t="s">
        <v>1819</v>
      </c>
      <c r="E1291" s="2070"/>
      <c r="F1291" s="2071"/>
      <c r="G1291" s="1945"/>
      <c r="H1291" s="2072"/>
      <c r="I1291" s="2073"/>
      <c r="J1291" s="2073"/>
      <c r="K1291" s="2074"/>
      <c r="L1291" s="2075"/>
      <c r="M1291" s="2075"/>
      <c r="N1291" s="2076"/>
      <c r="O1291" s="2077"/>
      <c r="P1291" s="2078"/>
      <c r="Q1291" s="2073"/>
      <c r="R1291" s="2073"/>
      <c r="S1291" s="2073"/>
      <c r="T1291" s="2079"/>
      <c r="U1291" s="2080"/>
      <c r="Z1291" s="1956"/>
      <c r="AA1291" s="1956">
        <f t="shared" si="835"/>
        <v>0</v>
      </c>
      <c r="AB1291" s="1836" t="s">
        <v>1819</v>
      </c>
      <c r="AC1291" s="2129" t="e">
        <f>AB1291/1.35</f>
        <v>#VALUE!</v>
      </c>
      <c r="AJ1291" s="1960">
        <f t="shared" si="836"/>
        <v>0</v>
      </c>
    </row>
    <row r="1292" spans="1:36" s="2127" customFormat="1" ht="21.95" customHeight="1" x14ac:dyDescent="0.2">
      <c r="A1292" s="2130">
        <f>satpek!B113</f>
        <v>94</v>
      </c>
      <c r="B1292" s="2131">
        <f>B1290+1</f>
        <v>1</v>
      </c>
      <c r="C1292" s="2132"/>
      <c r="D1292" s="1944" t="str">
        <f>VLOOKUP($A1292,satpek!$B$20:$N$144,2,0)</f>
        <v>Pas. rangka atap baja ringan</v>
      </c>
      <c r="E1292" s="2133"/>
      <c r="F1292" s="2134"/>
      <c r="G1292" s="1945">
        <f>V1294</f>
        <v>974.54500000000007</v>
      </c>
      <c r="H1292" s="1946" t="str">
        <f>VLOOKUP($A1292,satpek!$B$20:$N$144,7,0)</f>
        <v>m2</v>
      </c>
      <c r="I1292" s="1947"/>
      <c r="J1292" s="1947"/>
      <c r="K1292" s="1948"/>
      <c r="L1292" s="1949"/>
      <c r="M1292" s="1950" t="str">
        <f>VLOOKUP($A1292,satpek!$B$20:$N$144,5,0)</f>
        <v>Daftar harga</v>
      </c>
      <c r="N1292" s="1951">
        <f>VLOOKUP($A1292,satpek!$B$20:$N$144,6,0)</f>
        <v>310000</v>
      </c>
      <c r="O1292" s="1938"/>
      <c r="P1292" s="1952">
        <f t="shared" ref="P1292:P1323" si="837">ROUND((G1292*N1292),2)</f>
        <v>302108950</v>
      </c>
      <c r="Q1292" s="1953">
        <f>VLOOKUP($A1292,satpek!$B$20:$L$138,8,0)</f>
        <v>0.60189999999999999</v>
      </c>
      <c r="R1292" s="1954">
        <f>VLOOKUP($A1292,satpek!$B$20:$L$138,9,0)</f>
        <v>0</v>
      </c>
      <c r="S1292" s="1954">
        <f>VLOOKUP($A1292,satpek!$B$20:$L$138,10,0)</f>
        <v>186589</v>
      </c>
      <c r="T1292" s="1952">
        <f>S1292*G1292</f>
        <v>181839377.00500003</v>
      </c>
      <c r="U1292" s="1955"/>
      <c r="V1292" s="2125">
        <v>934.5</v>
      </c>
      <c r="W1292" s="2125"/>
      <c r="X1292" s="2125">
        <f>P1293</f>
        <v>310000</v>
      </c>
      <c r="Y1292" s="2125">
        <f>S1293</f>
        <v>186589</v>
      </c>
      <c r="Z1292" s="1958">
        <v>974.54500000000007</v>
      </c>
      <c r="AA1292" s="1956">
        <f t="shared" si="835"/>
        <v>0</v>
      </c>
      <c r="AB1292" s="2127" t="s">
        <v>1820</v>
      </c>
      <c r="AF1292" s="1909"/>
      <c r="AG1292" s="1909"/>
      <c r="AH1292" s="1909"/>
      <c r="AI1292" s="1910">
        <v>275000</v>
      </c>
      <c r="AJ1292" s="2128">
        <f t="shared" si="836"/>
        <v>-35000</v>
      </c>
    </row>
    <row r="1293" spans="1:36" s="1957" customFormat="1" ht="21.95" customHeight="1" x14ac:dyDescent="0.2">
      <c r="A1293" s="1942"/>
      <c r="B1293" s="1970"/>
      <c r="C1293" s="1971"/>
      <c r="D1293" s="1972"/>
      <c r="E1293" s="1973"/>
      <c r="F1293" s="1974"/>
      <c r="G1293" s="1975">
        <f>B1283</f>
        <v>0</v>
      </c>
      <c r="H1293" s="1976"/>
      <c r="I1293" s="1977"/>
      <c r="J1293" s="1977"/>
      <c r="K1293" s="1978">
        <f>satpek!I113</f>
        <v>0.60189999999999999</v>
      </c>
      <c r="L1293" s="1979"/>
      <c r="M1293" s="1980"/>
      <c r="N1293" s="1981">
        <f>N1292</f>
        <v>310000</v>
      </c>
      <c r="O1293" s="1982"/>
      <c r="P1293" s="1983">
        <f>N1293</f>
        <v>310000</v>
      </c>
      <c r="Q1293" s="1984"/>
      <c r="R1293" s="1985"/>
      <c r="S1293" s="1983">
        <f>K1293*N1293</f>
        <v>186589</v>
      </c>
      <c r="T1293" s="1983">
        <f>N1293-S1293</f>
        <v>123411</v>
      </c>
      <c r="U1293" s="1986"/>
      <c r="V1293" s="1848"/>
      <c r="W1293" s="1848"/>
      <c r="X1293" s="1848"/>
      <c r="Y1293" s="1848"/>
      <c r="Z1293" s="1956"/>
      <c r="AA1293" s="1956"/>
      <c r="AF1293" s="1958"/>
      <c r="AG1293" s="1958"/>
      <c r="AH1293" s="1958"/>
      <c r="AI1293" s="1959"/>
      <c r="AJ1293" s="1960"/>
    </row>
    <row r="1294" spans="1:36" ht="21.95" customHeight="1" x14ac:dyDescent="0.2">
      <c r="A1294" s="1833">
        <f>satpek!B66</f>
        <v>47</v>
      </c>
      <c r="B1294" s="1943">
        <v>2</v>
      </c>
      <c r="C1294" s="1937"/>
      <c r="D1294" s="1944" t="str">
        <f>VLOOKUP($A1294,satpek!$B$20:$N$144,2,0)</f>
        <v>Memasang penutup atap galvalum pasir</v>
      </c>
      <c r="E1294" s="1944"/>
      <c r="F1294" s="2004"/>
      <c r="G1294" s="1945">
        <f>G1292</f>
        <v>974.54500000000007</v>
      </c>
      <c r="H1294" s="1946" t="str">
        <f>VLOOKUP($A1294,satpek!$B$20:$N$144,7,0)</f>
        <v>m2</v>
      </c>
      <c r="I1294" s="1947"/>
      <c r="J1294" s="1947"/>
      <c r="K1294" s="1948"/>
      <c r="L1294" s="1949"/>
      <c r="M1294" s="1950" t="str">
        <f>VLOOKUP($A1294,satpek!$B$20:$N$144,5,0)</f>
        <v>An. Dihitung</v>
      </c>
      <c r="N1294" s="1951">
        <f>VLOOKUP($A1294,satpek!$B$20:$N$144,6,0)</f>
        <v>108751.2</v>
      </c>
      <c r="O1294" s="1938"/>
      <c r="P1294" s="1952">
        <f t="shared" si="837"/>
        <v>105982938.2</v>
      </c>
      <c r="Q1294" s="1953">
        <f>VLOOKUP($A1294,satpek!$B$20:$L$138,8,0)</f>
        <v>0.57070756442227766</v>
      </c>
      <c r="R1294" s="1954">
        <f>VLOOKUP($A1294,satpek!$B$20:$L$138,9,0)</f>
        <v>54924.896000000001</v>
      </c>
      <c r="S1294" s="1954">
        <f>VLOOKUP($A1294,satpek!$B$20:$L$138,10,0)</f>
        <v>62065.13248</v>
      </c>
      <c r="T1294" s="1952">
        <f>S1294*G1294</f>
        <v>60485264.532721601</v>
      </c>
      <c r="U1294" s="1955"/>
      <c r="V1294" s="1848">
        <f>37.7*23.5*1.1</f>
        <v>974.54500000000007</v>
      </c>
      <c r="X1294" s="1848">
        <f>P1303</f>
        <v>96240</v>
      </c>
      <c r="Y1294" s="1848">
        <f>S1303</f>
        <v>54924.896000000001</v>
      </c>
      <c r="Z1294" s="1956">
        <v>974.54500000000007</v>
      </c>
      <c r="AA1294" s="1956">
        <f t="shared" si="835"/>
        <v>0</v>
      </c>
      <c r="AB1294" s="1836" t="s">
        <v>1821</v>
      </c>
      <c r="AC1294" s="2061" t="e">
        <f>AC1291-N1294</f>
        <v>#VALUE!</v>
      </c>
      <c r="AI1294" s="1910">
        <v>108284.51</v>
      </c>
      <c r="AJ1294" s="1960">
        <f t="shared" si="836"/>
        <v>-466.69000000000233</v>
      </c>
    </row>
    <row r="1295" spans="1:36" ht="21.95" customHeight="1" x14ac:dyDescent="0.2">
      <c r="B1295" s="2045"/>
      <c r="C1295" s="2046" t="str">
        <f>SNI!D950</f>
        <v>Bahan</v>
      </c>
      <c r="D1295" s="2047"/>
      <c r="E1295" s="2047"/>
      <c r="F1295" s="2048"/>
      <c r="G1295" s="2049"/>
      <c r="H1295" s="2050"/>
      <c r="I1295" s="2051"/>
      <c r="J1295" s="2051"/>
      <c r="K1295" s="2052"/>
      <c r="L1295" s="2053"/>
      <c r="M1295" s="2054"/>
      <c r="N1295" s="2055"/>
      <c r="O1295" s="2056"/>
      <c r="P1295" s="2057"/>
      <c r="Q1295" s="2058"/>
      <c r="R1295" s="2059"/>
      <c r="S1295" s="2059"/>
      <c r="T1295" s="2057"/>
      <c r="U1295" s="2060"/>
      <c r="Z1295" s="1956"/>
      <c r="AA1295" s="1956"/>
      <c r="AC1295" s="2061"/>
      <c r="AJ1295" s="1960"/>
    </row>
    <row r="1296" spans="1:36" ht="21.95" customHeight="1" x14ac:dyDescent="0.2">
      <c r="B1296" s="2045"/>
      <c r="C1296" s="2046"/>
      <c r="D1296" s="2047" t="str">
        <f>SNI!E950</f>
        <v>Atap spandek pasir</v>
      </c>
      <c r="E1296" s="2047"/>
      <c r="F1296" s="2048"/>
      <c r="G1296" s="2049">
        <f>SNI!H950</f>
        <v>0.748</v>
      </c>
      <c r="H1296" s="2050" t="str">
        <f>SNI!G950</f>
        <v>m2</v>
      </c>
      <c r="I1296" s="2051"/>
      <c r="J1296" s="2051"/>
      <c r="K1296" s="2052">
        <f>SNI!L950</f>
        <v>0.50600000000000001</v>
      </c>
      <c r="L1296" s="2053"/>
      <c r="M1296" s="2054"/>
      <c r="N1296" s="2055">
        <f>SNI!I950</f>
        <v>92000</v>
      </c>
      <c r="O1296" s="2056"/>
      <c r="P1296" s="1969">
        <f t="shared" ref="P1296" si="838">N1296*G1296</f>
        <v>68816</v>
      </c>
      <c r="Q1296" s="1953"/>
      <c r="R1296" s="1954"/>
      <c r="S1296" s="1954">
        <f t="shared" ref="S1296" si="839">P1296*K1296</f>
        <v>34820.896000000001</v>
      </c>
      <c r="T1296" s="1969">
        <f t="shared" ref="T1296" si="840">P1296-S1296</f>
        <v>33995.103999999999</v>
      </c>
      <c r="U1296" s="2060"/>
      <c r="Z1296" s="1956"/>
      <c r="AA1296" s="1956"/>
      <c r="AC1296" s="2061"/>
      <c r="AJ1296" s="1960"/>
    </row>
    <row r="1297" spans="1:36" ht="21.95" customHeight="1" x14ac:dyDescent="0.2">
      <c r="B1297" s="2045"/>
      <c r="C1297" s="2046"/>
      <c r="D1297" s="2047" t="str">
        <f>SNI!E951</f>
        <v>Paku pancing</v>
      </c>
      <c r="E1297" s="2047"/>
      <c r="F1297" s="2048"/>
      <c r="G1297" s="2049">
        <f>SNI!H951</f>
        <v>9.15</v>
      </c>
      <c r="H1297" s="2050" t="str">
        <f>SNI!G951</f>
        <v>bj</v>
      </c>
      <c r="I1297" s="2051"/>
      <c r="J1297" s="2051"/>
      <c r="K1297" s="2052">
        <f>SNI!L951</f>
        <v>0</v>
      </c>
      <c r="L1297" s="2053"/>
      <c r="M1297" s="2054"/>
      <c r="N1297" s="2055">
        <f>SNI!I951</f>
        <v>800</v>
      </c>
      <c r="O1297" s="2056"/>
      <c r="P1297" s="1969">
        <f t="shared" ref="P1297:P1302" si="841">N1297*G1297</f>
        <v>7320</v>
      </c>
      <c r="Q1297" s="1953"/>
      <c r="R1297" s="1954"/>
      <c r="S1297" s="1954">
        <f t="shared" ref="S1297:S1302" si="842">P1297*K1297</f>
        <v>0</v>
      </c>
      <c r="T1297" s="1969">
        <f t="shared" ref="T1297:T1302" si="843">P1297-S1297</f>
        <v>7320</v>
      </c>
      <c r="U1297" s="2060"/>
      <c r="Z1297" s="1956"/>
      <c r="AA1297" s="1956"/>
      <c r="AC1297" s="2061"/>
      <c r="AJ1297" s="1960"/>
    </row>
    <row r="1298" spans="1:36" ht="21.95" customHeight="1" x14ac:dyDescent="0.2">
      <c r="B1298" s="2045"/>
      <c r="C1298" s="2046" t="str">
        <f>SNI!D953</f>
        <v>Tenaga Kerja</v>
      </c>
      <c r="D1298" s="2047"/>
      <c r="E1298" s="2047"/>
      <c r="F1298" s="2048"/>
      <c r="G1298" s="2049"/>
      <c r="H1298" s="2050"/>
      <c r="I1298" s="2051"/>
      <c r="J1298" s="2051"/>
      <c r="K1298" s="2052"/>
      <c r="L1298" s="2053"/>
      <c r="M1298" s="2054"/>
      <c r="N1298" s="2055"/>
      <c r="O1298" s="2056"/>
      <c r="P1298" s="1969"/>
      <c r="Q1298" s="1953"/>
      <c r="R1298" s="1954"/>
      <c r="S1298" s="1954"/>
      <c r="T1298" s="1969"/>
      <c r="U1298" s="2060"/>
      <c r="Z1298" s="1956"/>
      <c r="AA1298" s="1956"/>
      <c r="AC1298" s="2061"/>
      <c r="AJ1298" s="1960"/>
    </row>
    <row r="1299" spans="1:36" ht="21.95" customHeight="1" x14ac:dyDescent="0.2">
      <c r="B1299" s="2045"/>
      <c r="C1299" s="2046"/>
      <c r="D1299" s="2047" t="str">
        <f>SNI!E953</f>
        <v xml:space="preserve">Pekerja </v>
      </c>
      <c r="E1299" s="2047"/>
      <c r="F1299" s="2048"/>
      <c r="G1299" s="2049">
        <f>SNI!H953</f>
        <v>0.14000000000000001</v>
      </c>
      <c r="H1299" s="2050" t="str">
        <f>SNI!G953</f>
        <v>OH</v>
      </c>
      <c r="I1299" s="2051" t="str">
        <f>SNI!M953</f>
        <v>WNI</v>
      </c>
      <c r="J1299" s="2051"/>
      <c r="K1299" s="2052">
        <f>SNI!L953</f>
        <v>1</v>
      </c>
      <c r="L1299" s="2053"/>
      <c r="M1299" s="2054"/>
      <c r="N1299" s="2055">
        <f>SNI!I953</f>
        <v>88300</v>
      </c>
      <c r="O1299" s="2056"/>
      <c r="P1299" s="1969">
        <f t="shared" si="841"/>
        <v>12362.000000000002</v>
      </c>
      <c r="Q1299" s="1953"/>
      <c r="R1299" s="1954"/>
      <c r="S1299" s="1954">
        <f t="shared" si="842"/>
        <v>12362.000000000002</v>
      </c>
      <c r="T1299" s="1969">
        <f t="shared" si="843"/>
        <v>0</v>
      </c>
      <c r="U1299" s="2060"/>
      <c r="Z1299" s="1956"/>
      <c r="AA1299" s="1956"/>
      <c r="AC1299" s="2061"/>
      <c r="AJ1299" s="1960"/>
    </row>
    <row r="1300" spans="1:36" ht="21.95" customHeight="1" x14ac:dyDescent="0.2">
      <c r="B1300" s="2045"/>
      <c r="C1300" s="2046"/>
      <c r="D1300" s="2047" t="str">
        <f>SNI!E954</f>
        <v>Tukang Kayu</v>
      </c>
      <c r="E1300" s="2047"/>
      <c r="F1300" s="2048"/>
      <c r="G1300" s="2049">
        <f>SNI!H954</f>
        <v>7.0000000000000007E-2</v>
      </c>
      <c r="H1300" s="2050" t="str">
        <f>SNI!G954</f>
        <v>OH</v>
      </c>
      <c r="I1300" s="2051" t="str">
        <f>SNI!M954</f>
        <v>WNI</v>
      </c>
      <c r="J1300" s="2051"/>
      <c r="K1300" s="2052">
        <f>SNI!L954</f>
        <v>1</v>
      </c>
      <c r="L1300" s="2053"/>
      <c r="M1300" s="2054"/>
      <c r="N1300" s="2055">
        <f>SNI!I954</f>
        <v>92000</v>
      </c>
      <c r="O1300" s="2056"/>
      <c r="P1300" s="1969">
        <f t="shared" si="841"/>
        <v>6440.0000000000009</v>
      </c>
      <c r="Q1300" s="1953"/>
      <c r="R1300" s="1954"/>
      <c r="S1300" s="1954">
        <f t="shared" si="842"/>
        <v>6440.0000000000009</v>
      </c>
      <c r="T1300" s="1969">
        <f t="shared" si="843"/>
        <v>0</v>
      </c>
      <c r="U1300" s="2060"/>
      <c r="Z1300" s="1956"/>
      <c r="AA1300" s="1956"/>
      <c r="AC1300" s="2061"/>
      <c r="AJ1300" s="1960"/>
    </row>
    <row r="1301" spans="1:36" ht="21.95" customHeight="1" x14ac:dyDescent="0.2">
      <c r="B1301" s="2045"/>
      <c r="C1301" s="2046"/>
      <c r="D1301" s="2047" t="str">
        <f>SNI!E955</f>
        <v>Kepala Tukang</v>
      </c>
      <c r="E1301" s="2047"/>
      <c r="F1301" s="2048"/>
      <c r="G1301" s="2049">
        <f>SNI!H955</f>
        <v>7.0000000000000001E-3</v>
      </c>
      <c r="H1301" s="2050" t="str">
        <f>SNI!G955</f>
        <v>OH</v>
      </c>
      <c r="I1301" s="2051" t="str">
        <f>SNI!M955</f>
        <v>WNI</v>
      </c>
      <c r="J1301" s="2051"/>
      <c r="K1301" s="2052">
        <f>SNI!L955</f>
        <v>1</v>
      </c>
      <c r="L1301" s="2053"/>
      <c r="M1301" s="2054"/>
      <c r="N1301" s="2055">
        <f>SNI!I955</f>
        <v>96000</v>
      </c>
      <c r="O1301" s="2056"/>
      <c r="P1301" s="1969">
        <f t="shared" si="841"/>
        <v>672</v>
      </c>
      <c r="Q1301" s="1953"/>
      <c r="R1301" s="1954"/>
      <c r="S1301" s="1954">
        <f t="shared" si="842"/>
        <v>672</v>
      </c>
      <c r="T1301" s="1969">
        <f t="shared" si="843"/>
        <v>0</v>
      </c>
      <c r="U1301" s="2060"/>
      <c r="Z1301" s="1956"/>
      <c r="AA1301" s="1956"/>
      <c r="AC1301" s="2061"/>
      <c r="AJ1301" s="1960"/>
    </row>
    <row r="1302" spans="1:36" ht="21.95" customHeight="1" x14ac:dyDescent="0.2">
      <c r="B1302" s="2045"/>
      <c r="C1302" s="2046"/>
      <c r="D1302" s="2047" t="str">
        <f>SNI!E956</f>
        <v>Mandor</v>
      </c>
      <c r="E1302" s="2047"/>
      <c r="F1302" s="2048"/>
      <c r="G1302" s="2049">
        <f>SNI!H956</f>
        <v>7.0000000000000001E-3</v>
      </c>
      <c r="H1302" s="2050" t="str">
        <f>SNI!G956</f>
        <v>OH</v>
      </c>
      <c r="I1302" s="2051" t="str">
        <f>SNI!M956</f>
        <v>WNI</v>
      </c>
      <c r="J1302" s="2051"/>
      <c r="K1302" s="2052">
        <f>SNI!L956</f>
        <v>1</v>
      </c>
      <c r="L1302" s="2053"/>
      <c r="M1302" s="2054"/>
      <c r="N1302" s="2055">
        <f>SNI!I956</f>
        <v>90000</v>
      </c>
      <c r="O1302" s="2056"/>
      <c r="P1302" s="1969">
        <f t="shared" si="841"/>
        <v>630</v>
      </c>
      <c r="Q1302" s="1953"/>
      <c r="R1302" s="1954"/>
      <c r="S1302" s="1954">
        <f t="shared" si="842"/>
        <v>630</v>
      </c>
      <c r="T1302" s="1969">
        <f t="shared" si="843"/>
        <v>0</v>
      </c>
      <c r="U1302" s="2060"/>
      <c r="Z1302" s="1956"/>
      <c r="AA1302" s="1956"/>
      <c r="AC1302" s="2061"/>
      <c r="AJ1302" s="1960"/>
    </row>
    <row r="1303" spans="1:36" s="1957" customFormat="1" ht="21.95" customHeight="1" x14ac:dyDescent="0.2">
      <c r="A1303" s="1942"/>
      <c r="B1303" s="1970"/>
      <c r="C1303" s="1971"/>
      <c r="D1303" s="1972"/>
      <c r="E1303" s="1973"/>
      <c r="F1303" s="1974" t="s">
        <v>556</v>
      </c>
      <c r="G1303" s="1975">
        <f>B1294</f>
        <v>2</v>
      </c>
      <c r="H1303" s="1976"/>
      <c r="I1303" s="1977"/>
      <c r="J1303" s="1977"/>
      <c r="K1303" s="1978"/>
      <c r="L1303" s="1979"/>
      <c r="M1303" s="1980"/>
      <c r="N1303" s="1981"/>
      <c r="O1303" s="1982"/>
      <c r="P1303" s="1983">
        <f>SUM(P1296:P1302)</f>
        <v>96240</v>
      </c>
      <c r="Q1303" s="1984"/>
      <c r="R1303" s="1985"/>
      <c r="S1303" s="1983">
        <f t="shared" ref="S1303:T1303" si="844">SUM(S1296:S1302)</f>
        <v>54924.896000000001</v>
      </c>
      <c r="T1303" s="1983">
        <f t="shared" si="844"/>
        <v>41315.103999999999</v>
      </c>
      <c r="U1303" s="1986"/>
      <c r="V1303" s="1848"/>
      <c r="W1303" s="1848"/>
      <c r="X1303" s="1848"/>
      <c r="Y1303" s="1848"/>
      <c r="Z1303" s="1956"/>
      <c r="AA1303" s="1956"/>
      <c r="AF1303" s="1958"/>
      <c r="AG1303" s="1958"/>
      <c r="AH1303" s="1958"/>
      <c r="AI1303" s="1959"/>
      <c r="AJ1303" s="1960"/>
    </row>
    <row r="1304" spans="1:36" ht="21.95" customHeight="1" x14ac:dyDescent="0.2">
      <c r="A1304" s="1833">
        <f>satpek!B67</f>
        <v>48</v>
      </c>
      <c r="B1304" s="1943">
        <f>B1294+1</f>
        <v>3</v>
      </c>
      <c r="C1304" s="1937"/>
      <c r="D1304" s="1944" t="str">
        <f>VLOOKUP($A1304,satpek!$B$20:$N$144,2,0)</f>
        <v>Pasang bubungan galvalum pasir</v>
      </c>
      <c r="E1304" s="1944"/>
      <c r="F1304" s="2004"/>
      <c r="G1304" s="1945">
        <f>'[3]B.VOL RAB'!Q430</f>
        <v>74.400000000000006</v>
      </c>
      <c r="H1304" s="1946" t="str">
        <f>VLOOKUP($A1304,satpek!$B$20:$N$144,7,0)</f>
        <v>m'</v>
      </c>
      <c r="I1304" s="1947"/>
      <c r="J1304" s="1947"/>
      <c r="K1304" s="1948"/>
      <c r="L1304" s="1949"/>
      <c r="M1304" s="1950" t="str">
        <f>VLOOKUP($A1304,satpek!$B$20:$N$144,5,0)</f>
        <v>A.4.5.2.39a.</v>
      </c>
      <c r="N1304" s="1951">
        <f>VLOOKUP($A1304,satpek!$B$20:$N$144,6,0)</f>
        <v>66180.710000000006</v>
      </c>
      <c r="O1304" s="1938"/>
      <c r="P1304" s="1952">
        <f t="shared" si="837"/>
        <v>4923844.82</v>
      </c>
      <c r="Q1304" s="1953">
        <f>VLOOKUP($A1304,satpek!$B$20:$L$138,8,0)</f>
        <v>0.67431317977700755</v>
      </c>
      <c r="R1304" s="1954">
        <f>VLOOKUP($A1304,satpek!$B$20:$L$138,9,0)</f>
        <v>39492.5</v>
      </c>
      <c r="S1304" s="1954">
        <f>VLOOKUP($A1304,satpek!$B$20:$L$138,10,0)</f>
        <v>44626.525000000001</v>
      </c>
      <c r="T1304" s="1952">
        <f>S1304*G1304</f>
        <v>3320213.4600000004</v>
      </c>
      <c r="U1304" s="1955"/>
      <c r="X1304" s="1848">
        <f>P1313</f>
        <v>58567</v>
      </c>
      <c r="Y1304" s="1848">
        <f>S1313</f>
        <v>39492.5</v>
      </c>
      <c r="Z1304" s="1956">
        <v>74.400000000000006</v>
      </c>
      <c r="AA1304" s="1956">
        <f t="shared" si="835"/>
        <v>0</v>
      </c>
      <c r="AB1304" s="1836" t="s">
        <v>1822</v>
      </c>
      <c r="AI1304" s="1910">
        <v>65685.77</v>
      </c>
      <c r="AJ1304" s="1960">
        <f t="shared" si="836"/>
        <v>-494.94000000000233</v>
      </c>
    </row>
    <row r="1305" spans="1:36" ht="21.95" customHeight="1" x14ac:dyDescent="0.2">
      <c r="B1305" s="2045"/>
      <c r="C1305" s="2046" t="str">
        <f>SNI!D969</f>
        <v>Bahan</v>
      </c>
      <c r="D1305" s="2047"/>
      <c r="E1305" s="2047"/>
      <c r="F1305" s="2048"/>
      <c r="G1305" s="2049"/>
      <c r="H1305" s="2050"/>
      <c r="I1305" s="2051"/>
      <c r="J1305" s="2051"/>
      <c r="K1305" s="2052"/>
      <c r="L1305" s="2053"/>
      <c r="M1305" s="2054"/>
      <c r="N1305" s="2055"/>
      <c r="O1305" s="2056"/>
      <c r="P1305" s="2057"/>
      <c r="Q1305" s="2058"/>
      <c r="R1305" s="2059"/>
      <c r="S1305" s="2059"/>
      <c r="T1305" s="2057"/>
      <c r="U1305" s="2060"/>
      <c r="Z1305" s="1956"/>
      <c r="AA1305" s="1956"/>
      <c r="AJ1305" s="1960"/>
    </row>
    <row r="1306" spans="1:36" ht="21.95" customHeight="1" x14ac:dyDescent="0.2">
      <c r="B1306" s="2045"/>
      <c r="C1306" s="2046"/>
      <c r="D1306" s="2047" t="str">
        <f>SNI!E969</f>
        <v>Bubungan Galvalum</v>
      </c>
      <c r="E1306" s="2047"/>
      <c r="F1306" s="2048"/>
      <c r="G1306" s="2049">
        <f>SNI!H969</f>
        <v>1.05</v>
      </c>
      <c r="H1306" s="2050" t="str">
        <f>SNI!G969</f>
        <v>m'</v>
      </c>
      <c r="I1306" s="2051"/>
      <c r="J1306" s="2051"/>
      <c r="K1306" s="2052">
        <f>SNI!L969</f>
        <v>0.50600000000000001</v>
      </c>
      <c r="L1306" s="2053"/>
      <c r="M1306" s="2054"/>
      <c r="N1306" s="2055">
        <f>SNI!I969</f>
        <v>35000</v>
      </c>
      <c r="O1306" s="2056"/>
      <c r="P1306" s="1969">
        <f t="shared" ref="P1306" si="845">N1306*G1306</f>
        <v>36750</v>
      </c>
      <c r="Q1306" s="1953"/>
      <c r="R1306" s="1954"/>
      <c r="S1306" s="1954">
        <f t="shared" ref="S1306" si="846">P1306*K1306</f>
        <v>18595.5</v>
      </c>
      <c r="T1306" s="1969">
        <f t="shared" ref="T1306" si="847">P1306-S1306</f>
        <v>18154.5</v>
      </c>
      <c r="U1306" s="2060"/>
      <c r="Z1306" s="1956"/>
      <c r="AA1306" s="1956"/>
      <c r="AJ1306" s="1960"/>
    </row>
    <row r="1307" spans="1:36" ht="21.95" customHeight="1" x14ac:dyDescent="0.2">
      <c r="B1307" s="2045"/>
      <c r="C1307" s="2046"/>
      <c r="D1307" s="2047" t="str">
        <f>SNI!E970</f>
        <v>Paku pancing</v>
      </c>
      <c r="E1307" s="2047"/>
      <c r="F1307" s="2048"/>
      <c r="G1307" s="2049">
        <f>SNI!H970</f>
        <v>0.04</v>
      </c>
      <c r="H1307" s="2050" t="str">
        <f>SNI!G970</f>
        <v>kg</v>
      </c>
      <c r="I1307" s="2051"/>
      <c r="J1307" s="2051"/>
      <c r="K1307" s="2052">
        <f>SNI!L970</f>
        <v>0</v>
      </c>
      <c r="L1307" s="2053"/>
      <c r="M1307" s="2054"/>
      <c r="N1307" s="2055">
        <f>SNI!I970</f>
        <v>23000</v>
      </c>
      <c r="O1307" s="2056"/>
      <c r="P1307" s="1969">
        <f t="shared" ref="P1307:P1312" si="848">N1307*G1307</f>
        <v>920</v>
      </c>
      <c r="Q1307" s="1953"/>
      <c r="R1307" s="1954"/>
      <c r="S1307" s="1954">
        <f t="shared" ref="S1307:S1312" si="849">P1307*K1307</f>
        <v>0</v>
      </c>
      <c r="T1307" s="1969">
        <f t="shared" ref="T1307:T1312" si="850">P1307-S1307</f>
        <v>920</v>
      </c>
      <c r="U1307" s="2060"/>
      <c r="Z1307" s="1956"/>
      <c r="AA1307" s="1956"/>
      <c r="AJ1307" s="1960"/>
    </row>
    <row r="1308" spans="1:36" ht="21.95" customHeight="1" x14ac:dyDescent="0.2">
      <c r="B1308" s="2045"/>
      <c r="C1308" s="2046" t="str">
        <f>SNI!D972</f>
        <v>Tenaga Kerja</v>
      </c>
      <c r="D1308" s="2047"/>
      <c r="E1308" s="2047"/>
      <c r="F1308" s="2048"/>
      <c r="G1308" s="2049"/>
      <c r="H1308" s="2050"/>
      <c r="I1308" s="2051"/>
      <c r="J1308" s="2051"/>
      <c r="K1308" s="2052"/>
      <c r="L1308" s="2053"/>
      <c r="M1308" s="2054"/>
      <c r="N1308" s="2055"/>
      <c r="O1308" s="2056"/>
      <c r="P1308" s="1969"/>
      <c r="Q1308" s="1953"/>
      <c r="R1308" s="1954"/>
      <c r="S1308" s="1954"/>
      <c r="T1308" s="1969"/>
      <c r="U1308" s="2060"/>
      <c r="Z1308" s="1956"/>
      <c r="AA1308" s="1956"/>
      <c r="AJ1308" s="1960"/>
    </row>
    <row r="1309" spans="1:36" ht="21.95" customHeight="1" x14ac:dyDescent="0.2">
      <c r="B1309" s="2045"/>
      <c r="C1309" s="2046"/>
      <c r="D1309" s="2047" t="str">
        <f>SNI!E972</f>
        <v xml:space="preserve">Pekerja </v>
      </c>
      <c r="E1309" s="2047"/>
      <c r="F1309" s="2048"/>
      <c r="G1309" s="2049">
        <f>SNI!H972</f>
        <v>0.15</v>
      </c>
      <c r="H1309" s="2050" t="str">
        <f>SNI!G972</f>
        <v>OH</v>
      </c>
      <c r="I1309" s="2051" t="str">
        <f>SNI!M972</f>
        <v>WNI</v>
      </c>
      <c r="J1309" s="2051"/>
      <c r="K1309" s="2052">
        <f>SNI!L972</f>
        <v>1</v>
      </c>
      <c r="L1309" s="2053"/>
      <c r="M1309" s="2054"/>
      <c r="N1309" s="2055">
        <f>SNI!I972</f>
        <v>88300</v>
      </c>
      <c r="O1309" s="2056"/>
      <c r="P1309" s="1969">
        <f t="shared" si="848"/>
        <v>13245</v>
      </c>
      <c r="Q1309" s="1953"/>
      <c r="R1309" s="1954"/>
      <c r="S1309" s="1954">
        <f t="shared" si="849"/>
        <v>13245</v>
      </c>
      <c r="T1309" s="1969">
        <f t="shared" si="850"/>
        <v>0</v>
      </c>
      <c r="U1309" s="2060"/>
      <c r="Z1309" s="1956"/>
      <c r="AA1309" s="1956"/>
      <c r="AJ1309" s="1960"/>
    </row>
    <row r="1310" spans="1:36" ht="21.95" customHeight="1" x14ac:dyDescent="0.2">
      <c r="B1310" s="2045"/>
      <c r="C1310" s="2046"/>
      <c r="D1310" s="2047" t="str">
        <f>SNI!E973</f>
        <v>Tukang Kayu</v>
      </c>
      <c r="E1310" s="2047"/>
      <c r="F1310" s="2048"/>
      <c r="G1310" s="2049">
        <f>SNI!H973</f>
        <v>7.0000000000000007E-2</v>
      </c>
      <c r="H1310" s="2050" t="str">
        <f>SNI!G973</f>
        <v>OH</v>
      </c>
      <c r="I1310" s="2051" t="str">
        <f>SNI!M973</f>
        <v>WNI</v>
      </c>
      <c r="J1310" s="2051"/>
      <c r="K1310" s="2052">
        <f>SNI!L973</f>
        <v>1</v>
      </c>
      <c r="L1310" s="2053"/>
      <c r="M1310" s="2054"/>
      <c r="N1310" s="2055">
        <f>SNI!I973</f>
        <v>92000</v>
      </c>
      <c r="O1310" s="2056"/>
      <c r="P1310" s="1969">
        <f t="shared" si="848"/>
        <v>6440.0000000000009</v>
      </c>
      <c r="Q1310" s="1953"/>
      <c r="R1310" s="1954"/>
      <c r="S1310" s="1954">
        <f t="shared" si="849"/>
        <v>6440.0000000000009</v>
      </c>
      <c r="T1310" s="1969">
        <f t="shared" si="850"/>
        <v>0</v>
      </c>
      <c r="U1310" s="2060"/>
      <c r="Z1310" s="1956"/>
      <c r="AA1310" s="1956"/>
      <c r="AJ1310" s="1960"/>
    </row>
    <row r="1311" spans="1:36" ht="21.95" customHeight="1" x14ac:dyDescent="0.2">
      <c r="B1311" s="2045"/>
      <c r="C1311" s="2046"/>
      <c r="D1311" s="2047" t="str">
        <f>SNI!E974</f>
        <v>Kepala Tukang</v>
      </c>
      <c r="E1311" s="2047"/>
      <c r="F1311" s="2048"/>
      <c r="G1311" s="2049">
        <f>SNI!H974</f>
        <v>7.0000000000000001E-3</v>
      </c>
      <c r="H1311" s="2050" t="str">
        <f>SNI!G974</f>
        <v>OH</v>
      </c>
      <c r="I1311" s="2051" t="str">
        <f>SNI!M974</f>
        <v>WNI</v>
      </c>
      <c r="J1311" s="2051"/>
      <c r="K1311" s="2052">
        <f>SNI!L974</f>
        <v>1</v>
      </c>
      <c r="L1311" s="2053"/>
      <c r="M1311" s="2054"/>
      <c r="N1311" s="2055">
        <f>SNI!I974</f>
        <v>96000</v>
      </c>
      <c r="O1311" s="2056"/>
      <c r="P1311" s="1969">
        <f t="shared" si="848"/>
        <v>672</v>
      </c>
      <c r="Q1311" s="1953"/>
      <c r="R1311" s="1954"/>
      <c r="S1311" s="1954">
        <f t="shared" si="849"/>
        <v>672</v>
      </c>
      <c r="T1311" s="1969">
        <f t="shared" si="850"/>
        <v>0</v>
      </c>
      <c r="U1311" s="2060"/>
      <c r="Z1311" s="1956"/>
      <c r="AA1311" s="1956"/>
      <c r="AJ1311" s="1960"/>
    </row>
    <row r="1312" spans="1:36" ht="21.95" customHeight="1" x14ac:dyDescent="0.2">
      <c r="B1312" s="2045"/>
      <c r="C1312" s="2046"/>
      <c r="D1312" s="2047" t="str">
        <f>SNI!E975</f>
        <v>Mandor</v>
      </c>
      <c r="E1312" s="2047"/>
      <c r="F1312" s="2048"/>
      <c r="G1312" s="2049">
        <f>SNI!H975</f>
        <v>6.0000000000000001E-3</v>
      </c>
      <c r="H1312" s="2050" t="str">
        <f>SNI!G975</f>
        <v>OH</v>
      </c>
      <c r="I1312" s="2051" t="str">
        <f>SNI!M975</f>
        <v>WNI</v>
      </c>
      <c r="J1312" s="2051"/>
      <c r="K1312" s="2052">
        <f>SNI!L975</f>
        <v>1</v>
      </c>
      <c r="L1312" s="2053"/>
      <c r="M1312" s="2054"/>
      <c r="N1312" s="2055">
        <f>SNI!I975</f>
        <v>90000</v>
      </c>
      <c r="O1312" s="2056"/>
      <c r="P1312" s="1969">
        <f t="shared" si="848"/>
        <v>540</v>
      </c>
      <c r="Q1312" s="1953"/>
      <c r="R1312" s="1954"/>
      <c r="S1312" s="1954">
        <f t="shared" si="849"/>
        <v>540</v>
      </c>
      <c r="T1312" s="1969">
        <f t="shared" si="850"/>
        <v>0</v>
      </c>
      <c r="U1312" s="2060"/>
      <c r="Z1312" s="1956"/>
      <c r="AA1312" s="1956"/>
      <c r="AJ1312" s="1960"/>
    </row>
    <row r="1313" spans="1:36" s="1957" customFormat="1" ht="21.95" customHeight="1" x14ac:dyDescent="0.2">
      <c r="A1313" s="1942"/>
      <c r="B1313" s="1970"/>
      <c r="C1313" s="1971"/>
      <c r="D1313" s="1972"/>
      <c r="E1313" s="1973"/>
      <c r="F1313" s="1974" t="s">
        <v>556</v>
      </c>
      <c r="G1313" s="1975">
        <f>B1304</f>
        <v>3</v>
      </c>
      <c r="H1313" s="1976"/>
      <c r="I1313" s="1977"/>
      <c r="J1313" s="1977"/>
      <c r="K1313" s="1978"/>
      <c r="L1313" s="1979"/>
      <c r="M1313" s="1980"/>
      <c r="N1313" s="1981"/>
      <c r="O1313" s="1982"/>
      <c r="P1313" s="1983">
        <f>SUM(P1306:P1312)</f>
        <v>58567</v>
      </c>
      <c r="Q1313" s="1984"/>
      <c r="R1313" s="1985"/>
      <c r="S1313" s="1983">
        <f t="shared" ref="S1313" si="851">SUM(S1306:S1312)</f>
        <v>39492.5</v>
      </c>
      <c r="T1313" s="1983">
        <f t="shared" ref="T1313" si="852">SUM(T1306:T1312)</f>
        <v>19074.5</v>
      </c>
      <c r="U1313" s="1986"/>
      <c r="V1313" s="1848"/>
      <c r="W1313" s="1848"/>
      <c r="X1313" s="1848"/>
      <c r="Y1313" s="1848"/>
      <c r="Z1313" s="1956"/>
      <c r="AA1313" s="1956"/>
      <c r="AF1313" s="1958"/>
      <c r="AG1313" s="1958"/>
      <c r="AH1313" s="1958"/>
      <c r="AI1313" s="1959"/>
      <c r="AJ1313" s="1960"/>
    </row>
    <row r="1314" spans="1:36" ht="21.95" customHeight="1" x14ac:dyDescent="0.2">
      <c r="A1314" s="1833">
        <f>satpek!B68</f>
        <v>49</v>
      </c>
      <c r="B1314" s="1943">
        <f>B1304+1</f>
        <v>4</v>
      </c>
      <c r="C1314" s="1937"/>
      <c r="D1314" s="1944" t="str">
        <f>VLOOKUP($A1314,satpek!$B$20:$N$144,2,0)</f>
        <v>Pasang aluminium foil/sisalation</v>
      </c>
      <c r="E1314" s="1944"/>
      <c r="F1314" s="2004"/>
      <c r="G1314" s="1945">
        <f>G1294</f>
        <v>974.54500000000007</v>
      </c>
      <c r="H1314" s="1946" t="str">
        <f>VLOOKUP($A1314,satpek!$B$20:$N$144,7,0)</f>
        <v>m2</v>
      </c>
      <c r="I1314" s="1947"/>
      <c r="J1314" s="1947"/>
      <c r="K1314" s="1948"/>
      <c r="L1314" s="1949"/>
      <c r="M1314" s="1950" t="str">
        <f>VLOOKUP($A1314,satpek!$B$20:$N$144,5,0)</f>
        <v>A.4.5.2.43.</v>
      </c>
      <c r="N1314" s="1951">
        <f>VLOOKUP($A1314,satpek!$B$20:$N$144,6,0)</f>
        <v>38843.75</v>
      </c>
      <c r="O1314" s="1938"/>
      <c r="P1314" s="1952">
        <f t="shared" si="837"/>
        <v>37854982.340000004</v>
      </c>
      <c r="Q1314" s="1953">
        <f>VLOOKUP($A1314,satpek!$B$20:$L$138,8,0)</f>
        <v>0.55403636363636366</v>
      </c>
      <c r="R1314" s="1954">
        <f>VLOOKUP($A1314,satpek!$B$20:$L$138,9,0)</f>
        <v>19045</v>
      </c>
      <c r="S1314" s="1954">
        <f>VLOOKUP($A1314,satpek!$B$20:$L$138,10,0)</f>
        <v>21520.85</v>
      </c>
      <c r="T1314" s="1952">
        <f>S1314*G1314</f>
        <v>20973036.763250001</v>
      </c>
      <c r="U1314" s="1955"/>
      <c r="X1314" s="1848">
        <f>P1322</f>
        <v>34375</v>
      </c>
      <c r="Y1314" s="1848">
        <f>S1322</f>
        <v>19045</v>
      </c>
      <c r="Z1314" s="1956">
        <v>974.54500000000007</v>
      </c>
      <c r="AA1314" s="1956">
        <f t="shared" si="835"/>
        <v>0</v>
      </c>
      <c r="AB1314" s="1836" t="s">
        <v>1913</v>
      </c>
      <c r="AI1314" s="1910">
        <v>31138.28</v>
      </c>
      <c r="AJ1314" s="1960">
        <f t="shared" si="836"/>
        <v>-7705.4700000000012</v>
      </c>
    </row>
    <row r="1315" spans="1:36" ht="21.95" customHeight="1" x14ac:dyDescent="0.2">
      <c r="B1315" s="2045"/>
      <c r="C1315" s="2046" t="str">
        <f>SNI!D988</f>
        <v>Bahan</v>
      </c>
      <c r="D1315" s="2047"/>
      <c r="E1315" s="2047"/>
      <c r="F1315" s="2048"/>
      <c r="G1315" s="2049"/>
      <c r="H1315" s="2050"/>
      <c r="I1315" s="2051"/>
      <c r="J1315" s="2051"/>
      <c r="K1315" s="2052"/>
      <c r="L1315" s="2053"/>
      <c r="M1315" s="2054"/>
      <c r="N1315" s="2055"/>
      <c r="O1315" s="2056"/>
      <c r="P1315" s="2057"/>
      <c r="Q1315" s="2058"/>
      <c r="R1315" s="2059"/>
      <c r="S1315" s="2059"/>
      <c r="T1315" s="2057"/>
      <c r="U1315" s="2060"/>
      <c r="Z1315" s="1956"/>
      <c r="AA1315" s="1956"/>
      <c r="AJ1315" s="1960"/>
    </row>
    <row r="1316" spans="1:36" ht="21.95" customHeight="1" x14ac:dyDescent="0.2">
      <c r="B1316" s="2045"/>
      <c r="C1316" s="2046"/>
      <c r="D1316" s="2047" t="str">
        <f>SNI!E988</f>
        <v>Aluminium foil/sisalation</v>
      </c>
      <c r="E1316" s="2047"/>
      <c r="F1316" s="2048"/>
      <c r="G1316" s="2049">
        <f>SNI!H988</f>
        <v>1.05</v>
      </c>
      <c r="H1316" s="2050" t="str">
        <f>SNI!G988</f>
        <v>m2</v>
      </c>
      <c r="I1316" s="2051"/>
      <c r="J1316" s="2051"/>
      <c r="K1316" s="2052">
        <f>SNI!L988</f>
        <v>0</v>
      </c>
      <c r="L1316" s="2053"/>
      <c r="M1316" s="2054"/>
      <c r="N1316" s="2055">
        <f>SNI!I988</f>
        <v>14600</v>
      </c>
      <c r="O1316" s="2056"/>
      <c r="P1316" s="1969">
        <f t="shared" ref="P1316" si="853">N1316*G1316</f>
        <v>15330</v>
      </c>
      <c r="Q1316" s="1953"/>
      <c r="R1316" s="1954"/>
      <c r="S1316" s="1954">
        <f t="shared" ref="S1316" si="854">P1316*K1316</f>
        <v>0</v>
      </c>
      <c r="T1316" s="1969">
        <f t="shared" ref="T1316" si="855">P1316-S1316</f>
        <v>15330</v>
      </c>
      <c r="U1316" s="2060"/>
      <c r="Z1316" s="1956"/>
      <c r="AA1316" s="1956"/>
      <c r="AJ1316" s="1960"/>
    </row>
    <row r="1317" spans="1:36" ht="21.95" customHeight="1" x14ac:dyDescent="0.2">
      <c r="B1317" s="2045"/>
      <c r="C1317" s="2046" t="str">
        <f>SNI!D990</f>
        <v>Tenaga Kerja</v>
      </c>
      <c r="D1317" s="2047"/>
      <c r="E1317" s="2047"/>
      <c r="F1317" s="2048"/>
      <c r="G1317" s="2049"/>
      <c r="H1317" s="2050"/>
      <c r="I1317" s="2051"/>
      <c r="J1317" s="2051"/>
      <c r="K1317" s="2052"/>
      <c r="L1317" s="2053"/>
      <c r="M1317" s="2054"/>
      <c r="N1317" s="2055"/>
      <c r="O1317" s="2056"/>
      <c r="P1317" s="1969"/>
      <c r="Q1317" s="1953"/>
      <c r="R1317" s="1954"/>
      <c r="S1317" s="1954"/>
      <c r="T1317" s="1969"/>
      <c r="U1317" s="2060"/>
      <c r="Z1317" s="1956"/>
      <c r="AA1317" s="1956"/>
      <c r="AJ1317" s="1960"/>
    </row>
    <row r="1318" spans="1:36" ht="21.95" customHeight="1" x14ac:dyDescent="0.2">
      <c r="B1318" s="2045"/>
      <c r="C1318" s="2046"/>
      <c r="D1318" s="2047" t="str">
        <f>SNI!E990</f>
        <v xml:space="preserve">Pekerja </v>
      </c>
      <c r="E1318" s="2047"/>
      <c r="F1318" s="2048"/>
      <c r="G1318" s="2049">
        <f>SNI!H990</f>
        <v>0.15</v>
      </c>
      <c r="H1318" s="2050" t="str">
        <f>SNI!G990</f>
        <v>OH</v>
      </c>
      <c r="I1318" s="2051" t="str">
        <f>SNI!M990</f>
        <v>WNI</v>
      </c>
      <c r="J1318" s="2051"/>
      <c r="K1318" s="2052">
        <f>SNI!L990</f>
        <v>1</v>
      </c>
      <c r="L1318" s="2053"/>
      <c r="M1318" s="2054"/>
      <c r="N1318" s="2055">
        <f>SNI!I990</f>
        <v>88300</v>
      </c>
      <c r="O1318" s="2056"/>
      <c r="P1318" s="1969">
        <f t="shared" ref="P1318:P1321" si="856">N1318*G1318</f>
        <v>13245</v>
      </c>
      <c r="Q1318" s="1953"/>
      <c r="R1318" s="1954"/>
      <c r="S1318" s="1954">
        <f t="shared" ref="S1318:S1321" si="857">P1318*K1318</f>
        <v>13245</v>
      </c>
      <c r="T1318" s="1969">
        <f t="shared" ref="T1318:T1321" si="858">P1318-S1318</f>
        <v>0</v>
      </c>
      <c r="U1318" s="2060"/>
      <c r="Z1318" s="1956"/>
      <c r="AA1318" s="1956"/>
      <c r="AJ1318" s="1960"/>
    </row>
    <row r="1319" spans="1:36" ht="21.95" customHeight="1" x14ac:dyDescent="0.2">
      <c r="B1319" s="2045"/>
      <c r="C1319" s="2046"/>
      <c r="D1319" s="2047" t="str">
        <f>SNI!E991</f>
        <v>Tukang Kayu</v>
      </c>
      <c r="E1319" s="2047"/>
      <c r="F1319" s="2048"/>
      <c r="G1319" s="2049">
        <f>SNI!H991</f>
        <v>0.05</v>
      </c>
      <c r="H1319" s="2050" t="str">
        <f>SNI!G991</f>
        <v>OH</v>
      </c>
      <c r="I1319" s="2051" t="str">
        <f>SNI!M991</f>
        <v>WNI</v>
      </c>
      <c r="J1319" s="2051"/>
      <c r="K1319" s="2052">
        <f>SNI!L991</f>
        <v>1</v>
      </c>
      <c r="L1319" s="2053"/>
      <c r="M1319" s="2054"/>
      <c r="N1319" s="2055">
        <f>SNI!I991</f>
        <v>92000</v>
      </c>
      <c r="O1319" s="2056"/>
      <c r="P1319" s="1969">
        <f t="shared" si="856"/>
        <v>4600</v>
      </c>
      <c r="Q1319" s="1953"/>
      <c r="R1319" s="1954"/>
      <c r="S1319" s="1954">
        <f t="shared" si="857"/>
        <v>4600</v>
      </c>
      <c r="T1319" s="1969">
        <f t="shared" si="858"/>
        <v>0</v>
      </c>
      <c r="U1319" s="2060"/>
      <c r="Z1319" s="1956"/>
      <c r="AA1319" s="1956"/>
      <c r="AJ1319" s="1960"/>
    </row>
    <row r="1320" spans="1:36" ht="21.95" customHeight="1" x14ac:dyDescent="0.2">
      <c r="B1320" s="2045"/>
      <c r="C1320" s="2046"/>
      <c r="D1320" s="2047" t="str">
        <f>SNI!E992</f>
        <v>Kepala Tukang</v>
      </c>
      <c r="E1320" s="2047"/>
      <c r="F1320" s="2048"/>
      <c r="G1320" s="2049">
        <f>SNI!H992</f>
        <v>5.0000000000000001E-3</v>
      </c>
      <c r="H1320" s="2050" t="str">
        <f>SNI!G992</f>
        <v>OH</v>
      </c>
      <c r="I1320" s="2051" t="str">
        <f>SNI!M992</f>
        <v>WNI</v>
      </c>
      <c r="J1320" s="2051"/>
      <c r="K1320" s="2052">
        <f>SNI!L992</f>
        <v>1</v>
      </c>
      <c r="L1320" s="2053"/>
      <c r="M1320" s="2054"/>
      <c r="N1320" s="2055">
        <f>SNI!I992</f>
        <v>96000</v>
      </c>
      <c r="O1320" s="2056"/>
      <c r="P1320" s="1969">
        <f t="shared" si="856"/>
        <v>480</v>
      </c>
      <c r="Q1320" s="1953"/>
      <c r="R1320" s="1954"/>
      <c r="S1320" s="1954">
        <f t="shared" si="857"/>
        <v>480</v>
      </c>
      <c r="T1320" s="1969">
        <f t="shared" si="858"/>
        <v>0</v>
      </c>
      <c r="U1320" s="2060"/>
      <c r="Z1320" s="1956"/>
      <c r="AA1320" s="1956"/>
      <c r="AJ1320" s="1960"/>
    </row>
    <row r="1321" spans="1:36" ht="21.95" customHeight="1" x14ac:dyDescent="0.2">
      <c r="B1321" s="2045"/>
      <c r="C1321" s="2046"/>
      <c r="D1321" s="2047" t="str">
        <f>SNI!E993</f>
        <v>Mandor</v>
      </c>
      <c r="E1321" s="2047"/>
      <c r="F1321" s="2048"/>
      <c r="G1321" s="2049">
        <f>SNI!H993</f>
        <v>8.0000000000000002E-3</v>
      </c>
      <c r="H1321" s="2050" t="str">
        <f>SNI!G993</f>
        <v>OH</v>
      </c>
      <c r="I1321" s="2051" t="str">
        <f>SNI!M993</f>
        <v>WNI</v>
      </c>
      <c r="J1321" s="2051"/>
      <c r="K1321" s="2052">
        <f>SNI!L993</f>
        <v>1</v>
      </c>
      <c r="L1321" s="2053"/>
      <c r="M1321" s="2054"/>
      <c r="N1321" s="2055">
        <f>SNI!I993</f>
        <v>90000</v>
      </c>
      <c r="O1321" s="2056"/>
      <c r="P1321" s="1969">
        <f t="shared" si="856"/>
        <v>720</v>
      </c>
      <c r="Q1321" s="1953"/>
      <c r="R1321" s="1954"/>
      <c r="S1321" s="1954">
        <f t="shared" si="857"/>
        <v>720</v>
      </c>
      <c r="T1321" s="1969">
        <f t="shared" si="858"/>
        <v>0</v>
      </c>
      <c r="U1321" s="2060"/>
      <c r="Z1321" s="1956"/>
      <c r="AA1321" s="1956"/>
      <c r="AJ1321" s="1960"/>
    </row>
    <row r="1322" spans="1:36" s="1957" customFormat="1" ht="21.95" customHeight="1" x14ac:dyDescent="0.2">
      <c r="A1322" s="1942"/>
      <c r="B1322" s="1970"/>
      <c r="C1322" s="1971"/>
      <c r="D1322" s="1972"/>
      <c r="E1322" s="1973"/>
      <c r="F1322" s="1974" t="s">
        <v>556</v>
      </c>
      <c r="G1322" s="1975">
        <f>B1314</f>
        <v>4</v>
      </c>
      <c r="H1322" s="1976"/>
      <c r="I1322" s="1977"/>
      <c r="J1322" s="1977"/>
      <c r="K1322" s="1978"/>
      <c r="L1322" s="1979"/>
      <c r="M1322" s="1980"/>
      <c r="N1322" s="1981"/>
      <c r="O1322" s="1982"/>
      <c r="P1322" s="1983">
        <f>SUM(P1316:P1321)</f>
        <v>34375</v>
      </c>
      <c r="Q1322" s="1984"/>
      <c r="R1322" s="1985"/>
      <c r="S1322" s="1983">
        <f t="shared" ref="S1322:T1322" si="859">SUM(S1316:S1321)</f>
        <v>19045</v>
      </c>
      <c r="T1322" s="1983">
        <f t="shared" si="859"/>
        <v>15330</v>
      </c>
      <c r="U1322" s="1986"/>
      <c r="V1322" s="1848"/>
      <c r="W1322" s="1848"/>
      <c r="X1322" s="1848"/>
      <c r="Y1322" s="1848"/>
      <c r="Z1322" s="1956"/>
      <c r="AA1322" s="1956"/>
      <c r="AF1322" s="1958"/>
      <c r="AG1322" s="1958"/>
      <c r="AH1322" s="1958"/>
      <c r="AI1322" s="1959"/>
      <c r="AJ1322" s="1960"/>
    </row>
    <row r="1323" spans="1:36" ht="21.95" customHeight="1" x14ac:dyDescent="0.2">
      <c r="A1323" s="1833">
        <f>satpek!B38</f>
        <v>19</v>
      </c>
      <c r="B1323" s="1943">
        <f>B1314+1</f>
        <v>5</v>
      </c>
      <c r="C1323" s="1937"/>
      <c r="D1323" s="1944" t="str">
        <f>VLOOKUP($A1323,satpek!$B$20:$N$144,2,0)</f>
        <v>Memasang lisplank woodplank</v>
      </c>
      <c r="E1323" s="1944"/>
      <c r="F1323" s="2004"/>
      <c r="G1323" s="1945">
        <f>'[3]B.VOL RAB'!Q432</f>
        <v>117.80000000000001</v>
      </c>
      <c r="H1323" s="1946" t="str">
        <f>VLOOKUP($A1323,satpek!$B$20:$N$144,7,0)</f>
        <v>m'</v>
      </c>
      <c r="I1323" s="1947"/>
      <c r="J1323" s="1947"/>
      <c r="K1323" s="1948"/>
      <c r="L1323" s="1949"/>
      <c r="M1323" s="1950" t="str">
        <f>VLOOKUP($A1323,satpek!$B$20:$N$144,5,0)</f>
        <v>An. Dihitung</v>
      </c>
      <c r="N1323" s="1951">
        <f>VLOOKUP($A1323,satpek!$B$20:$N$144,6,0)</f>
        <v>68139</v>
      </c>
      <c r="O1323" s="1938"/>
      <c r="P1323" s="1952">
        <f t="shared" si="837"/>
        <v>8026774.2000000002</v>
      </c>
      <c r="Q1323" s="1953">
        <f>VLOOKUP($A1323,satpek!$B$20:$L$138,8,0)</f>
        <v>0.69652404643449417</v>
      </c>
      <c r="R1323" s="1954">
        <f>VLOOKUP($A1323,satpek!$B$20:$L$138,9,0)</f>
        <v>42000.4</v>
      </c>
      <c r="S1323" s="1954">
        <f>VLOOKUP($A1323,satpek!$B$20:$L$138,10,0)</f>
        <v>47460.452000000005</v>
      </c>
      <c r="T1323" s="1952">
        <f>S1323*G1323</f>
        <v>5590841.245600001</v>
      </c>
      <c r="U1323" s="1955"/>
      <c r="X1323" s="1848">
        <f>P1332</f>
        <v>60300</v>
      </c>
      <c r="Y1323" s="1848">
        <f>S1332</f>
        <v>42000.4</v>
      </c>
      <c r="Z1323" s="1956">
        <v>117.80000000000001</v>
      </c>
      <c r="AA1323" s="1956">
        <f t="shared" si="835"/>
        <v>0</v>
      </c>
      <c r="AB1323" s="1836" t="s">
        <v>472</v>
      </c>
      <c r="AI1323" s="1910">
        <v>66110.649999999994</v>
      </c>
      <c r="AJ1323" s="1960">
        <f t="shared" si="836"/>
        <v>-2028.3500000000058</v>
      </c>
    </row>
    <row r="1324" spans="1:36" ht="21.95" customHeight="1" x14ac:dyDescent="0.2">
      <c r="B1324" s="2045"/>
      <c r="C1324" s="2046" t="str">
        <f>SNI!D349</f>
        <v>Bahan</v>
      </c>
      <c r="D1324" s="2047"/>
      <c r="E1324" s="2047"/>
      <c r="F1324" s="2048"/>
      <c r="G1324" s="2049"/>
      <c r="H1324" s="2050"/>
      <c r="I1324" s="2051"/>
      <c r="J1324" s="2051"/>
      <c r="K1324" s="2052"/>
      <c r="L1324" s="2053"/>
      <c r="M1324" s="2054"/>
      <c r="N1324" s="2055"/>
      <c r="O1324" s="2056"/>
      <c r="P1324" s="1969"/>
      <c r="Q1324" s="1953"/>
      <c r="R1324" s="1954"/>
      <c r="S1324" s="1954"/>
      <c r="T1324" s="1969"/>
      <c r="U1324" s="2060"/>
      <c r="Z1324" s="1956"/>
      <c r="AA1324" s="1956"/>
      <c r="AJ1324" s="1960"/>
    </row>
    <row r="1325" spans="1:36" ht="21.95" customHeight="1" x14ac:dyDescent="0.2">
      <c r="B1325" s="2045"/>
      <c r="C1325" s="2046"/>
      <c r="D1325" s="2047" t="str">
        <f>SNI!E349</f>
        <v>Woodplank</v>
      </c>
      <c r="E1325" s="2047"/>
      <c r="F1325" s="2048"/>
      <c r="G1325" s="2049">
        <f>SNI!H349</f>
        <v>1</v>
      </c>
      <c r="H1325" s="2050" t="str">
        <f>SNI!G349</f>
        <v>m'</v>
      </c>
      <c r="I1325" s="2051"/>
      <c r="J1325" s="2051"/>
      <c r="K1325" s="2052">
        <f>SNI!L349</f>
        <v>0.42759999999999998</v>
      </c>
      <c r="L1325" s="2053"/>
      <c r="M1325" s="2054"/>
      <c r="N1325" s="2055">
        <f>SNI!I349</f>
        <v>29000</v>
      </c>
      <c r="O1325" s="2056"/>
      <c r="P1325" s="1969">
        <f t="shared" ref="P1325" si="860">N1325*G1325</f>
        <v>29000</v>
      </c>
      <c r="Q1325" s="1953"/>
      <c r="R1325" s="1954"/>
      <c r="S1325" s="1954">
        <f t="shared" ref="S1325" si="861">P1325*K1325</f>
        <v>12400.4</v>
      </c>
      <c r="T1325" s="1969">
        <f t="shared" ref="T1325" si="862">P1325-S1325</f>
        <v>16599.599999999999</v>
      </c>
      <c r="U1325" s="2060"/>
      <c r="Z1325" s="1956"/>
      <c r="AA1325" s="1956"/>
      <c r="AJ1325" s="1960"/>
    </row>
    <row r="1326" spans="1:36" ht="21.95" customHeight="1" x14ac:dyDescent="0.2">
      <c r="B1326" s="2045"/>
      <c r="C1326" s="2046"/>
      <c r="D1326" s="2047" t="str">
        <f>SNI!E350</f>
        <v>Paku 5 dan 7 cm</v>
      </c>
      <c r="E1326" s="2047"/>
      <c r="F1326" s="2048"/>
      <c r="G1326" s="2049">
        <f>SNI!H350</f>
        <v>0.1</v>
      </c>
      <c r="H1326" s="2050" t="str">
        <f>SNI!G350</f>
        <v>kg</v>
      </c>
      <c r="I1326" s="2051"/>
      <c r="J1326" s="2051"/>
      <c r="K1326" s="2052">
        <f>SNI!L350</f>
        <v>0</v>
      </c>
      <c r="L1326" s="2053"/>
      <c r="M1326" s="2054"/>
      <c r="N1326" s="2055">
        <f>SNI!I350</f>
        <v>17000</v>
      </c>
      <c r="O1326" s="2056"/>
      <c r="P1326" s="1969">
        <f t="shared" ref="P1326:P1331" si="863">N1326*G1326</f>
        <v>1700</v>
      </c>
      <c r="Q1326" s="1953"/>
      <c r="R1326" s="1954"/>
      <c r="S1326" s="1954">
        <f t="shared" ref="S1326:S1331" si="864">P1326*K1326</f>
        <v>0</v>
      </c>
      <c r="T1326" s="1969">
        <f t="shared" ref="T1326:T1331" si="865">P1326-S1326</f>
        <v>1700</v>
      </c>
      <c r="U1326" s="2060"/>
      <c r="Z1326" s="1956"/>
      <c r="AA1326" s="1956"/>
      <c r="AJ1326" s="1960"/>
    </row>
    <row r="1327" spans="1:36" ht="21.95" customHeight="1" x14ac:dyDescent="0.2">
      <c r="B1327" s="2045"/>
      <c r="C1327" s="2046" t="str">
        <f>SNI!D352</f>
        <v>Tenaga Kerja</v>
      </c>
      <c r="D1327" s="2047"/>
      <c r="E1327" s="2047"/>
      <c r="F1327" s="2048"/>
      <c r="G1327" s="2049"/>
      <c r="H1327" s="2050"/>
      <c r="I1327" s="2051"/>
      <c r="J1327" s="2051"/>
      <c r="K1327" s="2052"/>
      <c r="L1327" s="2053"/>
      <c r="M1327" s="2054"/>
      <c r="N1327" s="2055"/>
      <c r="O1327" s="2056"/>
      <c r="P1327" s="1969"/>
      <c r="Q1327" s="1953"/>
      <c r="R1327" s="1954"/>
      <c r="S1327" s="1954"/>
      <c r="T1327" s="1969"/>
      <c r="U1327" s="2060"/>
      <c r="Z1327" s="1956"/>
      <c r="AA1327" s="1956"/>
      <c r="AJ1327" s="1960"/>
    </row>
    <row r="1328" spans="1:36" ht="21.95" customHeight="1" x14ac:dyDescent="0.2">
      <c r="B1328" s="2045"/>
      <c r="C1328" s="2046"/>
      <c r="D1328" s="2047" t="str">
        <f>SNI!E352</f>
        <v xml:space="preserve">Pekerja </v>
      </c>
      <c r="E1328" s="2047"/>
      <c r="F1328" s="2048"/>
      <c r="G1328" s="2049">
        <f>SNI!H352</f>
        <v>0.1</v>
      </c>
      <c r="H1328" s="2050" t="str">
        <f>SNI!G352</f>
        <v>OH</v>
      </c>
      <c r="I1328" s="2051" t="str">
        <f>SNI!M352</f>
        <v>WNI</v>
      </c>
      <c r="J1328" s="2051"/>
      <c r="K1328" s="2052">
        <f>SNI!L352</f>
        <v>1</v>
      </c>
      <c r="L1328" s="2053"/>
      <c r="M1328" s="2054"/>
      <c r="N1328" s="2055">
        <f>SNI!I352</f>
        <v>88300</v>
      </c>
      <c r="O1328" s="2056"/>
      <c r="P1328" s="1969">
        <f t="shared" si="863"/>
        <v>8830</v>
      </c>
      <c r="Q1328" s="1953"/>
      <c r="R1328" s="1954"/>
      <c r="S1328" s="1954">
        <f t="shared" si="864"/>
        <v>8830</v>
      </c>
      <c r="T1328" s="1969">
        <f t="shared" si="865"/>
        <v>0</v>
      </c>
      <c r="U1328" s="2060"/>
      <c r="Z1328" s="1956"/>
      <c r="AA1328" s="1956"/>
      <c r="AJ1328" s="1960"/>
    </row>
    <row r="1329" spans="1:36" ht="21.95" customHeight="1" x14ac:dyDescent="0.2">
      <c r="B1329" s="2045"/>
      <c r="C1329" s="2046"/>
      <c r="D1329" s="2047" t="str">
        <f>SNI!E353</f>
        <v>Tukang Kayu</v>
      </c>
      <c r="E1329" s="2047"/>
      <c r="F1329" s="2048"/>
      <c r="G1329" s="2049">
        <f>SNI!H353</f>
        <v>0.2</v>
      </c>
      <c r="H1329" s="2050" t="str">
        <f>SNI!G353</f>
        <v>OH</v>
      </c>
      <c r="I1329" s="2051" t="str">
        <f>SNI!M353</f>
        <v>WNI</v>
      </c>
      <c r="J1329" s="2051"/>
      <c r="K1329" s="2052">
        <f>SNI!L353</f>
        <v>1</v>
      </c>
      <c r="L1329" s="2053"/>
      <c r="M1329" s="2054"/>
      <c r="N1329" s="2055">
        <f>SNI!I353</f>
        <v>92000</v>
      </c>
      <c r="O1329" s="2056"/>
      <c r="P1329" s="1969">
        <f t="shared" si="863"/>
        <v>18400</v>
      </c>
      <c r="Q1329" s="1953"/>
      <c r="R1329" s="1954"/>
      <c r="S1329" s="1954">
        <f t="shared" si="864"/>
        <v>18400</v>
      </c>
      <c r="T1329" s="1969">
        <f t="shared" si="865"/>
        <v>0</v>
      </c>
      <c r="U1329" s="2060"/>
      <c r="Z1329" s="1956"/>
      <c r="AA1329" s="1956"/>
      <c r="AJ1329" s="1960"/>
    </row>
    <row r="1330" spans="1:36" ht="21.95" customHeight="1" x14ac:dyDescent="0.2">
      <c r="B1330" s="2045"/>
      <c r="C1330" s="2046"/>
      <c r="D1330" s="2047" t="str">
        <f>SNI!E354</f>
        <v>Kepala tukang</v>
      </c>
      <c r="E1330" s="2047"/>
      <c r="F1330" s="2048"/>
      <c r="G1330" s="2049">
        <f>SNI!H354</f>
        <v>0.02</v>
      </c>
      <c r="H1330" s="2050" t="str">
        <f>SNI!G354</f>
        <v>OH</v>
      </c>
      <c r="I1330" s="2051" t="str">
        <f>SNI!M354</f>
        <v>WNI</v>
      </c>
      <c r="J1330" s="2051"/>
      <c r="K1330" s="2052">
        <f>SNI!L354</f>
        <v>1</v>
      </c>
      <c r="L1330" s="2053"/>
      <c r="M1330" s="2054"/>
      <c r="N1330" s="2055">
        <f>SNI!I354</f>
        <v>96000</v>
      </c>
      <c r="O1330" s="2056"/>
      <c r="P1330" s="1969">
        <f t="shared" si="863"/>
        <v>1920</v>
      </c>
      <c r="Q1330" s="1953"/>
      <c r="R1330" s="1954"/>
      <c r="S1330" s="1954">
        <f t="shared" si="864"/>
        <v>1920</v>
      </c>
      <c r="T1330" s="1969">
        <f t="shared" si="865"/>
        <v>0</v>
      </c>
      <c r="U1330" s="2060"/>
      <c r="Z1330" s="1956"/>
      <c r="AA1330" s="1956"/>
      <c r="AJ1330" s="1960"/>
    </row>
    <row r="1331" spans="1:36" ht="21.95" customHeight="1" x14ac:dyDescent="0.2">
      <c r="B1331" s="2045"/>
      <c r="C1331" s="2046"/>
      <c r="D1331" s="2047" t="str">
        <f>SNI!E355</f>
        <v>Mandor</v>
      </c>
      <c r="E1331" s="2047"/>
      <c r="F1331" s="2048"/>
      <c r="G1331" s="2049">
        <f>SNI!H355</f>
        <v>5.0000000000000001E-3</v>
      </c>
      <c r="H1331" s="2050" t="str">
        <f>SNI!G355</f>
        <v>OH</v>
      </c>
      <c r="I1331" s="2051" t="str">
        <f>SNI!M355</f>
        <v>WNI</v>
      </c>
      <c r="J1331" s="2051"/>
      <c r="K1331" s="2052">
        <f>SNI!L355</f>
        <v>1</v>
      </c>
      <c r="L1331" s="2053"/>
      <c r="M1331" s="2054"/>
      <c r="N1331" s="2055">
        <f>SNI!I355</f>
        <v>90000</v>
      </c>
      <c r="O1331" s="2056"/>
      <c r="P1331" s="1969">
        <f t="shared" si="863"/>
        <v>450</v>
      </c>
      <c r="Q1331" s="1953"/>
      <c r="R1331" s="1954"/>
      <c r="S1331" s="1954">
        <f t="shared" si="864"/>
        <v>450</v>
      </c>
      <c r="T1331" s="1969">
        <f t="shared" si="865"/>
        <v>0</v>
      </c>
      <c r="U1331" s="2060"/>
      <c r="Z1331" s="1956"/>
      <c r="AA1331" s="1956"/>
      <c r="AJ1331" s="1960"/>
    </row>
    <row r="1332" spans="1:36" s="1957" customFormat="1" ht="21.95" customHeight="1" x14ac:dyDescent="0.2">
      <c r="A1332" s="1942"/>
      <c r="B1332" s="1970"/>
      <c r="C1332" s="1971"/>
      <c r="D1332" s="1972"/>
      <c r="E1332" s="1973"/>
      <c r="F1332" s="1974" t="s">
        <v>556</v>
      </c>
      <c r="G1332" s="1975">
        <f>B1323</f>
        <v>5</v>
      </c>
      <c r="H1332" s="1976"/>
      <c r="I1332" s="1977"/>
      <c r="J1332" s="1977"/>
      <c r="K1332" s="1978"/>
      <c r="L1332" s="1979"/>
      <c r="M1332" s="1980"/>
      <c r="N1332" s="1981"/>
      <c r="O1332" s="1982"/>
      <c r="P1332" s="1983">
        <f>SUM(P1325:P1331)</f>
        <v>60300</v>
      </c>
      <c r="Q1332" s="1984"/>
      <c r="R1332" s="1985"/>
      <c r="S1332" s="1983">
        <f t="shared" ref="S1332:T1332" si="866">SUM(S1325:S1331)</f>
        <v>42000.4</v>
      </c>
      <c r="T1332" s="1983">
        <f t="shared" si="866"/>
        <v>18299.599999999999</v>
      </c>
      <c r="U1332" s="1986"/>
      <c r="V1332" s="1848"/>
      <c r="W1332" s="1848"/>
      <c r="X1332" s="1848"/>
      <c r="Y1332" s="1848"/>
      <c r="Z1332" s="1956"/>
      <c r="AA1332" s="1956"/>
      <c r="AF1332" s="1958"/>
      <c r="AG1332" s="1958"/>
      <c r="AH1332" s="1958"/>
      <c r="AI1332" s="1959"/>
      <c r="AJ1332" s="1960"/>
    </row>
    <row r="1333" spans="1:36" ht="21.95" customHeight="1" x14ac:dyDescent="0.2">
      <c r="B1333" s="2017"/>
      <c r="C1333" s="2018"/>
      <c r="D1333" s="2019"/>
      <c r="E1333" s="2019"/>
      <c r="F1333" s="2020"/>
      <c r="G1333" s="2021"/>
      <c r="H1333" s="2022"/>
      <c r="I1333" s="2023"/>
      <c r="J1333" s="2023"/>
      <c r="K1333" s="2024"/>
      <c r="L1333" s="2025"/>
      <c r="M1333" s="2025"/>
      <c r="N1333" s="2026"/>
      <c r="O1333" s="2027"/>
      <c r="P1333" s="2065" t="s">
        <v>1823</v>
      </c>
      <c r="Q1333" s="2029">
        <f>AVERAGE(Q1291:Q1323)</f>
        <v>0.61949623085402861</v>
      </c>
      <c r="R1333" s="2023"/>
      <c r="S1333" s="2023"/>
      <c r="T1333" s="2068">
        <f>SUM(T1292:T1323)</f>
        <v>272483583.21457165</v>
      </c>
      <c r="U1333" s="2031"/>
      <c r="V1333" s="1848">
        <f>[3]HPS!M190</f>
        <v>551859626.79000008</v>
      </c>
      <c r="W1333" s="1848" t="e">
        <f>#REF!-V1333</f>
        <v>#REF!</v>
      </c>
      <c r="Z1333" s="1956"/>
      <c r="AA1333" s="1956">
        <f t="shared" si="835"/>
        <v>0</v>
      </c>
      <c r="AB1333" s="2061"/>
      <c r="AJ1333" s="1960">
        <f t="shared" si="836"/>
        <v>0</v>
      </c>
    </row>
    <row r="1334" spans="1:36" ht="21.95" customHeight="1" x14ac:dyDescent="0.2">
      <c r="B1334" s="2032" t="s">
        <v>1824</v>
      </c>
      <c r="C1334" s="1928"/>
      <c r="D1334" s="1929" t="s">
        <v>1620</v>
      </c>
      <c r="E1334" s="2082"/>
      <c r="F1334" s="2083"/>
      <c r="G1334" s="1945"/>
      <c r="H1334" s="2084"/>
      <c r="I1334" s="2085"/>
      <c r="J1334" s="2085"/>
      <c r="K1334" s="2086"/>
      <c r="L1334" s="2087"/>
      <c r="M1334" s="2087"/>
      <c r="N1334" s="2088"/>
      <c r="O1334" s="2089"/>
      <c r="P1334" s="2090"/>
      <c r="Q1334" s="2085"/>
      <c r="R1334" s="2085"/>
      <c r="S1334" s="2085"/>
      <c r="T1334" s="2091"/>
      <c r="U1334" s="2092"/>
      <c r="Z1334" s="1956"/>
      <c r="AA1334" s="1956">
        <f t="shared" si="835"/>
        <v>0</v>
      </c>
      <c r="AB1334" s="1836" t="s">
        <v>1620</v>
      </c>
      <c r="AJ1334" s="1960">
        <f t="shared" si="836"/>
        <v>0</v>
      </c>
    </row>
    <row r="1335" spans="1:36" ht="21.95" customHeight="1" x14ac:dyDescent="0.2">
      <c r="B1335" s="2032"/>
      <c r="C1335" s="1928"/>
      <c r="D1335" s="1929" t="s">
        <v>1769</v>
      </c>
      <c r="E1335" s="2082"/>
      <c r="F1335" s="2083"/>
      <c r="G1335" s="1945"/>
      <c r="H1335" s="2084"/>
      <c r="I1335" s="2085"/>
      <c r="J1335" s="2085"/>
      <c r="K1335" s="2086"/>
      <c r="L1335" s="2087"/>
      <c r="M1335" s="2087"/>
      <c r="N1335" s="2088"/>
      <c r="O1335" s="2089"/>
      <c r="P1335" s="2090"/>
      <c r="Q1335" s="2085"/>
      <c r="R1335" s="2085"/>
      <c r="S1335" s="2085"/>
      <c r="T1335" s="2091"/>
      <c r="U1335" s="2092"/>
      <c r="Z1335" s="1956"/>
      <c r="AA1335" s="1956">
        <f t="shared" si="835"/>
        <v>0</v>
      </c>
      <c r="AB1335" s="1836" t="s">
        <v>1769</v>
      </c>
      <c r="AJ1335" s="1960">
        <f t="shared" si="836"/>
        <v>0</v>
      </c>
    </row>
    <row r="1336" spans="1:36" ht="21.95" customHeight="1" x14ac:dyDescent="0.2">
      <c r="B1336" s="2032"/>
      <c r="C1336" s="1928"/>
      <c r="D1336" s="1944" t="s">
        <v>1825</v>
      </c>
      <c r="E1336" s="2082"/>
      <c r="F1336" s="2083"/>
      <c r="G1336" s="1945"/>
      <c r="H1336" s="2084"/>
      <c r="I1336" s="2085"/>
      <c r="J1336" s="2085"/>
      <c r="K1336" s="2086"/>
      <c r="L1336" s="2087"/>
      <c r="M1336" s="2087"/>
      <c r="N1336" s="2088"/>
      <c r="O1336" s="2089"/>
      <c r="P1336" s="2090"/>
      <c r="Q1336" s="2085"/>
      <c r="R1336" s="2085"/>
      <c r="S1336" s="2085"/>
      <c r="T1336" s="2091"/>
      <c r="U1336" s="2092"/>
      <c r="Z1336" s="1956"/>
      <c r="AA1336" s="1956">
        <f t="shared" si="835"/>
        <v>0</v>
      </c>
      <c r="AB1336" s="1836" t="s">
        <v>1825</v>
      </c>
      <c r="AJ1336" s="1960">
        <f t="shared" si="836"/>
        <v>0</v>
      </c>
    </row>
    <row r="1337" spans="1:36" ht="21.95" customHeight="1" x14ac:dyDescent="0.2">
      <c r="A1337" s="1833">
        <f>satpek!B114</f>
        <v>95</v>
      </c>
      <c r="B1337" s="1987">
        <v>1</v>
      </c>
      <c r="C1337" s="1928"/>
      <c r="D1337" s="1944" t="str">
        <f>VLOOKUP($A1337,satpek!$B$20:$N$144,2,0)</f>
        <v>Pintu utama kaca tempered 12 mm</v>
      </c>
      <c r="E1337" s="2082"/>
      <c r="F1337" s="2083"/>
      <c r="G1337" s="1945">
        <v>1</v>
      </c>
      <c r="H1337" s="1946" t="str">
        <f>VLOOKUP($A1337,satpek!$B$20:$N$144,7,0)</f>
        <v>unit</v>
      </c>
      <c r="I1337" s="1947"/>
      <c r="J1337" s="1947"/>
      <c r="K1337" s="1948"/>
      <c r="L1337" s="1949"/>
      <c r="M1337" s="1950" t="str">
        <f>VLOOKUP($A1337,satpek!$B$20:$N$144,5,0)</f>
        <v>Daftar harga</v>
      </c>
      <c r="N1337" s="1951">
        <f>VLOOKUP($A1337,satpek!$B$20:$N$144,6,0)</f>
        <v>16000000</v>
      </c>
      <c r="O1337" s="1938"/>
      <c r="P1337" s="1952">
        <f t="shared" ref="P1337:P1388" si="867">ROUND((G1337*N1337),2)</f>
        <v>16000000</v>
      </c>
      <c r="Q1337" s="1953">
        <f>VLOOKUP($A1337,satpek!$B$20:$L$138,8,0)</f>
        <v>0.25</v>
      </c>
      <c r="R1337" s="1954">
        <f>VLOOKUP($A1337,satpek!$B$20:$L$138,9,0)</f>
        <v>0</v>
      </c>
      <c r="S1337" s="1954">
        <f>VLOOKUP($A1337,satpek!$B$20:$L$138,10,0)</f>
        <v>4000000</v>
      </c>
      <c r="T1337" s="1952">
        <f t="shared" ref="T1337:T1388" si="868">S1337*G1337</f>
        <v>4000000</v>
      </c>
      <c r="U1337" s="1955"/>
      <c r="X1337" s="1848">
        <f>P1338</f>
        <v>16000000</v>
      </c>
      <c r="Y1337" s="1848">
        <f>S1338</f>
        <v>4000000</v>
      </c>
      <c r="Z1337" s="1956">
        <v>1</v>
      </c>
      <c r="AA1337" s="1956">
        <f t="shared" si="835"/>
        <v>0</v>
      </c>
      <c r="AB1337" s="1836" t="s">
        <v>1826</v>
      </c>
      <c r="AI1337" s="1910">
        <v>17000000</v>
      </c>
      <c r="AJ1337" s="1960">
        <f t="shared" si="836"/>
        <v>1000000</v>
      </c>
    </row>
    <row r="1338" spans="1:36" s="1957" customFormat="1" ht="21.95" customHeight="1" x14ac:dyDescent="0.2">
      <c r="A1338" s="1942"/>
      <c r="B1338" s="1970"/>
      <c r="C1338" s="1971"/>
      <c r="D1338" s="1972" t="str">
        <f>D1337</f>
        <v>Pintu utama kaca tempered 12 mm</v>
      </c>
      <c r="E1338" s="1973"/>
      <c r="F1338" s="1974"/>
      <c r="G1338" s="1975">
        <f>G1337</f>
        <v>1</v>
      </c>
      <c r="H1338" s="1976" t="str">
        <f>H1337</f>
        <v>unit</v>
      </c>
      <c r="I1338" s="1977"/>
      <c r="J1338" s="1977"/>
      <c r="K1338" s="1978">
        <f>satpek!I114</f>
        <v>0.25</v>
      </c>
      <c r="L1338" s="1979"/>
      <c r="M1338" s="1980"/>
      <c r="N1338" s="1981">
        <f>N1337</f>
        <v>16000000</v>
      </c>
      <c r="O1338" s="1982"/>
      <c r="P1338" s="1983">
        <f>N1338</f>
        <v>16000000</v>
      </c>
      <c r="Q1338" s="1984"/>
      <c r="R1338" s="1985"/>
      <c r="S1338" s="1983">
        <f>K1338*N1338</f>
        <v>4000000</v>
      </c>
      <c r="T1338" s="1983">
        <f>N1338-S1338</f>
        <v>12000000</v>
      </c>
      <c r="U1338" s="1986"/>
      <c r="V1338" s="1848"/>
      <c r="W1338" s="1848"/>
      <c r="X1338" s="1848"/>
      <c r="Y1338" s="1848"/>
      <c r="Z1338" s="1956"/>
      <c r="AA1338" s="1956"/>
      <c r="AF1338" s="1958"/>
      <c r="AG1338" s="1958"/>
      <c r="AH1338" s="1958"/>
      <c r="AI1338" s="1959"/>
      <c r="AJ1338" s="1960"/>
    </row>
    <row r="1339" spans="1:36" ht="21.95" customHeight="1" x14ac:dyDescent="0.2">
      <c r="A1339" s="1833">
        <f>satpek!B118</f>
        <v>99</v>
      </c>
      <c r="B1339" s="1987">
        <f>B1337+1</f>
        <v>2</v>
      </c>
      <c r="C1339" s="1928"/>
      <c r="D1339" s="1944" t="str">
        <f>VLOOKUP($A1339,satpek!$B$20:$N$144,2,0)</f>
        <v>doorcloser tanam</v>
      </c>
      <c r="E1339" s="2082"/>
      <c r="F1339" s="2083"/>
      <c r="G1339" s="1945">
        <v>2</v>
      </c>
      <c r="H1339" s="1946" t="str">
        <f>VLOOKUP($A1339,satpek!$B$20:$N$144,7,0)</f>
        <v>bh</v>
      </c>
      <c r="I1339" s="1947"/>
      <c r="J1339" s="1947"/>
      <c r="K1339" s="1948"/>
      <c r="L1339" s="1949"/>
      <c r="M1339" s="1950" t="str">
        <f>VLOOKUP($A1339,satpek!$B$20:$N$144,5,0)</f>
        <v>Daftar harga</v>
      </c>
      <c r="N1339" s="1951">
        <f>VLOOKUP($A1339,satpek!$B$20:$N$144,6,0)</f>
        <v>850000</v>
      </c>
      <c r="O1339" s="1938"/>
      <c r="P1339" s="1952">
        <f t="shared" si="867"/>
        <v>1700000</v>
      </c>
      <c r="Q1339" s="1953">
        <f>VLOOKUP($A1339,satpek!$B$20:$L$138,8,0)</f>
        <v>0.5</v>
      </c>
      <c r="R1339" s="1954">
        <f>VLOOKUP($A1339,satpek!$B$20:$L$138,9,0)</f>
        <v>0</v>
      </c>
      <c r="S1339" s="1954">
        <f>VLOOKUP($A1339,satpek!$B$20:$L$138,10,0)</f>
        <v>425000</v>
      </c>
      <c r="T1339" s="1952">
        <f t="shared" si="868"/>
        <v>850000</v>
      </c>
      <c r="U1339" s="1955"/>
      <c r="X1339" s="1848">
        <f>P1340</f>
        <v>850000</v>
      </c>
      <c r="Y1339" s="1848">
        <f>S1340</f>
        <v>255000</v>
      </c>
      <c r="Z1339" s="1956">
        <v>2</v>
      </c>
      <c r="AA1339" s="1956">
        <f t="shared" si="835"/>
        <v>0</v>
      </c>
      <c r="AB1339" s="1836" t="s">
        <v>1827</v>
      </c>
      <c r="AI1339" s="1910">
        <v>850000</v>
      </c>
      <c r="AJ1339" s="1960">
        <f t="shared" si="836"/>
        <v>0</v>
      </c>
    </row>
    <row r="1340" spans="1:36" s="1957" customFormat="1" ht="21.95" customHeight="1" x14ac:dyDescent="0.2">
      <c r="A1340" s="1942"/>
      <c r="B1340" s="1970"/>
      <c r="C1340" s="1971"/>
      <c r="D1340" s="1972" t="str">
        <f>D1339</f>
        <v>doorcloser tanam</v>
      </c>
      <c r="E1340" s="1973"/>
      <c r="F1340" s="1974"/>
      <c r="G1340" s="1975">
        <f>G1339</f>
        <v>2</v>
      </c>
      <c r="H1340" s="1976" t="str">
        <f>H1339</f>
        <v>bh</v>
      </c>
      <c r="I1340" s="1977"/>
      <c r="J1340" s="1977"/>
      <c r="K1340" s="1978">
        <f>satpek!I116</f>
        <v>0.3</v>
      </c>
      <c r="L1340" s="1979"/>
      <c r="M1340" s="1980"/>
      <c r="N1340" s="1981">
        <f>N1339</f>
        <v>850000</v>
      </c>
      <c r="O1340" s="1982"/>
      <c r="P1340" s="1983">
        <f>N1340</f>
        <v>850000</v>
      </c>
      <c r="Q1340" s="1984"/>
      <c r="R1340" s="1985"/>
      <c r="S1340" s="1983">
        <f>K1340*N1340</f>
        <v>255000</v>
      </c>
      <c r="T1340" s="1983">
        <f>N1340-S1340</f>
        <v>595000</v>
      </c>
      <c r="U1340" s="1986"/>
      <c r="V1340" s="1848"/>
      <c r="W1340" s="1848"/>
      <c r="X1340" s="1848"/>
      <c r="Y1340" s="1848"/>
      <c r="Z1340" s="1956"/>
      <c r="AA1340" s="1956"/>
      <c r="AF1340" s="1958"/>
      <c r="AG1340" s="1958"/>
      <c r="AH1340" s="1958"/>
      <c r="AI1340" s="1959"/>
      <c r="AJ1340" s="1960"/>
    </row>
    <row r="1341" spans="1:36" ht="21.95" customHeight="1" x14ac:dyDescent="0.2">
      <c r="A1341" s="1833">
        <f>satpek!$B$54</f>
        <v>35</v>
      </c>
      <c r="B1341" s="1987">
        <f>B1339+1</f>
        <v>3</v>
      </c>
      <c r="C1341" s="1937"/>
      <c r="D1341" s="1944" t="str">
        <f>VLOOKUP($A1341,satpek!$B$20:$N$144,2,0)</f>
        <v xml:space="preserve">Memasang kusen pintu/jendela alluminium </v>
      </c>
      <c r="E1341" s="1944"/>
      <c r="F1341" s="2004"/>
      <c r="G1341" s="1945">
        <f>'[3]B.VOL RAB'!Q437</f>
        <v>560.6</v>
      </c>
      <c r="H1341" s="1946" t="str">
        <f>VLOOKUP($A1341,satpek!$B$20:$N$144,7,0)</f>
        <v>m'</v>
      </c>
      <c r="I1341" s="1947"/>
      <c r="J1341" s="1947"/>
      <c r="K1341" s="1948"/>
      <c r="L1341" s="1949"/>
      <c r="M1341" s="1950" t="str">
        <f>VLOOKUP($A1341,satpek!$B$20:$N$144,5,0)</f>
        <v>A.4.2.1.11.</v>
      </c>
      <c r="N1341" s="1951">
        <f>VLOOKUP($A1341,satpek!$B$20:$N$144,6,0)</f>
        <v>152243.43000000002</v>
      </c>
      <c r="O1341" s="1938"/>
      <c r="P1341" s="1952">
        <f t="shared" si="867"/>
        <v>85347666.859999999</v>
      </c>
      <c r="Q1341" s="1953">
        <f>VLOOKUP($A1341,satpek!$B$20:$L$138,8,0)</f>
        <v>0.52703841126649331</v>
      </c>
      <c r="R1341" s="1954">
        <f>VLOOKUP($A1341,satpek!$B$20:$L$138,9,0)</f>
        <v>71007.199999999997</v>
      </c>
      <c r="S1341" s="1954">
        <f>VLOOKUP($A1341,satpek!$B$20:$L$138,10,0)</f>
        <v>80238.135999999999</v>
      </c>
      <c r="T1341" s="1952">
        <f t="shared" si="868"/>
        <v>44981499.041600004</v>
      </c>
      <c r="U1341" s="1955"/>
      <c r="X1341" s="1848">
        <f>P1351</f>
        <v>134728.69999999998</v>
      </c>
      <c r="Y1341" s="1848">
        <f>S1351</f>
        <v>71007.199999999997</v>
      </c>
      <c r="Z1341" s="1956">
        <v>560.6</v>
      </c>
      <c r="AA1341" s="1956">
        <f t="shared" si="835"/>
        <v>0</v>
      </c>
      <c r="AB1341" s="1836" t="s">
        <v>1080</v>
      </c>
      <c r="AI1341" s="1910">
        <v>139049.89000000001</v>
      </c>
      <c r="AJ1341" s="1960">
        <f t="shared" si="836"/>
        <v>-13193.540000000008</v>
      </c>
    </row>
    <row r="1342" spans="1:36" ht="21.95" customHeight="1" x14ac:dyDescent="0.2">
      <c r="B1342" s="1987"/>
      <c r="C1342" s="2046" t="str">
        <f>SNI!$D$696</f>
        <v>Bahan</v>
      </c>
      <c r="D1342" s="2047"/>
      <c r="E1342" s="2047"/>
      <c r="F1342" s="2048"/>
      <c r="G1342" s="2049"/>
      <c r="H1342" s="2050"/>
      <c r="I1342" s="2051"/>
      <c r="J1342" s="2051"/>
      <c r="K1342" s="2052"/>
      <c r="L1342" s="2053"/>
      <c r="M1342" s="2054"/>
      <c r="N1342" s="2055"/>
      <c r="O1342" s="2056"/>
      <c r="P1342" s="2057"/>
      <c r="Q1342" s="2058"/>
      <c r="R1342" s="2059"/>
      <c r="S1342" s="2059"/>
      <c r="T1342" s="2057"/>
      <c r="U1342" s="2060"/>
      <c r="Z1342" s="1956"/>
      <c r="AA1342" s="1956"/>
      <c r="AJ1342" s="1960"/>
    </row>
    <row r="1343" spans="1:36" ht="21.95" customHeight="1" x14ac:dyDescent="0.2">
      <c r="B1343" s="1987"/>
      <c r="C1343" s="2046"/>
      <c r="D1343" s="2047" t="str">
        <f>SNI!$E$696</f>
        <v>Profil allumunium</v>
      </c>
      <c r="E1343" s="2047"/>
      <c r="F1343" s="2048"/>
      <c r="G1343" s="2049">
        <f>SNI!$H$696</f>
        <v>1.1000000000000001</v>
      </c>
      <c r="H1343" s="2050" t="str">
        <f>SNI!$G$696</f>
        <v>m</v>
      </c>
      <c r="I1343" s="2051"/>
      <c r="J1343" s="2051"/>
      <c r="K1343" s="2052">
        <f>SNI!$L$696</f>
        <v>0.51849999999999996</v>
      </c>
      <c r="L1343" s="2053"/>
      <c r="M1343" s="2054"/>
      <c r="N1343" s="2055">
        <f>SNI!$I$696</f>
        <v>110000</v>
      </c>
      <c r="O1343" s="2056"/>
      <c r="P1343" s="1969">
        <f t="shared" ref="P1343" si="869">N1343*G1343</f>
        <v>121000.00000000001</v>
      </c>
      <c r="Q1343" s="1953"/>
      <c r="R1343" s="1954"/>
      <c r="S1343" s="1954">
        <f t="shared" ref="S1343" si="870">P1343*K1343</f>
        <v>62738.5</v>
      </c>
      <c r="T1343" s="1969">
        <f t="shared" ref="T1343" si="871">P1343-S1343</f>
        <v>58261.500000000015</v>
      </c>
      <c r="U1343" s="2060"/>
      <c r="Z1343" s="1956"/>
      <c r="AA1343" s="1956"/>
      <c r="AJ1343" s="1960"/>
    </row>
    <row r="1344" spans="1:36" ht="21.95" customHeight="1" x14ac:dyDescent="0.2">
      <c r="B1344" s="1987"/>
      <c r="C1344" s="2046"/>
      <c r="D1344" s="2047" t="str">
        <f>SNI!$E$697</f>
        <v>Skrup fisher</v>
      </c>
      <c r="E1344" s="2047"/>
      <c r="F1344" s="2048"/>
      <c r="G1344" s="2049">
        <f>SNI!$H$697</f>
        <v>2</v>
      </c>
      <c r="H1344" s="2050" t="str">
        <f>SNI!$G$697</f>
        <v>buah</v>
      </c>
      <c r="I1344" s="2051"/>
      <c r="J1344" s="2051"/>
      <c r="K1344" s="2052">
        <f>SNI!$L$697</f>
        <v>0</v>
      </c>
      <c r="L1344" s="2053"/>
      <c r="M1344" s="2054"/>
      <c r="N1344" s="2055">
        <f>SNI!$I$697</f>
        <v>570</v>
      </c>
      <c r="O1344" s="2056"/>
      <c r="P1344" s="1969">
        <f t="shared" ref="P1344:P1349" si="872">N1344*G1344</f>
        <v>1140</v>
      </c>
      <c r="Q1344" s="1953"/>
      <c r="R1344" s="1954"/>
      <c r="S1344" s="1954">
        <f t="shared" ref="S1344:S1349" si="873">P1344*K1344</f>
        <v>0</v>
      </c>
      <c r="T1344" s="1969">
        <f t="shared" ref="T1344:T1349" si="874">P1344-S1344</f>
        <v>1140</v>
      </c>
      <c r="U1344" s="2060"/>
      <c r="Z1344" s="1956"/>
      <c r="AA1344" s="1956"/>
      <c r="AJ1344" s="1960"/>
    </row>
    <row r="1345" spans="1:36" ht="21.95" customHeight="1" x14ac:dyDescent="0.2">
      <c r="B1345" s="1987"/>
      <c r="C1345" s="2046"/>
      <c r="D1345" s="2047" t="str">
        <f>SNI!$E$698</f>
        <v>Sealant</v>
      </c>
      <c r="E1345" s="2047"/>
      <c r="F1345" s="2048"/>
      <c r="G1345" s="2049">
        <f>SNI!$H$698</f>
        <v>0.06</v>
      </c>
      <c r="H1345" s="2050" t="str">
        <f>SNI!$G$698</f>
        <v>tube</v>
      </c>
      <c r="I1345" s="2051"/>
      <c r="J1345" s="2051"/>
      <c r="K1345" s="2052">
        <f>SNI!$L$698</f>
        <v>0</v>
      </c>
      <c r="L1345" s="2053"/>
      <c r="M1345" s="2054"/>
      <c r="N1345" s="2055">
        <f>SNI!$I$698</f>
        <v>72000</v>
      </c>
      <c r="O1345" s="2056"/>
      <c r="P1345" s="1969">
        <f t="shared" si="872"/>
        <v>4320</v>
      </c>
      <c r="Q1345" s="1953"/>
      <c r="R1345" s="1954"/>
      <c r="S1345" s="1954">
        <f t="shared" si="873"/>
        <v>0</v>
      </c>
      <c r="T1345" s="1969">
        <f t="shared" si="874"/>
        <v>4320</v>
      </c>
      <c r="U1345" s="2060"/>
      <c r="Z1345" s="1956"/>
      <c r="AA1345" s="1956"/>
      <c r="AJ1345" s="1960"/>
    </row>
    <row r="1346" spans="1:36" ht="21.95" customHeight="1" x14ac:dyDescent="0.2">
      <c r="B1346" s="1987"/>
      <c r="C1346" s="2046" t="str">
        <f>SNI!$D$700</f>
        <v>Tenaga Kerja</v>
      </c>
      <c r="D1346" s="2047"/>
      <c r="E1346" s="2047"/>
      <c r="F1346" s="2048"/>
      <c r="G1346" s="2049"/>
      <c r="H1346" s="2050"/>
      <c r="I1346" s="2051"/>
      <c r="J1346" s="2051"/>
      <c r="K1346" s="2052"/>
      <c r="L1346" s="2053"/>
      <c r="M1346" s="2054"/>
      <c r="N1346" s="2055"/>
      <c r="O1346" s="2056"/>
      <c r="P1346" s="1969"/>
      <c r="Q1346" s="1953"/>
      <c r="R1346" s="1954"/>
      <c r="S1346" s="1954"/>
      <c r="T1346" s="1969"/>
      <c r="U1346" s="2060"/>
      <c r="Z1346" s="1956"/>
      <c r="AA1346" s="1956"/>
      <c r="AJ1346" s="1960"/>
    </row>
    <row r="1347" spans="1:36" ht="21.95" customHeight="1" x14ac:dyDescent="0.2">
      <c r="B1347" s="1987"/>
      <c r="C1347" s="2046"/>
      <c r="D1347" s="2047" t="str">
        <f>SNI!$E$700</f>
        <v xml:space="preserve">Pekerja </v>
      </c>
      <c r="E1347" s="2047"/>
      <c r="F1347" s="2048"/>
      <c r="G1347" s="2049">
        <f>SNI!$H$700</f>
        <v>4.2999999999999997E-2</v>
      </c>
      <c r="H1347" s="2050" t="str">
        <f>SNI!$G$700</f>
        <v>OH</v>
      </c>
      <c r="I1347" s="2051" t="str">
        <f>SNI!$M$700</f>
        <v>WNI</v>
      </c>
      <c r="J1347" s="2051"/>
      <c r="K1347" s="2052">
        <f>SNI!$L$700</f>
        <v>1</v>
      </c>
      <c r="L1347" s="2053"/>
      <c r="M1347" s="2054"/>
      <c r="N1347" s="2055">
        <f>SNI!$I$700</f>
        <v>88300</v>
      </c>
      <c r="O1347" s="2056"/>
      <c r="P1347" s="1969">
        <f t="shared" si="872"/>
        <v>3796.8999999999996</v>
      </c>
      <c r="Q1347" s="1953"/>
      <c r="R1347" s="1954"/>
      <c r="S1347" s="1954">
        <f t="shared" si="873"/>
        <v>3796.8999999999996</v>
      </c>
      <c r="T1347" s="1969">
        <f t="shared" si="874"/>
        <v>0</v>
      </c>
      <c r="U1347" s="2060"/>
      <c r="Z1347" s="1956"/>
      <c r="AA1347" s="1956"/>
      <c r="AJ1347" s="1960"/>
    </row>
    <row r="1348" spans="1:36" ht="21.95" customHeight="1" x14ac:dyDescent="0.2">
      <c r="B1348" s="1987"/>
      <c r="C1348" s="2046"/>
      <c r="D1348" s="2047" t="str">
        <f>SNI!$E$701</f>
        <v>Tukang khusus allumunium</v>
      </c>
      <c r="E1348" s="2047"/>
      <c r="F1348" s="2048"/>
      <c r="G1348" s="2049">
        <f>SNI!$H$701</f>
        <v>4.2999999999999997E-2</v>
      </c>
      <c r="H1348" s="2050" t="str">
        <f>SNI!$G$701</f>
        <v>OH</v>
      </c>
      <c r="I1348" s="2051" t="str">
        <f>SNI!$M$701</f>
        <v>WNI</v>
      </c>
      <c r="J1348" s="2051"/>
      <c r="K1348" s="2052">
        <f>SNI!$L$701</f>
        <v>1</v>
      </c>
      <c r="L1348" s="2053"/>
      <c r="M1348" s="2054"/>
      <c r="N1348" s="2055">
        <f>SNI!$I$701</f>
        <v>90000</v>
      </c>
      <c r="O1348" s="2056"/>
      <c r="P1348" s="1969">
        <f t="shared" si="872"/>
        <v>3869.9999999999995</v>
      </c>
      <c r="Q1348" s="1953"/>
      <c r="R1348" s="1954"/>
      <c r="S1348" s="1954">
        <f t="shared" si="873"/>
        <v>3869.9999999999995</v>
      </c>
      <c r="T1348" s="1969">
        <f t="shared" si="874"/>
        <v>0</v>
      </c>
      <c r="U1348" s="2060"/>
      <c r="Z1348" s="1956"/>
      <c r="AA1348" s="1956"/>
      <c r="AJ1348" s="1960"/>
    </row>
    <row r="1349" spans="1:36" ht="21.95" customHeight="1" x14ac:dyDescent="0.2">
      <c r="B1349" s="1987"/>
      <c r="C1349" s="2046"/>
      <c r="D1349" s="2047" t="str">
        <f>SNI!$E$702</f>
        <v>Kepala Tukang</v>
      </c>
      <c r="E1349" s="2047"/>
      <c r="F1349" s="2048"/>
      <c r="G1349" s="2049">
        <f>SNI!$H$702</f>
        <v>4.3E-3</v>
      </c>
      <c r="H1349" s="2050" t="str">
        <f>SNI!$G$702</f>
        <v>OH</v>
      </c>
      <c r="I1349" s="2051" t="str">
        <f>SNI!$M$702</f>
        <v>WNI</v>
      </c>
      <c r="J1349" s="2051"/>
      <c r="K1349" s="2052">
        <f>SNI!$L$702</f>
        <v>1</v>
      </c>
      <c r="L1349" s="2053"/>
      <c r="M1349" s="2054"/>
      <c r="N1349" s="2055">
        <f>SNI!$I$702</f>
        <v>96000</v>
      </c>
      <c r="O1349" s="2056"/>
      <c r="P1349" s="1969">
        <f t="shared" si="872"/>
        <v>412.8</v>
      </c>
      <c r="Q1349" s="1953"/>
      <c r="R1349" s="1954"/>
      <c r="S1349" s="1954">
        <f t="shared" si="873"/>
        <v>412.8</v>
      </c>
      <c r="T1349" s="1969">
        <f t="shared" si="874"/>
        <v>0</v>
      </c>
      <c r="U1349" s="2060"/>
      <c r="Z1349" s="1956"/>
      <c r="AA1349" s="1956"/>
      <c r="AJ1349" s="1960"/>
    </row>
    <row r="1350" spans="1:36" ht="21.95" customHeight="1" x14ac:dyDescent="0.2">
      <c r="B1350" s="1987"/>
      <c r="C1350" s="2046"/>
      <c r="D1350" s="2047" t="str">
        <f>SNI!$E$703</f>
        <v>Mandor</v>
      </c>
      <c r="E1350" s="2047"/>
      <c r="F1350" s="2048"/>
      <c r="G1350" s="2049">
        <f>SNI!$H$703</f>
        <v>2.0999999999999999E-3</v>
      </c>
      <c r="H1350" s="2050" t="str">
        <f>SNI!$G$703</f>
        <v>OH</v>
      </c>
      <c r="I1350" s="2051" t="str">
        <f>SNI!$M$703</f>
        <v>WNI</v>
      </c>
      <c r="J1350" s="2051"/>
      <c r="K1350" s="2052">
        <f>SNI!$L$703</f>
        <v>1</v>
      </c>
      <c r="L1350" s="2053"/>
      <c r="M1350" s="2054"/>
      <c r="N1350" s="2055">
        <f>SNI!$I$703</f>
        <v>90000</v>
      </c>
      <c r="O1350" s="2056"/>
      <c r="P1350" s="1969">
        <f t="shared" ref="P1350" si="875">N1350*G1350</f>
        <v>189</v>
      </c>
      <c r="Q1350" s="1953"/>
      <c r="R1350" s="1954"/>
      <c r="S1350" s="1954">
        <f t="shared" ref="S1350" si="876">P1350*K1350</f>
        <v>189</v>
      </c>
      <c r="T1350" s="1969">
        <f t="shared" ref="T1350" si="877">P1350-S1350</f>
        <v>0</v>
      </c>
      <c r="U1350" s="2060"/>
      <c r="Z1350" s="1956"/>
      <c r="AA1350" s="1956"/>
      <c r="AJ1350" s="1960"/>
    </row>
    <row r="1351" spans="1:36" s="1957" customFormat="1" ht="21.95" customHeight="1" x14ac:dyDescent="0.2">
      <c r="A1351" s="1942"/>
      <c r="B1351" s="1970"/>
      <c r="C1351" s="1971"/>
      <c r="D1351" s="1972"/>
      <c r="E1351" s="1973"/>
      <c r="F1351" s="1974" t="s">
        <v>556</v>
      </c>
      <c r="G1351" s="1975">
        <f>B1341</f>
        <v>3</v>
      </c>
      <c r="H1351" s="1976"/>
      <c r="I1351" s="1977"/>
      <c r="J1351" s="1977"/>
      <c r="K1351" s="1978"/>
      <c r="L1351" s="1979"/>
      <c r="M1351" s="1980"/>
      <c r="N1351" s="1981"/>
      <c r="O1351" s="1982"/>
      <c r="P1351" s="1983">
        <f>SUM(P1343:P1350)</f>
        <v>134728.69999999998</v>
      </c>
      <c r="Q1351" s="1984"/>
      <c r="R1351" s="1985"/>
      <c r="S1351" s="1983">
        <f t="shared" ref="S1351:T1351" si="878">SUM(S1343:S1350)</f>
        <v>71007.199999999997</v>
      </c>
      <c r="T1351" s="1983">
        <f t="shared" si="878"/>
        <v>63721.500000000015</v>
      </c>
      <c r="U1351" s="1986"/>
      <c r="V1351" s="1848"/>
      <c r="W1351" s="1848"/>
      <c r="X1351" s="1848"/>
      <c r="Y1351" s="1848"/>
      <c r="Z1351" s="1956"/>
      <c r="AA1351" s="1956"/>
      <c r="AF1351" s="1958"/>
      <c r="AG1351" s="1958"/>
      <c r="AH1351" s="1958"/>
      <c r="AI1351" s="1959"/>
      <c r="AJ1351" s="1960"/>
    </row>
    <row r="1352" spans="1:36" ht="21.95" customHeight="1" x14ac:dyDescent="0.2">
      <c r="A1352" s="1833">
        <f>satpek!$B$56</f>
        <v>37</v>
      </c>
      <c r="B1352" s="1987">
        <f>B1341+1</f>
        <v>4</v>
      </c>
      <c r="C1352" s="1937"/>
      <c r="D1352" s="1944" t="str">
        <f>VLOOKUP($A1352,satpek!$B$20:$N$144,2,0)</f>
        <v>Memasang pintu kaca es rangka alluminium</v>
      </c>
      <c r="E1352" s="1944"/>
      <c r="F1352" s="2004"/>
      <c r="G1352" s="1945">
        <f>'[3]B.VOL RAB'!Q438</f>
        <v>21.84</v>
      </c>
      <c r="H1352" s="1946" t="str">
        <f>VLOOKUP($A1352,satpek!$B$20:$N$144,7,0)</f>
        <v>m2</v>
      </c>
      <c r="I1352" s="1947"/>
      <c r="J1352" s="1947"/>
      <c r="K1352" s="1948"/>
      <c r="L1352" s="1949"/>
      <c r="M1352" s="1950" t="str">
        <f>VLOOKUP($A1352,satpek!$B$20:$N$144,5,0)</f>
        <v>An. Dihitung</v>
      </c>
      <c r="N1352" s="1951">
        <f>VLOOKUP($A1352,satpek!$B$20:$N$144,6,0)</f>
        <v>853707.66</v>
      </c>
      <c r="O1352" s="1938"/>
      <c r="P1352" s="1952">
        <f t="shared" si="867"/>
        <v>18644975.289999999</v>
      </c>
      <c r="Q1352" s="1953">
        <f>VLOOKUP($A1352,satpek!$B$20:$L$138,8,0)</f>
        <v>0.47846365322798945</v>
      </c>
      <c r="R1352" s="1954">
        <f>VLOOKUP($A1352,satpek!$B$20:$L$138,9,0)</f>
        <v>361476.18000000005</v>
      </c>
      <c r="S1352" s="1954">
        <f>VLOOKUP($A1352,satpek!$B$20:$L$138,10,0)</f>
        <v>408468.08340000006</v>
      </c>
      <c r="T1352" s="1952">
        <f t="shared" si="868"/>
        <v>8920942.9414560013</v>
      </c>
      <c r="U1352" s="1955"/>
      <c r="X1352" s="1848">
        <f>P1364</f>
        <v>755493.5</v>
      </c>
      <c r="Y1352" s="1848">
        <f>S1364</f>
        <v>755493.5</v>
      </c>
      <c r="Z1352" s="1956">
        <v>21.84</v>
      </c>
      <c r="AA1352" s="1956">
        <f t="shared" si="835"/>
        <v>0</v>
      </c>
      <c r="AB1352" s="1836" t="s">
        <v>1828</v>
      </c>
      <c r="AI1352" s="1910">
        <v>850784.35</v>
      </c>
      <c r="AJ1352" s="1960">
        <f t="shared" si="836"/>
        <v>-2923.3100000000559</v>
      </c>
    </row>
    <row r="1353" spans="1:36" ht="21.95" customHeight="1" x14ac:dyDescent="0.2">
      <c r="B1353" s="1987"/>
      <c r="C1353" s="2046" t="str">
        <f>SNI!$D$736</f>
        <v>Bahan</v>
      </c>
      <c r="D1353" s="2047"/>
      <c r="E1353" s="2047"/>
      <c r="F1353" s="2048"/>
      <c r="G1353" s="2049"/>
      <c r="H1353" s="2050"/>
      <c r="I1353" s="2051"/>
      <c r="J1353" s="2051"/>
      <c r="K1353" s="2052"/>
      <c r="L1353" s="2053"/>
      <c r="M1353" s="2054"/>
      <c r="N1353" s="2055"/>
      <c r="O1353" s="2056"/>
      <c r="P1353" s="2057"/>
      <c r="Q1353" s="2058"/>
      <c r="R1353" s="2059"/>
      <c r="S1353" s="2059"/>
      <c r="T1353" s="2057"/>
      <c r="U1353" s="2060"/>
      <c r="Z1353" s="1956"/>
      <c r="AA1353" s="1956"/>
      <c r="AJ1353" s="1960"/>
    </row>
    <row r="1354" spans="1:36" ht="21.95" customHeight="1" x14ac:dyDescent="0.2">
      <c r="B1354" s="1987"/>
      <c r="C1354" s="2046"/>
      <c r="D1354" s="2047" t="str">
        <f>SNI!$E$736</f>
        <v>Ram pintu 5 x 2,5 cm</v>
      </c>
      <c r="E1354" s="2047"/>
      <c r="F1354" s="2048"/>
      <c r="G1354" s="2049">
        <f>SNI!$H$736</f>
        <v>4.0999999999999996</v>
      </c>
      <c r="H1354" s="2050" t="str">
        <f>SNI!$G$736</f>
        <v>m</v>
      </c>
      <c r="I1354" s="2051"/>
      <c r="J1354" s="2051"/>
      <c r="K1354" s="2052">
        <f>SNI!$L$736</f>
        <v>0.51849999999999996</v>
      </c>
      <c r="L1354" s="2053"/>
      <c r="M1354" s="2054"/>
      <c r="N1354" s="2055">
        <f>SNI!$I$736</f>
        <v>119000</v>
      </c>
      <c r="O1354" s="2056"/>
      <c r="P1354" s="1969">
        <f t="shared" ref="P1354" si="879">N1354*G1354</f>
        <v>487899.99999999994</v>
      </c>
      <c r="Q1354" s="1953"/>
      <c r="R1354" s="1954"/>
      <c r="S1354" s="1954">
        <f t="shared" ref="S1354" si="880">P1354*K1354</f>
        <v>252976.14999999997</v>
      </c>
      <c r="T1354" s="1969">
        <f t="shared" ref="T1354" si="881">P1354-S1354</f>
        <v>234923.84999999998</v>
      </c>
      <c r="U1354" s="2060"/>
      <c r="Z1354" s="1956"/>
      <c r="AA1354" s="1956"/>
      <c r="AJ1354" s="1960"/>
    </row>
    <row r="1355" spans="1:36" ht="21.95" customHeight="1" x14ac:dyDescent="0.2">
      <c r="B1355" s="1987"/>
      <c r="C1355" s="2046"/>
      <c r="D1355" s="2047" t="str">
        <f>SNI!$E$737</f>
        <v>Kaca es tebal 5 mm</v>
      </c>
      <c r="E1355" s="2047"/>
      <c r="F1355" s="2048"/>
      <c r="G1355" s="2049">
        <f>SNI!$H$737</f>
        <v>1.1000000000000001</v>
      </c>
      <c r="H1355" s="2050" t="str">
        <f>SNI!$G$737</f>
        <v>m2</v>
      </c>
      <c r="I1355" s="2051"/>
      <c r="J1355" s="2051"/>
      <c r="K1355" s="2052">
        <f>SNI!$L$737</f>
        <v>0.57130000000000003</v>
      </c>
      <c r="L1355" s="2053"/>
      <c r="M1355" s="2054"/>
      <c r="N1355" s="2055">
        <f>SNI!$I$737</f>
        <v>116000</v>
      </c>
      <c r="O1355" s="2056"/>
      <c r="P1355" s="1969">
        <f t="shared" ref="P1355:P1363" si="882">N1355*G1355</f>
        <v>127600.00000000001</v>
      </c>
      <c r="Q1355" s="1953"/>
      <c r="R1355" s="1954"/>
      <c r="S1355" s="1954">
        <f t="shared" ref="S1355:S1363" si="883">P1355*K1355</f>
        <v>72897.880000000019</v>
      </c>
      <c r="T1355" s="1969">
        <f t="shared" ref="T1355:T1363" si="884">P1355-S1355</f>
        <v>54702.119999999995</v>
      </c>
      <c r="U1355" s="2060"/>
      <c r="Z1355" s="1956"/>
      <c r="AA1355" s="1956"/>
      <c r="AJ1355" s="1960"/>
    </row>
    <row r="1356" spans="1:36" ht="21.95" customHeight="1" x14ac:dyDescent="0.2">
      <c r="B1356" s="1987"/>
      <c r="C1356" s="2046"/>
      <c r="D1356" s="2047" t="str">
        <f>SNI!$E$738</f>
        <v>Profil allumunium</v>
      </c>
      <c r="E1356" s="2047"/>
      <c r="F1356" s="2048"/>
      <c r="G1356" s="2049">
        <f>SNI!$H$738</f>
        <v>4.5</v>
      </c>
      <c r="H1356" s="2050" t="str">
        <f>SNI!$G$738</f>
        <v>m</v>
      </c>
      <c r="I1356" s="2051"/>
      <c r="J1356" s="2051"/>
      <c r="K1356" s="2052">
        <f>SNI!$L$738</f>
        <v>0.51849999999999996</v>
      </c>
      <c r="L1356" s="2053"/>
      <c r="M1356" s="2054"/>
      <c r="N1356" s="2055">
        <f>SNI!$I$738</f>
        <v>8200</v>
      </c>
      <c r="O1356" s="2056"/>
      <c r="P1356" s="1969">
        <f t="shared" si="882"/>
        <v>36900</v>
      </c>
      <c r="Q1356" s="1953"/>
      <c r="R1356" s="1954"/>
      <c r="S1356" s="1954">
        <f t="shared" si="883"/>
        <v>19132.649999999998</v>
      </c>
      <c r="T1356" s="1969">
        <f t="shared" si="884"/>
        <v>17767.350000000002</v>
      </c>
      <c r="U1356" s="2060"/>
      <c r="Z1356" s="1956"/>
      <c r="AA1356" s="1956"/>
      <c r="AJ1356" s="1960"/>
    </row>
    <row r="1357" spans="1:36" ht="21.95" customHeight="1" x14ac:dyDescent="0.2">
      <c r="B1357" s="1987"/>
      <c r="C1357" s="2046"/>
      <c r="D1357" s="2047" t="str">
        <f>SNI!$E$739</f>
        <v>Sealent</v>
      </c>
      <c r="E1357" s="2047"/>
      <c r="F1357" s="2048"/>
      <c r="G1357" s="2049">
        <f>SNI!$H$739</f>
        <v>0.27</v>
      </c>
      <c r="H1357" s="2050" t="str">
        <f>SNI!$G$739</f>
        <v>Tube</v>
      </c>
      <c r="I1357" s="2051"/>
      <c r="J1357" s="2051"/>
      <c r="K1357" s="2052">
        <f>SNI!$L$739</f>
        <v>0</v>
      </c>
      <c r="L1357" s="2053"/>
      <c r="M1357" s="2054"/>
      <c r="N1357" s="2055">
        <f>SNI!$I$739</f>
        <v>72000</v>
      </c>
      <c r="O1357" s="2056"/>
      <c r="P1357" s="1969">
        <f t="shared" si="882"/>
        <v>19440</v>
      </c>
      <c r="Q1357" s="1953"/>
      <c r="R1357" s="1954"/>
      <c r="S1357" s="1954">
        <f t="shared" si="883"/>
        <v>0</v>
      </c>
      <c r="T1357" s="1969">
        <f t="shared" si="884"/>
        <v>19440</v>
      </c>
      <c r="U1357" s="2060"/>
      <c r="Z1357" s="1956"/>
      <c r="AA1357" s="1956"/>
      <c r="AJ1357" s="1960"/>
    </row>
    <row r="1358" spans="1:36" ht="21.95" customHeight="1" x14ac:dyDescent="0.2">
      <c r="B1358" s="1987"/>
      <c r="C1358" s="2046"/>
      <c r="D1358" s="2047" t="str">
        <f>SNI!$E$740</f>
        <v>Aksesoris 10% bahan</v>
      </c>
      <c r="E1358" s="2047"/>
      <c r="F1358" s="2048"/>
      <c r="G1358" s="2049">
        <f>SNI!$H$740</f>
        <v>1</v>
      </c>
      <c r="H1358" s="2050" t="str">
        <f>SNI!$G$740</f>
        <v>ls</v>
      </c>
      <c r="I1358" s="2051"/>
      <c r="J1358" s="2051"/>
      <c r="K1358" s="2052">
        <f>SNI!$L$740</f>
        <v>0</v>
      </c>
      <c r="L1358" s="2053"/>
      <c r="M1358" s="2054"/>
      <c r="N1358" s="2055">
        <f>SNI!$I$740</f>
        <v>67184</v>
      </c>
      <c r="O1358" s="2056"/>
      <c r="P1358" s="1969">
        <f t="shared" si="882"/>
        <v>67184</v>
      </c>
      <c r="Q1358" s="1953"/>
      <c r="R1358" s="1954"/>
      <c r="S1358" s="1954">
        <f t="shared" si="883"/>
        <v>0</v>
      </c>
      <c r="T1358" s="1969">
        <f t="shared" si="884"/>
        <v>67184</v>
      </c>
      <c r="U1358" s="2060"/>
      <c r="Z1358" s="1956"/>
      <c r="AA1358" s="1956"/>
      <c r="AJ1358" s="1960"/>
    </row>
    <row r="1359" spans="1:36" ht="21.95" customHeight="1" x14ac:dyDescent="0.2">
      <c r="B1359" s="1987"/>
      <c r="C1359" s="2046" t="str">
        <f>SNI!$D$742</f>
        <v>Tenaga Kerja</v>
      </c>
      <c r="D1359" s="2047"/>
      <c r="E1359" s="2047"/>
      <c r="F1359" s="2048"/>
      <c r="G1359" s="2049"/>
      <c r="H1359" s="2050"/>
      <c r="I1359" s="2051"/>
      <c r="J1359" s="2051"/>
      <c r="K1359" s="2052"/>
      <c r="L1359" s="2053"/>
      <c r="M1359" s="2054"/>
      <c r="N1359" s="2055"/>
      <c r="O1359" s="2056"/>
      <c r="P1359" s="1969"/>
      <c r="Q1359" s="1953"/>
      <c r="R1359" s="1954"/>
      <c r="S1359" s="1954"/>
      <c r="T1359" s="1969"/>
      <c r="U1359" s="2060"/>
      <c r="Z1359" s="1956"/>
      <c r="AA1359" s="1956"/>
      <c r="AJ1359" s="1960"/>
    </row>
    <row r="1360" spans="1:36" ht="21.95" customHeight="1" x14ac:dyDescent="0.2">
      <c r="B1360" s="1987"/>
      <c r="C1360" s="2046"/>
      <c r="D1360" s="2047" t="str">
        <f>SNI!$E$742</f>
        <v xml:space="preserve">Pekerja </v>
      </c>
      <c r="E1360" s="2047"/>
      <c r="F1360" s="2048"/>
      <c r="G1360" s="2049">
        <f>SNI!$H$742</f>
        <v>8.5000000000000006E-2</v>
      </c>
      <c r="H1360" s="2050" t="str">
        <f>SNI!$G$742</f>
        <v>OH</v>
      </c>
      <c r="I1360" s="2051" t="str">
        <f>SNI!$M$742</f>
        <v>WNI</v>
      </c>
      <c r="J1360" s="2051"/>
      <c r="K1360" s="2052">
        <f>SNI!$L$742</f>
        <v>1</v>
      </c>
      <c r="L1360" s="2053"/>
      <c r="M1360" s="2054"/>
      <c r="N1360" s="2055">
        <f>SNI!$I$742</f>
        <v>88300</v>
      </c>
      <c r="O1360" s="2056"/>
      <c r="P1360" s="1969">
        <f t="shared" si="882"/>
        <v>7505.5000000000009</v>
      </c>
      <c r="Q1360" s="1953"/>
      <c r="R1360" s="1954"/>
      <c r="S1360" s="1954">
        <f t="shared" si="883"/>
        <v>7505.5000000000009</v>
      </c>
      <c r="T1360" s="1969">
        <f t="shared" si="884"/>
        <v>0</v>
      </c>
      <c r="U1360" s="2060"/>
      <c r="Z1360" s="1956"/>
      <c r="AA1360" s="1956"/>
      <c r="AJ1360" s="1960"/>
    </row>
    <row r="1361" spans="1:36" ht="21.95" customHeight="1" x14ac:dyDescent="0.2">
      <c r="B1361" s="1987"/>
      <c r="C1361" s="2046"/>
      <c r="D1361" s="2047" t="str">
        <f>SNI!$E$743</f>
        <v>Tukang allumunium/kaca</v>
      </c>
      <c r="E1361" s="2047"/>
      <c r="F1361" s="2048"/>
      <c r="G1361" s="2049">
        <f>SNI!$H$743</f>
        <v>8.5000000000000006E-2</v>
      </c>
      <c r="H1361" s="2050" t="str">
        <f>SNI!$G$743</f>
        <v>OH</v>
      </c>
      <c r="I1361" s="2051" t="str">
        <f>SNI!$M$743</f>
        <v>WNI</v>
      </c>
      <c r="J1361" s="2051"/>
      <c r="K1361" s="2052">
        <f>SNI!$L$743</f>
        <v>1</v>
      </c>
      <c r="L1361" s="2053"/>
      <c r="M1361" s="2054"/>
      <c r="N1361" s="2055">
        <f>SNI!$I$743</f>
        <v>90000</v>
      </c>
      <c r="O1361" s="2056"/>
      <c r="P1361" s="1969">
        <f t="shared" si="882"/>
        <v>7650.0000000000009</v>
      </c>
      <c r="Q1361" s="1953"/>
      <c r="R1361" s="1954"/>
      <c r="S1361" s="1954">
        <f t="shared" si="883"/>
        <v>7650.0000000000009</v>
      </c>
      <c r="T1361" s="1969">
        <f t="shared" si="884"/>
        <v>0</v>
      </c>
      <c r="U1361" s="2060"/>
      <c r="Z1361" s="1956"/>
      <c r="AA1361" s="1956"/>
      <c r="AJ1361" s="1960"/>
    </row>
    <row r="1362" spans="1:36" ht="21.95" customHeight="1" x14ac:dyDescent="0.2">
      <c r="B1362" s="1987"/>
      <c r="C1362" s="2046"/>
      <c r="D1362" s="2047" t="str">
        <f>SNI!$E$744</f>
        <v>Kepala Tukang</v>
      </c>
      <c r="E1362" s="2047"/>
      <c r="F1362" s="2048"/>
      <c r="G1362" s="2049">
        <f>SNI!$H$744</f>
        <v>8.9999999999999993E-3</v>
      </c>
      <c r="H1362" s="2050" t="str">
        <f>SNI!$G$744</f>
        <v>OH</v>
      </c>
      <c r="I1362" s="2051" t="str">
        <f>SNI!$M$744</f>
        <v>WNI</v>
      </c>
      <c r="J1362" s="2051"/>
      <c r="K1362" s="2052">
        <f>SNI!$L$744</f>
        <v>1</v>
      </c>
      <c r="L1362" s="2053"/>
      <c r="M1362" s="2054"/>
      <c r="N1362" s="2055">
        <f>SNI!$I$744</f>
        <v>96000</v>
      </c>
      <c r="O1362" s="2056"/>
      <c r="P1362" s="1969">
        <f t="shared" si="882"/>
        <v>863.99999999999989</v>
      </c>
      <c r="Q1362" s="1953"/>
      <c r="R1362" s="1954"/>
      <c r="S1362" s="1954">
        <f t="shared" si="883"/>
        <v>863.99999999999989</v>
      </c>
      <c r="T1362" s="1969">
        <f t="shared" si="884"/>
        <v>0</v>
      </c>
      <c r="U1362" s="2060"/>
      <c r="Z1362" s="1956"/>
      <c r="AA1362" s="1956"/>
      <c r="AJ1362" s="1960"/>
    </row>
    <row r="1363" spans="1:36" ht="21.95" customHeight="1" x14ac:dyDescent="0.2">
      <c r="B1363" s="1987"/>
      <c r="C1363" s="2046"/>
      <c r="D1363" s="2047" t="str">
        <f>SNI!$E$745</f>
        <v>Mandor</v>
      </c>
      <c r="E1363" s="2047"/>
      <c r="F1363" s="2048"/>
      <c r="G1363" s="2049">
        <f>SNI!$H$745</f>
        <v>5.0000000000000001E-3</v>
      </c>
      <c r="H1363" s="2050" t="str">
        <f>SNI!$G$745</f>
        <v>OH</v>
      </c>
      <c r="I1363" s="2051" t="str">
        <f>SNI!$M$745</f>
        <v>WNI</v>
      </c>
      <c r="J1363" s="2051"/>
      <c r="K1363" s="2052">
        <f>SNI!$L$745</f>
        <v>1</v>
      </c>
      <c r="L1363" s="2053"/>
      <c r="M1363" s="2054"/>
      <c r="N1363" s="2055">
        <f>SNI!$I$745</f>
        <v>90000</v>
      </c>
      <c r="O1363" s="2056"/>
      <c r="P1363" s="1969">
        <f t="shared" si="882"/>
        <v>450</v>
      </c>
      <c r="Q1363" s="1953"/>
      <c r="R1363" s="1954"/>
      <c r="S1363" s="1954">
        <f t="shared" si="883"/>
        <v>450</v>
      </c>
      <c r="T1363" s="1969">
        <f t="shared" si="884"/>
        <v>0</v>
      </c>
      <c r="U1363" s="2060"/>
      <c r="Z1363" s="1956"/>
      <c r="AA1363" s="1956"/>
      <c r="AJ1363" s="1960"/>
    </row>
    <row r="1364" spans="1:36" s="1957" customFormat="1" ht="21.95" customHeight="1" x14ac:dyDescent="0.2">
      <c r="A1364" s="1942"/>
      <c r="B1364" s="1970"/>
      <c r="C1364" s="1971"/>
      <c r="D1364" s="1972"/>
      <c r="E1364" s="1973"/>
      <c r="F1364" s="1974" t="s">
        <v>556</v>
      </c>
      <c r="G1364" s="1975">
        <f>B1352</f>
        <v>4</v>
      </c>
      <c r="H1364" s="1976"/>
      <c r="I1364" s="1977"/>
      <c r="J1364" s="1977"/>
      <c r="K1364" s="1978"/>
      <c r="L1364" s="1979"/>
      <c r="M1364" s="1980"/>
      <c r="N1364" s="1981"/>
      <c r="O1364" s="1982"/>
      <c r="P1364" s="1983">
        <f>SUM(P1354:R1363)</f>
        <v>755493.5</v>
      </c>
      <c r="Q1364" s="1984"/>
      <c r="R1364" s="1985"/>
      <c r="S1364" s="1983">
        <f t="shared" ref="S1364:T1364" si="885">SUM(S1354:U1363)</f>
        <v>755493.5</v>
      </c>
      <c r="T1364" s="1983">
        <f t="shared" si="885"/>
        <v>394017.31999999995</v>
      </c>
      <c r="U1364" s="1986"/>
      <c r="V1364" s="1848"/>
      <c r="W1364" s="1848"/>
      <c r="X1364" s="1848"/>
      <c r="Y1364" s="1848"/>
      <c r="Z1364" s="1956"/>
      <c r="AA1364" s="1956"/>
      <c r="AF1364" s="1958"/>
      <c r="AG1364" s="1958"/>
      <c r="AH1364" s="1958"/>
      <c r="AI1364" s="1959"/>
      <c r="AJ1364" s="1960"/>
    </row>
    <row r="1365" spans="1:36" ht="21.95" customHeight="1" x14ac:dyDescent="0.2">
      <c r="A1365" s="1833">
        <f>satpek!$B$55</f>
        <v>36</v>
      </c>
      <c r="B1365" s="1987">
        <f>B1352+1</f>
        <v>5</v>
      </c>
      <c r="C1365" s="1937"/>
      <c r="D1365" s="1944" t="str">
        <f>VLOOKUP($A1365,satpek!$B$20:$N$144,2,0)</f>
        <v>Memasang pintu alluminium strip</v>
      </c>
      <c r="E1365" s="1944"/>
      <c r="F1365" s="2004"/>
      <c r="G1365" s="1945">
        <f>'[3]B.VOL RAB'!Q439</f>
        <v>16.695000000000004</v>
      </c>
      <c r="H1365" s="1946" t="str">
        <f>VLOOKUP($A1365,satpek!$B$20:$N$144,7,0)</f>
        <v>m2</v>
      </c>
      <c r="I1365" s="1947"/>
      <c r="J1365" s="1947"/>
      <c r="K1365" s="1948"/>
      <c r="L1365" s="1949"/>
      <c r="M1365" s="1950" t="str">
        <f>VLOOKUP($A1365,satpek!$B$20:$N$144,5,0)</f>
        <v>A.4.2.1.12.</v>
      </c>
      <c r="N1365" s="1951">
        <f>VLOOKUP($A1365,satpek!$B$20:$N$144,6,0)</f>
        <v>765224.14</v>
      </c>
      <c r="O1365" s="1938"/>
      <c r="P1365" s="1952">
        <f t="shared" si="867"/>
        <v>12775417.02</v>
      </c>
      <c r="Q1365" s="1953">
        <f>VLOOKUP($A1365,satpek!$B$20:$L$138,8,0)</f>
        <v>0.53012493548703865</v>
      </c>
      <c r="R1365" s="1954">
        <f>VLOOKUP($A1365,satpek!$B$20:$L$138,9,0)</f>
        <v>358995.04</v>
      </c>
      <c r="S1365" s="1954">
        <f>VLOOKUP($A1365,satpek!$B$20:$L$138,10,0)</f>
        <v>405664.39519999997</v>
      </c>
      <c r="T1365" s="1952">
        <f t="shared" si="868"/>
        <v>6772567.0778640015</v>
      </c>
      <c r="U1365" s="1955"/>
      <c r="X1365" s="1848">
        <f>P1374</f>
        <v>677189.5</v>
      </c>
      <c r="Y1365" s="1848">
        <f>S1374</f>
        <v>358995.04000000004</v>
      </c>
      <c r="Z1365" s="1956">
        <v>16.695000000000004</v>
      </c>
      <c r="AA1365" s="1956">
        <f t="shared" si="835"/>
        <v>0</v>
      </c>
      <c r="AB1365" s="1836" t="s">
        <v>1829</v>
      </c>
      <c r="AI1365" s="1910">
        <v>759680.81</v>
      </c>
      <c r="AJ1365" s="1960">
        <f t="shared" si="836"/>
        <v>-5543.3299999999581</v>
      </c>
    </row>
    <row r="1366" spans="1:36" ht="21.95" customHeight="1" x14ac:dyDescent="0.2">
      <c r="B1366" s="1987"/>
      <c r="C1366" s="2046" t="str">
        <f>SNI!$D$717</f>
        <v>Bahan</v>
      </c>
      <c r="D1366" s="2047"/>
      <c r="E1366" s="2047"/>
      <c r="F1366" s="2048"/>
      <c r="G1366" s="2049"/>
      <c r="H1366" s="2050"/>
      <c r="I1366" s="2051"/>
      <c r="J1366" s="2051"/>
      <c r="K1366" s="2052"/>
      <c r="L1366" s="2053"/>
      <c r="M1366" s="2054"/>
      <c r="N1366" s="2055"/>
      <c r="O1366" s="2056"/>
      <c r="P1366" s="2057"/>
      <c r="Q1366" s="2058"/>
      <c r="R1366" s="2059"/>
      <c r="S1366" s="2059"/>
      <c r="T1366" s="2057"/>
      <c r="U1366" s="2060"/>
      <c r="Z1366" s="1956"/>
      <c r="AA1366" s="1956"/>
      <c r="AJ1366" s="1960"/>
    </row>
    <row r="1367" spans="1:36" ht="21.95" customHeight="1" x14ac:dyDescent="0.2">
      <c r="B1367" s="1987"/>
      <c r="C1367" s="2046"/>
      <c r="D1367" s="2047" t="str">
        <f>SNI!$E$717</f>
        <v>Ram pintu 5 x 2,5 cm</v>
      </c>
      <c r="E1367" s="2047"/>
      <c r="F1367" s="2048"/>
      <c r="G1367" s="2049">
        <f>SNI!$H$717</f>
        <v>4.4000000000000004</v>
      </c>
      <c r="H1367" s="2050" t="str">
        <f>SNI!$G$717</f>
        <v>m</v>
      </c>
      <c r="I1367" s="2051"/>
      <c r="J1367" s="2051"/>
      <c r="K1367" s="2052">
        <f>SNI!$L$717</f>
        <v>0.51849999999999996</v>
      </c>
      <c r="L1367" s="2053"/>
      <c r="M1367" s="2054"/>
      <c r="N1367" s="2055">
        <f>SNI!$I$717</f>
        <v>119000</v>
      </c>
      <c r="O1367" s="2056"/>
      <c r="P1367" s="1969">
        <f t="shared" ref="P1367" si="886">N1367*G1367</f>
        <v>523600.00000000006</v>
      </c>
      <c r="Q1367" s="1953"/>
      <c r="R1367" s="1954"/>
      <c r="S1367" s="1954">
        <f t="shared" ref="S1367" si="887">P1367*K1367</f>
        <v>271486.60000000003</v>
      </c>
      <c r="T1367" s="1969">
        <f t="shared" ref="T1367" si="888">P1367-S1367</f>
        <v>252113.40000000002</v>
      </c>
      <c r="U1367" s="2060"/>
      <c r="Z1367" s="1956"/>
      <c r="AA1367" s="1956"/>
      <c r="AJ1367" s="1960"/>
    </row>
    <row r="1368" spans="1:36" ht="21.95" customHeight="1" x14ac:dyDescent="0.2">
      <c r="B1368" s="1987"/>
      <c r="C1368" s="2046"/>
      <c r="D1368" s="2047" t="str">
        <f>SNI!$E$718</f>
        <v>Alluminium strip</v>
      </c>
      <c r="E1368" s="2047"/>
      <c r="F1368" s="2048"/>
      <c r="G1368" s="2049">
        <f>SNI!$H$718</f>
        <v>14.6</v>
      </c>
      <c r="H1368" s="2050" t="str">
        <f>SNI!$G$718</f>
        <v>m</v>
      </c>
      <c r="I1368" s="2051"/>
      <c r="J1368" s="2051"/>
      <c r="K1368" s="2052">
        <f>SNI!$L$718</f>
        <v>0.51849999999999996</v>
      </c>
      <c r="L1368" s="2053"/>
      <c r="M1368" s="2054"/>
      <c r="N1368" s="2055">
        <f>SNI!$I$718</f>
        <v>9400</v>
      </c>
      <c r="O1368" s="2056"/>
      <c r="P1368" s="1969">
        <f t="shared" ref="P1368:P1373" si="889">N1368*G1368</f>
        <v>137240</v>
      </c>
      <c r="Q1368" s="1953"/>
      <c r="R1368" s="1954"/>
      <c r="S1368" s="1954">
        <f t="shared" ref="S1368:S1373" si="890">P1368*K1368</f>
        <v>71158.939999999988</v>
      </c>
      <c r="T1368" s="1969">
        <f t="shared" ref="T1368:T1373" si="891">P1368-S1368</f>
        <v>66081.060000000012</v>
      </c>
      <c r="U1368" s="2060"/>
      <c r="Z1368" s="1956"/>
      <c r="AA1368" s="1956"/>
      <c r="AJ1368" s="1960"/>
    </row>
    <row r="1369" spans="1:36" ht="21.95" customHeight="1" x14ac:dyDescent="0.2">
      <c r="B1369" s="1987"/>
      <c r="C1369" s="2046" t="str">
        <f>SNI!$D$720</f>
        <v>Tenaga Kerja</v>
      </c>
      <c r="D1369" s="2047"/>
      <c r="E1369" s="2047"/>
      <c r="F1369" s="2048"/>
      <c r="G1369" s="2049"/>
      <c r="H1369" s="2050"/>
      <c r="I1369" s="2051"/>
      <c r="J1369" s="2051"/>
      <c r="K1369" s="2052"/>
      <c r="L1369" s="2053"/>
      <c r="M1369" s="2054"/>
      <c r="N1369" s="2055"/>
      <c r="O1369" s="2056"/>
      <c r="P1369" s="1969"/>
      <c r="Q1369" s="1953"/>
      <c r="R1369" s="1954"/>
      <c r="S1369" s="1954"/>
      <c r="T1369" s="1969"/>
      <c r="U1369" s="2060"/>
      <c r="Z1369" s="1956"/>
      <c r="AA1369" s="1956"/>
      <c r="AJ1369" s="1960"/>
    </row>
    <row r="1370" spans="1:36" ht="21.95" customHeight="1" x14ac:dyDescent="0.2">
      <c r="B1370" s="1987"/>
      <c r="C1370" s="2046"/>
      <c r="D1370" s="2047" t="str">
        <f>SNI!$E$720</f>
        <v xml:space="preserve">Pekerja </v>
      </c>
      <c r="E1370" s="2047"/>
      <c r="F1370" s="2048"/>
      <c r="G1370" s="2049">
        <f>SNI!$H$720</f>
        <v>8.5000000000000006E-2</v>
      </c>
      <c r="H1370" s="2050" t="str">
        <f>SNI!$G$720</f>
        <v>OH</v>
      </c>
      <c r="I1370" s="2051" t="str">
        <f>SNI!$M$720</f>
        <v>WNI</v>
      </c>
      <c r="J1370" s="2051"/>
      <c r="K1370" s="2052">
        <f>SNI!$L$720</f>
        <v>1</v>
      </c>
      <c r="L1370" s="2053"/>
      <c r="M1370" s="2054"/>
      <c r="N1370" s="2055">
        <f>SNI!$I$720</f>
        <v>88300</v>
      </c>
      <c r="O1370" s="2056"/>
      <c r="P1370" s="1969">
        <f t="shared" si="889"/>
        <v>7505.5000000000009</v>
      </c>
      <c r="Q1370" s="1953"/>
      <c r="R1370" s="1954"/>
      <c r="S1370" s="1954">
        <f t="shared" si="890"/>
        <v>7505.5000000000009</v>
      </c>
      <c r="T1370" s="1969">
        <f t="shared" si="891"/>
        <v>0</v>
      </c>
      <c r="U1370" s="2060"/>
      <c r="Z1370" s="1956"/>
      <c r="AA1370" s="1956"/>
      <c r="AJ1370" s="1960"/>
    </row>
    <row r="1371" spans="1:36" ht="21.95" customHeight="1" x14ac:dyDescent="0.2">
      <c r="B1371" s="1987"/>
      <c r="C1371" s="2046"/>
      <c r="D1371" s="2047" t="str">
        <f>SNI!$E$721</f>
        <v>Tukang khusus allumunium</v>
      </c>
      <c r="E1371" s="2047"/>
      <c r="F1371" s="2048"/>
      <c r="G1371" s="2049">
        <f>SNI!$H$721</f>
        <v>8.5000000000000006E-2</v>
      </c>
      <c r="H1371" s="2050" t="str">
        <f>SNI!$G$721</f>
        <v>OH</v>
      </c>
      <c r="I1371" s="2051" t="str">
        <f>SNI!$M$721</f>
        <v>WNI</v>
      </c>
      <c r="J1371" s="2051"/>
      <c r="K1371" s="2052">
        <f>SNI!$L$721</f>
        <v>1</v>
      </c>
      <c r="L1371" s="2053"/>
      <c r="M1371" s="2054"/>
      <c r="N1371" s="2055">
        <f>SNI!$I$721</f>
        <v>90000</v>
      </c>
      <c r="O1371" s="2056"/>
      <c r="P1371" s="1969">
        <f t="shared" si="889"/>
        <v>7650.0000000000009</v>
      </c>
      <c r="Q1371" s="1953"/>
      <c r="R1371" s="1954"/>
      <c r="S1371" s="1954">
        <f t="shared" si="890"/>
        <v>7650.0000000000009</v>
      </c>
      <c r="T1371" s="1969">
        <f t="shared" si="891"/>
        <v>0</v>
      </c>
      <c r="U1371" s="2060"/>
      <c r="Z1371" s="1956"/>
      <c r="AA1371" s="1956"/>
      <c r="AJ1371" s="1960"/>
    </row>
    <row r="1372" spans="1:36" ht="21.95" customHeight="1" x14ac:dyDescent="0.2">
      <c r="B1372" s="1987"/>
      <c r="C1372" s="2046"/>
      <c r="D1372" s="2047" t="str">
        <f>SNI!$E$722</f>
        <v>Kepala Tukang</v>
      </c>
      <c r="E1372" s="2047"/>
      <c r="F1372" s="2048"/>
      <c r="G1372" s="2049">
        <f>SNI!$H$722</f>
        <v>8.5000000000000006E-3</v>
      </c>
      <c r="H1372" s="2050" t="str">
        <f>SNI!$G$722</f>
        <v>OH</v>
      </c>
      <c r="I1372" s="2051" t="str">
        <f>SNI!$M$722</f>
        <v>WNI</v>
      </c>
      <c r="J1372" s="2051"/>
      <c r="K1372" s="2052">
        <f>SNI!$L$722</f>
        <v>1</v>
      </c>
      <c r="L1372" s="2053"/>
      <c r="M1372" s="2054"/>
      <c r="N1372" s="2055">
        <f>SNI!$I$722</f>
        <v>96000</v>
      </c>
      <c r="O1372" s="2056"/>
      <c r="P1372" s="1969">
        <f t="shared" si="889"/>
        <v>816.00000000000011</v>
      </c>
      <c r="Q1372" s="1953"/>
      <c r="R1372" s="1954"/>
      <c r="S1372" s="1954">
        <f t="shared" si="890"/>
        <v>816.00000000000011</v>
      </c>
      <c r="T1372" s="1969">
        <f t="shared" si="891"/>
        <v>0</v>
      </c>
      <c r="U1372" s="2060"/>
      <c r="Z1372" s="1956"/>
      <c r="AA1372" s="1956"/>
      <c r="AJ1372" s="1960"/>
    </row>
    <row r="1373" spans="1:36" ht="21.95" customHeight="1" x14ac:dyDescent="0.2">
      <c r="B1373" s="1987"/>
      <c r="C1373" s="2046"/>
      <c r="D1373" s="2047" t="str">
        <f>SNI!$E$723</f>
        <v>Mandor</v>
      </c>
      <c r="E1373" s="2047"/>
      <c r="F1373" s="2048"/>
      <c r="G1373" s="2049">
        <f>SNI!$H$723</f>
        <v>4.1999999999999997E-3</v>
      </c>
      <c r="H1373" s="2050" t="str">
        <f>SNI!$G$723</f>
        <v>OH</v>
      </c>
      <c r="I1373" s="2051" t="str">
        <f>SNI!$M$723</f>
        <v>WNI</v>
      </c>
      <c r="J1373" s="2051"/>
      <c r="K1373" s="2052">
        <f>SNI!$L$723</f>
        <v>1</v>
      </c>
      <c r="L1373" s="2053"/>
      <c r="M1373" s="2054"/>
      <c r="N1373" s="2055">
        <f>SNI!$I$723</f>
        <v>90000</v>
      </c>
      <c r="O1373" s="2056"/>
      <c r="P1373" s="1969">
        <f t="shared" si="889"/>
        <v>378</v>
      </c>
      <c r="Q1373" s="1953"/>
      <c r="R1373" s="1954"/>
      <c r="S1373" s="1954">
        <f t="shared" si="890"/>
        <v>378</v>
      </c>
      <c r="T1373" s="1969">
        <f t="shared" si="891"/>
        <v>0</v>
      </c>
      <c r="U1373" s="2060"/>
      <c r="Z1373" s="1956"/>
      <c r="AA1373" s="1956"/>
      <c r="AJ1373" s="1960"/>
    </row>
    <row r="1374" spans="1:36" s="1957" customFormat="1" ht="21.95" customHeight="1" x14ac:dyDescent="0.2">
      <c r="A1374" s="1942"/>
      <c r="B1374" s="1970"/>
      <c r="C1374" s="1971"/>
      <c r="D1374" s="1972"/>
      <c r="E1374" s="1973"/>
      <c r="F1374" s="1974" t="s">
        <v>556</v>
      </c>
      <c r="G1374" s="1975">
        <f>B1365</f>
        <v>5</v>
      </c>
      <c r="H1374" s="1976"/>
      <c r="I1374" s="1977"/>
      <c r="J1374" s="1977"/>
      <c r="K1374" s="1978"/>
      <c r="L1374" s="1979"/>
      <c r="M1374" s="1980"/>
      <c r="N1374" s="1981"/>
      <c r="O1374" s="1982"/>
      <c r="P1374" s="1983">
        <f>SUM(P1367:P1373)</f>
        <v>677189.5</v>
      </c>
      <c r="Q1374" s="1984"/>
      <c r="R1374" s="1985"/>
      <c r="S1374" s="1983">
        <f t="shared" ref="S1374:T1374" si="892">SUM(S1367:S1373)</f>
        <v>358995.04000000004</v>
      </c>
      <c r="T1374" s="1983">
        <f t="shared" si="892"/>
        <v>318194.46000000002</v>
      </c>
      <c r="U1374" s="1986"/>
      <c r="V1374" s="1848"/>
      <c r="W1374" s="1848"/>
      <c r="X1374" s="1848"/>
      <c r="Y1374" s="1848"/>
      <c r="Z1374" s="1956"/>
      <c r="AA1374" s="1956"/>
      <c r="AF1374" s="1958"/>
      <c r="AG1374" s="1958"/>
      <c r="AH1374" s="1958"/>
      <c r="AI1374" s="1959"/>
      <c r="AJ1374" s="1960"/>
    </row>
    <row r="1375" spans="1:36" ht="21.95" customHeight="1" x14ac:dyDescent="0.2">
      <c r="A1375" s="1833">
        <f>satpek!$B$57</f>
        <v>38</v>
      </c>
      <c r="B1375" s="1987">
        <f>B1365+1</f>
        <v>6</v>
      </c>
      <c r="C1375" s="1937"/>
      <c r="D1375" s="1944" t="str">
        <f>VLOOKUP($A1375,satpek!$B$20:$N$144,2,0)</f>
        <v>Memasang jendela &amp; boven kaca rangka aluminium</v>
      </c>
      <c r="E1375" s="1944"/>
      <c r="F1375" s="2004"/>
      <c r="G1375" s="1945">
        <f>'[3]B.VOL RAB'!Q440</f>
        <v>112.04</v>
      </c>
      <c r="H1375" s="1946" t="str">
        <f>VLOOKUP($A1375,satpek!$B$20:$N$144,7,0)</f>
        <v>m2</v>
      </c>
      <c r="I1375" s="1947"/>
      <c r="J1375" s="1947"/>
      <c r="K1375" s="1948"/>
      <c r="L1375" s="1949"/>
      <c r="M1375" s="1950" t="str">
        <f>VLOOKUP($A1375,satpek!$B$20:$N$144,5,0)</f>
        <v>An. Dihitung</v>
      </c>
      <c r="N1375" s="1951">
        <f>VLOOKUP($A1375,satpek!$B$20:$N$144,6,0)</f>
        <v>845503.86</v>
      </c>
      <c r="O1375" s="1938"/>
      <c r="P1375" s="1952">
        <f t="shared" si="867"/>
        <v>94730252.469999999</v>
      </c>
      <c r="Q1375" s="1953">
        <f>VLOOKUP($A1375,satpek!$B$20:$L$138,8,0)</f>
        <v>0.47806680668534629</v>
      </c>
      <c r="R1375" s="1954">
        <f>VLOOKUP($A1375,satpek!$B$20:$L$138,9,0)</f>
        <v>357705.60000000003</v>
      </c>
      <c r="S1375" s="1954">
        <f>VLOOKUP($A1375,satpek!$B$20:$L$138,10,0)</f>
        <v>404207.32800000004</v>
      </c>
      <c r="T1375" s="1952">
        <f t="shared" si="868"/>
        <v>45287389.029120006</v>
      </c>
      <c r="U1375" s="1955"/>
      <c r="X1375" s="1848">
        <f>P1387</f>
        <v>748233.5</v>
      </c>
      <c r="Y1375" s="1848">
        <f>S1387</f>
        <v>357705.6</v>
      </c>
      <c r="Z1375" s="1956">
        <v>112.04</v>
      </c>
      <c r="AA1375" s="1956">
        <f t="shared" si="835"/>
        <v>0</v>
      </c>
      <c r="AB1375" s="1836" t="s">
        <v>1633</v>
      </c>
      <c r="AI1375" s="1910">
        <v>856253.55</v>
      </c>
      <c r="AJ1375" s="1960">
        <f t="shared" si="836"/>
        <v>10749.690000000061</v>
      </c>
    </row>
    <row r="1376" spans="1:36" ht="21.95" customHeight="1" x14ac:dyDescent="0.2">
      <c r="B1376" s="1987"/>
      <c r="C1376" s="2046" t="str">
        <f>SNI!$D$758</f>
        <v>Bahan</v>
      </c>
      <c r="D1376" s="2047"/>
      <c r="E1376" s="2047"/>
      <c r="F1376" s="2048"/>
      <c r="G1376" s="2049"/>
      <c r="H1376" s="2050"/>
      <c r="I1376" s="2051"/>
      <c r="J1376" s="2051"/>
      <c r="K1376" s="2052"/>
      <c r="L1376" s="2053"/>
      <c r="M1376" s="2054"/>
      <c r="N1376" s="2055"/>
      <c r="O1376" s="2056"/>
      <c r="P1376" s="2057"/>
      <c r="Q1376" s="2058"/>
      <c r="R1376" s="2059"/>
      <c r="S1376" s="2059"/>
      <c r="T1376" s="2057"/>
      <c r="U1376" s="2060"/>
      <c r="Z1376" s="1956"/>
      <c r="AA1376" s="1956"/>
      <c r="AJ1376" s="1960"/>
    </row>
    <row r="1377" spans="1:36" ht="21.95" customHeight="1" x14ac:dyDescent="0.2">
      <c r="B1377" s="1987"/>
      <c r="C1377" s="2046"/>
      <c r="D1377" s="2047" t="str">
        <f>SNI!$E$758</f>
        <v>Ram pintu 5 x 2,5 cm</v>
      </c>
      <c r="E1377" s="2047"/>
      <c r="F1377" s="2048"/>
      <c r="G1377" s="2049">
        <f>SNI!$H$758</f>
        <v>4.0999999999999996</v>
      </c>
      <c r="H1377" s="2050" t="str">
        <f>SNI!$G$758</f>
        <v>m</v>
      </c>
      <c r="I1377" s="2051"/>
      <c r="J1377" s="2051"/>
      <c r="K1377" s="2052">
        <f>SNI!$L$758</f>
        <v>0.51849999999999996</v>
      </c>
      <c r="L1377" s="2053"/>
      <c r="M1377" s="2054"/>
      <c r="N1377" s="2055">
        <f>SNI!$I$758</f>
        <v>119000</v>
      </c>
      <c r="O1377" s="2056"/>
      <c r="P1377" s="1969">
        <f t="shared" ref="P1377" si="893">N1377*G1377</f>
        <v>487899.99999999994</v>
      </c>
      <c r="Q1377" s="1953"/>
      <c r="R1377" s="1954"/>
      <c r="S1377" s="1954">
        <f t="shared" ref="S1377" si="894">P1377*K1377</f>
        <v>252976.14999999997</v>
      </c>
      <c r="T1377" s="1969">
        <f t="shared" ref="T1377" si="895">P1377-S1377</f>
        <v>234923.84999999998</v>
      </c>
      <c r="U1377" s="2060"/>
      <c r="Z1377" s="1956"/>
      <c r="AA1377" s="1956"/>
      <c r="AJ1377" s="1960"/>
    </row>
    <row r="1378" spans="1:36" ht="21.95" customHeight="1" x14ac:dyDescent="0.2">
      <c r="B1378" s="1987"/>
      <c r="C1378" s="2046"/>
      <c r="D1378" s="2047" t="str">
        <f>SNI!$E$759</f>
        <v>Kaca bening tebal 5 mm</v>
      </c>
      <c r="E1378" s="2047"/>
      <c r="F1378" s="2048"/>
      <c r="G1378" s="2049">
        <f>SNI!$H$759</f>
        <v>1.1000000000000001</v>
      </c>
      <c r="H1378" s="2050" t="str">
        <f>SNI!$G$759</f>
        <v>m2</v>
      </c>
      <c r="I1378" s="2051"/>
      <c r="J1378" s="2051"/>
      <c r="K1378" s="2052">
        <f>SNI!$L$759</f>
        <v>0.57130000000000003</v>
      </c>
      <c r="L1378" s="2053"/>
      <c r="M1378" s="2054"/>
      <c r="N1378" s="2055">
        <f>SNI!$I$759</f>
        <v>110000</v>
      </c>
      <c r="O1378" s="2056"/>
      <c r="P1378" s="1969">
        <f t="shared" ref="P1378:P1384" si="896">N1378*G1378</f>
        <v>121000.00000000001</v>
      </c>
      <c r="Q1378" s="1953"/>
      <c r="R1378" s="1954"/>
      <c r="S1378" s="1954">
        <f t="shared" ref="S1378:S1384" si="897">P1378*K1378</f>
        <v>69127.300000000017</v>
      </c>
      <c r="T1378" s="1969">
        <f t="shared" ref="T1378:T1384" si="898">P1378-S1378</f>
        <v>51872.7</v>
      </c>
      <c r="U1378" s="2060"/>
      <c r="Z1378" s="1956"/>
      <c r="AA1378" s="1956"/>
      <c r="AJ1378" s="1960"/>
    </row>
    <row r="1379" spans="1:36" ht="21.95" customHeight="1" x14ac:dyDescent="0.2">
      <c r="B1379" s="1987"/>
      <c r="C1379" s="2046"/>
      <c r="D1379" s="2047" t="str">
        <f>SNI!$E$760</f>
        <v>Profil alumunium</v>
      </c>
      <c r="E1379" s="2047"/>
      <c r="F1379" s="2048"/>
      <c r="G1379" s="2049">
        <f>SNI!$H$760</f>
        <v>4.5</v>
      </c>
      <c r="H1379" s="2050" t="str">
        <f>SNI!$G$760</f>
        <v>m</v>
      </c>
      <c r="I1379" s="2051"/>
      <c r="J1379" s="2051"/>
      <c r="K1379" s="2052">
        <f>SNI!$L$760</f>
        <v>0.51849999999999996</v>
      </c>
      <c r="L1379" s="2053"/>
      <c r="M1379" s="2054"/>
      <c r="N1379" s="2055">
        <f>SNI!$I$760</f>
        <v>8200</v>
      </c>
      <c r="O1379" s="2056"/>
      <c r="P1379" s="1969">
        <f t="shared" si="896"/>
        <v>36900</v>
      </c>
      <c r="Q1379" s="1953"/>
      <c r="R1379" s="1954"/>
      <c r="S1379" s="1954">
        <f t="shared" si="897"/>
        <v>19132.649999999998</v>
      </c>
      <c r="T1379" s="1969">
        <f t="shared" si="898"/>
        <v>17767.350000000002</v>
      </c>
      <c r="U1379" s="2060"/>
      <c r="Z1379" s="1956"/>
      <c r="AA1379" s="1956"/>
      <c r="AJ1379" s="1960"/>
    </row>
    <row r="1380" spans="1:36" ht="21.95" customHeight="1" x14ac:dyDescent="0.2">
      <c r="B1380" s="1987"/>
      <c r="C1380" s="2046"/>
      <c r="D1380" s="2047" t="str">
        <f>SNI!$E$761</f>
        <v>Sealent</v>
      </c>
      <c r="E1380" s="2047"/>
      <c r="F1380" s="2048"/>
      <c r="G1380" s="2049">
        <f>SNI!$H$761</f>
        <v>0.27</v>
      </c>
      <c r="H1380" s="2050" t="str">
        <f>SNI!$G$761</f>
        <v>Tube</v>
      </c>
      <c r="I1380" s="2051"/>
      <c r="J1380" s="2051"/>
      <c r="K1380" s="2052">
        <f>SNI!$L$761</f>
        <v>0</v>
      </c>
      <c r="L1380" s="2053"/>
      <c r="M1380" s="2054"/>
      <c r="N1380" s="2055">
        <f>SNI!$I$761</f>
        <v>72000</v>
      </c>
      <c r="O1380" s="2056"/>
      <c r="P1380" s="1969">
        <f t="shared" si="896"/>
        <v>19440</v>
      </c>
      <c r="Q1380" s="1953"/>
      <c r="R1380" s="1954"/>
      <c r="S1380" s="1954">
        <f t="shared" si="897"/>
        <v>0</v>
      </c>
      <c r="T1380" s="1969">
        <f t="shared" si="898"/>
        <v>19440</v>
      </c>
      <c r="U1380" s="2060"/>
      <c r="Z1380" s="1956"/>
      <c r="AA1380" s="1956"/>
      <c r="AJ1380" s="1960"/>
    </row>
    <row r="1381" spans="1:36" ht="21.95" customHeight="1" x14ac:dyDescent="0.2">
      <c r="B1381" s="1987"/>
      <c r="C1381" s="2046"/>
      <c r="D1381" s="2047" t="str">
        <f>SNI!$E$762</f>
        <v>Aksesoris 10% bahan</v>
      </c>
      <c r="E1381" s="2047"/>
      <c r="F1381" s="2048"/>
      <c r="G1381" s="2049">
        <f>SNI!$H$762</f>
        <v>1</v>
      </c>
      <c r="H1381" s="2050" t="str">
        <f>SNI!$G$762</f>
        <v>ls</v>
      </c>
      <c r="I1381" s="2051"/>
      <c r="J1381" s="2051"/>
      <c r="K1381" s="2052">
        <f>SNI!$L$762</f>
        <v>0</v>
      </c>
      <c r="L1381" s="2053"/>
      <c r="M1381" s="2054"/>
      <c r="N1381" s="2055">
        <f>SNI!$I$762</f>
        <v>66524</v>
      </c>
      <c r="O1381" s="2056"/>
      <c r="P1381" s="1969">
        <f t="shared" si="896"/>
        <v>66524</v>
      </c>
      <c r="Q1381" s="1953"/>
      <c r="R1381" s="1954"/>
      <c r="S1381" s="1954">
        <f t="shared" si="897"/>
        <v>0</v>
      </c>
      <c r="T1381" s="1969">
        <f t="shared" si="898"/>
        <v>66524</v>
      </c>
      <c r="U1381" s="2060"/>
      <c r="Z1381" s="1956"/>
      <c r="AA1381" s="1956"/>
      <c r="AJ1381" s="1960"/>
    </row>
    <row r="1382" spans="1:36" ht="21.95" customHeight="1" x14ac:dyDescent="0.2">
      <c r="B1382" s="1987"/>
      <c r="C1382" s="2046" t="str">
        <f>SNI!$D$764</f>
        <v>Tenaga Kerja</v>
      </c>
      <c r="D1382" s="2047"/>
      <c r="E1382" s="2047"/>
      <c r="F1382" s="2048"/>
      <c r="G1382" s="2049"/>
      <c r="H1382" s="2050"/>
      <c r="I1382" s="2051"/>
      <c r="J1382" s="2051"/>
      <c r="K1382" s="2052"/>
      <c r="L1382" s="2053"/>
      <c r="M1382" s="2054"/>
      <c r="N1382" s="2055"/>
      <c r="O1382" s="2056"/>
      <c r="P1382" s="1969"/>
      <c r="Q1382" s="1953"/>
      <c r="R1382" s="1954"/>
      <c r="S1382" s="1954"/>
      <c r="T1382" s="1969"/>
      <c r="U1382" s="2060"/>
      <c r="Z1382" s="1956"/>
      <c r="AA1382" s="1956"/>
      <c r="AJ1382" s="1960"/>
    </row>
    <row r="1383" spans="1:36" ht="21.95" customHeight="1" x14ac:dyDescent="0.2">
      <c r="B1383" s="1987"/>
      <c r="C1383" s="2046"/>
      <c r="D1383" s="2047" t="str">
        <f>SNI!$E$764</f>
        <v xml:space="preserve">Pekerja </v>
      </c>
      <c r="E1383" s="2047"/>
      <c r="F1383" s="2048"/>
      <c r="G1383" s="2049">
        <f>SNI!$H$764</f>
        <v>8.5000000000000006E-2</v>
      </c>
      <c r="H1383" s="2050" t="str">
        <f>SNI!$G$764</f>
        <v>OH</v>
      </c>
      <c r="I1383" s="2051" t="str">
        <f>SNI!$M$764</f>
        <v>WNI</v>
      </c>
      <c r="J1383" s="2051"/>
      <c r="K1383" s="2052">
        <f>SNI!$L$764</f>
        <v>1</v>
      </c>
      <c r="L1383" s="2053"/>
      <c r="M1383" s="2054"/>
      <c r="N1383" s="2055">
        <f>SNI!$I$764</f>
        <v>88300</v>
      </c>
      <c r="O1383" s="2056"/>
      <c r="P1383" s="1969">
        <f t="shared" si="896"/>
        <v>7505.5000000000009</v>
      </c>
      <c r="Q1383" s="1953"/>
      <c r="R1383" s="1954"/>
      <c r="S1383" s="1954">
        <f t="shared" si="897"/>
        <v>7505.5000000000009</v>
      </c>
      <c r="T1383" s="1969">
        <f t="shared" si="898"/>
        <v>0</v>
      </c>
      <c r="U1383" s="2060"/>
      <c r="Z1383" s="1956"/>
      <c r="AA1383" s="1956"/>
      <c r="AJ1383" s="1960"/>
    </row>
    <row r="1384" spans="1:36" ht="21.95" customHeight="1" x14ac:dyDescent="0.2">
      <c r="B1384" s="1987"/>
      <c r="C1384" s="2046"/>
      <c r="D1384" s="2047" t="str">
        <f>SNI!$E$765</f>
        <v>Tukang allumunium/kaca</v>
      </c>
      <c r="E1384" s="2047"/>
      <c r="F1384" s="2048"/>
      <c r="G1384" s="2049">
        <f>SNI!$H$765</f>
        <v>8.5000000000000006E-2</v>
      </c>
      <c r="H1384" s="2050" t="str">
        <f>SNI!$G$765</f>
        <v>OH</v>
      </c>
      <c r="I1384" s="2051" t="str">
        <f>SNI!$M$765</f>
        <v>WNI</v>
      </c>
      <c r="J1384" s="2051"/>
      <c r="K1384" s="2052">
        <f>SNI!$L$765</f>
        <v>1</v>
      </c>
      <c r="L1384" s="2053"/>
      <c r="M1384" s="2054"/>
      <c r="N1384" s="2055">
        <f>SNI!$I$765</f>
        <v>90000</v>
      </c>
      <c r="O1384" s="2056"/>
      <c r="P1384" s="1969">
        <f t="shared" si="896"/>
        <v>7650.0000000000009</v>
      </c>
      <c r="Q1384" s="1953"/>
      <c r="R1384" s="1954"/>
      <c r="S1384" s="1954">
        <f t="shared" si="897"/>
        <v>7650.0000000000009</v>
      </c>
      <c r="T1384" s="1969">
        <f t="shared" si="898"/>
        <v>0</v>
      </c>
      <c r="U1384" s="2060"/>
      <c r="Z1384" s="1956"/>
      <c r="AA1384" s="1956"/>
      <c r="AJ1384" s="1960"/>
    </row>
    <row r="1385" spans="1:36" ht="21.95" customHeight="1" x14ac:dyDescent="0.2">
      <c r="B1385" s="1987"/>
      <c r="C1385" s="2046"/>
      <c r="D1385" s="2047" t="str">
        <f>SNI!$E$766</f>
        <v>Kepala tukang</v>
      </c>
      <c r="E1385" s="2047"/>
      <c r="F1385" s="2048"/>
      <c r="G1385" s="2049">
        <f>SNI!$H$766</f>
        <v>8.9999999999999993E-3</v>
      </c>
      <c r="H1385" s="2050" t="str">
        <f>SNI!$G$766</f>
        <v>OH</v>
      </c>
      <c r="I1385" s="2051" t="str">
        <f>SNI!$M$766</f>
        <v>WNI</v>
      </c>
      <c r="J1385" s="2051"/>
      <c r="K1385" s="2052">
        <f>SNI!$L$766</f>
        <v>1</v>
      </c>
      <c r="L1385" s="2053"/>
      <c r="M1385" s="2054"/>
      <c r="N1385" s="2055">
        <f>SNI!$I$766</f>
        <v>96000</v>
      </c>
      <c r="O1385" s="2056"/>
      <c r="P1385" s="1969">
        <f t="shared" ref="P1385:P1386" si="899">N1385*G1385</f>
        <v>863.99999999999989</v>
      </c>
      <c r="Q1385" s="1953"/>
      <c r="R1385" s="1954"/>
      <c r="S1385" s="1954">
        <f t="shared" ref="S1385:S1386" si="900">P1385*K1385</f>
        <v>863.99999999999989</v>
      </c>
      <c r="T1385" s="1969">
        <f t="shared" ref="T1385:T1386" si="901">P1385-S1385</f>
        <v>0</v>
      </c>
      <c r="U1385" s="2060"/>
      <c r="Z1385" s="1956"/>
      <c r="AA1385" s="1956"/>
      <c r="AJ1385" s="1960"/>
    </row>
    <row r="1386" spans="1:36" ht="21.95" customHeight="1" x14ac:dyDescent="0.2">
      <c r="B1386" s="1987"/>
      <c r="C1386" s="2046"/>
      <c r="D1386" s="2047" t="str">
        <f>SNI!$E$767</f>
        <v>Mandor</v>
      </c>
      <c r="E1386" s="2047"/>
      <c r="F1386" s="2048"/>
      <c r="G1386" s="2049">
        <f>SNI!$H$767</f>
        <v>5.0000000000000001E-3</v>
      </c>
      <c r="H1386" s="2050" t="str">
        <f>SNI!$G$767</f>
        <v>OH</v>
      </c>
      <c r="I1386" s="2051" t="str">
        <f>SNI!$M$767</f>
        <v>WNI</v>
      </c>
      <c r="J1386" s="2051"/>
      <c r="K1386" s="2052">
        <f>SNI!$L$767</f>
        <v>1</v>
      </c>
      <c r="L1386" s="2053"/>
      <c r="M1386" s="2054"/>
      <c r="N1386" s="2055">
        <f>SNI!$I$767</f>
        <v>90000</v>
      </c>
      <c r="O1386" s="2056"/>
      <c r="P1386" s="1969">
        <f t="shared" si="899"/>
        <v>450</v>
      </c>
      <c r="Q1386" s="1953"/>
      <c r="R1386" s="1954"/>
      <c r="S1386" s="1954">
        <f t="shared" si="900"/>
        <v>450</v>
      </c>
      <c r="T1386" s="1969">
        <f t="shared" si="901"/>
        <v>0</v>
      </c>
      <c r="U1386" s="2060"/>
      <c r="Z1386" s="1956"/>
      <c r="AA1386" s="1956"/>
      <c r="AJ1386" s="1960"/>
    </row>
    <row r="1387" spans="1:36" s="1957" customFormat="1" ht="21.95" customHeight="1" x14ac:dyDescent="0.2">
      <c r="A1387" s="1942"/>
      <c r="B1387" s="1970"/>
      <c r="C1387" s="1971"/>
      <c r="D1387" s="1972"/>
      <c r="E1387" s="1973"/>
      <c r="F1387" s="1974" t="s">
        <v>556</v>
      </c>
      <c r="G1387" s="1975">
        <f>B1375</f>
        <v>6</v>
      </c>
      <c r="H1387" s="1976"/>
      <c r="I1387" s="1977"/>
      <c r="J1387" s="1977"/>
      <c r="K1387" s="1978"/>
      <c r="L1387" s="1979"/>
      <c r="M1387" s="1980"/>
      <c r="N1387" s="1981"/>
      <c r="O1387" s="1982"/>
      <c r="P1387" s="1983">
        <f>SUM(P1377:P1386)</f>
        <v>748233.5</v>
      </c>
      <c r="Q1387" s="1984"/>
      <c r="R1387" s="1985"/>
      <c r="S1387" s="1983">
        <f t="shared" ref="S1387:T1387" si="902">SUM(S1377:S1386)</f>
        <v>357705.6</v>
      </c>
      <c r="T1387" s="1983">
        <f t="shared" si="902"/>
        <v>390527.89999999997</v>
      </c>
      <c r="U1387" s="1986"/>
      <c r="V1387" s="1848"/>
      <c r="W1387" s="1848"/>
      <c r="X1387" s="1848"/>
      <c r="Y1387" s="1848"/>
      <c r="Z1387" s="1956"/>
      <c r="AA1387" s="1956"/>
      <c r="AF1387" s="1958"/>
      <c r="AG1387" s="1958"/>
      <c r="AH1387" s="1958"/>
      <c r="AI1387" s="1959"/>
      <c r="AJ1387" s="1960"/>
    </row>
    <row r="1388" spans="1:36" ht="21.95" customHeight="1" x14ac:dyDescent="0.2">
      <c r="A1388" s="1833">
        <f>satpek!$B$83</f>
        <v>64</v>
      </c>
      <c r="B1388" s="1987">
        <f>B1375+1</f>
        <v>7</v>
      </c>
      <c r="C1388" s="1937"/>
      <c r="D1388" s="1944" t="str">
        <f>VLOOKUP($A1388,satpek!$B$20:$N$144,2,0)</f>
        <v>Pasang kaca mati tebal 5 mm</v>
      </c>
      <c r="E1388" s="1944"/>
      <c r="F1388" s="2004"/>
      <c r="G1388" s="1945">
        <f>'[3]B.VOL RAB'!Q441</f>
        <v>23.64</v>
      </c>
      <c r="H1388" s="1946" t="str">
        <f>VLOOKUP($A1388,satpek!$B$20:$N$144,7,0)</f>
        <v>m2</v>
      </c>
      <c r="I1388" s="1947"/>
      <c r="J1388" s="1947"/>
      <c r="K1388" s="1948"/>
      <c r="L1388" s="1949"/>
      <c r="M1388" s="1950" t="str">
        <f>VLOOKUP($A1388,satpek!$B$20:$N$144,5,0)</f>
        <v>A.4.6.2.17.</v>
      </c>
      <c r="N1388" s="1951">
        <f>VLOOKUP($A1388,satpek!$B$20:$N$144,6,0)</f>
        <v>170445.25</v>
      </c>
      <c r="O1388" s="1938"/>
      <c r="P1388" s="1952">
        <f t="shared" si="867"/>
        <v>4029325.71</v>
      </c>
      <c r="Q1388" s="1953">
        <f>VLOOKUP($A1388,satpek!$B$20:$L$138,8,0)</f>
        <v>0.61858343305499663</v>
      </c>
      <c r="R1388" s="1954">
        <f>VLOOKUP($A1388,satpek!$B$20:$L$138,9,0)</f>
        <v>93304.960000000006</v>
      </c>
      <c r="S1388" s="1954">
        <f>VLOOKUP($A1388,satpek!$B$20:$L$138,10,0)</f>
        <v>105434.6048</v>
      </c>
      <c r="T1388" s="1952">
        <f t="shared" si="868"/>
        <v>2492474.0574719999</v>
      </c>
      <c r="U1388" s="1955"/>
      <c r="X1388" s="1848">
        <f>P1397</f>
        <v>150836.5</v>
      </c>
      <c r="Y1388" s="1848">
        <f>S1397</f>
        <v>93304.960000000006</v>
      </c>
      <c r="Z1388" s="1956">
        <v>23.64</v>
      </c>
      <c r="AA1388" s="1956">
        <f t="shared" si="835"/>
        <v>0</v>
      </c>
      <c r="AB1388" s="1836" t="s">
        <v>1830</v>
      </c>
      <c r="AI1388" s="1910">
        <v>170734.07</v>
      </c>
      <c r="AJ1388" s="1960">
        <f t="shared" si="836"/>
        <v>288.82000000000698</v>
      </c>
    </row>
    <row r="1389" spans="1:36" ht="21.95" customHeight="1" x14ac:dyDescent="0.2">
      <c r="B1389" s="1987"/>
      <c r="C1389" s="2046" t="str">
        <f>SNI!$D$1278</f>
        <v>Bahan</v>
      </c>
      <c r="D1389" s="2047"/>
      <c r="E1389" s="2047"/>
      <c r="F1389" s="2048"/>
      <c r="G1389" s="2049"/>
      <c r="H1389" s="2050"/>
      <c r="I1389" s="2051"/>
      <c r="J1389" s="2051"/>
      <c r="K1389" s="2052"/>
      <c r="L1389" s="2053"/>
      <c r="M1389" s="2054"/>
      <c r="N1389" s="2055"/>
      <c r="O1389" s="2056"/>
      <c r="P1389" s="2057"/>
      <c r="Q1389" s="2058"/>
      <c r="R1389" s="2059"/>
      <c r="S1389" s="2059"/>
      <c r="T1389" s="2055"/>
      <c r="U1389" s="2060"/>
      <c r="Z1389" s="1956"/>
      <c r="AA1389" s="1956"/>
      <c r="AJ1389" s="1960"/>
    </row>
    <row r="1390" spans="1:36" ht="21.95" customHeight="1" x14ac:dyDescent="0.2">
      <c r="B1390" s="1987"/>
      <c r="C1390" s="2046"/>
      <c r="D1390" s="2047" t="str">
        <f>SNI!$E$1278</f>
        <v>Kaca 5 mm</v>
      </c>
      <c r="E1390" s="2047"/>
      <c r="F1390" s="2048"/>
      <c r="G1390" s="2049">
        <f>SNI!$H$1278</f>
        <v>1.1000000000000001</v>
      </c>
      <c r="H1390" s="2050" t="str">
        <f>SNI!$G$1278</f>
        <v>m2</v>
      </c>
      <c r="I1390" s="2051"/>
      <c r="J1390" s="2051"/>
      <c r="K1390" s="2052">
        <f>SNI!$L$1278</f>
        <v>0.57130000000000003</v>
      </c>
      <c r="L1390" s="2053"/>
      <c r="M1390" s="2054"/>
      <c r="N1390" s="2055">
        <f>SNI!$I$1278</f>
        <v>122000</v>
      </c>
      <c r="O1390" s="2056"/>
      <c r="P1390" s="1969">
        <f t="shared" ref="P1390" si="903">N1390*G1390</f>
        <v>134200</v>
      </c>
      <c r="Q1390" s="1953"/>
      <c r="R1390" s="1954"/>
      <c r="S1390" s="1954">
        <f t="shared" ref="S1390" si="904">P1390*K1390</f>
        <v>76668.460000000006</v>
      </c>
      <c r="T1390" s="1969">
        <f t="shared" ref="T1390" si="905">P1390-S1390</f>
        <v>57531.539999999994</v>
      </c>
      <c r="U1390" s="2060"/>
      <c r="Z1390" s="1956"/>
      <c r="AA1390" s="1956"/>
      <c r="AJ1390" s="1960"/>
    </row>
    <row r="1391" spans="1:36" ht="21.95" customHeight="1" x14ac:dyDescent="0.2">
      <c r="B1391" s="1987"/>
      <c r="C1391" s="2046"/>
      <c r="D1391" s="2047" t="str">
        <f>SNI!$E$1279</f>
        <v>Sealent</v>
      </c>
      <c r="E1391" s="2047"/>
      <c r="F1391" s="2048"/>
      <c r="G1391" s="2049">
        <f>SNI!$H$1279</f>
        <v>0.05</v>
      </c>
      <c r="H1391" s="2050" t="str">
        <f>SNI!$G$1279</f>
        <v>kg</v>
      </c>
      <c r="I1391" s="2051"/>
      <c r="J1391" s="2051"/>
      <c r="K1391" s="2052">
        <f>SNI!$L$1279</f>
        <v>0</v>
      </c>
      <c r="L1391" s="2053"/>
      <c r="M1391" s="2054"/>
      <c r="N1391" s="2055">
        <f>SNI!$I$1279</f>
        <v>0</v>
      </c>
      <c r="O1391" s="2056"/>
      <c r="P1391" s="1969">
        <f t="shared" ref="P1391:P1396" si="906">N1391*G1391</f>
        <v>0</v>
      </c>
      <c r="Q1391" s="1953"/>
      <c r="R1391" s="1954"/>
      <c r="S1391" s="1954">
        <f t="shared" ref="S1391:S1396" si="907">P1391*K1391</f>
        <v>0</v>
      </c>
      <c r="T1391" s="1969">
        <f t="shared" ref="T1391:T1396" si="908">P1391-S1391</f>
        <v>0</v>
      </c>
      <c r="U1391" s="2060"/>
      <c r="Z1391" s="1956"/>
      <c r="AA1391" s="1956"/>
      <c r="AJ1391" s="1960"/>
    </row>
    <row r="1392" spans="1:36" ht="21.95" customHeight="1" x14ac:dyDescent="0.2">
      <c r="B1392" s="1987"/>
      <c r="C1392" s="2046" t="str">
        <f>SNI!$D$1281</f>
        <v>Tenaga Kerja</v>
      </c>
      <c r="D1392" s="2047"/>
      <c r="E1392" s="2047"/>
      <c r="F1392" s="2048"/>
      <c r="G1392" s="2049"/>
      <c r="H1392" s="2050"/>
      <c r="I1392" s="2051"/>
      <c r="J1392" s="2051"/>
      <c r="K1392" s="2052"/>
      <c r="L1392" s="2053"/>
      <c r="M1392" s="2054"/>
      <c r="N1392" s="2055"/>
      <c r="O1392" s="2056"/>
      <c r="P1392" s="1969"/>
      <c r="Q1392" s="1953"/>
      <c r="R1392" s="1954"/>
      <c r="S1392" s="1954"/>
      <c r="T1392" s="1969"/>
      <c r="U1392" s="2060"/>
      <c r="Z1392" s="1956"/>
      <c r="AA1392" s="1956"/>
      <c r="AJ1392" s="1960"/>
    </row>
    <row r="1393" spans="1:36" ht="21.95" customHeight="1" x14ac:dyDescent="0.2">
      <c r="B1393" s="1987"/>
      <c r="C1393" s="2046"/>
      <c r="D1393" s="2047" t="str">
        <f>SNI!$E$1281</f>
        <v>Pekerja</v>
      </c>
      <c r="E1393" s="2047"/>
      <c r="F1393" s="2048"/>
      <c r="G1393" s="2049">
        <f>SNI!$H$1281</f>
        <v>1.4999999999999999E-2</v>
      </c>
      <c r="H1393" s="2050" t="str">
        <f>SNI!$G$1281</f>
        <v>OH</v>
      </c>
      <c r="I1393" s="2051" t="str">
        <f>SNI!$M$1281</f>
        <v>WNI</v>
      </c>
      <c r="J1393" s="2051"/>
      <c r="K1393" s="2052">
        <f>SNI!$L$1281</f>
        <v>1</v>
      </c>
      <c r="L1393" s="2053"/>
      <c r="M1393" s="2054"/>
      <c r="N1393" s="2055">
        <f>SNI!$I$1281</f>
        <v>88300</v>
      </c>
      <c r="O1393" s="2056"/>
      <c r="P1393" s="1969">
        <f t="shared" si="906"/>
        <v>1324.5</v>
      </c>
      <c r="Q1393" s="1953"/>
      <c r="R1393" s="1954"/>
      <c r="S1393" s="1954">
        <f t="shared" si="907"/>
        <v>1324.5</v>
      </c>
      <c r="T1393" s="1969">
        <f t="shared" si="908"/>
        <v>0</v>
      </c>
      <c r="U1393" s="2060"/>
      <c r="Z1393" s="1956"/>
      <c r="AA1393" s="1956"/>
      <c r="AJ1393" s="1960"/>
    </row>
    <row r="1394" spans="1:36" ht="21.95" customHeight="1" x14ac:dyDescent="0.2">
      <c r="B1394" s="1987"/>
      <c r="C1394" s="2046"/>
      <c r="D1394" s="2047" t="str">
        <f>SNI!$E$1282</f>
        <v>Tukang kayu</v>
      </c>
      <c r="E1394" s="2047"/>
      <c r="F1394" s="2048"/>
      <c r="G1394" s="2049">
        <f>SNI!$H$1282</f>
        <v>0.15</v>
      </c>
      <c r="H1394" s="2050" t="str">
        <f>SNI!$G$1282</f>
        <v>OH</v>
      </c>
      <c r="I1394" s="2051" t="str">
        <f>SNI!$M$1282</f>
        <v>WNI</v>
      </c>
      <c r="J1394" s="2051"/>
      <c r="K1394" s="2052">
        <f>SNI!$L$1282</f>
        <v>1</v>
      </c>
      <c r="L1394" s="2053"/>
      <c r="M1394" s="2054"/>
      <c r="N1394" s="2055">
        <f>SNI!$I$1282</f>
        <v>92000</v>
      </c>
      <c r="O1394" s="2056"/>
      <c r="P1394" s="1969">
        <f t="shared" si="906"/>
        <v>13800</v>
      </c>
      <c r="Q1394" s="1953"/>
      <c r="R1394" s="1954"/>
      <c r="S1394" s="1954">
        <f t="shared" si="907"/>
        <v>13800</v>
      </c>
      <c r="T1394" s="1969">
        <f t="shared" si="908"/>
        <v>0</v>
      </c>
      <c r="U1394" s="2060"/>
      <c r="Z1394" s="1956"/>
      <c r="AA1394" s="1956"/>
      <c r="AJ1394" s="1960"/>
    </row>
    <row r="1395" spans="1:36" ht="21.95" customHeight="1" x14ac:dyDescent="0.2">
      <c r="B1395" s="1987"/>
      <c r="C1395" s="2046"/>
      <c r="D1395" s="2047" t="str">
        <f>SNI!$E$1283</f>
        <v>Kepala tukang</v>
      </c>
      <c r="E1395" s="2047"/>
      <c r="F1395" s="2048"/>
      <c r="G1395" s="2049">
        <f>SNI!$H$1283</f>
        <v>1.4999999999999999E-2</v>
      </c>
      <c r="H1395" s="2050" t="str">
        <f>SNI!$G$1283</f>
        <v>OH</v>
      </c>
      <c r="I1395" s="2051" t="str">
        <f>SNI!$M$1283</f>
        <v>WNI</v>
      </c>
      <c r="J1395" s="2051"/>
      <c r="K1395" s="2052">
        <f>SNI!$L$1283</f>
        <v>1</v>
      </c>
      <c r="L1395" s="2053"/>
      <c r="M1395" s="2054"/>
      <c r="N1395" s="2055">
        <f>SNI!$I$1283</f>
        <v>96000</v>
      </c>
      <c r="O1395" s="2056"/>
      <c r="P1395" s="1969">
        <f t="shared" si="906"/>
        <v>1440</v>
      </c>
      <c r="Q1395" s="1953"/>
      <c r="R1395" s="1954"/>
      <c r="S1395" s="1954">
        <f t="shared" si="907"/>
        <v>1440</v>
      </c>
      <c r="T1395" s="1969">
        <f t="shared" si="908"/>
        <v>0</v>
      </c>
      <c r="U1395" s="2060"/>
      <c r="Z1395" s="1956"/>
      <c r="AA1395" s="1956"/>
      <c r="AJ1395" s="1960"/>
    </row>
    <row r="1396" spans="1:36" ht="21.95" customHeight="1" x14ac:dyDescent="0.2">
      <c r="B1396" s="1987"/>
      <c r="C1396" s="2046"/>
      <c r="D1396" s="2047" t="str">
        <f>SNI!$E$1284</f>
        <v>Mandor</v>
      </c>
      <c r="E1396" s="2047"/>
      <c r="F1396" s="2048"/>
      <c r="G1396" s="2049">
        <f>SNI!$H$1284</f>
        <v>8.0000000000000004E-4</v>
      </c>
      <c r="H1396" s="2050" t="str">
        <f>SNI!$G$1284</f>
        <v>OH</v>
      </c>
      <c r="I1396" s="2051" t="str">
        <f>SNI!$M$1284</f>
        <v>WNI</v>
      </c>
      <c r="J1396" s="2051"/>
      <c r="K1396" s="2052">
        <f>SNI!$L$1284</f>
        <v>1</v>
      </c>
      <c r="L1396" s="2053"/>
      <c r="M1396" s="2054"/>
      <c r="N1396" s="2055">
        <f>SNI!$I$1284</f>
        <v>90000</v>
      </c>
      <c r="O1396" s="2056"/>
      <c r="P1396" s="1969">
        <f t="shared" si="906"/>
        <v>72</v>
      </c>
      <c r="Q1396" s="1953"/>
      <c r="R1396" s="1954"/>
      <c r="S1396" s="1954">
        <f t="shared" si="907"/>
        <v>72</v>
      </c>
      <c r="T1396" s="1969">
        <f t="shared" si="908"/>
        <v>0</v>
      </c>
      <c r="U1396" s="2060"/>
      <c r="Z1396" s="1956"/>
      <c r="AA1396" s="1956"/>
      <c r="AJ1396" s="1960"/>
    </row>
    <row r="1397" spans="1:36" s="1957" customFormat="1" ht="21.95" customHeight="1" x14ac:dyDescent="0.2">
      <c r="A1397" s="1942"/>
      <c r="B1397" s="1970"/>
      <c r="C1397" s="1971"/>
      <c r="D1397" s="1972"/>
      <c r="E1397" s="1973"/>
      <c r="F1397" s="1974" t="s">
        <v>556</v>
      </c>
      <c r="G1397" s="1975">
        <f>B1388</f>
        <v>7</v>
      </c>
      <c r="H1397" s="1976"/>
      <c r="I1397" s="1977"/>
      <c r="J1397" s="1977"/>
      <c r="K1397" s="1978"/>
      <c r="L1397" s="1979"/>
      <c r="M1397" s="1980"/>
      <c r="N1397" s="1981"/>
      <c r="O1397" s="1982"/>
      <c r="P1397" s="1983">
        <f>SUM(P1390:P1396)</f>
        <v>150836.5</v>
      </c>
      <c r="Q1397" s="1984"/>
      <c r="R1397" s="1985"/>
      <c r="S1397" s="1983">
        <f t="shared" ref="S1397:T1397" si="909">SUM(S1390:S1396)</f>
        <v>93304.960000000006</v>
      </c>
      <c r="T1397" s="1983">
        <f t="shared" si="909"/>
        <v>57531.539999999994</v>
      </c>
      <c r="U1397" s="1986"/>
      <c r="V1397" s="1848"/>
      <c r="W1397" s="1848"/>
      <c r="X1397" s="1848"/>
      <c r="Y1397" s="1848"/>
      <c r="Z1397" s="1956"/>
      <c r="AA1397" s="1956"/>
      <c r="AF1397" s="1958"/>
      <c r="AG1397" s="1958"/>
      <c r="AH1397" s="1958"/>
      <c r="AI1397" s="1959"/>
      <c r="AJ1397" s="1960"/>
    </row>
    <row r="1398" spans="1:36" ht="21.95" customHeight="1" x14ac:dyDescent="0.2">
      <c r="B1398" s="2032"/>
      <c r="C1398" s="1928"/>
      <c r="D1398" s="1929" t="s">
        <v>1786</v>
      </c>
      <c r="E1398" s="2082"/>
      <c r="F1398" s="2083"/>
      <c r="G1398" s="1945"/>
      <c r="H1398" s="2084"/>
      <c r="I1398" s="2085"/>
      <c r="J1398" s="2085"/>
      <c r="K1398" s="2086"/>
      <c r="L1398" s="2087"/>
      <c r="M1398" s="2087"/>
      <c r="N1398" s="2088"/>
      <c r="O1398" s="2089"/>
      <c r="P1398" s="2090"/>
      <c r="Q1398" s="2085"/>
      <c r="R1398" s="2085"/>
      <c r="S1398" s="2085"/>
      <c r="T1398" s="2091"/>
      <c r="U1398" s="2092"/>
      <c r="Z1398" s="1956"/>
      <c r="AA1398" s="1956">
        <f t="shared" si="835"/>
        <v>0</v>
      </c>
      <c r="AB1398" s="1836" t="s">
        <v>1786</v>
      </c>
      <c r="AJ1398" s="1960">
        <f t="shared" si="836"/>
        <v>0</v>
      </c>
    </row>
    <row r="1399" spans="1:36" ht="21.95" customHeight="1" x14ac:dyDescent="0.2">
      <c r="B1399" s="2032"/>
      <c r="C1399" s="1928"/>
      <c r="D1399" s="1944" t="s">
        <v>1825</v>
      </c>
      <c r="E1399" s="2082"/>
      <c r="F1399" s="2083"/>
      <c r="G1399" s="1945"/>
      <c r="H1399" s="2084"/>
      <c r="I1399" s="2085"/>
      <c r="J1399" s="2085"/>
      <c r="K1399" s="2086"/>
      <c r="L1399" s="2087"/>
      <c r="M1399" s="2087"/>
      <c r="N1399" s="2088"/>
      <c r="O1399" s="2089"/>
      <c r="P1399" s="2090"/>
      <c r="Q1399" s="2085"/>
      <c r="R1399" s="2085"/>
      <c r="S1399" s="2085"/>
      <c r="T1399" s="2091"/>
      <c r="U1399" s="2092"/>
      <c r="Z1399" s="1956"/>
      <c r="AA1399" s="1956">
        <f t="shared" si="835"/>
        <v>0</v>
      </c>
      <c r="AB1399" s="1836" t="s">
        <v>1825</v>
      </c>
      <c r="AJ1399" s="1960">
        <f t="shared" si="836"/>
        <v>0</v>
      </c>
    </row>
    <row r="1400" spans="1:36" ht="21.95" customHeight="1" x14ac:dyDescent="0.2">
      <c r="A1400" s="1833">
        <f>satpek!$B$54</f>
        <v>35</v>
      </c>
      <c r="B1400" s="1943">
        <f>B1399+1</f>
        <v>1</v>
      </c>
      <c r="C1400" s="1937"/>
      <c r="D1400" s="1944" t="str">
        <f>VLOOKUP($A1400,satpek!$B$20:$N$144,2,0)</f>
        <v xml:space="preserve">Memasang kusen pintu/jendela alluminium </v>
      </c>
      <c r="E1400" s="1944"/>
      <c r="F1400" s="2004"/>
      <c r="G1400" s="1945">
        <f>'[3]B.VOL RAB'!Q474</f>
        <v>576.6</v>
      </c>
      <c r="H1400" s="1946" t="str">
        <f>VLOOKUP($A1400,satpek!$B$20:$N$144,7,0)</f>
        <v>m'</v>
      </c>
      <c r="I1400" s="1947"/>
      <c r="J1400" s="1947"/>
      <c r="K1400" s="1948"/>
      <c r="L1400" s="1949"/>
      <c r="M1400" s="1950" t="str">
        <f>VLOOKUP($A1400,satpek!$B$20:$N$144,5,0)</f>
        <v>A.4.2.1.11.</v>
      </c>
      <c r="N1400" s="1951">
        <f>VLOOKUP($A1400,satpek!$B$20:$N$144,6,0)</f>
        <v>152243.43000000002</v>
      </c>
      <c r="O1400" s="1938"/>
      <c r="P1400" s="1952">
        <f t="shared" ref="P1400:P1447" si="910">ROUND((G1400*N1400),2)</f>
        <v>87783561.739999995</v>
      </c>
      <c r="Q1400" s="1953">
        <f>VLOOKUP($A1400,satpek!$B$20:$L$138,8,0)</f>
        <v>0.52703841126649331</v>
      </c>
      <c r="R1400" s="1954">
        <f>VLOOKUP($A1400,satpek!$B$20:$L$138,9,0)</f>
        <v>71007.199999999997</v>
      </c>
      <c r="S1400" s="1954">
        <f>VLOOKUP($A1400,satpek!$B$20:$L$138,10,0)</f>
        <v>80238.135999999999</v>
      </c>
      <c r="T1400" s="1952">
        <f>S1400*G1400</f>
        <v>46265309.217600003</v>
      </c>
      <c r="U1400" s="1955"/>
      <c r="X1400" s="1848">
        <f>P1410</f>
        <v>134728.69999999998</v>
      </c>
      <c r="Y1400" s="1848">
        <f>S1410</f>
        <v>71007.199999999997</v>
      </c>
      <c r="Z1400" s="1956">
        <v>576.6</v>
      </c>
      <c r="AA1400" s="1956">
        <f t="shared" si="835"/>
        <v>0</v>
      </c>
      <c r="AB1400" s="1836" t="s">
        <v>1080</v>
      </c>
      <c r="AI1400" s="1910">
        <v>139049.89000000001</v>
      </c>
      <c r="AJ1400" s="1960">
        <f t="shared" si="836"/>
        <v>-13193.540000000008</v>
      </c>
    </row>
    <row r="1401" spans="1:36" ht="21.95" customHeight="1" x14ac:dyDescent="0.2">
      <c r="B1401" s="1987"/>
      <c r="C1401" s="2046" t="str">
        <f>SNI!$D$696</f>
        <v>Bahan</v>
      </c>
      <c r="D1401" s="2047"/>
      <c r="E1401" s="2047"/>
      <c r="F1401" s="2048"/>
      <c r="G1401" s="2049"/>
      <c r="H1401" s="2050"/>
      <c r="I1401" s="2051"/>
      <c r="J1401" s="2051"/>
      <c r="K1401" s="2052"/>
      <c r="L1401" s="2053"/>
      <c r="M1401" s="2054"/>
      <c r="N1401" s="2055"/>
      <c r="O1401" s="2056"/>
      <c r="P1401" s="2057"/>
      <c r="Q1401" s="2058"/>
      <c r="R1401" s="2059"/>
      <c r="S1401" s="2059"/>
      <c r="T1401" s="2057"/>
      <c r="U1401" s="2060"/>
      <c r="Z1401" s="1956"/>
      <c r="AA1401" s="1956"/>
      <c r="AJ1401" s="1960"/>
    </row>
    <row r="1402" spans="1:36" ht="21.95" customHeight="1" x14ac:dyDescent="0.2">
      <c r="B1402" s="1987"/>
      <c r="C1402" s="2046"/>
      <c r="D1402" s="2047" t="str">
        <f>SNI!$E$696</f>
        <v>Profil allumunium</v>
      </c>
      <c r="E1402" s="2047"/>
      <c r="F1402" s="2048"/>
      <c r="G1402" s="2049">
        <f>SNI!$H$696</f>
        <v>1.1000000000000001</v>
      </c>
      <c r="H1402" s="2050" t="str">
        <f>SNI!$G$696</f>
        <v>m</v>
      </c>
      <c r="I1402" s="2051"/>
      <c r="J1402" s="2051"/>
      <c r="K1402" s="2052">
        <f>SNI!$L$696</f>
        <v>0.51849999999999996</v>
      </c>
      <c r="L1402" s="2053"/>
      <c r="M1402" s="2054"/>
      <c r="N1402" s="2055">
        <f>SNI!$I$696</f>
        <v>110000</v>
      </c>
      <c r="O1402" s="2056"/>
      <c r="P1402" s="1969">
        <f t="shared" ref="P1402:P1404" si="911">N1402*G1402</f>
        <v>121000.00000000001</v>
      </c>
      <c r="Q1402" s="1953"/>
      <c r="R1402" s="1954"/>
      <c r="S1402" s="1954">
        <f t="shared" ref="S1402:S1404" si="912">P1402*K1402</f>
        <v>62738.5</v>
      </c>
      <c r="T1402" s="1969">
        <f t="shared" ref="T1402:T1404" si="913">P1402-S1402</f>
        <v>58261.500000000015</v>
      </c>
      <c r="U1402" s="2060"/>
      <c r="Z1402" s="1956"/>
      <c r="AA1402" s="1956"/>
      <c r="AJ1402" s="1960"/>
    </row>
    <row r="1403" spans="1:36" ht="21.95" customHeight="1" x14ac:dyDescent="0.2">
      <c r="B1403" s="1987"/>
      <c r="C1403" s="2046"/>
      <c r="D1403" s="2047" t="str">
        <f>SNI!$E$697</f>
        <v>Skrup fisher</v>
      </c>
      <c r="E1403" s="2047"/>
      <c r="F1403" s="2048"/>
      <c r="G1403" s="2049">
        <f>SNI!$H$697</f>
        <v>2</v>
      </c>
      <c r="H1403" s="2050" t="str">
        <f>SNI!$G$697</f>
        <v>buah</v>
      </c>
      <c r="I1403" s="2051"/>
      <c r="J1403" s="2051"/>
      <c r="K1403" s="2052">
        <f>SNI!$L$697</f>
        <v>0</v>
      </c>
      <c r="L1403" s="2053"/>
      <c r="M1403" s="2054"/>
      <c r="N1403" s="2055">
        <f>SNI!$I$697</f>
        <v>570</v>
      </c>
      <c r="O1403" s="2056"/>
      <c r="P1403" s="1969">
        <f t="shared" si="911"/>
        <v>1140</v>
      </c>
      <c r="Q1403" s="1953"/>
      <c r="R1403" s="1954"/>
      <c r="S1403" s="1954">
        <f t="shared" si="912"/>
        <v>0</v>
      </c>
      <c r="T1403" s="1969">
        <f t="shared" si="913"/>
        <v>1140</v>
      </c>
      <c r="U1403" s="2060"/>
      <c r="Z1403" s="1956"/>
      <c r="AA1403" s="1956"/>
      <c r="AJ1403" s="1960"/>
    </row>
    <row r="1404" spans="1:36" ht="21.95" customHeight="1" x14ac:dyDescent="0.2">
      <c r="B1404" s="1987"/>
      <c r="C1404" s="2046"/>
      <c r="D1404" s="2047" t="str">
        <f>SNI!$E$698</f>
        <v>Sealant</v>
      </c>
      <c r="E1404" s="2047"/>
      <c r="F1404" s="2048"/>
      <c r="G1404" s="2049">
        <f>SNI!$H$698</f>
        <v>0.06</v>
      </c>
      <c r="H1404" s="2050" t="str">
        <f>SNI!$G$698</f>
        <v>tube</v>
      </c>
      <c r="I1404" s="2051"/>
      <c r="J1404" s="2051"/>
      <c r="K1404" s="2052">
        <f>SNI!$L$698</f>
        <v>0</v>
      </c>
      <c r="L1404" s="2053"/>
      <c r="M1404" s="2054"/>
      <c r="N1404" s="2055">
        <f>SNI!$I$698</f>
        <v>72000</v>
      </c>
      <c r="O1404" s="2056"/>
      <c r="P1404" s="1969">
        <f t="shared" si="911"/>
        <v>4320</v>
      </c>
      <c r="Q1404" s="1953"/>
      <c r="R1404" s="1954"/>
      <c r="S1404" s="1954">
        <f t="shared" si="912"/>
        <v>0</v>
      </c>
      <c r="T1404" s="1969">
        <f t="shared" si="913"/>
        <v>4320</v>
      </c>
      <c r="U1404" s="2060"/>
      <c r="Z1404" s="1956"/>
      <c r="AA1404" s="1956"/>
      <c r="AJ1404" s="1960"/>
    </row>
    <row r="1405" spans="1:36" ht="21.95" customHeight="1" x14ac:dyDescent="0.2">
      <c r="B1405" s="1987"/>
      <c r="C1405" s="2046" t="str">
        <f>SNI!$D$700</f>
        <v>Tenaga Kerja</v>
      </c>
      <c r="D1405" s="2047"/>
      <c r="E1405" s="2047"/>
      <c r="F1405" s="2048"/>
      <c r="G1405" s="2049"/>
      <c r="H1405" s="2050"/>
      <c r="I1405" s="2051"/>
      <c r="J1405" s="2051"/>
      <c r="K1405" s="2052"/>
      <c r="L1405" s="2053"/>
      <c r="M1405" s="2054"/>
      <c r="N1405" s="2055"/>
      <c r="O1405" s="2056"/>
      <c r="P1405" s="1969"/>
      <c r="Q1405" s="1953"/>
      <c r="R1405" s="1954"/>
      <c r="S1405" s="1954"/>
      <c r="T1405" s="1969"/>
      <c r="U1405" s="2060"/>
      <c r="Z1405" s="1956"/>
      <c r="AA1405" s="1956"/>
      <c r="AJ1405" s="1960"/>
    </row>
    <row r="1406" spans="1:36" ht="21.95" customHeight="1" x14ac:dyDescent="0.2">
      <c r="B1406" s="1987"/>
      <c r="C1406" s="2046"/>
      <c r="D1406" s="2047" t="str">
        <f>SNI!$E$700</f>
        <v xml:space="preserve">Pekerja </v>
      </c>
      <c r="E1406" s="2047"/>
      <c r="F1406" s="2048"/>
      <c r="G1406" s="2049">
        <f>SNI!$H$700</f>
        <v>4.2999999999999997E-2</v>
      </c>
      <c r="H1406" s="2050" t="str">
        <f>SNI!$G$700</f>
        <v>OH</v>
      </c>
      <c r="I1406" s="2051" t="str">
        <f>SNI!$M$700</f>
        <v>WNI</v>
      </c>
      <c r="J1406" s="2051"/>
      <c r="K1406" s="2052">
        <f>SNI!$L$700</f>
        <v>1</v>
      </c>
      <c r="L1406" s="2053"/>
      <c r="M1406" s="2054"/>
      <c r="N1406" s="2055">
        <f>SNI!$I$700</f>
        <v>88300</v>
      </c>
      <c r="O1406" s="2056"/>
      <c r="P1406" s="1969">
        <f t="shared" ref="P1406:P1409" si="914">N1406*G1406</f>
        <v>3796.8999999999996</v>
      </c>
      <c r="Q1406" s="1953"/>
      <c r="R1406" s="1954"/>
      <c r="S1406" s="1954">
        <f t="shared" ref="S1406:S1409" si="915">P1406*K1406</f>
        <v>3796.8999999999996</v>
      </c>
      <c r="T1406" s="1969">
        <f t="shared" ref="T1406:T1409" si="916">P1406-S1406</f>
        <v>0</v>
      </c>
      <c r="U1406" s="2060"/>
      <c r="Z1406" s="1956"/>
      <c r="AA1406" s="1956"/>
      <c r="AJ1406" s="1960"/>
    </row>
    <row r="1407" spans="1:36" ht="21.95" customHeight="1" x14ac:dyDescent="0.2">
      <c r="B1407" s="1987"/>
      <c r="C1407" s="2046"/>
      <c r="D1407" s="2047" t="str">
        <f>SNI!$E$701</f>
        <v>Tukang khusus allumunium</v>
      </c>
      <c r="E1407" s="2047"/>
      <c r="F1407" s="2048"/>
      <c r="G1407" s="2049">
        <f>SNI!$H$701</f>
        <v>4.2999999999999997E-2</v>
      </c>
      <c r="H1407" s="2050" t="str">
        <f>SNI!$G$701</f>
        <v>OH</v>
      </c>
      <c r="I1407" s="2051" t="str">
        <f>SNI!$M$701</f>
        <v>WNI</v>
      </c>
      <c r="J1407" s="2051"/>
      <c r="K1407" s="2052">
        <f>SNI!$L$701</f>
        <v>1</v>
      </c>
      <c r="L1407" s="2053"/>
      <c r="M1407" s="2054"/>
      <c r="N1407" s="2055">
        <f>SNI!$I$701</f>
        <v>90000</v>
      </c>
      <c r="O1407" s="2056"/>
      <c r="P1407" s="1969">
        <f t="shared" si="914"/>
        <v>3869.9999999999995</v>
      </c>
      <c r="Q1407" s="1953"/>
      <c r="R1407" s="1954"/>
      <c r="S1407" s="1954">
        <f t="shared" si="915"/>
        <v>3869.9999999999995</v>
      </c>
      <c r="T1407" s="1969">
        <f t="shared" si="916"/>
        <v>0</v>
      </c>
      <c r="U1407" s="2060"/>
      <c r="Z1407" s="1956"/>
      <c r="AA1407" s="1956"/>
      <c r="AJ1407" s="1960"/>
    </row>
    <row r="1408" spans="1:36" ht="21.95" customHeight="1" x14ac:dyDescent="0.2">
      <c r="B1408" s="1987"/>
      <c r="C1408" s="2046"/>
      <c r="D1408" s="2047" t="str">
        <f>SNI!$E$702</f>
        <v>Kepala Tukang</v>
      </c>
      <c r="E1408" s="2047"/>
      <c r="F1408" s="2048"/>
      <c r="G1408" s="2049">
        <f>SNI!$H$702</f>
        <v>4.3E-3</v>
      </c>
      <c r="H1408" s="2050" t="str">
        <f>SNI!$G$702</f>
        <v>OH</v>
      </c>
      <c r="I1408" s="2051" t="str">
        <f>SNI!$M$702</f>
        <v>WNI</v>
      </c>
      <c r="J1408" s="2051"/>
      <c r="K1408" s="2052">
        <f>SNI!$L$702</f>
        <v>1</v>
      </c>
      <c r="L1408" s="2053"/>
      <c r="M1408" s="2054"/>
      <c r="N1408" s="2055">
        <f>SNI!$I$702</f>
        <v>96000</v>
      </c>
      <c r="O1408" s="2056"/>
      <c r="P1408" s="1969">
        <f t="shared" si="914"/>
        <v>412.8</v>
      </c>
      <c r="Q1408" s="1953"/>
      <c r="R1408" s="1954"/>
      <c r="S1408" s="1954">
        <f t="shared" si="915"/>
        <v>412.8</v>
      </c>
      <c r="T1408" s="1969">
        <f t="shared" si="916"/>
        <v>0</v>
      </c>
      <c r="U1408" s="2060"/>
      <c r="Z1408" s="1956"/>
      <c r="AA1408" s="1956"/>
      <c r="AJ1408" s="1960"/>
    </row>
    <row r="1409" spans="1:36" ht="21.95" customHeight="1" x14ac:dyDescent="0.2">
      <c r="B1409" s="1987"/>
      <c r="C1409" s="2046"/>
      <c r="D1409" s="2047" t="str">
        <f>SNI!$E$703</f>
        <v>Mandor</v>
      </c>
      <c r="E1409" s="2047"/>
      <c r="F1409" s="2048"/>
      <c r="G1409" s="2049">
        <f>SNI!$H$703</f>
        <v>2.0999999999999999E-3</v>
      </c>
      <c r="H1409" s="2050" t="str">
        <f>SNI!$G$703</f>
        <v>OH</v>
      </c>
      <c r="I1409" s="2051" t="str">
        <f>SNI!$M$703</f>
        <v>WNI</v>
      </c>
      <c r="J1409" s="2051"/>
      <c r="K1409" s="2052">
        <f>SNI!$L$703</f>
        <v>1</v>
      </c>
      <c r="L1409" s="2053"/>
      <c r="M1409" s="2054"/>
      <c r="N1409" s="2055">
        <f>SNI!$I$703</f>
        <v>90000</v>
      </c>
      <c r="O1409" s="2056"/>
      <c r="P1409" s="1969">
        <f t="shared" si="914"/>
        <v>189</v>
      </c>
      <c r="Q1409" s="1953"/>
      <c r="R1409" s="1954"/>
      <c r="S1409" s="1954">
        <f t="shared" si="915"/>
        <v>189</v>
      </c>
      <c r="T1409" s="1969">
        <f t="shared" si="916"/>
        <v>0</v>
      </c>
      <c r="U1409" s="2060"/>
      <c r="Z1409" s="1956"/>
      <c r="AA1409" s="1956"/>
      <c r="AJ1409" s="1960"/>
    </row>
    <row r="1410" spans="1:36" s="1957" customFormat="1" ht="21.95" customHeight="1" x14ac:dyDescent="0.2">
      <c r="A1410" s="1942"/>
      <c r="B1410" s="1970"/>
      <c r="C1410" s="1971"/>
      <c r="D1410" s="1972"/>
      <c r="E1410" s="1973"/>
      <c r="F1410" s="1974" t="s">
        <v>556</v>
      </c>
      <c r="G1410" s="1975">
        <f>B1400</f>
        <v>1</v>
      </c>
      <c r="H1410" s="1976"/>
      <c r="I1410" s="1977"/>
      <c r="J1410" s="1977"/>
      <c r="K1410" s="1978"/>
      <c r="L1410" s="1979"/>
      <c r="M1410" s="1980"/>
      <c r="N1410" s="1981"/>
      <c r="O1410" s="1982"/>
      <c r="P1410" s="1983">
        <f>SUM(P1402:P1409)</f>
        <v>134728.69999999998</v>
      </c>
      <c r="Q1410" s="1984"/>
      <c r="R1410" s="1985"/>
      <c r="S1410" s="1983">
        <f t="shared" ref="S1410" si="917">SUM(S1402:S1409)</f>
        <v>71007.199999999997</v>
      </c>
      <c r="T1410" s="1983">
        <f t="shared" ref="T1410" si="918">SUM(T1402:T1409)</f>
        <v>63721.500000000015</v>
      </c>
      <c r="U1410" s="1986"/>
      <c r="V1410" s="1848"/>
      <c r="W1410" s="1848"/>
      <c r="X1410" s="1848"/>
      <c r="Y1410" s="1848"/>
      <c r="Z1410" s="1956"/>
      <c r="AA1410" s="1956"/>
      <c r="AF1410" s="1958"/>
      <c r="AG1410" s="1958"/>
      <c r="AH1410" s="1958"/>
      <c r="AI1410" s="1959"/>
      <c r="AJ1410" s="1960"/>
    </row>
    <row r="1411" spans="1:36" ht="21.95" customHeight="1" x14ac:dyDescent="0.2">
      <c r="A1411" s="1833">
        <f>satpek!$B$56</f>
        <v>37</v>
      </c>
      <c r="B1411" s="1943">
        <f>B1400+1</f>
        <v>2</v>
      </c>
      <c r="C1411" s="1937"/>
      <c r="D1411" s="1944" t="str">
        <f>VLOOKUP($A1411,satpek!$B$20:$N$144,2,0)</f>
        <v>Memasang pintu kaca es rangka alluminium</v>
      </c>
      <c r="E1411" s="1944"/>
      <c r="F1411" s="2004"/>
      <c r="G1411" s="1945">
        <f>'[3]B.VOL RAB'!Q475</f>
        <v>48.1</v>
      </c>
      <c r="H1411" s="1946" t="str">
        <f>VLOOKUP($A1411,satpek!$B$20:$N$144,7,0)</f>
        <v>m2</v>
      </c>
      <c r="I1411" s="1947"/>
      <c r="J1411" s="1947"/>
      <c r="K1411" s="1948"/>
      <c r="L1411" s="1949"/>
      <c r="M1411" s="1950" t="str">
        <f>VLOOKUP($A1411,satpek!$B$20:$N$144,5,0)</f>
        <v>An. Dihitung</v>
      </c>
      <c r="N1411" s="1951">
        <f>VLOOKUP($A1411,satpek!$B$20:$N$144,6,0)</f>
        <v>853707.66</v>
      </c>
      <c r="O1411" s="1938"/>
      <c r="P1411" s="1952">
        <f t="shared" si="910"/>
        <v>41063338.450000003</v>
      </c>
      <c r="Q1411" s="1953">
        <f>VLOOKUP($A1411,satpek!$B$20:$L$138,8,0)</f>
        <v>0.47846365322798945</v>
      </c>
      <c r="R1411" s="1954">
        <f>VLOOKUP($A1411,satpek!$B$20:$L$138,9,0)</f>
        <v>361476.18000000005</v>
      </c>
      <c r="S1411" s="1954">
        <f>VLOOKUP($A1411,satpek!$B$20:$L$138,10,0)</f>
        <v>408468.08340000006</v>
      </c>
      <c r="T1411" s="1952">
        <f>S1411*G1411</f>
        <v>19647314.811540004</v>
      </c>
      <c r="U1411" s="1955"/>
      <c r="X1411" s="1848">
        <f>P1423</f>
        <v>755493.5</v>
      </c>
      <c r="Y1411" s="1848">
        <f>S1423</f>
        <v>755493.5</v>
      </c>
      <c r="Z1411" s="1956">
        <v>48.1</v>
      </c>
      <c r="AA1411" s="1956">
        <f t="shared" si="835"/>
        <v>0</v>
      </c>
      <c r="AB1411" s="1836" t="s">
        <v>1828</v>
      </c>
      <c r="AI1411" s="1910">
        <v>850784.35</v>
      </c>
      <c r="AJ1411" s="1960">
        <f t="shared" si="836"/>
        <v>-2923.3100000000559</v>
      </c>
    </row>
    <row r="1412" spans="1:36" ht="21.95" customHeight="1" x14ac:dyDescent="0.2">
      <c r="B1412" s="1987"/>
      <c r="C1412" s="2046" t="str">
        <f>SNI!$D$736</f>
        <v>Bahan</v>
      </c>
      <c r="D1412" s="2047"/>
      <c r="E1412" s="2047"/>
      <c r="F1412" s="2048"/>
      <c r="G1412" s="2049"/>
      <c r="H1412" s="2050"/>
      <c r="I1412" s="2051"/>
      <c r="J1412" s="2051"/>
      <c r="K1412" s="2052"/>
      <c r="L1412" s="2053"/>
      <c r="M1412" s="2054"/>
      <c r="N1412" s="2055"/>
      <c r="O1412" s="2056"/>
      <c r="P1412" s="2057"/>
      <c r="Q1412" s="2058"/>
      <c r="R1412" s="2059"/>
      <c r="S1412" s="2059"/>
      <c r="T1412" s="2057"/>
      <c r="U1412" s="2060"/>
      <c r="Z1412" s="1956"/>
      <c r="AA1412" s="1956"/>
      <c r="AJ1412" s="1960"/>
    </row>
    <row r="1413" spans="1:36" ht="21.95" customHeight="1" x14ac:dyDescent="0.2">
      <c r="B1413" s="1987"/>
      <c r="C1413" s="2046"/>
      <c r="D1413" s="2047" t="str">
        <f>SNI!$E$736</f>
        <v>Ram pintu 5 x 2,5 cm</v>
      </c>
      <c r="E1413" s="2047"/>
      <c r="F1413" s="2048"/>
      <c r="G1413" s="2049">
        <f>SNI!$H$736</f>
        <v>4.0999999999999996</v>
      </c>
      <c r="H1413" s="2050" t="str">
        <f>SNI!$G$736</f>
        <v>m</v>
      </c>
      <c r="I1413" s="2051"/>
      <c r="J1413" s="2051"/>
      <c r="K1413" s="2052">
        <f>SNI!$L$736</f>
        <v>0.51849999999999996</v>
      </c>
      <c r="L1413" s="2053"/>
      <c r="M1413" s="2054"/>
      <c r="N1413" s="2055">
        <f>SNI!$I$736</f>
        <v>119000</v>
      </c>
      <c r="O1413" s="2056"/>
      <c r="P1413" s="1969">
        <f t="shared" ref="P1413:P1417" si="919">N1413*G1413</f>
        <v>487899.99999999994</v>
      </c>
      <c r="Q1413" s="1953"/>
      <c r="R1413" s="1954"/>
      <c r="S1413" s="1954">
        <f t="shared" ref="S1413:S1417" si="920">P1413*K1413</f>
        <v>252976.14999999997</v>
      </c>
      <c r="T1413" s="1969">
        <f t="shared" ref="T1413:T1417" si="921">P1413-S1413</f>
        <v>234923.84999999998</v>
      </c>
      <c r="U1413" s="2060"/>
      <c r="Z1413" s="1956"/>
      <c r="AA1413" s="1956"/>
      <c r="AJ1413" s="1960"/>
    </row>
    <row r="1414" spans="1:36" ht="21.95" customHeight="1" x14ac:dyDescent="0.2">
      <c r="B1414" s="1987"/>
      <c r="C1414" s="2046"/>
      <c r="D1414" s="2047" t="str">
        <f>SNI!$E$737</f>
        <v>Kaca es tebal 5 mm</v>
      </c>
      <c r="E1414" s="2047"/>
      <c r="F1414" s="2048"/>
      <c r="G1414" s="2049">
        <f>SNI!$H$737</f>
        <v>1.1000000000000001</v>
      </c>
      <c r="H1414" s="2050" t="str">
        <f>SNI!$G$737</f>
        <v>m2</v>
      </c>
      <c r="I1414" s="2051"/>
      <c r="J1414" s="2051"/>
      <c r="K1414" s="2052">
        <f>SNI!$L$737</f>
        <v>0.57130000000000003</v>
      </c>
      <c r="L1414" s="2053"/>
      <c r="M1414" s="2054"/>
      <c r="N1414" s="2055">
        <f>SNI!$I$737</f>
        <v>116000</v>
      </c>
      <c r="O1414" s="2056"/>
      <c r="P1414" s="1969">
        <f t="shared" si="919"/>
        <v>127600.00000000001</v>
      </c>
      <c r="Q1414" s="1953"/>
      <c r="R1414" s="1954"/>
      <c r="S1414" s="1954">
        <f t="shared" si="920"/>
        <v>72897.880000000019</v>
      </c>
      <c r="T1414" s="1969">
        <f t="shared" si="921"/>
        <v>54702.119999999995</v>
      </c>
      <c r="U1414" s="2060"/>
      <c r="Z1414" s="1956"/>
      <c r="AA1414" s="1956"/>
      <c r="AJ1414" s="1960"/>
    </row>
    <row r="1415" spans="1:36" ht="21.95" customHeight="1" x14ac:dyDescent="0.2">
      <c r="B1415" s="1987"/>
      <c r="C1415" s="2046"/>
      <c r="D1415" s="2047" t="str">
        <f>SNI!$E$738</f>
        <v>Profil allumunium</v>
      </c>
      <c r="E1415" s="2047"/>
      <c r="F1415" s="2048"/>
      <c r="G1415" s="2049">
        <f>SNI!$H$738</f>
        <v>4.5</v>
      </c>
      <c r="H1415" s="2050" t="str">
        <f>SNI!$G$738</f>
        <v>m</v>
      </c>
      <c r="I1415" s="2051"/>
      <c r="J1415" s="2051"/>
      <c r="K1415" s="2052">
        <f>SNI!$L$738</f>
        <v>0.51849999999999996</v>
      </c>
      <c r="L1415" s="2053"/>
      <c r="M1415" s="2054"/>
      <c r="N1415" s="2055">
        <f>SNI!$I$738</f>
        <v>8200</v>
      </c>
      <c r="O1415" s="2056"/>
      <c r="P1415" s="1969">
        <f t="shared" si="919"/>
        <v>36900</v>
      </c>
      <c r="Q1415" s="1953"/>
      <c r="R1415" s="1954"/>
      <c r="S1415" s="1954">
        <f t="shared" si="920"/>
        <v>19132.649999999998</v>
      </c>
      <c r="T1415" s="1969">
        <f t="shared" si="921"/>
        <v>17767.350000000002</v>
      </c>
      <c r="U1415" s="2060"/>
      <c r="Z1415" s="1956"/>
      <c r="AA1415" s="1956"/>
      <c r="AJ1415" s="1960"/>
    </row>
    <row r="1416" spans="1:36" ht="21.95" customHeight="1" x14ac:dyDescent="0.2">
      <c r="B1416" s="1987"/>
      <c r="C1416" s="2046"/>
      <c r="D1416" s="2047" t="str">
        <f>SNI!$E$739</f>
        <v>Sealent</v>
      </c>
      <c r="E1416" s="2047"/>
      <c r="F1416" s="2048"/>
      <c r="G1416" s="2049">
        <f>SNI!$H$739</f>
        <v>0.27</v>
      </c>
      <c r="H1416" s="2050" t="str">
        <f>SNI!$G$739</f>
        <v>Tube</v>
      </c>
      <c r="I1416" s="2051"/>
      <c r="J1416" s="2051"/>
      <c r="K1416" s="2052">
        <f>SNI!$L$739</f>
        <v>0</v>
      </c>
      <c r="L1416" s="2053"/>
      <c r="M1416" s="2054"/>
      <c r="N1416" s="2055">
        <f>SNI!$I$739</f>
        <v>72000</v>
      </c>
      <c r="O1416" s="2056"/>
      <c r="P1416" s="1969">
        <f t="shared" si="919"/>
        <v>19440</v>
      </c>
      <c r="Q1416" s="1953"/>
      <c r="R1416" s="1954"/>
      <c r="S1416" s="1954">
        <f t="shared" si="920"/>
        <v>0</v>
      </c>
      <c r="T1416" s="1969">
        <f t="shared" si="921"/>
        <v>19440</v>
      </c>
      <c r="U1416" s="2060"/>
      <c r="Z1416" s="1956"/>
      <c r="AA1416" s="1956"/>
      <c r="AJ1416" s="1960"/>
    </row>
    <row r="1417" spans="1:36" ht="21.95" customHeight="1" x14ac:dyDescent="0.2">
      <c r="B1417" s="1987"/>
      <c r="C1417" s="2046"/>
      <c r="D1417" s="2047" t="str">
        <f>SNI!$E$740</f>
        <v>Aksesoris 10% bahan</v>
      </c>
      <c r="E1417" s="2047"/>
      <c r="F1417" s="2048"/>
      <c r="G1417" s="2049">
        <f>SNI!$H$740</f>
        <v>1</v>
      </c>
      <c r="H1417" s="2050" t="str">
        <f>SNI!$G$740</f>
        <v>ls</v>
      </c>
      <c r="I1417" s="2051"/>
      <c r="J1417" s="2051"/>
      <c r="K1417" s="2052">
        <f>SNI!$L$740</f>
        <v>0</v>
      </c>
      <c r="L1417" s="2053"/>
      <c r="M1417" s="2054"/>
      <c r="N1417" s="2055">
        <f>SNI!$I$740</f>
        <v>67184</v>
      </c>
      <c r="O1417" s="2056"/>
      <c r="P1417" s="1969">
        <f t="shared" si="919"/>
        <v>67184</v>
      </c>
      <c r="Q1417" s="1953"/>
      <c r="R1417" s="1954"/>
      <c r="S1417" s="1954">
        <f t="shared" si="920"/>
        <v>0</v>
      </c>
      <c r="T1417" s="1969">
        <f t="shared" si="921"/>
        <v>67184</v>
      </c>
      <c r="U1417" s="2060"/>
      <c r="Z1417" s="1956"/>
      <c r="AA1417" s="1956"/>
      <c r="AJ1417" s="1960"/>
    </row>
    <row r="1418" spans="1:36" ht="21.95" customHeight="1" x14ac:dyDescent="0.2">
      <c r="B1418" s="1987"/>
      <c r="C1418" s="2046" t="str">
        <f>SNI!$D$742</f>
        <v>Tenaga Kerja</v>
      </c>
      <c r="D1418" s="2047"/>
      <c r="E1418" s="2047"/>
      <c r="F1418" s="2048"/>
      <c r="G1418" s="2049"/>
      <c r="H1418" s="2050"/>
      <c r="I1418" s="2051"/>
      <c r="J1418" s="2051"/>
      <c r="K1418" s="2052"/>
      <c r="L1418" s="2053"/>
      <c r="M1418" s="2054"/>
      <c r="N1418" s="2055"/>
      <c r="O1418" s="2056"/>
      <c r="P1418" s="1969"/>
      <c r="Q1418" s="1953"/>
      <c r="R1418" s="1954"/>
      <c r="S1418" s="1954"/>
      <c r="T1418" s="1969"/>
      <c r="U1418" s="2060"/>
      <c r="Z1418" s="1956"/>
      <c r="AA1418" s="1956"/>
      <c r="AJ1418" s="1960"/>
    </row>
    <row r="1419" spans="1:36" ht="21.95" customHeight="1" x14ac:dyDescent="0.2">
      <c r="B1419" s="1987"/>
      <c r="C1419" s="2046"/>
      <c r="D1419" s="2047" t="str">
        <f>SNI!$E$742</f>
        <v xml:space="preserve">Pekerja </v>
      </c>
      <c r="E1419" s="2047"/>
      <c r="F1419" s="2048"/>
      <c r="G1419" s="2049">
        <f>SNI!$H$742</f>
        <v>8.5000000000000006E-2</v>
      </c>
      <c r="H1419" s="2050" t="str">
        <f>SNI!$G$742</f>
        <v>OH</v>
      </c>
      <c r="I1419" s="2051" t="str">
        <f>SNI!$M$742</f>
        <v>WNI</v>
      </c>
      <c r="J1419" s="2051"/>
      <c r="K1419" s="2052">
        <f>SNI!$L$742</f>
        <v>1</v>
      </c>
      <c r="L1419" s="2053"/>
      <c r="M1419" s="2054"/>
      <c r="N1419" s="2055">
        <f>SNI!$I$742</f>
        <v>88300</v>
      </c>
      <c r="O1419" s="2056"/>
      <c r="P1419" s="1969">
        <f t="shared" ref="P1419:P1422" si="922">N1419*G1419</f>
        <v>7505.5000000000009</v>
      </c>
      <c r="Q1419" s="1953"/>
      <c r="R1419" s="1954"/>
      <c r="S1419" s="1954">
        <f t="shared" ref="S1419:S1422" si="923">P1419*K1419</f>
        <v>7505.5000000000009</v>
      </c>
      <c r="T1419" s="1969">
        <f t="shared" ref="T1419:T1422" si="924">P1419-S1419</f>
        <v>0</v>
      </c>
      <c r="U1419" s="2060"/>
      <c r="Z1419" s="1956"/>
      <c r="AA1419" s="1956"/>
      <c r="AJ1419" s="1960"/>
    </row>
    <row r="1420" spans="1:36" ht="21.95" customHeight="1" x14ac:dyDescent="0.2">
      <c r="B1420" s="1987"/>
      <c r="C1420" s="2046"/>
      <c r="D1420" s="2047" t="str">
        <f>SNI!$E$743</f>
        <v>Tukang allumunium/kaca</v>
      </c>
      <c r="E1420" s="2047"/>
      <c r="F1420" s="2048"/>
      <c r="G1420" s="2049">
        <f>SNI!$H$743</f>
        <v>8.5000000000000006E-2</v>
      </c>
      <c r="H1420" s="2050" t="str">
        <f>SNI!$G$743</f>
        <v>OH</v>
      </c>
      <c r="I1420" s="2051" t="str">
        <f>SNI!$M$743</f>
        <v>WNI</v>
      </c>
      <c r="J1420" s="2051"/>
      <c r="K1420" s="2052">
        <f>SNI!$L$743</f>
        <v>1</v>
      </c>
      <c r="L1420" s="2053"/>
      <c r="M1420" s="2054"/>
      <c r="N1420" s="2055">
        <f>SNI!$I$743</f>
        <v>90000</v>
      </c>
      <c r="O1420" s="2056"/>
      <c r="P1420" s="1969">
        <f t="shared" si="922"/>
        <v>7650.0000000000009</v>
      </c>
      <c r="Q1420" s="1953"/>
      <c r="R1420" s="1954"/>
      <c r="S1420" s="1954">
        <f t="shared" si="923"/>
        <v>7650.0000000000009</v>
      </c>
      <c r="T1420" s="1969">
        <f t="shared" si="924"/>
        <v>0</v>
      </c>
      <c r="U1420" s="2060"/>
      <c r="Z1420" s="1956"/>
      <c r="AA1420" s="1956"/>
      <c r="AJ1420" s="1960"/>
    </row>
    <row r="1421" spans="1:36" ht="21.95" customHeight="1" x14ac:dyDescent="0.2">
      <c r="B1421" s="1987"/>
      <c r="C1421" s="2046"/>
      <c r="D1421" s="2047" t="str">
        <f>SNI!$E$744</f>
        <v>Kepala Tukang</v>
      </c>
      <c r="E1421" s="2047"/>
      <c r="F1421" s="2048"/>
      <c r="G1421" s="2049">
        <f>SNI!$H$744</f>
        <v>8.9999999999999993E-3</v>
      </c>
      <c r="H1421" s="2050" t="str">
        <f>SNI!$G$744</f>
        <v>OH</v>
      </c>
      <c r="I1421" s="2051" t="str">
        <f>SNI!$M$744</f>
        <v>WNI</v>
      </c>
      <c r="J1421" s="2051"/>
      <c r="K1421" s="2052">
        <f>SNI!$L$744</f>
        <v>1</v>
      </c>
      <c r="L1421" s="2053"/>
      <c r="M1421" s="2054"/>
      <c r="N1421" s="2055">
        <f>SNI!$I$744</f>
        <v>96000</v>
      </c>
      <c r="O1421" s="2056"/>
      <c r="P1421" s="1969">
        <f t="shared" si="922"/>
        <v>863.99999999999989</v>
      </c>
      <c r="Q1421" s="1953"/>
      <c r="R1421" s="1954"/>
      <c r="S1421" s="1954">
        <f t="shared" si="923"/>
        <v>863.99999999999989</v>
      </c>
      <c r="T1421" s="1969">
        <f t="shared" si="924"/>
        <v>0</v>
      </c>
      <c r="U1421" s="2060"/>
      <c r="Z1421" s="1956"/>
      <c r="AA1421" s="1956"/>
      <c r="AJ1421" s="1960"/>
    </row>
    <row r="1422" spans="1:36" ht="21.95" customHeight="1" x14ac:dyDescent="0.2">
      <c r="B1422" s="1987"/>
      <c r="C1422" s="2046"/>
      <c r="D1422" s="2047" t="str">
        <f>SNI!$E$745</f>
        <v>Mandor</v>
      </c>
      <c r="E1422" s="2047"/>
      <c r="F1422" s="2048"/>
      <c r="G1422" s="2049">
        <f>SNI!$H$745</f>
        <v>5.0000000000000001E-3</v>
      </c>
      <c r="H1422" s="2050" t="str">
        <f>SNI!$G$745</f>
        <v>OH</v>
      </c>
      <c r="I1422" s="2051" t="str">
        <f>SNI!$M$745</f>
        <v>WNI</v>
      </c>
      <c r="J1422" s="2051"/>
      <c r="K1422" s="2052">
        <f>SNI!$L$745</f>
        <v>1</v>
      </c>
      <c r="L1422" s="2053"/>
      <c r="M1422" s="2054"/>
      <c r="N1422" s="2055">
        <f>SNI!$I$745</f>
        <v>90000</v>
      </c>
      <c r="O1422" s="2056"/>
      <c r="P1422" s="1969">
        <f t="shared" si="922"/>
        <v>450</v>
      </c>
      <c r="Q1422" s="1953"/>
      <c r="R1422" s="1954"/>
      <c r="S1422" s="1954">
        <f t="shared" si="923"/>
        <v>450</v>
      </c>
      <c r="T1422" s="1969">
        <f t="shared" si="924"/>
        <v>0</v>
      </c>
      <c r="U1422" s="2060"/>
      <c r="Z1422" s="1956"/>
      <c r="AA1422" s="1956"/>
      <c r="AJ1422" s="1960"/>
    </row>
    <row r="1423" spans="1:36" s="1957" customFormat="1" ht="21.95" customHeight="1" x14ac:dyDescent="0.2">
      <c r="A1423" s="1942"/>
      <c r="B1423" s="1970"/>
      <c r="C1423" s="1971"/>
      <c r="D1423" s="1972"/>
      <c r="E1423" s="1973"/>
      <c r="F1423" s="1974" t="s">
        <v>556</v>
      </c>
      <c r="G1423" s="1975">
        <f>B1411</f>
        <v>2</v>
      </c>
      <c r="H1423" s="1976"/>
      <c r="I1423" s="1977"/>
      <c r="J1423" s="1977"/>
      <c r="K1423" s="1978"/>
      <c r="L1423" s="1979"/>
      <c r="M1423" s="1980"/>
      <c r="N1423" s="1981"/>
      <c r="O1423" s="1982"/>
      <c r="P1423" s="1983">
        <f>SUM(P1413:R1422)</f>
        <v>755493.5</v>
      </c>
      <c r="Q1423" s="1984"/>
      <c r="R1423" s="1985"/>
      <c r="S1423" s="1983">
        <f t="shared" ref="S1423" si="925">SUM(S1413:U1422)</f>
        <v>755493.5</v>
      </c>
      <c r="T1423" s="1983">
        <f t="shared" ref="T1423" si="926">SUM(T1413:V1422)</f>
        <v>394017.31999999995</v>
      </c>
      <c r="U1423" s="1986"/>
      <c r="V1423" s="1848"/>
      <c r="W1423" s="1848"/>
      <c r="X1423" s="1848"/>
      <c r="Y1423" s="1848"/>
      <c r="Z1423" s="1956"/>
      <c r="AA1423" s="1956"/>
      <c r="AF1423" s="1958"/>
      <c r="AG1423" s="1958"/>
      <c r="AH1423" s="1958"/>
      <c r="AI1423" s="1959"/>
      <c r="AJ1423" s="1960"/>
    </row>
    <row r="1424" spans="1:36" ht="21.95" customHeight="1" x14ac:dyDescent="0.2">
      <c r="A1424" s="1833">
        <f>satpek!$B$55</f>
        <v>36</v>
      </c>
      <c r="B1424" s="1943">
        <f>B1411+1</f>
        <v>3</v>
      </c>
      <c r="C1424" s="1937"/>
      <c r="D1424" s="1944" t="str">
        <f>VLOOKUP($A1424,satpek!$B$20:$N$144,2,0)</f>
        <v>Memasang pintu alluminium strip</v>
      </c>
      <c r="E1424" s="1944"/>
      <c r="F1424" s="2004"/>
      <c r="G1424" s="1945">
        <f>'[3]B.VOL RAB'!Q476</f>
        <v>14.840000000000003</v>
      </c>
      <c r="H1424" s="1946" t="str">
        <f>VLOOKUP($A1424,satpek!$B$20:$N$144,7,0)</f>
        <v>m2</v>
      </c>
      <c r="I1424" s="1947"/>
      <c r="J1424" s="1947"/>
      <c r="K1424" s="1948"/>
      <c r="L1424" s="1949"/>
      <c r="M1424" s="1950" t="str">
        <f>VLOOKUP($A1424,satpek!$B$20:$N$144,5,0)</f>
        <v>A.4.2.1.12.</v>
      </c>
      <c r="N1424" s="1951">
        <f>VLOOKUP($A1424,satpek!$B$20:$N$144,6,0)</f>
        <v>765224.14</v>
      </c>
      <c r="O1424" s="1938"/>
      <c r="P1424" s="1952">
        <f t="shared" si="910"/>
        <v>11355926.24</v>
      </c>
      <c r="Q1424" s="1953">
        <f>VLOOKUP($A1424,satpek!$B$20:$L$138,8,0)</f>
        <v>0.53012493548703865</v>
      </c>
      <c r="R1424" s="1954">
        <f>VLOOKUP($A1424,satpek!$B$20:$L$138,9,0)</f>
        <v>358995.04</v>
      </c>
      <c r="S1424" s="1954">
        <f>VLOOKUP($A1424,satpek!$B$20:$L$138,10,0)</f>
        <v>405664.39519999997</v>
      </c>
      <c r="T1424" s="1952">
        <f>S1424*G1424</f>
        <v>6020059.624768001</v>
      </c>
      <c r="U1424" s="1955"/>
      <c r="X1424" s="1848">
        <f>P1433</f>
        <v>677189.5</v>
      </c>
      <c r="Y1424" s="1848">
        <f>S1433</f>
        <v>358995.04000000004</v>
      </c>
      <c r="Z1424" s="1956">
        <v>14.840000000000003</v>
      </c>
      <c r="AA1424" s="1956">
        <f t="shared" si="835"/>
        <v>0</v>
      </c>
      <c r="AB1424" s="1836" t="s">
        <v>1829</v>
      </c>
      <c r="AI1424" s="1910">
        <v>759680.81</v>
      </c>
      <c r="AJ1424" s="1960">
        <f t="shared" si="836"/>
        <v>-5543.3299999999581</v>
      </c>
    </row>
    <row r="1425" spans="1:36" ht="21.95" customHeight="1" x14ac:dyDescent="0.2">
      <c r="B1425" s="1987"/>
      <c r="C1425" s="2046" t="str">
        <f>SNI!$D$717</f>
        <v>Bahan</v>
      </c>
      <c r="D1425" s="2047"/>
      <c r="E1425" s="2047"/>
      <c r="F1425" s="2048"/>
      <c r="G1425" s="2049"/>
      <c r="H1425" s="2050"/>
      <c r="I1425" s="2051"/>
      <c r="J1425" s="2051"/>
      <c r="K1425" s="2052"/>
      <c r="L1425" s="2053"/>
      <c r="M1425" s="2054"/>
      <c r="N1425" s="2055"/>
      <c r="O1425" s="2056"/>
      <c r="P1425" s="2057"/>
      <c r="Q1425" s="2058"/>
      <c r="R1425" s="2059"/>
      <c r="S1425" s="2059"/>
      <c r="T1425" s="2057"/>
      <c r="U1425" s="2060"/>
      <c r="Z1425" s="1956"/>
      <c r="AA1425" s="1956"/>
      <c r="AJ1425" s="1960"/>
    </row>
    <row r="1426" spans="1:36" ht="21.95" customHeight="1" x14ac:dyDescent="0.2">
      <c r="B1426" s="1987"/>
      <c r="C1426" s="2046"/>
      <c r="D1426" s="2047" t="str">
        <f>SNI!$E$717</f>
        <v>Ram pintu 5 x 2,5 cm</v>
      </c>
      <c r="E1426" s="2047"/>
      <c r="F1426" s="2048"/>
      <c r="G1426" s="2049">
        <f>SNI!$H$717</f>
        <v>4.4000000000000004</v>
      </c>
      <c r="H1426" s="2050" t="str">
        <f>SNI!$G$717</f>
        <v>m</v>
      </c>
      <c r="I1426" s="2051"/>
      <c r="J1426" s="2051"/>
      <c r="K1426" s="2052">
        <f>SNI!$L$717</f>
        <v>0.51849999999999996</v>
      </c>
      <c r="L1426" s="2053"/>
      <c r="M1426" s="2054"/>
      <c r="N1426" s="2055">
        <f>SNI!$I$717</f>
        <v>119000</v>
      </c>
      <c r="O1426" s="2056"/>
      <c r="P1426" s="1969">
        <f t="shared" ref="P1426:P1427" si="927">N1426*G1426</f>
        <v>523600.00000000006</v>
      </c>
      <c r="Q1426" s="1953"/>
      <c r="R1426" s="1954"/>
      <c r="S1426" s="1954">
        <f t="shared" ref="S1426:S1427" si="928">P1426*K1426</f>
        <v>271486.60000000003</v>
      </c>
      <c r="T1426" s="1969">
        <f t="shared" ref="T1426:T1427" si="929">P1426-S1426</f>
        <v>252113.40000000002</v>
      </c>
      <c r="U1426" s="2060"/>
      <c r="Z1426" s="1956"/>
      <c r="AA1426" s="1956"/>
      <c r="AJ1426" s="1960"/>
    </row>
    <row r="1427" spans="1:36" ht="21.95" customHeight="1" x14ac:dyDescent="0.2">
      <c r="B1427" s="1987"/>
      <c r="C1427" s="2046"/>
      <c r="D1427" s="2047" t="str">
        <f>SNI!$E$718</f>
        <v>Alluminium strip</v>
      </c>
      <c r="E1427" s="2047"/>
      <c r="F1427" s="2048"/>
      <c r="G1427" s="2049">
        <f>SNI!$H$718</f>
        <v>14.6</v>
      </c>
      <c r="H1427" s="2050" t="str">
        <f>SNI!$G$718</f>
        <v>m</v>
      </c>
      <c r="I1427" s="2051"/>
      <c r="J1427" s="2051"/>
      <c r="K1427" s="2052">
        <f>SNI!$L$718</f>
        <v>0.51849999999999996</v>
      </c>
      <c r="L1427" s="2053"/>
      <c r="M1427" s="2054"/>
      <c r="N1427" s="2055">
        <f>SNI!$I$718</f>
        <v>9400</v>
      </c>
      <c r="O1427" s="2056"/>
      <c r="P1427" s="1969">
        <f t="shared" si="927"/>
        <v>137240</v>
      </c>
      <c r="Q1427" s="1953"/>
      <c r="R1427" s="1954"/>
      <c r="S1427" s="1954">
        <f t="shared" si="928"/>
        <v>71158.939999999988</v>
      </c>
      <c r="T1427" s="1969">
        <f t="shared" si="929"/>
        <v>66081.060000000012</v>
      </c>
      <c r="U1427" s="2060"/>
      <c r="Z1427" s="1956"/>
      <c r="AA1427" s="1956"/>
      <c r="AJ1427" s="1960"/>
    </row>
    <row r="1428" spans="1:36" ht="21.95" customHeight="1" x14ac:dyDescent="0.2">
      <c r="B1428" s="1987"/>
      <c r="C1428" s="2046" t="str">
        <f>SNI!$D$720</f>
        <v>Tenaga Kerja</v>
      </c>
      <c r="D1428" s="2047"/>
      <c r="E1428" s="2047"/>
      <c r="F1428" s="2048"/>
      <c r="G1428" s="2049"/>
      <c r="H1428" s="2050"/>
      <c r="I1428" s="2051"/>
      <c r="J1428" s="2051"/>
      <c r="K1428" s="2052"/>
      <c r="L1428" s="2053"/>
      <c r="M1428" s="2054"/>
      <c r="N1428" s="2055"/>
      <c r="O1428" s="2056"/>
      <c r="P1428" s="1969"/>
      <c r="Q1428" s="1953"/>
      <c r="R1428" s="1954"/>
      <c r="S1428" s="1954"/>
      <c r="T1428" s="1969"/>
      <c r="U1428" s="2060"/>
      <c r="Z1428" s="1956"/>
      <c r="AA1428" s="1956"/>
      <c r="AJ1428" s="1960"/>
    </row>
    <row r="1429" spans="1:36" ht="21.95" customHeight="1" x14ac:dyDescent="0.2">
      <c r="B1429" s="1987"/>
      <c r="C1429" s="2046"/>
      <c r="D1429" s="2047" t="str">
        <f>SNI!$E$720</f>
        <v xml:space="preserve">Pekerja </v>
      </c>
      <c r="E1429" s="2047"/>
      <c r="F1429" s="2048"/>
      <c r="G1429" s="2049">
        <f>SNI!$H$720</f>
        <v>8.5000000000000006E-2</v>
      </c>
      <c r="H1429" s="2050" t="str">
        <f>SNI!$G$720</f>
        <v>OH</v>
      </c>
      <c r="I1429" s="2051" t="str">
        <f>SNI!$M$720</f>
        <v>WNI</v>
      </c>
      <c r="J1429" s="2051"/>
      <c r="K1429" s="2052">
        <f>SNI!$L$720</f>
        <v>1</v>
      </c>
      <c r="L1429" s="2053"/>
      <c r="M1429" s="2054"/>
      <c r="N1429" s="2055">
        <f>SNI!$I$720</f>
        <v>88300</v>
      </c>
      <c r="O1429" s="2056"/>
      <c r="P1429" s="1969">
        <f t="shared" ref="P1429:P1432" si="930">N1429*G1429</f>
        <v>7505.5000000000009</v>
      </c>
      <c r="Q1429" s="1953"/>
      <c r="R1429" s="1954"/>
      <c r="S1429" s="1954">
        <f t="shared" ref="S1429:S1432" si="931">P1429*K1429</f>
        <v>7505.5000000000009</v>
      </c>
      <c r="T1429" s="1969">
        <f t="shared" ref="T1429:T1432" si="932">P1429-S1429</f>
        <v>0</v>
      </c>
      <c r="U1429" s="2060"/>
      <c r="Z1429" s="1956"/>
      <c r="AA1429" s="1956"/>
      <c r="AJ1429" s="1960"/>
    </row>
    <row r="1430" spans="1:36" ht="21.95" customHeight="1" x14ac:dyDescent="0.2">
      <c r="B1430" s="1987"/>
      <c r="C1430" s="2046"/>
      <c r="D1430" s="2047" t="str">
        <f>SNI!$E$721</f>
        <v>Tukang khusus allumunium</v>
      </c>
      <c r="E1430" s="2047"/>
      <c r="F1430" s="2048"/>
      <c r="G1430" s="2049">
        <f>SNI!$H$721</f>
        <v>8.5000000000000006E-2</v>
      </c>
      <c r="H1430" s="2050" t="str">
        <f>SNI!$G$721</f>
        <v>OH</v>
      </c>
      <c r="I1430" s="2051" t="str">
        <f>SNI!$M$721</f>
        <v>WNI</v>
      </c>
      <c r="J1430" s="2051"/>
      <c r="K1430" s="2052">
        <f>SNI!$L$721</f>
        <v>1</v>
      </c>
      <c r="L1430" s="2053"/>
      <c r="M1430" s="2054"/>
      <c r="N1430" s="2055">
        <f>SNI!$I$721</f>
        <v>90000</v>
      </c>
      <c r="O1430" s="2056"/>
      <c r="P1430" s="1969">
        <f t="shared" si="930"/>
        <v>7650.0000000000009</v>
      </c>
      <c r="Q1430" s="1953"/>
      <c r="R1430" s="1954"/>
      <c r="S1430" s="1954">
        <f t="shared" si="931"/>
        <v>7650.0000000000009</v>
      </c>
      <c r="T1430" s="1969">
        <f t="shared" si="932"/>
        <v>0</v>
      </c>
      <c r="U1430" s="2060"/>
      <c r="Z1430" s="1956"/>
      <c r="AA1430" s="1956"/>
      <c r="AJ1430" s="1960"/>
    </row>
    <row r="1431" spans="1:36" ht="21.95" customHeight="1" x14ac:dyDescent="0.2">
      <c r="B1431" s="1987"/>
      <c r="C1431" s="2046"/>
      <c r="D1431" s="2047" t="str">
        <f>SNI!$E$722</f>
        <v>Kepala Tukang</v>
      </c>
      <c r="E1431" s="2047"/>
      <c r="F1431" s="2048"/>
      <c r="G1431" s="2049">
        <f>SNI!$H$722</f>
        <v>8.5000000000000006E-3</v>
      </c>
      <c r="H1431" s="2050" t="str">
        <f>SNI!$G$722</f>
        <v>OH</v>
      </c>
      <c r="I1431" s="2051" t="str">
        <f>SNI!$M$722</f>
        <v>WNI</v>
      </c>
      <c r="J1431" s="2051"/>
      <c r="K1431" s="2052">
        <f>SNI!$L$722</f>
        <v>1</v>
      </c>
      <c r="L1431" s="2053"/>
      <c r="M1431" s="2054"/>
      <c r="N1431" s="2055">
        <f>SNI!$I$722</f>
        <v>96000</v>
      </c>
      <c r="O1431" s="2056"/>
      <c r="P1431" s="1969">
        <f t="shared" si="930"/>
        <v>816.00000000000011</v>
      </c>
      <c r="Q1431" s="1953"/>
      <c r="R1431" s="1954"/>
      <c r="S1431" s="1954">
        <f t="shared" si="931"/>
        <v>816.00000000000011</v>
      </c>
      <c r="T1431" s="1969">
        <f t="shared" si="932"/>
        <v>0</v>
      </c>
      <c r="U1431" s="2060"/>
      <c r="Z1431" s="1956"/>
      <c r="AA1431" s="1956"/>
      <c r="AJ1431" s="1960"/>
    </row>
    <row r="1432" spans="1:36" ht="21.95" customHeight="1" x14ac:dyDescent="0.2">
      <c r="B1432" s="1987"/>
      <c r="C1432" s="2046"/>
      <c r="D1432" s="2047" t="str">
        <f>SNI!$E$723</f>
        <v>Mandor</v>
      </c>
      <c r="E1432" s="2047"/>
      <c r="F1432" s="2048"/>
      <c r="G1432" s="2049">
        <f>SNI!$H$723</f>
        <v>4.1999999999999997E-3</v>
      </c>
      <c r="H1432" s="2050" t="str">
        <f>SNI!$G$723</f>
        <v>OH</v>
      </c>
      <c r="I1432" s="2051" t="str">
        <f>SNI!$M$723</f>
        <v>WNI</v>
      </c>
      <c r="J1432" s="2051"/>
      <c r="K1432" s="2052">
        <f>SNI!$L$723</f>
        <v>1</v>
      </c>
      <c r="L1432" s="2053"/>
      <c r="M1432" s="2054"/>
      <c r="N1432" s="2055">
        <f>SNI!$I$723</f>
        <v>90000</v>
      </c>
      <c r="O1432" s="2056"/>
      <c r="P1432" s="1969">
        <f t="shared" si="930"/>
        <v>378</v>
      </c>
      <c r="Q1432" s="1953"/>
      <c r="R1432" s="1954"/>
      <c r="S1432" s="1954">
        <f t="shared" si="931"/>
        <v>378</v>
      </c>
      <c r="T1432" s="1969">
        <f t="shared" si="932"/>
        <v>0</v>
      </c>
      <c r="U1432" s="2060"/>
      <c r="Z1432" s="1956"/>
      <c r="AA1432" s="1956"/>
      <c r="AJ1432" s="1960"/>
    </row>
    <row r="1433" spans="1:36" s="1957" customFormat="1" ht="21.95" customHeight="1" x14ac:dyDescent="0.2">
      <c r="A1433" s="1942"/>
      <c r="B1433" s="1970"/>
      <c r="C1433" s="1971"/>
      <c r="D1433" s="1972"/>
      <c r="E1433" s="1973"/>
      <c r="F1433" s="1974" t="s">
        <v>556</v>
      </c>
      <c r="G1433" s="1975">
        <f>B1424</f>
        <v>3</v>
      </c>
      <c r="H1433" s="1976"/>
      <c r="I1433" s="1977"/>
      <c r="J1433" s="1977"/>
      <c r="K1433" s="1978"/>
      <c r="L1433" s="1979"/>
      <c r="M1433" s="1980"/>
      <c r="N1433" s="1981"/>
      <c r="O1433" s="1982"/>
      <c r="P1433" s="1983">
        <f>SUM(P1426:P1432)</f>
        <v>677189.5</v>
      </c>
      <c r="Q1433" s="1984"/>
      <c r="R1433" s="1985"/>
      <c r="S1433" s="1983">
        <f t="shared" ref="S1433" si="933">SUM(S1426:S1432)</f>
        <v>358995.04000000004</v>
      </c>
      <c r="T1433" s="1983">
        <f t="shared" ref="T1433" si="934">SUM(T1426:T1432)</f>
        <v>318194.46000000002</v>
      </c>
      <c r="U1433" s="1986"/>
      <c r="V1433" s="1848"/>
      <c r="W1433" s="1848"/>
      <c r="X1433" s="1848"/>
      <c r="Y1433" s="1848"/>
      <c r="Z1433" s="1956"/>
      <c r="AA1433" s="1956"/>
      <c r="AF1433" s="1958"/>
      <c r="AG1433" s="1958"/>
      <c r="AH1433" s="1958"/>
      <c r="AI1433" s="1959"/>
      <c r="AJ1433" s="1960"/>
    </row>
    <row r="1434" spans="1:36" ht="21.95" customHeight="1" x14ac:dyDescent="0.2">
      <c r="A1434" s="1833">
        <f>satpek!$B$57</f>
        <v>38</v>
      </c>
      <c r="B1434" s="1943">
        <f>B1424+1</f>
        <v>4</v>
      </c>
      <c r="C1434" s="1937"/>
      <c r="D1434" s="1944" t="str">
        <f>VLOOKUP($A1434,satpek!$B$20:$N$144,2,0)</f>
        <v>Memasang jendela &amp; boven kaca rangka aluminium</v>
      </c>
      <c r="E1434" s="1944"/>
      <c r="F1434" s="2004"/>
      <c r="G1434" s="1945">
        <f>'[3]B.VOL RAB'!Q477</f>
        <v>104.04</v>
      </c>
      <c r="H1434" s="1946" t="str">
        <f>VLOOKUP($A1434,satpek!$B$20:$N$144,7,0)</f>
        <v>m2</v>
      </c>
      <c r="I1434" s="1947"/>
      <c r="J1434" s="1947"/>
      <c r="K1434" s="1948"/>
      <c r="L1434" s="1949"/>
      <c r="M1434" s="1950" t="str">
        <f>VLOOKUP($A1434,satpek!$B$20:$N$144,5,0)</f>
        <v>An. Dihitung</v>
      </c>
      <c r="N1434" s="1951">
        <f>VLOOKUP($A1434,satpek!$B$20:$N$144,6,0)</f>
        <v>845503.86</v>
      </c>
      <c r="O1434" s="1938"/>
      <c r="P1434" s="1952">
        <f t="shared" si="910"/>
        <v>87966221.590000004</v>
      </c>
      <c r="Q1434" s="1953">
        <f>VLOOKUP($A1434,satpek!$B$20:$L$138,8,0)</f>
        <v>0.47806680668534629</v>
      </c>
      <c r="R1434" s="1954">
        <f>VLOOKUP($A1434,satpek!$B$20:$L$138,9,0)</f>
        <v>357705.60000000003</v>
      </c>
      <c r="S1434" s="1954">
        <f>VLOOKUP($A1434,satpek!$B$20:$L$138,10,0)</f>
        <v>404207.32800000004</v>
      </c>
      <c r="T1434" s="1952">
        <f>S1434*G1434</f>
        <v>42053730.405120008</v>
      </c>
      <c r="U1434" s="1955"/>
      <c r="X1434" s="1848">
        <f>P1446</f>
        <v>748233.5</v>
      </c>
      <c r="Y1434" s="1848">
        <f>S1446</f>
        <v>357705.6</v>
      </c>
      <c r="Z1434" s="1956">
        <v>104.04</v>
      </c>
      <c r="AA1434" s="1956">
        <f t="shared" si="835"/>
        <v>0</v>
      </c>
      <c r="AB1434" s="1836" t="s">
        <v>1633</v>
      </c>
      <c r="AI1434" s="1910">
        <v>856253.55</v>
      </c>
      <c r="AJ1434" s="1960">
        <f t="shared" si="836"/>
        <v>10749.690000000061</v>
      </c>
    </row>
    <row r="1435" spans="1:36" ht="21.95" customHeight="1" x14ac:dyDescent="0.2">
      <c r="B1435" s="1987"/>
      <c r="C1435" s="2046" t="str">
        <f>SNI!$D$758</f>
        <v>Bahan</v>
      </c>
      <c r="D1435" s="2047"/>
      <c r="E1435" s="2047"/>
      <c r="F1435" s="2048"/>
      <c r="G1435" s="2049"/>
      <c r="H1435" s="2050"/>
      <c r="I1435" s="2051"/>
      <c r="J1435" s="2051"/>
      <c r="K1435" s="2052"/>
      <c r="L1435" s="2053"/>
      <c r="M1435" s="2054"/>
      <c r="N1435" s="2055"/>
      <c r="O1435" s="2056"/>
      <c r="P1435" s="2057"/>
      <c r="Q1435" s="2058"/>
      <c r="R1435" s="2059"/>
      <c r="S1435" s="2059"/>
      <c r="T1435" s="2057"/>
      <c r="U1435" s="2060"/>
      <c r="Z1435" s="1956"/>
      <c r="AA1435" s="1956"/>
      <c r="AJ1435" s="1960"/>
    </row>
    <row r="1436" spans="1:36" ht="21.95" customHeight="1" x14ac:dyDescent="0.2">
      <c r="B1436" s="1987"/>
      <c r="C1436" s="2046"/>
      <c r="D1436" s="2047" t="str">
        <f>SNI!$E$758</f>
        <v>Ram pintu 5 x 2,5 cm</v>
      </c>
      <c r="E1436" s="2047"/>
      <c r="F1436" s="2048"/>
      <c r="G1436" s="2049">
        <f>SNI!$H$758</f>
        <v>4.0999999999999996</v>
      </c>
      <c r="H1436" s="2050" t="str">
        <f>SNI!$G$758</f>
        <v>m</v>
      </c>
      <c r="I1436" s="2051"/>
      <c r="J1436" s="2051"/>
      <c r="K1436" s="2052">
        <f>SNI!$L$758</f>
        <v>0.51849999999999996</v>
      </c>
      <c r="L1436" s="2053"/>
      <c r="M1436" s="2054"/>
      <c r="N1436" s="2055">
        <f>SNI!$I$758</f>
        <v>119000</v>
      </c>
      <c r="O1436" s="2056"/>
      <c r="P1436" s="1969">
        <f t="shared" ref="P1436:P1440" si="935">N1436*G1436</f>
        <v>487899.99999999994</v>
      </c>
      <c r="Q1436" s="1953"/>
      <c r="R1436" s="1954"/>
      <c r="S1436" s="1954">
        <f t="shared" ref="S1436:S1440" si="936">P1436*K1436</f>
        <v>252976.14999999997</v>
      </c>
      <c r="T1436" s="1969">
        <f t="shared" ref="T1436:T1440" si="937">P1436-S1436</f>
        <v>234923.84999999998</v>
      </c>
      <c r="U1436" s="2060"/>
      <c r="Z1436" s="1956"/>
      <c r="AA1436" s="1956"/>
      <c r="AJ1436" s="1960"/>
    </row>
    <row r="1437" spans="1:36" ht="21.95" customHeight="1" x14ac:dyDescent="0.2">
      <c r="B1437" s="1987"/>
      <c r="C1437" s="2046"/>
      <c r="D1437" s="2047" t="str">
        <f>SNI!$E$759</f>
        <v>Kaca bening tebal 5 mm</v>
      </c>
      <c r="E1437" s="2047"/>
      <c r="F1437" s="2048"/>
      <c r="G1437" s="2049">
        <f>SNI!$H$759</f>
        <v>1.1000000000000001</v>
      </c>
      <c r="H1437" s="2050" t="str">
        <f>SNI!$G$759</f>
        <v>m2</v>
      </c>
      <c r="I1437" s="2051"/>
      <c r="J1437" s="2051"/>
      <c r="K1437" s="2052">
        <f>SNI!$L$759</f>
        <v>0.57130000000000003</v>
      </c>
      <c r="L1437" s="2053"/>
      <c r="M1437" s="2054"/>
      <c r="N1437" s="2055">
        <f>SNI!$I$759</f>
        <v>110000</v>
      </c>
      <c r="O1437" s="2056"/>
      <c r="P1437" s="1969">
        <f t="shared" si="935"/>
        <v>121000.00000000001</v>
      </c>
      <c r="Q1437" s="1953"/>
      <c r="R1437" s="1954"/>
      <c r="S1437" s="1954">
        <f t="shared" si="936"/>
        <v>69127.300000000017</v>
      </c>
      <c r="T1437" s="1969">
        <f t="shared" si="937"/>
        <v>51872.7</v>
      </c>
      <c r="U1437" s="2060"/>
      <c r="Z1437" s="1956"/>
      <c r="AA1437" s="1956"/>
      <c r="AJ1437" s="1960"/>
    </row>
    <row r="1438" spans="1:36" ht="21.95" customHeight="1" x14ac:dyDescent="0.2">
      <c r="B1438" s="1987"/>
      <c r="C1438" s="2046"/>
      <c r="D1438" s="2047" t="str">
        <f>SNI!$E$760</f>
        <v>Profil alumunium</v>
      </c>
      <c r="E1438" s="2047"/>
      <c r="F1438" s="2048"/>
      <c r="G1438" s="2049">
        <f>SNI!$H$760</f>
        <v>4.5</v>
      </c>
      <c r="H1438" s="2050" t="str">
        <f>SNI!$G$760</f>
        <v>m</v>
      </c>
      <c r="I1438" s="2051"/>
      <c r="J1438" s="2051"/>
      <c r="K1438" s="2052">
        <f>SNI!$L$760</f>
        <v>0.51849999999999996</v>
      </c>
      <c r="L1438" s="2053"/>
      <c r="M1438" s="2054"/>
      <c r="N1438" s="2055">
        <f>SNI!$I$760</f>
        <v>8200</v>
      </c>
      <c r="O1438" s="2056"/>
      <c r="P1438" s="1969">
        <f t="shared" si="935"/>
        <v>36900</v>
      </c>
      <c r="Q1438" s="1953"/>
      <c r="R1438" s="1954"/>
      <c r="S1438" s="1954">
        <f t="shared" si="936"/>
        <v>19132.649999999998</v>
      </c>
      <c r="T1438" s="1969">
        <f t="shared" si="937"/>
        <v>17767.350000000002</v>
      </c>
      <c r="U1438" s="2060"/>
      <c r="Z1438" s="1956"/>
      <c r="AA1438" s="1956"/>
      <c r="AJ1438" s="1960"/>
    </row>
    <row r="1439" spans="1:36" ht="21.95" customHeight="1" x14ac:dyDescent="0.2">
      <c r="B1439" s="1987"/>
      <c r="C1439" s="2046"/>
      <c r="D1439" s="2047" t="str">
        <f>SNI!$E$761</f>
        <v>Sealent</v>
      </c>
      <c r="E1439" s="2047"/>
      <c r="F1439" s="2048"/>
      <c r="G1439" s="2049">
        <f>SNI!$H$761</f>
        <v>0.27</v>
      </c>
      <c r="H1439" s="2050" t="str">
        <f>SNI!$G$761</f>
        <v>Tube</v>
      </c>
      <c r="I1439" s="2051"/>
      <c r="J1439" s="2051"/>
      <c r="K1439" s="2052">
        <f>SNI!$L$761</f>
        <v>0</v>
      </c>
      <c r="L1439" s="2053"/>
      <c r="M1439" s="2054"/>
      <c r="N1439" s="2055">
        <f>SNI!$I$761</f>
        <v>72000</v>
      </c>
      <c r="O1439" s="2056"/>
      <c r="P1439" s="1969">
        <f t="shared" si="935"/>
        <v>19440</v>
      </c>
      <c r="Q1439" s="1953"/>
      <c r="R1439" s="1954"/>
      <c r="S1439" s="1954">
        <f t="shared" si="936"/>
        <v>0</v>
      </c>
      <c r="T1439" s="1969">
        <f t="shared" si="937"/>
        <v>19440</v>
      </c>
      <c r="U1439" s="2060"/>
      <c r="Z1439" s="1956"/>
      <c r="AA1439" s="1956"/>
      <c r="AJ1439" s="1960"/>
    </row>
    <row r="1440" spans="1:36" ht="21.95" customHeight="1" x14ac:dyDescent="0.2">
      <c r="B1440" s="1987"/>
      <c r="C1440" s="2046"/>
      <c r="D1440" s="2047" t="str">
        <f>SNI!$E$762</f>
        <v>Aksesoris 10% bahan</v>
      </c>
      <c r="E1440" s="2047"/>
      <c r="F1440" s="2048"/>
      <c r="G1440" s="2049">
        <f>SNI!$H$762</f>
        <v>1</v>
      </c>
      <c r="H1440" s="2050" t="str">
        <f>SNI!$G$762</f>
        <v>ls</v>
      </c>
      <c r="I1440" s="2051"/>
      <c r="J1440" s="2051"/>
      <c r="K1440" s="2052">
        <f>SNI!$L$762</f>
        <v>0</v>
      </c>
      <c r="L1440" s="2053"/>
      <c r="M1440" s="2054"/>
      <c r="N1440" s="2055">
        <f>SNI!$I$762</f>
        <v>66524</v>
      </c>
      <c r="O1440" s="2056"/>
      <c r="P1440" s="1969">
        <f t="shared" si="935"/>
        <v>66524</v>
      </c>
      <c r="Q1440" s="1953"/>
      <c r="R1440" s="1954"/>
      <c r="S1440" s="1954">
        <f t="shared" si="936"/>
        <v>0</v>
      </c>
      <c r="T1440" s="1969">
        <f t="shared" si="937"/>
        <v>66524</v>
      </c>
      <c r="U1440" s="2060"/>
      <c r="Z1440" s="1956"/>
      <c r="AA1440" s="1956"/>
      <c r="AJ1440" s="1960"/>
    </row>
    <row r="1441" spans="1:36" ht="21.95" customHeight="1" x14ac:dyDescent="0.2">
      <c r="B1441" s="1987"/>
      <c r="C1441" s="2046" t="str">
        <f>SNI!$D$764</f>
        <v>Tenaga Kerja</v>
      </c>
      <c r="D1441" s="2047"/>
      <c r="E1441" s="2047"/>
      <c r="F1441" s="2048"/>
      <c r="G1441" s="2049"/>
      <c r="H1441" s="2050"/>
      <c r="I1441" s="2051"/>
      <c r="J1441" s="2051"/>
      <c r="K1441" s="2052"/>
      <c r="L1441" s="2053"/>
      <c r="M1441" s="2054"/>
      <c r="N1441" s="2055"/>
      <c r="O1441" s="2056"/>
      <c r="P1441" s="1969"/>
      <c r="Q1441" s="1953"/>
      <c r="R1441" s="1954"/>
      <c r="S1441" s="1954"/>
      <c r="T1441" s="1969"/>
      <c r="U1441" s="2060"/>
      <c r="Z1441" s="1956"/>
      <c r="AA1441" s="1956"/>
      <c r="AJ1441" s="1960"/>
    </row>
    <row r="1442" spans="1:36" ht="21.95" customHeight="1" x14ac:dyDescent="0.2">
      <c r="B1442" s="1987"/>
      <c r="C1442" s="2046"/>
      <c r="D1442" s="2047" t="str">
        <f>SNI!$E$764</f>
        <v xml:space="preserve">Pekerja </v>
      </c>
      <c r="E1442" s="2047"/>
      <c r="F1442" s="2048"/>
      <c r="G1442" s="2049">
        <f>SNI!$H$764</f>
        <v>8.5000000000000006E-2</v>
      </c>
      <c r="H1442" s="2050" t="str">
        <f>SNI!$G$764</f>
        <v>OH</v>
      </c>
      <c r="I1442" s="2051" t="str">
        <f>SNI!$M$764</f>
        <v>WNI</v>
      </c>
      <c r="J1442" s="2051"/>
      <c r="K1442" s="2052">
        <f>SNI!$L$764</f>
        <v>1</v>
      </c>
      <c r="L1442" s="2053"/>
      <c r="M1442" s="2054"/>
      <c r="N1442" s="2055">
        <f>SNI!$I$764</f>
        <v>88300</v>
      </c>
      <c r="O1442" s="2056"/>
      <c r="P1442" s="1969">
        <f t="shared" ref="P1442:P1445" si="938">N1442*G1442</f>
        <v>7505.5000000000009</v>
      </c>
      <c r="Q1442" s="1953"/>
      <c r="R1442" s="1954"/>
      <c r="S1442" s="1954">
        <f t="shared" ref="S1442:S1445" si="939">P1442*K1442</f>
        <v>7505.5000000000009</v>
      </c>
      <c r="T1442" s="1969">
        <f t="shared" ref="T1442:T1445" si="940">P1442-S1442</f>
        <v>0</v>
      </c>
      <c r="U1442" s="2060"/>
      <c r="Z1442" s="1956"/>
      <c r="AA1442" s="1956"/>
      <c r="AJ1442" s="1960"/>
    </row>
    <row r="1443" spans="1:36" ht="21.95" customHeight="1" x14ac:dyDescent="0.2">
      <c r="B1443" s="1987"/>
      <c r="C1443" s="2046"/>
      <c r="D1443" s="2047" t="str">
        <f>SNI!$E$765</f>
        <v>Tukang allumunium/kaca</v>
      </c>
      <c r="E1443" s="2047"/>
      <c r="F1443" s="2048"/>
      <c r="G1443" s="2049">
        <f>SNI!$H$765</f>
        <v>8.5000000000000006E-2</v>
      </c>
      <c r="H1443" s="2050" t="str">
        <f>SNI!$G$765</f>
        <v>OH</v>
      </c>
      <c r="I1443" s="2051" t="str">
        <f>SNI!$M$765</f>
        <v>WNI</v>
      </c>
      <c r="J1443" s="2051"/>
      <c r="K1443" s="2052">
        <f>SNI!$L$765</f>
        <v>1</v>
      </c>
      <c r="L1443" s="2053"/>
      <c r="M1443" s="2054"/>
      <c r="N1443" s="2055">
        <f>SNI!$I$765</f>
        <v>90000</v>
      </c>
      <c r="O1443" s="2056"/>
      <c r="P1443" s="1969">
        <f t="shared" si="938"/>
        <v>7650.0000000000009</v>
      </c>
      <c r="Q1443" s="1953"/>
      <c r="R1443" s="1954"/>
      <c r="S1443" s="1954">
        <f t="shared" si="939"/>
        <v>7650.0000000000009</v>
      </c>
      <c r="T1443" s="1969">
        <f t="shared" si="940"/>
        <v>0</v>
      </c>
      <c r="U1443" s="2060"/>
      <c r="Z1443" s="1956"/>
      <c r="AA1443" s="1956"/>
      <c r="AJ1443" s="1960"/>
    </row>
    <row r="1444" spans="1:36" ht="21.95" customHeight="1" x14ac:dyDescent="0.2">
      <c r="B1444" s="1987"/>
      <c r="C1444" s="2046"/>
      <c r="D1444" s="2047" t="str">
        <f>SNI!$E$766</f>
        <v>Kepala tukang</v>
      </c>
      <c r="E1444" s="2047"/>
      <c r="F1444" s="2048"/>
      <c r="G1444" s="2049">
        <f>SNI!$H$766</f>
        <v>8.9999999999999993E-3</v>
      </c>
      <c r="H1444" s="2050" t="str">
        <f>SNI!$G$766</f>
        <v>OH</v>
      </c>
      <c r="I1444" s="2051" t="str">
        <f>SNI!$M$766</f>
        <v>WNI</v>
      </c>
      <c r="J1444" s="2051"/>
      <c r="K1444" s="2052">
        <f>SNI!$L$766</f>
        <v>1</v>
      </c>
      <c r="L1444" s="2053"/>
      <c r="M1444" s="2054"/>
      <c r="N1444" s="2055">
        <f>SNI!$I$766</f>
        <v>96000</v>
      </c>
      <c r="O1444" s="2056"/>
      <c r="P1444" s="1969">
        <f t="shared" si="938"/>
        <v>863.99999999999989</v>
      </c>
      <c r="Q1444" s="1953"/>
      <c r="R1444" s="1954"/>
      <c r="S1444" s="1954">
        <f t="shared" si="939"/>
        <v>863.99999999999989</v>
      </c>
      <c r="T1444" s="1969">
        <f t="shared" si="940"/>
        <v>0</v>
      </c>
      <c r="U1444" s="2060"/>
      <c r="Z1444" s="1956"/>
      <c r="AA1444" s="1956"/>
      <c r="AJ1444" s="1960"/>
    </row>
    <row r="1445" spans="1:36" ht="21.95" customHeight="1" x14ac:dyDescent="0.2">
      <c r="B1445" s="1987"/>
      <c r="C1445" s="2046"/>
      <c r="D1445" s="2047" t="str">
        <f>SNI!$E$767</f>
        <v>Mandor</v>
      </c>
      <c r="E1445" s="2047"/>
      <c r="F1445" s="2048"/>
      <c r="G1445" s="2049">
        <f>SNI!$H$767</f>
        <v>5.0000000000000001E-3</v>
      </c>
      <c r="H1445" s="2050" t="str">
        <f>SNI!$G$767</f>
        <v>OH</v>
      </c>
      <c r="I1445" s="2051" t="str">
        <f>SNI!$M$767</f>
        <v>WNI</v>
      </c>
      <c r="J1445" s="2051"/>
      <c r="K1445" s="2052">
        <f>SNI!$L$767</f>
        <v>1</v>
      </c>
      <c r="L1445" s="2053"/>
      <c r="M1445" s="2054"/>
      <c r="N1445" s="2055">
        <f>SNI!$I$767</f>
        <v>90000</v>
      </c>
      <c r="O1445" s="2056"/>
      <c r="P1445" s="1969">
        <f t="shared" si="938"/>
        <v>450</v>
      </c>
      <c r="Q1445" s="1953"/>
      <c r="R1445" s="1954"/>
      <c r="S1445" s="1954">
        <f t="shared" si="939"/>
        <v>450</v>
      </c>
      <c r="T1445" s="1969">
        <f t="shared" si="940"/>
        <v>0</v>
      </c>
      <c r="U1445" s="2060"/>
      <c r="Z1445" s="1956"/>
      <c r="AA1445" s="1956"/>
      <c r="AJ1445" s="1960"/>
    </row>
    <row r="1446" spans="1:36" s="1957" customFormat="1" ht="21.95" customHeight="1" x14ac:dyDescent="0.2">
      <c r="A1446" s="1942"/>
      <c r="B1446" s="1970"/>
      <c r="C1446" s="1971"/>
      <c r="D1446" s="1972"/>
      <c r="E1446" s="1973"/>
      <c r="F1446" s="1974" t="s">
        <v>556</v>
      </c>
      <c r="G1446" s="1975">
        <f>B1434</f>
        <v>4</v>
      </c>
      <c r="H1446" s="1976"/>
      <c r="I1446" s="1977"/>
      <c r="J1446" s="1977"/>
      <c r="K1446" s="1978"/>
      <c r="L1446" s="1979"/>
      <c r="M1446" s="1980"/>
      <c r="N1446" s="1981"/>
      <c r="O1446" s="1982"/>
      <c r="P1446" s="1983">
        <f>SUM(P1436:P1445)</f>
        <v>748233.5</v>
      </c>
      <c r="Q1446" s="1984"/>
      <c r="R1446" s="1985"/>
      <c r="S1446" s="1983">
        <f t="shared" ref="S1446" si="941">SUM(S1436:S1445)</f>
        <v>357705.6</v>
      </c>
      <c r="T1446" s="1983">
        <f t="shared" ref="T1446" si="942">SUM(T1436:T1445)</f>
        <v>390527.89999999997</v>
      </c>
      <c r="U1446" s="1986"/>
      <c r="V1446" s="1848"/>
      <c r="W1446" s="1848"/>
      <c r="X1446" s="1848"/>
      <c r="Y1446" s="1848"/>
      <c r="Z1446" s="1956"/>
      <c r="AA1446" s="1956"/>
      <c r="AF1446" s="1958"/>
      <c r="AG1446" s="1958"/>
      <c r="AH1446" s="1958"/>
      <c r="AI1446" s="1959"/>
      <c r="AJ1446" s="1960"/>
    </row>
    <row r="1447" spans="1:36" ht="21.95" customHeight="1" x14ac:dyDescent="0.2">
      <c r="A1447" s="1833">
        <f>satpek!$B$83</f>
        <v>64</v>
      </c>
      <c r="B1447" s="1970">
        <f>B1434+1</f>
        <v>5</v>
      </c>
      <c r="C1447" s="1971"/>
      <c r="D1447" s="1972" t="str">
        <f>VLOOKUP($A1447,satpek!$B$20:$N$144,2,0)</f>
        <v>Pasang kaca mati tebal 5 mm</v>
      </c>
      <c r="E1447" s="1972"/>
      <c r="F1447" s="2135"/>
      <c r="G1447" s="2136">
        <f>'[3]B.VOL RAB'!Q478</f>
        <v>23.88</v>
      </c>
      <c r="H1447" s="1976" t="str">
        <f>VLOOKUP($A1447,satpek!$B$20:$N$144,7,0)</f>
        <v>m2</v>
      </c>
      <c r="I1447" s="2137"/>
      <c r="J1447" s="2137"/>
      <c r="K1447" s="1978"/>
      <c r="L1447" s="1979"/>
      <c r="M1447" s="1980" t="str">
        <f>VLOOKUP($A1447,satpek!$B$20:$N$144,5,0)</f>
        <v>A.4.6.2.17.</v>
      </c>
      <c r="N1447" s="1981">
        <f>VLOOKUP($A1447,satpek!$B$20:$N$144,6,0)</f>
        <v>170445.25</v>
      </c>
      <c r="O1447" s="1982"/>
      <c r="P1447" s="2138">
        <f t="shared" si="910"/>
        <v>4070232.57</v>
      </c>
      <c r="Q1447" s="2139">
        <f>VLOOKUP($A1447,satpek!$B$20:$L$138,8,0)</f>
        <v>0.61858343305499663</v>
      </c>
      <c r="R1447" s="2140">
        <f>VLOOKUP($A1447,satpek!$B$20:$L$138,9,0)</f>
        <v>93304.960000000006</v>
      </c>
      <c r="S1447" s="2140">
        <f>VLOOKUP($A1447,satpek!$B$20:$L$138,10,0)</f>
        <v>105434.6048</v>
      </c>
      <c r="T1447" s="2138">
        <f>S1447*G1447</f>
        <v>2517778.3626239998</v>
      </c>
      <c r="U1447" s="1986"/>
      <c r="X1447" s="1848">
        <f>P1456</f>
        <v>150836.5</v>
      </c>
      <c r="Y1447" s="1848">
        <f>S1456</f>
        <v>93304.960000000006</v>
      </c>
      <c r="Z1447" s="1956">
        <v>23.88</v>
      </c>
      <c r="AA1447" s="1956">
        <f t="shared" si="835"/>
        <v>0</v>
      </c>
      <c r="AB1447" s="1836" t="s">
        <v>1830</v>
      </c>
      <c r="AI1447" s="1910">
        <v>170734.07</v>
      </c>
      <c r="AJ1447" s="1960">
        <f t="shared" si="836"/>
        <v>288.82000000000698</v>
      </c>
    </row>
    <row r="1448" spans="1:36" ht="21.95" customHeight="1" x14ac:dyDescent="0.2">
      <c r="B1448" s="1987"/>
      <c r="C1448" s="2046" t="str">
        <f>SNI!$D$1278</f>
        <v>Bahan</v>
      </c>
      <c r="D1448" s="2047"/>
      <c r="E1448" s="2047"/>
      <c r="F1448" s="2048"/>
      <c r="G1448" s="2049"/>
      <c r="H1448" s="2050"/>
      <c r="I1448" s="2051"/>
      <c r="J1448" s="2051"/>
      <c r="K1448" s="2052"/>
      <c r="L1448" s="2053"/>
      <c r="M1448" s="2054"/>
      <c r="N1448" s="2055"/>
      <c r="O1448" s="2056"/>
      <c r="P1448" s="2057"/>
      <c r="Q1448" s="2058"/>
      <c r="R1448" s="2059"/>
      <c r="S1448" s="2059"/>
      <c r="T1448" s="2055"/>
      <c r="U1448" s="2060"/>
      <c r="Z1448" s="1956"/>
      <c r="AA1448" s="1956"/>
      <c r="AJ1448" s="1960"/>
    </row>
    <row r="1449" spans="1:36" ht="21.95" customHeight="1" x14ac:dyDescent="0.2">
      <c r="B1449" s="1987"/>
      <c r="C1449" s="2046"/>
      <c r="D1449" s="2047" t="str">
        <f>SNI!$E$1278</f>
        <v>Kaca 5 mm</v>
      </c>
      <c r="E1449" s="2047"/>
      <c r="F1449" s="2048"/>
      <c r="G1449" s="2049">
        <f>SNI!$H$1278</f>
        <v>1.1000000000000001</v>
      </c>
      <c r="H1449" s="2050" t="str">
        <f>SNI!$G$1278</f>
        <v>m2</v>
      </c>
      <c r="I1449" s="2051"/>
      <c r="J1449" s="2051"/>
      <c r="K1449" s="2052">
        <f>SNI!$L$1278</f>
        <v>0.57130000000000003</v>
      </c>
      <c r="L1449" s="2053"/>
      <c r="M1449" s="2054"/>
      <c r="N1449" s="2055">
        <f>SNI!$I$1278</f>
        <v>122000</v>
      </c>
      <c r="O1449" s="2056"/>
      <c r="P1449" s="1969">
        <f t="shared" ref="P1449:P1450" si="943">N1449*G1449</f>
        <v>134200</v>
      </c>
      <c r="Q1449" s="1953"/>
      <c r="R1449" s="1954"/>
      <c r="S1449" s="1954">
        <f t="shared" ref="S1449:S1450" si="944">P1449*K1449</f>
        <v>76668.460000000006</v>
      </c>
      <c r="T1449" s="1969">
        <f t="shared" ref="T1449:T1450" si="945">P1449-S1449</f>
        <v>57531.539999999994</v>
      </c>
      <c r="U1449" s="2060"/>
      <c r="Z1449" s="1956"/>
      <c r="AA1449" s="1956"/>
      <c r="AJ1449" s="1960"/>
    </row>
    <row r="1450" spans="1:36" ht="21.95" customHeight="1" x14ac:dyDescent="0.2">
      <c r="B1450" s="1987"/>
      <c r="C1450" s="2046"/>
      <c r="D1450" s="2047" t="str">
        <f>SNI!$E$1279</f>
        <v>Sealent</v>
      </c>
      <c r="E1450" s="2047"/>
      <c r="F1450" s="2048"/>
      <c r="G1450" s="2049">
        <f>SNI!$H$1279</f>
        <v>0.05</v>
      </c>
      <c r="H1450" s="2050" t="str">
        <f>SNI!$G$1279</f>
        <v>kg</v>
      </c>
      <c r="I1450" s="2051"/>
      <c r="J1450" s="2051"/>
      <c r="K1450" s="2052">
        <f>SNI!$L$1279</f>
        <v>0</v>
      </c>
      <c r="L1450" s="2053"/>
      <c r="M1450" s="2054"/>
      <c r="N1450" s="2055">
        <f>SNI!$I$1279</f>
        <v>0</v>
      </c>
      <c r="O1450" s="2056"/>
      <c r="P1450" s="1969">
        <f t="shared" si="943"/>
        <v>0</v>
      </c>
      <c r="Q1450" s="1953"/>
      <c r="R1450" s="1954"/>
      <c r="S1450" s="1954">
        <f t="shared" si="944"/>
        <v>0</v>
      </c>
      <c r="T1450" s="1969">
        <f t="shared" si="945"/>
        <v>0</v>
      </c>
      <c r="U1450" s="2060"/>
      <c r="Z1450" s="1956"/>
      <c r="AA1450" s="1956"/>
      <c r="AJ1450" s="1960"/>
    </row>
    <row r="1451" spans="1:36" ht="21.95" customHeight="1" x14ac:dyDescent="0.2">
      <c r="B1451" s="1987"/>
      <c r="C1451" s="2046" t="str">
        <f>SNI!$D$1281</f>
        <v>Tenaga Kerja</v>
      </c>
      <c r="D1451" s="2047"/>
      <c r="E1451" s="2047"/>
      <c r="F1451" s="2048"/>
      <c r="G1451" s="2049"/>
      <c r="H1451" s="2050"/>
      <c r="I1451" s="2051"/>
      <c r="J1451" s="2051"/>
      <c r="K1451" s="2052"/>
      <c r="L1451" s="2053"/>
      <c r="M1451" s="2054"/>
      <c r="N1451" s="2055"/>
      <c r="O1451" s="2056"/>
      <c r="P1451" s="1969"/>
      <c r="Q1451" s="1953"/>
      <c r="R1451" s="1954"/>
      <c r="S1451" s="1954"/>
      <c r="T1451" s="1969"/>
      <c r="U1451" s="2060"/>
      <c r="Z1451" s="1956"/>
      <c r="AA1451" s="1956"/>
      <c r="AJ1451" s="1960"/>
    </row>
    <row r="1452" spans="1:36" ht="21.95" customHeight="1" x14ac:dyDescent="0.2">
      <c r="B1452" s="1987"/>
      <c r="C1452" s="2046"/>
      <c r="D1452" s="2047" t="str">
        <f>SNI!$E$1281</f>
        <v>Pekerja</v>
      </c>
      <c r="E1452" s="2047"/>
      <c r="F1452" s="2048"/>
      <c r="G1452" s="2049">
        <f>SNI!$H$1281</f>
        <v>1.4999999999999999E-2</v>
      </c>
      <c r="H1452" s="2050" t="str">
        <f>SNI!$G$1281</f>
        <v>OH</v>
      </c>
      <c r="I1452" s="2051" t="str">
        <f>SNI!$M$1281</f>
        <v>WNI</v>
      </c>
      <c r="J1452" s="2051"/>
      <c r="K1452" s="2052">
        <f>SNI!$L$1281</f>
        <v>1</v>
      </c>
      <c r="L1452" s="2053"/>
      <c r="M1452" s="2054"/>
      <c r="N1452" s="2055">
        <f>SNI!$I$1281</f>
        <v>88300</v>
      </c>
      <c r="O1452" s="2056"/>
      <c r="P1452" s="1969">
        <f t="shared" ref="P1452:P1455" si="946">N1452*G1452</f>
        <v>1324.5</v>
      </c>
      <c r="Q1452" s="1953"/>
      <c r="R1452" s="1954"/>
      <c r="S1452" s="1954">
        <f t="shared" ref="S1452:S1455" si="947">P1452*K1452</f>
        <v>1324.5</v>
      </c>
      <c r="T1452" s="1969">
        <f t="shared" ref="T1452:T1455" si="948">P1452-S1452</f>
        <v>0</v>
      </c>
      <c r="U1452" s="2060"/>
      <c r="Z1452" s="1956"/>
      <c r="AA1452" s="1956"/>
      <c r="AJ1452" s="1960"/>
    </row>
    <row r="1453" spans="1:36" ht="21.95" customHeight="1" x14ac:dyDescent="0.2">
      <c r="B1453" s="1987"/>
      <c r="C1453" s="2046"/>
      <c r="D1453" s="2047" t="str">
        <f>SNI!$E$1282</f>
        <v>Tukang kayu</v>
      </c>
      <c r="E1453" s="2047"/>
      <c r="F1453" s="2048"/>
      <c r="G1453" s="2049">
        <f>SNI!$H$1282</f>
        <v>0.15</v>
      </c>
      <c r="H1453" s="2050" t="str">
        <f>SNI!$G$1282</f>
        <v>OH</v>
      </c>
      <c r="I1453" s="2051" t="str">
        <f>SNI!$M$1282</f>
        <v>WNI</v>
      </c>
      <c r="J1453" s="2051"/>
      <c r="K1453" s="2052">
        <f>SNI!$L$1282</f>
        <v>1</v>
      </c>
      <c r="L1453" s="2053"/>
      <c r="M1453" s="2054"/>
      <c r="N1453" s="2055">
        <f>SNI!$I$1282</f>
        <v>92000</v>
      </c>
      <c r="O1453" s="2056"/>
      <c r="P1453" s="1969">
        <f t="shared" si="946"/>
        <v>13800</v>
      </c>
      <c r="Q1453" s="1953"/>
      <c r="R1453" s="1954"/>
      <c r="S1453" s="1954">
        <f t="shared" si="947"/>
        <v>13800</v>
      </c>
      <c r="T1453" s="1969">
        <f t="shared" si="948"/>
        <v>0</v>
      </c>
      <c r="U1453" s="2060"/>
      <c r="Z1453" s="1956"/>
      <c r="AA1453" s="1956"/>
      <c r="AJ1453" s="1960"/>
    </row>
    <row r="1454" spans="1:36" ht="21.95" customHeight="1" x14ac:dyDescent="0.2">
      <c r="B1454" s="1987"/>
      <c r="C1454" s="2046"/>
      <c r="D1454" s="2047" t="str">
        <f>SNI!$E$1283</f>
        <v>Kepala tukang</v>
      </c>
      <c r="E1454" s="2047"/>
      <c r="F1454" s="2048"/>
      <c r="G1454" s="2049">
        <f>SNI!$H$1283</f>
        <v>1.4999999999999999E-2</v>
      </c>
      <c r="H1454" s="2050" t="str">
        <f>SNI!$G$1283</f>
        <v>OH</v>
      </c>
      <c r="I1454" s="2051" t="str">
        <f>SNI!$M$1283</f>
        <v>WNI</v>
      </c>
      <c r="J1454" s="2051"/>
      <c r="K1454" s="2052">
        <f>SNI!$L$1283</f>
        <v>1</v>
      </c>
      <c r="L1454" s="2053"/>
      <c r="M1454" s="2054"/>
      <c r="N1454" s="2055">
        <f>SNI!$I$1283</f>
        <v>96000</v>
      </c>
      <c r="O1454" s="2056"/>
      <c r="P1454" s="1969">
        <f t="shared" si="946"/>
        <v>1440</v>
      </c>
      <c r="Q1454" s="1953"/>
      <c r="R1454" s="1954"/>
      <c r="S1454" s="1954">
        <f t="shared" si="947"/>
        <v>1440</v>
      </c>
      <c r="T1454" s="1969">
        <f t="shared" si="948"/>
        <v>0</v>
      </c>
      <c r="U1454" s="2060"/>
      <c r="Z1454" s="1956"/>
      <c r="AA1454" s="1956"/>
      <c r="AJ1454" s="1960"/>
    </row>
    <row r="1455" spans="1:36" ht="21.95" customHeight="1" x14ac:dyDescent="0.2">
      <c r="B1455" s="1987"/>
      <c r="C1455" s="2046"/>
      <c r="D1455" s="2047" t="str">
        <f>SNI!$E$1284</f>
        <v>Mandor</v>
      </c>
      <c r="E1455" s="2047"/>
      <c r="F1455" s="2048"/>
      <c r="G1455" s="2049">
        <f>SNI!$H$1284</f>
        <v>8.0000000000000004E-4</v>
      </c>
      <c r="H1455" s="2050" t="str">
        <f>SNI!$G$1284</f>
        <v>OH</v>
      </c>
      <c r="I1455" s="2051" t="str">
        <f>SNI!$M$1284</f>
        <v>WNI</v>
      </c>
      <c r="J1455" s="2051"/>
      <c r="K1455" s="2052">
        <f>SNI!$L$1284</f>
        <v>1</v>
      </c>
      <c r="L1455" s="2053"/>
      <c r="M1455" s="2054"/>
      <c r="N1455" s="2055">
        <f>SNI!$I$1284</f>
        <v>90000</v>
      </c>
      <c r="O1455" s="2056"/>
      <c r="P1455" s="1969">
        <f t="shared" si="946"/>
        <v>72</v>
      </c>
      <c r="Q1455" s="1953"/>
      <c r="R1455" s="1954"/>
      <c r="S1455" s="1954">
        <f t="shared" si="947"/>
        <v>72</v>
      </c>
      <c r="T1455" s="1969">
        <f t="shared" si="948"/>
        <v>0</v>
      </c>
      <c r="U1455" s="2060"/>
      <c r="Z1455" s="1956"/>
      <c r="AA1455" s="1956"/>
      <c r="AJ1455" s="1960"/>
    </row>
    <row r="1456" spans="1:36" s="1957" customFormat="1" ht="21.95" customHeight="1" x14ac:dyDescent="0.2">
      <c r="A1456" s="1942"/>
      <c r="B1456" s="1970"/>
      <c r="C1456" s="1971"/>
      <c r="D1456" s="1972"/>
      <c r="E1456" s="1973"/>
      <c r="F1456" s="1974" t="s">
        <v>556</v>
      </c>
      <c r="G1456" s="1975">
        <f>B1447</f>
        <v>5</v>
      </c>
      <c r="H1456" s="1976"/>
      <c r="I1456" s="1977"/>
      <c r="J1456" s="1977"/>
      <c r="K1456" s="1978"/>
      <c r="L1456" s="1979"/>
      <c r="M1456" s="1980"/>
      <c r="N1456" s="1981"/>
      <c r="O1456" s="1982"/>
      <c r="P1456" s="1983">
        <f>SUM(P1449:P1455)</f>
        <v>150836.5</v>
      </c>
      <c r="Q1456" s="1984"/>
      <c r="R1456" s="1985"/>
      <c r="S1456" s="1983">
        <f t="shared" ref="S1456" si="949">SUM(S1449:S1455)</f>
        <v>93304.960000000006</v>
      </c>
      <c r="T1456" s="1983">
        <f t="shared" ref="T1456" si="950">SUM(T1449:T1455)</f>
        <v>57531.539999999994</v>
      </c>
      <c r="U1456" s="1986"/>
      <c r="V1456" s="1848"/>
      <c r="W1456" s="1848"/>
      <c r="X1456" s="1848"/>
      <c r="Y1456" s="1848"/>
      <c r="Z1456" s="1956"/>
      <c r="AA1456" s="1956"/>
      <c r="AF1456" s="1958"/>
      <c r="AG1456" s="1958"/>
      <c r="AH1456" s="1958"/>
      <c r="AI1456" s="1959"/>
      <c r="AJ1456" s="1960"/>
    </row>
    <row r="1457" spans="1:36" ht="21.95" customHeight="1" x14ac:dyDescent="0.2">
      <c r="B1457" s="2017"/>
      <c r="C1457" s="2018"/>
      <c r="D1457" s="2019"/>
      <c r="E1457" s="2019"/>
      <c r="F1457" s="2020"/>
      <c r="G1457" s="2021"/>
      <c r="H1457" s="2022"/>
      <c r="I1457" s="2023"/>
      <c r="J1457" s="2023"/>
      <c r="K1457" s="2024"/>
      <c r="L1457" s="2025"/>
      <c r="M1457" s="2025"/>
      <c r="N1457" s="2026"/>
      <c r="O1457" s="2027"/>
      <c r="P1457" s="2065" t="s">
        <v>1831</v>
      </c>
      <c r="Q1457" s="2029">
        <f>AVERAGE(Q1337:Q1447)</f>
        <v>0.50121287328697739</v>
      </c>
      <c r="R1457" s="2023"/>
      <c r="S1457" s="2023"/>
      <c r="T1457" s="2068">
        <f>SUM(T1336:T1447)</f>
        <v>247184972.36916399</v>
      </c>
      <c r="U1457" s="2031"/>
      <c r="V1457" s="1848">
        <f>[3]HPS!M208</f>
        <v>453420476.76000005</v>
      </c>
      <c r="W1457" s="1848" t="e">
        <f>#REF!-V1457</f>
        <v>#REF!</v>
      </c>
      <c r="Z1457" s="1956"/>
      <c r="AA1457" s="1956">
        <f t="shared" si="835"/>
        <v>0</v>
      </c>
      <c r="AC1457" s="2141"/>
      <c r="AD1457" s="2141"/>
      <c r="AG1457" s="1836"/>
      <c r="AH1457" s="1836"/>
      <c r="AJ1457" s="1960">
        <f t="shared" si="836"/>
        <v>0</v>
      </c>
    </row>
    <row r="1458" spans="1:36" ht="21.95" customHeight="1" x14ac:dyDescent="0.2">
      <c r="B1458" s="1927" t="s">
        <v>1832</v>
      </c>
      <c r="C1458" s="2033"/>
      <c r="D1458" s="2034" t="s">
        <v>763</v>
      </c>
      <c r="E1458" s="2035"/>
      <c r="F1458" s="2036"/>
      <c r="G1458" s="1945"/>
      <c r="H1458" s="2037"/>
      <c r="I1458" s="2038"/>
      <c r="J1458" s="2038"/>
      <c r="K1458" s="2039"/>
      <c r="L1458" s="2040"/>
      <c r="M1458" s="2040"/>
      <c r="N1458" s="1997"/>
      <c r="O1458" s="2041"/>
      <c r="P1458" s="2042"/>
      <c r="Q1458" s="2038"/>
      <c r="R1458" s="2038"/>
      <c r="S1458" s="2038"/>
      <c r="T1458" s="2043"/>
      <c r="U1458" s="2044"/>
      <c r="Z1458" s="1956"/>
      <c r="AA1458" s="1956">
        <f t="shared" si="835"/>
        <v>0</v>
      </c>
      <c r="AB1458" s="1836" t="s">
        <v>763</v>
      </c>
      <c r="AC1458" s="2141"/>
      <c r="AD1458" s="2141"/>
      <c r="AG1458" s="1836"/>
      <c r="AH1458" s="1836"/>
      <c r="AI1458" s="1837"/>
      <c r="AJ1458" s="1960">
        <f t="shared" si="836"/>
        <v>0</v>
      </c>
    </row>
    <row r="1459" spans="1:36" ht="21.95" customHeight="1" x14ac:dyDescent="0.2">
      <c r="B1459" s="1927"/>
      <c r="C1459" s="2033"/>
      <c r="D1459" s="2034" t="s">
        <v>1769</v>
      </c>
      <c r="E1459" s="2035"/>
      <c r="F1459" s="2036"/>
      <c r="G1459" s="1945"/>
      <c r="H1459" s="2037"/>
      <c r="I1459" s="2038"/>
      <c r="J1459" s="2038"/>
      <c r="K1459" s="2039"/>
      <c r="L1459" s="2040"/>
      <c r="M1459" s="2040"/>
      <c r="N1459" s="1997"/>
      <c r="O1459" s="2041"/>
      <c r="P1459" s="2042"/>
      <c r="Q1459" s="2038"/>
      <c r="R1459" s="2038"/>
      <c r="S1459" s="2038"/>
      <c r="T1459" s="2043"/>
      <c r="U1459" s="2044"/>
      <c r="Z1459" s="1956"/>
      <c r="AA1459" s="1956">
        <f t="shared" si="835"/>
        <v>0</v>
      </c>
      <c r="AB1459" s="1836" t="s">
        <v>1769</v>
      </c>
      <c r="AC1459" s="2141"/>
      <c r="AD1459" s="2141"/>
      <c r="AG1459" s="1836"/>
      <c r="AH1459" s="1836"/>
      <c r="AI1459" s="1837"/>
      <c r="AJ1459" s="1960">
        <f t="shared" si="836"/>
        <v>0</v>
      </c>
    </row>
    <row r="1460" spans="1:36" ht="21.95" customHeight="1" x14ac:dyDescent="0.2">
      <c r="A1460" s="1833">
        <f>satpek!$B$84</f>
        <v>65</v>
      </c>
      <c r="B1460" s="1943">
        <v>1</v>
      </c>
      <c r="C1460" s="1937"/>
      <c r="D1460" s="1944" t="str">
        <f>VLOOKUP($A1460,satpek!$B$20:$N$144,2,0)</f>
        <v>Pengecatan dinding dalam (cat interior)</v>
      </c>
      <c r="E1460" s="1944"/>
      <c r="F1460" s="2004"/>
      <c r="G1460" s="1945">
        <f>'[3]B.VOL RAB'!Q509</f>
        <v>1114.2919999999999</v>
      </c>
      <c r="H1460" s="1946" t="str">
        <f>VLOOKUP($A1460,satpek!$B$20:$N$144,7,0)</f>
        <v>m2</v>
      </c>
      <c r="I1460" s="1947"/>
      <c r="J1460" s="1947"/>
      <c r="K1460" s="1948"/>
      <c r="L1460" s="1949"/>
      <c r="M1460" s="1950" t="str">
        <f>VLOOKUP($A1460,satpek!$B$20:$N$144,5,0)</f>
        <v>A.4.7.1.10.</v>
      </c>
      <c r="N1460" s="1951">
        <f>VLOOKUP($A1460,satpek!$B$20:$N$144,6,0)</f>
        <v>23041.599999999999</v>
      </c>
      <c r="O1460" s="1938"/>
      <c r="P1460" s="1952">
        <f t="shared" ref="P1460:P1482" si="951">ROUND((G1460*N1460),2)</f>
        <v>25675070.550000001</v>
      </c>
      <c r="Q1460" s="1953">
        <f>VLOOKUP($A1460,satpek!$B$20:$L$138,8,0)</f>
        <v>0.52513015673735219</v>
      </c>
      <c r="R1460" s="1954">
        <f>VLOOKUP($A1460,satpek!$B$20:$L$138,9,0)</f>
        <v>10707.824000000001</v>
      </c>
      <c r="S1460" s="1954">
        <f>VLOOKUP($A1460,satpek!$B$20:$L$138,10,0)</f>
        <v>12099.841120000001</v>
      </c>
      <c r="T1460" s="1952">
        <f>S1460*G1460</f>
        <v>13482756.16128704</v>
      </c>
      <c r="U1460" s="1955"/>
      <c r="X1460" s="1848">
        <f>P1470</f>
        <v>20390.8</v>
      </c>
      <c r="Y1460" s="1848">
        <f>S1470</f>
        <v>10707.824000000001</v>
      </c>
      <c r="Z1460" s="1956">
        <v>1114.2919999999999</v>
      </c>
      <c r="AA1460" s="1956">
        <f t="shared" si="835"/>
        <v>0</v>
      </c>
      <c r="AB1460" s="1836" t="s">
        <v>1833</v>
      </c>
      <c r="AC1460" s="2141"/>
      <c r="AD1460" s="2141"/>
      <c r="AG1460" s="1836"/>
      <c r="AH1460" s="1836"/>
      <c r="AI1460" s="1837">
        <v>31297.379999999997</v>
      </c>
      <c r="AJ1460" s="1960">
        <f t="shared" si="836"/>
        <v>8255.7799999999988</v>
      </c>
    </row>
    <row r="1461" spans="1:36" ht="21.95" customHeight="1" x14ac:dyDescent="0.2">
      <c r="B1461" s="2045"/>
      <c r="C1461" s="2046" t="str">
        <f>SNI!D1297</f>
        <v>Bahan</v>
      </c>
      <c r="D1461" s="2047"/>
      <c r="E1461" s="2047"/>
      <c r="F1461" s="2048"/>
      <c r="G1461" s="2049"/>
      <c r="H1461" s="2050"/>
      <c r="I1461" s="2051"/>
      <c r="J1461" s="2051"/>
      <c r="K1461" s="2052"/>
      <c r="L1461" s="2053"/>
      <c r="M1461" s="2054"/>
      <c r="N1461" s="2055"/>
      <c r="O1461" s="2056"/>
      <c r="P1461" s="2057"/>
      <c r="Q1461" s="2058"/>
      <c r="R1461" s="2059"/>
      <c r="S1461" s="2059"/>
      <c r="T1461" s="2057"/>
      <c r="U1461" s="2060"/>
      <c r="Z1461" s="1956"/>
      <c r="AA1461" s="1956"/>
      <c r="AC1461" s="2141"/>
      <c r="AD1461" s="2141"/>
      <c r="AG1461" s="1836"/>
      <c r="AH1461" s="1836"/>
      <c r="AI1461" s="1837"/>
      <c r="AJ1461" s="1960"/>
    </row>
    <row r="1462" spans="1:36" ht="21.95" customHeight="1" x14ac:dyDescent="0.2">
      <c r="B1462" s="2045"/>
      <c r="C1462" s="2046"/>
      <c r="D1462" s="2047" t="str">
        <f>SNI!E1297</f>
        <v>Plamir</v>
      </c>
      <c r="E1462" s="2047"/>
      <c r="F1462" s="2048"/>
      <c r="G1462" s="2049">
        <f>SNI!H1297</f>
        <v>0.1</v>
      </c>
      <c r="H1462" s="2050" t="str">
        <f>SNI!G1297</f>
        <v>kg</v>
      </c>
      <c r="I1462" s="2051"/>
      <c r="J1462" s="2051"/>
      <c r="K1462" s="2052">
        <f>SNI!L1297</f>
        <v>0</v>
      </c>
      <c r="L1462" s="2053"/>
      <c r="M1462" s="2054"/>
      <c r="N1462" s="2055">
        <f>SNI!I1297</f>
        <v>20000</v>
      </c>
      <c r="O1462" s="2056"/>
      <c r="P1462" s="1969">
        <f t="shared" ref="P1462" si="952">N1462*G1462</f>
        <v>2000</v>
      </c>
      <c r="Q1462" s="1953"/>
      <c r="R1462" s="1954"/>
      <c r="S1462" s="1954">
        <f t="shared" ref="S1462" si="953">P1462*K1462</f>
        <v>0</v>
      </c>
      <c r="T1462" s="1969">
        <f t="shared" ref="T1462" si="954">P1462-S1462</f>
        <v>2000</v>
      </c>
      <c r="U1462" s="2060"/>
      <c r="Z1462" s="1956"/>
      <c r="AA1462" s="1956"/>
      <c r="AC1462" s="2141"/>
      <c r="AD1462" s="2141"/>
      <c r="AG1462" s="1836"/>
      <c r="AH1462" s="1836"/>
      <c r="AI1462" s="1837"/>
      <c r="AJ1462" s="1960"/>
    </row>
    <row r="1463" spans="1:36" ht="21.95" customHeight="1" x14ac:dyDescent="0.2">
      <c r="B1463" s="2045"/>
      <c r="C1463" s="2046"/>
      <c r="D1463" s="2047" t="str">
        <f>SNI!E1298</f>
        <v>Cat dasar</v>
      </c>
      <c r="E1463" s="2047"/>
      <c r="F1463" s="2048"/>
      <c r="G1463" s="2049">
        <f>SNI!H1298</f>
        <v>0.1</v>
      </c>
      <c r="H1463" s="2050" t="str">
        <f>SNI!G1298</f>
        <v>kg</v>
      </c>
      <c r="I1463" s="2051"/>
      <c r="J1463" s="2051"/>
      <c r="K1463" s="2052">
        <f>SNI!L1298</f>
        <v>0.23780000000000001</v>
      </c>
      <c r="L1463" s="2053"/>
      <c r="M1463" s="2054"/>
      <c r="N1463" s="2055">
        <f>SNI!I1298</f>
        <v>28000</v>
      </c>
      <c r="O1463" s="2056"/>
      <c r="P1463" s="1969">
        <f t="shared" ref="P1463:P1469" si="955">N1463*G1463</f>
        <v>2800</v>
      </c>
      <c r="Q1463" s="1953"/>
      <c r="R1463" s="1954"/>
      <c r="S1463" s="1954">
        <f t="shared" ref="S1463:S1469" si="956">P1463*K1463</f>
        <v>665.84</v>
      </c>
      <c r="T1463" s="1969">
        <f t="shared" ref="T1463:T1469" si="957">P1463-S1463</f>
        <v>2134.16</v>
      </c>
      <c r="U1463" s="2060"/>
      <c r="Z1463" s="1956"/>
      <c r="AA1463" s="1956"/>
      <c r="AC1463" s="2141"/>
      <c r="AD1463" s="2141"/>
      <c r="AG1463" s="1836"/>
      <c r="AH1463" s="1836"/>
      <c r="AI1463" s="1837"/>
      <c r="AJ1463" s="1960"/>
    </row>
    <row r="1464" spans="1:36" ht="21.95" customHeight="1" x14ac:dyDescent="0.2">
      <c r="B1464" s="2045"/>
      <c r="C1464" s="2046"/>
      <c r="D1464" s="2047" t="str">
        <f>SNI!E1299</f>
        <v>Cat penutup 2 X</v>
      </c>
      <c r="E1464" s="2047"/>
      <c r="F1464" s="2048"/>
      <c r="G1464" s="2049">
        <f>SNI!H1299</f>
        <v>0.26</v>
      </c>
      <c r="H1464" s="2050" t="str">
        <f>SNI!G1299</f>
        <v>kg</v>
      </c>
      <c r="I1464" s="2051"/>
      <c r="J1464" s="2051"/>
      <c r="K1464" s="2052">
        <f>SNI!L1299</f>
        <v>0.23780000000000001</v>
      </c>
      <c r="L1464" s="2053"/>
      <c r="M1464" s="2054"/>
      <c r="N1464" s="2055">
        <f>SNI!I1299</f>
        <v>28000</v>
      </c>
      <c r="O1464" s="2056"/>
      <c r="P1464" s="1969">
        <f t="shared" si="955"/>
        <v>7280</v>
      </c>
      <c r="Q1464" s="1953"/>
      <c r="R1464" s="1954"/>
      <c r="S1464" s="1954">
        <f t="shared" si="956"/>
        <v>1731.1840000000002</v>
      </c>
      <c r="T1464" s="1969">
        <f t="shared" si="957"/>
        <v>5548.8159999999998</v>
      </c>
      <c r="U1464" s="2060"/>
      <c r="Z1464" s="1956"/>
      <c r="AA1464" s="1956"/>
      <c r="AC1464" s="2141"/>
      <c r="AD1464" s="2141"/>
      <c r="AG1464" s="1836"/>
      <c r="AH1464" s="1836"/>
      <c r="AI1464" s="1837"/>
      <c r="AJ1464" s="1960"/>
    </row>
    <row r="1465" spans="1:36" ht="21.95" customHeight="1" x14ac:dyDescent="0.2">
      <c r="B1465" s="2045"/>
      <c r="C1465" s="2046" t="str">
        <f>SNI!D1301</f>
        <v>Tenaga Kerja</v>
      </c>
      <c r="D1465" s="2047"/>
      <c r="E1465" s="2047"/>
      <c r="F1465" s="2048"/>
      <c r="G1465" s="2049"/>
      <c r="H1465" s="2050"/>
      <c r="I1465" s="2051"/>
      <c r="J1465" s="2051"/>
      <c r="K1465" s="2052"/>
      <c r="L1465" s="2053"/>
      <c r="M1465" s="2054"/>
      <c r="N1465" s="2055"/>
      <c r="O1465" s="2056"/>
      <c r="P1465" s="1969"/>
      <c r="Q1465" s="1953"/>
      <c r="R1465" s="1954"/>
      <c r="S1465" s="1954"/>
      <c r="T1465" s="1969"/>
      <c r="U1465" s="2060"/>
      <c r="Z1465" s="1956"/>
      <c r="AA1465" s="1956"/>
      <c r="AC1465" s="2141"/>
      <c r="AD1465" s="2141"/>
      <c r="AG1465" s="1836"/>
      <c r="AH1465" s="1836"/>
      <c r="AI1465" s="1837"/>
      <c r="AJ1465" s="1960"/>
    </row>
    <row r="1466" spans="1:36" ht="21.95" customHeight="1" x14ac:dyDescent="0.2">
      <c r="B1466" s="2045"/>
      <c r="C1466" s="2046"/>
      <c r="D1466" s="2047" t="str">
        <f>SNI!E1301</f>
        <v>Pekerja</v>
      </c>
      <c r="E1466" s="2047"/>
      <c r="F1466" s="2048"/>
      <c r="G1466" s="2049">
        <f>SNI!H1301</f>
        <v>0.02</v>
      </c>
      <c r="H1466" s="2050" t="str">
        <f>SNI!G1301</f>
        <v>OH</v>
      </c>
      <c r="I1466" s="2051" t="str">
        <f>SNI!M1301</f>
        <v>WNI</v>
      </c>
      <c r="J1466" s="2051"/>
      <c r="K1466" s="2052">
        <f>SNI!L1301</f>
        <v>1</v>
      </c>
      <c r="L1466" s="2053"/>
      <c r="M1466" s="2054"/>
      <c r="N1466" s="2055">
        <f>SNI!I1301</f>
        <v>88300</v>
      </c>
      <c r="O1466" s="2056"/>
      <c r="P1466" s="1969">
        <f t="shared" si="955"/>
        <v>1766</v>
      </c>
      <c r="Q1466" s="1953"/>
      <c r="R1466" s="1954"/>
      <c r="S1466" s="1954">
        <f t="shared" si="956"/>
        <v>1766</v>
      </c>
      <c r="T1466" s="1969">
        <f t="shared" si="957"/>
        <v>0</v>
      </c>
      <c r="U1466" s="2060"/>
      <c r="Z1466" s="1956"/>
      <c r="AA1466" s="1956"/>
      <c r="AC1466" s="2141"/>
      <c r="AD1466" s="2141"/>
      <c r="AG1466" s="1836"/>
      <c r="AH1466" s="1836"/>
      <c r="AI1466" s="1837"/>
      <c r="AJ1466" s="1960"/>
    </row>
    <row r="1467" spans="1:36" ht="21.95" customHeight="1" x14ac:dyDescent="0.2">
      <c r="B1467" s="2045"/>
      <c r="C1467" s="2046"/>
      <c r="D1467" s="2047" t="str">
        <f>SNI!E1302</f>
        <v>Tukang cat</v>
      </c>
      <c r="E1467" s="2047"/>
      <c r="F1467" s="2048"/>
      <c r="G1467" s="2049">
        <f>SNI!H1302</f>
        <v>6.3E-2</v>
      </c>
      <c r="H1467" s="2050" t="str">
        <f>SNI!G1302</f>
        <v>OH</v>
      </c>
      <c r="I1467" s="2051" t="str">
        <f>SNI!M1302</f>
        <v>WNI</v>
      </c>
      <c r="J1467" s="2051"/>
      <c r="K1467" s="2052">
        <f>SNI!L1302</f>
        <v>1</v>
      </c>
      <c r="L1467" s="2053"/>
      <c r="M1467" s="2054"/>
      <c r="N1467" s="2055">
        <f>SNI!I1302</f>
        <v>90000</v>
      </c>
      <c r="O1467" s="2056"/>
      <c r="P1467" s="1969">
        <f t="shared" si="955"/>
        <v>5670</v>
      </c>
      <c r="Q1467" s="1953"/>
      <c r="R1467" s="1954"/>
      <c r="S1467" s="1954">
        <f t="shared" si="956"/>
        <v>5670</v>
      </c>
      <c r="T1467" s="1969">
        <f t="shared" si="957"/>
        <v>0</v>
      </c>
      <c r="U1467" s="2060"/>
      <c r="Z1467" s="1956"/>
      <c r="AA1467" s="1956"/>
      <c r="AC1467" s="2141"/>
      <c r="AD1467" s="2141"/>
      <c r="AG1467" s="1836"/>
      <c r="AH1467" s="1836"/>
      <c r="AI1467" s="1837"/>
      <c r="AJ1467" s="1960"/>
    </row>
    <row r="1468" spans="1:36" ht="21.95" customHeight="1" x14ac:dyDescent="0.2">
      <c r="B1468" s="2045"/>
      <c r="C1468" s="2046"/>
      <c r="D1468" s="2047" t="str">
        <f>SNI!E1303</f>
        <v>Kep.Tukang</v>
      </c>
      <c r="E1468" s="2047"/>
      <c r="F1468" s="2048"/>
      <c r="G1468" s="2049">
        <f>SNI!H1303</f>
        <v>6.3E-3</v>
      </c>
      <c r="H1468" s="2050" t="str">
        <f>SNI!G1303</f>
        <v>OH</v>
      </c>
      <c r="I1468" s="2051" t="str">
        <f>SNI!M1303</f>
        <v>WNI</v>
      </c>
      <c r="J1468" s="2051"/>
      <c r="K1468" s="2052">
        <f>SNI!L1303</f>
        <v>1</v>
      </c>
      <c r="L1468" s="2053"/>
      <c r="M1468" s="2054"/>
      <c r="N1468" s="2055">
        <f>SNI!I1303</f>
        <v>96000</v>
      </c>
      <c r="O1468" s="2056"/>
      <c r="P1468" s="1969">
        <f t="shared" si="955"/>
        <v>604.79999999999995</v>
      </c>
      <c r="Q1468" s="1953"/>
      <c r="R1468" s="1954"/>
      <c r="S1468" s="1954">
        <f t="shared" si="956"/>
        <v>604.79999999999995</v>
      </c>
      <c r="T1468" s="1969">
        <f t="shared" si="957"/>
        <v>0</v>
      </c>
      <c r="U1468" s="2060"/>
      <c r="Z1468" s="1956"/>
      <c r="AA1468" s="1956"/>
      <c r="AC1468" s="2141"/>
      <c r="AD1468" s="2141"/>
      <c r="AG1468" s="1836"/>
      <c r="AH1468" s="1836"/>
      <c r="AI1468" s="1837"/>
      <c r="AJ1468" s="1960"/>
    </row>
    <row r="1469" spans="1:36" ht="21.95" customHeight="1" x14ac:dyDescent="0.2">
      <c r="B1469" s="2045"/>
      <c r="C1469" s="2046"/>
      <c r="D1469" s="2047" t="str">
        <f>SNI!E1304</f>
        <v>Mandor</v>
      </c>
      <c r="E1469" s="2047"/>
      <c r="F1469" s="2048"/>
      <c r="G1469" s="2049">
        <f>SNI!H1304</f>
        <v>3.0000000000000001E-3</v>
      </c>
      <c r="H1469" s="2050" t="str">
        <f>SNI!G1304</f>
        <v>OH</v>
      </c>
      <c r="I1469" s="2051" t="str">
        <f>SNI!M1304</f>
        <v>WNI</v>
      </c>
      <c r="J1469" s="2051"/>
      <c r="K1469" s="2052">
        <f>SNI!L1304</f>
        <v>1</v>
      </c>
      <c r="L1469" s="2053"/>
      <c r="M1469" s="2054"/>
      <c r="N1469" s="2055">
        <f>SNI!I1304</f>
        <v>90000</v>
      </c>
      <c r="O1469" s="2056"/>
      <c r="P1469" s="1969">
        <f t="shared" si="955"/>
        <v>270</v>
      </c>
      <c r="Q1469" s="1953"/>
      <c r="R1469" s="1954"/>
      <c r="S1469" s="1954">
        <f t="shared" si="956"/>
        <v>270</v>
      </c>
      <c r="T1469" s="1969">
        <f t="shared" si="957"/>
        <v>0</v>
      </c>
      <c r="U1469" s="2060"/>
      <c r="Z1469" s="1956"/>
      <c r="AA1469" s="1956"/>
      <c r="AC1469" s="2141"/>
      <c r="AD1469" s="2141"/>
      <c r="AG1469" s="1836"/>
      <c r="AH1469" s="1836"/>
      <c r="AI1469" s="1837"/>
      <c r="AJ1469" s="1960"/>
    </row>
    <row r="1470" spans="1:36" s="1957" customFormat="1" ht="21.95" customHeight="1" x14ac:dyDescent="0.2">
      <c r="A1470" s="1942"/>
      <c r="B1470" s="1970"/>
      <c r="C1470" s="1971"/>
      <c r="D1470" s="1972"/>
      <c r="E1470" s="1973"/>
      <c r="F1470" s="1974" t="s">
        <v>556</v>
      </c>
      <c r="G1470" s="1975">
        <f>B1460</f>
        <v>1</v>
      </c>
      <c r="H1470" s="1976"/>
      <c r="I1470" s="1977"/>
      <c r="J1470" s="1977"/>
      <c r="K1470" s="1978"/>
      <c r="L1470" s="1979"/>
      <c r="M1470" s="1980"/>
      <c r="N1470" s="1981"/>
      <c r="O1470" s="1982"/>
      <c r="P1470" s="1983">
        <f>SUM(P1462:P1469)</f>
        <v>20390.8</v>
      </c>
      <c r="Q1470" s="1984"/>
      <c r="R1470" s="1985"/>
      <c r="S1470" s="1983">
        <f t="shared" ref="S1470:T1470" si="958">SUM(S1462:S1469)</f>
        <v>10707.824000000001</v>
      </c>
      <c r="T1470" s="1983">
        <f t="shared" si="958"/>
        <v>9682.9759999999987</v>
      </c>
      <c r="U1470" s="1986"/>
      <c r="V1470" s="1848"/>
      <c r="W1470" s="1848"/>
      <c r="X1470" s="1848"/>
      <c r="Y1470" s="1848"/>
      <c r="Z1470" s="1956"/>
      <c r="AA1470" s="1956"/>
      <c r="AF1470" s="1958"/>
      <c r="AG1470" s="1958"/>
      <c r="AH1470" s="1958"/>
      <c r="AI1470" s="1959"/>
      <c r="AJ1470" s="1960"/>
    </row>
    <row r="1471" spans="1:36" ht="21.95" customHeight="1" x14ac:dyDescent="0.2">
      <c r="A1471" s="1833">
        <f>satpek!$B$85</f>
        <v>66</v>
      </c>
      <c r="B1471" s="1943">
        <f>B1460+1</f>
        <v>2</v>
      </c>
      <c r="C1471" s="1937"/>
      <c r="D1471" s="1944" t="str">
        <f>VLOOKUP($A1471,satpek!$B$20:$N$144,2,0)</f>
        <v>Pengecatan dinding luar (cat exterior)</v>
      </c>
      <c r="E1471" s="1944"/>
      <c r="F1471" s="2004"/>
      <c r="G1471" s="1945">
        <f>'[3]B.VOL RAB'!Q519</f>
        <v>353.28000000000003</v>
      </c>
      <c r="H1471" s="1946" t="str">
        <f>VLOOKUP($A1471,satpek!$B$20:$N$144,7,0)</f>
        <v>m2</v>
      </c>
      <c r="I1471" s="1947"/>
      <c r="J1471" s="1947"/>
      <c r="K1471" s="1948"/>
      <c r="L1471" s="1949"/>
      <c r="M1471" s="1950" t="str">
        <f>VLOOKUP($A1471,satpek!$B$20:$N$144,5,0)</f>
        <v>A.4.7.1.10a.</v>
      </c>
      <c r="N1471" s="1951">
        <f>VLOOKUP($A1471,satpek!$B$20:$N$144,6,0)</f>
        <v>56348.350000000006</v>
      </c>
      <c r="O1471" s="1938"/>
      <c r="P1471" s="1952">
        <f t="shared" si="951"/>
        <v>19906745.09</v>
      </c>
      <c r="Q1471" s="1953">
        <f>VLOOKUP($A1471,satpek!$B$20:$L$138,8,0)</f>
        <v>0.35460536078835592</v>
      </c>
      <c r="R1471" s="1954">
        <f>VLOOKUP($A1471,satpek!$B$20:$L$138,9,0)</f>
        <v>17682.68</v>
      </c>
      <c r="S1471" s="1954">
        <f>VLOOKUP($A1471,satpek!$B$20:$L$138,10,0)</f>
        <v>19981.428400000001</v>
      </c>
      <c r="T1471" s="1952">
        <f>S1471*G1471</f>
        <v>7059039.0251520006</v>
      </c>
      <c r="U1471" s="1955"/>
      <c r="X1471" s="1848">
        <f>P1481</f>
        <v>49865.8</v>
      </c>
      <c r="Y1471" s="1848">
        <f>S1481</f>
        <v>17682.68</v>
      </c>
      <c r="Z1471" s="1956">
        <v>353.28000000000003</v>
      </c>
      <c r="AA1471" s="1956">
        <f t="shared" si="835"/>
        <v>0</v>
      </c>
      <c r="AB1471" s="1836" t="s">
        <v>1834</v>
      </c>
      <c r="AC1471" s="2141"/>
      <c r="AD1471" s="2141"/>
      <c r="AG1471" s="1836"/>
      <c r="AH1471" s="1836"/>
      <c r="AI1471" s="1837">
        <v>70707.83</v>
      </c>
      <c r="AJ1471" s="1960">
        <f t="shared" si="836"/>
        <v>14359.479999999996</v>
      </c>
    </row>
    <row r="1472" spans="1:36" ht="21.95" customHeight="1" x14ac:dyDescent="0.2">
      <c r="B1472" s="2045"/>
      <c r="C1472" s="2046" t="str">
        <f>SNI!D1317</f>
        <v>Bahan</v>
      </c>
      <c r="D1472" s="2047"/>
      <c r="E1472" s="2047"/>
      <c r="F1472" s="2048"/>
      <c r="G1472" s="2049"/>
      <c r="H1472" s="2050"/>
      <c r="I1472" s="2051"/>
      <c r="J1472" s="2051"/>
      <c r="K1472" s="2052"/>
      <c r="L1472" s="2053"/>
      <c r="M1472" s="2054"/>
      <c r="N1472" s="2055"/>
      <c r="O1472" s="2056"/>
      <c r="P1472" s="2057"/>
      <c r="Q1472" s="2058"/>
      <c r="R1472" s="2059"/>
      <c r="S1472" s="2059"/>
      <c r="T1472" s="2057"/>
      <c r="U1472" s="2060"/>
      <c r="Z1472" s="1956"/>
      <c r="AA1472" s="1956"/>
      <c r="AC1472" s="2141"/>
      <c r="AD1472" s="2141"/>
      <c r="AG1472" s="1836"/>
      <c r="AH1472" s="1836"/>
      <c r="AI1472" s="1837"/>
      <c r="AJ1472" s="1960"/>
    </row>
    <row r="1473" spans="1:36" ht="21.95" customHeight="1" x14ac:dyDescent="0.2">
      <c r="B1473" s="2045"/>
      <c r="C1473" s="2046"/>
      <c r="D1473" s="2047" t="str">
        <f>SNI!E1317</f>
        <v>Plamir</v>
      </c>
      <c r="E1473" s="2047"/>
      <c r="F1473" s="2048"/>
      <c r="G1473" s="2049">
        <f>SNI!H1317</f>
        <v>0.1</v>
      </c>
      <c r="H1473" s="2050" t="str">
        <f>SNI!G1317</f>
        <v>kg</v>
      </c>
      <c r="I1473" s="2051"/>
      <c r="J1473" s="2051"/>
      <c r="K1473" s="2052">
        <f>SNI!L1317</f>
        <v>0</v>
      </c>
      <c r="L1473" s="2053"/>
      <c r="M1473" s="2054"/>
      <c r="N1473" s="2055">
        <f>SNI!I1317</f>
        <v>20000</v>
      </c>
      <c r="O1473" s="2056"/>
      <c r="P1473" s="1969">
        <f t="shared" ref="P1473" si="959">N1473*G1473</f>
        <v>2000</v>
      </c>
      <c r="Q1473" s="1953"/>
      <c r="R1473" s="1954"/>
      <c r="S1473" s="1954">
        <f t="shared" ref="S1473" si="960">P1473*K1473</f>
        <v>0</v>
      </c>
      <c r="T1473" s="1969">
        <f t="shared" ref="T1473" si="961">P1473-S1473</f>
        <v>2000</v>
      </c>
      <c r="U1473" s="2060"/>
      <c r="Z1473" s="1956"/>
      <c r="AA1473" s="1956"/>
      <c r="AC1473" s="2141"/>
      <c r="AD1473" s="2141"/>
      <c r="AG1473" s="1836"/>
      <c r="AH1473" s="1836"/>
      <c r="AI1473" s="1837"/>
      <c r="AJ1473" s="1960"/>
    </row>
    <row r="1474" spans="1:36" ht="21.95" customHeight="1" x14ac:dyDescent="0.2">
      <c r="B1474" s="2045"/>
      <c r="C1474" s="2046"/>
      <c r="D1474" s="2047" t="str">
        <f>SNI!E1318</f>
        <v>Cat dasar</v>
      </c>
      <c r="E1474" s="2047"/>
      <c r="F1474" s="2048"/>
      <c r="G1474" s="2049">
        <f>SNI!H1318</f>
        <v>0.1</v>
      </c>
      <c r="H1474" s="2050" t="str">
        <f>SNI!G1318</f>
        <v>kg</v>
      </c>
      <c r="I1474" s="2051"/>
      <c r="J1474" s="2051"/>
      <c r="K1474" s="2052">
        <f>SNI!L1318</f>
        <v>0.23780000000000001</v>
      </c>
      <c r="L1474" s="2053"/>
      <c r="M1474" s="2054"/>
      <c r="N1474" s="2055">
        <f>SNI!I1318</f>
        <v>110000</v>
      </c>
      <c r="O1474" s="2056"/>
      <c r="P1474" s="1969">
        <f t="shared" ref="P1474:P1480" si="962">N1474*G1474</f>
        <v>11000</v>
      </c>
      <c r="Q1474" s="1953"/>
      <c r="R1474" s="1954"/>
      <c r="S1474" s="1954">
        <f t="shared" ref="S1474:S1480" si="963">P1474*K1474</f>
        <v>2615.8000000000002</v>
      </c>
      <c r="T1474" s="1969">
        <f t="shared" ref="T1474:T1480" si="964">P1474-S1474</f>
        <v>8384.2000000000007</v>
      </c>
      <c r="U1474" s="2060"/>
      <c r="Z1474" s="1956"/>
      <c r="AA1474" s="1956"/>
      <c r="AC1474" s="2141"/>
      <c r="AD1474" s="2141"/>
      <c r="AG1474" s="1836"/>
      <c r="AH1474" s="1836"/>
      <c r="AI1474" s="1837"/>
      <c r="AJ1474" s="1960"/>
    </row>
    <row r="1475" spans="1:36" ht="21.95" customHeight="1" x14ac:dyDescent="0.2">
      <c r="B1475" s="2045"/>
      <c r="C1475" s="2046"/>
      <c r="D1475" s="2047" t="str">
        <f>SNI!E1319</f>
        <v>Cat penutup 2x</v>
      </c>
      <c r="E1475" s="2047"/>
      <c r="F1475" s="2048"/>
      <c r="G1475" s="2049">
        <f>SNI!H1319</f>
        <v>0.26</v>
      </c>
      <c r="H1475" s="2050" t="str">
        <f>SNI!G1319</f>
        <v>kg</v>
      </c>
      <c r="I1475" s="2051"/>
      <c r="J1475" s="2051"/>
      <c r="K1475" s="2052">
        <f>SNI!L1319</f>
        <v>0.23780000000000001</v>
      </c>
      <c r="L1475" s="2053"/>
      <c r="M1475" s="2054"/>
      <c r="N1475" s="2055">
        <f>SNI!I1319</f>
        <v>110000</v>
      </c>
      <c r="O1475" s="2056"/>
      <c r="P1475" s="1969">
        <f t="shared" si="962"/>
        <v>28600</v>
      </c>
      <c r="Q1475" s="1953"/>
      <c r="R1475" s="1954"/>
      <c r="S1475" s="1954">
        <f t="shared" si="963"/>
        <v>6801.08</v>
      </c>
      <c r="T1475" s="1969">
        <f t="shared" si="964"/>
        <v>21798.92</v>
      </c>
      <c r="U1475" s="2060"/>
      <c r="Z1475" s="1956"/>
      <c r="AA1475" s="1956"/>
      <c r="AC1475" s="2141"/>
      <c r="AD1475" s="2141"/>
      <c r="AG1475" s="1836"/>
      <c r="AH1475" s="1836"/>
      <c r="AI1475" s="1837"/>
      <c r="AJ1475" s="1960"/>
    </row>
    <row r="1476" spans="1:36" ht="21.95" customHeight="1" x14ac:dyDescent="0.2">
      <c r="B1476" s="2045"/>
      <c r="C1476" s="2046" t="str">
        <f>SNI!D1321</f>
        <v>Tenaga Kerja</v>
      </c>
      <c r="D1476" s="2047"/>
      <c r="E1476" s="2047"/>
      <c r="F1476" s="2048"/>
      <c r="G1476" s="2049"/>
      <c r="H1476" s="2050"/>
      <c r="I1476" s="2051"/>
      <c r="J1476" s="2051"/>
      <c r="K1476" s="2052"/>
      <c r="L1476" s="2053"/>
      <c r="M1476" s="2054"/>
      <c r="N1476" s="2055"/>
      <c r="O1476" s="2056"/>
      <c r="P1476" s="1969"/>
      <c r="Q1476" s="1953"/>
      <c r="R1476" s="1954"/>
      <c r="S1476" s="1954"/>
      <c r="T1476" s="1969"/>
      <c r="U1476" s="2060"/>
      <c r="Z1476" s="1956"/>
      <c r="AA1476" s="1956"/>
      <c r="AC1476" s="2141"/>
      <c r="AD1476" s="2141"/>
      <c r="AG1476" s="1836"/>
      <c r="AH1476" s="1836"/>
      <c r="AI1476" s="1837"/>
      <c r="AJ1476" s="1960"/>
    </row>
    <row r="1477" spans="1:36" ht="21.95" customHeight="1" x14ac:dyDescent="0.2">
      <c r="B1477" s="2045"/>
      <c r="C1477" s="2046"/>
      <c r="D1477" s="2047" t="str">
        <f>SNI!E1321</f>
        <v>Pekerja</v>
      </c>
      <c r="E1477" s="2047"/>
      <c r="F1477" s="2048"/>
      <c r="G1477" s="2049">
        <f>SNI!H1321</f>
        <v>0.02</v>
      </c>
      <c r="H1477" s="2050" t="str">
        <f>SNI!G1321</f>
        <v>OH</v>
      </c>
      <c r="I1477" s="2051" t="str">
        <f>SNI!M1321</f>
        <v>WNI</v>
      </c>
      <c r="J1477" s="2051"/>
      <c r="K1477" s="2052">
        <f>SNI!L1321</f>
        <v>1</v>
      </c>
      <c r="L1477" s="2053"/>
      <c r="M1477" s="2054"/>
      <c r="N1477" s="2055">
        <f>SNI!I1321</f>
        <v>88300</v>
      </c>
      <c r="O1477" s="2056"/>
      <c r="P1477" s="1969">
        <f t="shared" si="962"/>
        <v>1766</v>
      </c>
      <c r="Q1477" s="1953"/>
      <c r="R1477" s="1954"/>
      <c r="S1477" s="1954">
        <f t="shared" si="963"/>
        <v>1766</v>
      </c>
      <c r="T1477" s="1969">
        <f t="shared" si="964"/>
        <v>0</v>
      </c>
      <c r="U1477" s="2060"/>
      <c r="Z1477" s="1956"/>
      <c r="AA1477" s="1956"/>
      <c r="AC1477" s="2141"/>
      <c r="AD1477" s="2141"/>
      <c r="AG1477" s="1836"/>
      <c r="AH1477" s="1836"/>
      <c r="AI1477" s="1837"/>
      <c r="AJ1477" s="1960"/>
    </row>
    <row r="1478" spans="1:36" ht="21.95" customHeight="1" x14ac:dyDescent="0.2">
      <c r="B1478" s="2045"/>
      <c r="C1478" s="2046"/>
      <c r="D1478" s="2047" t="str">
        <f>SNI!E1322</f>
        <v>Tukang cat</v>
      </c>
      <c r="E1478" s="2047"/>
      <c r="F1478" s="2048"/>
      <c r="G1478" s="2049">
        <f>SNI!H1322</f>
        <v>6.3E-2</v>
      </c>
      <c r="H1478" s="2050" t="str">
        <f>SNI!G1322</f>
        <v>OH</v>
      </c>
      <c r="I1478" s="2051" t="str">
        <f>SNI!M1322</f>
        <v>WNI</v>
      </c>
      <c r="J1478" s="2051"/>
      <c r="K1478" s="2052">
        <f>SNI!L1322</f>
        <v>1</v>
      </c>
      <c r="L1478" s="2053"/>
      <c r="M1478" s="2054"/>
      <c r="N1478" s="2055">
        <f>SNI!I1322</f>
        <v>90000</v>
      </c>
      <c r="O1478" s="2056"/>
      <c r="P1478" s="1969">
        <f t="shared" si="962"/>
        <v>5670</v>
      </c>
      <c r="Q1478" s="1953"/>
      <c r="R1478" s="1954"/>
      <c r="S1478" s="1954">
        <f t="shared" si="963"/>
        <v>5670</v>
      </c>
      <c r="T1478" s="1969">
        <f t="shared" si="964"/>
        <v>0</v>
      </c>
      <c r="U1478" s="2060"/>
      <c r="Z1478" s="1956"/>
      <c r="AA1478" s="1956"/>
      <c r="AC1478" s="2141"/>
      <c r="AD1478" s="2141"/>
      <c r="AG1478" s="1836"/>
      <c r="AH1478" s="1836"/>
      <c r="AI1478" s="1837"/>
      <c r="AJ1478" s="1960"/>
    </row>
    <row r="1479" spans="1:36" ht="21.95" customHeight="1" x14ac:dyDescent="0.2">
      <c r="B1479" s="2045"/>
      <c r="C1479" s="2046"/>
      <c r="D1479" s="2047" t="str">
        <f>SNI!E1323</f>
        <v>Kepala Tukang</v>
      </c>
      <c r="E1479" s="2047"/>
      <c r="F1479" s="2048"/>
      <c r="G1479" s="2049">
        <f>SNI!H1323</f>
        <v>6.3E-3</v>
      </c>
      <c r="H1479" s="2050" t="str">
        <f>SNI!G1323</f>
        <v>OH</v>
      </c>
      <c r="I1479" s="2051" t="str">
        <f>SNI!M1323</f>
        <v>WNI</v>
      </c>
      <c r="J1479" s="2051"/>
      <c r="K1479" s="2052">
        <f>SNI!L1323</f>
        <v>1</v>
      </c>
      <c r="L1479" s="2053"/>
      <c r="M1479" s="2054"/>
      <c r="N1479" s="2055">
        <f>SNI!I1323</f>
        <v>96000</v>
      </c>
      <c r="O1479" s="2056"/>
      <c r="P1479" s="1969">
        <f t="shared" si="962"/>
        <v>604.79999999999995</v>
      </c>
      <c r="Q1479" s="1953"/>
      <c r="R1479" s="1954"/>
      <c r="S1479" s="1954">
        <f t="shared" si="963"/>
        <v>604.79999999999995</v>
      </c>
      <c r="T1479" s="1969">
        <f t="shared" si="964"/>
        <v>0</v>
      </c>
      <c r="U1479" s="2060"/>
      <c r="Z1479" s="1956"/>
      <c r="AA1479" s="1956"/>
      <c r="AC1479" s="2141"/>
      <c r="AD1479" s="2141"/>
      <c r="AG1479" s="1836"/>
      <c r="AH1479" s="1836"/>
      <c r="AI1479" s="1837"/>
      <c r="AJ1479" s="1960"/>
    </row>
    <row r="1480" spans="1:36" ht="21.95" customHeight="1" x14ac:dyDescent="0.2">
      <c r="B1480" s="2045"/>
      <c r="C1480" s="2046"/>
      <c r="D1480" s="2047" t="str">
        <f>SNI!E1324</f>
        <v>Mandor</v>
      </c>
      <c r="E1480" s="2047"/>
      <c r="F1480" s="2048"/>
      <c r="G1480" s="2049">
        <f>SNI!H1324</f>
        <v>2.5000000000000001E-3</v>
      </c>
      <c r="H1480" s="2050" t="str">
        <f>SNI!G1324</f>
        <v>OH</v>
      </c>
      <c r="I1480" s="2051" t="str">
        <f>SNI!M1324</f>
        <v>WNI</v>
      </c>
      <c r="J1480" s="2051"/>
      <c r="K1480" s="2052">
        <f>SNI!L1324</f>
        <v>1</v>
      </c>
      <c r="L1480" s="2053"/>
      <c r="M1480" s="2054"/>
      <c r="N1480" s="2055">
        <f>SNI!I1324</f>
        <v>90000</v>
      </c>
      <c r="O1480" s="2056"/>
      <c r="P1480" s="1969">
        <f t="shared" si="962"/>
        <v>225</v>
      </c>
      <c r="Q1480" s="1953"/>
      <c r="R1480" s="1954"/>
      <c r="S1480" s="1954">
        <f t="shared" si="963"/>
        <v>225</v>
      </c>
      <c r="T1480" s="1969">
        <f t="shared" si="964"/>
        <v>0</v>
      </c>
      <c r="U1480" s="2060"/>
      <c r="Z1480" s="1956"/>
      <c r="AA1480" s="1956"/>
      <c r="AC1480" s="2141"/>
      <c r="AD1480" s="2141"/>
      <c r="AG1480" s="1836"/>
      <c r="AH1480" s="1836"/>
      <c r="AI1480" s="1837"/>
      <c r="AJ1480" s="1960"/>
    </row>
    <row r="1481" spans="1:36" s="1957" customFormat="1" ht="21.95" customHeight="1" x14ac:dyDescent="0.2">
      <c r="A1481" s="1942"/>
      <c r="B1481" s="1970"/>
      <c r="C1481" s="1971"/>
      <c r="D1481" s="1972"/>
      <c r="E1481" s="1973"/>
      <c r="F1481" s="1974" t="s">
        <v>556</v>
      </c>
      <c r="G1481" s="1975">
        <f>B1471</f>
        <v>2</v>
      </c>
      <c r="H1481" s="1976"/>
      <c r="I1481" s="1977"/>
      <c r="J1481" s="1977"/>
      <c r="K1481" s="1978"/>
      <c r="L1481" s="1979"/>
      <c r="M1481" s="1980"/>
      <c r="N1481" s="1981"/>
      <c r="O1481" s="1982"/>
      <c r="P1481" s="1983">
        <f>SUM(P1473:P1480)</f>
        <v>49865.8</v>
      </c>
      <c r="Q1481" s="1984"/>
      <c r="R1481" s="1985"/>
      <c r="S1481" s="1983">
        <f t="shared" ref="S1481" si="965">SUM(S1473:S1480)</f>
        <v>17682.68</v>
      </c>
      <c r="T1481" s="1983">
        <f t="shared" ref="T1481" si="966">SUM(T1473:T1480)</f>
        <v>32183.119999999999</v>
      </c>
      <c r="U1481" s="1986"/>
      <c r="V1481" s="1848"/>
      <c r="W1481" s="1848"/>
      <c r="X1481" s="1848"/>
      <c r="Y1481" s="1848"/>
      <c r="Z1481" s="1956"/>
      <c r="AA1481" s="1956"/>
      <c r="AF1481" s="1958"/>
      <c r="AG1481" s="1958"/>
      <c r="AH1481" s="1958"/>
      <c r="AI1481" s="1959"/>
      <c r="AJ1481" s="1960"/>
    </row>
    <row r="1482" spans="1:36" ht="21.95" customHeight="1" x14ac:dyDescent="0.2">
      <c r="A1482" s="1833">
        <f>satpek!$B$84</f>
        <v>65</v>
      </c>
      <c r="B1482" s="1943">
        <f>B1471+1</f>
        <v>3</v>
      </c>
      <c r="C1482" s="1937"/>
      <c r="D1482" s="1944" t="s">
        <v>1835</v>
      </c>
      <c r="E1482" s="1944"/>
      <c r="F1482" s="2004"/>
      <c r="G1482" s="1945">
        <f>'[3]B.VOL RAB'!Q525</f>
        <v>753.75</v>
      </c>
      <c r="H1482" s="1946" t="str">
        <f>VLOOKUP($A1482,satpek!$B$20:$N$144,7,0)</f>
        <v>m2</v>
      </c>
      <c r="I1482" s="1947"/>
      <c r="J1482" s="1947"/>
      <c r="K1482" s="1948"/>
      <c r="L1482" s="1949"/>
      <c r="M1482" s="1950" t="str">
        <f>VLOOKUP($A1482,satpek!$B$20:$N$144,5,0)</f>
        <v>A.4.7.1.10.</v>
      </c>
      <c r="N1482" s="1951">
        <f>VLOOKUP($A1482,satpek!$B$20:$N$144,6,0)</f>
        <v>23041.599999999999</v>
      </c>
      <c r="O1482" s="1938"/>
      <c r="P1482" s="1952">
        <f t="shared" si="951"/>
        <v>17367606</v>
      </c>
      <c r="Q1482" s="1953">
        <f>VLOOKUP($A1482,satpek!$B$20:$L$138,8,0)</f>
        <v>0.52513015673735219</v>
      </c>
      <c r="R1482" s="1954">
        <f>VLOOKUP($A1482,satpek!$B$20:$L$138,9,0)</f>
        <v>10707.824000000001</v>
      </c>
      <c r="S1482" s="1954">
        <f>VLOOKUP($A1482,satpek!$B$20:$L$138,10,0)</f>
        <v>12099.841120000001</v>
      </c>
      <c r="T1482" s="1952">
        <f>S1482*G1482</f>
        <v>9120255.2442000005</v>
      </c>
      <c r="U1482" s="1955"/>
      <c r="X1482" s="1848">
        <f>P1492</f>
        <v>20390.8</v>
      </c>
      <c r="Y1482" s="1848">
        <f>S1492</f>
        <v>10707.824000000001</v>
      </c>
      <c r="Z1482" s="1956">
        <v>753.75</v>
      </c>
      <c r="AA1482" s="1956">
        <f t="shared" si="835"/>
        <v>0</v>
      </c>
      <c r="AB1482" s="1836" t="s">
        <v>1835</v>
      </c>
      <c r="AC1482" s="2141"/>
      <c r="AD1482" s="2141"/>
      <c r="AG1482" s="1836"/>
      <c r="AH1482" s="1836"/>
      <c r="AI1482" s="1837">
        <v>20901.379999999997</v>
      </c>
      <c r="AJ1482" s="1960">
        <f t="shared" si="836"/>
        <v>-2140.2200000000012</v>
      </c>
    </row>
    <row r="1483" spans="1:36" ht="21.95" customHeight="1" x14ac:dyDescent="0.2">
      <c r="B1483" s="2045"/>
      <c r="C1483" s="1988" t="str">
        <f>SNI!D1297</f>
        <v>Bahan</v>
      </c>
      <c r="D1483" s="1989"/>
      <c r="E1483" s="1989"/>
      <c r="F1483" s="1990"/>
      <c r="G1483" s="2049"/>
      <c r="H1483" s="1992"/>
      <c r="I1483" s="1993"/>
      <c r="J1483" s="1993"/>
      <c r="K1483" s="1994"/>
      <c r="L1483" s="1995"/>
      <c r="M1483" s="1996"/>
      <c r="N1483" s="1997"/>
      <c r="O1483" s="1998"/>
      <c r="P1483" s="1999"/>
      <c r="Q1483" s="2000"/>
      <c r="R1483" s="2001"/>
      <c r="S1483" s="2001"/>
      <c r="T1483" s="1997"/>
      <c r="U1483" s="2002"/>
      <c r="Z1483" s="1956"/>
      <c r="AA1483" s="1956"/>
      <c r="AC1483" s="2141"/>
      <c r="AD1483" s="2141"/>
      <c r="AG1483" s="1836"/>
      <c r="AH1483" s="1836"/>
      <c r="AI1483" s="1837"/>
      <c r="AJ1483" s="1960"/>
    </row>
    <row r="1484" spans="1:36" ht="21.95" customHeight="1" x14ac:dyDescent="0.2">
      <c r="B1484" s="2045"/>
      <c r="C1484" s="1988"/>
      <c r="D1484" s="1989" t="str">
        <f>SNI!E1297</f>
        <v>Plamir</v>
      </c>
      <c r="E1484" s="1989"/>
      <c r="F1484" s="1990"/>
      <c r="G1484" s="2049">
        <f>SNI!H1297</f>
        <v>0.1</v>
      </c>
      <c r="H1484" s="1992" t="str">
        <f>SNI!G1297</f>
        <v>kg</v>
      </c>
      <c r="I1484" s="1993"/>
      <c r="J1484" s="1993"/>
      <c r="K1484" s="1994">
        <f>SNI!L1297</f>
        <v>0</v>
      </c>
      <c r="L1484" s="1995"/>
      <c r="M1484" s="1996"/>
      <c r="N1484" s="1997">
        <f>SNI!I1297</f>
        <v>20000</v>
      </c>
      <c r="O1484" s="1998"/>
      <c r="P1484" s="1969">
        <f t="shared" ref="P1484" si="967">N1484*G1484</f>
        <v>2000</v>
      </c>
      <c r="Q1484" s="1953"/>
      <c r="R1484" s="1954"/>
      <c r="S1484" s="1954">
        <f t="shared" ref="S1484" si="968">P1484*K1484</f>
        <v>0</v>
      </c>
      <c r="T1484" s="1969">
        <f t="shared" ref="T1484" si="969">P1484-S1484</f>
        <v>2000</v>
      </c>
      <c r="U1484" s="2002"/>
      <c r="Z1484" s="1956"/>
      <c r="AA1484" s="1956"/>
      <c r="AC1484" s="2141"/>
      <c r="AD1484" s="2141"/>
      <c r="AG1484" s="1836"/>
      <c r="AH1484" s="1836"/>
      <c r="AI1484" s="1837"/>
      <c r="AJ1484" s="1960"/>
    </row>
    <row r="1485" spans="1:36" ht="21.95" customHeight="1" x14ac:dyDescent="0.2">
      <c r="B1485" s="2045"/>
      <c r="C1485" s="1988"/>
      <c r="D1485" s="1989" t="str">
        <f>SNI!E1298</f>
        <v>Cat dasar</v>
      </c>
      <c r="E1485" s="1989"/>
      <c r="F1485" s="1990"/>
      <c r="G1485" s="2049">
        <f>SNI!H1298</f>
        <v>0.1</v>
      </c>
      <c r="H1485" s="1992" t="str">
        <f>SNI!G1298</f>
        <v>kg</v>
      </c>
      <c r="I1485" s="1993"/>
      <c r="J1485" s="1993"/>
      <c r="K1485" s="1994">
        <f>SNI!L1298</f>
        <v>0.23780000000000001</v>
      </c>
      <c r="L1485" s="1995"/>
      <c r="M1485" s="1996"/>
      <c r="N1485" s="1997">
        <f>SNI!I1298</f>
        <v>28000</v>
      </c>
      <c r="O1485" s="1998"/>
      <c r="P1485" s="1969">
        <f t="shared" ref="P1485:P1491" si="970">N1485*G1485</f>
        <v>2800</v>
      </c>
      <c r="Q1485" s="1953"/>
      <c r="R1485" s="1954"/>
      <c r="S1485" s="1954">
        <f t="shared" ref="S1485:S1491" si="971">P1485*K1485</f>
        <v>665.84</v>
      </c>
      <c r="T1485" s="1969">
        <f t="shared" ref="T1485:T1491" si="972">P1485-S1485</f>
        <v>2134.16</v>
      </c>
      <c r="U1485" s="2002"/>
      <c r="Z1485" s="1956"/>
      <c r="AA1485" s="1956"/>
      <c r="AC1485" s="2141"/>
      <c r="AD1485" s="2141"/>
      <c r="AG1485" s="1836"/>
      <c r="AH1485" s="1836"/>
      <c r="AI1485" s="1837"/>
      <c r="AJ1485" s="1960"/>
    </row>
    <row r="1486" spans="1:36" ht="21.95" customHeight="1" x14ac:dyDescent="0.2">
      <c r="B1486" s="2045"/>
      <c r="C1486" s="1988"/>
      <c r="D1486" s="1989" t="str">
        <f>SNI!E1299</f>
        <v>Cat penutup 2 X</v>
      </c>
      <c r="E1486" s="1989"/>
      <c r="F1486" s="1990"/>
      <c r="G1486" s="2049">
        <f>SNI!H1299</f>
        <v>0.26</v>
      </c>
      <c r="H1486" s="1992" t="str">
        <f>SNI!G1299</f>
        <v>kg</v>
      </c>
      <c r="I1486" s="1993"/>
      <c r="J1486" s="1993"/>
      <c r="K1486" s="1994">
        <f>SNI!L1299</f>
        <v>0.23780000000000001</v>
      </c>
      <c r="L1486" s="1995"/>
      <c r="M1486" s="1996"/>
      <c r="N1486" s="1997">
        <f>SNI!I1299</f>
        <v>28000</v>
      </c>
      <c r="O1486" s="1998"/>
      <c r="P1486" s="1969">
        <f t="shared" si="970"/>
        <v>7280</v>
      </c>
      <c r="Q1486" s="1953"/>
      <c r="R1486" s="1954"/>
      <c r="S1486" s="1954">
        <f t="shared" si="971"/>
        <v>1731.1840000000002</v>
      </c>
      <c r="T1486" s="1969">
        <f t="shared" si="972"/>
        <v>5548.8159999999998</v>
      </c>
      <c r="U1486" s="2002"/>
      <c r="Z1486" s="1956"/>
      <c r="AA1486" s="1956"/>
      <c r="AC1486" s="2141"/>
      <c r="AD1486" s="2141"/>
      <c r="AG1486" s="1836"/>
      <c r="AH1486" s="1836"/>
      <c r="AI1486" s="1837"/>
      <c r="AJ1486" s="1960"/>
    </row>
    <row r="1487" spans="1:36" ht="21.95" customHeight="1" x14ac:dyDescent="0.2">
      <c r="B1487" s="2045"/>
      <c r="C1487" s="1988" t="str">
        <f>SNI!D1301</f>
        <v>Tenaga Kerja</v>
      </c>
      <c r="D1487" s="1989"/>
      <c r="E1487" s="1989"/>
      <c r="F1487" s="1990"/>
      <c r="G1487" s="2049"/>
      <c r="H1487" s="1992"/>
      <c r="I1487" s="1993"/>
      <c r="J1487" s="1993"/>
      <c r="K1487" s="1994"/>
      <c r="L1487" s="1995"/>
      <c r="M1487" s="1996"/>
      <c r="N1487" s="1997"/>
      <c r="O1487" s="1998"/>
      <c r="P1487" s="1969"/>
      <c r="Q1487" s="1953"/>
      <c r="R1487" s="1954"/>
      <c r="S1487" s="1954"/>
      <c r="T1487" s="1969"/>
      <c r="U1487" s="2002"/>
      <c r="Z1487" s="1956"/>
      <c r="AA1487" s="1956"/>
      <c r="AC1487" s="2141"/>
      <c r="AD1487" s="2141"/>
      <c r="AG1487" s="1836"/>
      <c r="AH1487" s="1836"/>
      <c r="AI1487" s="1837"/>
      <c r="AJ1487" s="1960"/>
    </row>
    <row r="1488" spans="1:36" ht="21.95" customHeight="1" x14ac:dyDescent="0.2">
      <c r="B1488" s="2045"/>
      <c r="C1488" s="1988"/>
      <c r="D1488" s="1989" t="str">
        <f>SNI!E1301</f>
        <v>Pekerja</v>
      </c>
      <c r="E1488" s="1989"/>
      <c r="F1488" s="1990"/>
      <c r="G1488" s="2049">
        <f>SNI!H1301</f>
        <v>0.02</v>
      </c>
      <c r="H1488" s="1992" t="str">
        <f>SNI!G1301</f>
        <v>OH</v>
      </c>
      <c r="I1488" s="1993" t="str">
        <f>SNI!M1301</f>
        <v>WNI</v>
      </c>
      <c r="J1488" s="1993"/>
      <c r="K1488" s="1994">
        <f>SNI!L1301</f>
        <v>1</v>
      </c>
      <c r="L1488" s="1995"/>
      <c r="M1488" s="1996"/>
      <c r="N1488" s="1997">
        <f>SNI!I1301</f>
        <v>88300</v>
      </c>
      <c r="O1488" s="1998"/>
      <c r="P1488" s="1969">
        <f t="shared" si="970"/>
        <v>1766</v>
      </c>
      <c r="Q1488" s="1953"/>
      <c r="R1488" s="1954"/>
      <c r="S1488" s="1954">
        <f t="shared" si="971"/>
        <v>1766</v>
      </c>
      <c r="T1488" s="1969">
        <f t="shared" si="972"/>
        <v>0</v>
      </c>
      <c r="U1488" s="2002"/>
      <c r="Z1488" s="1956"/>
      <c r="AA1488" s="1956"/>
      <c r="AC1488" s="2141"/>
      <c r="AD1488" s="2141"/>
      <c r="AG1488" s="1836"/>
      <c r="AH1488" s="1836"/>
      <c r="AI1488" s="1837"/>
      <c r="AJ1488" s="1960"/>
    </row>
    <row r="1489" spans="1:36" ht="21.95" customHeight="1" x14ac:dyDescent="0.2">
      <c r="B1489" s="2045"/>
      <c r="C1489" s="1988"/>
      <c r="D1489" s="1989" t="str">
        <f>SNI!E1302</f>
        <v>Tukang cat</v>
      </c>
      <c r="E1489" s="1989"/>
      <c r="F1489" s="1990"/>
      <c r="G1489" s="2049">
        <f>SNI!H1302</f>
        <v>6.3E-2</v>
      </c>
      <c r="H1489" s="1992" t="str">
        <f>SNI!G1302</f>
        <v>OH</v>
      </c>
      <c r="I1489" s="1993" t="str">
        <f>SNI!M1302</f>
        <v>WNI</v>
      </c>
      <c r="J1489" s="1993"/>
      <c r="K1489" s="1994">
        <f>SNI!L1302</f>
        <v>1</v>
      </c>
      <c r="L1489" s="1995"/>
      <c r="M1489" s="1996"/>
      <c r="N1489" s="1997">
        <f>SNI!I1302</f>
        <v>90000</v>
      </c>
      <c r="O1489" s="1998"/>
      <c r="P1489" s="1969">
        <f t="shared" si="970"/>
        <v>5670</v>
      </c>
      <c r="Q1489" s="1953"/>
      <c r="R1489" s="1954"/>
      <c r="S1489" s="1954">
        <f t="shared" si="971"/>
        <v>5670</v>
      </c>
      <c r="T1489" s="1969">
        <f t="shared" si="972"/>
        <v>0</v>
      </c>
      <c r="U1489" s="2002"/>
      <c r="Z1489" s="1956"/>
      <c r="AA1489" s="1956"/>
      <c r="AC1489" s="2141"/>
      <c r="AD1489" s="2141"/>
      <c r="AG1489" s="1836"/>
      <c r="AH1489" s="1836"/>
      <c r="AI1489" s="1837"/>
      <c r="AJ1489" s="1960"/>
    </row>
    <row r="1490" spans="1:36" ht="21.95" customHeight="1" x14ac:dyDescent="0.2">
      <c r="B1490" s="2045"/>
      <c r="C1490" s="1988"/>
      <c r="D1490" s="1989" t="str">
        <f>SNI!E1303</f>
        <v>Kep.Tukang</v>
      </c>
      <c r="E1490" s="1989"/>
      <c r="F1490" s="1990"/>
      <c r="G1490" s="2049">
        <f>SNI!H1303</f>
        <v>6.3E-3</v>
      </c>
      <c r="H1490" s="1992" t="str">
        <f>SNI!G1303</f>
        <v>OH</v>
      </c>
      <c r="I1490" s="1993" t="str">
        <f>SNI!M1303</f>
        <v>WNI</v>
      </c>
      <c r="J1490" s="1993"/>
      <c r="K1490" s="1994">
        <f>SNI!L1303</f>
        <v>1</v>
      </c>
      <c r="L1490" s="1995"/>
      <c r="M1490" s="1996"/>
      <c r="N1490" s="1997">
        <f>SNI!I1303</f>
        <v>96000</v>
      </c>
      <c r="O1490" s="1998"/>
      <c r="P1490" s="1969">
        <f t="shared" si="970"/>
        <v>604.79999999999995</v>
      </c>
      <c r="Q1490" s="1953"/>
      <c r="R1490" s="1954"/>
      <c r="S1490" s="1954">
        <f t="shared" si="971"/>
        <v>604.79999999999995</v>
      </c>
      <c r="T1490" s="1969">
        <f t="shared" si="972"/>
        <v>0</v>
      </c>
      <c r="U1490" s="2002"/>
      <c r="Z1490" s="1956"/>
      <c r="AA1490" s="1956"/>
      <c r="AC1490" s="2141"/>
      <c r="AD1490" s="2141"/>
      <c r="AG1490" s="1836"/>
      <c r="AH1490" s="1836"/>
      <c r="AI1490" s="1837"/>
      <c r="AJ1490" s="1960"/>
    </row>
    <row r="1491" spans="1:36" ht="21.95" customHeight="1" x14ac:dyDescent="0.2">
      <c r="B1491" s="2045"/>
      <c r="C1491" s="1988"/>
      <c r="D1491" s="1989" t="str">
        <f>SNI!E1304</f>
        <v>Mandor</v>
      </c>
      <c r="E1491" s="1989"/>
      <c r="F1491" s="1990"/>
      <c r="G1491" s="2049">
        <f>SNI!H1304</f>
        <v>3.0000000000000001E-3</v>
      </c>
      <c r="H1491" s="1992" t="str">
        <f>SNI!G1304</f>
        <v>OH</v>
      </c>
      <c r="I1491" s="1993" t="str">
        <f>SNI!M1304</f>
        <v>WNI</v>
      </c>
      <c r="J1491" s="1993"/>
      <c r="K1491" s="1994">
        <f>SNI!L1304</f>
        <v>1</v>
      </c>
      <c r="L1491" s="1995"/>
      <c r="M1491" s="1996"/>
      <c r="N1491" s="1997">
        <f>SNI!I1304</f>
        <v>90000</v>
      </c>
      <c r="O1491" s="1998"/>
      <c r="P1491" s="1969">
        <f t="shared" si="970"/>
        <v>270</v>
      </c>
      <c r="Q1491" s="1953"/>
      <c r="R1491" s="1954"/>
      <c r="S1491" s="1954">
        <f t="shared" si="971"/>
        <v>270</v>
      </c>
      <c r="T1491" s="1969">
        <f t="shared" si="972"/>
        <v>0</v>
      </c>
      <c r="U1491" s="2002"/>
      <c r="Z1491" s="1956"/>
      <c r="AA1491" s="1956"/>
      <c r="AC1491" s="2141"/>
      <c r="AD1491" s="2141"/>
      <c r="AG1491" s="1836"/>
      <c r="AH1491" s="1836"/>
      <c r="AI1491" s="1837"/>
      <c r="AJ1491" s="1960"/>
    </row>
    <row r="1492" spans="1:36" s="1957" customFormat="1" ht="21.95" customHeight="1" x14ac:dyDescent="0.2">
      <c r="A1492" s="1942"/>
      <c r="B1492" s="1970"/>
      <c r="C1492" s="1971"/>
      <c r="D1492" s="1972"/>
      <c r="E1492" s="1973"/>
      <c r="F1492" s="1974" t="s">
        <v>556</v>
      </c>
      <c r="G1492" s="1975">
        <f>B1482</f>
        <v>3</v>
      </c>
      <c r="H1492" s="1976"/>
      <c r="I1492" s="1977"/>
      <c r="J1492" s="1977"/>
      <c r="K1492" s="1978"/>
      <c r="L1492" s="1979"/>
      <c r="M1492" s="1980"/>
      <c r="N1492" s="1981"/>
      <c r="O1492" s="1982"/>
      <c r="P1492" s="1983">
        <f>SUM(P1484:P1491)</f>
        <v>20390.8</v>
      </c>
      <c r="Q1492" s="1984"/>
      <c r="R1492" s="1985"/>
      <c r="S1492" s="1983">
        <f t="shared" ref="S1492" si="973">SUM(S1484:S1491)</f>
        <v>10707.824000000001</v>
      </c>
      <c r="T1492" s="1983">
        <f t="shared" ref="T1492" si="974">SUM(T1484:T1491)</f>
        <v>9682.9759999999987</v>
      </c>
      <c r="U1492" s="1986"/>
      <c r="V1492" s="1848"/>
      <c r="W1492" s="1848"/>
      <c r="X1492" s="1848"/>
      <c r="Y1492" s="1848"/>
      <c r="Z1492" s="1956"/>
      <c r="AA1492" s="1956"/>
      <c r="AF1492" s="1958"/>
      <c r="AG1492" s="1958"/>
      <c r="AH1492" s="1958"/>
      <c r="AI1492" s="1959"/>
      <c r="AJ1492" s="1960"/>
    </row>
    <row r="1493" spans="1:36" ht="21.95" customHeight="1" x14ac:dyDescent="0.2">
      <c r="B1493" s="1927"/>
      <c r="C1493" s="2033"/>
      <c r="D1493" s="2034" t="s">
        <v>1786</v>
      </c>
      <c r="E1493" s="2035"/>
      <c r="F1493" s="2036"/>
      <c r="G1493" s="1945"/>
      <c r="H1493" s="2037"/>
      <c r="I1493" s="2038"/>
      <c r="J1493" s="2038"/>
      <c r="K1493" s="2039"/>
      <c r="L1493" s="2040"/>
      <c r="M1493" s="2040"/>
      <c r="N1493" s="1997"/>
      <c r="O1493" s="2041"/>
      <c r="P1493" s="2042"/>
      <c r="Q1493" s="2038"/>
      <c r="R1493" s="2038"/>
      <c r="S1493" s="2038"/>
      <c r="T1493" s="2043"/>
      <c r="U1493" s="2044"/>
      <c r="Z1493" s="1956"/>
      <c r="AA1493" s="1956">
        <f t="shared" si="835"/>
        <v>0</v>
      </c>
      <c r="AB1493" s="1836" t="s">
        <v>1786</v>
      </c>
      <c r="AC1493" s="2141"/>
      <c r="AD1493" s="2141"/>
      <c r="AG1493" s="1836"/>
      <c r="AH1493" s="1836"/>
      <c r="AI1493" s="1837"/>
      <c r="AJ1493" s="1960">
        <f t="shared" si="836"/>
        <v>0</v>
      </c>
    </row>
    <row r="1494" spans="1:36" ht="21.95" customHeight="1" x14ac:dyDescent="0.2">
      <c r="A1494" s="1833">
        <f>satpek!$B$84</f>
        <v>65</v>
      </c>
      <c r="B1494" s="1943">
        <v>1</v>
      </c>
      <c r="C1494" s="1937"/>
      <c r="D1494" s="1944" t="str">
        <f>VLOOKUP($A1494,satpek!$B$20:$N$144,2,0)</f>
        <v>Pengecatan dinding dalam (cat interior)</v>
      </c>
      <c r="E1494" s="1944"/>
      <c r="F1494" s="2004"/>
      <c r="G1494" s="1945">
        <f>'[3]B.VOL RAB'!Q531</f>
        <v>816.87500000000023</v>
      </c>
      <c r="H1494" s="1946" t="str">
        <f>VLOOKUP($A1494,satpek!$B$20:$N$144,7,0)</f>
        <v>m2</v>
      </c>
      <c r="I1494" s="1947"/>
      <c r="J1494" s="1947"/>
      <c r="K1494" s="1948"/>
      <c r="L1494" s="1949"/>
      <c r="M1494" s="1950" t="str">
        <f>VLOOKUP($A1494,satpek!$B$20:$N$144,5,0)</f>
        <v>A.4.7.1.10.</v>
      </c>
      <c r="N1494" s="1951">
        <f>VLOOKUP($A1494,satpek!$B$20:$N$144,6,0)</f>
        <v>23041.599999999999</v>
      </c>
      <c r="O1494" s="1938"/>
      <c r="P1494" s="1952">
        <f t="shared" ref="P1494:P1527" si="975">ROUND((G1494*N1494),2)</f>
        <v>18822107</v>
      </c>
      <c r="Q1494" s="1953">
        <f>VLOOKUP($A1494,satpek!$B$20:$L$138,8,0)</f>
        <v>0.52513015673735219</v>
      </c>
      <c r="R1494" s="1954">
        <f>VLOOKUP($A1494,satpek!$B$20:$L$138,9,0)</f>
        <v>10707.824000000001</v>
      </c>
      <c r="S1494" s="1954">
        <f>VLOOKUP($A1494,satpek!$B$20:$L$138,10,0)</f>
        <v>12099.841120000001</v>
      </c>
      <c r="T1494" s="1952">
        <f>S1494*G1494</f>
        <v>9884057.7149000037</v>
      </c>
      <c r="U1494" s="1955"/>
      <c r="X1494" s="1848">
        <f>P1504</f>
        <v>20390.8</v>
      </c>
      <c r="Y1494" s="1848">
        <f>S1504</f>
        <v>10707.824000000001</v>
      </c>
      <c r="Z1494" s="1956">
        <v>816.87500000000023</v>
      </c>
      <c r="AA1494" s="1956">
        <f t="shared" ref="AA1494:AA1669" si="976">Z1494-G1494</f>
        <v>0</v>
      </c>
      <c r="AB1494" s="1836" t="s">
        <v>1833</v>
      </c>
      <c r="AC1494" s="2141"/>
      <c r="AD1494" s="2141"/>
      <c r="AG1494" s="1836"/>
      <c r="AH1494" s="1836"/>
      <c r="AI1494" s="1837">
        <v>31297.379999999997</v>
      </c>
      <c r="AJ1494" s="1960">
        <f t="shared" ref="AJ1494:AJ1669" si="977">AI1494-N1494</f>
        <v>8255.7799999999988</v>
      </c>
    </row>
    <row r="1495" spans="1:36" ht="21.95" customHeight="1" x14ac:dyDescent="0.2">
      <c r="B1495" s="2045"/>
      <c r="C1495" s="2046" t="str">
        <f>SNI!D1297</f>
        <v>Bahan</v>
      </c>
      <c r="D1495" s="2047"/>
      <c r="E1495" s="2047"/>
      <c r="F1495" s="2048"/>
      <c r="G1495" s="2049"/>
      <c r="H1495" s="2050"/>
      <c r="I1495" s="2051"/>
      <c r="J1495" s="2051"/>
      <c r="K1495" s="2052"/>
      <c r="L1495" s="2053"/>
      <c r="M1495" s="2054"/>
      <c r="N1495" s="2055"/>
      <c r="O1495" s="2056"/>
      <c r="P1495" s="2057"/>
      <c r="Q1495" s="2058"/>
      <c r="R1495" s="2059"/>
      <c r="S1495" s="2059"/>
      <c r="T1495" s="2057"/>
      <c r="U1495" s="2060"/>
      <c r="Z1495" s="1956"/>
      <c r="AA1495" s="1956"/>
      <c r="AC1495" s="2141"/>
      <c r="AD1495" s="2141"/>
      <c r="AG1495" s="1836"/>
      <c r="AH1495" s="1836"/>
      <c r="AI1495" s="1837"/>
      <c r="AJ1495" s="1960"/>
    </row>
    <row r="1496" spans="1:36" ht="21.95" customHeight="1" x14ac:dyDescent="0.2">
      <c r="B1496" s="2045"/>
      <c r="C1496" s="2046"/>
      <c r="D1496" s="2047" t="str">
        <f>SNI!E1297</f>
        <v>Plamir</v>
      </c>
      <c r="E1496" s="2047"/>
      <c r="F1496" s="2048"/>
      <c r="G1496" s="2049">
        <f>SNI!H1297</f>
        <v>0.1</v>
      </c>
      <c r="H1496" s="2050" t="str">
        <f>SNI!G1297</f>
        <v>kg</v>
      </c>
      <c r="I1496" s="2051"/>
      <c r="J1496" s="2051"/>
      <c r="K1496" s="2052">
        <f>SNI!L1297</f>
        <v>0</v>
      </c>
      <c r="L1496" s="2053"/>
      <c r="M1496" s="2054"/>
      <c r="N1496" s="2055">
        <f>SNI!I1297</f>
        <v>20000</v>
      </c>
      <c r="O1496" s="2056"/>
      <c r="P1496" s="1969">
        <f t="shared" ref="P1496" si="978">N1496*G1496</f>
        <v>2000</v>
      </c>
      <c r="Q1496" s="1953"/>
      <c r="R1496" s="1954"/>
      <c r="S1496" s="1954">
        <f t="shared" ref="S1496" si="979">P1496*K1496</f>
        <v>0</v>
      </c>
      <c r="T1496" s="1969">
        <f t="shared" ref="T1496" si="980">P1496-S1496</f>
        <v>2000</v>
      </c>
      <c r="U1496" s="2060"/>
      <c r="Z1496" s="1956"/>
      <c r="AA1496" s="1956"/>
      <c r="AC1496" s="2141"/>
      <c r="AD1496" s="2141"/>
      <c r="AG1496" s="1836"/>
      <c r="AH1496" s="1836"/>
      <c r="AI1496" s="1837"/>
      <c r="AJ1496" s="1960"/>
    </row>
    <row r="1497" spans="1:36" ht="21.95" customHeight="1" x14ac:dyDescent="0.2">
      <c r="B1497" s="2045"/>
      <c r="C1497" s="2046"/>
      <c r="D1497" s="2047" t="str">
        <f>SNI!E1298</f>
        <v>Cat dasar</v>
      </c>
      <c r="E1497" s="2047"/>
      <c r="F1497" s="2048"/>
      <c r="G1497" s="2049">
        <f>SNI!H1298</f>
        <v>0.1</v>
      </c>
      <c r="H1497" s="2050" t="str">
        <f>SNI!G1298</f>
        <v>kg</v>
      </c>
      <c r="I1497" s="2051"/>
      <c r="J1497" s="2051"/>
      <c r="K1497" s="2052">
        <f>SNI!L1298</f>
        <v>0.23780000000000001</v>
      </c>
      <c r="L1497" s="2053"/>
      <c r="M1497" s="2054"/>
      <c r="N1497" s="2055">
        <f>SNI!I1298</f>
        <v>28000</v>
      </c>
      <c r="O1497" s="2056"/>
      <c r="P1497" s="1969">
        <f t="shared" ref="P1497:P1503" si="981">N1497*G1497</f>
        <v>2800</v>
      </c>
      <c r="Q1497" s="1953"/>
      <c r="R1497" s="1954"/>
      <c r="S1497" s="1954">
        <f t="shared" ref="S1497:S1503" si="982">P1497*K1497</f>
        <v>665.84</v>
      </c>
      <c r="T1497" s="1969">
        <f t="shared" ref="T1497:T1503" si="983">P1497-S1497</f>
        <v>2134.16</v>
      </c>
      <c r="U1497" s="2060"/>
      <c r="Z1497" s="1956"/>
      <c r="AA1497" s="1956"/>
      <c r="AC1497" s="2141"/>
      <c r="AD1497" s="2141"/>
      <c r="AG1497" s="1836"/>
      <c r="AH1497" s="1836"/>
      <c r="AI1497" s="1837"/>
      <c r="AJ1497" s="1960"/>
    </row>
    <row r="1498" spans="1:36" ht="21.95" customHeight="1" x14ac:dyDescent="0.2">
      <c r="B1498" s="2045"/>
      <c r="C1498" s="2046"/>
      <c r="D1498" s="2047" t="str">
        <f>SNI!E1299</f>
        <v>Cat penutup 2 X</v>
      </c>
      <c r="E1498" s="2047"/>
      <c r="F1498" s="2048"/>
      <c r="G1498" s="2049">
        <f>SNI!H1299</f>
        <v>0.26</v>
      </c>
      <c r="H1498" s="2050" t="str">
        <f>SNI!G1299</f>
        <v>kg</v>
      </c>
      <c r="I1498" s="2051"/>
      <c r="J1498" s="2051"/>
      <c r="K1498" s="2052">
        <f>SNI!L1299</f>
        <v>0.23780000000000001</v>
      </c>
      <c r="L1498" s="2053"/>
      <c r="M1498" s="2054"/>
      <c r="N1498" s="2055">
        <f>SNI!I1299</f>
        <v>28000</v>
      </c>
      <c r="O1498" s="2056"/>
      <c r="P1498" s="1969">
        <f t="shared" si="981"/>
        <v>7280</v>
      </c>
      <c r="Q1498" s="1953"/>
      <c r="R1498" s="1954"/>
      <c r="S1498" s="1954">
        <f t="shared" si="982"/>
        <v>1731.1840000000002</v>
      </c>
      <c r="T1498" s="1969">
        <f t="shared" si="983"/>
        <v>5548.8159999999998</v>
      </c>
      <c r="U1498" s="2060"/>
      <c r="Z1498" s="1956"/>
      <c r="AA1498" s="1956"/>
      <c r="AC1498" s="2141"/>
      <c r="AD1498" s="2141"/>
      <c r="AG1498" s="1836"/>
      <c r="AH1498" s="1836"/>
      <c r="AI1498" s="1837"/>
      <c r="AJ1498" s="1960"/>
    </row>
    <row r="1499" spans="1:36" ht="21.95" customHeight="1" x14ac:dyDescent="0.2">
      <c r="B1499" s="2045"/>
      <c r="C1499" s="2046" t="str">
        <f>SNI!D1301</f>
        <v>Tenaga Kerja</v>
      </c>
      <c r="D1499" s="2047"/>
      <c r="E1499" s="2047"/>
      <c r="F1499" s="2048"/>
      <c r="G1499" s="2049"/>
      <c r="H1499" s="2050"/>
      <c r="I1499" s="2051"/>
      <c r="J1499" s="2051"/>
      <c r="K1499" s="2052"/>
      <c r="L1499" s="2053"/>
      <c r="M1499" s="2054"/>
      <c r="N1499" s="2055"/>
      <c r="O1499" s="2056"/>
      <c r="P1499" s="1969"/>
      <c r="Q1499" s="1953"/>
      <c r="R1499" s="1954"/>
      <c r="S1499" s="1954"/>
      <c r="T1499" s="1969"/>
      <c r="U1499" s="2060"/>
      <c r="Z1499" s="1956"/>
      <c r="AA1499" s="1956"/>
      <c r="AC1499" s="2141"/>
      <c r="AD1499" s="2141"/>
      <c r="AG1499" s="1836"/>
      <c r="AH1499" s="1836"/>
      <c r="AI1499" s="1837"/>
      <c r="AJ1499" s="1960"/>
    </row>
    <row r="1500" spans="1:36" ht="21.95" customHeight="1" x14ac:dyDescent="0.2">
      <c r="B1500" s="2045"/>
      <c r="C1500" s="2046"/>
      <c r="D1500" s="2047" t="str">
        <f>SNI!E1301</f>
        <v>Pekerja</v>
      </c>
      <c r="E1500" s="2047"/>
      <c r="F1500" s="2048"/>
      <c r="G1500" s="2049">
        <f>SNI!H1301</f>
        <v>0.02</v>
      </c>
      <c r="H1500" s="2050" t="str">
        <f>SNI!G1301</f>
        <v>OH</v>
      </c>
      <c r="I1500" s="2142" t="s">
        <v>2012</v>
      </c>
      <c r="J1500" s="2051"/>
      <c r="K1500" s="2052">
        <f>SNI!L1301</f>
        <v>1</v>
      </c>
      <c r="L1500" s="2053"/>
      <c r="M1500" s="2054"/>
      <c r="N1500" s="2055">
        <f>SNI!I1301</f>
        <v>88300</v>
      </c>
      <c r="O1500" s="2056"/>
      <c r="P1500" s="1969">
        <f t="shared" si="981"/>
        <v>1766</v>
      </c>
      <c r="Q1500" s="1953"/>
      <c r="R1500" s="1954"/>
      <c r="S1500" s="1954">
        <f t="shared" si="982"/>
        <v>1766</v>
      </c>
      <c r="T1500" s="1969">
        <f t="shared" si="983"/>
        <v>0</v>
      </c>
      <c r="U1500" s="2060"/>
      <c r="Z1500" s="1956"/>
      <c r="AA1500" s="1956"/>
      <c r="AC1500" s="2141"/>
      <c r="AD1500" s="2141"/>
      <c r="AG1500" s="1836"/>
      <c r="AH1500" s="1836"/>
      <c r="AI1500" s="1837"/>
      <c r="AJ1500" s="1960"/>
    </row>
    <row r="1501" spans="1:36" ht="21.95" customHeight="1" x14ac:dyDescent="0.2">
      <c r="B1501" s="2045"/>
      <c r="C1501" s="2046"/>
      <c r="D1501" s="2047" t="str">
        <f>SNI!E1302</f>
        <v>Tukang cat</v>
      </c>
      <c r="E1501" s="2047"/>
      <c r="F1501" s="2048"/>
      <c r="G1501" s="2049">
        <f>SNI!H1302</f>
        <v>6.3E-2</v>
      </c>
      <c r="H1501" s="2050" t="str">
        <f>SNI!G1302</f>
        <v>OH</v>
      </c>
      <c r="I1501" s="2142" t="s">
        <v>2012</v>
      </c>
      <c r="J1501" s="2051"/>
      <c r="K1501" s="2052">
        <f>SNI!L1302</f>
        <v>1</v>
      </c>
      <c r="L1501" s="2053"/>
      <c r="M1501" s="2054"/>
      <c r="N1501" s="2055">
        <f>SNI!I1302</f>
        <v>90000</v>
      </c>
      <c r="O1501" s="2056"/>
      <c r="P1501" s="1969">
        <f t="shared" si="981"/>
        <v>5670</v>
      </c>
      <c r="Q1501" s="1953"/>
      <c r="R1501" s="1954"/>
      <c r="S1501" s="1954">
        <f t="shared" si="982"/>
        <v>5670</v>
      </c>
      <c r="T1501" s="1969">
        <f t="shared" si="983"/>
        <v>0</v>
      </c>
      <c r="U1501" s="2060"/>
      <c r="Z1501" s="1956"/>
      <c r="AA1501" s="1956"/>
      <c r="AC1501" s="2141"/>
      <c r="AD1501" s="2141"/>
      <c r="AG1501" s="1836"/>
      <c r="AH1501" s="1836"/>
      <c r="AI1501" s="1837"/>
      <c r="AJ1501" s="1960"/>
    </row>
    <row r="1502" spans="1:36" ht="21.95" customHeight="1" x14ac:dyDescent="0.2">
      <c r="B1502" s="2045"/>
      <c r="C1502" s="2046"/>
      <c r="D1502" s="2047" t="str">
        <f>SNI!E1303</f>
        <v>Kep.Tukang</v>
      </c>
      <c r="E1502" s="2047"/>
      <c r="F1502" s="2048"/>
      <c r="G1502" s="2049">
        <f>SNI!H1303</f>
        <v>6.3E-3</v>
      </c>
      <c r="H1502" s="2050" t="str">
        <f>SNI!G1303</f>
        <v>OH</v>
      </c>
      <c r="I1502" s="2142" t="s">
        <v>2012</v>
      </c>
      <c r="J1502" s="2051"/>
      <c r="K1502" s="2052">
        <f>SNI!L1303</f>
        <v>1</v>
      </c>
      <c r="L1502" s="2053"/>
      <c r="M1502" s="2054"/>
      <c r="N1502" s="2055">
        <f>SNI!I1303</f>
        <v>96000</v>
      </c>
      <c r="O1502" s="2056"/>
      <c r="P1502" s="1969">
        <f t="shared" si="981"/>
        <v>604.79999999999995</v>
      </c>
      <c r="Q1502" s="1953"/>
      <c r="R1502" s="1954"/>
      <c r="S1502" s="1954">
        <f t="shared" si="982"/>
        <v>604.79999999999995</v>
      </c>
      <c r="T1502" s="1969">
        <f t="shared" si="983"/>
        <v>0</v>
      </c>
      <c r="U1502" s="2060"/>
      <c r="Z1502" s="1956"/>
      <c r="AA1502" s="1956"/>
      <c r="AC1502" s="2141"/>
      <c r="AD1502" s="2141"/>
      <c r="AG1502" s="1836"/>
      <c r="AH1502" s="1836"/>
      <c r="AI1502" s="1837"/>
      <c r="AJ1502" s="1960"/>
    </row>
    <row r="1503" spans="1:36" ht="21.95" customHeight="1" x14ac:dyDescent="0.2">
      <c r="B1503" s="2045"/>
      <c r="C1503" s="2046"/>
      <c r="D1503" s="2047" t="str">
        <f>SNI!E1304</f>
        <v>Mandor</v>
      </c>
      <c r="E1503" s="2047"/>
      <c r="F1503" s="2048"/>
      <c r="G1503" s="2049">
        <f>SNI!H1304</f>
        <v>3.0000000000000001E-3</v>
      </c>
      <c r="H1503" s="2050" t="str">
        <f>SNI!G1304</f>
        <v>OH</v>
      </c>
      <c r="I1503" s="2142" t="s">
        <v>2012</v>
      </c>
      <c r="J1503" s="2051"/>
      <c r="K1503" s="2052">
        <f>SNI!L1304</f>
        <v>1</v>
      </c>
      <c r="L1503" s="2053"/>
      <c r="M1503" s="2054"/>
      <c r="N1503" s="2055">
        <f>SNI!I1304</f>
        <v>90000</v>
      </c>
      <c r="O1503" s="2056"/>
      <c r="P1503" s="1969">
        <f t="shared" si="981"/>
        <v>270</v>
      </c>
      <c r="Q1503" s="1953"/>
      <c r="R1503" s="1954"/>
      <c r="S1503" s="1954">
        <f t="shared" si="982"/>
        <v>270</v>
      </c>
      <c r="T1503" s="1969">
        <f t="shared" si="983"/>
        <v>0</v>
      </c>
      <c r="U1503" s="2060"/>
      <c r="Z1503" s="1956"/>
      <c r="AA1503" s="1956"/>
      <c r="AC1503" s="2141"/>
      <c r="AD1503" s="2141"/>
      <c r="AG1503" s="1836"/>
      <c r="AH1503" s="1836"/>
      <c r="AI1503" s="1837"/>
      <c r="AJ1503" s="1960"/>
    </row>
    <row r="1504" spans="1:36" s="1957" customFormat="1" ht="21.95" customHeight="1" x14ac:dyDescent="0.2">
      <c r="A1504" s="1942"/>
      <c r="B1504" s="1970"/>
      <c r="C1504" s="1971"/>
      <c r="D1504" s="1972"/>
      <c r="E1504" s="1973"/>
      <c r="F1504" s="1974" t="s">
        <v>556</v>
      </c>
      <c r="G1504" s="1975">
        <f>B1494</f>
        <v>1</v>
      </c>
      <c r="H1504" s="1976"/>
      <c r="I1504" s="1977"/>
      <c r="J1504" s="1977"/>
      <c r="K1504" s="1978"/>
      <c r="L1504" s="1979"/>
      <c r="M1504" s="1980"/>
      <c r="N1504" s="1981"/>
      <c r="O1504" s="1982"/>
      <c r="P1504" s="1983">
        <f>SUM(P1496:P1503)</f>
        <v>20390.8</v>
      </c>
      <c r="Q1504" s="1984"/>
      <c r="R1504" s="1985"/>
      <c r="S1504" s="1983">
        <f t="shared" ref="S1504" si="984">SUM(S1496:S1503)</f>
        <v>10707.824000000001</v>
      </c>
      <c r="T1504" s="1983">
        <f t="shared" ref="T1504" si="985">SUM(T1496:T1503)</f>
        <v>9682.9759999999987</v>
      </c>
      <c r="U1504" s="1986"/>
      <c r="V1504" s="1848"/>
      <c r="W1504" s="1848"/>
      <c r="X1504" s="1848"/>
      <c r="Y1504" s="1848"/>
      <c r="Z1504" s="1956"/>
      <c r="AA1504" s="1956"/>
      <c r="AF1504" s="1958"/>
      <c r="AG1504" s="1958"/>
      <c r="AH1504" s="1958"/>
      <c r="AI1504" s="1959"/>
      <c r="AJ1504" s="1960"/>
    </row>
    <row r="1505" spans="1:36" ht="21.95" customHeight="1" x14ac:dyDescent="0.2">
      <c r="A1505" s="1833">
        <f>satpek!$B$85</f>
        <v>66</v>
      </c>
      <c r="B1505" s="1943">
        <f>B1494+1</f>
        <v>2</v>
      </c>
      <c r="C1505" s="1937"/>
      <c r="D1505" s="1944" t="str">
        <f>VLOOKUP($A1505,satpek!$B$20:$N$144,2,0)</f>
        <v>Pengecatan dinding luar (cat exterior)</v>
      </c>
      <c r="E1505" s="1944"/>
      <c r="F1505" s="2004"/>
      <c r="G1505" s="1945">
        <f>'[3]B.VOL RAB'!Q542</f>
        <v>564.16000000000008</v>
      </c>
      <c r="H1505" s="1946" t="str">
        <f>VLOOKUP($A1505,satpek!$B$20:$N$144,7,0)</f>
        <v>m2</v>
      </c>
      <c r="I1505" s="1947"/>
      <c r="J1505" s="1947"/>
      <c r="K1505" s="1948"/>
      <c r="L1505" s="1949"/>
      <c r="M1505" s="1950" t="str">
        <f>VLOOKUP($A1505,satpek!$B$20:$N$144,5,0)</f>
        <v>A.4.7.1.10a.</v>
      </c>
      <c r="N1505" s="1951">
        <f>VLOOKUP($A1505,satpek!$B$20:$N$144,6,0)</f>
        <v>56348.350000000006</v>
      </c>
      <c r="O1505" s="1938"/>
      <c r="P1505" s="1952">
        <f t="shared" si="975"/>
        <v>31789485.140000001</v>
      </c>
      <c r="Q1505" s="1953">
        <f>VLOOKUP($A1505,satpek!$B$20:$L$138,8,0)</f>
        <v>0.35460536078835592</v>
      </c>
      <c r="R1505" s="1954">
        <f>VLOOKUP($A1505,satpek!$B$20:$L$138,9,0)</f>
        <v>17682.68</v>
      </c>
      <c r="S1505" s="1954">
        <f>VLOOKUP($A1505,satpek!$B$20:$L$138,10,0)</f>
        <v>19981.428400000001</v>
      </c>
      <c r="T1505" s="1952">
        <f>S1505*G1505</f>
        <v>11272722.646144003</v>
      </c>
      <c r="U1505" s="1955"/>
      <c r="X1505" s="1848">
        <f>P1515</f>
        <v>49865.8</v>
      </c>
      <c r="Y1505" s="1848">
        <f>S1515</f>
        <v>17682.68</v>
      </c>
      <c r="Z1505" s="1956">
        <v>564.16000000000008</v>
      </c>
      <c r="AA1505" s="1956">
        <f t="shared" si="976"/>
        <v>0</v>
      </c>
      <c r="AB1505" s="1836" t="s">
        <v>1834</v>
      </c>
      <c r="AC1505" s="2141"/>
      <c r="AD1505" s="2141"/>
      <c r="AG1505" s="1836"/>
      <c r="AH1505" s="1836"/>
      <c r="AI1505" s="1837">
        <v>70707.83</v>
      </c>
      <c r="AJ1505" s="1960">
        <f t="shared" si="977"/>
        <v>14359.479999999996</v>
      </c>
    </row>
    <row r="1506" spans="1:36" ht="21.95" customHeight="1" x14ac:dyDescent="0.2">
      <c r="B1506" s="2045"/>
      <c r="C1506" s="2046" t="str">
        <f>SNI!D1317</f>
        <v>Bahan</v>
      </c>
      <c r="D1506" s="2047"/>
      <c r="E1506" s="2047"/>
      <c r="F1506" s="2048"/>
      <c r="G1506" s="2049"/>
      <c r="H1506" s="2050"/>
      <c r="I1506" s="2051"/>
      <c r="J1506" s="2051"/>
      <c r="K1506" s="2052"/>
      <c r="L1506" s="2053"/>
      <c r="M1506" s="2054"/>
      <c r="N1506" s="2055"/>
      <c r="O1506" s="2056"/>
      <c r="P1506" s="2057"/>
      <c r="Q1506" s="2058"/>
      <c r="R1506" s="2059"/>
      <c r="S1506" s="2059"/>
      <c r="T1506" s="2057"/>
      <c r="U1506" s="2060"/>
      <c r="Z1506" s="1956"/>
      <c r="AA1506" s="1956"/>
      <c r="AC1506" s="2141"/>
      <c r="AD1506" s="2141"/>
      <c r="AG1506" s="1836"/>
      <c r="AH1506" s="1836"/>
      <c r="AI1506" s="1837"/>
      <c r="AJ1506" s="1960"/>
    </row>
    <row r="1507" spans="1:36" ht="21.95" customHeight="1" x14ac:dyDescent="0.2">
      <c r="B1507" s="2045"/>
      <c r="C1507" s="2046"/>
      <c r="D1507" s="2047" t="str">
        <f>SNI!E1317</f>
        <v>Plamir</v>
      </c>
      <c r="E1507" s="2047"/>
      <c r="F1507" s="2048"/>
      <c r="G1507" s="2049">
        <f>SNI!H1317</f>
        <v>0.1</v>
      </c>
      <c r="H1507" s="2050" t="str">
        <f>SNI!G1317</f>
        <v>kg</v>
      </c>
      <c r="I1507" s="2051"/>
      <c r="J1507" s="2051"/>
      <c r="K1507" s="2052">
        <f>SNI!L1317</f>
        <v>0</v>
      </c>
      <c r="L1507" s="2053"/>
      <c r="M1507" s="2054"/>
      <c r="N1507" s="2055">
        <f>SNI!I1317</f>
        <v>20000</v>
      </c>
      <c r="O1507" s="2056"/>
      <c r="P1507" s="1969">
        <f t="shared" ref="P1507" si="986">N1507*G1507</f>
        <v>2000</v>
      </c>
      <c r="Q1507" s="1953"/>
      <c r="R1507" s="1954"/>
      <c r="S1507" s="1954">
        <f t="shared" ref="S1507" si="987">P1507*K1507</f>
        <v>0</v>
      </c>
      <c r="T1507" s="1969">
        <f t="shared" ref="T1507" si="988">P1507-S1507</f>
        <v>2000</v>
      </c>
      <c r="U1507" s="2060"/>
      <c r="Z1507" s="1956"/>
      <c r="AA1507" s="1956"/>
      <c r="AC1507" s="2141"/>
      <c r="AD1507" s="2141"/>
      <c r="AG1507" s="1836"/>
      <c r="AH1507" s="1836"/>
      <c r="AI1507" s="1837"/>
      <c r="AJ1507" s="1960"/>
    </row>
    <row r="1508" spans="1:36" ht="21.95" customHeight="1" x14ac:dyDescent="0.2">
      <c r="B1508" s="2045"/>
      <c r="C1508" s="2046"/>
      <c r="D1508" s="2047" t="str">
        <f>SNI!E1318</f>
        <v>Cat dasar</v>
      </c>
      <c r="E1508" s="2047"/>
      <c r="F1508" s="2048"/>
      <c r="G1508" s="2049">
        <f>SNI!H1318</f>
        <v>0.1</v>
      </c>
      <c r="H1508" s="2050" t="str">
        <f>SNI!G1318</f>
        <v>kg</v>
      </c>
      <c r="I1508" s="2051"/>
      <c r="J1508" s="2051"/>
      <c r="K1508" s="2052">
        <f>SNI!L1318</f>
        <v>0.23780000000000001</v>
      </c>
      <c r="L1508" s="2053"/>
      <c r="M1508" s="2054"/>
      <c r="N1508" s="2055">
        <f>SNI!I1318</f>
        <v>110000</v>
      </c>
      <c r="O1508" s="2056"/>
      <c r="P1508" s="1969">
        <f t="shared" ref="P1508:P1514" si="989">N1508*G1508</f>
        <v>11000</v>
      </c>
      <c r="Q1508" s="1953"/>
      <c r="R1508" s="1954"/>
      <c r="S1508" s="1954">
        <f t="shared" ref="S1508:S1514" si="990">P1508*K1508</f>
        <v>2615.8000000000002</v>
      </c>
      <c r="T1508" s="1969">
        <f t="shared" ref="T1508:T1514" si="991">P1508-S1508</f>
        <v>8384.2000000000007</v>
      </c>
      <c r="U1508" s="2060"/>
      <c r="Z1508" s="1956"/>
      <c r="AA1508" s="1956"/>
      <c r="AC1508" s="2141"/>
      <c r="AD1508" s="2141"/>
      <c r="AG1508" s="1836"/>
      <c r="AH1508" s="1836"/>
      <c r="AI1508" s="1837"/>
      <c r="AJ1508" s="1960"/>
    </row>
    <row r="1509" spans="1:36" ht="21.95" customHeight="1" x14ac:dyDescent="0.2">
      <c r="B1509" s="2045"/>
      <c r="C1509" s="2046"/>
      <c r="D1509" s="2047" t="str">
        <f>SNI!E1319</f>
        <v>Cat penutup 2x</v>
      </c>
      <c r="E1509" s="2047"/>
      <c r="F1509" s="2048"/>
      <c r="G1509" s="2049">
        <f>SNI!H1319</f>
        <v>0.26</v>
      </c>
      <c r="H1509" s="2050" t="str">
        <f>SNI!G1319</f>
        <v>kg</v>
      </c>
      <c r="I1509" s="2051"/>
      <c r="J1509" s="2051"/>
      <c r="K1509" s="2052">
        <f>SNI!L1319</f>
        <v>0.23780000000000001</v>
      </c>
      <c r="L1509" s="2053"/>
      <c r="M1509" s="2054"/>
      <c r="N1509" s="2055">
        <f>SNI!I1319</f>
        <v>110000</v>
      </c>
      <c r="O1509" s="2056"/>
      <c r="P1509" s="1969">
        <f t="shared" si="989"/>
        <v>28600</v>
      </c>
      <c r="Q1509" s="1953"/>
      <c r="R1509" s="1954"/>
      <c r="S1509" s="1954">
        <f t="shared" si="990"/>
        <v>6801.08</v>
      </c>
      <c r="T1509" s="1969">
        <f t="shared" si="991"/>
        <v>21798.92</v>
      </c>
      <c r="U1509" s="2060"/>
      <c r="Z1509" s="1956"/>
      <c r="AA1509" s="1956"/>
      <c r="AC1509" s="2141"/>
      <c r="AD1509" s="2141"/>
      <c r="AG1509" s="1836"/>
      <c r="AH1509" s="1836"/>
      <c r="AI1509" s="1837"/>
      <c r="AJ1509" s="1960"/>
    </row>
    <row r="1510" spans="1:36" ht="21.95" customHeight="1" x14ac:dyDescent="0.2">
      <c r="B1510" s="2045"/>
      <c r="C1510" s="2046" t="str">
        <f>SNI!D1321</f>
        <v>Tenaga Kerja</v>
      </c>
      <c r="D1510" s="2047"/>
      <c r="E1510" s="2047"/>
      <c r="F1510" s="2048"/>
      <c r="G1510" s="2049"/>
      <c r="H1510" s="2050"/>
      <c r="I1510" s="2051"/>
      <c r="J1510" s="2051"/>
      <c r="K1510" s="2052"/>
      <c r="L1510" s="2053"/>
      <c r="M1510" s="2054"/>
      <c r="N1510" s="2055"/>
      <c r="O1510" s="2056"/>
      <c r="P1510" s="1969"/>
      <c r="Q1510" s="1953"/>
      <c r="R1510" s="1954"/>
      <c r="S1510" s="1954"/>
      <c r="T1510" s="1969"/>
      <c r="U1510" s="2060"/>
      <c r="Z1510" s="1956"/>
      <c r="AA1510" s="1956"/>
      <c r="AC1510" s="2141"/>
      <c r="AD1510" s="2141"/>
      <c r="AG1510" s="1836"/>
      <c r="AH1510" s="1836"/>
      <c r="AI1510" s="1837"/>
      <c r="AJ1510" s="1960"/>
    </row>
    <row r="1511" spans="1:36" ht="21.95" customHeight="1" x14ac:dyDescent="0.2">
      <c r="B1511" s="2045"/>
      <c r="C1511" s="2046"/>
      <c r="D1511" s="2047" t="str">
        <f>SNI!E1321</f>
        <v>Pekerja</v>
      </c>
      <c r="E1511" s="2047"/>
      <c r="F1511" s="2048"/>
      <c r="G1511" s="2049">
        <f>SNI!H1321</f>
        <v>0.02</v>
      </c>
      <c r="H1511" s="2050" t="str">
        <f>SNI!G1321</f>
        <v>OH</v>
      </c>
      <c r="I1511" s="2142" t="s">
        <v>2012</v>
      </c>
      <c r="J1511" s="2051"/>
      <c r="K1511" s="2052">
        <f>SNI!L1321</f>
        <v>1</v>
      </c>
      <c r="L1511" s="2053"/>
      <c r="M1511" s="2054"/>
      <c r="N1511" s="2055">
        <f>SNI!I1321</f>
        <v>88300</v>
      </c>
      <c r="O1511" s="2056"/>
      <c r="P1511" s="1969">
        <f t="shared" si="989"/>
        <v>1766</v>
      </c>
      <c r="Q1511" s="1953"/>
      <c r="R1511" s="1954"/>
      <c r="S1511" s="1954">
        <f t="shared" si="990"/>
        <v>1766</v>
      </c>
      <c r="T1511" s="1969">
        <f t="shared" si="991"/>
        <v>0</v>
      </c>
      <c r="U1511" s="2060"/>
      <c r="Z1511" s="1956"/>
      <c r="AA1511" s="1956"/>
      <c r="AC1511" s="2141"/>
      <c r="AD1511" s="2141"/>
      <c r="AG1511" s="1836"/>
      <c r="AH1511" s="1836"/>
      <c r="AI1511" s="1837"/>
      <c r="AJ1511" s="1960"/>
    </row>
    <row r="1512" spans="1:36" ht="21.95" customHeight="1" x14ac:dyDescent="0.2">
      <c r="B1512" s="2045"/>
      <c r="C1512" s="2046"/>
      <c r="D1512" s="2047" t="str">
        <f>SNI!E1322</f>
        <v>Tukang cat</v>
      </c>
      <c r="E1512" s="2047"/>
      <c r="F1512" s="2048"/>
      <c r="G1512" s="2049">
        <f>SNI!H1322</f>
        <v>6.3E-2</v>
      </c>
      <c r="H1512" s="2050" t="str">
        <f>SNI!G1322</f>
        <v>OH</v>
      </c>
      <c r="I1512" s="2142" t="s">
        <v>2012</v>
      </c>
      <c r="J1512" s="2051"/>
      <c r="K1512" s="2052">
        <f>SNI!L1322</f>
        <v>1</v>
      </c>
      <c r="L1512" s="2053"/>
      <c r="M1512" s="2054"/>
      <c r="N1512" s="2055">
        <f>SNI!I1322</f>
        <v>90000</v>
      </c>
      <c r="O1512" s="2056"/>
      <c r="P1512" s="1969">
        <f t="shared" si="989"/>
        <v>5670</v>
      </c>
      <c r="Q1512" s="1953"/>
      <c r="R1512" s="1954"/>
      <c r="S1512" s="1954">
        <f t="shared" si="990"/>
        <v>5670</v>
      </c>
      <c r="T1512" s="1969">
        <f t="shared" si="991"/>
        <v>0</v>
      </c>
      <c r="U1512" s="2060"/>
      <c r="Z1512" s="1956"/>
      <c r="AA1512" s="1956"/>
      <c r="AC1512" s="2141"/>
      <c r="AD1512" s="2141"/>
      <c r="AG1512" s="1836"/>
      <c r="AH1512" s="1836"/>
      <c r="AI1512" s="1837"/>
      <c r="AJ1512" s="1960"/>
    </row>
    <row r="1513" spans="1:36" ht="21.95" customHeight="1" x14ac:dyDescent="0.2">
      <c r="B1513" s="2045"/>
      <c r="C1513" s="2046"/>
      <c r="D1513" s="2047" t="str">
        <f>SNI!E1323</f>
        <v>Kepala Tukang</v>
      </c>
      <c r="E1513" s="2047"/>
      <c r="F1513" s="2048"/>
      <c r="G1513" s="2049">
        <f>SNI!H1323</f>
        <v>6.3E-3</v>
      </c>
      <c r="H1513" s="2050" t="str">
        <f>SNI!G1323</f>
        <v>OH</v>
      </c>
      <c r="I1513" s="2142" t="s">
        <v>2012</v>
      </c>
      <c r="J1513" s="2051"/>
      <c r="K1513" s="2052">
        <f>SNI!L1323</f>
        <v>1</v>
      </c>
      <c r="L1513" s="2053"/>
      <c r="M1513" s="2054"/>
      <c r="N1513" s="2055">
        <f>SNI!I1323</f>
        <v>96000</v>
      </c>
      <c r="O1513" s="2056"/>
      <c r="P1513" s="1969">
        <f t="shared" si="989"/>
        <v>604.79999999999995</v>
      </c>
      <c r="Q1513" s="1953"/>
      <c r="R1513" s="1954"/>
      <c r="S1513" s="1954">
        <f t="shared" si="990"/>
        <v>604.79999999999995</v>
      </c>
      <c r="T1513" s="1969">
        <f t="shared" si="991"/>
        <v>0</v>
      </c>
      <c r="U1513" s="2060"/>
      <c r="Z1513" s="1956"/>
      <c r="AA1513" s="1956"/>
      <c r="AC1513" s="2141"/>
      <c r="AD1513" s="2141"/>
      <c r="AG1513" s="1836"/>
      <c r="AH1513" s="1836"/>
      <c r="AI1513" s="1837"/>
      <c r="AJ1513" s="1960"/>
    </row>
    <row r="1514" spans="1:36" ht="21.95" customHeight="1" x14ac:dyDescent="0.2">
      <c r="B1514" s="2045"/>
      <c r="C1514" s="2046"/>
      <c r="D1514" s="2047" t="str">
        <f>SNI!E1324</f>
        <v>Mandor</v>
      </c>
      <c r="E1514" s="2047"/>
      <c r="F1514" s="2048"/>
      <c r="G1514" s="2049">
        <f>SNI!H1324</f>
        <v>2.5000000000000001E-3</v>
      </c>
      <c r="H1514" s="2050" t="str">
        <f>SNI!G1324</f>
        <v>OH</v>
      </c>
      <c r="I1514" s="2142" t="s">
        <v>2012</v>
      </c>
      <c r="J1514" s="2051"/>
      <c r="K1514" s="2052">
        <f>SNI!L1324</f>
        <v>1</v>
      </c>
      <c r="L1514" s="2053"/>
      <c r="M1514" s="2054"/>
      <c r="N1514" s="2055">
        <f>SNI!I1324</f>
        <v>90000</v>
      </c>
      <c r="O1514" s="2056"/>
      <c r="P1514" s="1969">
        <f t="shared" si="989"/>
        <v>225</v>
      </c>
      <c r="Q1514" s="1953"/>
      <c r="R1514" s="1954"/>
      <c r="S1514" s="1954">
        <f t="shared" si="990"/>
        <v>225</v>
      </c>
      <c r="T1514" s="1969">
        <f t="shared" si="991"/>
        <v>0</v>
      </c>
      <c r="U1514" s="2060"/>
      <c r="Z1514" s="1956"/>
      <c r="AA1514" s="1956"/>
      <c r="AC1514" s="2141"/>
      <c r="AD1514" s="2141"/>
      <c r="AG1514" s="1836"/>
      <c r="AH1514" s="1836"/>
      <c r="AI1514" s="1837"/>
      <c r="AJ1514" s="1960"/>
    </row>
    <row r="1515" spans="1:36" s="1957" customFormat="1" ht="21.95" customHeight="1" x14ac:dyDescent="0.2">
      <c r="A1515" s="1942"/>
      <c r="B1515" s="1970"/>
      <c r="C1515" s="1971"/>
      <c r="D1515" s="1972"/>
      <c r="E1515" s="1973"/>
      <c r="F1515" s="1974" t="s">
        <v>556</v>
      </c>
      <c r="G1515" s="1975">
        <f>B1505</f>
        <v>2</v>
      </c>
      <c r="H1515" s="1976"/>
      <c r="I1515" s="1977"/>
      <c r="J1515" s="1977"/>
      <c r="K1515" s="1978"/>
      <c r="L1515" s="1979"/>
      <c r="M1515" s="1980"/>
      <c r="N1515" s="1981"/>
      <c r="O1515" s="1982"/>
      <c r="P1515" s="1983">
        <f>SUM(P1507:P1514)</f>
        <v>49865.8</v>
      </c>
      <c r="Q1515" s="1984"/>
      <c r="R1515" s="1985"/>
      <c r="S1515" s="1983">
        <f t="shared" ref="S1515" si="992">SUM(S1507:S1514)</f>
        <v>17682.68</v>
      </c>
      <c r="T1515" s="1983">
        <f t="shared" ref="T1515" si="993">SUM(T1507:T1514)</f>
        <v>32183.119999999999</v>
      </c>
      <c r="U1515" s="1986"/>
      <c r="V1515" s="1848"/>
      <c r="W1515" s="1848"/>
      <c r="X1515" s="1848"/>
      <c r="Y1515" s="1848"/>
      <c r="Z1515" s="1956"/>
      <c r="AA1515" s="1956"/>
      <c r="AF1515" s="1958"/>
      <c r="AG1515" s="1958"/>
      <c r="AH1515" s="1958"/>
      <c r="AI1515" s="1959"/>
      <c r="AJ1515" s="1960"/>
    </row>
    <row r="1516" spans="1:36" ht="21.95" customHeight="1" x14ac:dyDescent="0.2">
      <c r="A1516" s="1833">
        <f>satpek!$B$84</f>
        <v>65</v>
      </c>
      <c r="B1516" s="1943">
        <f>B1505+1</f>
        <v>3</v>
      </c>
      <c r="C1516" s="1937"/>
      <c r="D1516" s="1944" t="s">
        <v>1835</v>
      </c>
      <c r="E1516" s="1944"/>
      <c r="F1516" s="2004"/>
      <c r="G1516" s="1945">
        <f>'[3]B.VOL RAB'!Q549</f>
        <v>829.65</v>
      </c>
      <c r="H1516" s="1946" t="str">
        <f>VLOOKUP($A1516,satpek!$B$20:$N$144,7,0)</f>
        <v>m2</v>
      </c>
      <c r="I1516" s="1947"/>
      <c r="J1516" s="1947"/>
      <c r="K1516" s="1948"/>
      <c r="L1516" s="1949"/>
      <c r="M1516" s="1950" t="str">
        <f>VLOOKUP($A1516,satpek!$B$20:$N$144,5,0)</f>
        <v>A.4.7.1.10.</v>
      </c>
      <c r="N1516" s="1951">
        <f>VLOOKUP($A1516,satpek!$B$20:$N$144,6,0)</f>
        <v>23041.599999999999</v>
      </c>
      <c r="O1516" s="1938"/>
      <c r="P1516" s="1952">
        <f t="shared" si="975"/>
        <v>19116463.440000001</v>
      </c>
      <c r="Q1516" s="1953">
        <f>VLOOKUP($A1516,satpek!$B$20:$L$138,8,0)</f>
        <v>0.52513015673735219</v>
      </c>
      <c r="R1516" s="1954">
        <f>VLOOKUP($A1516,satpek!$B$20:$L$138,9,0)</f>
        <v>10707.824000000001</v>
      </c>
      <c r="S1516" s="1954">
        <f>VLOOKUP($A1516,satpek!$B$20:$L$138,10,0)</f>
        <v>12099.841120000001</v>
      </c>
      <c r="T1516" s="1952">
        <f>S1516*G1516</f>
        <v>10038633.185208</v>
      </c>
      <c r="U1516" s="1955"/>
      <c r="X1516" s="1848">
        <f>P1526</f>
        <v>20390.8</v>
      </c>
      <c r="Y1516" s="1848">
        <f>S1526</f>
        <v>10707.824000000001</v>
      </c>
      <c r="Z1516" s="1956">
        <v>829.65</v>
      </c>
      <c r="AA1516" s="1956">
        <f t="shared" si="976"/>
        <v>0</v>
      </c>
      <c r="AB1516" s="1836" t="s">
        <v>1835</v>
      </c>
      <c r="AC1516" s="2141"/>
      <c r="AD1516" s="2141"/>
      <c r="AG1516" s="1836"/>
      <c r="AH1516" s="1836"/>
      <c r="AI1516" s="1837">
        <v>20901.379999999997</v>
      </c>
      <c r="AJ1516" s="1960">
        <f t="shared" si="977"/>
        <v>-2140.2200000000012</v>
      </c>
    </row>
    <row r="1517" spans="1:36" ht="21.95" customHeight="1" x14ac:dyDescent="0.2">
      <c r="B1517" s="2045"/>
      <c r="C1517" s="2046" t="str">
        <f>SNI!D1297</f>
        <v>Bahan</v>
      </c>
      <c r="D1517" s="2047"/>
      <c r="E1517" s="2047"/>
      <c r="F1517" s="2048"/>
      <c r="G1517" s="2049"/>
      <c r="H1517" s="2050"/>
      <c r="I1517" s="2051"/>
      <c r="J1517" s="2051"/>
      <c r="K1517" s="2052"/>
      <c r="L1517" s="2053"/>
      <c r="M1517" s="2054"/>
      <c r="N1517" s="2055"/>
      <c r="O1517" s="2056"/>
      <c r="P1517" s="2057"/>
      <c r="Q1517" s="2058"/>
      <c r="R1517" s="2059"/>
      <c r="S1517" s="2059"/>
      <c r="T1517" s="2057"/>
      <c r="U1517" s="2060"/>
      <c r="Z1517" s="1956"/>
      <c r="AA1517" s="1956"/>
      <c r="AC1517" s="2141"/>
      <c r="AD1517" s="2141"/>
      <c r="AG1517" s="1836"/>
      <c r="AH1517" s="1836"/>
      <c r="AI1517" s="1837"/>
      <c r="AJ1517" s="1960"/>
    </row>
    <row r="1518" spans="1:36" ht="21.95" customHeight="1" x14ac:dyDescent="0.2">
      <c r="B1518" s="2045"/>
      <c r="C1518" s="2046"/>
      <c r="D1518" s="2047" t="str">
        <f>SNI!E1297</f>
        <v>Plamir</v>
      </c>
      <c r="E1518" s="2047"/>
      <c r="F1518" s="2048"/>
      <c r="G1518" s="2049">
        <f>SNI!H1297</f>
        <v>0.1</v>
      </c>
      <c r="H1518" s="2050" t="str">
        <f>SNI!G1297</f>
        <v>kg</v>
      </c>
      <c r="I1518" s="2051"/>
      <c r="J1518" s="2051"/>
      <c r="K1518" s="2052">
        <f>SNI!L1297</f>
        <v>0</v>
      </c>
      <c r="L1518" s="2053"/>
      <c r="M1518" s="2054"/>
      <c r="N1518" s="2055">
        <f>SNI!I1297</f>
        <v>20000</v>
      </c>
      <c r="O1518" s="2056"/>
      <c r="P1518" s="1969">
        <f t="shared" ref="P1518" si="994">N1518*G1518</f>
        <v>2000</v>
      </c>
      <c r="Q1518" s="1953"/>
      <c r="R1518" s="1954"/>
      <c r="S1518" s="1954">
        <f t="shared" ref="S1518" si="995">P1518*K1518</f>
        <v>0</v>
      </c>
      <c r="T1518" s="1969">
        <f t="shared" ref="T1518" si="996">P1518-S1518</f>
        <v>2000</v>
      </c>
      <c r="U1518" s="2060"/>
      <c r="Z1518" s="1956"/>
      <c r="AA1518" s="1956"/>
      <c r="AC1518" s="2141"/>
      <c r="AD1518" s="2141"/>
      <c r="AG1518" s="1836"/>
      <c r="AH1518" s="1836"/>
      <c r="AI1518" s="1837"/>
      <c r="AJ1518" s="1960"/>
    </row>
    <row r="1519" spans="1:36" ht="21.95" customHeight="1" x14ac:dyDescent="0.2">
      <c r="B1519" s="2045"/>
      <c r="C1519" s="2046"/>
      <c r="D1519" s="2047" t="str">
        <f>SNI!E1298</f>
        <v>Cat dasar</v>
      </c>
      <c r="E1519" s="2047"/>
      <c r="F1519" s="2048"/>
      <c r="G1519" s="2049">
        <f>SNI!H1298</f>
        <v>0.1</v>
      </c>
      <c r="H1519" s="2050" t="str">
        <f>SNI!G1298</f>
        <v>kg</v>
      </c>
      <c r="I1519" s="2051"/>
      <c r="J1519" s="2051"/>
      <c r="K1519" s="2052">
        <f>SNI!L1298</f>
        <v>0.23780000000000001</v>
      </c>
      <c r="L1519" s="2053"/>
      <c r="M1519" s="2054"/>
      <c r="N1519" s="2055">
        <f>SNI!I1298</f>
        <v>28000</v>
      </c>
      <c r="O1519" s="2056"/>
      <c r="P1519" s="1969">
        <f t="shared" ref="P1519:P1525" si="997">N1519*G1519</f>
        <v>2800</v>
      </c>
      <c r="Q1519" s="1953"/>
      <c r="R1519" s="1954"/>
      <c r="S1519" s="1954">
        <f t="shared" ref="S1519:S1525" si="998">P1519*K1519</f>
        <v>665.84</v>
      </c>
      <c r="T1519" s="1969">
        <f t="shared" ref="T1519:T1525" si="999">P1519-S1519</f>
        <v>2134.16</v>
      </c>
      <c r="U1519" s="2060"/>
      <c r="Z1519" s="1956"/>
      <c r="AA1519" s="1956"/>
      <c r="AC1519" s="2141"/>
      <c r="AD1519" s="2141"/>
      <c r="AG1519" s="1836"/>
      <c r="AH1519" s="1836"/>
      <c r="AI1519" s="1837"/>
      <c r="AJ1519" s="1960"/>
    </row>
    <row r="1520" spans="1:36" ht="21.95" customHeight="1" x14ac:dyDescent="0.2">
      <c r="B1520" s="2045"/>
      <c r="C1520" s="2046"/>
      <c r="D1520" s="2047" t="str">
        <f>SNI!E1299</f>
        <v>Cat penutup 2 X</v>
      </c>
      <c r="E1520" s="2047"/>
      <c r="F1520" s="2048"/>
      <c r="G1520" s="2049">
        <f>SNI!H1299</f>
        <v>0.26</v>
      </c>
      <c r="H1520" s="2050" t="str">
        <f>SNI!G1299</f>
        <v>kg</v>
      </c>
      <c r="I1520" s="2051"/>
      <c r="J1520" s="2051"/>
      <c r="K1520" s="2052">
        <f>SNI!L1299</f>
        <v>0.23780000000000001</v>
      </c>
      <c r="L1520" s="2053"/>
      <c r="M1520" s="2054"/>
      <c r="N1520" s="2055">
        <f>SNI!I1299</f>
        <v>28000</v>
      </c>
      <c r="O1520" s="2056"/>
      <c r="P1520" s="1969">
        <f t="shared" si="997"/>
        <v>7280</v>
      </c>
      <c r="Q1520" s="1953"/>
      <c r="R1520" s="1954"/>
      <c r="S1520" s="1954">
        <f t="shared" si="998"/>
        <v>1731.1840000000002</v>
      </c>
      <c r="T1520" s="1969">
        <f t="shared" si="999"/>
        <v>5548.8159999999998</v>
      </c>
      <c r="U1520" s="2060"/>
      <c r="Z1520" s="1956"/>
      <c r="AA1520" s="1956"/>
      <c r="AC1520" s="2141"/>
      <c r="AD1520" s="2141"/>
      <c r="AG1520" s="1836"/>
      <c r="AH1520" s="1836"/>
      <c r="AI1520" s="1837"/>
      <c r="AJ1520" s="1960"/>
    </row>
    <row r="1521" spans="1:36" ht="21.95" customHeight="1" x14ac:dyDescent="0.2">
      <c r="B1521" s="2045"/>
      <c r="C1521" s="2046" t="str">
        <f>SNI!D1301</f>
        <v>Tenaga Kerja</v>
      </c>
      <c r="D1521" s="2047"/>
      <c r="E1521" s="2047"/>
      <c r="F1521" s="2048"/>
      <c r="G1521" s="2049"/>
      <c r="H1521" s="2050"/>
      <c r="I1521" s="2051"/>
      <c r="J1521" s="2051"/>
      <c r="K1521" s="2052"/>
      <c r="L1521" s="2053"/>
      <c r="M1521" s="2054"/>
      <c r="N1521" s="2055"/>
      <c r="O1521" s="2056"/>
      <c r="P1521" s="1969"/>
      <c r="Q1521" s="1953"/>
      <c r="R1521" s="1954"/>
      <c r="S1521" s="1954"/>
      <c r="T1521" s="1969"/>
      <c r="U1521" s="2060"/>
      <c r="Z1521" s="1956"/>
      <c r="AA1521" s="1956"/>
      <c r="AC1521" s="2141"/>
      <c r="AD1521" s="2141"/>
      <c r="AG1521" s="1836"/>
      <c r="AH1521" s="1836"/>
      <c r="AI1521" s="1837"/>
      <c r="AJ1521" s="1960"/>
    </row>
    <row r="1522" spans="1:36" ht="21.95" customHeight="1" x14ac:dyDescent="0.2">
      <c r="B1522" s="2045"/>
      <c r="C1522" s="2046"/>
      <c r="D1522" s="2047" t="str">
        <f>SNI!E1301</f>
        <v>Pekerja</v>
      </c>
      <c r="E1522" s="2047"/>
      <c r="F1522" s="2048"/>
      <c r="G1522" s="2049">
        <f>SNI!H1301</f>
        <v>0.02</v>
      </c>
      <c r="H1522" s="2050" t="str">
        <f>SNI!G1301</f>
        <v>OH</v>
      </c>
      <c r="I1522" s="2142" t="s">
        <v>2012</v>
      </c>
      <c r="J1522" s="2051"/>
      <c r="K1522" s="2052">
        <f>SNI!L1301</f>
        <v>1</v>
      </c>
      <c r="L1522" s="2053"/>
      <c r="M1522" s="2054"/>
      <c r="N1522" s="2055">
        <f>SNI!I1301</f>
        <v>88300</v>
      </c>
      <c r="O1522" s="2056"/>
      <c r="P1522" s="1969">
        <f t="shared" si="997"/>
        <v>1766</v>
      </c>
      <c r="Q1522" s="1953"/>
      <c r="R1522" s="1954"/>
      <c r="S1522" s="1954">
        <f t="shared" si="998"/>
        <v>1766</v>
      </c>
      <c r="T1522" s="1969">
        <f t="shared" si="999"/>
        <v>0</v>
      </c>
      <c r="U1522" s="2060"/>
      <c r="Z1522" s="1956"/>
      <c r="AA1522" s="1956"/>
      <c r="AC1522" s="2141"/>
      <c r="AD1522" s="2141"/>
      <c r="AG1522" s="1836"/>
      <c r="AH1522" s="1836"/>
      <c r="AI1522" s="1837"/>
      <c r="AJ1522" s="1960"/>
    </row>
    <row r="1523" spans="1:36" ht="21.95" customHeight="1" x14ac:dyDescent="0.2">
      <c r="B1523" s="2045"/>
      <c r="C1523" s="2046"/>
      <c r="D1523" s="2047" t="str">
        <f>SNI!E1302</f>
        <v>Tukang cat</v>
      </c>
      <c r="E1523" s="2047"/>
      <c r="F1523" s="2048"/>
      <c r="G1523" s="2049">
        <f>SNI!H1302</f>
        <v>6.3E-2</v>
      </c>
      <c r="H1523" s="2050" t="str">
        <f>SNI!G1302</f>
        <v>OH</v>
      </c>
      <c r="I1523" s="2142" t="s">
        <v>2012</v>
      </c>
      <c r="J1523" s="2051"/>
      <c r="K1523" s="2052">
        <f>SNI!L1302</f>
        <v>1</v>
      </c>
      <c r="L1523" s="2053"/>
      <c r="M1523" s="2054"/>
      <c r="N1523" s="2055">
        <f>SNI!I1302</f>
        <v>90000</v>
      </c>
      <c r="O1523" s="2056"/>
      <c r="P1523" s="1969">
        <f t="shared" si="997"/>
        <v>5670</v>
      </c>
      <c r="Q1523" s="1953"/>
      <c r="R1523" s="1954"/>
      <c r="S1523" s="1954">
        <f t="shared" si="998"/>
        <v>5670</v>
      </c>
      <c r="T1523" s="1969">
        <f t="shared" si="999"/>
        <v>0</v>
      </c>
      <c r="U1523" s="2060"/>
      <c r="Z1523" s="1956"/>
      <c r="AA1523" s="1956"/>
      <c r="AC1523" s="2141"/>
      <c r="AD1523" s="2141"/>
      <c r="AG1523" s="1836"/>
      <c r="AH1523" s="1836"/>
      <c r="AI1523" s="1837"/>
      <c r="AJ1523" s="1960"/>
    </row>
    <row r="1524" spans="1:36" ht="21.95" customHeight="1" x14ac:dyDescent="0.2">
      <c r="B1524" s="2045"/>
      <c r="C1524" s="2046"/>
      <c r="D1524" s="2047" t="str">
        <f>SNI!E1303</f>
        <v>Kep.Tukang</v>
      </c>
      <c r="E1524" s="2047"/>
      <c r="F1524" s="2048"/>
      <c r="G1524" s="2049">
        <f>SNI!H1303</f>
        <v>6.3E-3</v>
      </c>
      <c r="H1524" s="2050" t="str">
        <f>SNI!G1303</f>
        <v>OH</v>
      </c>
      <c r="I1524" s="2142" t="s">
        <v>2012</v>
      </c>
      <c r="J1524" s="2051"/>
      <c r="K1524" s="2052">
        <f>SNI!L1303</f>
        <v>1</v>
      </c>
      <c r="L1524" s="2053"/>
      <c r="M1524" s="2054"/>
      <c r="N1524" s="2055">
        <f>SNI!I1303</f>
        <v>96000</v>
      </c>
      <c r="O1524" s="2056"/>
      <c r="P1524" s="1969">
        <f t="shared" si="997"/>
        <v>604.79999999999995</v>
      </c>
      <c r="Q1524" s="1953"/>
      <c r="R1524" s="1954"/>
      <c r="S1524" s="1954">
        <f t="shared" si="998"/>
        <v>604.79999999999995</v>
      </c>
      <c r="T1524" s="1969">
        <f t="shared" si="999"/>
        <v>0</v>
      </c>
      <c r="U1524" s="2060"/>
      <c r="Z1524" s="1956"/>
      <c r="AA1524" s="1956"/>
      <c r="AC1524" s="2141"/>
      <c r="AD1524" s="2141"/>
      <c r="AG1524" s="1836"/>
      <c r="AH1524" s="1836"/>
      <c r="AI1524" s="1837"/>
      <c r="AJ1524" s="1960"/>
    </row>
    <row r="1525" spans="1:36" ht="21.95" customHeight="1" x14ac:dyDescent="0.2">
      <c r="B1525" s="2045"/>
      <c r="C1525" s="2046"/>
      <c r="D1525" s="2047" t="str">
        <f>SNI!E1304</f>
        <v>Mandor</v>
      </c>
      <c r="E1525" s="2047"/>
      <c r="F1525" s="2048"/>
      <c r="G1525" s="2049">
        <f>SNI!H1304</f>
        <v>3.0000000000000001E-3</v>
      </c>
      <c r="H1525" s="2050" t="str">
        <f>SNI!G1304</f>
        <v>OH</v>
      </c>
      <c r="I1525" s="2142" t="s">
        <v>2012</v>
      </c>
      <c r="J1525" s="2051"/>
      <c r="K1525" s="2052">
        <f>SNI!L1304</f>
        <v>1</v>
      </c>
      <c r="L1525" s="2053"/>
      <c r="M1525" s="2054"/>
      <c r="N1525" s="2055">
        <f>SNI!I1304</f>
        <v>90000</v>
      </c>
      <c r="O1525" s="2056"/>
      <c r="P1525" s="1969">
        <f t="shared" si="997"/>
        <v>270</v>
      </c>
      <c r="Q1525" s="1953"/>
      <c r="R1525" s="1954"/>
      <c r="S1525" s="1954">
        <f t="shared" si="998"/>
        <v>270</v>
      </c>
      <c r="T1525" s="1969">
        <f t="shared" si="999"/>
        <v>0</v>
      </c>
      <c r="U1525" s="2060"/>
      <c r="Z1525" s="1956"/>
      <c r="AA1525" s="1956"/>
      <c r="AC1525" s="2141"/>
      <c r="AD1525" s="2141"/>
      <c r="AG1525" s="1836"/>
      <c r="AH1525" s="1836"/>
      <c r="AI1525" s="1837"/>
      <c r="AJ1525" s="1960"/>
    </row>
    <row r="1526" spans="1:36" s="1957" customFormat="1" ht="21.95" customHeight="1" x14ac:dyDescent="0.2">
      <c r="A1526" s="1942"/>
      <c r="B1526" s="1970"/>
      <c r="C1526" s="1971"/>
      <c r="D1526" s="1972"/>
      <c r="E1526" s="1973"/>
      <c r="F1526" s="1974" t="s">
        <v>556</v>
      </c>
      <c r="G1526" s="1975">
        <f>B1516</f>
        <v>3</v>
      </c>
      <c r="H1526" s="1976"/>
      <c r="I1526" s="1977"/>
      <c r="J1526" s="1977"/>
      <c r="K1526" s="1978"/>
      <c r="L1526" s="1979"/>
      <c r="M1526" s="1980"/>
      <c r="N1526" s="1981"/>
      <c r="O1526" s="1982"/>
      <c r="P1526" s="1983">
        <f>SUM(P1518:P1525)</f>
        <v>20390.8</v>
      </c>
      <c r="Q1526" s="1984"/>
      <c r="R1526" s="1985"/>
      <c r="S1526" s="1983">
        <f t="shared" ref="S1526" si="1000">SUM(S1518:S1525)</f>
        <v>10707.824000000001</v>
      </c>
      <c r="T1526" s="1983">
        <f t="shared" ref="T1526" si="1001">SUM(T1518:T1525)</f>
        <v>9682.9759999999987</v>
      </c>
      <c r="U1526" s="1986"/>
      <c r="V1526" s="1848"/>
      <c r="W1526" s="1848"/>
      <c r="X1526" s="1848"/>
      <c r="Y1526" s="1848"/>
      <c r="Z1526" s="1956"/>
      <c r="AA1526" s="1956"/>
      <c r="AF1526" s="1958"/>
      <c r="AG1526" s="1958"/>
      <c r="AH1526" s="1958"/>
      <c r="AI1526" s="1959"/>
      <c r="AJ1526" s="1960"/>
    </row>
    <row r="1527" spans="1:36" ht="21.95" customHeight="1" x14ac:dyDescent="0.2">
      <c r="A1527" s="1833">
        <f>satpek!B112</f>
        <v>93</v>
      </c>
      <c r="B1527" s="1943">
        <f>B1516+1</f>
        <v>4</v>
      </c>
      <c r="C1527" s="1937"/>
      <c r="D1527" s="1944" t="s">
        <v>1836</v>
      </c>
      <c r="E1527" s="1944"/>
      <c r="F1527" s="2004"/>
      <c r="G1527" s="1945">
        <f>'[3]B.VOL RAB'!Q550</f>
        <v>153.20949999999999</v>
      </c>
      <c r="H1527" s="1946" t="str">
        <f>VLOOKUP($A1527,satpek!$B$20:$N$144,7,0)</f>
        <v>m2</v>
      </c>
      <c r="I1527" s="1947"/>
      <c r="J1527" s="1947"/>
      <c r="K1527" s="1948"/>
      <c r="L1527" s="1949"/>
      <c r="M1527" s="1950" t="str">
        <f>VLOOKUP($A1527,satpek!$B$20:$N$144,5,0)</f>
        <v>Daftar harga</v>
      </c>
      <c r="N1527" s="1951">
        <f>VLOOKUP($A1527,satpek!$B$20:$N$144,6,0)</f>
        <v>52000</v>
      </c>
      <c r="O1527" s="1938"/>
      <c r="P1527" s="1952">
        <f t="shared" si="975"/>
        <v>7966894</v>
      </c>
      <c r="Q1527" s="1953">
        <f>VLOOKUP($A1527,satpek!$B$20:$L$138,8,0)</f>
        <v>0.2</v>
      </c>
      <c r="R1527" s="1954">
        <f>VLOOKUP($A1527,satpek!$B$20:$L$138,9,0)</f>
        <v>0</v>
      </c>
      <c r="S1527" s="1954">
        <f>VLOOKUP($A1527,satpek!$B$20:$L$138,10,0)</f>
        <v>10400</v>
      </c>
      <c r="T1527" s="1952">
        <f>S1527*G1527</f>
        <v>1593378.7999999998</v>
      </c>
      <c r="U1527" s="1955"/>
      <c r="X1527" s="1848">
        <f>P1528</f>
        <v>52000</v>
      </c>
      <c r="Y1527" s="1848">
        <f>S1528</f>
        <v>10400</v>
      </c>
      <c r="Z1527" s="1956">
        <v>153.20949999999999</v>
      </c>
      <c r="AA1527" s="1956">
        <f t="shared" si="976"/>
        <v>0</v>
      </c>
      <c r="AB1527" s="2129" t="s">
        <v>1836</v>
      </c>
      <c r="AC1527" s="1836">
        <v>19699</v>
      </c>
      <c r="AD1527" s="2061" t="e">
        <f>AB1527*AC1527/50</f>
        <v>#VALUE!</v>
      </c>
      <c r="AE1527" s="2061" t="e">
        <f>10%*AD1527</f>
        <v>#VALUE!</v>
      </c>
      <c r="AF1527" s="2061" t="e">
        <f>AD1527+AE1527</f>
        <v>#VALUE!</v>
      </c>
      <c r="AG1527" s="1836"/>
      <c r="AH1527" s="1836"/>
      <c r="AI1527" s="1837">
        <v>52000</v>
      </c>
      <c r="AJ1527" s="1960">
        <f t="shared" si="977"/>
        <v>0</v>
      </c>
    </row>
    <row r="1528" spans="1:36" s="1957" customFormat="1" ht="21.95" customHeight="1" x14ac:dyDescent="0.2">
      <c r="A1528" s="1942"/>
      <c r="B1528" s="1970"/>
      <c r="C1528" s="1971"/>
      <c r="D1528" s="1972" t="str">
        <f>D1527</f>
        <v>Waterproofing area toilet dan atap dak beton</v>
      </c>
      <c r="E1528" s="1973"/>
      <c r="F1528" s="1974"/>
      <c r="G1528" s="1975">
        <f>G1527</f>
        <v>153.20949999999999</v>
      </c>
      <c r="H1528" s="1976" t="str">
        <f>H1527</f>
        <v>m2</v>
      </c>
      <c r="I1528" s="1977"/>
      <c r="J1528" s="1977"/>
      <c r="K1528" s="1978">
        <f>satpek!I112</f>
        <v>0.2</v>
      </c>
      <c r="L1528" s="1979"/>
      <c r="M1528" s="1980"/>
      <c r="N1528" s="1981">
        <f>N1527</f>
        <v>52000</v>
      </c>
      <c r="O1528" s="1982"/>
      <c r="P1528" s="1983">
        <f>N1528</f>
        <v>52000</v>
      </c>
      <c r="Q1528" s="1984"/>
      <c r="R1528" s="1985"/>
      <c r="S1528" s="1983">
        <f>K1528*N1528</f>
        <v>10400</v>
      </c>
      <c r="T1528" s="1983">
        <f>N1528-S1528</f>
        <v>41600</v>
      </c>
      <c r="U1528" s="1986"/>
      <c r="V1528" s="1848"/>
      <c r="W1528" s="1848"/>
      <c r="X1528" s="1848"/>
      <c r="Y1528" s="1848"/>
      <c r="Z1528" s="1956"/>
      <c r="AA1528" s="1956"/>
      <c r="AF1528" s="1958"/>
      <c r="AG1528" s="1958"/>
      <c r="AH1528" s="1958"/>
      <c r="AI1528" s="1959"/>
      <c r="AJ1528" s="1960"/>
    </row>
    <row r="1529" spans="1:36" ht="21.95" customHeight="1" x14ac:dyDescent="0.2">
      <c r="B1529" s="2017"/>
      <c r="C1529" s="2018"/>
      <c r="D1529" s="2019"/>
      <c r="E1529" s="2019"/>
      <c r="F1529" s="2020"/>
      <c r="G1529" s="2021"/>
      <c r="H1529" s="2022"/>
      <c r="I1529" s="2023"/>
      <c r="J1529" s="2023"/>
      <c r="K1529" s="2024"/>
      <c r="L1529" s="2025"/>
      <c r="M1529" s="2025"/>
      <c r="N1529" s="2026" t="s">
        <v>358</v>
      </c>
      <c r="O1529" s="2027"/>
      <c r="P1529" s="2065" t="s">
        <v>1837</v>
      </c>
      <c r="Q1529" s="2029">
        <f>AVERAGE(Q1459:Q1527)</f>
        <v>0.42996162121801723</v>
      </c>
      <c r="R1529" s="2023"/>
      <c r="S1529" s="2023"/>
      <c r="T1529" s="2068">
        <f>SUM(T1459:T1527)</f>
        <v>62657039.064891048</v>
      </c>
      <c r="U1529" s="2031"/>
      <c r="V1529" s="1848">
        <f>[3]HPS!M219</f>
        <v>166372798.08999997</v>
      </c>
      <c r="W1529" s="1848" t="e">
        <f>#REF!-V1529</f>
        <v>#REF!</v>
      </c>
      <c r="Z1529" s="1956"/>
      <c r="AA1529" s="1956">
        <f t="shared" si="976"/>
        <v>0</v>
      </c>
      <c r="AB1529" s="2129"/>
      <c r="AC1529" s="1836">
        <v>19701</v>
      </c>
      <c r="AD1529" s="2061">
        <f>AB1529*AC1529/50</f>
        <v>0</v>
      </c>
      <c r="AE1529" s="2061">
        <f>10%*AD1529</f>
        <v>0</v>
      </c>
      <c r="AF1529" s="2061">
        <f>AD1529+AE1529</f>
        <v>0</v>
      </c>
      <c r="AG1529" s="1836"/>
      <c r="AH1529" s="1836"/>
      <c r="AI1529" s="1837" t="s">
        <v>358</v>
      </c>
      <c r="AJ1529" s="1960" t="e">
        <f t="shared" si="977"/>
        <v>#VALUE!</v>
      </c>
    </row>
    <row r="1530" spans="1:36" s="2157" customFormat="1" ht="21.95" customHeight="1" x14ac:dyDescent="0.2">
      <c r="A1530" s="1833"/>
      <c r="B1530" s="2143" t="s">
        <v>1838</v>
      </c>
      <c r="C1530" s="2144"/>
      <c r="D1530" s="2145" t="s">
        <v>1839</v>
      </c>
      <c r="E1530" s="2146"/>
      <c r="F1530" s="2147"/>
      <c r="G1530" s="2148"/>
      <c r="H1530" s="2149"/>
      <c r="I1530" s="2150"/>
      <c r="J1530" s="2150"/>
      <c r="K1530" s="2039"/>
      <c r="L1530" s="2151"/>
      <c r="M1530" s="2151"/>
      <c r="N1530" s="2152"/>
      <c r="O1530" s="2153"/>
      <c r="P1530" s="2154"/>
      <c r="Q1530" s="2150"/>
      <c r="R1530" s="2150"/>
      <c r="S1530" s="2150"/>
      <c r="T1530" s="2155"/>
      <c r="U1530" s="2156"/>
      <c r="V1530" s="1848"/>
      <c r="W1530" s="1848"/>
      <c r="X1530" s="1848"/>
      <c r="Y1530" s="1848"/>
      <c r="Z1530" s="1956"/>
      <c r="AA1530" s="1956">
        <f t="shared" si="976"/>
        <v>0</v>
      </c>
      <c r="AB1530" s="2157" t="s">
        <v>1839</v>
      </c>
      <c r="AE1530" s="2158"/>
      <c r="AF1530" s="2158"/>
      <c r="AG1530" s="2158"/>
      <c r="AH1530" s="2158"/>
      <c r="AI1530" s="1837"/>
      <c r="AJ1530" s="1960">
        <f t="shared" si="977"/>
        <v>0</v>
      </c>
    </row>
    <row r="1531" spans="1:36" s="2157" customFormat="1" ht="21.95" customHeight="1" x14ac:dyDescent="0.2">
      <c r="A1531" s="1833">
        <f>satpek!B110</f>
        <v>91</v>
      </c>
      <c r="B1531" s="2159">
        <v>1</v>
      </c>
      <c r="C1531" s="2160"/>
      <c r="D1531" s="1944" t="str">
        <f>VLOOKUP($A1531,satpek!$B$20:$N$144,2,0)</f>
        <v>Pemasangan GRC Listplank</v>
      </c>
      <c r="E1531" s="1944"/>
      <c r="F1531" s="2004"/>
      <c r="G1531" s="1945">
        <f>'[3]B.VOL RAB'!Q555</f>
        <v>176.3</v>
      </c>
      <c r="H1531" s="1946" t="str">
        <f>VLOOKUP($A1531,satpek!$B$20:$N$144,7,0)</f>
        <v>m'</v>
      </c>
      <c r="I1531" s="1947"/>
      <c r="J1531" s="1947"/>
      <c r="K1531" s="1948"/>
      <c r="L1531" s="1949"/>
      <c r="M1531" s="1950" t="str">
        <f>VLOOKUP($A1531,satpek!$B$20:$N$144,5,0)</f>
        <v>Daftar harga</v>
      </c>
      <c r="N1531" s="1951">
        <f>VLOOKUP($A1531,satpek!$B$20:$N$144,6,0)</f>
        <v>640000</v>
      </c>
      <c r="O1531" s="1938"/>
      <c r="P1531" s="1952">
        <f t="shared" ref="P1531" si="1002">ROUND((G1531*N1531),2)</f>
        <v>112832000</v>
      </c>
      <c r="Q1531" s="1953">
        <f>VLOOKUP($A1531,satpek!$B$20:$L$138,8,0)</f>
        <v>0.2</v>
      </c>
      <c r="R1531" s="1954">
        <f>VLOOKUP($A1531,satpek!$B$20:$L$138,9,0)</f>
        <v>0</v>
      </c>
      <c r="S1531" s="1954">
        <f>VLOOKUP($A1531,satpek!$B$20:$L$138,10,0)</f>
        <v>128000</v>
      </c>
      <c r="T1531" s="1952">
        <f>S1531*G1531</f>
        <v>22566400</v>
      </c>
      <c r="U1531" s="1955"/>
      <c r="V1531" s="1848"/>
      <c r="W1531" s="1848"/>
      <c r="X1531" s="1848">
        <f>P1532</f>
        <v>640000</v>
      </c>
      <c r="Y1531" s="1848">
        <f>S1532</f>
        <v>128000</v>
      </c>
      <c r="Z1531" s="1956">
        <v>176.3</v>
      </c>
      <c r="AA1531" s="1956">
        <f t="shared" si="976"/>
        <v>0</v>
      </c>
      <c r="AB1531" s="2157" t="s">
        <v>1914</v>
      </c>
      <c r="AE1531" s="2158"/>
      <c r="AF1531" s="2158"/>
      <c r="AG1531" s="2158"/>
      <c r="AH1531" s="2158"/>
      <c r="AI1531" s="1837">
        <v>640000</v>
      </c>
      <c r="AJ1531" s="1960">
        <f t="shared" si="977"/>
        <v>0</v>
      </c>
    </row>
    <row r="1532" spans="1:36" s="1957" customFormat="1" ht="21.95" customHeight="1" x14ac:dyDescent="0.2">
      <c r="A1532" s="1942"/>
      <c r="B1532" s="1970"/>
      <c r="C1532" s="1971"/>
      <c r="D1532" s="1972" t="str">
        <f>D1531</f>
        <v>Pemasangan GRC Listplank</v>
      </c>
      <c r="E1532" s="1973"/>
      <c r="F1532" s="1974"/>
      <c r="G1532" s="1975">
        <f>G1531</f>
        <v>176.3</v>
      </c>
      <c r="H1532" s="1976" t="str">
        <f>H1531</f>
        <v>m'</v>
      </c>
      <c r="I1532" s="1977"/>
      <c r="J1532" s="1977"/>
      <c r="K1532" s="1978">
        <f>satpek!I110</f>
        <v>0.2</v>
      </c>
      <c r="L1532" s="1979"/>
      <c r="M1532" s="1980"/>
      <c r="N1532" s="1981">
        <f>N1531</f>
        <v>640000</v>
      </c>
      <c r="O1532" s="1982"/>
      <c r="P1532" s="1983">
        <f>N1532</f>
        <v>640000</v>
      </c>
      <c r="Q1532" s="1984"/>
      <c r="R1532" s="1985"/>
      <c r="S1532" s="1983">
        <f>K1532*N1532</f>
        <v>128000</v>
      </c>
      <c r="T1532" s="1983">
        <f>N1532-S1532</f>
        <v>512000</v>
      </c>
      <c r="U1532" s="1986"/>
      <c r="V1532" s="1848"/>
      <c r="W1532" s="1848"/>
      <c r="X1532" s="1848"/>
      <c r="Y1532" s="1848"/>
      <c r="Z1532" s="1956"/>
      <c r="AA1532" s="1956"/>
      <c r="AF1532" s="1958"/>
      <c r="AG1532" s="1958"/>
      <c r="AH1532" s="1958"/>
      <c r="AI1532" s="1959"/>
      <c r="AJ1532" s="1960"/>
    </row>
    <row r="1533" spans="1:36" s="2157" customFormat="1" ht="21.95" customHeight="1" x14ac:dyDescent="0.2">
      <c r="A1533" s="1833"/>
      <c r="B1533" s="2017"/>
      <c r="C1533" s="2018"/>
      <c r="D1533" s="2019"/>
      <c r="E1533" s="2019"/>
      <c r="F1533" s="2020"/>
      <c r="G1533" s="2021"/>
      <c r="H1533" s="2022"/>
      <c r="I1533" s="2023"/>
      <c r="J1533" s="2023"/>
      <c r="K1533" s="2024"/>
      <c r="L1533" s="2025"/>
      <c r="M1533" s="2025"/>
      <c r="N1533" s="2026" t="s">
        <v>358</v>
      </c>
      <c r="O1533" s="2027"/>
      <c r="P1533" s="2065" t="s">
        <v>1840</v>
      </c>
      <c r="Q1533" s="2029">
        <f>AVERAGE(Q1530:Q1531)</f>
        <v>0.2</v>
      </c>
      <c r="R1533" s="2023"/>
      <c r="S1533" s="2023"/>
      <c r="T1533" s="2068">
        <f>SUM(T1530:T1531)</f>
        <v>22566400</v>
      </c>
      <c r="U1533" s="2031"/>
      <c r="V1533" s="1848">
        <f>[3]HPS!M222</f>
        <v>112832000</v>
      </c>
      <c r="W1533" s="1848" t="e">
        <f>#REF!-V1533</f>
        <v>#REF!</v>
      </c>
      <c r="X1533" s="1848"/>
      <c r="Y1533" s="1848"/>
      <c r="Z1533" s="1956"/>
      <c r="AA1533" s="1956">
        <f t="shared" si="976"/>
        <v>0</v>
      </c>
      <c r="AB1533" s="2161"/>
      <c r="AE1533" s="2158"/>
      <c r="AF1533" s="2158"/>
      <c r="AG1533" s="2158"/>
      <c r="AH1533" s="2158"/>
      <c r="AI1533" s="1837" t="s">
        <v>358</v>
      </c>
      <c r="AJ1533" s="1960" t="e">
        <f t="shared" si="977"/>
        <v>#VALUE!</v>
      </c>
    </row>
    <row r="1534" spans="1:36" ht="21.95" customHeight="1" x14ac:dyDescent="0.2">
      <c r="B1534" s="1927" t="s">
        <v>1841</v>
      </c>
      <c r="C1534" s="2033"/>
      <c r="D1534" s="2034" t="s">
        <v>1842</v>
      </c>
      <c r="E1534" s="2035"/>
      <c r="F1534" s="2036"/>
      <c r="G1534" s="1945"/>
      <c r="H1534" s="2037"/>
      <c r="I1534" s="2038"/>
      <c r="J1534" s="2038"/>
      <c r="K1534" s="2039"/>
      <c r="L1534" s="2040"/>
      <c r="M1534" s="2040"/>
      <c r="N1534" s="1997"/>
      <c r="O1534" s="2041"/>
      <c r="P1534" s="2042"/>
      <c r="Q1534" s="2038"/>
      <c r="R1534" s="2038"/>
      <c r="S1534" s="2038"/>
      <c r="T1534" s="2043"/>
      <c r="U1534" s="2044"/>
      <c r="Z1534" s="1956"/>
      <c r="AA1534" s="1956">
        <f t="shared" si="976"/>
        <v>0</v>
      </c>
      <c r="AB1534" s="1836" t="s">
        <v>1842</v>
      </c>
      <c r="AF1534" s="1836"/>
      <c r="AG1534" s="1836"/>
      <c r="AH1534" s="1836"/>
      <c r="AI1534" s="1837"/>
      <c r="AJ1534" s="1960">
        <f t="shared" si="977"/>
        <v>0</v>
      </c>
    </row>
    <row r="1535" spans="1:36" ht="21.95" customHeight="1" x14ac:dyDescent="0.2">
      <c r="B1535" s="1927"/>
      <c r="C1535" s="2033"/>
      <c r="D1535" s="2034" t="s">
        <v>1769</v>
      </c>
      <c r="E1535" s="2035"/>
      <c r="F1535" s="2036"/>
      <c r="G1535" s="1945"/>
      <c r="H1535" s="2037"/>
      <c r="I1535" s="2038"/>
      <c r="J1535" s="2038"/>
      <c r="K1535" s="2039"/>
      <c r="L1535" s="2040"/>
      <c r="M1535" s="2040"/>
      <c r="N1535" s="1997"/>
      <c r="O1535" s="2041"/>
      <c r="P1535" s="2042"/>
      <c r="Q1535" s="2038"/>
      <c r="R1535" s="2038"/>
      <c r="S1535" s="2038"/>
      <c r="T1535" s="2043"/>
      <c r="U1535" s="2044"/>
      <c r="Z1535" s="1956"/>
      <c r="AA1535" s="1956">
        <f t="shared" si="976"/>
        <v>0</v>
      </c>
      <c r="AB1535" s="1836" t="s">
        <v>1769</v>
      </c>
      <c r="AF1535" s="1836"/>
      <c r="AG1535" s="1836"/>
      <c r="AH1535" s="1836"/>
      <c r="AI1535" s="1837"/>
      <c r="AJ1535" s="1960">
        <f t="shared" si="977"/>
        <v>0</v>
      </c>
    </row>
    <row r="1536" spans="1:36" ht="21.95" customHeight="1" x14ac:dyDescent="0.2">
      <c r="B1536" s="2162">
        <v>1</v>
      </c>
      <c r="C1536" s="2033"/>
      <c r="D1536" s="2034" t="s">
        <v>1843</v>
      </c>
      <c r="E1536" s="2035"/>
      <c r="F1536" s="2036"/>
      <c r="G1536" s="1945"/>
      <c r="H1536" s="2037"/>
      <c r="I1536" s="2038"/>
      <c r="J1536" s="2038"/>
      <c r="K1536" s="2039"/>
      <c r="L1536" s="2040"/>
      <c r="M1536" s="2040"/>
      <c r="N1536" s="1997"/>
      <c r="O1536" s="2041"/>
      <c r="P1536" s="2042"/>
      <c r="Q1536" s="2038"/>
      <c r="R1536" s="2038"/>
      <c r="S1536" s="2038"/>
      <c r="T1536" s="2043"/>
      <c r="U1536" s="2044"/>
      <c r="Z1536" s="1956"/>
      <c r="AA1536" s="1956">
        <f t="shared" si="976"/>
        <v>0</v>
      </c>
      <c r="AB1536" s="1836" t="s">
        <v>1843</v>
      </c>
      <c r="AF1536" s="1836"/>
      <c r="AG1536" s="1836"/>
      <c r="AH1536" s="1836"/>
      <c r="AI1536" s="1837"/>
      <c r="AJ1536" s="1960">
        <f t="shared" si="977"/>
        <v>0</v>
      </c>
    </row>
    <row r="1537" spans="1:36" ht="21.95" customHeight="1" x14ac:dyDescent="0.2">
      <c r="A1537" s="1833">
        <f>satpek!B73</f>
        <v>54</v>
      </c>
      <c r="B1537" s="1943">
        <v>1</v>
      </c>
      <c r="C1537" s="1937"/>
      <c r="D1537" s="1944" t="str">
        <f>VLOOKUP($A1537,satpek!$B$20:$N$144,2,0)</f>
        <v>Memasang pipa PVC tipe AW diameter 3/4"</v>
      </c>
      <c r="E1537" s="1944"/>
      <c r="F1537" s="2004"/>
      <c r="G1537" s="1945">
        <f>'[3]B.VOL RAB'!Q560</f>
        <v>29</v>
      </c>
      <c r="H1537" s="1946" t="str">
        <f>VLOOKUP($A1537,satpek!$B$20:$N$144,7,0)</f>
        <v>m'</v>
      </c>
      <c r="I1537" s="1947"/>
      <c r="J1537" s="1947"/>
      <c r="K1537" s="1948"/>
      <c r="L1537" s="1949"/>
      <c r="M1537" s="1950" t="str">
        <f>VLOOKUP($A1537,satpek!$B$20:$N$144,5,0)</f>
        <v>A.5.1.1.26.</v>
      </c>
      <c r="N1537" s="1951">
        <f>VLOOKUP($A1537,satpek!$B$20:$N$144,6,0)</f>
        <v>24034.87</v>
      </c>
      <c r="O1537" s="1938"/>
      <c r="P1537" s="1952">
        <f t="shared" ref="P1537:P1567" si="1003">ROUND((G1537*N1537),2)</f>
        <v>697011.23</v>
      </c>
      <c r="Q1537" s="1953">
        <f>VLOOKUP($A1537,satpek!$B$20:$L$138,8,0)</f>
        <v>0.94560353176804668</v>
      </c>
      <c r="R1537" s="1954">
        <f>VLOOKUP($A1537,satpek!$B$20:$L$138,9,0)</f>
        <v>20112.797999999999</v>
      </c>
      <c r="S1537" s="1954">
        <f>VLOOKUP($A1537,satpek!$B$20:$L$138,10,0)</f>
        <v>22727.461739999999</v>
      </c>
      <c r="T1537" s="1952">
        <f>S1537*G1537</f>
        <v>659096.39045999991</v>
      </c>
      <c r="U1537" s="1955"/>
      <c r="X1537" s="1848">
        <f>P1546</f>
        <v>21269.8</v>
      </c>
      <c r="Y1537" s="1848">
        <f>S1546</f>
        <v>20112.797999999999</v>
      </c>
      <c r="Z1537" s="1956">
        <v>29</v>
      </c>
      <c r="AA1537" s="1956">
        <f t="shared" si="976"/>
        <v>0</v>
      </c>
      <c r="AB1537" s="1836" t="s">
        <v>455</v>
      </c>
      <c r="AF1537" s="1836"/>
      <c r="AG1537" s="1836"/>
      <c r="AH1537" s="1836"/>
      <c r="AI1537" s="1837">
        <v>24319.86</v>
      </c>
      <c r="AJ1537" s="1960">
        <f t="shared" si="977"/>
        <v>284.9900000000016</v>
      </c>
    </row>
    <row r="1538" spans="1:36" ht="21.95" customHeight="1" x14ac:dyDescent="0.2">
      <c r="B1538" s="2045"/>
      <c r="C1538" s="2046" t="str">
        <f>SNI!D1086</f>
        <v>Bahan</v>
      </c>
      <c r="D1538" s="2047"/>
      <c r="E1538" s="2047"/>
      <c r="F1538" s="2048"/>
      <c r="G1538" s="2049"/>
      <c r="H1538" s="2050"/>
      <c r="I1538" s="2051"/>
      <c r="J1538" s="2051"/>
      <c r="K1538" s="2052"/>
      <c r="L1538" s="2053"/>
      <c r="M1538" s="2054"/>
      <c r="N1538" s="2055"/>
      <c r="O1538" s="2056"/>
      <c r="P1538" s="2057"/>
      <c r="Q1538" s="2058"/>
      <c r="R1538" s="2059"/>
      <c r="S1538" s="2059"/>
      <c r="T1538" s="2057"/>
      <c r="U1538" s="2060"/>
      <c r="Z1538" s="1956"/>
      <c r="AA1538" s="1956"/>
      <c r="AF1538" s="1836"/>
      <c r="AG1538" s="1836"/>
      <c r="AH1538" s="1836"/>
      <c r="AI1538" s="1837"/>
      <c r="AJ1538" s="1960"/>
    </row>
    <row r="1539" spans="1:36" ht="21.95" customHeight="1" x14ac:dyDescent="0.2">
      <c r="B1539" s="2045"/>
      <c r="C1539" s="2046"/>
      <c r="D1539" s="2047" t="str">
        <f>SNI!E1086</f>
        <v>Pipa PVC 3/4"</v>
      </c>
      <c r="E1539" s="2047"/>
      <c r="F1539" s="2048"/>
      <c r="G1539" s="2049">
        <f>SNI!H1086</f>
        <v>1.2</v>
      </c>
      <c r="H1539" s="2050" t="str">
        <f>SNI!G1086</f>
        <v>m</v>
      </c>
      <c r="I1539" s="2051"/>
      <c r="J1539" s="2051"/>
      <c r="K1539" s="2052">
        <f>SNI!L1086</f>
        <v>0.94769999999999999</v>
      </c>
      <c r="L1539" s="2053"/>
      <c r="M1539" s="2054"/>
      <c r="N1539" s="2055">
        <f>SNI!I1086</f>
        <v>7700</v>
      </c>
      <c r="O1539" s="2056"/>
      <c r="P1539" s="1969">
        <f t="shared" ref="P1539" si="1004">N1539*G1539</f>
        <v>9240</v>
      </c>
      <c r="Q1539" s="1953"/>
      <c r="R1539" s="1954"/>
      <c r="S1539" s="1954">
        <f t="shared" ref="S1539" si="1005">P1539*K1539</f>
        <v>8756.7479999999996</v>
      </c>
      <c r="T1539" s="1969">
        <f t="shared" ref="T1539" si="1006">P1539-S1539</f>
        <v>483.25200000000041</v>
      </c>
      <c r="U1539" s="2060"/>
      <c r="Z1539" s="1956"/>
      <c r="AA1539" s="1956"/>
      <c r="AF1539" s="1836"/>
      <c r="AG1539" s="1836"/>
      <c r="AH1539" s="1836"/>
      <c r="AI1539" s="1837"/>
      <c r="AJ1539" s="1960"/>
    </row>
    <row r="1540" spans="1:36" ht="21.95" customHeight="1" x14ac:dyDescent="0.2">
      <c r="B1540" s="2045"/>
      <c r="C1540" s="2046"/>
      <c r="D1540" s="2047" t="str">
        <f>SNI!E1087</f>
        <v>Perlengkapan</v>
      </c>
      <c r="E1540" s="2047"/>
      <c r="F1540" s="2048"/>
      <c r="G1540" s="2049">
        <f>SNI!H1087</f>
        <v>1</v>
      </c>
      <c r="H1540" s="2050" t="str">
        <f>SNI!G1087</f>
        <v>bh</v>
      </c>
      <c r="I1540" s="2051"/>
      <c r="J1540" s="2051"/>
      <c r="K1540" s="2052">
        <f>SNI!L1087</f>
        <v>0.75</v>
      </c>
      <c r="L1540" s="2053"/>
      <c r="M1540" s="2054"/>
      <c r="N1540" s="2055">
        <f>SNI!I1087</f>
        <v>2695</v>
      </c>
      <c r="O1540" s="2056"/>
      <c r="P1540" s="1969">
        <f t="shared" ref="P1540:P1545" si="1007">N1540*G1540</f>
        <v>2695</v>
      </c>
      <c r="Q1540" s="1953"/>
      <c r="R1540" s="1954"/>
      <c r="S1540" s="1954">
        <f t="shared" ref="S1540:S1545" si="1008">P1540*K1540</f>
        <v>2021.25</v>
      </c>
      <c r="T1540" s="1969">
        <f t="shared" ref="T1540:T1545" si="1009">P1540-S1540</f>
        <v>673.75</v>
      </c>
      <c r="U1540" s="2060"/>
      <c r="Z1540" s="1956"/>
      <c r="AA1540" s="1956"/>
      <c r="AF1540" s="1836"/>
      <c r="AG1540" s="1836"/>
      <c r="AH1540" s="1836"/>
      <c r="AI1540" s="1837"/>
      <c r="AJ1540" s="1960"/>
    </row>
    <row r="1541" spans="1:36" ht="21.95" customHeight="1" x14ac:dyDescent="0.2">
      <c r="B1541" s="2045"/>
      <c r="C1541" s="2046" t="str">
        <f>SNI!D1089</f>
        <v>Tenaga Kerja</v>
      </c>
      <c r="D1541" s="2047"/>
      <c r="E1541" s="2047"/>
      <c r="F1541" s="2048"/>
      <c r="G1541" s="2049"/>
      <c r="H1541" s="2050"/>
      <c r="I1541" s="2051"/>
      <c r="J1541" s="2051"/>
      <c r="K1541" s="2052"/>
      <c r="L1541" s="2053"/>
      <c r="M1541" s="2054"/>
      <c r="N1541" s="2055"/>
      <c r="O1541" s="2056"/>
      <c r="P1541" s="1969"/>
      <c r="Q1541" s="1953"/>
      <c r="R1541" s="1954"/>
      <c r="S1541" s="1954"/>
      <c r="T1541" s="1969"/>
      <c r="U1541" s="2060"/>
      <c r="Z1541" s="1956"/>
      <c r="AA1541" s="1956"/>
      <c r="AF1541" s="1836"/>
      <c r="AG1541" s="1836"/>
      <c r="AH1541" s="1836"/>
      <c r="AI1541" s="1837"/>
      <c r="AJ1541" s="1960"/>
    </row>
    <row r="1542" spans="1:36" ht="21.95" customHeight="1" x14ac:dyDescent="0.2">
      <c r="B1542" s="2045"/>
      <c r="C1542" s="2046"/>
      <c r="D1542" s="2047" t="str">
        <f>SNI!E1089</f>
        <v>Pekerja</v>
      </c>
      <c r="E1542" s="2047"/>
      <c r="F1542" s="2048"/>
      <c r="G1542" s="2049">
        <f>SNI!H1089</f>
        <v>3.5999999999999997E-2</v>
      </c>
      <c r="H1542" s="2050" t="str">
        <f>SNI!G1089</f>
        <v>OH</v>
      </c>
      <c r="I1542" s="2142" t="s">
        <v>2012</v>
      </c>
      <c r="J1542" s="2051"/>
      <c r="K1542" s="2052">
        <f>SNI!L1089</f>
        <v>1</v>
      </c>
      <c r="L1542" s="2053"/>
      <c r="M1542" s="2054"/>
      <c r="N1542" s="2055">
        <f>SNI!I1089</f>
        <v>88300</v>
      </c>
      <c r="O1542" s="2056"/>
      <c r="P1542" s="1969">
        <f t="shared" si="1007"/>
        <v>3178.7999999999997</v>
      </c>
      <c r="Q1542" s="1953"/>
      <c r="R1542" s="1954"/>
      <c r="S1542" s="1954">
        <f t="shared" si="1008"/>
        <v>3178.7999999999997</v>
      </c>
      <c r="T1542" s="1969">
        <f t="shared" si="1009"/>
        <v>0</v>
      </c>
      <c r="U1542" s="2060"/>
      <c r="Z1542" s="1956"/>
      <c r="AA1542" s="1956"/>
      <c r="AF1542" s="1836"/>
      <c r="AG1542" s="1836"/>
      <c r="AH1542" s="1836"/>
      <c r="AI1542" s="1837"/>
      <c r="AJ1542" s="1960"/>
    </row>
    <row r="1543" spans="1:36" ht="21.95" customHeight="1" x14ac:dyDescent="0.2">
      <c r="B1543" s="2045"/>
      <c r="C1543" s="2046"/>
      <c r="D1543" s="2047" t="str">
        <f>SNI!E1090</f>
        <v>Tukang batu</v>
      </c>
      <c r="E1543" s="2047"/>
      <c r="F1543" s="2048"/>
      <c r="G1543" s="2049">
        <f>SNI!H1090</f>
        <v>0.06</v>
      </c>
      <c r="H1543" s="2050" t="str">
        <f>SNI!G1090</f>
        <v>OH</v>
      </c>
      <c r="I1543" s="2142" t="s">
        <v>2012</v>
      </c>
      <c r="J1543" s="2051"/>
      <c r="K1543" s="2052">
        <f>SNI!L1090</f>
        <v>1</v>
      </c>
      <c r="L1543" s="2053"/>
      <c r="M1543" s="2054"/>
      <c r="N1543" s="2055">
        <f>SNI!I1090</f>
        <v>90000</v>
      </c>
      <c r="O1543" s="2056"/>
      <c r="P1543" s="1969">
        <f t="shared" si="1007"/>
        <v>5400</v>
      </c>
      <c r="Q1543" s="1953"/>
      <c r="R1543" s="1954"/>
      <c r="S1543" s="1954">
        <f t="shared" si="1008"/>
        <v>5400</v>
      </c>
      <c r="T1543" s="1969">
        <f t="shared" si="1009"/>
        <v>0</v>
      </c>
      <c r="U1543" s="2060"/>
      <c r="Z1543" s="1956"/>
      <c r="AA1543" s="1956"/>
      <c r="AF1543" s="1836"/>
      <c r="AG1543" s="1836"/>
      <c r="AH1543" s="1836"/>
      <c r="AI1543" s="1837"/>
      <c r="AJ1543" s="1960"/>
    </row>
    <row r="1544" spans="1:36" ht="21.95" customHeight="1" x14ac:dyDescent="0.2">
      <c r="B1544" s="2045"/>
      <c r="C1544" s="2046"/>
      <c r="D1544" s="2047" t="str">
        <f>SNI!E1091</f>
        <v>Kepala tukang</v>
      </c>
      <c r="E1544" s="2047"/>
      <c r="F1544" s="2048"/>
      <c r="G1544" s="2049">
        <f>SNI!H1091</f>
        <v>6.0000000000000001E-3</v>
      </c>
      <c r="H1544" s="2050" t="str">
        <f>SNI!G1091</f>
        <v>OH</v>
      </c>
      <c r="I1544" s="2142" t="s">
        <v>2012</v>
      </c>
      <c r="J1544" s="2051"/>
      <c r="K1544" s="2052">
        <f>SNI!L1091</f>
        <v>1</v>
      </c>
      <c r="L1544" s="2053"/>
      <c r="M1544" s="2054"/>
      <c r="N1544" s="2055">
        <f>SNI!I1091</f>
        <v>96000</v>
      </c>
      <c r="O1544" s="2056"/>
      <c r="P1544" s="1969">
        <f t="shared" si="1007"/>
        <v>576</v>
      </c>
      <c r="Q1544" s="1953"/>
      <c r="R1544" s="1954"/>
      <c r="S1544" s="1954">
        <f t="shared" si="1008"/>
        <v>576</v>
      </c>
      <c r="T1544" s="1969">
        <f t="shared" si="1009"/>
        <v>0</v>
      </c>
      <c r="U1544" s="2060"/>
      <c r="Z1544" s="1956"/>
      <c r="AA1544" s="1956"/>
      <c r="AF1544" s="1836"/>
      <c r="AG1544" s="1836"/>
      <c r="AH1544" s="1836"/>
      <c r="AI1544" s="1837"/>
      <c r="AJ1544" s="1960"/>
    </row>
    <row r="1545" spans="1:36" ht="21.95" customHeight="1" x14ac:dyDescent="0.2">
      <c r="B1545" s="2045"/>
      <c r="C1545" s="2046"/>
      <c r="D1545" s="2047" t="str">
        <f>SNI!E1092</f>
        <v>Mandor</v>
      </c>
      <c r="E1545" s="2047"/>
      <c r="F1545" s="2048"/>
      <c r="G1545" s="2049">
        <f>SNI!H1092</f>
        <v>2E-3</v>
      </c>
      <c r="H1545" s="2050" t="str">
        <f>SNI!G1092</f>
        <v>OH</v>
      </c>
      <c r="I1545" s="2142" t="s">
        <v>2012</v>
      </c>
      <c r="J1545" s="2051"/>
      <c r="K1545" s="2052">
        <f>SNI!L1092</f>
        <v>1</v>
      </c>
      <c r="L1545" s="2053"/>
      <c r="M1545" s="2054"/>
      <c r="N1545" s="2055">
        <f>SNI!I1092</f>
        <v>90000</v>
      </c>
      <c r="O1545" s="2056"/>
      <c r="P1545" s="1969">
        <f t="shared" si="1007"/>
        <v>180</v>
      </c>
      <c r="Q1545" s="1953"/>
      <c r="R1545" s="1954"/>
      <c r="S1545" s="1954">
        <f t="shared" si="1008"/>
        <v>180</v>
      </c>
      <c r="T1545" s="1969">
        <f t="shared" si="1009"/>
        <v>0</v>
      </c>
      <c r="U1545" s="2060"/>
      <c r="Z1545" s="1956"/>
      <c r="AA1545" s="1956"/>
      <c r="AF1545" s="1836"/>
      <c r="AG1545" s="1836"/>
      <c r="AH1545" s="1836"/>
      <c r="AI1545" s="1837"/>
      <c r="AJ1545" s="1960"/>
    </row>
    <row r="1546" spans="1:36" s="1957" customFormat="1" ht="21.95" customHeight="1" x14ac:dyDescent="0.2">
      <c r="A1546" s="1942"/>
      <c r="B1546" s="1970"/>
      <c r="C1546" s="1971"/>
      <c r="D1546" s="1972"/>
      <c r="E1546" s="1973"/>
      <c r="F1546" s="1974" t="s">
        <v>556</v>
      </c>
      <c r="G1546" s="1975">
        <f>B1536</f>
        <v>1</v>
      </c>
      <c r="H1546" s="1976"/>
      <c r="I1546" s="1977"/>
      <c r="J1546" s="1977"/>
      <c r="K1546" s="1978"/>
      <c r="L1546" s="1979"/>
      <c r="M1546" s="1980"/>
      <c r="N1546" s="1981"/>
      <c r="O1546" s="1982"/>
      <c r="P1546" s="1983">
        <f>SUM(P1539:P1545)</f>
        <v>21269.8</v>
      </c>
      <c r="Q1546" s="1984"/>
      <c r="R1546" s="1985"/>
      <c r="S1546" s="1983">
        <f t="shared" ref="S1546:T1546" si="1010">SUM(S1539:S1545)</f>
        <v>20112.797999999999</v>
      </c>
      <c r="T1546" s="1983">
        <f t="shared" si="1010"/>
        <v>1157.0020000000004</v>
      </c>
      <c r="U1546" s="1986"/>
      <c r="V1546" s="1848"/>
      <c r="W1546" s="1848"/>
      <c r="X1546" s="1848"/>
      <c r="Y1546" s="1848"/>
      <c r="Z1546" s="1956"/>
      <c r="AA1546" s="1956"/>
      <c r="AF1546" s="1958"/>
      <c r="AG1546" s="1958"/>
      <c r="AH1546" s="1958"/>
      <c r="AI1546" s="1959"/>
      <c r="AJ1546" s="1960"/>
    </row>
    <row r="1547" spans="1:36" ht="21.95" customHeight="1" x14ac:dyDescent="0.2">
      <c r="A1547" s="1833">
        <f>satpek!B74</f>
        <v>55</v>
      </c>
      <c r="B1547" s="1943">
        <f>B1537+1</f>
        <v>2</v>
      </c>
      <c r="C1547" s="1937"/>
      <c r="D1547" s="1944" t="str">
        <f>VLOOKUP($A1547,satpek!$B$20:$N$144,2,0)</f>
        <v>Memasang pipa PVC tipe AW diameter 1"</v>
      </c>
      <c r="E1547" s="1944"/>
      <c r="F1547" s="2004"/>
      <c r="G1547" s="1945">
        <f>'[3]B.VOL RAB'!Q561</f>
        <v>37</v>
      </c>
      <c r="H1547" s="1946" t="str">
        <f>VLOOKUP($A1547,satpek!$B$20:$N$144,7,0)</f>
        <v>m'</v>
      </c>
      <c r="I1547" s="1947"/>
      <c r="J1547" s="1947"/>
      <c r="K1547" s="1948"/>
      <c r="L1547" s="1949"/>
      <c r="M1547" s="1950" t="str">
        <f>VLOOKUP($A1547,satpek!$B$20:$N$144,5,0)</f>
        <v>A.5.1.1.27.</v>
      </c>
      <c r="N1547" s="1951">
        <f>VLOOKUP($A1547,satpek!$B$20:$N$144,6,0)</f>
        <v>26924.85</v>
      </c>
      <c r="O1547" s="1938"/>
      <c r="P1547" s="1952">
        <f t="shared" si="1003"/>
        <v>996219.45</v>
      </c>
      <c r="Q1547" s="1953">
        <f>VLOOKUP($A1547,satpek!$B$20:$L$138,8,0)</f>
        <v>0.94103691983565063</v>
      </c>
      <c r="R1547" s="1954">
        <f>VLOOKUP($A1547,satpek!$B$20:$L$138,9,0)</f>
        <v>22422.368999999999</v>
      </c>
      <c r="S1547" s="1954">
        <f>VLOOKUP($A1547,satpek!$B$20:$L$138,10,0)</f>
        <v>25337.276969999999</v>
      </c>
      <c r="T1547" s="1952">
        <f>S1547*G1547</f>
        <v>937479.24789</v>
      </c>
      <c r="U1547" s="1955"/>
      <c r="X1547" s="1848">
        <f>P1556</f>
        <v>23827.3</v>
      </c>
      <c r="Y1547" s="1848">
        <f>S1556</f>
        <v>22422.368999999999</v>
      </c>
      <c r="Z1547" s="1956">
        <v>37</v>
      </c>
      <c r="AA1547" s="1956">
        <f t="shared" si="976"/>
        <v>0</v>
      </c>
      <c r="AB1547" s="1836" t="s">
        <v>456</v>
      </c>
      <c r="AF1547" s="1836"/>
      <c r="AG1547" s="1836"/>
      <c r="AH1547" s="1836"/>
      <c r="AI1547" s="1837">
        <v>27340.35</v>
      </c>
      <c r="AJ1547" s="1960">
        <f t="shared" si="977"/>
        <v>415.5</v>
      </c>
    </row>
    <row r="1548" spans="1:36" ht="21.95" customHeight="1" x14ac:dyDescent="0.2">
      <c r="B1548" s="2045"/>
      <c r="C1548" s="2046" t="str">
        <f>SNI!D1106</f>
        <v>Bahan</v>
      </c>
      <c r="D1548" s="2047"/>
      <c r="E1548" s="2047"/>
      <c r="F1548" s="2048"/>
      <c r="G1548" s="2049"/>
      <c r="H1548" s="2050"/>
      <c r="I1548" s="2051"/>
      <c r="J1548" s="2051"/>
      <c r="K1548" s="2052"/>
      <c r="L1548" s="2053"/>
      <c r="M1548" s="2054"/>
      <c r="N1548" s="2055"/>
      <c r="O1548" s="2056"/>
      <c r="P1548" s="2057"/>
      <c r="Q1548" s="2058"/>
      <c r="R1548" s="2059"/>
      <c r="S1548" s="2059"/>
      <c r="T1548" s="2057"/>
      <c r="U1548" s="2060"/>
      <c r="Z1548" s="1956"/>
      <c r="AA1548" s="1956"/>
      <c r="AF1548" s="1836"/>
      <c r="AG1548" s="1836"/>
      <c r="AH1548" s="1836"/>
      <c r="AI1548" s="1837"/>
      <c r="AJ1548" s="1960"/>
    </row>
    <row r="1549" spans="1:36" ht="21.95" customHeight="1" x14ac:dyDescent="0.2">
      <c r="B1549" s="2045"/>
      <c r="C1549" s="2046"/>
      <c r="D1549" s="2047" t="str">
        <f>SNI!E1106</f>
        <v>Pipa PVC 1"</v>
      </c>
      <c r="E1549" s="2047"/>
      <c r="F1549" s="2048"/>
      <c r="G1549" s="2049">
        <f>SNI!H1106</f>
        <v>1.2</v>
      </c>
      <c r="H1549" s="2050" t="str">
        <f>SNI!G1106</f>
        <v>m</v>
      </c>
      <c r="I1549" s="2051"/>
      <c r="J1549" s="2051"/>
      <c r="K1549" s="2052">
        <f>SNI!L1106</f>
        <v>0.94769999999999999</v>
      </c>
      <c r="L1549" s="2053"/>
      <c r="M1549" s="2054"/>
      <c r="N1549" s="2055">
        <f>SNI!I1106</f>
        <v>9350</v>
      </c>
      <c r="O1549" s="2056"/>
      <c r="P1549" s="1969">
        <f t="shared" ref="P1549" si="1011">N1549*G1549</f>
        <v>11220</v>
      </c>
      <c r="Q1549" s="1953"/>
      <c r="R1549" s="1954"/>
      <c r="S1549" s="1954">
        <f t="shared" ref="S1549" si="1012">P1549*K1549</f>
        <v>10633.194</v>
      </c>
      <c r="T1549" s="1969">
        <f t="shared" ref="T1549" si="1013">P1549-S1549</f>
        <v>586.80600000000049</v>
      </c>
      <c r="U1549" s="2060"/>
      <c r="Z1549" s="1956"/>
      <c r="AA1549" s="1956"/>
      <c r="AF1549" s="1836"/>
      <c r="AG1549" s="1836"/>
      <c r="AH1549" s="1836"/>
      <c r="AI1549" s="1837"/>
      <c r="AJ1549" s="1960"/>
    </row>
    <row r="1550" spans="1:36" ht="21.95" customHeight="1" x14ac:dyDescent="0.2">
      <c r="B1550" s="2045"/>
      <c r="C1550" s="2046"/>
      <c r="D1550" s="2047" t="str">
        <f>SNI!E1107</f>
        <v>Perlengkapan</v>
      </c>
      <c r="E1550" s="2047"/>
      <c r="F1550" s="2048"/>
      <c r="G1550" s="2049">
        <f>SNI!H1107</f>
        <v>1</v>
      </c>
      <c r="H1550" s="2050" t="str">
        <f>SNI!G1107</f>
        <v>bh</v>
      </c>
      <c r="I1550" s="2051"/>
      <c r="J1550" s="2051"/>
      <c r="K1550" s="2052">
        <f>SNI!L1107</f>
        <v>0.75</v>
      </c>
      <c r="L1550" s="2053"/>
      <c r="M1550" s="2054"/>
      <c r="N1550" s="2055">
        <f>SNI!I1107</f>
        <v>3272.5</v>
      </c>
      <c r="O1550" s="2056"/>
      <c r="P1550" s="1969">
        <f t="shared" ref="P1550:P1555" si="1014">N1550*G1550</f>
        <v>3272.5</v>
      </c>
      <c r="Q1550" s="1953"/>
      <c r="R1550" s="1954"/>
      <c r="S1550" s="1954">
        <f t="shared" ref="S1550:S1555" si="1015">P1550*K1550</f>
        <v>2454.375</v>
      </c>
      <c r="T1550" s="1969">
        <f t="shared" ref="T1550:T1555" si="1016">P1550-S1550</f>
        <v>818.125</v>
      </c>
      <c r="U1550" s="2060"/>
      <c r="Z1550" s="1956"/>
      <c r="AA1550" s="1956"/>
      <c r="AF1550" s="1836"/>
      <c r="AG1550" s="1836"/>
      <c r="AH1550" s="1836"/>
      <c r="AI1550" s="1837"/>
      <c r="AJ1550" s="1960"/>
    </row>
    <row r="1551" spans="1:36" ht="21.95" customHeight="1" x14ac:dyDescent="0.2">
      <c r="B1551" s="2045"/>
      <c r="C1551" s="2046" t="str">
        <f>SNI!D1109</f>
        <v>Tenaga Kerja</v>
      </c>
      <c r="D1551" s="2047"/>
      <c r="E1551" s="2047"/>
      <c r="F1551" s="2048"/>
      <c r="G1551" s="2049"/>
      <c r="H1551" s="2050"/>
      <c r="I1551" s="2051"/>
      <c r="J1551" s="2051"/>
      <c r="K1551" s="2052"/>
      <c r="L1551" s="2053"/>
      <c r="M1551" s="2054"/>
      <c r="N1551" s="2055"/>
      <c r="O1551" s="2056"/>
      <c r="P1551" s="1969"/>
      <c r="Q1551" s="1953"/>
      <c r="R1551" s="1954"/>
      <c r="S1551" s="1954"/>
      <c r="T1551" s="1969"/>
      <c r="U1551" s="2060"/>
      <c r="Z1551" s="1956"/>
      <c r="AA1551" s="1956"/>
      <c r="AF1551" s="1836"/>
      <c r="AG1551" s="1836"/>
      <c r="AH1551" s="1836"/>
      <c r="AI1551" s="1837"/>
      <c r="AJ1551" s="1960"/>
    </row>
    <row r="1552" spans="1:36" ht="21.95" customHeight="1" x14ac:dyDescent="0.2">
      <c r="B1552" s="2045"/>
      <c r="C1552" s="2046"/>
      <c r="D1552" s="2047" t="str">
        <f>SNI!E1109</f>
        <v>Pekerja</v>
      </c>
      <c r="E1552" s="2047"/>
      <c r="F1552" s="2048"/>
      <c r="G1552" s="2049">
        <f>SNI!H1109</f>
        <v>3.5999999999999997E-2</v>
      </c>
      <c r="H1552" s="2050" t="str">
        <f>SNI!G1109</f>
        <v>OH</v>
      </c>
      <c r="I1552" s="2142" t="s">
        <v>2012</v>
      </c>
      <c r="J1552" s="2051"/>
      <c r="K1552" s="2052">
        <f>SNI!L1109</f>
        <v>1</v>
      </c>
      <c r="L1552" s="2053"/>
      <c r="M1552" s="2054"/>
      <c r="N1552" s="2055">
        <f>SNI!I1109</f>
        <v>88300</v>
      </c>
      <c r="O1552" s="2056"/>
      <c r="P1552" s="1969">
        <f t="shared" si="1014"/>
        <v>3178.7999999999997</v>
      </c>
      <c r="Q1552" s="1953"/>
      <c r="R1552" s="1954"/>
      <c r="S1552" s="1954">
        <f t="shared" si="1015"/>
        <v>3178.7999999999997</v>
      </c>
      <c r="T1552" s="1969">
        <f t="shared" si="1016"/>
        <v>0</v>
      </c>
      <c r="U1552" s="2060"/>
      <c r="Z1552" s="1956"/>
      <c r="AA1552" s="1956"/>
      <c r="AF1552" s="1836"/>
      <c r="AG1552" s="1836"/>
      <c r="AH1552" s="1836"/>
      <c r="AI1552" s="1837"/>
      <c r="AJ1552" s="1960"/>
    </row>
    <row r="1553" spans="1:36" ht="21.95" customHeight="1" x14ac:dyDescent="0.2">
      <c r="B1553" s="2045"/>
      <c r="C1553" s="2046"/>
      <c r="D1553" s="2047" t="str">
        <f>SNI!E1110</f>
        <v>Tukang batu</v>
      </c>
      <c r="E1553" s="2047"/>
      <c r="F1553" s="2048"/>
      <c r="G1553" s="2049">
        <f>SNI!H1110</f>
        <v>0.06</v>
      </c>
      <c r="H1553" s="2050" t="str">
        <f>SNI!G1110</f>
        <v>OH</v>
      </c>
      <c r="I1553" s="2142" t="s">
        <v>2012</v>
      </c>
      <c r="J1553" s="2051"/>
      <c r="K1553" s="2052">
        <f>SNI!L1110</f>
        <v>1</v>
      </c>
      <c r="L1553" s="2053"/>
      <c r="M1553" s="2054"/>
      <c r="N1553" s="2055">
        <f>SNI!I1110</f>
        <v>90000</v>
      </c>
      <c r="O1553" s="2056"/>
      <c r="P1553" s="1969">
        <f t="shared" si="1014"/>
        <v>5400</v>
      </c>
      <c r="Q1553" s="1953"/>
      <c r="R1553" s="1954"/>
      <c r="S1553" s="1954">
        <f t="shared" si="1015"/>
        <v>5400</v>
      </c>
      <c r="T1553" s="1969">
        <f t="shared" si="1016"/>
        <v>0</v>
      </c>
      <c r="U1553" s="2060"/>
      <c r="Z1553" s="1956"/>
      <c r="AA1553" s="1956"/>
      <c r="AF1553" s="1836"/>
      <c r="AG1553" s="1836"/>
      <c r="AH1553" s="1836"/>
      <c r="AI1553" s="1837"/>
      <c r="AJ1553" s="1960"/>
    </row>
    <row r="1554" spans="1:36" ht="21.95" customHeight="1" x14ac:dyDescent="0.2">
      <c r="B1554" s="2045"/>
      <c r="C1554" s="2046"/>
      <c r="D1554" s="2047" t="str">
        <f>SNI!E1111</f>
        <v>Kep.Tukang</v>
      </c>
      <c r="E1554" s="2047"/>
      <c r="F1554" s="2048"/>
      <c r="G1554" s="2049">
        <f>SNI!H1111</f>
        <v>6.0000000000000001E-3</v>
      </c>
      <c r="H1554" s="2050" t="str">
        <f>SNI!G1111</f>
        <v>OH</v>
      </c>
      <c r="I1554" s="2142" t="s">
        <v>2012</v>
      </c>
      <c r="J1554" s="2051"/>
      <c r="K1554" s="2052">
        <f>SNI!L1111</f>
        <v>1</v>
      </c>
      <c r="L1554" s="2053"/>
      <c r="M1554" s="2054"/>
      <c r="N1554" s="2055">
        <f>SNI!I1111</f>
        <v>96000</v>
      </c>
      <c r="O1554" s="2056"/>
      <c r="P1554" s="1969">
        <f t="shared" si="1014"/>
        <v>576</v>
      </c>
      <c r="Q1554" s="1953"/>
      <c r="R1554" s="1954"/>
      <c r="S1554" s="1954">
        <f t="shared" si="1015"/>
        <v>576</v>
      </c>
      <c r="T1554" s="1969">
        <f t="shared" si="1016"/>
        <v>0</v>
      </c>
      <c r="U1554" s="2060"/>
      <c r="Z1554" s="1956"/>
      <c r="AA1554" s="1956"/>
      <c r="AF1554" s="1836"/>
      <c r="AG1554" s="1836"/>
      <c r="AH1554" s="1836"/>
      <c r="AI1554" s="1837"/>
      <c r="AJ1554" s="1960"/>
    </row>
    <row r="1555" spans="1:36" ht="21.95" customHeight="1" x14ac:dyDescent="0.2">
      <c r="B1555" s="2045"/>
      <c r="C1555" s="2046"/>
      <c r="D1555" s="2047" t="str">
        <f>SNI!E1112</f>
        <v>Mandor</v>
      </c>
      <c r="E1555" s="2047"/>
      <c r="F1555" s="2048"/>
      <c r="G1555" s="2049">
        <f>SNI!H1112</f>
        <v>2E-3</v>
      </c>
      <c r="H1555" s="2050" t="str">
        <f>SNI!G1112</f>
        <v>OH</v>
      </c>
      <c r="I1555" s="2142" t="s">
        <v>2012</v>
      </c>
      <c r="J1555" s="2051"/>
      <c r="K1555" s="2052">
        <f>SNI!L1112</f>
        <v>1</v>
      </c>
      <c r="L1555" s="2053"/>
      <c r="M1555" s="2054"/>
      <c r="N1555" s="2055">
        <f>SNI!I1112</f>
        <v>90000</v>
      </c>
      <c r="O1555" s="2056"/>
      <c r="P1555" s="1969">
        <f t="shared" si="1014"/>
        <v>180</v>
      </c>
      <c r="Q1555" s="1953"/>
      <c r="R1555" s="1954"/>
      <c r="S1555" s="1954">
        <f t="shared" si="1015"/>
        <v>180</v>
      </c>
      <c r="T1555" s="1969">
        <f t="shared" si="1016"/>
        <v>0</v>
      </c>
      <c r="U1555" s="2060"/>
      <c r="Z1555" s="1956"/>
      <c r="AA1555" s="1956"/>
      <c r="AF1555" s="1836"/>
      <c r="AG1555" s="1836"/>
      <c r="AH1555" s="1836"/>
      <c r="AI1555" s="1837"/>
      <c r="AJ1555" s="1960"/>
    </row>
    <row r="1556" spans="1:36" s="1957" customFormat="1" ht="21.95" customHeight="1" x14ac:dyDescent="0.2">
      <c r="A1556" s="1942"/>
      <c r="B1556" s="1970"/>
      <c r="C1556" s="1971"/>
      <c r="D1556" s="1972"/>
      <c r="E1556" s="1973"/>
      <c r="F1556" s="1974" t="s">
        <v>556</v>
      </c>
      <c r="G1556" s="1975">
        <f>B1547</f>
        <v>2</v>
      </c>
      <c r="H1556" s="1976"/>
      <c r="I1556" s="1977"/>
      <c r="J1556" s="1977"/>
      <c r="K1556" s="1978"/>
      <c r="L1556" s="1979"/>
      <c r="M1556" s="1980"/>
      <c r="N1556" s="1981"/>
      <c r="O1556" s="1982"/>
      <c r="P1556" s="1983">
        <f>SUM(P1549:P1555)</f>
        <v>23827.3</v>
      </c>
      <c r="Q1556" s="1984"/>
      <c r="R1556" s="1985"/>
      <c r="S1556" s="1983">
        <f t="shared" ref="S1556" si="1017">SUM(S1549:S1555)</f>
        <v>22422.368999999999</v>
      </c>
      <c r="T1556" s="1983">
        <f t="shared" ref="T1556" si="1018">SUM(T1549:T1555)</f>
        <v>1404.9310000000005</v>
      </c>
      <c r="U1556" s="1986"/>
      <c r="V1556" s="1848"/>
      <c r="W1556" s="1848"/>
      <c r="X1556" s="1848"/>
      <c r="Y1556" s="1848"/>
      <c r="Z1556" s="1956"/>
      <c r="AA1556" s="1956"/>
      <c r="AF1556" s="1958"/>
      <c r="AG1556" s="1958"/>
      <c r="AH1556" s="1958"/>
      <c r="AI1556" s="1959"/>
      <c r="AJ1556" s="1960"/>
    </row>
    <row r="1557" spans="1:36" ht="21.95" customHeight="1" x14ac:dyDescent="0.2">
      <c r="A1557" s="1833">
        <f>satpek!B75</f>
        <v>56</v>
      </c>
      <c r="B1557" s="1943">
        <f>B1547+1</f>
        <v>3</v>
      </c>
      <c r="C1557" s="1937"/>
      <c r="D1557" s="1944" t="str">
        <f>VLOOKUP($A1557,satpek!$B$20:$N$144,2,0)</f>
        <v>Memasang pipa PVC tipe AW diameter 1 1/2"</v>
      </c>
      <c r="E1557" s="1944"/>
      <c r="F1557" s="2004"/>
      <c r="G1557" s="1945">
        <f>'[3]B.VOL RAB'!Q562</f>
        <v>53</v>
      </c>
      <c r="H1557" s="1946" t="str">
        <f>VLOOKUP($A1557,satpek!$B$20:$N$144,7,0)</f>
        <v>m'</v>
      </c>
      <c r="I1557" s="1947"/>
      <c r="J1557" s="1947"/>
      <c r="K1557" s="1948"/>
      <c r="L1557" s="1949"/>
      <c r="M1557" s="1950" t="str">
        <f>VLOOKUP($A1557,satpek!$B$20:$N$144,5,0)</f>
        <v>A.5.1.1.28.</v>
      </c>
      <c r="N1557" s="1951">
        <f>VLOOKUP($A1557,satpek!$B$20:$N$144,6,0)</f>
        <v>49932.95</v>
      </c>
      <c r="O1557" s="1938"/>
      <c r="P1557" s="1952">
        <f t="shared" si="1003"/>
        <v>2646446.35</v>
      </c>
      <c r="Q1557" s="1953">
        <f>VLOOKUP($A1557,satpek!$B$20:$L$138,8,0)</f>
        <v>0.93377650720946315</v>
      </c>
      <c r="R1557" s="1954">
        <f>VLOOKUP($A1557,satpek!$B$20:$L$138,9,0)</f>
        <v>41262.136500000001</v>
      </c>
      <c r="S1557" s="1954">
        <f>VLOOKUP($A1557,satpek!$B$20:$L$138,10,0)</f>
        <v>46626.214245000003</v>
      </c>
      <c r="T1557" s="1952">
        <f>S1557*G1557</f>
        <v>2471189.3549850001</v>
      </c>
      <c r="U1557" s="1955"/>
      <c r="X1557" s="1848">
        <f>P1566</f>
        <v>44188.45</v>
      </c>
      <c r="Y1557" s="1848">
        <f>S1566</f>
        <v>41262.136500000001</v>
      </c>
      <c r="Z1557" s="1956">
        <v>53</v>
      </c>
      <c r="AA1557" s="1956">
        <f t="shared" si="976"/>
        <v>0</v>
      </c>
      <c r="AB1557" s="1836" t="s">
        <v>457</v>
      </c>
      <c r="AF1557" s="1836"/>
      <c r="AG1557" s="1836"/>
      <c r="AH1557" s="1836"/>
      <c r="AI1557" s="1837">
        <v>50987.3</v>
      </c>
      <c r="AJ1557" s="1960">
        <f t="shared" si="977"/>
        <v>1054.3500000000058</v>
      </c>
    </row>
    <row r="1558" spans="1:36" ht="21.95" customHeight="1" x14ac:dyDescent="0.2">
      <c r="B1558" s="2045"/>
      <c r="C1558" s="1988" t="str">
        <f>SNI!D1126</f>
        <v>Bahan</v>
      </c>
      <c r="D1558" s="2047"/>
      <c r="E1558" s="2047"/>
      <c r="F1558" s="2048"/>
      <c r="G1558" s="2049"/>
      <c r="H1558" s="2050"/>
      <c r="I1558" s="2051"/>
      <c r="J1558" s="2051"/>
      <c r="K1558" s="2052"/>
      <c r="L1558" s="2053"/>
      <c r="M1558" s="2054"/>
      <c r="N1558" s="2055"/>
      <c r="O1558" s="2056"/>
      <c r="P1558" s="2057"/>
      <c r="Q1558" s="2058"/>
      <c r="R1558" s="2059"/>
      <c r="S1558" s="2059"/>
      <c r="T1558" s="2057"/>
      <c r="U1558" s="2060"/>
      <c r="Z1558" s="1956"/>
      <c r="AA1558" s="1956"/>
      <c r="AF1558" s="1836"/>
      <c r="AG1558" s="1836"/>
      <c r="AH1558" s="1836"/>
      <c r="AI1558" s="1837"/>
      <c r="AJ1558" s="1960"/>
    </row>
    <row r="1559" spans="1:36" ht="21.95" customHeight="1" x14ac:dyDescent="0.2">
      <c r="B1559" s="2045"/>
      <c r="C1559" s="1988"/>
      <c r="D1559" s="2047" t="str">
        <f>SNI!E1126</f>
        <v>Pipa PVC 1 1/2"</v>
      </c>
      <c r="E1559" s="2047"/>
      <c r="F1559" s="2048"/>
      <c r="G1559" s="2049">
        <f>SNI!H1126</f>
        <v>1.2</v>
      </c>
      <c r="H1559" s="2050" t="str">
        <f>SNI!G1126</f>
        <v>m</v>
      </c>
      <c r="I1559" s="2051"/>
      <c r="J1559" s="2051"/>
      <c r="K1559" s="2052">
        <f>SNI!L1126</f>
        <v>0.94769999999999999</v>
      </c>
      <c r="L1559" s="2053"/>
      <c r="M1559" s="2054"/>
      <c r="N1559" s="2055">
        <f>SNI!I1126</f>
        <v>19475</v>
      </c>
      <c r="O1559" s="2056"/>
      <c r="P1559" s="1969">
        <f t="shared" ref="P1559" si="1019">N1559*G1559</f>
        <v>23370</v>
      </c>
      <c r="Q1559" s="1953"/>
      <c r="R1559" s="1954"/>
      <c r="S1559" s="1954">
        <f t="shared" ref="S1559" si="1020">P1559*K1559</f>
        <v>22147.749</v>
      </c>
      <c r="T1559" s="1969">
        <f t="shared" ref="T1559" si="1021">P1559-S1559</f>
        <v>1222.2510000000002</v>
      </c>
      <c r="U1559" s="2060"/>
      <c r="Z1559" s="1956"/>
      <c r="AA1559" s="1956"/>
      <c r="AF1559" s="1836"/>
      <c r="AG1559" s="1836"/>
      <c r="AH1559" s="1836"/>
      <c r="AI1559" s="1837"/>
      <c r="AJ1559" s="1960"/>
    </row>
    <row r="1560" spans="1:36" ht="21.95" customHeight="1" x14ac:dyDescent="0.2">
      <c r="B1560" s="2045"/>
      <c r="C1560" s="1988"/>
      <c r="D1560" s="2047" t="str">
        <f>SNI!E1127</f>
        <v>Perlengkapan</v>
      </c>
      <c r="E1560" s="2047"/>
      <c r="F1560" s="2048"/>
      <c r="G1560" s="2049">
        <f>SNI!H1127</f>
        <v>1</v>
      </c>
      <c r="H1560" s="2050" t="str">
        <f>SNI!G1127</f>
        <v>bh</v>
      </c>
      <c r="I1560" s="2051"/>
      <c r="J1560" s="2051"/>
      <c r="K1560" s="2052">
        <f>SNI!L1127</f>
        <v>0.75</v>
      </c>
      <c r="L1560" s="2053"/>
      <c r="M1560" s="2054"/>
      <c r="N1560" s="2055">
        <f>SNI!I1127</f>
        <v>6816.25</v>
      </c>
      <c r="O1560" s="2056"/>
      <c r="P1560" s="1969">
        <f t="shared" ref="P1560:P1565" si="1022">N1560*G1560</f>
        <v>6816.25</v>
      </c>
      <c r="Q1560" s="1953"/>
      <c r="R1560" s="1954"/>
      <c r="S1560" s="1954">
        <f t="shared" ref="S1560:S1565" si="1023">P1560*K1560</f>
        <v>5112.1875</v>
      </c>
      <c r="T1560" s="1969">
        <f t="shared" ref="T1560:T1565" si="1024">P1560-S1560</f>
        <v>1704.0625</v>
      </c>
      <c r="U1560" s="2060"/>
      <c r="Z1560" s="1956"/>
      <c r="AA1560" s="1956"/>
      <c r="AF1560" s="1836"/>
      <c r="AG1560" s="1836"/>
      <c r="AH1560" s="1836"/>
      <c r="AI1560" s="1837"/>
      <c r="AJ1560" s="1960"/>
    </row>
    <row r="1561" spans="1:36" ht="21.95" customHeight="1" x14ac:dyDescent="0.2">
      <c r="B1561" s="2045"/>
      <c r="C1561" s="1988" t="str">
        <f>SNI!D1129</f>
        <v>Tenaga Kerja</v>
      </c>
      <c r="D1561" s="2047"/>
      <c r="E1561" s="2047"/>
      <c r="F1561" s="2048"/>
      <c r="G1561" s="2049"/>
      <c r="H1561" s="2050"/>
      <c r="I1561" s="2051"/>
      <c r="J1561" s="2051"/>
      <c r="K1561" s="2052"/>
      <c r="L1561" s="2053"/>
      <c r="M1561" s="2054"/>
      <c r="N1561" s="2055"/>
      <c r="O1561" s="2056"/>
      <c r="P1561" s="1969"/>
      <c r="Q1561" s="1953"/>
      <c r="R1561" s="1954"/>
      <c r="S1561" s="1954"/>
      <c r="T1561" s="1969"/>
      <c r="U1561" s="2060"/>
      <c r="Z1561" s="1956"/>
      <c r="AA1561" s="1956"/>
      <c r="AF1561" s="1836"/>
      <c r="AG1561" s="1836"/>
      <c r="AH1561" s="1836"/>
      <c r="AI1561" s="1837"/>
      <c r="AJ1561" s="1960"/>
    </row>
    <row r="1562" spans="1:36" ht="21.95" customHeight="1" x14ac:dyDescent="0.2">
      <c r="B1562" s="2045"/>
      <c r="C1562" s="1988"/>
      <c r="D1562" s="2047" t="str">
        <f>SNI!E1129</f>
        <v>Pekerja</v>
      </c>
      <c r="E1562" s="2047"/>
      <c r="F1562" s="2048"/>
      <c r="G1562" s="2049">
        <f>SNI!H1129</f>
        <v>5.3999999999999999E-2</v>
      </c>
      <c r="H1562" s="2050" t="str">
        <f>SNI!G1129</f>
        <v>OH</v>
      </c>
      <c r="I1562" s="2142" t="s">
        <v>2012</v>
      </c>
      <c r="J1562" s="2051"/>
      <c r="K1562" s="2052">
        <f>SNI!L1129</f>
        <v>1</v>
      </c>
      <c r="L1562" s="2053"/>
      <c r="M1562" s="2054"/>
      <c r="N1562" s="2055">
        <f>SNI!I1129</f>
        <v>88300</v>
      </c>
      <c r="O1562" s="2056"/>
      <c r="P1562" s="1969">
        <f t="shared" si="1022"/>
        <v>4768.2</v>
      </c>
      <c r="Q1562" s="1953"/>
      <c r="R1562" s="1954"/>
      <c r="S1562" s="1954">
        <f t="shared" si="1023"/>
        <v>4768.2</v>
      </c>
      <c r="T1562" s="1969">
        <f t="shared" si="1024"/>
        <v>0</v>
      </c>
      <c r="U1562" s="2060"/>
      <c r="Z1562" s="1956"/>
      <c r="AA1562" s="1956"/>
      <c r="AF1562" s="1836"/>
      <c r="AG1562" s="1836"/>
      <c r="AH1562" s="1836"/>
      <c r="AI1562" s="1837"/>
      <c r="AJ1562" s="1960"/>
    </row>
    <row r="1563" spans="1:36" ht="21.95" customHeight="1" x14ac:dyDescent="0.2">
      <c r="B1563" s="2045"/>
      <c r="C1563" s="1988"/>
      <c r="D1563" s="2047" t="str">
        <f>SNI!E1130</f>
        <v>Tukang batu</v>
      </c>
      <c r="E1563" s="2047"/>
      <c r="F1563" s="2048"/>
      <c r="G1563" s="2049">
        <f>SNI!H1130</f>
        <v>0.09</v>
      </c>
      <c r="H1563" s="2050" t="str">
        <f>SNI!G1130</f>
        <v>OH</v>
      </c>
      <c r="I1563" s="2142" t="s">
        <v>2012</v>
      </c>
      <c r="J1563" s="2051"/>
      <c r="K1563" s="2052">
        <f>SNI!L1130</f>
        <v>1</v>
      </c>
      <c r="L1563" s="2053"/>
      <c r="M1563" s="2054"/>
      <c r="N1563" s="2055">
        <f>SNI!I1130</f>
        <v>90000</v>
      </c>
      <c r="O1563" s="2056"/>
      <c r="P1563" s="1969">
        <f t="shared" si="1022"/>
        <v>8100</v>
      </c>
      <c r="Q1563" s="1953"/>
      <c r="R1563" s="1954"/>
      <c r="S1563" s="1954">
        <f t="shared" si="1023"/>
        <v>8100</v>
      </c>
      <c r="T1563" s="1969">
        <f t="shared" si="1024"/>
        <v>0</v>
      </c>
      <c r="U1563" s="2060"/>
      <c r="Z1563" s="1956"/>
      <c r="AA1563" s="1956"/>
      <c r="AF1563" s="1836"/>
      <c r="AG1563" s="1836"/>
      <c r="AH1563" s="1836"/>
      <c r="AI1563" s="1837"/>
      <c r="AJ1563" s="1960"/>
    </row>
    <row r="1564" spans="1:36" ht="21.95" customHeight="1" x14ac:dyDescent="0.2">
      <c r="B1564" s="2045"/>
      <c r="C1564" s="1988"/>
      <c r="D1564" s="2047" t="str">
        <f>SNI!E1131</f>
        <v>Kep.Tukang</v>
      </c>
      <c r="E1564" s="2047"/>
      <c r="F1564" s="2048"/>
      <c r="G1564" s="2049">
        <f>SNI!H1131</f>
        <v>8.9999999999999993E-3</v>
      </c>
      <c r="H1564" s="2050" t="str">
        <f>SNI!G1131</f>
        <v>OH</v>
      </c>
      <c r="I1564" s="2142" t="s">
        <v>2012</v>
      </c>
      <c r="J1564" s="2051"/>
      <c r="K1564" s="2052">
        <f>SNI!L1131</f>
        <v>1</v>
      </c>
      <c r="L1564" s="2053"/>
      <c r="M1564" s="2054"/>
      <c r="N1564" s="2055">
        <f>SNI!I1131</f>
        <v>96000</v>
      </c>
      <c r="O1564" s="2056"/>
      <c r="P1564" s="1969">
        <f t="shared" si="1022"/>
        <v>863.99999999999989</v>
      </c>
      <c r="Q1564" s="1953"/>
      <c r="R1564" s="1954"/>
      <c r="S1564" s="1954">
        <f t="shared" si="1023"/>
        <v>863.99999999999989</v>
      </c>
      <c r="T1564" s="1969">
        <f t="shared" si="1024"/>
        <v>0</v>
      </c>
      <c r="U1564" s="2060"/>
      <c r="Z1564" s="1956"/>
      <c r="AA1564" s="1956"/>
      <c r="AF1564" s="1836"/>
      <c r="AG1564" s="1836"/>
      <c r="AH1564" s="1836"/>
      <c r="AI1564" s="1837"/>
      <c r="AJ1564" s="1960"/>
    </row>
    <row r="1565" spans="1:36" ht="21.95" customHeight="1" x14ac:dyDescent="0.2">
      <c r="B1565" s="2045"/>
      <c r="C1565" s="1988"/>
      <c r="D1565" s="2047" t="str">
        <f>SNI!E1132</f>
        <v>Mandor</v>
      </c>
      <c r="E1565" s="2047"/>
      <c r="F1565" s="2048"/>
      <c r="G1565" s="2049">
        <f>SNI!H1132</f>
        <v>3.0000000000000001E-3</v>
      </c>
      <c r="H1565" s="2050" t="str">
        <f>SNI!G1132</f>
        <v>OH</v>
      </c>
      <c r="I1565" s="2142" t="s">
        <v>2012</v>
      </c>
      <c r="J1565" s="2051"/>
      <c r="K1565" s="2052">
        <f>SNI!L1132</f>
        <v>1</v>
      </c>
      <c r="L1565" s="2053"/>
      <c r="M1565" s="2054"/>
      <c r="N1565" s="2055">
        <f>SNI!I1132</f>
        <v>90000</v>
      </c>
      <c r="O1565" s="2056"/>
      <c r="P1565" s="1969">
        <f t="shared" si="1022"/>
        <v>270</v>
      </c>
      <c r="Q1565" s="1953"/>
      <c r="R1565" s="1954"/>
      <c r="S1565" s="1954">
        <f t="shared" si="1023"/>
        <v>270</v>
      </c>
      <c r="T1565" s="1969">
        <f t="shared" si="1024"/>
        <v>0</v>
      </c>
      <c r="U1565" s="2060"/>
      <c r="Z1565" s="1956"/>
      <c r="AA1565" s="1956"/>
      <c r="AF1565" s="1836"/>
      <c r="AG1565" s="1836"/>
      <c r="AH1565" s="1836"/>
      <c r="AI1565" s="1837"/>
      <c r="AJ1565" s="1960"/>
    </row>
    <row r="1566" spans="1:36" s="1957" customFormat="1" ht="21.95" customHeight="1" x14ac:dyDescent="0.2">
      <c r="A1566" s="1942"/>
      <c r="B1566" s="1970"/>
      <c r="C1566" s="1971"/>
      <c r="D1566" s="1972"/>
      <c r="E1566" s="1973"/>
      <c r="F1566" s="1974" t="s">
        <v>556</v>
      </c>
      <c r="G1566" s="1975">
        <f>B1557</f>
        <v>3</v>
      </c>
      <c r="H1566" s="1976"/>
      <c r="I1566" s="1977"/>
      <c r="J1566" s="1977"/>
      <c r="K1566" s="1978"/>
      <c r="L1566" s="1979"/>
      <c r="M1566" s="1980"/>
      <c r="N1566" s="1981"/>
      <c r="O1566" s="1982"/>
      <c r="P1566" s="1983">
        <f>SUM(P1559:P1565)</f>
        <v>44188.45</v>
      </c>
      <c r="Q1566" s="1984"/>
      <c r="R1566" s="1985"/>
      <c r="S1566" s="1983">
        <f t="shared" ref="S1566" si="1025">SUM(S1559:S1565)</f>
        <v>41262.136500000001</v>
      </c>
      <c r="T1566" s="1983">
        <f t="shared" ref="T1566" si="1026">SUM(T1559:T1565)</f>
        <v>2926.3135000000002</v>
      </c>
      <c r="U1566" s="1986"/>
      <c r="V1566" s="1848"/>
      <c r="W1566" s="1848"/>
      <c r="X1566" s="1848"/>
      <c r="Y1566" s="1848"/>
      <c r="Z1566" s="1956"/>
      <c r="AA1566" s="1956"/>
      <c r="AF1566" s="1958"/>
      <c r="AG1566" s="1958"/>
      <c r="AH1566" s="1958"/>
      <c r="AI1566" s="1959"/>
      <c r="AJ1566" s="1960"/>
    </row>
    <row r="1567" spans="1:36" ht="21.95" customHeight="1" x14ac:dyDescent="0.2">
      <c r="A1567" s="1833">
        <f>satpek!$B$115</f>
        <v>96</v>
      </c>
      <c r="B1567" s="1943">
        <f>B1557+1</f>
        <v>4</v>
      </c>
      <c r="C1567" s="2033"/>
      <c r="D1567" s="1944" t="str">
        <f>VLOOKUP($A1567,satpek!$B$20:$N$144,2,0)</f>
        <v>Pemasangan stop kran PVC 1 1/2"</v>
      </c>
      <c r="E1567" s="1944"/>
      <c r="F1567" s="2004"/>
      <c r="G1567" s="1945">
        <f>'[3]B.VOL RAB'!Q563</f>
        <v>4</v>
      </c>
      <c r="H1567" s="1946" t="str">
        <f>VLOOKUP($A1567,satpek!$B$20:$N$144,7,0)</f>
        <v>bh</v>
      </c>
      <c r="I1567" s="1947"/>
      <c r="J1567" s="1947"/>
      <c r="K1567" s="1948"/>
      <c r="L1567" s="1949"/>
      <c r="M1567" s="1950" t="str">
        <f>VLOOKUP($A1567,satpek!$B$20:$N$144,5,0)</f>
        <v>Daftar harga</v>
      </c>
      <c r="N1567" s="1951">
        <f>VLOOKUP($A1567,satpek!$B$20:$N$144,6,0)</f>
        <v>159000</v>
      </c>
      <c r="O1567" s="1938"/>
      <c r="P1567" s="1952">
        <f t="shared" si="1003"/>
        <v>636000</v>
      </c>
      <c r="Q1567" s="1953">
        <f>VLOOKUP($A1567,satpek!$B$20:$L$138,8,0)</f>
        <v>0.2</v>
      </c>
      <c r="R1567" s="1954">
        <f>VLOOKUP($A1567,satpek!$B$20:$L$138,9,0)</f>
        <v>0</v>
      </c>
      <c r="S1567" s="1954">
        <f>VLOOKUP($A1567,satpek!$B$20:$L$138,10,0)</f>
        <v>31800</v>
      </c>
      <c r="T1567" s="1952">
        <f>S1567*G1567</f>
        <v>127200</v>
      </c>
      <c r="U1567" s="1955"/>
      <c r="X1567" s="1848">
        <f>P1568</f>
        <v>159000</v>
      </c>
      <c r="Y1567" s="1848">
        <f>S1568</f>
        <v>31800</v>
      </c>
      <c r="Z1567" s="1956">
        <v>4</v>
      </c>
      <c r="AA1567" s="1956">
        <f t="shared" si="976"/>
        <v>0</v>
      </c>
      <c r="AB1567" s="1836" t="s">
        <v>1844</v>
      </c>
      <c r="AF1567" s="1836"/>
      <c r="AG1567" s="1836"/>
      <c r="AH1567" s="1836"/>
      <c r="AI1567" s="1837">
        <v>159520.72</v>
      </c>
      <c r="AJ1567" s="1960">
        <f t="shared" si="977"/>
        <v>520.72000000000116</v>
      </c>
    </row>
    <row r="1568" spans="1:36" s="1957" customFormat="1" ht="21.95" customHeight="1" x14ac:dyDescent="0.2">
      <c r="A1568" s="1942"/>
      <c r="B1568" s="1970"/>
      <c r="C1568" s="1971"/>
      <c r="D1568" s="1972" t="str">
        <f>D1567</f>
        <v>Pemasangan stop kran PVC 1 1/2"</v>
      </c>
      <c r="E1568" s="1973"/>
      <c r="F1568" s="1974"/>
      <c r="G1568" s="1975">
        <f>G1567</f>
        <v>4</v>
      </c>
      <c r="H1568" s="1976" t="str">
        <f>H1567</f>
        <v>bh</v>
      </c>
      <c r="I1568" s="1977"/>
      <c r="J1568" s="1977"/>
      <c r="K1568" s="1978">
        <f>satpek!I115</f>
        <v>0.2</v>
      </c>
      <c r="L1568" s="1979"/>
      <c r="M1568" s="1980"/>
      <c r="N1568" s="1981">
        <f>N1567</f>
        <v>159000</v>
      </c>
      <c r="O1568" s="1982"/>
      <c r="P1568" s="1983">
        <f>N1568</f>
        <v>159000</v>
      </c>
      <c r="Q1568" s="1984"/>
      <c r="R1568" s="1985"/>
      <c r="S1568" s="1983">
        <f>K1568*N1568</f>
        <v>31800</v>
      </c>
      <c r="T1568" s="1983">
        <f>N1568-S1568</f>
        <v>127200</v>
      </c>
      <c r="U1568" s="1986"/>
      <c r="V1568" s="1848"/>
      <c r="W1568" s="1848"/>
      <c r="X1568" s="1848"/>
      <c r="Y1568" s="1848"/>
      <c r="Z1568" s="1956"/>
      <c r="AA1568" s="1956"/>
      <c r="AF1568" s="1958"/>
      <c r="AG1568" s="1958"/>
      <c r="AH1568" s="1958"/>
      <c r="AI1568" s="1959"/>
      <c r="AJ1568" s="1960"/>
    </row>
    <row r="1569" spans="1:36" ht="21.95" customHeight="1" x14ac:dyDescent="0.2">
      <c r="B1569" s="2162">
        <v>2</v>
      </c>
      <c r="C1569" s="2033"/>
      <c r="D1569" s="2034" t="s">
        <v>1845</v>
      </c>
      <c r="E1569" s="2035"/>
      <c r="F1569" s="2036"/>
      <c r="G1569" s="1945"/>
      <c r="H1569" s="2037"/>
      <c r="I1569" s="2038"/>
      <c r="J1569" s="2038"/>
      <c r="K1569" s="2039"/>
      <c r="L1569" s="2040"/>
      <c r="M1569" s="2040"/>
      <c r="N1569" s="1997"/>
      <c r="O1569" s="2041"/>
      <c r="P1569" s="2042"/>
      <c r="Q1569" s="2038"/>
      <c r="R1569" s="2038"/>
      <c r="S1569" s="2038"/>
      <c r="T1569" s="2043"/>
      <c r="U1569" s="2044"/>
      <c r="Z1569" s="1956"/>
      <c r="AA1569" s="1956">
        <f t="shared" si="976"/>
        <v>0</v>
      </c>
      <c r="AB1569" s="1836" t="s">
        <v>1845</v>
      </c>
      <c r="AF1569" s="1836"/>
      <c r="AG1569" s="1836"/>
      <c r="AH1569" s="1836"/>
      <c r="AI1569" s="1837"/>
      <c r="AJ1569" s="1960">
        <f t="shared" si="977"/>
        <v>0</v>
      </c>
    </row>
    <row r="1570" spans="1:36" ht="21.95" customHeight="1" x14ac:dyDescent="0.2">
      <c r="A1570" s="1833">
        <f>satpek!B75</f>
        <v>56</v>
      </c>
      <c r="B1570" s="1943">
        <v>1</v>
      </c>
      <c r="C1570" s="1937"/>
      <c r="D1570" s="1944" t="str">
        <f>VLOOKUP($A1570,satpek!$B$20:$N$144,2,0)</f>
        <v>Memasang pipa PVC tipe AW diameter 1 1/2"</v>
      </c>
      <c r="E1570" s="1944"/>
      <c r="F1570" s="2004"/>
      <c r="G1570" s="1945">
        <f>'[3]B.VOL RAB'!Q565</f>
        <v>14.8</v>
      </c>
      <c r="H1570" s="1946" t="str">
        <f>VLOOKUP($A1570,satpek!$B$20:$N$144,7,0)</f>
        <v>m'</v>
      </c>
      <c r="I1570" s="1947"/>
      <c r="J1570" s="1947"/>
      <c r="K1570" s="1948"/>
      <c r="L1570" s="1949"/>
      <c r="M1570" s="1950" t="str">
        <f>VLOOKUP($A1570,satpek!$B$20:$N$144,5,0)</f>
        <v>A.5.1.1.28.</v>
      </c>
      <c r="N1570" s="1951">
        <f>VLOOKUP($A1570,satpek!$B$20:$N$144,6,0)</f>
        <v>49932.95</v>
      </c>
      <c r="O1570" s="1938"/>
      <c r="P1570" s="1952">
        <f t="shared" ref="P1570:P1590" si="1027">ROUND((G1570*N1570),2)</f>
        <v>739007.66</v>
      </c>
      <c r="Q1570" s="1953">
        <f>VLOOKUP($A1570,satpek!$B$20:$L$138,8,0)</f>
        <v>0.93377650720946315</v>
      </c>
      <c r="R1570" s="1954">
        <f>VLOOKUP($A1570,satpek!$B$20:$L$138,9,0)</f>
        <v>41262.136500000001</v>
      </c>
      <c r="S1570" s="1954">
        <f>VLOOKUP($A1570,satpek!$B$20:$L$138,10,0)</f>
        <v>46626.214245000003</v>
      </c>
      <c r="T1570" s="1952">
        <f>S1570*G1570</f>
        <v>690067.97082600009</v>
      </c>
      <c r="U1570" s="1955"/>
      <c r="X1570" s="1848">
        <f>P1579</f>
        <v>44188.45</v>
      </c>
      <c r="Y1570" s="1848">
        <f>S1579</f>
        <v>41262.136500000001</v>
      </c>
      <c r="Z1570" s="1956">
        <v>14.8</v>
      </c>
      <c r="AA1570" s="1956">
        <f t="shared" si="976"/>
        <v>0</v>
      </c>
      <c r="AB1570" s="1836" t="s">
        <v>457</v>
      </c>
      <c r="AF1570" s="1836"/>
      <c r="AG1570" s="1836"/>
      <c r="AH1570" s="1836"/>
      <c r="AI1570" s="1837">
        <v>50987.3</v>
      </c>
      <c r="AJ1570" s="1960">
        <f t="shared" si="977"/>
        <v>1054.3500000000058</v>
      </c>
    </row>
    <row r="1571" spans="1:36" ht="21.95" customHeight="1" x14ac:dyDescent="0.2">
      <c r="B1571" s="2045"/>
      <c r="C1571" s="2046" t="str">
        <f>SNI!D1126</f>
        <v>Bahan</v>
      </c>
      <c r="D1571" s="2047"/>
      <c r="E1571" s="2047"/>
      <c r="F1571" s="2048"/>
      <c r="G1571" s="2049"/>
      <c r="H1571" s="2050"/>
      <c r="I1571" s="2051"/>
      <c r="J1571" s="2051"/>
      <c r="K1571" s="2052"/>
      <c r="L1571" s="2053"/>
      <c r="M1571" s="2054"/>
      <c r="N1571" s="2055"/>
      <c r="O1571" s="2056"/>
      <c r="P1571" s="2057"/>
      <c r="Q1571" s="2058"/>
      <c r="R1571" s="2059"/>
      <c r="S1571" s="2059"/>
      <c r="T1571" s="2057"/>
      <c r="U1571" s="2060"/>
      <c r="Z1571" s="1956"/>
      <c r="AA1571" s="1956"/>
      <c r="AF1571" s="1836"/>
      <c r="AG1571" s="1836"/>
      <c r="AH1571" s="1836"/>
      <c r="AI1571" s="1837"/>
      <c r="AJ1571" s="1960"/>
    </row>
    <row r="1572" spans="1:36" ht="21.95" customHeight="1" x14ac:dyDescent="0.2">
      <c r="B1572" s="2045"/>
      <c r="C1572" s="2046"/>
      <c r="D1572" s="2047" t="str">
        <f>SNI!E1126</f>
        <v>Pipa PVC 1 1/2"</v>
      </c>
      <c r="E1572" s="2047"/>
      <c r="F1572" s="2048"/>
      <c r="G1572" s="2049">
        <f>SNI!H1126</f>
        <v>1.2</v>
      </c>
      <c r="H1572" s="2050" t="str">
        <f>SNI!G1126</f>
        <v>m</v>
      </c>
      <c r="I1572" s="2051"/>
      <c r="J1572" s="2051"/>
      <c r="K1572" s="2052">
        <f>SNI!L1126</f>
        <v>0.94769999999999999</v>
      </c>
      <c r="L1572" s="2053"/>
      <c r="M1572" s="2054"/>
      <c r="N1572" s="2055">
        <f>SNI!I1126</f>
        <v>19475</v>
      </c>
      <c r="O1572" s="2056"/>
      <c r="P1572" s="1969">
        <f t="shared" ref="P1572" si="1028">N1572*G1572</f>
        <v>23370</v>
      </c>
      <c r="Q1572" s="1953"/>
      <c r="R1572" s="1954"/>
      <c r="S1572" s="1954">
        <f t="shared" ref="S1572" si="1029">P1572*K1572</f>
        <v>22147.749</v>
      </c>
      <c r="T1572" s="1969">
        <f t="shared" ref="T1572" si="1030">P1572-S1572</f>
        <v>1222.2510000000002</v>
      </c>
      <c r="U1572" s="2060"/>
      <c r="Z1572" s="1956"/>
      <c r="AA1572" s="1956"/>
      <c r="AF1572" s="1836"/>
      <c r="AG1572" s="1836"/>
      <c r="AH1572" s="1836"/>
      <c r="AI1572" s="1837"/>
      <c r="AJ1572" s="1960"/>
    </row>
    <row r="1573" spans="1:36" ht="21.95" customHeight="1" x14ac:dyDescent="0.2">
      <c r="B1573" s="2045"/>
      <c r="C1573" s="2046"/>
      <c r="D1573" s="2047" t="str">
        <f>SNI!E1127</f>
        <v>Perlengkapan</v>
      </c>
      <c r="E1573" s="2047"/>
      <c r="F1573" s="2048"/>
      <c r="G1573" s="2049">
        <f>SNI!H1127</f>
        <v>1</v>
      </c>
      <c r="H1573" s="2050" t="str">
        <f>SNI!G1127</f>
        <v>bh</v>
      </c>
      <c r="I1573" s="2051"/>
      <c r="J1573" s="2051"/>
      <c r="K1573" s="2052">
        <f>SNI!L1127</f>
        <v>0.75</v>
      </c>
      <c r="L1573" s="2053"/>
      <c r="M1573" s="2054"/>
      <c r="N1573" s="2055">
        <f>SNI!I1127</f>
        <v>6816.25</v>
      </c>
      <c r="O1573" s="2056"/>
      <c r="P1573" s="1969">
        <f t="shared" ref="P1573:P1578" si="1031">N1573*G1573</f>
        <v>6816.25</v>
      </c>
      <c r="Q1573" s="1953"/>
      <c r="R1573" s="1954"/>
      <c r="S1573" s="1954">
        <f t="shared" ref="S1573:S1578" si="1032">P1573*K1573</f>
        <v>5112.1875</v>
      </c>
      <c r="T1573" s="1969">
        <f t="shared" ref="T1573:T1578" si="1033">P1573-S1573</f>
        <v>1704.0625</v>
      </c>
      <c r="U1573" s="2060"/>
      <c r="Z1573" s="1956"/>
      <c r="AA1573" s="1956"/>
      <c r="AF1573" s="1836"/>
      <c r="AG1573" s="1836"/>
      <c r="AH1573" s="1836"/>
      <c r="AI1573" s="1837"/>
      <c r="AJ1573" s="1960"/>
    </row>
    <row r="1574" spans="1:36" ht="21.95" customHeight="1" x14ac:dyDescent="0.2">
      <c r="B1574" s="2045"/>
      <c r="C1574" s="2046" t="str">
        <f>SNI!D1129</f>
        <v>Tenaga Kerja</v>
      </c>
      <c r="D1574" s="2047"/>
      <c r="E1574" s="2047"/>
      <c r="F1574" s="2048"/>
      <c r="G1574" s="2049"/>
      <c r="H1574" s="2050"/>
      <c r="I1574" s="2051"/>
      <c r="J1574" s="2051"/>
      <c r="K1574" s="2052"/>
      <c r="L1574" s="2053"/>
      <c r="M1574" s="2054"/>
      <c r="N1574" s="2055"/>
      <c r="O1574" s="2056"/>
      <c r="P1574" s="1969"/>
      <c r="Q1574" s="1953"/>
      <c r="R1574" s="1954"/>
      <c r="S1574" s="1954"/>
      <c r="T1574" s="1969"/>
      <c r="U1574" s="2060"/>
      <c r="Z1574" s="1956"/>
      <c r="AA1574" s="1956"/>
      <c r="AF1574" s="1836"/>
      <c r="AG1574" s="1836"/>
      <c r="AH1574" s="1836"/>
      <c r="AI1574" s="1837"/>
      <c r="AJ1574" s="1960"/>
    </row>
    <row r="1575" spans="1:36" ht="21.95" customHeight="1" x14ac:dyDescent="0.2">
      <c r="B1575" s="2045"/>
      <c r="C1575" s="2046"/>
      <c r="D1575" s="2047" t="str">
        <f>SNI!E1129</f>
        <v>Pekerja</v>
      </c>
      <c r="E1575" s="2047"/>
      <c r="F1575" s="2048"/>
      <c r="G1575" s="2049">
        <f>SNI!H1129</f>
        <v>5.3999999999999999E-2</v>
      </c>
      <c r="H1575" s="2050" t="str">
        <f>SNI!G1129</f>
        <v>OH</v>
      </c>
      <c r="I1575" s="2142" t="s">
        <v>2012</v>
      </c>
      <c r="J1575" s="2051"/>
      <c r="K1575" s="2052">
        <f>SNI!L1129</f>
        <v>1</v>
      </c>
      <c r="L1575" s="2053"/>
      <c r="M1575" s="2054"/>
      <c r="N1575" s="2055">
        <f>SNI!I1129</f>
        <v>88300</v>
      </c>
      <c r="O1575" s="2056"/>
      <c r="P1575" s="1969">
        <f t="shared" si="1031"/>
        <v>4768.2</v>
      </c>
      <c r="Q1575" s="1953"/>
      <c r="R1575" s="1954"/>
      <c r="S1575" s="1954">
        <f t="shared" si="1032"/>
        <v>4768.2</v>
      </c>
      <c r="T1575" s="1969">
        <f t="shared" si="1033"/>
        <v>0</v>
      </c>
      <c r="U1575" s="2060"/>
      <c r="Z1575" s="1956"/>
      <c r="AA1575" s="1956"/>
      <c r="AF1575" s="1836"/>
      <c r="AG1575" s="1836"/>
      <c r="AH1575" s="1836"/>
      <c r="AI1575" s="1837"/>
      <c r="AJ1575" s="1960"/>
    </row>
    <row r="1576" spans="1:36" ht="21.95" customHeight="1" x14ac:dyDescent="0.2">
      <c r="B1576" s="2045"/>
      <c r="C1576" s="2046"/>
      <c r="D1576" s="2047" t="str">
        <f>SNI!E1130</f>
        <v>Tukang batu</v>
      </c>
      <c r="E1576" s="2047"/>
      <c r="F1576" s="2048"/>
      <c r="G1576" s="2049">
        <f>SNI!H1130</f>
        <v>0.09</v>
      </c>
      <c r="H1576" s="2050" t="str">
        <f>SNI!G1130</f>
        <v>OH</v>
      </c>
      <c r="I1576" s="2142" t="s">
        <v>2012</v>
      </c>
      <c r="J1576" s="2051"/>
      <c r="K1576" s="2052">
        <f>SNI!L1130</f>
        <v>1</v>
      </c>
      <c r="L1576" s="2053"/>
      <c r="M1576" s="2054"/>
      <c r="N1576" s="2055">
        <f>SNI!I1130</f>
        <v>90000</v>
      </c>
      <c r="O1576" s="2056"/>
      <c r="P1576" s="1969">
        <f t="shared" si="1031"/>
        <v>8100</v>
      </c>
      <c r="Q1576" s="1953"/>
      <c r="R1576" s="1954"/>
      <c r="S1576" s="1954">
        <f t="shared" si="1032"/>
        <v>8100</v>
      </c>
      <c r="T1576" s="1969">
        <f t="shared" si="1033"/>
        <v>0</v>
      </c>
      <c r="U1576" s="2060"/>
      <c r="Z1576" s="1956"/>
      <c r="AA1576" s="1956"/>
      <c r="AF1576" s="1836"/>
      <c r="AG1576" s="1836"/>
      <c r="AH1576" s="1836"/>
      <c r="AI1576" s="1837"/>
      <c r="AJ1576" s="1960"/>
    </row>
    <row r="1577" spans="1:36" ht="21.95" customHeight="1" x14ac:dyDescent="0.2">
      <c r="B1577" s="2045"/>
      <c r="C1577" s="2046"/>
      <c r="D1577" s="2047" t="str">
        <f>SNI!E1131</f>
        <v>Kep.Tukang</v>
      </c>
      <c r="E1577" s="2047"/>
      <c r="F1577" s="2048"/>
      <c r="G1577" s="2049">
        <f>SNI!H1131</f>
        <v>8.9999999999999993E-3</v>
      </c>
      <c r="H1577" s="2050" t="str">
        <f>SNI!G1131</f>
        <v>OH</v>
      </c>
      <c r="I1577" s="2142" t="s">
        <v>2012</v>
      </c>
      <c r="J1577" s="2051"/>
      <c r="K1577" s="2052">
        <f>SNI!L1131</f>
        <v>1</v>
      </c>
      <c r="L1577" s="2053"/>
      <c r="M1577" s="2054"/>
      <c r="N1577" s="2055">
        <f>SNI!I1131</f>
        <v>96000</v>
      </c>
      <c r="O1577" s="2056"/>
      <c r="P1577" s="1969">
        <f t="shared" si="1031"/>
        <v>863.99999999999989</v>
      </c>
      <c r="Q1577" s="1953"/>
      <c r="R1577" s="1954"/>
      <c r="S1577" s="1954">
        <f t="shared" si="1032"/>
        <v>863.99999999999989</v>
      </c>
      <c r="T1577" s="1969">
        <f t="shared" si="1033"/>
        <v>0</v>
      </c>
      <c r="U1577" s="2060"/>
      <c r="Z1577" s="1956"/>
      <c r="AA1577" s="1956"/>
      <c r="AF1577" s="1836"/>
      <c r="AG1577" s="1836"/>
      <c r="AH1577" s="1836"/>
      <c r="AI1577" s="1837"/>
      <c r="AJ1577" s="1960"/>
    </row>
    <row r="1578" spans="1:36" ht="21.95" customHeight="1" x14ac:dyDescent="0.2">
      <c r="B1578" s="2045"/>
      <c r="C1578" s="2046"/>
      <c r="D1578" s="2047" t="str">
        <f>SNI!E1132</f>
        <v>Mandor</v>
      </c>
      <c r="E1578" s="2047"/>
      <c r="F1578" s="2048"/>
      <c r="G1578" s="2049">
        <f>SNI!H1132</f>
        <v>3.0000000000000001E-3</v>
      </c>
      <c r="H1578" s="2050" t="str">
        <f>SNI!G1132</f>
        <v>OH</v>
      </c>
      <c r="I1578" s="2142" t="s">
        <v>2012</v>
      </c>
      <c r="J1578" s="2051"/>
      <c r="K1578" s="2052">
        <f>SNI!L1132</f>
        <v>1</v>
      </c>
      <c r="L1578" s="2053"/>
      <c r="M1578" s="2054"/>
      <c r="N1578" s="2055">
        <f>SNI!I1132</f>
        <v>90000</v>
      </c>
      <c r="O1578" s="2056"/>
      <c r="P1578" s="1969">
        <f t="shared" si="1031"/>
        <v>270</v>
      </c>
      <c r="Q1578" s="1953"/>
      <c r="R1578" s="1954"/>
      <c r="S1578" s="1954">
        <f t="shared" si="1032"/>
        <v>270</v>
      </c>
      <c r="T1578" s="1969">
        <f t="shared" si="1033"/>
        <v>0</v>
      </c>
      <c r="U1578" s="2060"/>
      <c r="Z1578" s="1956"/>
      <c r="AA1578" s="1956"/>
      <c r="AF1578" s="1836"/>
      <c r="AG1578" s="1836"/>
      <c r="AH1578" s="1836"/>
      <c r="AI1578" s="1837"/>
      <c r="AJ1578" s="1960"/>
    </row>
    <row r="1579" spans="1:36" s="1957" customFormat="1" ht="21.95" customHeight="1" x14ac:dyDescent="0.2">
      <c r="A1579" s="1942"/>
      <c r="B1579" s="1970"/>
      <c r="C1579" s="1971"/>
      <c r="D1579" s="1972"/>
      <c r="E1579" s="1973"/>
      <c r="F1579" s="1974" t="s">
        <v>556</v>
      </c>
      <c r="G1579" s="1975">
        <f>B1570</f>
        <v>1</v>
      </c>
      <c r="H1579" s="1976"/>
      <c r="I1579" s="1977"/>
      <c r="J1579" s="1977"/>
      <c r="K1579" s="1978"/>
      <c r="L1579" s="1979"/>
      <c r="M1579" s="1980"/>
      <c r="N1579" s="1981"/>
      <c r="O1579" s="1982"/>
      <c r="P1579" s="1983">
        <f>SUM(P1572:P1578)</f>
        <v>44188.45</v>
      </c>
      <c r="Q1579" s="1984"/>
      <c r="R1579" s="1985"/>
      <c r="S1579" s="1983">
        <f t="shared" ref="S1579" si="1034">SUM(S1572:S1578)</f>
        <v>41262.136500000001</v>
      </c>
      <c r="T1579" s="1983">
        <f t="shared" ref="T1579" si="1035">SUM(T1572:T1578)</f>
        <v>2926.3135000000002</v>
      </c>
      <c r="U1579" s="1986"/>
      <c r="V1579" s="1848"/>
      <c r="W1579" s="1848"/>
      <c r="X1579" s="1848"/>
      <c r="Y1579" s="1848"/>
      <c r="Z1579" s="1956"/>
      <c r="AA1579" s="1956"/>
      <c r="AF1579" s="1958"/>
      <c r="AG1579" s="1958"/>
      <c r="AH1579" s="1958"/>
      <c r="AI1579" s="1959"/>
      <c r="AJ1579" s="1960"/>
    </row>
    <row r="1580" spans="1:36" ht="21.95" customHeight="1" x14ac:dyDescent="0.2">
      <c r="A1580" s="1833">
        <f>satpek!B76</f>
        <v>57</v>
      </c>
      <c r="B1580" s="1943">
        <f>B1570+1</f>
        <v>2</v>
      </c>
      <c r="C1580" s="1937"/>
      <c r="D1580" s="1944" t="str">
        <f>VLOOKUP($A1580,satpek!$B$20:$N$144,2,0)</f>
        <v>Memasang pipa PVC tipe AW diameter 2"</v>
      </c>
      <c r="E1580" s="1944"/>
      <c r="F1580" s="2004"/>
      <c r="G1580" s="1945">
        <f>'[3]B.VOL RAB'!Q566</f>
        <v>15.8</v>
      </c>
      <c r="H1580" s="1946" t="str">
        <f>VLOOKUP($A1580,satpek!$B$20:$N$144,7,0)</f>
        <v>m'</v>
      </c>
      <c r="I1580" s="1947"/>
      <c r="J1580" s="1947"/>
      <c r="K1580" s="1948"/>
      <c r="L1580" s="1949"/>
      <c r="M1580" s="1950" t="str">
        <f>VLOOKUP($A1580,satpek!$B$20:$N$144,5,0)</f>
        <v>A.5.1.1.29.</v>
      </c>
      <c r="N1580" s="1951">
        <f>VLOOKUP($A1580,satpek!$B$20:$N$144,6,0)</f>
        <v>78438.61</v>
      </c>
      <c r="O1580" s="1938"/>
      <c r="P1580" s="1952">
        <f t="shared" si="1027"/>
        <v>1239330.04</v>
      </c>
      <c r="Q1580" s="1953">
        <f>VLOOKUP($A1580,satpek!$B$20:$L$138,8,0)</f>
        <v>0.92261300560255965</v>
      </c>
      <c r="R1580" s="1954">
        <f>VLOOKUP($A1580,satpek!$B$20:$L$138,9,0)</f>
        <v>64042.904999999999</v>
      </c>
      <c r="S1580" s="1954">
        <f>VLOOKUP($A1580,satpek!$B$20:$L$138,10,0)</f>
        <v>72368.482649999991</v>
      </c>
      <c r="T1580" s="1952">
        <f>S1580*G1580</f>
        <v>1143422.02587</v>
      </c>
      <c r="U1580" s="1955"/>
      <c r="X1580" s="1848">
        <f>P1589</f>
        <v>69414.7</v>
      </c>
      <c r="Y1580" s="1848">
        <f>S1589</f>
        <v>64042.904999999999</v>
      </c>
      <c r="Z1580" s="1956">
        <v>15.8</v>
      </c>
      <c r="AA1580" s="1956">
        <f t="shared" si="976"/>
        <v>0</v>
      </c>
      <c r="AB1580" s="1836" t="s">
        <v>458</v>
      </c>
      <c r="AF1580" s="1836"/>
      <c r="AG1580" s="1836"/>
      <c r="AH1580" s="1836"/>
      <c r="AI1580" s="1837">
        <v>80780.31</v>
      </c>
      <c r="AJ1580" s="1960">
        <f t="shared" si="977"/>
        <v>2341.6999999999971</v>
      </c>
    </row>
    <row r="1581" spans="1:36" ht="21.95" customHeight="1" x14ac:dyDescent="0.2">
      <c r="B1581" s="2045"/>
      <c r="C1581" s="2046" t="str">
        <f>SNI!D1145</f>
        <v>Bahan</v>
      </c>
      <c r="D1581" s="2047"/>
      <c r="E1581" s="2047"/>
      <c r="F1581" s="2048"/>
      <c r="G1581" s="2049"/>
      <c r="H1581" s="2050"/>
      <c r="I1581" s="2051"/>
      <c r="J1581" s="2051"/>
      <c r="K1581" s="2052"/>
      <c r="L1581" s="2053"/>
      <c r="M1581" s="2054"/>
      <c r="N1581" s="2055"/>
      <c r="O1581" s="2056"/>
      <c r="P1581" s="2057"/>
      <c r="Q1581" s="2058"/>
      <c r="R1581" s="2059"/>
      <c r="S1581" s="2059"/>
      <c r="T1581" s="2057"/>
      <c r="U1581" s="2060"/>
      <c r="Z1581" s="1956"/>
      <c r="AA1581" s="1956"/>
      <c r="AF1581" s="1836"/>
      <c r="AG1581" s="1836"/>
      <c r="AH1581" s="1836"/>
      <c r="AI1581" s="1837"/>
      <c r="AJ1581" s="1960"/>
    </row>
    <row r="1582" spans="1:36" ht="21.95" customHeight="1" x14ac:dyDescent="0.2">
      <c r="B1582" s="2045"/>
      <c r="C1582" s="2046"/>
      <c r="D1582" s="2047" t="str">
        <f>SNI!E1145</f>
        <v>Pipa PVC 2"</v>
      </c>
      <c r="E1582" s="2047"/>
      <c r="F1582" s="2048"/>
      <c r="G1582" s="2049">
        <f>SNI!H1145</f>
        <v>1.2</v>
      </c>
      <c r="H1582" s="2050" t="str">
        <f>SNI!G1145</f>
        <v>m</v>
      </c>
      <c r="I1582" s="2051"/>
      <c r="J1582" s="2051"/>
      <c r="K1582" s="2052">
        <f>SNI!L1145</f>
        <v>0.94769999999999999</v>
      </c>
      <c r="L1582" s="2053"/>
      <c r="M1582" s="2054"/>
      <c r="N1582" s="2055">
        <f>SNI!I1145</f>
        <v>35750</v>
      </c>
      <c r="O1582" s="2056"/>
      <c r="P1582" s="1969">
        <f t="shared" ref="P1582" si="1036">N1582*G1582</f>
        <v>42900</v>
      </c>
      <c r="Q1582" s="1953"/>
      <c r="R1582" s="1954"/>
      <c r="S1582" s="1954">
        <f t="shared" ref="S1582" si="1037">P1582*K1582</f>
        <v>40656.33</v>
      </c>
      <c r="T1582" s="1969">
        <f t="shared" ref="T1582" si="1038">P1582-S1582</f>
        <v>2243.6699999999983</v>
      </c>
      <c r="U1582" s="2060"/>
      <c r="Z1582" s="1956"/>
      <c r="AA1582" s="1956"/>
      <c r="AF1582" s="1836"/>
      <c r="AG1582" s="1836"/>
      <c r="AH1582" s="1836"/>
      <c r="AI1582" s="1837"/>
      <c r="AJ1582" s="1960"/>
    </row>
    <row r="1583" spans="1:36" ht="21.95" customHeight="1" x14ac:dyDescent="0.2">
      <c r="B1583" s="2045"/>
      <c r="C1583" s="2046"/>
      <c r="D1583" s="2047" t="str">
        <f>SNI!E1146</f>
        <v>Perlengkapan</v>
      </c>
      <c r="E1583" s="2047"/>
      <c r="F1583" s="2048"/>
      <c r="G1583" s="2049">
        <f>SNI!H1146</f>
        <v>1</v>
      </c>
      <c r="H1583" s="2050" t="str">
        <f>SNI!G1146</f>
        <v>bh</v>
      </c>
      <c r="I1583" s="2051"/>
      <c r="J1583" s="2051"/>
      <c r="K1583" s="2052">
        <f>SNI!L1146</f>
        <v>0.75</v>
      </c>
      <c r="L1583" s="2053"/>
      <c r="M1583" s="2054"/>
      <c r="N1583" s="2055">
        <f>SNI!I1146</f>
        <v>12512.5</v>
      </c>
      <c r="O1583" s="2056"/>
      <c r="P1583" s="1969">
        <f t="shared" ref="P1583:P1588" si="1039">N1583*G1583</f>
        <v>12512.5</v>
      </c>
      <c r="Q1583" s="1953"/>
      <c r="R1583" s="1954"/>
      <c r="S1583" s="1954">
        <f t="shared" ref="S1583:S1588" si="1040">P1583*K1583</f>
        <v>9384.375</v>
      </c>
      <c r="T1583" s="1969">
        <f t="shared" ref="T1583:T1588" si="1041">P1583-S1583</f>
        <v>3128.125</v>
      </c>
      <c r="U1583" s="2060"/>
      <c r="Z1583" s="1956"/>
      <c r="AA1583" s="1956"/>
      <c r="AF1583" s="1836"/>
      <c r="AG1583" s="1836"/>
      <c r="AH1583" s="1836"/>
      <c r="AI1583" s="1837"/>
      <c r="AJ1583" s="1960"/>
    </row>
    <row r="1584" spans="1:36" ht="21.95" customHeight="1" x14ac:dyDescent="0.2">
      <c r="B1584" s="2045"/>
      <c r="C1584" s="2046" t="str">
        <f>SNI!D1148</f>
        <v>Tenaga Kerja</v>
      </c>
      <c r="D1584" s="2047"/>
      <c r="E1584" s="2047"/>
      <c r="F1584" s="2048"/>
      <c r="G1584" s="2049"/>
      <c r="H1584" s="2050"/>
      <c r="I1584" s="2051"/>
      <c r="J1584" s="2051"/>
      <c r="K1584" s="2052"/>
      <c r="L1584" s="2053"/>
      <c r="M1584" s="2054"/>
      <c r="N1584" s="2055"/>
      <c r="O1584" s="2056"/>
      <c r="P1584" s="1969"/>
      <c r="Q1584" s="1953"/>
      <c r="R1584" s="1954"/>
      <c r="S1584" s="1954"/>
      <c r="T1584" s="1969"/>
      <c r="U1584" s="2060"/>
      <c r="Z1584" s="1956"/>
      <c r="AA1584" s="1956"/>
      <c r="AF1584" s="1836"/>
      <c r="AG1584" s="1836"/>
      <c r="AH1584" s="1836"/>
      <c r="AI1584" s="1837"/>
      <c r="AJ1584" s="1960"/>
    </row>
    <row r="1585" spans="1:36" ht="21.95" customHeight="1" x14ac:dyDescent="0.2">
      <c r="B1585" s="2045"/>
      <c r="C1585" s="2046"/>
      <c r="D1585" s="2047" t="str">
        <f>SNI!E1148</f>
        <v>Pekerja</v>
      </c>
      <c r="E1585" s="2047"/>
      <c r="F1585" s="2048"/>
      <c r="G1585" s="2049">
        <f>SNI!H1148</f>
        <v>5.3999999999999999E-2</v>
      </c>
      <c r="H1585" s="2050" t="str">
        <f>SNI!G1148</f>
        <v>OH</v>
      </c>
      <c r="I1585" s="2142" t="s">
        <v>2012</v>
      </c>
      <c r="J1585" s="2051"/>
      <c r="K1585" s="2052">
        <f>SNI!L1148</f>
        <v>1</v>
      </c>
      <c r="L1585" s="2053"/>
      <c r="M1585" s="2054"/>
      <c r="N1585" s="2055">
        <f>SNI!I1148</f>
        <v>88300</v>
      </c>
      <c r="O1585" s="2056"/>
      <c r="P1585" s="1969">
        <f t="shared" si="1039"/>
        <v>4768.2</v>
      </c>
      <c r="Q1585" s="1953"/>
      <c r="R1585" s="1954"/>
      <c r="S1585" s="1954">
        <f t="shared" si="1040"/>
        <v>4768.2</v>
      </c>
      <c r="T1585" s="1969">
        <f t="shared" si="1041"/>
        <v>0</v>
      </c>
      <c r="U1585" s="2060"/>
      <c r="Z1585" s="1956"/>
      <c r="AA1585" s="1956"/>
      <c r="AF1585" s="1836"/>
      <c r="AG1585" s="1836"/>
      <c r="AH1585" s="1836"/>
      <c r="AI1585" s="1837"/>
      <c r="AJ1585" s="1960"/>
    </row>
    <row r="1586" spans="1:36" ht="21.95" customHeight="1" x14ac:dyDescent="0.2">
      <c r="B1586" s="2045"/>
      <c r="C1586" s="2046"/>
      <c r="D1586" s="2047" t="str">
        <f>SNI!E1149</f>
        <v>Tukang batu</v>
      </c>
      <c r="E1586" s="2047"/>
      <c r="F1586" s="2048"/>
      <c r="G1586" s="2049">
        <f>SNI!H1149</f>
        <v>0.09</v>
      </c>
      <c r="H1586" s="2050" t="str">
        <f>SNI!G1149</f>
        <v>OH</v>
      </c>
      <c r="I1586" s="2142" t="s">
        <v>2012</v>
      </c>
      <c r="J1586" s="2051"/>
      <c r="K1586" s="2052">
        <f>SNI!L1149</f>
        <v>1</v>
      </c>
      <c r="L1586" s="2053"/>
      <c r="M1586" s="2054"/>
      <c r="N1586" s="2055">
        <f>SNI!I1149</f>
        <v>90000</v>
      </c>
      <c r="O1586" s="2056"/>
      <c r="P1586" s="1969">
        <f t="shared" si="1039"/>
        <v>8100</v>
      </c>
      <c r="Q1586" s="1953"/>
      <c r="R1586" s="1954"/>
      <c r="S1586" s="1954">
        <f t="shared" si="1040"/>
        <v>8100</v>
      </c>
      <c r="T1586" s="1969">
        <f t="shared" si="1041"/>
        <v>0</v>
      </c>
      <c r="U1586" s="2060"/>
      <c r="Z1586" s="1956"/>
      <c r="AA1586" s="1956"/>
      <c r="AF1586" s="1836"/>
      <c r="AG1586" s="1836"/>
      <c r="AH1586" s="1836"/>
      <c r="AI1586" s="1837"/>
      <c r="AJ1586" s="1960"/>
    </row>
    <row r="1587" spans="1:36" ht="21.95" customHeight="1" x14ac:dyDescent="0.2">
      <c r="B1587" s="2045"/>
      <c r="C1587" s="2046"/>
      <c r="D1587" s="2047" t="str">
        <f>SNI!E1150</f>
        <v>Kep.Tukang</v>
      </c>
      <c r="E1587" s="2047"/>
      <c r="F1587" s="2048"/>
      <c r="G1587" s="2049">
        <f>SNI!H1150</f>
        <v>9.0000000000000011E-3</v>
      </c>
      <c r="H1587" s="2050" t="str">
        <f>SNI!G1150</f>
        <v>OH</v>
      </c>
      <c r="I1587" s="2142" t="s">
        <v>2012</v>
      </c>
      <c r="J1587" s="2051"/>
      <c r="K1587" s="2052">
        <f>SNI!L1150</f>
        <v>1</v>
      </c>
      <c r="L1587" s="2053"/>
      <c r="M1587" s="2054"/>
      <c r="N1587" s="2055">
        <f>SNI!I1150</f>
        <v>96000</v>
      </c>
      <c r="O1587" s="2056"/>
      <c r="P1587" s="1969">
        <f t="shared" si="1039"/>
        <v>864.00000000000011</v>
      </c>
      <c r="Q1587" s="1953"/>
      <c r="R1587" s="1954"/>
      <c r="S1587" s="1954">
        <f t="shared" si="1040"/>
        <v>864.00000000000011</v>
      </c>
      <c r="T1587" s="1969">
        <f t="shared" si="1041"/>
        <v>0</v>
      </c>
      <c r="U1587" s="2060"/>
      <c r="Z1587" s="1956"/>
      <c r="AA1587" s="1956"/>
      <c r="AF1587" s="1836"/>
      <c r="AG1587" s="1836"/>
      <c r="AH1587" s="1836"/>
      <c r="AI1587" s="1837"/>
      <c r="AJ1587" s="1960"/>
    </row>
    <row r="1588" spans="1:36" ht="21.95" customHeight="1" x14ac:dyDescent="0.2">
      <c r="B1588" s="2045"/>
      <c r="C1588" s="2046"/>
      <c r="D1588" s="2047" t="str">
        <f>SNI!E1151</f>
        <v>Mandor</v>
      </c>
      <c r="E1588" s="2047"/>
      <c r="F1588" s="2048"/>
      <c r="G1588" s="2049">
        <f>SNI!H1151</f>
        <v>3.0000000000000001E-3</v>
      </c>
      <c r="H1588" s="2050" t="str">
        <f>SNI!G1151</f>
        <v>OH</v>
      </c>
      <c r="I1588" s="2142" t="s">
        <v>2012</v>
      </c>
      <c r="J1588" s="2051"/>
      <c r="K1588" s="2052">
        <f>SNI!L1151</f>
        <v>1</v>
      </c>
      <c r="L1588" s="2053"/>
      <c r="M1588" s="2054"/>
      <c r="N1588" s="2055">
        <f>SNI!I1151</f>
        <v>90000</v>
      </c>
      <c r="O1588" s="2056"/>
      <c r="P1588" s="1969">
        <f t="shared" si="1039"/>
        <v>270</v>
      </c>
      <c r="Q1588" s="1953"/>
      <c r="R1588" s="1954"/>
      <c r="S1588" s="1954">
        <f t="shared" si="1040"/>
        <v>270</v>
      </c>
      <c r="T1588" s="1969">
        <f t="shared" si="1041"/>
        <v>0</v>
      </c>
      <c r="U1588" s="2060"/>
      <c r="Z1588" s="1956"/>
      <c r="AA1588" s="1956"/>
      <c r="AF1588" s="1836"/>
      <c r="AG1588" s="1836"/>
      <c r="AH1588" s="1836"/>
      <c r="AI1588" s="1837"/>
      <c r="AJ1588" s="1960"/>
    </row>
    <row r="1589" spans="1:36" s="1957" customFormat="1" ht="21.95" customHeight="1" x14ac:dyDescent="0.2">
      <c r="A1589" s="1942"/>
      <c r="B1589" s="1970"/>
      <c r="C1589" s="1971"/>
      <c r="D1589" s="1972"/>
      <c r="E1589" s="1973"/>
      <c r="F1589" s="1974" t="s">
        <v>556</v>
      </c>
      <c r="G1589" s="1975">
        <f>B1580</f>
        <v>2</v>
      </c>
      <c r="H1589" s="1976"/>
      <c r="I1589" s="1977"/>
      <c r="J1589" s="1977"/>
      <c r="K1589" s="1978"/>
      <c r="L1589" s="1979"/>
      <c r="M1589" s="1980"/>
      <c r="N1589" s="1981"/>
      <c r="O1589" s="1982"/>
      <c r="P1589" s="1983">
        <f>SUM(P1582:P1588)</f>
        <v>69414.7</v>
      </c>
      <c r="Q1589" s="1984"/>
      <c r="R1589" s="1985"/>
      <c r="S1589" s="1983">
        <f t="shared" ref="S1589" si="1042">SUM(S1582:S1588)</f>
        <v>64042.904999999999</v>
      </c>
      <c r="T1589" s="1983">
        <f t="shared" ref="T1589" si="1043">SUM(T1582:T1588)</f>
        <v>5371.7949999999983</v>
      </c>
      <c r="U1589" s="1986"/>
      <c r="V1589" s="1848"/>
      <c r="W1589" s="1848"/>
      <c r="X1589" s="1848"/>
      <c r="Y1589" s="1848"/>
      <c r="Z1589" s="1956"/>
      <c r="AA1589" s="1956"/>
      <c r="AF1589" s="1958"/>
      <c r="AG1589" s="1958"/>
      <c r="AH1589" s="1958"/>
      <c r="AI1589" s="1959"/>
      <c r="AJ1589" s="1960"/>
    </row>
    <row r="1590" spans="1:36" ht="21.95" customHeight="1" x14ac:dyDescent="0.2">
      <c r="A1590" s="1833">
        <f>satpek!B78</f>
        <v>59</v>
      </c>
      <c r="B1590" s="1943">
        <f>B1580+1</f>
        <v>3</v>
      </c>
      <c r="C1590" s="1937"/>
      <c r="D1590" s="1944" t="str">
        <f>VLOOKUP($A1590,satpek!$B$20:$N$144,2,0)</f>
        <v>Memasang pipa PVC tipe AW diameter 3"</v>
      </c>
      <c r="E1590" s="1944"/>
      <c r="F1590" s="2004"/>
      <c r="G1590" s="1945">
        <f>'[3]B.VOL RAB'!Q567</f>
        <v>17.8</v>
      </c>
      <c r="H1590" s="1946" t="str">
        <f>VLOOKUP($A1590,satpek!$B$20:$N$144,7,0)</f>
        <v>m'</v>
      </c>
      <c r="I1590" s="1947"/>
      <c r="J1590" s="1947"/>
      <c r="K1590" s="1948"/>
      <c r="L1590" s="1949"/>
      <c r="M1590" s="1950" t="str">
        <f>VLOOKUP($A1590,satpek!$B$20:$N$144,5,0)</f>
        <v>A.5.1.1.31.</v>
      </c>
      <c r="N1590" s="1951">
        <f>VLOOKUP($A1590,satpek!$B$20:$N$144,6,0)</f>
        <v>103284.6</v>
      </c>
      <c r="O1590" s="1938"/>
      <c r="P1590" s="1952">
        <f t="shared" si="1027"/>
        <v>1838465.88</v>
      </c>
      <c r="Q1590" s="1953">
        <f>VLOOKUP($A1590,satpek!$B$20:$L$138,8,0)</f>
        <v>0.92520067875753675</v>
      </c>
      <c r="R1590" s="1954">
        <f>VLOOKUP($A1590,satpek!$B$20:$L$138,9,0)</f>
        <v>84565.47</v>
      </c>
      <c r="S1590" s="1954">
        <f>VLOOKUP($A1590,satpek!$B$20:$L$138,10,0)</f>
        <v>95558.981100000005</v>
      </c>
      <c r="T1590" s="1952">
        <f>S1590*G1590</f>
        <v>1700949.8635800001</v>
      </c>
      <c r="U1590" s="1955"/>
      <c r="X1590" s="1848">
        <f>P1599</f>
        <v>91402.3</v>
      </c>
      <c r="Y1590" s="1848">
        <f>S1599</f>
        <v>84565.47</v>
      </c>
      <c r="Z1590" s="1956">
        <v>17.8</v>
      </c>
      <c r="AA1590" s="1956">
        <f t="shared" si="976"/>
        <v>0</v>
      </c>
      <c r="AB1590" s="1836" t="s">
        <v>459</v>
      </c>
      <c r="AF1590" s="1836"/>
      <c r="AG1590" s="1836"/>
      <c r="AH1590" s="1836"/>
      <c r="AI1590" s="1837">
        <v>106247.69</v>
      </c>
      <c r="AJ1590" s="1960">
        <f t="shared" si="977"/>
        <v>2963.0899999999965</v>
      </c>
    </row>
    <row r="1591" spans="1:36" ht="21.95" customHeight="1" x14ac:dyDescent="0.2">
      <c r="B1591" s="2045"/>
      <c r="C1591" s="1988" t="str">
        <f>SNI!D1183</f>
        <v>Bahan</v>
      </c>
      <c r="D1591" s="1989"/>
      <c r="E1591" s="1989"/>
      <c r="F1591" s="1990"/>
      <c r="G1591" s="2049"/>
      <c r="H1591" s="1992"/>
      <c r="I1591" s="1993"/>
      <c r="J1591" s="1993"/>
      <c r="K1591" s="1994"/>
      <c r="L1591" s="1995"/>
      <c r="M1591" s="1996"/>
      <c r="N1591" s="1997"/>
      <c r="O1591" s="1998"/>
      <c r="P1591" s="1999"/>
      <c r="Q1591" s="2000"/>
      <c r="R1591" s="2001"/>
      <c r="S1591" s="2001"/>
      <c r="T1591" s="1997"/>
      <c r="U1591" s="2002"/>
      <c r="Z1591" s="1956"/>
      <c r="AA1591" s="1956"/>
      <c r="AF1591" s="1836"/>
      <c r="AG1591" s="1836"/>
      <c r="AH1591" s="1836"/>
      <c r="AI1591" s="1837"/>
      <c r="AJ1591" s="1960"/>
    </row>
    <row r="1592" spans="1:36" ht="21.95" customHeight="1" x14ac:dyDescent="0.2">
      <c r="B1592" s="2045"/>
      <c r="C1592" s="1988"/>
      <c r="D1592" s="1989" t="str">
        <f>SNI!E1183</f>
        <v>Pipa PVC 3"</v>
      </c>
      <c r="E1592" s="1989"/>
      <c r="F1592" s="1990"/>
      <c r="G1592" s="2049">
        <f>SNI!H1183</f>
        <v>1.2</v>
      </c>
      <c r="H1592" s="1992" t="str">
        <f>SNI!G1183</f>
        <v>m</v>
      </c>
      <c r="I1592" s="1993"/>
      <c r="J1592" s="1993"/>
      <c r="K1592" s="1994">
        <f>SNI!L1183</f>
        <v>0.94769999999999999</v>
      </c>
      <c r="L1592" s="1995"/>
      <c r="M1592" s="1996"/>
      <c r="N1592" s="1997">
        <f>SNI!I1183</f>
        <v>45500</v>
      </c>
      <c r="O1592" s="1998"/>
      <c r="P1592" s="1969">
        <f t="shared" ref="P1592" si="1044">N1592*G1592</f>
        <v>54600</v>
      </c>
      <c r="Q1592" s="1953"/>
      <c r="R1592" s="1954"/>
      <c r="S1592" s="1954">
        <f t="shared" ref="S1592" si="1045">P1592*K1592</f>
        <v>51744.42</v>
      </c>
      <c r="T1592" s="1969">
        <f t="shared" ref="T1592" si="1046">P1592-S1592</f>
        <v>2855.5800000000017</v>
      </c>
      <c r="U1592" s="2002"/>
      <c r="Z1592" s="1956"/>
      <c r="AA1592" s="1956"/>
      <c r="AF1592" s="1836"/>
      <c r="AG1592" s="1836"/>
      <c r="AH1592" s="1836"/>
      <c r="AI1592" s="1837"/>
      <c r="AJ1592" s="1960"/>
    </row>
    <row r="1593" spans="1:36" ht="21.95" customHeight="1" x14ac:dyDescent="0.2">
      <c r="B1593" s="2045"/>
      <c r="C1593" s="1988"/>
      <c r="D1593" s="1989" t="str">
        <f>SNI!E1184</f>
        <v>Perlengkapan</v>
      </c>
      <c r="E1593" s="1989"/>
      <c r="F1593" s="1990"/>
      <c r="G1593" s="2049">
        <f>SNI!H1184</f>
        <v>1</v>
      </c>
      <c r="H1593" s="1992" t="str">
        <f>SNI!G1184</f>
        <v>bh</v>
      </c>
      <c r="I1593" s="1993"/>
      <c r="J1593" s="1993"/>
      <c r="K1593" s="1994">
        <f>SNI!L1184</f>
        <v>0.75</v>
      </c>
      <c r="L1593" s="1995"/>
      <c r="M1593" s="1996"/>
      <c r="N1593" s="1997">
        <f>SNI!I1184</f>
        <v>15924.999999999998</v>
      </c>
      <c r="O1593" s="1998"/>
      <c r="P1593" s="1969">
        <f t="shared" ref="P1593:P1598" si="1047">N1593*G1593</f>
        <v>15924.999999999998</v>
      </c>
      <c r="Q1593" s="1953"/>
      <c r="R1593" s="1954"/>
      <c r="S1593" s="1954">
        <f t="shared" ref="S1593:S1598" si="1048">P1593*K1593</f>
        <v>11943.749999999998</v>
      </c>
      <c r="T1593" s="1969">
        <f t="shared" ref="T1593:T1598" si="1049">P1593-S1593</f>
        <v>3981.25</v>
      </c>
      <c r="U1593" s="2002"/>
      <c r="Z1593" s="1956"/>
      <c r="AA1593" s="1956"/>
      <c r="AF1593" s="1836"/>
      <c r="AG1593" s="1836"/>
      <c r="AH1593" s="1836"/>
      <c r="AI1593" s="1837"/>
      <c r="AJ1593" s="1960"/>
    </row>
    <row r="1594" spans="1:36" ht="21.95" customHeight="1" x14ac:dyDescent="0.2">
      <c r="B1594" s="2045"/>
      <c r="C1594" s="1988" t="str">
        <f>SNI!D1186</f>
        <v>Tenaga Kerja</v>
      </c>
      <c r="D1594" s="1989"/>
      <c r="E1594" s="1989"/>
      <c r="F1594" s="1990"/>
      <c r="G1594" s="2049"/>
      <c r="H1594" s="1992"/>
      <c r="I1594" s="1993"/>
      <c r="J1594" s="1993"/>
      <c r="K1594" s="1994"/>
      <c r="L1594" s="1995"/>
      <c r="M1594" s="1996"/>
      <c r="N1594" s="1997"/>
      <c r="O1594" s="1998"/>
      <c r="P1594" s="1969"/>
      <c r="Q1594" s="1953"/>
      <c r="R1594" s="1954"/>
      <c r="S1594" s="1954"/>
      <c r="T1594" s="1969"/>
      <c r="U1594" s="2002"/>
      <c r="Z1594" s="1956"/>
      <c r="AA1594" s="1956"/>
      <c r="AF1594" s="1836"/>
      <c r="AG1594" s="1836"/>
      <c r="AH1594" s="1836"/>
      <c r="AI1594" s="1837"/>
      <c r="AJ1594" s="1960"/>
    </row>
    <row r="1595" spans="1:36" ht="21.95" customHeight="1" x14ac:dyDescent="0.2">
      <c r="B1595" s="2045"/>
      <c r="C1595" s="1988"/>
      <c r="D1595" s="1989" t="str">
        <f>SNI!E1186</f>
        <v>Pekerja</v>
      </c>
      <c r="E1595" s="1989"/>
      <c r="F1595" s="1990"/>
      <c r="G1595" s="2049">
        <f>SNI!H1186</f>
        <v>8.1000000000000003E-2</v>
      </c>
      <c r="H1595" s="1992" t="str">
        <f>SNI!G1186</f>
        <v>OH</v>
      </c>
      <c r="I1595" s="2142" t="s">
        <v>2012</v>
      </c>
      <c r="J1595" s="1993"/>
      <c r="K1595" s="1994">
        <f>SNI!L1186</f>
        <v>1</v>
      </c>
      <c r="L1595" s="1995"/>
      <c r="M1595" s="1996"/>
      <c r="N1595" s="1997">
        <f>SNI!I1186</f>
        <v>88300</v>
      </c>
      <c r="O1595" s="1998"/>
      <c r="P1595" s="1969">
        <f t="shared" si="1047"/>
        <v>7152.3</v>
      </c>
      <c r="Q1595" s="1953"/>
      <c r="R1595" s="1954"/>
      <c r="S1595" s="1954">
        <f t="shared" si="1048"/>
        <v>7152.3</v>
      </c>
      <c r="T1595" s="1969">
        <f t="shared" si="1049"/>
        <v>0</v>
      </c>
      <c r="U1595" s="2002"/>
      <c r="Z1595" s="1956"/>
      <c r="AA1595" s="1956"/>
      <c r="AF1595" s="1836"/>
      <c r="AG1595" s="1836"/>
      <c r="AH1595" s="1836"/>
      <c r="AI1595" s="1837"/>
      <c r="AJ1595" s="1960"/>
    </row>
    <row r="1596" spans="1:36" ht="21.95" customHeight="1" x14ac:dyDescent="0.2">
      <c r="B1596" s="2045"/>
      <c r="C1596" s="1988"/>
      <c r="D1596" s="1989" t="str">
        <f>SNI!E1187</f>
        <v>Tukang batu</v>
      </c>
      <c r="E1596" s="1989"/>
      <c r="F1596" s="1990"/>
      <c r="G1596" s="2049">
        <f>SNI!H1187</f>
        <v>0.13500000000000001</v>
      </c>
      <c r="H1596" s="1992" t="str">
        <f>SNI!G1187</f>
        <v>OH</v>
      </c>
      <c r="I1596" s="2142" t="s">
        <v>2012</v>
      </c>
      <c r="J1596" s="1993"/>
      <c r="K1596" s="1994">
        <f>SNI!L1187</f>
        <v>1</v>
      </c>
      <c r="L1596" s="1995"/>
      <c r="M1596" s="1996"/>
      <c r="N1596" s="1997">
        <f>SNI!I1187</f>
        <v>90000</v>
      </c>
      <c r="O1596" s="1998"/>
      <c r="P1596" s="1969">
        <f t="shared" si="1047"/>
        <v>12150</v>
      </c>
      <c r="Q1596" s="1953"/>
      <c r="R1596" s="1954"/>
      <c r="S1596" s="1954">
        <f t="shared" si="1048"/>
        <v>12150</v>
      </c>
      <c r="T1596" s="1969">
        <f t="shared" si="1049"/>
        <v>0</v>
      </c>
      <c r="U1596" s="2002"/>
      <c r="Z1596" s="1956"/>
      <c r="AA1596" s="1956"/>
      <c r="AF1596" s="1836"/>
      <c r="AG1596" s="1836"/>
      <c r="AH1596" s="1836"/>
      <c r="AI1596" s="1837"/>
      <c r="AJ1596" s="1960"/>
    </row>
    <row r="1597" spans="1:36" ht="21.95" customHeight="1" x14ac:dyDescent="0.2">
      <c r="B1597" s="2045"/>
      <c r="C1597" s="1988"/>
      <c r="D1597" s="1989" t="str">
        <f>SNI!E1188</f>
        <v>Kepala tukang</v>
      </c>
      <c r="E1597" s="1989"/>
      <c r="F1597" s="1990"/>
      <c r="G1597" s="2049">
        <f>SNI!H1188</f>
        <v>1.35E-2</v>
      </c>
      <c r="H1597" s="1992" t="str">
        <f>SNI!G1188</f>
        <v>OH</v>
      </c>
      <c r="I1597" s="2142" t="s">
        <v>2012</v>
      </c>
      <c r="J1597" s="1993"/>
      <c r="K1597" s="1994">
        <f>SNI!L1188</f>
        <v>1</v>
      </c>
      <c r="L1597" s="1995"/>
      <c r="M1597" s="1996"/>
      <c r="N1597" s="1997">
        <f>SNI!I1188</f>
        <v>90000</v>
      </c>
      <c r="O1597" s="1998"/>
      <c r="P1597" s="1969">
        <f t="shared" si="1047"/>
        <v>1215</v>
      </c>
      <c r="Q1597" s="1953"/>
      <c r="R1597" s="1954"/>
      <c r="S1597" s="1954">
        <f t="shared" si="1048"/>
        <v>1215</v>
      </c>
      <c r="T1597" s="1969">
        <f t="shared" si="1049"/>
        <v>0</v>
      </c>
      <c r="U1597" s="2002"/>
      <c r="Z1597" s="1956"/>
      <c r="AA1597" s="1956"/>
      <c r="AF1597" s="1836"/>
      <c r="AG1597" s="1836"/>
      <c r="AH1597" s="1836"/>
      <c r="AI1597" s="1837"/>
      <c r="AJ1597" s="1960"/>
    </row>
    <row r="1598" spans="1:36" ht="21.95" customHeight="1" x14ac:dyDescent="0.2">
      <c r="B1598" s="2045"/>
      <c r="C1598" s="1988"/>
      <c r="D1598" s="1989" t="str">
        <f>SNI!E1189</f>
        <v>Mandor</v>
      </c>
      <c r="E1598" s="1989"/>
      <c r="F1598" s="1990"/>
      <c r="G1598" s="2049">
        <f>SNI!H1189</f>
        <v>4.0000000000000001E-3</v>
      </c>
      <c r="H1598" s="1992" t="str">
        <f>SNI!G1189</f>
        <v>OH</v>
      </c>
      <c r="I1598" s="2142" t="s">
        <v>2012</v>
      </c>
      <c r="J1598" s="1993"/>
      <c r="K1598" s="1994">
        <f>SNI!L1189</f>
        <v>1</v>
      </c>
      <c r="L1598" s="1995"/>
      <c r="M1598" s="1996"/>
      <c r="N1598" s="1997">
        <f>SNI!I1189</f>
        <v>90000</v>
      </c>
      <c r="O1598" s="1998"/>
      <c r="P1598" s="1969">
        <f t="shared" si="1047"/>
        <v>360</v>
      </c>
      <c r="Q1598" s="1953"/>
      <c r="R1598" s="1954"/>
      <c r="S1598" s="1954">
        <f t="shared" si="1048"/>
        <v>360</v>
      </c>
      <c r="T1598" s="1969">
        <f t="shared" si="1049"/>
        <v>0</v>
      </c>
      <c r="U1598" s="2002"/>
      <c r="Z1598" s="1956"/>
      <c r="AA1598" s="1956"/>
      <c r="AF1598" s="1836"/>
      <c r="AG1598" s="1836"/>
      <c r="AH1598" s="1836"/>
      <c r="AI1598" s="1837"/>
      <c r="AJ1598" s="1960"/>
    </row>
    <row r="1599" spans="1:36" s="1957" customFormat="1" ht="21.95" customHeight="1" x14ac:dyDescent="0.2">
      <c r="A1599" s="1942"/>
      <c r="B1599" s="1970"/>
      <c r="C1599" s="1971"/>
      <c r="D1599" s="1972"/>
      <c r="E1599" s="1973"/>
      <c r="F1599" s="1974" t="s">
        <v>556</v>
      </c>
      <c r="G1599" s="1975">
        <f>B1590</f>
        <v>3</v>
      </c>
      <c r="H1599" s="1976"/>
      <c r="I1599" s="1977"/>
      <c r="J1599" s="1977"/>
      <c r="K1599" s="1978"/>
      <c r="L1599" s="1979"/>
      <c r="M1599" s="1980"/>
      <c r="N1599" s="1981"/>
      <c r="O1599" s="1982"/>
      <c r="P1599" s="1983">
        <f>SUM(P1592:P1598)</f>
        <v>91402.3</v>
      </c>
      <c r="Q1599" s="1984"/>
      <c r="R1599" s="1985"/>
      <c r="S1599" s="1983">
        <f t="shared" ref="S1599" si="1050">SUM(S1592:S1598)</f>
        <v>84565.47</v>
      </c>
      <c r="T1599" s="1983">
        <f t="shared" ref="T1599" si="1051">SUM(T1592:T1598)</f>
        <v>6836.8300000000017</v>
      </c>
      <c r="U1599" s="1986"/>
      <c r="V1599" s="1848"/>
      <c r="W1599" s="1848"/>
      <c r="X1599" s="1848"/>
      <c r="Y1599" s="1848"/>
      <c r="Z1599" s="1956"/>
      <c r="AA1599" s="1956"/>
      <c r="AF1599" s="1958"/>
      <c r="AG1599" s="1958"/>
      <c r="AH1599" s="1958"/>
      <c r="AI1599" s="1959"/>
      <c r="AJ1599" s="1960"/>
    </row>
    <row r="1600" spans="1:36" s="2127" customFormat="1" ht="21.95" customHeight="1" x14ac:dyDescent="0.2">
      <c r="A1600" s="2130"/>
      <c r="B1600" s="2163">
        <v>3</v>
      </c>
      <c r="C1600" s="2164"/>
      <c r="D1600" s="2165" t="s">
        <v>1846</v>
      </c>
      <c r="E1600" s="2166"/>
      <c r="F1600" s="2167"/>
      <c r="G1600" s="1945"/>
      <c r="H1600" s="2168"/>
      <c r="I1600" s="2169"/>
      <c r="J1600" s="2169"/>
      <c r="K1600" s="2170"/>
      <c r="L1600" s="2171"/>
      <c r="M1600" s="2171"/>
      <c r="N1600" s="1997"/>
      <c r="O1600" s="2041"/>
      <c r="P1600" s="2042"/>
      <c r="Q1600" s="2169"/>
      <c r="R1600" s="2169"/>
      <c r="S1600" s="2169"/>
      <c r="T1600" s="2172"/>
      <c r="U1600" s="2173"/>
      <c r="V1600" s="2125"/>
      <c r="W1600" s="2125"/>
      <c r="X1600" s="2125"/>
      <c r="Y1600" s="2125"/>
      <c r="Z1600" s="1958"/>
      <c r="AA1600" s="1956">
        <f t="shared" si="976"/>
        <v>0</v>
      </c>
      <c r="AB1600" s="2127" t="s">
        <v>1846</v>
      </c>
      <c r="AI1600" s="1910"/>
      <c r="AJ1600" s="2128">
        <f t="shared" si="977"/>
        <v>0</v>
      </c>
    </row>
    <row r="1601" spans="1:36" ht="21.95" customHeight="1" x14ac:dyDescent="0.2">
      <c r="A1601" s="1833">
        <f>satpek!B79</f>
        <v>60</v>
      </c>
      <c r="B1601" s="1943">
        <v>1</v>
      </c>
      <c r="C1601" s="1937"/>
      <c r="D1601" s="1944" t="str">
        <f>VLOOKUP($A1601,satpek!$B$20:$N$144,2,0)</f>
        <v>Memasang pipa PVC tipe AW diameter 4"</v>
      </c>
      <c r="E1601" s="1944"/>
      <c r="F1601" s="2004"/>
      <c r="G1601" s="1945">
        <f>'[3]B.VOL RAB'!Q569</f>
        <v>32</v>
      </c>
      <c r="H1601" s="1946" t="str">
        <f>VLOOKUP($A1601,satpek!$B$20:$N$144,7,0)</f>
        <v>m'</v>
      </c>
      <c r="I1601" s="1947"/>
      <c r="J1601" s="1947"/>
      <c r="K1601" s="1948"/>
      <c r="L1601" s="1949"/>
      <c r="M1601" s="1950" t="str">
        <f>VLOOKUP($A1601,satpek!$B$20:$N$144,5,0)</f>
        <v>A.5.1.1.32.</v>
      </c>
      <c r="N1601" s="1951">
        <f>VLOOKUP($A1601,satpek!$B$20:$N$144,6,0)</f>
        <v>167743.75</v>
      </c>
      <c r="O1601" s="1938"/>
      <c r="P1601" s="1952">
        <f t="shared" ref="P1601" si="1052">ROUND((G1601*N1601),2)</f>
        <v>5367800</v>
      </c>
      <c r="Q1601" s="1953">
        <f>VLOOKUP($A1601,satpek!$B$20:$L$138,8,0)</f>
        <v>0.91674479843821799</v>
      </c>
      <c r="R1601" s="1954">
        <f>VLOOKUP($A1601,satpek!$B$20:$L$138,9,0)</f>
        <v>136086.91500000001</v>
      </c>
      <c r="S1601" s="1954">
        <f>VLOOKUP($A1601,satpek!$B$20:$L$138,10,0)</f>
        <v>153778.21395</v>
      </c>
      <c r="T1601" s="1952">
        <f>S1601*G1601</f>
        <v>4920902.8464000002</v>
      </c>
      <c r="U1601" s="1955"/>
      <c r="X1601" s="1848">
        <f>P1610</f>
        <v>148445.79999999999</v>
      </c>
      <c r="Y1601" s="1848">
        <f>S1610</f>
        <v>136086.91500000001</v>
      </c>
      <c r="Z1601" s="1956">
        <v>32</v>
      </c>
      <c r="AA1601" s="1956">
        <f t="shared" si="976"/>
        <v>0</v>
      </c>
      <c r="AB1601" s="1836" t="s">
        <v>460</v>
      </c>
      <c r="AF1601" s="1836"/>
      <c r="AG1601" s="1836"/>
      <c r="AH1601" s="1836"/>
      <c r="AI1601" s="1837">
        <v>173522.24</v>
      </c>
      <c r="AJ1601" s="1960">
        <f t="shared" si="977"/>
        <v>5778.4899999999907</v>
      </c>
    </row>
    <row r="1602" spans="1:36" ht="21.95" customHeight="1" x14ac:dyDescent="0.2">
      <c r="B1602" s="2045"/>
      <c r="C1602" s="1988" t="str">
        <f>SNI!D1202</f>
        <v>Bahan</v>
      </c>
      <c r="D1602" s="1989"/>
      <c r="E1602" s="1989"/>
      <c r="F1602" s="1990"/>
      <c r="G1602" s="2049"/>
      <c r="H1602" s="1992"/>
      <c r="I1602" s="1993"/>
      <c r="J1602" s="1993"/>
      <c r="K1602" s="1994"/>
      <c r="L1602" s="1995"/>
      <c r="M1602" s="1996"/>
      <c r="N1602" s="1997"/>
      <c r="O1602" s="1998"/>
      <c r="P1602" s="1999"/>
      <c r="Q1602" s="2000"/>
      <c r="R1602" s="2001"/>
      <c r="S1602" s="2001"/>
      <c r="T1602" s="1997"/>
      <c r="U1602" s="2002"/>
      <c r="Z1602" s="1956"/>
      <c r="AA1602" s="1956"/>
      <c r="AF1602" s="1836"/>
      <c r="AG1602" s="1836"/>
      <c r="AH1602" s="1836"/>
      <c r="AI1602" s="1837"/>
      <c r="AJ1602" s="1960"/>
    </row>
    <row r="1603" spans="1:36" ht="21.95" customHeight="1" x14ac:dyDescent="0.2">
      <c r="B1603" s="2045"/>
      <c r="C1603" s="1988"/>
      <c r="D1603" s="1989" t="str">
        <f>SNI!E1202</f>
        <v>Pipa PVC</v>
      </c>
      <c r="E1603" s="1989"/>
      <c r="F1603" s="1990"/>
      <c r="G1603" s="2049">
        <f>SNI!H1202</f>
        <v>1.2</v>
      </c>
      <c r="H1603" s="1992" t="str">
        <f>SNI!G1202</f>
        <v>m</v>
      </c>
      <c r="I1603" s="1993"/>
      <c r="J1603" s="1993"/>
      <c r="K1603" s="1994">
        <f>SNI!L1202</f>
        <v>0.94769999999999999</v>
      </c>
      <c r="L1603" s="1995"/>
      <c r="M1603" s="1996"/>
      <c r="N1603" s="1997">
        <f>SNI!I1202</f>
        <v>82250</v>
      </c>
      <c r="O1603" s="1998"/>
      <c r="P1603" s="1969">
        <f t="shared" ref="P1603" si="1053">N1603*G1603</f>
        <v>98700</v>
      </c>
      <c r="Q1603" s="1953"/>
      <c r="R1603" s="1954"/>
      <c r="S1603" s="1954">
        <f t="shared" ref="S1603" si="1054">P1603*K1603</f>
        <v>93537.99</v>
      </c>
      <c r="T1603" s="1969">
        <f t="shared" ref="T1603" si="1055">P1603-S1603</f>
        <v>5162.0099999999948</v>
      </c>
      <c r="U1603" s="2002"/>
      <c r="Z1603" s="1956"/>
      <c r="AA1603" s="1956"/>
      <c r="AF1603" s="1836"/>
      <c r="AG1603" s="1836"/>
      <c r="AH1603" s="1836"/>
      <c r="AI1603" s="1837"/>
      <c r="AJ1603" s="1960"/>
    </row>
    <row r="1604" spans="1:36" ht="21.95" customHeight="1" x14ac:dyDescent="0.2">
      <c r="B1604" s="2045"/>
      <c r="C1604" s="1988"/>
      <c r="D1604" s="1989" t="str">
        <f>SNI!E1203</f>
        <v>Perlengkapan</v>
      </c>
      <c r="E1604" s="1989"/>
      <c r="F1604" s="1990"/>
      <c r="G1604" s="2049">
        <f>SNI!H1203</f>
        <v>1</v>
      </c>
      <c r="H1604" s="1992" t="str">
        <f>SNI!G1203</f>
        <v>bh</v>
      </c>
      <c r="I1604" s="1993"/>
      <c r="J1604" s="1993"/>
      <c r="K1604" s="1994">
        <f>SNI!L1203</f>
        <v>0.75</v>
      </c>
      <c r="L1604" s="1995"/>
      <c r="M1604" s="1996"/>
      <c r="N1604" s="1997">
        <f>SNI!I1203</f>
        <v>28787.499999999996</v>
      </c>
      <c r="O1604" s="1998"/>
      <c r="P1604" s="1969">
        <f t="shared" ref="P1604:P1609" si="1056">N1604*G1604</f>
        <v>28787.499999999996</v>
      </c>
      <c r="Q1604" s="1953"/>
      <c r="R1604" s="1954"/>
      <c r="S1604" s="1954">
        <f t="shared" ref="S1604:S1609" si="1057">P1604*K1604</f>
        <v>21590.624999999996</v>
      </c>
      <c r="T1604" s="1969">
        <f t="shared" ref="T1604:T1609" si="1058">P1604-S1604</f>
        <v>7196.875</v>
      </c>
      <c r="U1604" s="2002"/>
      <c r="Z1604" s="1956"/>
      <c r="AA1604" s="1956"/>
      <c r="AF1604" s="1836"/>
      <c r="AG1604" s="1836"/>
      <c r="AH1604" s="1836"/>
      <c r="AI1604" s="1837"/>
      <c r="AJ1604" s="1960"/>
    </row>
    <row r="1605" spans="1:36" ht="21.95" customHeight="1" x14ac:dyDescent="0.2">
      <c r="B1605" s="2045"/>
      <c r="C1605" s="1988" t="str">
        <f>SNI!D1205</f>
        <v>Tenaga Kerja</v>
      </c>
      <c r="D1605" s="1989"/>
      <c r="E1605" s="1989"/>
      <c r="F1605" s="1990"/>
      <c r="G1605" s="2049"/>
      <c r="H1605" s="1992"/>
      <c r="I1605" s="1993"/>
      <c r="J1605" s="1993"/>
      <c r="K1605" s="1994"/>
      <c r="L1605" s="1995"/>
      <c r="M1605" s="1996"/>
      <c r="N1605" s="1997"/>
      <c r="O1605" s="1998"/>
      <c r="P1605" s="1969"/>
      <c r="Q1605" s="1953"/>
      <c r="R1605" s="1954"/>
      <c r="S1605" s="1954"/>
      <c r="T1605" s="1969"/>
      <c r="U1605" s="2002"/>
      <c r="Z1605" s="1956"/>
      <c r="AA1605" s="1956"/>
      <c r="AF1605" s="1836"/>
      <c r="AG1605" s="1836"/>
      <c r="AH1605" s="1836"/>
      <c r="AI1605" s="1837"/>
      <c r="AJ1605" s="1960"/>
    </row>
    <row r="1606" spans="1:36" ht="21.95" customHeight="1" x14ac:dyDescent="0.2">
      <c r="B1606" s="2045"/>
      <c r="C1606" s="1988"/>
      <c r="D1606" s="1989" t="str">
        <f>SNI!E1205</f>
        <v>Pekerja</v>
      </c>
      <c r="E1606" s="1989"/>
      <c r="F1606" s="1990"/>
      <c r="G1606" s="2049">
        <f>SNI!H1205</f>
        <v>8.1000000000000003E-2</v>
      </c>
      <c r="H1606" s="1992" t="str">
        <f>SNI!G1205</f>
        <v>OH</v>
      </c>
      <c r="I1606" s="2142" t="s">
        <v>2012</v>
      </c>
      <c r="J1606" s="1993"/>
      <c r="K1606" s="1994">
        <f>SNI!L1205</f>
        <v>1</v>
      </c>
      <c r="L1606" s="1995"/>
      <c r="M1606" s="1996"/>
      <c r="N1606" s="1997">
        <f>SNI!I1205</f>
        <v>88300</v>
      </c>
      <c r="O1606" s="1998"/>
      <c r="P1606" s="1969">
        <f t="shared" si="1056"/>
        <v>7152.3</v>
      </c>
      <c r="Q1606" s="1953"/>
      <c r="R1606" s="1954"/>
      <c r="S1606" s="1954">
        <f t="shared" si="1057"/>
        <v>7152.3</v>
      </c>
      <c r="T1606" s="1969">
        <f t="shared" si="1058"/>
        <v>0</v>
      </c>
      <c r="U1606" s="2002"/>
      <c r="Z1606" s="1956"/>
      <c r="AA1606" s="1956"/>
      <c r="AF1606" s="1836"/>
      <c r="AG1606" s="1836"/>
      <c r="AH1606" s="1836"/>
      <c r="AI1606" s="1837"/>
      <c r="AJ1606" s="1960"/>
    </row>
    <row r="1607" spans="1:36" ht="21.95" customHeight="1" x14ac:dyDescent="0.2">
      <c r="B1607" s="2045"/>
      <c r="C1607" s="1988"/>
      <c r="D1607" s="1989" t="str">
        <f>SNI!E1206</f>
        <v>Tukang batu</v>
      </c>
      <c r="E1607" s="1989"/>
      <c r="F1607" s="1990"/>
      <c r="G1607" s="2049">
        <f>SNI!H1206</f>
        <v>0.13500000000000001</v>
      </c>
      <c r="H1607" s="1992" t="str">
        <f>SNI!G1206</f>
        <v>OH</v>
      </c>
      <c r="I1607" s="2142" t="s">
        <v>2012</v>
      </c>
      <c r="J1607" s="1993"/>
      <c r="K1607" s="1994">
        <f>SNI!L1206</f>
        <v>1</v>
      </c>
      <c r="L1607" s="1995"/>
      <c r="M1607" s="1996"/>
      <c r="N1607" s="1997">
        <f>SNI!I1206</f>
        <v>90000</v>
      </c>
      <c r="O1607" s="1998"/>
      <c r="P1607" s="1969">
        <f t="shared" si="1056"/>
        <v>12150</v>
      </c>
      <c r="Q1607" s="1953"/>
      <c r="R1607" s="1954"/>
      <c r="S1607" s="1954">
        <f t="shared" si="1057"/>
        <v>12150</v>
      </c>
      <c r="T1607" s="1969">
        <f t="shared" si="1058"/>
        <v>0</v>
      </c>
      <c r="U1607" s="2002"/>
      <c r="Z1607" s="1956"/>
      <c r="AA1607" s="1956"/>
      <c r="AF1607" s="1836"/>
      <c r="AG1607" s="1836"/>
      <c r="AH1607" s="1836"/>
      <c r="AI1607" s="1837"/>
      <c r="AJ1607" s="1960"/>
    </row>
    <row r="1608" spans="1:36" ht="21.95" customHeight="1" x14ac:dyDescent="0.2">
      <c r="B1608" s="2045"/>
      <c r="C1608" s="1988"/>
      <c r="D1608" s="1989" t="str">
        <f>SNI!E1207</f>
        <v>Kepala tukang</v>
      </c>
      <c r="E1608" s="1989"/>
      <c r="F1608" s="1990"/>
      <c r="G1608" s="2049">
        <f>SNI!H1207</f>
        <v>1.35E-2</v>
      </c>
      <c r="H1608" s="1992" t="str">
        <f>SNI!G1207</f>
        <v>OH</v>
      </c>
      <c r="I1608" s="2142" t="s">
        <v>2012</v>
      </c>
      <c r="J1608" s="1993"/>
      <c r="K1608" s="1994">
        <f>SNI!L1207</f>
        <v>1</v>
      </c>
      <c r="L1608" s="1995"/>
      <c r="M1608" s="1996"/>
      <c r="N1608" s="1997">
        <f>SNI!I1207</f>
        <v>96000</v>
      </c>
      <c r="O1608" s="1998"/>
      <c r="P1608" s="1969">
        <f t="shared" si="1056"/>
        <v>1296</v>
      </c>
      <c r="Q1608" s="1953"/>
      <c r="R1608" s="1954"/>
      <c r="S1608" s="1954">
        <f t="shared" si="1057"/>
        <v>1296</v>
      </c>
      <c r="T1608" s="1969">
        <f t="shared" si="1058"/>
        <v>0</v>
      </c>
      <c r="U1608" s="2002"/>
      <c r="Z1608" s="1956"/>
      <c r="AA1608" s="1956"/>
      <c r="AF1608" s="1836"/>
      <c r="AG1608" s="1836"/>
      <c r="AH1608" s="1836"/>
      <c r="AI1608" s="1837"/>
      <c r="AJ1608" s="1960"/>
    </row>
    <row r="1609" spans="1:36" ht="21.95" customHeight="1" x14ac:dyDescent="0.2">
      <c r="B1609" s="2045"/>
      <c r="C1609" s="1988"/>
      <c r="D1609" s="1989" t="str">
        <f>SNI!E1208</f>
        <v>Mandor</v>
      </c>
      <c r="E1609" s="1989"/>
      <c r="F1609" s="1990"/>
      <c r="G1609" s="2049">
        <f>SNI!H1208</f>
        <v>4.0000000000000001E-3</v>
      </c>
      <c r="H1609" s="1992" t="str">
        <f>SNI!G1208</f>
        <v>OH</v>
      </c>
      <c r="I1609" s="2142" t="s">
        <v>2012</v>
      </c>
      <c r="J1609" s="1993"/>
      <c r="K1609" s="1994">
        <f>SNI!L1208</f>
        <v>1</v>
      </c>
      <c r="L1609" s="1995"/>
      <c r="M1609" s="1996"/>
      <c r="N1609" s="1997">
        <f>SNI!I1208</f>
        <v>90000</v>
      </c>
      <c r="O1609" s="1998"/>
      <c r="P1609" s="1969">
        <f t="shared" si="1056"/>
        <v>360</v>
      </c>
      <c r="Q1609" s="1953"/>
      <c r="R1609" s="1954"/>
      <c r="S1609" s="1954">
        <f t="shared" si="1057"/>
        <v>360</v>
      </c>
      <c r="T1609" s="1969">
        <f t="shared" si="1058"/>
        <v>0</v>
      </c>
      <c r="U1609" s="2002"/>
      <c r="Z1609" s="1956"/>
      <c r="AA1609" s="1956"/>
      <c r="AF1609" s="1836"/>
      <c r="AG1609" s="1836"/>
      <c r="AH1609" s="1836"/>
      <c r="AI1609" s="1837"/>
      <c r="AJ1609" s="1960"/>
    </row>
    <row r="1610" spans="1:36" s="1957" customFormat="1" ht="21.95" customHeight="1" x14ac:dyDescent="0.2">
      <c r="A1610" s="1942"/>
      <c r="B1610" s="1970"/>
      <c r="C1610" s="1971"/>
      <c r="D1610" s="1972"/>
      <c r="E1610" s="1973"/>
      <c r="F1610" s="1974" t="s">
        <v>556</v>
      </c>
      <c r="G1610" s="1975">
        <f>B1601</f>
        <v>1</v>
      </c>
      <c r="H1610" s="1976"/>
      <c r="I1610" s="1977"/>
      <c r="J1610" s="1977"/>
      <c r="K1610" s="1978"/>
      <c r="L1610" s="1979"/>
      <c r="M1610" s="1980"/>
      <c r="N1610" s="1981"/>
      <c r="O1610" s="1982"/>
      <c r="P1610" s="1983">
        <f>SUM(P1603:P1609)</f>
        <v>148445.79999999999</v>
      </c>
      <c r="Q1610" s="1984"/>
      <c r="R1610" s="1985"/>
      <c r="S1610" s="1983">
        <f t="shared" ref="S1610" si="1059">SUM(S1603:S1609)</f>
        <v>136086.91500000001</v>
      </c>
      <c r="T1610" s="1983">
        <f t="shared" ref="T1610" si="1060">SUM(T1603:T1609)</f>
        <v>12358.884999999995</v>
      </c>
      <c r="U1610" s="1986"/>
      <c r="V1610" s="1848"/>
      <c r="W1610" s="1848"/>
      <c r="X1610" s="1848"/>
      <c r="Y1610" s="1848"/>
      <c r="Z1610" s="1956"/>
      <c r="AA1610" s="1956"/>
      <c r="AF1610" s="1958"/>
      <c r="AG1610" s="1958"/>
      <c r="AH1610" s="1958"/>
      <c r="AI1610" s="1959"/>
      <c r="AJ1610" s="1960"/>
    </row>
    <row r="1611" spans="1:36" ht="21.95" customHeight="1" x14ac:dyDescent="0.2">
      <c r="B1611" s="2162">
        <v>4</v>
      </c>
      <c r="C1611" s="2033"/>
      <c r="D1611" s="2034" t="s">
        <v>1847</v>
      </c>
      <c r="E1611" s="2035"/>
      <c r="F1611" s="2036"/>
      <c r="G1611" s="1945"/>
      <c r="H1611" s="2037"/>
      <c r="I1611" s="2038"/>
      <c r="J1611" s="2038"/>
      <c r="K1611" s="2039"/>
      <c r="L1611" s="2040"/>
      <c r="M1611" s="2040"/>
      <c r="N1611" s="1997"/>
      <c r="O1611" s="2041"/>
      <c r="P1611" s="2042"/>
      <c r="Q1611" s="2038"/>
      <c r="R1611" s="2038"/>
      <c r="S1611" s="2038"/>
      <c r="T1611" s="2043"/>
      <c r="U1611" s="2044"/>
      <c r="Z1611" s="1956"/>
      <c r="AA1611" s="1956">
        <f t="shared" si="976"/>
        <v>0</v>
      </c>
      <c r="AB1611" s="1836" t="s">
        <v>1847</v>
      </c>
      <c r="AF1611" s="1836"/>
      <c r="AG1611" s="1836"/>
      <c r="AH1611" s="1836"/>
      <c r="AI1611" s="1837"/>
      <c r="AJ1611" s="1960">
        <f t="shared" si="977"/>
        <v>0</v>
      </c>
    </row>
    <row r="1612" spans="1:36" ht="21.95" customHeight="1" x14ac:dyDescent="0.2">
      <c r="A1612" s="1833">
        <f>satpek!B69</f>
        <v>50</v>
      </c>
      <c r="B1612" s="1943">
        <v>1</v>
      </c>
      <c r="C1612" s="1937"/>
      <c r="D1612" s="1944" t="str">
        <f>VLOOKUP($A1612,satpek!$B$20:$N$144,2,0)</f>
        <v>Memasang kloset duduk/monoblok dan aksesoris</v>
      </c>
      <c r="E1612" s="1944"/>
      <c r="F1612" s="2004"/>
      <c r="G1612" s="1945">
        <f>'[3]B.VOL RAB'!Q571</f>
        <v>8</v>
      </c>
      <c r="H1612" s="1946" t="str">
        <f>VLOOKUP($A1612,satpek!$B$20:$N$144,7,0)</f>
        <v>bh</v>
      </c>
      <c r="I1612" s="1947"/>
      <c r="J1612" s="1947"/>
      <c r="K1612" s="1948"/>
      <c r="L1612" s="1949"/>
      <c r="M1612" s="1950" t="str">
        <f>VLOOKUP($A1612,satpek!$B$20:$N$144,5,0)</f>
        <v>A.5.1.1.1.</v>
      </c>
      <c r="N1612" s="1951">
        <f>VLOOKUP($A1612,satpek!$B$20:$N$144,6,0)</f>
        <v>3373897.5</v>
      </c>
      <c r="O1612" s="1938"/>
      <c r="P1612" s="1952">
        <f t="shared" ref="P1612:P1667" si="1061">ROUND((G1612*N1612),2)</f>
        <v>26991180</v>
      </c>
      <c r="Q1612" s="1953">
        <f>VLOOKUP($A1612,satpek!$B$20:$L$138,8,0)</f>
        <v>0.46447123838231602</v>
      </c>
      <c r="R1612" s="1954">
        <f>VLOOKUP($A1612,satpek!$B$20:$L$138,9,0)</f>
        <v>1386795</v>
      </c>
      <c r="S1612" s="1954">
        <f>VLOOKUP($A1612,satpek!$B$20:$L$138,10,0)</f>
        <v>1567078.35</v>
      </c>
      <c r="T1612" s="1952">
        <f t="shared" ref="T1612:T1667" si="1062">S1612*G1612</f>
        <v>12536626.800000001</v>
      </c>
      <c r="U1612" s="1955"/>
      <c r="X1612" s="1848">
        <f>P1622</f>
        <v>2985750</v>
      </c>
      <c r="Y1612" s="1848">
        <f>S1622</f>
        <v>2985750</v>
      </c>
      <c r="Z1612" s="1956">
        <v>8</v>
      </c>
      <c r="AA1612" s="1956">
        <f t="shared" si="976"/>
        <v>0</v>
      </c>
      <c r="AB1612" s="1836" t="s">
        <v>1848</v>
      </c>
      <c r="AF1612" s="1836"/>
      <c r="AG1612" s="1836"/>
      <c r="AH1612" s="1836"/>
      <c r="AI1612" s="1837">
        <v>3359184.9</v>
      </c>
      <c r="AJ1612" s="1960">
        <f t="shared" si="977"/>
        <v>-14712.600000000093</v>
      </c>
    </row>
    <row r="1613" spans="1:36" ht="21.95" customHeight="1" x14ac:dyDescent="0.2">
      <c r="B1613" s="2045"/>
      <c r="C1613" s="2046" t="str">
        <f>SNI!D1006</f>
        <v>Bahan</v>
      </c>
      <c r="D1613" s="2047"/>
      <c r="E1613" s="2047"/>
      <c r="F1613" s="2048"/>
      <c r="G1613" s="2049"/>
      <c r="H1613" s="2050"/>
      <c r="I1613" s="2051"/>
      <c r="J1613" s="2051"/>
      <c r="K1613" s="2052"/>
      <c r="L1613" s="2053"/>
      <c r="M1613" s="2054"/>
      <c r="N1613" s="2055"/>
      <c r="O1613" s="2056"/>
      <c r="P1613" s="2057"/>
      <c r="Q1613" s="2058"/>
      <c r="R1613" s="2059"/>
      <c r="S1613" s="2059"/>
      <c r="T1613" s="2057"/>
      <c r="U1613" s="2060"/>
      <c r="Z1613" s="1956"/>
      <c r="AA1613" s="1956"/>
      <c r="AF1613" s="1836"/>
      <c r="AG1613" s="1836"/>
      <c r="AH1613" s="1836"/>
      <c r="AI1613" s="1837"/>
      <c r="AJ1613" s="1960"/>
    </row>
    <row r="1614" spans="1:36" ht="21.95" customHeight="1" x14ac:dyDescent="0.2">
      <c r="B1614" s="2045"/>
      <c r="C1614" s="2046"/>
      <c r="D1614" s="2047" t="str">
        <f>SNI!E1006</f>
        <v>Kloset duduk/monoblok</v>
      </c>
      <c r="E1614" s="2047"/>
      <c r="F1614" s="2048"/>
      <c r="G1614" s="2049">
        <f>SNI!H1006</f>
        <v>1</v>
      </c>
      <c r="H1614" s="2050" t="str">
        <f>SNI!G1006</f>
        <v>unit</v>
      </c>
      <c r="I1614" s="2051"/>
      <c r="J1614" s="2051"/>
      <c r="K1614" s="2052">
        <f>SNI!L1006</f>
        <v>0.30630000000000002</v>
      </c>
      <c r="L1614" s="2053"/>
      <c r="M1614" s="2054"/>
      <c r="N1614" s="2055">
        <f>SNI!I1006</f>
        <v>2150000</v>
      </c>
      <c r="O1614" s="2056"/>
      <c r="P1614" s="1969">
        <f t="shared" ref="P1614" si="1063">N1614*G1614</f>
        <v>2150000</v>
      </c>
      <c r="Q1614" s="1953"/>
      <c r="R1614" s="1954"/>
      <c r="S1614" s="1954">
        <f t="shared" ref="S1614" si="1064">P1614*K1614</f>
        <v>658545</v>
      </c>
      <c r="T1614" s="1969">
        <f t="shared" ref="T1614" si="1065">P1614-S1614</f>
        <v>1491455</v>
      </c>
      <c r="U1614" s="2060"/>
      <c r="Z1614" s="1956"/>
      <c r="AA1614" s="1956"/>
      <c r="AF1614" s="1836"/>
      <c r="AG1614" s="1836"/>
      <c r="AH1614" s="1836"/>
      <c r="AI1614" s="1837"/>
      <c r="AJ1614" s="1960"/>
    </row>
    <row r="1615" spans="1:36" ht="21.95" customHeight="1" x14ac:dyDescent="0.2">
      <c r="B1615" s="2045"/>
      <c r="C1615" s="2046"/>
      <c r="D1615" s="2047" t="str">
        <f>SNI!E1007</f>
        <v>Perlengkapan</v>
      </c>
      <c r="E1615" s="2047"/>
      <c r="F1615" s="2048"/>
      <c r="G1615" s="2049">
        <f>SNI!H1007</f>
        <v>1</v>
      </c>
      <c r="H1615" s="2050" t="str">
        <f>SNI!G1007</f>
        <v>ls</v>
      </c>
      <c r="I1615" s="2051"/>
      <c r="J1615" s="2051"/>
      <c r="K1615" s="2052">
        <f>SNI!L1007</f>
        <v>0.75</v>
      </c>
      <c r="L1615" s="2053"/>
      <c r="M1615" s="2054"/>
      <c r="N1615" s="2055">
        <f>SNI!I1007</f>
        <v>430000</v>
      </c>
      <c r="O1615" s="2056"/>
      <c r="P1615" s="1969">
        <f t="shared" ref="P1615:P1621" si="1066">N1615*G1615</f>
        <v>430000</v>
      </c>
      <c r="Q1615" s="1953"/>
      <c r="R1615" s="1954"/>
      <c r="S1615" s="1954">
        <f t="shared" ref="S1615:S1621" si="1067">P1615*K1615</f>
        <v>322500</v>
      </c>
      <c r="T1615" s="1969">
        <f t="shared" ref="T1615:T1621" si="1068">P1615-S1615</f>
        <v>107500</v>
      </c>
      <c r="U1615" s="2060"/>
      <c r="Z1615" s="1956"/>
      <c r="AA1615" s="1956"/>
      <c r="AF1615" s="1836"/>
      <c r="AG1615" s="1836"/>
      <c r="AH1615" s="1836"/>
      <c r="AI1615" s="1837"/>
      <c r="AJ1615" s="1960"/>
    </row>
    <row r="1616" spans="1:36" ht="21.95" customHeight="1" x14ac:dyDescent="0.2">
      <c r="B1616" s="2045"/>
      <c r="C1616" s="2046"/>
      <c r="D1616" s="2047" t="str">
        <f>SNI!E1008</f>
        <v>( 6% harga kloset )</v>
      </c>
      <c r="E1616" s="2047"/>
      <c r="F1616" s="2048"/>
      <c r="G1616" s="2049"/>
      <c r="H1616" s="2050"/>
      <c r="I1616" s="2051"/>
      <c r="J1616" s="2051"/>
      <c r="K1616" s="2052"/>
      <c r="L1616" s="2053"/>
      <c r="M1616" s="2054"/>
      <c r="N1616" s="2055"/>
      <c r="O1616" s="2056"/>
      <c r="P1616" s="1969"/>
      <c r="Q1616" s="1953"/>
      <c r="R1616" s="1954"/>
      <c r="S1616" s="1954"/>
      <c r="T1616" s="1969"/>
      <c r="U1616" s="2060"/>
      <c r="Z1616" s="1956"/>
      <c r="AA1616" s="1956"/>
      <c r="AF1616" s="1836"/>
      <c r="AG1616" s="1836"/>
      <c r="AH1616" s="1836"/>
      <c r="AI1616" s="1837"/>
      <c r="AJ1616" s="1960"/>
    </row>
    <row r="1617" spans="1:36" ht="21.95" customHeight="1" x14ac:dyDescent="0.2">
      <c r="B1617" s="2045"/>
      <c r="C1617" s="2046" t="str">
        <f>SNI!D1010</f>
        <v>Tenaga Kerja</v>
      </c>
      <c r="D1617" s="2047"/>
      <c r="E1617" s="2047"/>
      <c r="F1617" s="2048"/>
      <c r="G1617" s="2049"/>
      <c r="H1617" s="2050"/>
      <c r="I1617" s="2051"/>
      <c r="J1617" s="2051"/>
      <c r="K1617" s="2052"/>
      <c r="L1617" s="2053"/>
      <c r="M1617" s="2054"/>
      <c r="N1617" s="2055"/>
      <c r="O1617" s="2056"/>
      <c r="P1617" s="1969"/>
      <c r="Q1617" s="1953"/>
      <c r="R1617" s="1954"/>
      <c r="S1617" s="1954"/>
      <c r="T1617" s="1969"/>
      <c r="U1617" s="2060"/>
      <c r="Z1617" s="1956"/>
      <c r="AA1617" s="1956"/>
      <c r="AF1617" s="1836"/>
      <c r="AG1617" s="1836"/>
      <c r="AH1617" s="1836"/>
      <c r="AI1617" s="1837"/>
      <c r="AJ1617" s="1960"/>
    </row>
    <row r="1618" spans="1:36" ht="21.95" customHeight="1" x14ac:dyDescent="0.2">
      <c r="B1618" s="2045"/>
      <c r="C1618" s="2046"/>
      <c r="D1618" s="2047" t="str">
        <f>SNI!E1010</f>
        <v>Pekerja</v>
      </c>
      <c r="E1618" s="2047"/>
      <c r="F1618" s="2048"/>
      <c r="G1618" s="2049">
        <f>SNI!H1010</f>
        <v>3.3</v>
      </c>
      <c r="H1618" s="2050" t="str">
        <f>SNI!G1010</f>
        <v>OH</v>
      </c>
      <c r="I1618" s="2142" t="s">
        <v>2012</v>
      </c>
      <c r="J1618" s="2051"/>
      <c r="K1618" s="2052">
        <f>SNI!L1010</f>
        <v>1</v>
      </c>
      <c r="L1618" s="2053"/>
      <c r="M1618" s="2054"/>
      <c r="N1618" s="2055">
        <f>SNI!I1010</f>
        <v>88300</v>
      </c>
      <c r="O1618" s="2056"/>
      <c r="P1618" s="1969">
        <f t="shared" si="1066"/>
        <v>291390</v>
      </c>
      <c r="Q1618" s="1953"/>
      <c r="R1618" s="1954"/>
      <c r="S1618" s="1954">
        <f t="shared" si="1067"/>
        <v>291390</v>
      </c>
      <c r="T1618" s="1969">
        <f t="shared" si="1068"/>
        <v>0</v>
      </c>
      <c r="U1618" s="2060"/>
      <c r="Z1618" s="1956"/>
      <c r="AA1618" s="1956"/>
      <c r="AF1618" s="1836"/>
      <c r="AG1618" s="1836"/>
      <c r="AH1618" s="1836"/>
      <c r="AI1618" s="1837"/>
      <c r="AJ1618" s="1960"/>
    </row>
    <row r="1619" spans="1:36" ht="21.95" customHeight="1" x14ac:dyDescent="0.2">
      <c r="B1619" s="2045"/>
      <c r="C1619" s="2046"/>
      <c r="D1619" s="2047" t="str">
        <f>SNI!E1011</f>
        <v>Tukang batu</v>
      </c>
      <c r="E1619" s="2047"/>
      <c r="F1619" s="2048"/>
      <c r="G1619" s="2049">
        <f>SNI!H1011</f>
        <v>1.1000000000000001</v>
      </c>
      <c r="H1619" s="2050" t="str">
        <f>SNI!G1011</f>
        <v>OH</v>
      </c>
      <c r="I1619" s="2142" t="s">
        <v>2012</v>
      </c>
      <c r="J1619" s="2051"/>
      <c r="K1619" s="2052">
        <f>SNI!L1011</f>
        <v>1</v>
      </c>
      <c r="L1619" s="2053"/>
      <c r="M1619" s="2054"/>
      <c r="N1619" s="2055">
        <f>SNI!I1011</f>
        <v>90000</v>
      </c>
      <c r="O1619" s="2056"/>
      <c r="P1619" s="1969">
        <f t="shared" si="1066"/>
        <v>99000.000000000015</v>
      </c>
      <c r="Q1619" s="1953"/>
      <c r="R1619" s="1954"/>
      <c r="S1619" s="1954">
        <f t="shared" si="1067"/>
        <v>99000.000000000015</v>
      </c>
      <c r="T1619" s="1969">
        <f t="shared" si="1068"/>
        <v>0</v>
      </c>
      <c r="U1619" s="2060"/>
      <c r="Z1619" s="1956"/>
      <c r="AA1619" s="1956"/>
      <c r="AF1619" s="1836"/>
      <c r="AG1619" s="1836"/>
      <c r="AH1619" s="1836"/>
      <c r="AI1619" s="1837"/>
      <c r="AJ1619" s="1960"/>
    </row>
    <row r="1620" spans="1:36" ht="21.95" customHeight="1" x14ac:dyDescent="0.2">
      <c r="B1620" s="2045"/>
      <c r="C1620" s="2046"/>
      <c r="D1620" s="2047" t="str">
        <f>SNI!E1012</f>
        <v>Kepala tukang</v>
      </c>
      <c r="E1620" s="2047"/>
      <c r="F1620" s="2048"/>
      <c r="G1620" s="2049">
        <f>SNI!H1012</f>
        <v>0.01</v>
      </c>
      <c r="H1620" s="2050" t="str">
        <f>SNI!G1012</f>
        <v>OH</v>
      </c>
      <c r="I1620" s="2142" t="s">
        <v>2012</v>
      </c>
      <c r="J1620" s="2051"/>
      <c r="K1620" s="2052">
        <f>SNI!L1012</f>
        <v>1</v>
      </c>
      <c r="L1620" s="2053"/>
      <c r="M1620" s="2054"/>
      <c r="N1620" s="2055">
        <f>SNI!I1012</f>
        <v>96000</v>
      </c>
      <c r="O1620" s="2056"/>
      <c r="P1620" s="1969">
        <f t="shared" si="1066"/>
        <v>960</v>
      </c>
      <c r="Q1620" s="1953"/>
      <c r="R1620" s="1954"/>
      <c r="S1620" s="1954">
        <f t="shared" si="1067"/>
        <v>960</v>
      </c>
      <c r="T1620" s="1969">
        <f t="shared" si="1068"/>
        <v>0</v>
      </c>
      <c r="U1620" s="2060"/>
      <c r="Z1620" s="1956"/>
      <c r="AA1620" s="1956"/>
      <c r="AF1620" s="1836"/>
      <c r="AG1620" s="1836"/>
      <c r="AH1620" s="1836"/>
      <c r="AI1620" s="1837"/>
      <c r="AJ1620" s="1960"/>
    </row>
    <row r="1621" spans="1:36" ht="21.95" customHeight="1" x14ac:dyDescent="0.2">
      <c r="B1621" s="2045"/>
      <c r="C1621" s="2046"/>
      <c r="D1621" s="2047" t="str">
        <f>SNI!E1013</f>
        <v>Mandor</v>
      </c>
      <c r="E1621" s="2047"/>
      <c r="F1621" s="2048"/>
      <c r="G1621" s="2049">
        <f>SNI!H1013</f>
        <v>0.16</v>
      </c>
      <c r="H1621" s="2050" t="str">
        <f>SNI!G1013</f>
        <v>OH</v>
      </c>
      <c r="I1621" s="2142" t="s">
        <v>2012</v>
      </c>
      <c r="J1621" s="2051"/>
      <c r="K1621" s="2052">
        <f>SNI!L1013</f>
        <v>1</v>
      </c>
      <c r="L1621" s="2053"/>
      <c r="M1621" s="2054"/>
      <c r="N1621" s="2055">
        <f>SNI!I1013</f>
        <v>90000</v>
      </c>
      <c r="O1621" s="2056"/>
      <c r="P1621" s="1969">
        <f t="shared" si="1066"/>
        <v>14400</v>
      </c>
      <c r="Q1621" s="1953"/>
      <c r="R1621" s="1954"/>
      <c r="S1621" s="1954">
        <f t="shared" si="1067"/>
        <v>14400</v>
      </c>
      <c r="T1621" s="1969">
        <f t="shared" si="1068"/>
        <v>0</v>
      </c>
      <c r="U1621" s="2060"/>
      <c r="Z1621" s="1956"/>
      <c r="AA1621" s="1956"/>
      <c r="AF1621" s="1836"/>
      <c r="AG1621" s="1836"/>
      <c r="AH1621" s="1836"/>
      <c r="AI1621" s="1837"/>
      <c r="AJ1621" s="1960"/>
    </row>
    <row r="1622" spans="1:36" s="1957" customFormat="1" ht="21.95" customHeight="1" x14ac:dyDescent="0.2">
      <c r="A1622" s="1942"/>
      <c r="B1622" s="1970"/>
      <c r="C1622" s="1971"/>
      <c r="D1622" s="1972"/>
      <c r="E1622" s="1973"/>
      <c r="F1622" s="1974" t="s">
        <v>556</v>
      </c>
      <c r="G1622" s="1975">
        <f>B1612</f>
        <v>1</v>
      </c>
      <c r="H1622" s="1976"/>
      <c r="I1622" s="1977"/>
      <c r="J1622" s="1977"/>
      <c r="K1622" s="1978"/>
      <c r="L1622" s="1979"/>
      <c r="M1622" s="1980"/>
      <c r="N1622" s="1981"/>
      <c r="O1622" s="1982"/>
      <c r="P1622" s="1983">
        <f>SUM(P1614:R1621)</f>
        <v>2985750</v>
      </c>
      <c r="Q1622" s="1984"/>
      <c r="R1622" s="1985"/>
      <c r="S1622" s="1983">
        <f t="shared" ref="S1622:T1622" si="1069">SUM(S1614:U1621)</f>
        <v>2985750</v>
      </c>
      <c r="T1622" s="1983">
        <f t="shared" si="1069"/>
        <v>1598955</v>
      </c>
      <c r="U1622" s="1986"/>
      <c r="V1622" s="1848"/>
      <c r="W1622" s="1848"/>
      <c r="X1622" s="1848"/>
      <c r="Y1622" s="1848"/>
      <c r="Z1622" s="1956"/>
      <c r="AA1622" s="1956"/>
      <c r="AF1622" s="1958"/>
      <c r="AG1622" s="1958"/>
      <c r="AH1622" s="1958"/>
      <c r="AI1622" s="1959"/>
      <c r="AJ1622" s="1960"/>
    </row>
    <row r="1623" spans="1:36" ht="21.95" customHeight="1" x14ac:dyDescent="0.2">
      <c r="A1623" s="1833">
        <f>satpek!B71</f>
        <v>52</v>
      </c>
      <c r="B1623" s="1943">
        <f>B1612+1</f>
        <v>2</v>
      </c>
      <c r="C1623" s="1937"/>
      <c r="D1623" s="1944" t="str">
        <f>VLOOKUP($A1623,satpek!$B$20:$N$144,2,0)</f>
        <v>Memasang wastafel lengkap sifon stainless</v>
      </c>
      <c r="E1623" s="1944"/>
      <c r="F1623" s="2004"/>
      <c r="G1623" s="1945">
        <f>'[3]B.VOL RAB'!Q572</f>
        <v>4</v>
      </c>
      <c r="H1623" s="1946" t="str">
        <f>VLOOKUP($A1623,satpek!$B$20:$N$144,7,0)</f>
        <v>bh</v>
      </c>
      <c r="I1623" s="1947"/>
      <c r="J1623" s="1947"/>
      <c r="K1623" s="1948"/>
      <c r="L1623" s="1949"/>
      <c r="M1623" s="1950" t="str">
        <f>VLOOKUP($A1623,satpek!$B$20:$N$144,5,0)</f>
        <v>A.5.1.1.5.</v>
      </c>
      <c r="N1623" s="1951">
        <f>VLOOKUP($A1623,satpek!$B$20:$N$144,6,0)</f>
        <v>1376407.8</v>
      </c>
      <c r="O1623" s="1938"/>
      <c r="P1623" s="1952">
        <f t="shared" si="1061"/>
        <v>5505631.2000000002</v>
      </c>
      <c r="Q1623" s="1953">
        <f>VLOOKUP($A1623,satpek!$B$20:$L$138,8,0)</f>
        <v>0.71936118089420875</v>
      </c>
      <c r="R1623" s="1954">
        <f>VLOOKUP($A1623,satpek!$B$20:$L$138,9,0)</f>
        <v>876225.08</v>
      </c>
      <c r="S1623" s="1954">
        <f>VLOOKUP($A1623,satpek!$B$20:$L$138,10,0)</f>
        <v>990134.34039999999</v>
      </c>
      <c r="T1623" s="1952">
        <f t="shared" si="1062"/>
        <v>3960537.3615999999</v>
      </c>
      <c r="U1623" s="1955"/>
      <c r="X1623" s="1848">
        <f>P1635</f>
        <v>1218060</v>
      </c>
      <c r="Y1623" s="1848">
        <f>S1635</f>
        <v>1218060</v>
      </c>
      <c r="Z1623" s="1956">
        <v>4</v>
      </c>
      <c r="AA1623" s="1956">
        <f t="shared" si="976"/>
        <v>0</v>
      </c>
      <c r="AB1623" s="1836" t="s">
        <v>1849</v>
      </c>
      <c r="AC1623" s="2141" t="e">
        <f>AB1623+(AB1623*10%)</f>
        <v>#VALUE!</v>
      </c>
      <c r="AF1623" s="1836"/>
      <c r="AG1623" s="1836"/>
      <c r="AH1623" s="1836"/>
      <c r="AI1623" s="1837">
        <v>1003649.05</v>
      </c>
      <c r="AJ1623" s="1960">
        <f t="shared" si="977"/>
        <v>-372758.75</v>
      </c>
    </row>
    <row r="1624" spans="1:36" ht="21.95" customHeight="1" x14ac:dyDescent="0.2">
      <c r="B1624" s="2045"/>
      <c r="C1624" s="2046" t="str">
        <f>SNI!D1046</f>
        <v>Bahan</v>
      </c>
      <c r="D1624" s="2047"/>
      <c r="E1624" s="2047"/>
      <c r="F1624" s="2048"/>
      <c r="G1624" s="2049"/>
      <c r="H1624" s="2050"/>
      <c r="I1624" s="2051"/>
      <c r="J1624" s="2051"/>
      <c r="K1624" s="2052"/>
      <c r="L1624" s="2053"/>
      <c r="M1624" s="2054"/>
      <c r="N1624" s="2055"/>
      <c r="O1624" s="2056"/>
      <c r="P1624" s="2057"/>
      <c r="Q1624" s="2058"/>
      <c r="R1624" s="2059"/>
      <c r="S1624" s="2059"/>
      <c r="T1624" s="2057"/>
      <c r="U1624" s="2060"/>
      <c r="Z1624" s="1956"/>
      <c r="AA1624" s="1956"/>
      <c r="AC1624" s="2141"/>
      <c r="AF1624" s="1836"/>
      <c r="AG1624" s="1836"/>
      <c r="AH1624" s="1836"/>
      <c r="AI1624" s="1837"/>
      <c r="AJ1624" s="1960"/>
    </row>
    <row r="1625" spans="1:36" ht="21.95" customHeight="1" x14ac:dyDescent="0.2">
      <c r="B1625" s="2045"/>
      <c r="C1625" s="2046"/>
      <c r="D1625" s="2047" t="str">
        <f>SNI!E1046</f>
        <v>Wastafel</v>
      </c>
      <c r="E1625" s="2047"/>
      <c r="F1625" s="2048"/>
      <c r="G1625" s="2049">
        <f>SNI!H1046</f>
        <v>1</v>
      </c>
      <c r="H1625" s="2050" t="str">
        <f>SNI!G1046</f>
        <v>unit</v>
      </c>
      <c r="I1625" s="2051"/>
      <c r="J1625" s="2051"/>
      <c r="K1625" s="2052">
        <f>SNI!L1046</f>
        <v>0.62909999999999999</v>
      </c>
      <c r="L1625" s="2053"/>
      <c r="M1625" s="2054"/>
      <c r="N1625" s="2055">
        <f>SNI!I1046</f>
        <v>850000</v>
      </c>
      <c r="O1625" s="2056"/>
      <c r="P1625" s="1969">
        <f t="shared" ref="P1625" si="1070">N1625*G1625</f>
        <v>850000</v>
      </c>
      <c r="Q1625" s="1953"/>
      <c r="R1625" s="1954"/>
      <c r="S1625" s="1954">
        <f t="shared" ref="S1625" si="1071">P1625*K1625</f>
        <v>534735</v>
      </c>
      <c r="T1625" s="1969">
        <f t="shared" ref="T1625" si="1072">P1625-S1625</f>
        <v>315265</v>
      </c>
      <c r="U1625" s="2060"/>
      <c r="Z1625" s="1956"/>
      <c r="AA1625" s="1956"/>
      <c r="AC1625" s="2141"/>
      <c r="AF1625" s="1836"/>
      <c r="AG1625" s="1836"/>
      <c r="AH1625" s="1836"/>
      <c r="AI1625" s="1837"/>
      <c r="AJ1625" s="1960"/>
    </row>
    <row r="1626" spans="1:36" ht="21.95" customHeight="1" x14ac:dyDescent="0.2">
      <c r="B1626" s="2045"/>
      <c r="C1626" s="2046"/>
      <c r="D1626" s="2047" t="str">
        <f>SNI!E1047</f>
        <v>Perlengkapan</v>
      </c>
      <c r="E1626" s="2047"/>
      <c r="F1626" s="2048"/>
      <c r="G1626" s="2049">
        <f>SNI!H1047</f>
        <v>1</v>
      </c>
      <c r="H1626" s="2050" t="str">
        <f>SNI!G1047</f>
        <v>bh</v>
      </c>
      <c r="I1626" s="2051"/>
      <c r="J1626" s="2051"/>
      <c r="K1626" s="2052">
        <f>SNI!L1047</f>
        <v>0.75</v>
      </c>
      <c r="L1626" s="2053"/>
      <c r="M1626" s="2054"/>
      <c r="N1626" s="2055">
        <f>SNI!I1047</f>
        <v>102000</v>
      </c>
      <c r="O1626" s="2056"/>
      <c r="P1626" s="1969">
        <f t="shared" ref="P1626:P1634" si="1073">N1626*G1626</f>
        <v>102000</v>
      </c>
      <c r="Q1626" s="1953"/>
      <c r="R1626" s="1954"/>
      <c r="S1626" s="1954">
        <f t="shared" ref="S1626:S1634" si="1074">P1626*K1626</f>
        <v>76500</v>
      </c>
      <c r="T1626" s="1969">
        <f t="shared" ref="T1626:T1634" si="1075">P1626-S1626</f>
        <v>25500</v>
      </c>
      <c r="U1626" s="2060"/>
      <c r="Z1626" s="1956"/>
      <c r="AA1626" s="1956"/>
      <c r="AC1626" s="2141"/>
      <c r="AF1626" s="1836"/>
      <c r="AG1626" s="1836"/>
      <c r="AH1626" s="1836"/>
      <c r="AI1626" s="1837"/>
      <c r="AJ1626" s="1960"/>
    </row>
    <row r="1627" spans="1:36" ht="21.95" customHeight="1" x14ac:dyDescent="0.2">
      <c r="B1627" s="2045"/>
      <c r="C1627" s="2046"/>
      <c r="D1627" s="2047" t="str">
        <f>SNI!E1048</f>
        <v>( 12% harga wastafel )</v>
      </c>
      <c r="E1627" s="2047"/>
      <c r="F1627" s="2048"/>
      <c r="G1627" s="2049"/>
      <c r="H1627" s="2050"/>
      <c r="I1627" s="2051"/>
      <c r="J1627" s="2051"/>
      <c r="K1627" s="2052"/>
      <c r="L1627" s="2053"/>
      <c r="M1627" s="2054"/>
      <c r="N1627" s="2055"/>
      <c r="O1627" s="2056"/>
      <c r="P1627" s="1969"/>
      <c r="Q1627" s="1953"/>
      <c r="R1627" s="1954"/>
      <c r="S1627" s="1954"/>
      <c r="T1627" s="1969"/>
      <c r="U1627" s="2060"/>
      <c r="Z1627" s="1956"/>
      <c r="AA1627" s="1956"/>
      <c r="AC1627" s="2141"/>
      <c r="AF1627" s="1836"/>
      <c r="AG1627" s="1836"/>
      <c r="AH1627" s="1836"/>
      <c r="AI1627" s="1837"/>
      <c r="AJ1627" s="1960"/>
    </row>
    <row r="1628" spans="1:36" ht="21.95" customHeight="1" x14ac:dyDescent="0.2">
      <c r="B1628" s="2045"/>
      <c r="C1628" s="2046"/>
      <c r="D1628" s="2047" t="str">
        <f>SNI!E1049</f>
        <v>PC</v>
      </c>
      <c r="E1628" s="2047"/>
      <c r="F1628" s="2048"/>
      <c r="G1628" s="2049">
        <f>SNI!H1049</f>
        <v>6</v>
      </c>
      <c r="H1628" s="2050" t="str">
        <f>SNI!G1049</f>
        <v>kg</v>
      </c>
      <c r="I1628" s="2051"/>
      <c r="J1628" s="2051"/>
      <c r="K1628" s="2052">
        <f>SNI!L1049</f>
        <v>0.85140000000000005</v>
      </c>
      <c r="L1628" s="2053"/>
      <c r="M1628" s="2054"/>
      <c r="N1628" s="2055">
        <f>SNI!I1049</f>
        <v>1200</v>
      </c>
      <c r="O1628" s="2056"/>
      <c r="P1628" s="1969">
        <f t="shared" si="1073"/>
        <v>7200</v>
      </c>
      <c r="Q1628" s="1953"/>
      <c r="R1628" s="1954"/>
      <c r="S1628" s="1954">
        <f t="shared" si="1074"/>
        <v>6130.08</v>
      </c>
      <c r="T1628" s="1969">
        <f t="shared" si="1075"/>
        <v>1069.92</v>
      </c>
      <c r="U1628" s="2060"/>
      <c r="Z1628" s="1956"/>
      <c r="AA1628" s="1956"/>
      <c r="AC1628" s="2141"/>
      <c r="AF1628" s="1836"/>
      <c r="AG1628" s="1836"/>
      <c r="AH1628" s="1836"/>
      <c r="AI1628" s="1837"/>
      <c r="AJ1628" s="1960"/>
    </row>
    <row r="1629" spans="1:36" ht="21.95" customHeight="1" x14ac:dyDescent="0.2">
      <c r="B1629" s="2045"/>
      <c r="C1629" s="2046"/>
      <c r="D1629" s="2047" t="str">
        <f>SNI!E1050</f>
        <v>Pasir pasang</v>
      </c>
      <c r="E1629" s="2047"/>
      <c r="F1629" s="2048"/>
      <c r="G1629" s="2049">
        <f>SNI!H1050</f>
        <v>0.01</v>
      </c>
      <c r="H1629" s="2050" t="str">
        <f>SNI!G1050</f>
        <v>m3</v>
      </c>
      <c r="I1629" s="2051"/>
      <c r="J1629" s="2051"/>
      <c r="K1629" s="2052">
        <f>SNI!L1050</f>
        <v>1</v>
      </c>
      <c r="L1629" s="2053"/>
      <c r="M1629" s="2054"/>
      <c r="N1629" s="2055">
        <f>SNI!I1050</f>
        <v>260000</v>
      </c>
      <c r="O1629" s="2056"/>
      <c r="P1629" s="1969">
        <f t="shared" si="1073"/>
        <v>2600</v>
      </c>
      <c r="Q1629" s="1953"/>
      <c r="R1629" s="1954"/>
      <c r="S1629" s="1954">
        <f t="shared" si="1074"/>
        <v>2600</v>
      </c>
      <c r="T1629" s="1969">
        <f t="shared" si="1075"/>
        <v>0</v>
      </c>
      <c r="U1629" s="2060"/>
      <c r="Z1629" s="1956"/>
      <c r="AA1629" s="1956"/>
      <c r="AC1629" s="2141"/>
      <c r="AF1629" s="1836"/>
      <c r="AG1629" s="1836"/>
      <c r="AH1629" s="1836"/>
      <c r="AI1629" s="1837"/>
      <c r="AJ1629" s="1960"/>
    </row>
    <row r="1630" spans="1:36" ht="21.95" customHeight="1" x14ac:dyDescent="0.2">
      <c r="B1630" s="2045"/>
      <c r="C1630" s="2046" t="str">
        <f>SNI!D1052</f>
        <v>Tenaga Kerja</v>
      </c>
      <c r="D1630" s="2047"/>
      <c r="E1630" s="2047"/>
      <c r="F1630" s="2048"/>
      <c r="G1630" s="2049"/>
      <c r="H1630" s="2050"/>
      <c r="I1630" s="2051"/>
      <c r="J1630" s="2051"/>
      <c r="K1630" s="2052"/>
      <c r="L1630" s="2053"/>
      <c r="M1630" s="2054"/>
      <c r="N1630" s="2055"/>
      <c r="O1630" s="2056"/>
      <c r="P1630" s="1969"/>
      <c r="Q1630" s="1953"/>
      <c r="R1630" s="1954"/>
      <c r="S1630" s="1954"/>
      <c r="T1630" s="1969"/>
      <c r="U1630" s="2060"/>
      <c r="Z1630" s="1956"/>
      <c r="AA1630" s="1956"/>
      <c r="AC1630" s="2141"/>
      <c r="AF1630" s="1836"/>
      <c r="AG1630" s="1836"/>
      <c r="AH1630" s="1836"/>
      <c r="AI1630" s="1837"/>
      <c r="AJ1630" s="1960"/>
    </row>
    <row r="1631" spans="1:36" ht="21.95" customHeight="1" x14ac:dyDescent="0.2">
      <c r="B1631" s="2045"/>
      <c r="C1631" s="2046"/>
      <c r="D1631" s="2047" t="str">
        <f>SNI!E1052</f>
        <v>Pekerja</v>
      </c>
      <c r="E1631" s="2047"/>
      <c r="F1631" s="2048"/>
      <c r="G1631" s="2049">
        <f>SNI!H1052</f>
        <v>1.2</v>
      </c>
      <c r="H1631" s="2050" t="str">
        <f>SNI!G1052</f>
        <v>OH</v>
      </c>
      <c r="I1631" s="2142" t="s">
        <v>2012</v>
      </c>
      <c r="J1631" s="2051"/>
      <c r="K1631" s="2052">
        <f>SNI!L1052</f>
        <v>1</v>
      </c>
      <c r="L1631" s="2053"/>
      <c r="M1631" s="2054"/>
      <c r="N1631" s="2055">
        <f>SNI!I1052</f>
        <v>88300</v>
      </c>
      <c r="O1631" s="2056"/>
      <c r="P1631" s="1969">
        <f t="shared" si="1073"/>
        <v>105960</v>
      </c>
      <c r="Q1631" s="1953"/>
      <c r="R1631" s="1954"/>
      <c r="S1631" s="1954">
        <f t="shared" si="1074"/>
        <v>105960</v>
      </c>
      <c r="T1631" s="1969">
        <f t="shared" si="1075"/>
        <v>0</v>
      </c>
      <c r="U1631" s="2060"/>
      <c r="Z1631" s="1956"/>
      <c r="AA1631" s="1956"/>
      <c r="AC1631" s="2141"/>
      <c r="AF1631" s="1836"/>
      <c r="AG1631" s="1836"/>
      <c r="AH1631" s="1836"/>
      <c r="AI1631" s="1837"/>
      <c r="AJ1631" s="1960"/>
    </row>
    <row r="1632" spans="1:36" ht="21.95" customHeight="1" x14ac:dyDescent="0.2">
      <c r="B1632" s="2045"/>
      <c r="C1632" s="2046"/>
      <c r="D1632" s="2047" t="str">
        <f>SNI!E1053</f>
        <v>Tukang batu</v>
      </c>
      <c r="E1632" s="2047"/>
      <c r="F1632" s="2048"/>
      <c r="G1632" s="2049">
        <f>SNI!H1053</f>
        <v>1.45</v>
      </c>
      <c r="H1632" s="2050" t="str">
        <f>SNI!G1053</f>
        <v>OH</v>
      </c>
      <c r="I1632" s="2142" t="s">
        <v>2012</v>
      </c>
      <c r="J1632" s="2051"/>
      <c r="K1632" s="2052">
        <f>SNI!L1053</f>
        <v>1</v>
      </c>
      <c r="L1632" s="2053"/>
      <c r="M1632" s="2054"/>
      <c r="N1632" s="2055">
        <f>SNI!I1053</f>
        <v>90000</v>
      </c>
      <c r="O1632" s="2056"/>
      <c r="P1632" s="1969">
        <f t="shared" si="1073"/>
        <v>130500</v>
      </c>
      <c r="Q1632" s="1953"/>
      <c r="R1632" s="1954"/>
      <c r="S1632" s="1954">
        <f t="shared" si="1074"/>
        <v>130500</v>
      </c>
      <c r="T1632" s="1969">
        <f t="shared" si="1075"/>
        <v>0</v>
      </c>
      <c r="U1632" s="2060"/>
      <c r="Z1632" s="1956"/>
      <c r="AA1632" s="1956"/>
      <c r="AC1632" s="2141"/>
      <c r="AF1632" s="1836"/>
      <c r="AG1632" s="1836"/>
      <c r="AH1632" s="1836"/>
      <c r="AI1632" s="1837"/>
      <c r="AJ1632" s="1960"/>
    </row>
    <row r="1633" spans="1:36" ht="21.95" customHeight="1" x14ac:dyDescent="0.2">
      <c r="B1633" s="2045"/>
      <c r="C1633" s="2046"/>
      <c r="D1633" s="2047" t="str">
        <f>SNI!E1054</f>
        <v>Kepala tukang</v>
      </c>
      <c r="E1633" s="2047"/>
      <c r="F1633" s="2048"/>
      <c r="G1633" s="2049">
        <f>SNI!H1054</f>
        <v>0.15</v>
      </c>
      <c r="H1633" s="2050" t="str">
        <f>SNI!G1054</f>
        <v>OH</v>
      </c>
      <c r="I1633" s="2142" t="s">
        <v>2012</v>
      </c>
      <c r="J1633" s="2051"/>
      <c r="K1633" s="2052">
        <f>SNI!L1054</f>
        <v>1</v>
      </c>
      <c r="L1633" s="2053"/>
      <c r="M1633" s="2054"/>
      <c r="N1633" s="2055">
        <f>SNI!I1054</f>
        <v>96000</v>
      </c>
      <c r="O1633" s="2056"/>
      <c r="P1633" s="1969">
        <f t="shared" si="1073"/>
        <v>14400</v>
      </c>
      <c r="Q1633" s="1953"/>
      <c r="R1633" s="1954"/>
      <c r="S1633" s="1954">
        <f t="shared" si="1074"/>
        <v>14400</v>
      </c>
      <c r="T1633" s="1969">
        <f t="shared" si="1075"/>
        <v>0</v>
      </c>
      <c r="U1633" s="2060"/>
      <c r="Z1633" s="1956"/>
      <c r="AA1633" s="1956"/>
      <c r="AC1633" s="2141"/>
      <c r="AF1633" s="1836"/>
      <c r="AG1633" s="1836"/>
      <c r="AH1633" s="1836"/>
      <c r="AI1633" s="1837"/>
      <c r="AJ1633" s="1960"/>
    </row>
    <row r="1634" spans="1:36" ht="21.95" customHeight="1" x14ac:dyDescent="0.2">
      <c r="B1634" s="2045"/>
      <c r="C1634" s="2046"/>
      <c r="D1634" s="2047" t="str">
        <f>SNI!E1055</f>
        <v>Mandor</v>
      </c>
      <c r="E1634" s="2047"/>
      <c r="F1634" s="2048"/>
      <c r="G1634" s="2049">
        <f>SNI!H1055</f>
        <v>0.06</v>
      </c>
      <c r="H1634" s="2050" t="str">
        <f>SNI!G1055</f>
        <v>OH</v>
      </c>
      <c r="I1634" s="2142" t="s">
        <v>2012</v>
      </c>
      <c r="J1634" s="2051"/>
      <c r="K1634" s="2052">
        <f>SNI!L1055</f>
        <v>1</v>
      </c>
      <c r="L1634" s="2053"/>
      <c r="M1634" s="2054"/>
      <c r="N1634" s="2055">
        <f>SNI!I1055</f>
        <v>90000</v>
      </c>
      <c r="O1634" s="2056"/>
      <c r="P1634" s="1969">
        <f t="shared" si="1073"/>
        <v>5400</v>
      </c>
      <c r="Q1634" s="1953"/>
      <c r="R1634" s="1954"/>
      <c r="S1634" s="1954">
        <f t="shared" si="1074"/>
        <v>5400</v>
      </c>
      <c r="T1634" s="1969">
        <f t="shared" si="1075"/>
        <v>0</v>
      </c>
      <c r="U1634" s="2060"/>
      <c r="Z1634" s="1956"/>
      <c r="AA1634" s="1956"/>
      <c r="AC1634" s="2141"/>
      <c r="AF1634" s="1836"/>
      <c r="AG1634" s="1836"/>
      <c r="AH1634" s="1836"/>
      <c r="AI1634" s="1837"/>
      <c r="AJ1634" s="1960"/>
    </row>
    <row r="1635" spans="1:36" s="1957" customFormat="1" ht="21.95" customHeight="1" x14ac:dyDescent="0.2">
      <c r="A1635" s="1942"/>
      <c r="B1635" s="1970"/>
      <c r="C1635" s="1971"/>
      <c r="D1635" s="1972"/>
      <c r="E1635" s="1973"/>
      <c r="F1635" s="1974" t="s">
        <v>556</v>
      </c>
      <c r="G1635" s="1975">
        <f>B1623</f>
        <v>2</v>
      </c>
      <c r="H1635" s="1976"/>
      <c r="I1635" s="1977"/>
      <c r="J1635" s="1977"/>
      <c r="K1635" s="1978"/>
      <c r="L1635" s="1979"/>
      <c r="M1635" s="1980"/>
      <c r="N1635" s="1981"/>
      <c r="O1635" s="1982"/>
      <c r="P1635" s="1983">
        <f>SUM(P1625:R1634)</f>
        <v>1218060</v>
      </c>
      <c r="Q1635" s="1984"/>
      <c r="R1635" s="1985"/>
      <c r="S1635" s="1983">
        <f t="shared" ref="S1635:T1635" si="1076">SUM(S1625:U1634)</f>
        <v>1218060</v>
      </c>
      <c r="T1635" s="1983">
        <f t="shared" si="1076"/>
        <v>341834.92</v>
      </c>
      <c r="U1635" s="1986"/>
      <c r="V1635" s="1848"/>
      <c r="W1635" s="1848"/>
      <c r="X1635" s="1848"/>
      <c r="Y1635" s="1848"/>
      <c r="Z1635" s="1956"/>
      <c r="AA1635" s="1956"/>
      <c r="AF1635" s="1958"/>
      <c r="AG1635" s="1958"/>
      <c r="AH1635" s="1958"/>
      <c r="AI1635" s="1959"/>
      <c r="AJ1635" s="1960"/>
    </row>
    <row r="1636" spans="1:36" ht="21.95" customHeight="1" x14ac:dyDescent="0.2">
      <c r="A1636" s="1833">
        <f>satpek!B72</f>
        <v>53</v>
      </c>
      <c r="B1636" s="1943">
        <f>B1623+1</f>
        <v>3</v>
      </c>
      <c r="C1636" s="1937"/>
      <c r="D1636" s="1944" t="str">
        <f>VLOOKUP($A1636,satpek!$B$20:$N$144,2,0)</f>
        <v>Memasang floor drain stainless</v>
      </c>
      <c r="E1636" s="1944"/>
      <c r="F1636" s="2004"/>
      <c r="G1636" s="1945">
        <f>'[3]B.VOL RAB'!Q573</f>
        <v>10</v>
      </c>
      <c r="H1636" s="1946" t="str">
        <f>VLOOKUP($A1636,satpek!$B$20:$N$144,7,0)</f>
        <v>bh</v>
      </c>
      <c r="I1636" s="1947"/>
      <c r="J1636" s="1947"/>
      <c r="K1636" s="1948"/>
      <c r="L1636" s="1949"/>
      <c r="M1636" s="1950" t="str">
        <f>VLOOKUP($A1636,satpek!$B$20:$N$144,5,0)</f>
        <v>A.5.1.1.14.</v>
      </c>
      <c r="N1636" s="1951">
        <f>VLOOKUP($A1636,satpek!$B$20:$N$144,6,0)</f>
        <v>120111.09</v>
      </c>
      <c r="O1636" s="1938"/>
      <c r="P1636" s="1952">
        <f t="shared" si="1061"/>
        <v>1201110.8999999999</v>
      </c>
      <c r="Q1636" s="1953">
        <f>VLOOKUP($A1636,satpek!$B$20:$L$138,8,0)</f>
        <v>0.10624406122698578</v>
      </c>
      <c r="R1636" s="1954">
        <f>VLOOKUP($A1636,satpek!$B$20:$L$138,9,0)</f>
        <v>11293</v>
      </c>
      <c r="S1636" s="1954">
        <f>VLOOKUP($A1636,satpek!$B$20:$L$138,10,0)</f>
        <v>12761.09</v>
      </c>
      <c r="T1636" s="1952">
        <f t="shared" si="1062"/>
        <v>127610.9</v>
      </c>
      <c r="U1636" s="1955"/>
      <c r="X1636" s="1848">
        <f>P1644</f>
        <v>106293</v>
      </c>
      <c r="Y1636" s="1848">
        <f>S1644</f>
        <v>11293</v>
      </c>
      <c r="Z1636" s="1956">
        <v>10</v>
      </c>
      <c r="AA1636" s="1956">
        <f t="shared" si="976"/>
        <v>0</v>
      </c>
      <c r="AB1636" s="1836" t="s">
        <v>1915</v>
      </c>
      <c r="AF1636" s="1836"/>
      <c r="AG1636" s="1836"/>
      <c r="AH1636" s="1836"/>
      <c r="AI1636" s="1837">
        <v>103903.5</v>
      </c>
      <c r="AJ1636" s="1960">
        <f t="shared" si="977"/>
        <v>-16207.589999999997</v>
      </c>
    </row>
    <row r="1637" spans="1:36" ht="21.95" customHeight="1" x14ac:dyDescent="0.2">
      <c r="B1637" s="2045"/>
      <c r="C1637" s="2046" t="str">
        <f>SNI!D1070</f>
        <v>Tenaga Kerja</v>
      </c>
      <c r="D1637" s="2047"/>
      <c r="E1637" s="2047"/>
      <c r="F1637" s="2048"/>
      <c r="G1637" s="2049"/>
      <c r="H1637" s="2050"/>
      <c r="I1637" s="2051"/>
      <c r="J1637" s="2051"/>
      <c r="K1637" s="2052"/>
      <c r="L1637" s="2053"/>
      <c r="M1637" s="2054"/>
      <c r="N1637" s="2055"/>
      <c r="O1637" s="2056"/>
      <c r="P1637" s="2057"/>
      <c r="Q1637" s="2058"/>
      <c r="R1637" s="2059"/>
      <c r="S1637" s="2059"/>
      <c r="T1637" s="2057"/>
      <c r="U1637" s="2060"/>
      <c r="Z1637" s="1956"/>
      <c r="AA1637" s="1956"/>
      <c r="AF1637" s="1836"/>
      <c r="AG1637" s="1836"/>
      <c r="AH1637" s="1836"/>
      <c r="AI1637" s="1837"/>
      <c r="AJ1637" s="1960"/>
    </row>
    <row r="1638" spans="1:36" ht="21.95" customHeight="1" x14ac:dyDescent="0.2">
      <c r="B1638" s="2045"/>
      <c r="C1638" s="2046"/>
      <c r="D1638" s="2047" t="str">
        <f>SNI!E1068</f>
        <v>Floor drain</v>
      </c>
      <c r="E1638" s="2047"/>
      <c r="F1638" s="2048"/>
      <c r="G1638" s="2049">
        <f>SNI!H1068</f>
        <v>1</v>
      </c>
      <c r="H1638" s="2050" t="str">
        <f>SNI!G1068</f>
        <v>unit</v>
      </c>
      <c r="I1638" s="2051"/>
      <c r="J1638" s="2051"/>
      <c r="K1638" s="2052">
        <f>SNI!L1068</f>
        <v>0</v>
      </c>
      <c r="L1638" s="2053"/>
      <c r="M1638" s="2054"/>
      <c r="N1638" s="2055">
        <f>SNI!I1068</f>
        <v>95000</v>
      </c>
      <c r="O1638" s="2056"/>
      <c r="P1638" s="1969">
        <f t="shared" ref="P1638" si="1077">N1638*G1638</f>
        <v>95000</v>
      </c>
      <c r="Q1638" s="1953"/>
      <c r="R1638" s="1954"/>
      <c r="S1638" s="1954">
        <f t="shared" ref="S1638" si="1078">P1638*K1638</f>
        <v>0</v>
      </c>
      <c r="T1638" s="1969">
        <f t="shared" ref="T1638" si="1079">P1638-S1638</f>
        <v>95000</v>
      </c>
      <c r="U1638" s="2060"/>
      <c r="Z1638" s="1956"/>
      <c r="AA1638" s="1956"/>
      <c r="AF1638" s="1836"/>
      <c r="AG1638" s="1836"/>
      <c r="AH1638" s="1836"/>
      <c r="AI1638" s="1837"/>
      <c r="AJ1638" s="1960"/>
    </row>
    <row r="1639" spans="1:36" ht="21.95" customHeight="1" x14ac:dyDescent="0.2">
      <c r="B1639" s="2045"/>
      <c r="C1639" s="2046" t="str">
        <f>SNI!D1070</f>
        <v>Tenaga Kerja</v>
      </c>
      <c r="D1639" s="2047"/>
      <c r="E1639" s="2047"/>
      <c r="F1639" s="2048"/>
      <c r="G1639" s="2049"/>
      <c r="H1639" s="2050"/>
      <c r="I1639" s="2051"/>
      <c r="J1639" s="2051"/>
      <c r="K1639" s="2052"/>
      <c r="L1639" s="2053"/>
      <c r="M1639" s="2054"/>
      <c r="N1639" s="2055"/>
      <c r="O1639" s="2056"/>
      <c r="P1639" s="1969"/>
      <c r="Q1639" s="1953"/>
      <c r="R1639" s="1954"/>
      <c r="S1639" s="1954"/>
      <c r="T1639" s="1969"/>
      <c r="U1639" s="2060"/>
      <c r="Z1639" s="1956"/>
      <c r="AA1639" s="1956"/>
      <c r="AF1639" s="1836"/>
      <c r="AG1639" s="1836"/>
      <c r="AH1639" s="1836"/>
      <c r="AI1639" s="1837"/>
      <c r="AJ1639" s="1960"/>
    </row>
    <row r="1640" spans="1:36" ht="21.95" customHeight="1" x14ac:dyDescent="0.2">
      <c r="B1640" s="2045"/>
      <c r="C1640" s="2046"/>
      <c r="D1640" s="2047" t="str">
        <f>SNI!E1070</f>
        <v>Pekerja</v>
      </c>
      <c r="E1640" s="2047"/>
      <c r="F1640" s="2048"/>
      <c r="G1640" s="2049">
        <f>SNI!H1070</f>
        <v>0.01</v>
      </c>
      <c r="H1640" s="2050" t="str">
        <f>SNI!G1070</f>
        <v>OH</v>
      </c>
      <c r="I1640" s="2142" t="s">
        <v>2012</v>
      </c>
      <c r="J1640" s="2051"/>
      <c r="K1640" s="2052">
        <f>SNI!L1070</f>
        <v>1</v>
      </c>
      <c r="L1640" s="2053"/>
      <c r="M1640" s="2054"/>
      <c r="N1640" s="2055">
        <f>SNI!I1070</f>
        <v>88300</v>
      </c>
      <c r="O1640" s="2056"/>
      <c r="P1640" s="1969">
        <f t="shared" ref="P1640:P1643" si="1080">N1640*G1640</f>
        <v>883</v>
      </c>
      <c r="Q1640" s="1953"/>
      <c r="R1640" s="1954"/>
      <c r="S1640" s="1954">
        <f t="shared" ref="S1640:S1643" si="1081">P1640*K1640</f>
        <v>883</v>
      </c>
      <c r="T1640" s="1969">
        <f t="shared" ref="T1640:T1643" si="1082">P1640-S1640</f>
        <v>0</v>
      </c>
      <c r="U1640" s="2060"/>
      <c r="Z1640" s="1956"/>
      <c r="AA1640" s="1956"/>
      <c r="AF1640" s="1836"/>
      <c r="AG1640" s="1836"/>
      <c r="AH1640" s="1836"/>
      <c r="AI1640" s="1837"/>
      <c r="AJ1640" s="1960"/>
    </row>
    <row r="1641" spans="1:36" ht="21.95" customHeight="1" x14ac:dyDescent="0.2">
      <c r="B1641" s="2045"/>
      <c r="C1641" s="2046"/>
      <c r="D1641" s="2047" t="str">
        <f>SNI!E1071</f>
        <v>Tukang batu</v>
      </c>
      <c r="E1641" s="2047"/>
      <c r="F1641" s="2048"/>
      <c r="G1641" s="2049">
        <f>SNI!H1071</f>
        <v>0.1</v>
      </c>
      <c r="H1641" s="2050" t="str">
        <f>SNI!G1071</f>
        <v>OH</v>
      </c>
      <c r="I1641" s="2142" t="s">
        <v>2012</v>
      </c>
      <c r="J1641" s="2051"/>
      <c r="K1641" s="2052">
        <f>SNI!L1071</f>
        <v>1</v>
      </c>
      <c r="L1641" s="2053"/>
      <c r="M1641" s="2054"/>
      <c r="N1641" s="2055">
        <f>SNI!I1071</f>
        <v>90000</v>
      </c>
      <c r="O1641" s="2056"/>
      <c r="P1641" s="1969">
        <f t="shared" si="1080"/>
        <v>9000</v>
      </c>
      <c r="Q1641" s="1953"/>
      <c r="R1641" s="1954"/>
      <c r="S1641" s="1954">
        <f t="shared" si="1081"/>
        <v>9000</v>
      </c>
      <c r="T1641" s="1969">
        <f t="shared" si="1082"/>
        <v>0</v>
      </c>
      <c r="U1641" s="2060"/>
      <c r="Z1641" s="1956"/>
      <c r="AA1641" s="1956"/>
      <c r="AF1641" s="1836"/>
      <c r="AG1641" s="1836"/>
      <c r="AH1641" s="1836"/>
      <c r="AI1641" s="1837"/>
      <c r="AJ1641" s="1960"/>
    </row>
    <row r="1642" spans="1:36" ht="21.95" customHeight="1" x14ac:dyDescent="0.2">
      <c r="B1642" s="2045"/>
      <c r="C1642" s="2046"/>
      <c r="D1642" s="2047" t="str">
        <f>SNI!E1072</f>
        <v>Kepala tukang</v>
      </c>
      <c r="E1642" s="2047"/>
      <c r="F1642" s="2048"/>
      <c r="G1642" s="2049">
        <f>SNI!H1072</f>
        <v>0.01</v>
      </c>
      <c r="H1642" s="2050" t="str">
        <f>SNI!G1072</f>
        <v>OH</v>
      </c>
      <c r="I1642" s="2142" t="s">
        <v>2012</v>
      </c>
      <c r="J1642" s="2051"/>
      <c r="K1642" s="2052">
        <f>SNI!L1072</f>
        <v>1</v>
      </c>
      <c r="L1642" s="2053"/>
      <c r="M1642" s="2054"/>
      <c r="N1642" s="2055">
        <f>SNI!I1072</f>
        <v>96000</v>
      </c>
      <c r="O1642" s="2056"/>
      <c r="P1642" s="1969">
        <f t="shared" si="1080"/>
        <v>960</v>
      </c>
      <c r="Q1642" s="1953"/>
      <c r="R1642" s="1954"/>
      <c r="S1642" s="1954">
        <f t="shared" si="1081"/>
        <v>960</v>
      </c>
      <c r="T1642" s="1969">
        <f t="shared" si="1082"/>
        <v>0</v>
      </c>
      <c r="U1642" s="2060"/>
      <c r="Z1642" s="1956"/>
      <c r="AA1642" s="1956"/>
      <c r="AF1642" s="1836"/>
      <c r="AG1642" s="1836"/>
      <c r="AH1642" s="1836"/>
      <c r="AI1642" s="1837"/>
      <c r="AJ1642" s="1960"/>
    </row>
    <row r="1643" spans="1:36" ht="21.95" customHeight="1" x14ac:dyDescent="0.2">
      <c r="B1643" s="2045"/>
      <c r="C1643" s="2046"/>
      <c r="D1643" s="2047" t="str">
        <f>SNI!E1073</f>
        <v>Mandor</v>
      </c>
      <c r="E1643" s="2047"/>
      <c r="F1643" s="2048"/>
      <c r="G1643" s="2049">
        <f>SNI!H1073</f>
        <v>5.0000000000000001E-3</v>
      </c>
      <c r="H1643" s="2050" t="str">
        <f>SNI!G1073</f>
        <v>OH</v>
      </c>
      <c r="I1643" s="2142" t="s">
        <v>2012</v>
      </c>
      <c r="J1643" s="2051"/>
      <c r="K1643" s="2052">
        <f>SNI!L1073</f>
        <v>1</v>
      </c>
      <c r="L1643" s="2053"/>
      <c r="M1643" s="2054"/>
      <c r="N1643" s="2055">
        <f>SNI!I1073</f>
        <v>90000</v>
      </c>
      <c r="O1643" s="2056"/>
      <c r="P1643" s="1969">
        <f t="shared" si="1080"/>
        <v>450</v>
      </c>
      <c r="Q1643" s="1953"/>
      <c r="R1643" s="1954"/>
      <c r="S1643" s="1954">
        <f t="shared" si="1081"/>
        <v>450</v>
      </c>
      <c r="T1643" s="1969">
        <f t="shared" si="1082"/>
        <v>0</v>
      </c>
      <c r="U1643" s="2060"/>
      <c r="Z1643" s="1956"/>
      <c r="AA1643" s="1956"/>
      <c r="AF1643" s="1836"/>
      <c r="AG1643" s="1836"/>
      <c r="AH1643" s="1836"/>
      <c r="AI1643" s="1837"/>
      <c r="AJ1643" s="1960"/>
    </row>
    <row r="1644" spans="1:36" s="1957" customFormat="1" ht="21.95" customHeight="1" x14ac:dyDescent="0.2">
      <c r="A1644" s="1942"/>
      <c r="B1644" s="1970"/>
      <c r="C1644" s="1971"/>
      <c r="D1644" s="1972"/>
      <c r="E1644" s="1973"/>
      <c r="F1644" s="1974" t="s">
        <v>556</v>
      </c>
      <c r="G1644" s="1975">
        <f>B1636</f>
        <v>3</v>
      </c>
      <c r="H1644" s="1976"/>
      <c r="I1644" s="1977"/>
      <c r="J1644" s="1977"/>
      <c r="K1644" s="1978"/>
      <c r="L1644" s="1979"/>
      <c r="M1644" s="1980"/>
      <c r="N1644" s="1981"/>
      <c r="O1644" s="1982"/>
      <c r="P1644" s="1983">
        <f>SUM(P1638:P1643)</f>
        <v>106293</v>
      </c>
      <c r="Q1644" s="1984"/>
      <c r="R1644" s="1985"/>
      <c r="S1644" s="1983">
        <f t="shared" ref="S1644:T1644" si="1083">SUM(S1638:S1643)</f>
        <v>11293</v>
      </c>
      <c r="T1644" s="1983">
        <f t="shared" si="1083"/>
        <v>95000</v>
      </c>
      <c r="U1644" s="1986"/>
      <c r="V1644" s="1848"/>
      <c r="W1644" s="1848"/>
      <c r="X1644" s="1848"/>
      <c r="Y1644" s="1848"/>
      <c r="Z1644" s="1956"/>
      <c r="AA1644" s="1956"/>
      <c r="AF1644" s="1958"/>
      <c r="AG1644" s="1958"/>
      <c r="AH1644" s="1958"/>
      <c r="AI1644" s="1959"/>
      <c r="AJ1644" s="1960"/>
    </row>
    <row r="1645" spans="1:36" ht="21.95" customHeight="1" x14ac:dyDescent="0.2">
      <c r="A1645" s="1833">
        <f>satpek!B81</f>
        <v>62</v>
      </c>
      <c r="B1645" s="1943">
        <f>B1636+1</f>
        <v>4</v>
      </c>
      <c r="C1645" s="1937"/>
      <c r="D1645" s="1944" t="str">
        <f>VLOOKUP($A1645,satpek!$B$20:$N$144,2,0)</f>
        <v>Memasang bak cuci piring stainlessteel dan aksesoris</v>
      </c>
      <c r="E1645" s="1944"/>
      <c r="F1645" s="2004"/>
      <c r="G1645" s="1945">
        <f>'[3]B.VOL RAB'!Q574</f>
        <v>1</v>
      </c>
      <c r="H1645" s="1946" t="str">
        <f>VLOOKUP($A1645,satpek!$B$20:$N$144,7,0)</f>
        <v>bh</v>
      </c>
      <c r="I1645" s="1947"/>
      <c r="J1645" s="1947"/>
      <c r="K1645" s="1948"/>
      <c r="L1645" s="1949"/>
      <c r="M1645" s="1950" t="str">
        <f>VLOOKUP($A1645,satpek!$B$20:$N$144,5,0)</f>
        <v>A.5.1.1.12.</v>
      </c>
      <c r="N1645" s="1951">
        <f>VLOOKUP($A1645,satpek!$B$20:$N$144,6,0)</f>
        <v>1106133.27</v>
      </c>
      <c r="O1645" s="1938"/>
      <c r="P1645" s="1952">
        <f t="shared" si="1061"/>
        <v>1106133.27</v>
      </c>
      <c r="Q1645" s="1953">
        <f>VLOOKUP($A1645,satpek!$B$20:$L$138,8,0)</f>
        <v>3.460999776274698E-2</v>
      </c>
      <c r="R1645" s="1954">
        <f>VLOOKUP($A1645,satpek!$B$20:$L$138,9,0)</f>
        <v>33879</v>
      </c>
      <c r="S1645" s="1954">
        <f>VLOOKUP($A1645,satpek!$B$20:$L$138,10,0)</f>
        <v>38283.270000000004</v>
      </c>
      <c r="T1645" s="1952">
        <f t="shared" si="1062"/>
        <v>38283.270000000004</v>
      </c>
      <c r="U1645" s="1955"/>
      <c r="X1645" s="1848">
        <f>P1654</f>
        <v>978879</v>
      </c>
      <c r="Y1645" s="1848">
        <f>S1654</f>
        <v>978879</v>
      </c>
      <c r="Z1645" s="1956">
        <v>1</v>
      </c>
      <c r="AA1645" s="1956">
        <f t="shared" si="976"/>
        <v>0</v>
      </c>
      <c r="AB1645" s="1836" t="s">
        <v>1850</v>
      </c>
      <c r="AF1645" s="1836"/>
      <c r="AG1645" s="1836"/>
      <c r="AH1645" s="1836"/>
      <c r="AI1645" s="1837">
        <v>1106496</v>
      </c>
      <c r="AJ1645" s="1960">
        <f t="shared" si="977"/>
        <v>362.72999999998137</v>
      </c>
    </row>
    <row r="1646" spans="1:36" ht="21.95" customHeight="1" x14ac:dyDescent="0.2">
      <c r="B1646" s="2045"/>
      <c r="C1646" s="2046" t="str">
        <f>SNI!D1240</f>
        <v>Bahan</v>
      </c>
      <c r="D1646" s="2047"/>
      <c r="E1646" s="2047"/>
      <c r="F1646" s="2048"/>
      <c r="G1646" s="2049"/>
      <c r="H1646" s="2050"/>
      <c r="I1646" s="2051"/>
      <c r="J1646" s="2051"/>
      <c r="K1646" s="2052"/>
      <c r="L1646" s="2053"/>
      <c r="M1646" s="2054"/>
      <c r="N1646" s="2055"/>
      <c r="O1646" s="2056"/>
      <c r="P1646" s="2057"/>
      <c r="Q1646" s="2058"/>
      <c r="R1646" s="2059"/>
      <c r="S1646" s="2059"/>
      <c r="T1646" s="2057"/>
      <c r="U1646" s="2060"/>
      <c r="Z1646" s="1956"/>
      <c r="AA1646" s="1956"/>
      <c r="AF1646" s="1836"/>
      <c r="AG1646" s="1836"/>
      <c r="AH1646" s="1836"/>
      <c r="AI1646" s="1837"/>
      <c r="AJ1646" s="1960"/>
    </row>
    <row r="1647" spans="1:36" ht="21.95" customHeight="1" x14ac:dyDescent="0.2">
      <c r="B1647" s="2045"/>
      <c r="C1647" s="2046"/>
      <c r="D1647" s="2047" t="str">
        <f>SNI!E1240</f>
        <v>Bak cuci stainles steel</v>
      </c>
      <c r="E1647" s="2047"/>
      <c r="F1647" s="2048"/>
      <c r="G1647" s="2049">
        <f>SNI!H1240</f>
        <v>1</v>
      </c>
      <c r="H1647" s="2050" t="str">
        <f>SNI!G1240</f>
        <v>unit</v>
      </c>
      <c r="I1647" s="2051"/>
      <c r="J1647" s="2051"/>
      <c r="K1647" s="2052">
        <f>SNI!L1240</f>
        <v>0</v>
      </c>
      <c r="L1647" s="2053"/>
      <c r="M1647" s="2054"/>
      <c r="N1647" s="2055">
        <f>SNI!I1240</f>
        <v>700000</v>
      </c>
      <c r="O1647" s="2056"/>
      <c r="P1647" s="1969">
        <f t="shared" ref="P1647" si="1084">N1647*G1647</f>
        <v>700000</v>
      </c>
      <c r="Q1647" s="1953"/>
      <c r="R1647" s="1954"/>
      <c r="S1647" s="1954">
        <f t="shared" ref="S1647" si="1085">P1647*K1647</f>
        <v>0</v>
      </c>
      <c r="T1647" s="1969">
        <f t="shared" ref="T1647" si="1086">P1647-S1647</f>
        <v>700000</v>
      </c>
      <c r="U1647" s="2060"/>
      <c r="Z1647" s="1956"/>
      <c r="AA1647" s="1956"/>
      <c r="AF1647" s="1836"/>
      <c r="AG1647" s="1836"/>
      <c r="AH1647" s="1836"/>
      <c r="AI1647" s="1837"/>
      <c r="AJ1647" s="1960"/>
    </row>
    <row r="1648" spans="1:36" ht="21.95" customHeight="1" x14ac:dyDescent="0.2">
      <c r="B1648" s="2045"/>
      <c r="C1648" s="2046"/>
      <c r="D1648" s="2047" t="str">
        <f>SNI!E1241</f>
        <v>Water drain + asesories</v>
      </c>
      <c r="E1648" s="2047"/>
      <c r="F1648" s="2048"/>
      <c r="G1648" s="2049">
        <f>SNI!H1241</f>
        <v>1</v>
      </c>
      <c r="H1648" s="2050" t="str">
        <f>SNI!G1241</f>
        <v>buah</v>
      </c>
      <c r="I1648" s="2051"/>
      <c r="J1648" s="2051"/>
      <c r="K1648" s="2052">
        <f>SNI!L1241</f>
        <v>0</v>
      </c>
      <c r="L1648" s="2053"/>
      <c r="M1648" s="2054"/>
      <c r="N1648" s="2055">
        <f>SNI!I1241</f>
        <v>244999.99999999997</v>
      </c>
      <c r="O1648" s="2056"/>
      <c r="P1648" s="1969">
        <f t="shared" ref="P1648:P1653" si="1087">N1648*G1648</f>
        <v>244999.99999999997</v>
      </c>
      <c r="Q1648" s="1953"/>
      <c r="R1648" s="1954"/>
      <c r="S1648" s="1954">
        <f t="shared" ref="S1648:S1653" si="1088">P1648*K1648</f>
        <v>0</v>
      </c>
      <c r="T1648" s="1969">
        <f t="shared" ref="T1648:T1653" si="1089">P1648-S1648</f>
        <v>244999.99999999997</v>
      </c>
      <c r="U1648" s="2060"/>
      <c r="Z1648" s="1956"/>
      <c r="AA1648" s="1956"/>
      <c r="AF1648" s="1836"/>
      <c r="AG1648" s="1836"/>
      <c r="AH1648" s="1836"/>
      <c r="AI1648" s="1837"/>
      <c r="AJ1648" s="1960"/>
    </row>
    <row r="1649" spans="1:36" ht="21.95" customHeight="1" x14ac:dyDescent="0.2">
      <c r="B1649" s="2045"/>
      <c r="C1649" s="2046" t="str">
        <f>SNI!D1243</f>
        <v>Tenaga Kerja</v>
      </c>
      <c r="D1649" s="2047"/>
      <c r="E1649" s="2047"/>
      <c r="F1649" s="2048"/>
      <c r="G1649" s="2049"/>
      <c r="H1649" s="2050"/>
      <c r="I1649" s="2051"/>
      <c r="J1649" s="2051"/>
      <c r="K1649" s="2052"/>
      <c r="L1649" s="2053"/>
      <c r="M1649" s="2054"/>
      <c r="N1649" s="2055"/>
      <c r="O1649" s="2056"/>
      <c r="P1649" s="1969"/>
      <c r="Q1649" s="1953"/>
      <c r="R1649" s="1954"/>
      <c r="S1649" s="1954"/>
      <c r="T1649" s="1969"/>
      <c r="U1649" s="2060"/>
      <c r="Z1649" s="1956"/>
      <c r="AA1649" s="1956"/>
      <c r="AF1649" s="1836"/>
      <c r="AG1649" s="1836"/>
      <c r="AH1649" s="1836"/>
      <c r="AI1649" s="1837"/>
      <c r="AJ1649" s="1960"/>
    </row>
    <row r="1650" spans="1:36" ht="21.95" customHeight="1" x14ac:dyDescent="0.2">
      <c r="B1650" s="2045"/>
      <c r="C1650" s="2046"/>
      <c r="D1650" s="2047" t="str">
        <f>SNI!E1243</f>
        <v>Pekerja</v>
      </c>
      <c r="E1650" s="2047"/>
      <c r="F1650" s="2048"/>
      <c r="G1650" s="2049">
        <f>SNI!H1243</f>
        <v>0.03</v>
      </c>
      <c r="H1650" s="2050" t="str">
        <f>SNI!G1243</f>
        <v>OH</v>
      </c>
      <c r="I1650" s="2142" t="s">
        <v>2012</v>
      </c>
      <c r="J1650" s="2051"/>
      <c r="K1650" s="2052">
        <f>SNI!L1243</f>
        <v>1</v>
      </c>
      <c r="L1650" s="2053"/>
      <c r="M1650" s="2054"/>
      <c r="N1650" s="2055">
        <f>SNI!I1243</f>
        <v>88300</v>
      </c>
      <c r="O1650" s="2056"/>
      <c r="P1650" s="1969">
        <f t="shared" si="1087"/>
        <v>2649</v>
      </c>
      <c r="Q1650" s="1953"/>
      <c r="R1650" s="1954"/>
      <c r="S1650" s="1954">
        <f t="shared" si="1088"/>
        <v>2649</v>
      </c>
      <c r="T1650" s="1969">
        <f t="shared" si="1089"/>
        <v>0</v>
      </c>
      <c r="U1650" s="2060"/>
      <c r="Z1650" s="1956"/>
      <c r="AA1650" s="1956"/>
      <c r="AF1650" s="1836"/>
      <c r="AG1650" s="1836"/>
      <c r="AH1650" s="1836"/>
      <c r="AI1650" s="1837"/>
      <c r="AJ1650" s="1960"/>
    </row>
    <row r="1651" spans="1:36" ht="21.95" customHeight="1" x14ac:dyDescent="0.2">
      <c r="B1651" s="2045"/>
      <c r="C1651" s="2046"/>
      <c r="D1651" s="2047" t="str">
        <f>SNI!E1244</f>
        <v>Tukang batu</v>
      </c>
      <c r="E1651" s="2047"/>
      <c r="F1651" s="2048"/>
      <c r="G1651" s="2049">
        <f>SNI!H1244</f>
        <v>0.3</v>
      </c>
      <c r="H1651" s="2050" t="str">
        <f>SNI!G1244</f>
        <v>OH</v>
      </c>
      <c r="I1651" s="2142" t="s">
        <v>2012</v>
      </c>
      <c r="J1651" s="2051"/>
      <c r="K1651" s="2052">
        <f>SNI!L1244</f>
        <v>1</v>
      </c>
      <c r="L1651" s="2053"/>
      <c r="M1651" s="2054"/>
      <c r="N1651" s="2055">
        <f>SNI!I1244</f>
        <v>90000</v>
      </c>
      <c r="O1651" s="2056"/>
      <c r="P1651" s="1969">
        <f t="shared" si="1087"/>
        <v>27000</v>
      </c>
      <c r="Q1651" s="1953"/>
      <c r="R1651" s="1954"/>
      <c r="S1651" s="1954">
        <f t="shared" si="1088"/>
        <v>27000</v>
      </c>
      <c r="T1651" s="1969">
        <f t="shared" si="1089"/>
        <v>0</v>
      </c>
      <c r="U1651" s="2060"/>
      <c r="Z1651" s="1956"/>
      <c r="AA1651" s="1956"/>
      <c r="AF1651" s="1836"/>
      <c r="AG1651" s="1836"/>
      <c r="AH1651" s="1836"/>
      <c r="AI1651" s="1837"/>
      <c r="AJ1651" s="1960"/>
    </row>
    <row r="1652" spans="1:36" ht="21.95" customHeight="1" x14ac:dyDescent="0.2">
      <c r="B1652" s="2045"/>
      <c r="C1652" s="2046"/>
      <c r="D1652" s="2047" t="str">
        <f>SNI!E1245</f>
        <v>Kep.Tukang</v>
      </c>
      <c r="E1652" s="2047"/>
      <c r="F1652" s="2048"/>
      <c r="G1652" s="2049">
        <f>SNI!H1245</f>
        <v>0.03</v>
      </c>
      <c r="H1652" s="2050" t="str">
        <f>SNI!G1245</f>
        <v>OH</v>
      </c>
      <c r="I1652" s="2142" t="s">
        <v>2012</v>
      </c>
      <c r="J1652" s="2051"/>
      <c r="K1652" s="2052">
        <f>SNI!L1245</f>
        <v>1</v>
      </c>
      <c r="L1652" s="2053"/>
      <c r="M1652" s="2054"/>
      <c r="N1652" s="2055">
        <f>SNI!I1245</f>
        <v>96000</v>
      </c>
      <c r="O1652" s="2056"/>
      <c r="P1652" s="1969">
        <f t="shared" si="1087"/>
        <v>2880</v>
      </c>
      <c r="Q1652" s="1953"/>
      <c r="R1652" s="1954"/>
      <c r="S1652" s="1954">
        <f t="shared" si="1088"/>
        <v>2880</v>
      </c>
      <c r="T1652" s="1969">
        <f t="shared" si="1089"/>
        <v>0</v>
      </c>
      <c r="U1652" s="2060"/>
      <c r="Z1652" s="1956"/>
      <c r="AA1652" s="1956"/>
      <c r="AF1652" s="1836"/>
      <c r="AG1652" s="1836"/>
      <c r="AH1652" s="1836"/>
      <c r="AI1652" s="1837"/>
      <c r="AJ1652" s="1960"/>
    </row>
    <row r="1653" spans="1:36" ht="21.95" customHeight="1" x14ac:dyDescent="0.2">
      <c r="B1653" s="2045"/>
      <c r="C1653" s="2046"/>
      <c r="D1653" s="2047" t="str">
        <f>SNI!E1246</f>
        <v>Mandor</v>
      </c>
      <c r="E1653" s="2047"/>
      <c r="F1653" s="2048"/>
      <c r="G1653" s="2049">
        <f>SNI!H1246</f>
        <v>1.4999999999999999E-2</v>
      </c>
      <c r="H1653" s="2050" t="str">
        <f>SNI!G1246</f>
        <v>OH</v>
      </c>
      <c r="I1653" s="2142" t="s">
        <v>2012</v>
      </c>
      <c r="J1653" s="2051"/>
      <c r="K1653" s="2052">
        <f>SNI!L1246</f>
        <v>1</v>
      </c>
      <c r="L1653" s="2053"/>
      <c r="M1653" s="2054"/>
      <c r="N1653" s="2055">
        <f>SNI!I1246</f>
        <v>90000</v>
      </c>
      <c r="O1653" s="2056"/>
      <c r="P1653" s="1969">
        <f t="shared" si="1087"/>
        <v>1350</v>
      </c>
      <c r="Q1653" s="1953"/>
      <c r="R1653" s="1954"/>
      <c r="S1653" s="1954">
        <f t="shared" si="1088"/>
        <v>1350</v>
      </c>
      <c r="T1653" s="1969">
        <f t="shared" si="1089"/>
        <v>0</v>
      </c>
      <c r="U1653" s="2060"/>
      <c r="Z1653" s="1956"/>
      <c r="AA1653" s="1956"/>
      <c r="AF1653" s="1836"/>
      <c r="AG1653" s="1836"/>
      <c r="AH1653" s="1836"/>
      <c r="AI1653" s="1837"/>
      <c r="AJ1653" s="1960"/>
    </row>
    <row r="1654" spans="1:36" s="1957" customFormat="1" ht="21.95" customHeight="1" x14ac:dyDescent="0.2">
      <c r="A1654" s="1942"/>
      <c r="B1654" s="1970"/>
      <c r="C1654" s="1971"/>
      <c r="D1654" s="1972"/>
      <c r="E1654" s="1973"/>
      <c r="F1654" s="1974" t="s">
        <v>556</v>
      </c>
      <c r="G1654" s="1975">
        <f>B1645</f>
        <v>4</v>
      </c>
      <c r="H1654" s="1976"/>
      <c r="I1654" s="1977"/>
      <c r="J1654" s="1977"/>
      <c r="K1654" s="1978"/>
      <c r="L1654" s="1979"/>
      <c r="M1654" s="1980"/>
      <c r="N1654" s="1981"/>
      <c r="O1654" s="1982"/>
      <c r="P1654" s="1983">
        <f>SUM(P1647:R1653)</f>
        <v>978879</v>
      </c>
      <c r="Q1654" s="1984"/>
      <c r="R1654" s="1985"/>
      <c r="S1654" s="1983">
        <f t="shared" ref="S1654:T1654" si="1090">SUM(S1647:U1653)</f>
        <v>978879</v>
      </c>
      <c r="T1654" s="1983">
        <f t="shared" si="1090"/>
        <v>945000</v>
      </c>
      <c r="U1654" s="1986"/>
      <c r="V1654" s="1848"/>
      <c r="W1654" s="1848"/>
      <c r="X1654" s="1848"/>
      <c r="Y1654" s="1848"/>
      <c r="Z1654" s="1956"/>
      <c r="AA1654" s="1956"/>
      <c r="AF1654" s="1958"/>
      <c r="AG1654" s="1958"/>
      <c r="AH1654" s="1958"/>
      <c r="AI1654" s="1959"/>
      <c r="AJ1654" s="1960"/>
    </row>
    <row r="1655" spans="1:36" ht="21.95" customHeight="1" x14ac:dyDescent="0.2">
      <c r="A1655" s="1833">
        <f>satpek!B82</f>
        <v>63</v>
      </c>
      <c r="B1655" s="1943">
        <f>B1645+1</f>
        <v>5</v>
      </c>
      <c r="C1655" s="1937"/>
      <c r="D1655" s="1944" t="str">
        <f>VLOOKUP($A1655,satpek!$B$20:$N$144,2,0)</f>
        <v>Memasang kran diameter 1/2", onda stainless</v>
      </c>
      <c r="E1655" s="1944"/>
      <c r="F1655" s="2004"/>
      <c r="G1655" s="1945">
        <f>'[3]B.VOL RAB'!Q575</f>
        <v>8</v>
      </c>
      <c r="H1655" s="1946" t="str">
        <f>VLOOKUP($A1655,satpek!$B$20:$N$144,7,0)</f>
        <v>bh</v>
      </c>
      <c r="I1655" s="1947"/>
      <c r="J1655" s="1947"/>
      <c r="K1655" s="1948"/>
      <c r="L1655" s="1949"/>
      <c r="M1655" s="1950" t="str">
        <f>VLOOKUP($A1655,satpek!$B$20:$N$144,5,0)</f>
        <v>A.5.1.1.19.</v>
      </c>
      <c r="N1655" s="1951">
        <f>VLOOKUP($A1655,satpek!$B$20:$N$144,6,0)</f>
        <v>170986.52</v>
      </c>
      <c r="O1655" s="1938"/>
      <c r="P1655" s="1952">
        <f t="shared" si="1061"/>
        <v>1367892.16</v>
      </c>
      <c r="Q1655" s="1953">
        <f>VLOOKUP($A1655,satpek!$B$20:$L$138,8,0)</f>
        <v>0.95355069374915324</v>
      </c>
      <c r="R1655" s="1954">
        <f>VLOOKUP($A1655,satpek!$B$20:$L$138,9,0)</f>
        <v>144287</v>
      </c>
      <c r="S1655" s="1954">
        <f>VLOOKUP($A1655,satpek!$B$20:$L$138,10,0)</f>
        <v>163044.31</v>
      </c>
      <c r="T1655" s="1952">
        <f t="shared" si="1062"/>
        <v>1304354.48</v>
      </c>
      <c r="U1655" s="1955"/>
      <c r="X1655" s="1848">
        <f>P1664</f>
        <v>151315.5</v>
      </c>
      <c r="Y1655" s="1848">
        <f>S1664</f>
        <v>151315.5</v>
      </c>
      <c r="Z1655" s="1956">
        <v>8</v>
      </c>
      <c r="AA1655" s="1956">
        <f t="shared" si="976"/>
        <v>0</v>
      </c>
      <c r="AB1655" s="1836" t="s">
        <v>1916</v>
      </c>
      <c r="AF1655" s="1836"/>
      <c r="AG1655" s="1836"/>
      <c r="AH1655" s="1836"/>
      <c r="AI1655" s="1837">
        <v>104041.93</v>
      </c>
      <c r="AJ1655" s="1960">
        <f t="shared" si="977"/>
        <v>-66944.59</v>
      </c>
    </row>
    <row r="1656" spans="1:36" ht="21.95" customHeight="1" x14ac:dyDescent="0.2">
      <c r="B1656" s="2045"/>
      <c r="C1656" s="2046" t="str">
        <f>SNI!D1259</f>
        <v>Bahan</v>
      </c>
      <c r="D1656" s="2047"/>
      <c r="E1656" s="2047"/>
      <c r="F1656" s="2048"/>
      <c r="G1656" s="2049"/>
      <c r="H1656" s="2050"/>
      <c r="I1656" s="2051"/>
      <c r="J1656" s="2051"/>
      <c r="K1656" s="2052"/>
      <c r="L1656" s="2053"/>
      <c r="M1656" s="2054"/>
      <c r="N1656" s="2055"/>
      <c r="O1656" s="2056"/>
      <c r="P1656" s="2057"/>
      <c r="Q1656" s="2058"/>
      <c r="R1656" s="2059"/>
      <c r="S1656" s="2059"/>
      <c r="T1656" s="2057"/>
      <c r="U1656" s="2060"/>
      <c r="Z1656" s="1956"/>
      <c r="AA1656" s="1956"/>
      <c r="AF1656" s="1836"/>
      <c r="AG1656" s="1836"/>
      <c r="AH1656" s="1836"/>
      <c r="AI1656" s="1837"/>
      <c r="AJ1656" s="1960"/>
    </row>
    <row r="1657" spans="1:36" ht="21.95" customHeight="1" x14ac:dyDescent="0.2">
      <c r="B1657" s="2045"/>
      <c r="C1657" s="2046"/>
      <c r="D1657" s="2047" t="str">
        <f>SNI!E1259</f>
        <v>Kran air 1/2" stainless</v>
      </c>
      <c r="E1657" s="2047"/>
      <c r="F1657" s="2048"/>
      <c r="G1657" s="2049">
        <f>SNI!H1259</f>
        <v>1</v>
      </c>
      <c r="H1657" s="2050" t="str">
        <f>SNI!G1259</f>
        <v>bh</v>
      </c>
      <c r="I1657" s="2051"/>
      <c r="J1657" s="2051"/>
      <c r="K1657" s="2052">
        <f>SNI!L1259</f>
        <v>0.93740000000000001</v>
      </c>
      <c r="L1657" s="2053"/>
      <c r="M1657" s="2054"/>
      <c r="N1657" s="2055">
        <f>SNI!I1259</f>
        <v>110000</v>
      </c>
      <c r="O1657" s="2056"/>
      <c r="P1657" s="1969">
        <f t="shared" ref="P1657" si="1091">N1657*G1657</f>
        <v>110000</v>
      </c>
      <c r="Q1657" s="1953"/>
      <c r="R1657" s="1954"/>
      <c r="S1657" s="1954">
        <f t="shared" ref="S1657" si="1092">P1657*K1657</f>
        <v>103114</v>
      </c>
      <c r="T1657" s="1969">
        <f t="shared" ref="T1657" si="1093">P1657-S1657</f>
        <v>6886</v>
      </c>
      <c r="U1657" s="2060"/>
      <c r="Z1657" s="1956"/>
      <c r="AA1657" s="1956"/>
      <c r="AF1657" s="1836"/>
      <c r="AG1657" s="1836"/>
      <c r="AH1657" s="1836"/>
      <c r="AI1657" s="1837"/>
      <c r="AJ1657" s="1960"/>
    </row>
    <row r="1658" spans="1:36" ht="21.95" customHeight="1" x14ac:dyDescent="0.2">
      <c r="B1658" s="2045"/>
      <c r="C1658" s="2046"/>
      <c r="D1658" s="2047" t="str">
        <f>SNI!E1260</f>
        <v>Seal tape</v>
      </c>
      <c r="E1658" s="2047"/>
      <c r="F1658" s="2048"/>
      <c r="G1658" s="2049">
        <f>SNI!H1260</f>
        <v>2.5000000000000001E-2</v>
      </c>
      <c r="H1658" s="2050" t="str">
        <f>SNI!G1260</f>
        <v>bh</v>
      </c>
      <c r="I1658" s="2051"/>
      <c r="J1658" s="2051"/>
      <c r="K1658" s="2052">
        <f>SNI!L1260</f>
        <v>0</v>
      </c>
      <c r="L1658" s="2053"/>
      <c r="M1658" s="2054"/>
      <c r="N1658" s="2055">
        <f>SNI!I1260</f>
        <v>5700</v>
      </c>
      <c r="O1658" s="2056"/>
      <c r="P1658" s="1969">
        <f t="shared" ref="P1658:P1663" si="1094">N1658*G1658</f>
        <v>142.5</v>
      </c>
      <c r="Q1658" s="1953"/>
      <c r="R1658" s="1954"/>
      <c r="S1658" s="1954">
        <f t="shared" ref="S1658:S1663" si="1095">P1658*K1658</f>
        <v>0</v>
      </c>
      <c r="T1658" s="1969">
        <f t="shared" ref="T1658:T1663" si="1096">P1658-S1658</f>
        <v>142.5</v>
      </c>
      <c r="U1658" s="2060"/>
      <c r="Z1658" s="1956"/>
      <c r="AA1658" s="1956"/>
      <c r="AF1658" s="1836"/>
      <c r="AG1658" s="1836"/>
      <c r="AH1658" s="1836"/>
      <c r="AI1658" s="1837"/>
      <c r="AJ1658" s="1960"/>
    </row>
    <row r="1659" spans="1:36" ht="21.95" customHeight="1" x14ac:dyDescent="0.2">
      <c r="B1659" s="2045"/>
      <c r="C1659" s="2046" t="str">
        <f>SNI!D1262</f>
        <v>Tenaga Kerja</v>
      </c>
      <c r="D1659" s="2047"/>
      <c r="E1659" s="2047"/>
      <c r="F1659" s="2048"/>
      <c r="G1659" s="2049"/>
      <c r="H1659" s="2050"/>
      <c r="I1659" s="2051"/>
      <c r="J1659" s="2051"/>
      <c r="K1659" s="2052"/>
      <c r="L1659" s="2053"/>
      <c r="M1659" s="2054"/>
      <c r="N1659" s="2055"/>
      <c r="O1659" s="2056"/>
      <c r="P1659" s="1969"/>
      <c r="Q1659" s="1953"/>
      <c r="R1659" s="1954"/>
      <c r="S1659" s="1954"/>
      <c r="T1659" s="1969"/>
      <c r="U1659" s="2060"/>
      <c r="Z1659" s="1956"/>
      <c r="AA1659" s="1956"/>
      <c r="AF1659" s="1836"/>
      <c r="AG1659" s="1836"/>
      <c r="AH1659" s="1836"/>
      <c r="AI1659" s="1837"/>
      <c r="AJ1659" s="1960"/>
    </row>
    <row r="1660" spans="1:36" ht="21.95" customHeight="1" x14ac:dyDescent="0.2">
      <c r="B1660" s="2045"/>
      <c r="C1660" s="2046"/>
      <c r="D1660" s="2047" t="str">
        <f>SNI!E1262</f>
        <v>Pekerja</v>
      </c>
      <c r="E1660" s="2047"/>
      <c r="F1660" s="2048"/>
      <c r="G1660" s="2049">
        <f>SNI!H1262</f>
        <v>0.01</v>
      </c>
      <c r="H1660" s="2050" t="str">
        <f>SNI!G1262</f>
        <v>OH</v>
      </c>
      <c r="I1660" s="2142" t="s">
        <v>2012</v>
      </c>
      <c r="J1660" s="2051"/>
      <c r="K1660" s="2052">
        <f>SNI!L1262</f>
        <v>1</v>
      </c>
      <c r="L1660" s="2053"/>
      <c r="M1660" s="2054"/>
      <c r="N1660" s="2055">
        <f>SNI!I1262</f>
        <v>88300</v>
      </c>
      <c r="O1660" s="2056"/>
      <c r="P1660" s="1969">
        <f t="shared" si="1094"/>
        <v>883</v>
      </c>
      <c r="Q1660" s="1953"/>
      <c r="R1660" s="1954"/>
      <c r="S1660" s="1954">
        <f t="shared" si="1095"/>
        <v>883</v>
      </c>
      <c r="T1660" s="1969">
        <f t="shared" si="1096"/>
        <v>0</v>
      </c>
      <c r="U1660" s="2060"/>
      <c r="Z1660" s="1956"/>
      <c r="AA1660" s="1956"/>
      <c r="AF1660" s="1836"/>
      <c r="AG1660" s="1836"/>
      <c r="AH1660" s="1836"/>
      <c r="AI1660" s="1837"/>
      <c r="AJ1660" s="1960"/>
    </row>
    <row r="1661" spans="1:36" ht="21.95" customHeight="1" x14ac:dyDescent="0.2">
      <c r="B1661" s="2045"/>
      <c r="C1661" s="2046"/>
      <c r="D1661" s="2047" t="str">
        <f>SNI!E1263</f>
        <v>Tukang batu</v>
      </c>
      <c r="E1661" s="2047"/>
      <c r="F1661" s="2048"/>
      <c r="G1661" s="2049">
        <f>SNI!H1263</f>
        <v>0.4</v>
      </c>
      <c r="H1661" s="2050" t="str">
        <f>SNI!G1263</f>
        <v>OH</v>
      </c>
      <c r="I1661" s="2142" t="s">
        <v>2012</v>
      </c>
      <c r="J1661" s="2051"/>
      <c r="K1661" s="2052">
        <f>SNI!L1263</f>
        <v>1</v>
      </c>
      <c r="L1661" s="2053"/>
      <c r="M1661" s="2054"/>
      <c r="N1661" s="2055">
        <f>SNI!I1263</f>
        <v>90000</v>
      </c>
      <c r="O1661" s="2056"/>
      <c r="P1661" s="1969">
        <f t="shared" si="1094"/>
        <v>36000</v>
      </c>
      <c r="Q1661" s="1953"/>
      <c r="R1661" s="1954"/>
      <c r="S1661" s="1954">
        <f t="shared" si="1095"/>
        <v>36000</v>
      </c>
      <c r="T1661" s="1969">
        <f t="shared" si="1096"/>
        <v>0</v>
      </c>
      <c r="U1661" s="2060"/>
      <c r="Z1661" s="1956"/>
      <c r="AA1661" s="1956"/>
      <c r="AF1661" s="1836"/>
      <c r="AG1661" s="1836"/>
      <c r="AH1661" s="1836"/>
      <c r="AI1661" s="1837"/>
      <c r="AJ1661" s="1960"/>
    </row>
    <row r="1662" spans="1:36" ht="21.95" customHeight="1" x14ac:dyDescent="0.2">
      <c r="B1662" s="2045"/>
      <c r="C1662" s="2046"/>
      <c r="D1662" s="2047" t="str">
        <f>SNI!E1264</f>
        <v>Kepala tukang</v>
      </c>
      <c r="E1662" s="2047"/>
      <c r="F1662" s="2048"/>
      <c r="G1662" s="2049">
        <f>SNI!H1264</f>
        <v>0.04</v>
      </c>
      <c r="H1662" s="2050" t="str">
        <f>SNI!G1264</f>
        <v>OH</v>
      </c>
      <c r="I1662" s="2142" t="s">
        <v>2012</v>
      </c>
      <c r="J1662" s="2051"/>
      <c r="K1662" s="2052">
        <f>SNI!L1264</f>
        <v>1</v>
      </c>
      <c r="L1662" s="2053"/>
      <c r="M1662" s="2054"/>
      <c r="N1662" s="2055">
        <f>SNI!I1264</f>
        <v>96000</v>
      </c>
      <c r="O1662" s="2056"/>
      <c r="P1662" s="1969">
        <f t="shared" si="1094"/>
        <v>3840</v>
      </c>
      <c r="Q1662" s="1953"/>
      <c r="R1662" s="1954"/>
      <c r="S1662" s="1954">
        <f t="shared" si="1095"/>
        <v>3840</v>
      </c>
      <c r="T1662" s="1969">
        <f t="shared" si="1096"/>
        <v>0</v>
      </c>
      <c r="U1662" s="2060"/>
      <c r="Z1662" s="1956"/>
      <c r="AA1662" s="1956"/>
      <c r="AF1662" s="1836"/>
      <c r="AG1662" s="1836"/>
      <c r="AH1662" s="1836"/>
      <c r="AI1662" s="1837"/>
      <c r="AJ1662" s="1960"/>
    </row>
    <row r="1663" spans="1:36" ht="21.95" customHeight="1" x14ac:dyDescent="0.2">
      <c r="B1663" s="2045"/>
      <c r="C1663" s="2046"/>
      <c r="D1663" s="2047" t="str">
        <f>SNI!E1265</f>
        <v>Mandor</v>
      </c>
      <c r="E1663" s="2047"/>
      <c r="F1663" s="2048"/>
      <c r="G1663" s="2049">
        <f>SNI!H1265</f>
        <v>5.0000000000000001E-3</v>
      </c>
      <c r="H1663" s="2050" t="str">
        <f>SNI!G1265</f>
        <v>OH</v>
      </c>
      <c r="I1663" s="2142" t="s">
        <v>2012</v>
      </c>
      <c r="J1663" s="2051"/>
      <c r="K1663" s="2052">
        <f>SNI!L1265</f>
        <v>1</v>
      </c>
      <c r="L1663" s="2053"/>
      <c r="M1663" s="2054"/>
      <c r="N1663" s="2055">
        <f>SNI!I1265</f>
        <v>90000</v>
      </c>
      <c r="O1663" s="2056"/>
      <c r="P1663" s="1969">
        <f t="shared" si="1094"/>
        <v>450</v>
      </c>
      <c r="Q1663" s="1953"/>
      <c r="R1663" s="1954"/>
      <c r="S1663" s="1954">
        <f t="shared" si="1095"/>
        <v>450</v>
      </c>
      <c r="T1663" s="1969">
        <f t="shared" si="1096"/>
        <v>0</v>
      </c>
      <c r="U1663" s="2060"/>
      <c r="Z1663" s="1956"/>
      <c r="AA1663" s="1956"/>
      <c r="AF1663" s="1836"/>
      <c r="AG1663" s="1836"/>
      <c r="AH1663" s="1836"/>
      <c r="AI1663" s="1837"/>
      <c r="AJ1663" s="1960"/>
    </row>
    <row r="1664" spans="1:36" s="1957" customFormat="1" ht="21.95" customHeight="1" x14ac:dyDescent="0.2">
      <c r="A1664" s="1942"/>
      <c r="B1664" s="1970"/>
      <c r="C1664" s="1971"/>
      <c r="D1664" s="1972"/>
      <c r="E1664" s="1973"/>
      <c r="F1664" s="1974" t="s">
        <v>556</v>
      </c>
      <c r="G1664" s="1975">
        <f>B1655</f>
        <v>5</v>
      </c>
      <c r="H1664" s="1976"/>
      <c r="I1664" s="1977"/>
      <c r="J1664" s="1977"/>
      <c r="K1664" s="1978"/>
      <c r="L1664" s="1979"/>
      <c r="M1664" s="1980"/>
      <c r="N1664" s="1981"/>
      <c r="O1664" s="1982"/>
      <c r="P1664" s="1983">
        <f>SUM(P1657:R1663)</f>
        <v>151315.5</v>
      </c>
      <c r="Q1664" s="1984"/>
      <c r="R1664" s="1985"/>
      <c r="S1664" s="1983">
        <f t="shared" ref="S1664" si="1097">SUM(S1657:U1663)</f>
        <v>151315.5</v>
      </c>
      <c r="T1664" s="1983">
        <f t="shared" ref="T1664" si="1098">SUM(T1657:V1663)</f>
        <v>7028.5</v>
      </c>
      <c r="U1664" s="1986"/>
      <c r="V1664" s="1848"/>
      <c r="W1664" s="1848"/>
      <c r="X1664" s="1848"/>
      <c r="Y1664" s="1848"/>
      <c r="Z1664" s="1956"/>
      <c r="AA1664" s="1956"/>
      <c r="AF1664" s="1958"/>
      <c r="AG1664" s="1958"/>
      <c r="AH1664" s="1958"/>
      <c r="AI1664" s="1959"/>
      <c r="AJ1664" s="1960"/>
    </row>
    <row r="1665" spans="1:36" ht="21.95" customHeight="1" x14ac:dyDescent="0.2">
      <c r="A1665" s="1833">
        <f>satpek!B119</f>
        <v>100</v>
      </c>
      <c r="B1665" s="1943">
        <f>B1655+1</f>
        <v>6</v>
      </c>
      <c r="C1665" s="1937"/>
      <c r="D1665" s="1944" t="str">
        <f>VLOOKUP($A1665,satpek!$B$20:$N$144,2,0)</f>
        <v>Membuat sumur bor lengkap pompa dan aksesories</v>
      </c>
      <c r="E1665" s="1944"/>
      <c r="F1665" s="2004"/>
      <c r="G1665" s="1945">
        <f>'[3]B.VOL RAB'!Q576</f>
        <v>1</v>
      </c>
      <c r="H1665" s="1946" t="str">
        <f>VLOOKUP($A1665,satpek!$B$20:$N$144,7,0)</f>
        <v>unit</v>
      </c>
      <c r="I1665" s="1947"/>
      <c r="J1665" s="1947"/>
      <c r="K1665" s="1948"/>
      <c r="L1665" s="1949"/>
      <c r="M1665" s="1950" t="str">
        <f>VLOOKUP($A1665,satpek!$B$20:$N$144,5,0)</f>
        <v>Daftar harga</v>
      </c>
      <c r="N1665" s="1951">
        <f>VLOOKUP($A1665,satpek!$B$20:$N$144,6,0)</f>
        <v>25000000</v>
      </c>
      <c r="O1665" s="1938"/>
      <c r="P1665" s="1952">
        <f t="shared" si="1061"/>
        <v>25000000</v>
      </c>
      <c r="Q1665" s="1953">
        <f>VLOOKUP($A1665,satpek!$B$20:$L$138,8,0)</f>
        <v>0.2</v>
      </c>
      <c r="R1665" s="1954">
        <f>VLOOKUP($A1665,satpek!$B$20:$L$138,9,0)</f>
        <v>0</v>
      </c>
      <c r="S1665" s="1954">
        <f>VLOOKUP($A1665,satpek!$B$20:$L$138,10,0)</f>
        <v>5000000</v>
      </c>
      <c r="T1665" s="1952">
        <f t="shared" si="1062"/>
        <v>5000000</v>
      </c>
      <c r="U1665" s="1955"/>
      <c r="X1665" s="1848">
        <f>P1666</f>
        <v>25000000</v>
      </c>
      <c r="Y1665" s="1848">
        <f>S1666</f>
        <v>5000000</v>
      </c>
      <c r="Z1665" s="1956">
        <v>1</v>
      </c>
      <c r="AA1665" s="1956">
        <f t="shared" si="976"/>
        <v>0</v>
      </c>
      <c r="AB1665" s="1836" t="s">
        <v>1851</v>
      </c>
      <c r="AF1665" s="1836"/>
      <c r="AG1665" s="1836"/>
      <c r="AH1665" s="1836"/>
      <c r="AI1665" s="1837">
        <v>20000000</v>
      </c>
      <c r="AJ1665" s="1960">
        <f t="shared" si="977"/>
        <v>-5000000</v>
      </c>
    </row>
    <row r="1666" spans="1:36" s="1957" customFormat="1" ht="21.95" customHeight="1" x14ac:dyDescent="0.2">
      <c r="A1666" s="1942"/>
      <c r="B1666" s="1970"/>
      <c r="C1666" s="1971"/>
      <c r="D1666" s="1972" t="str">
        <f>D1665</f>
        <v>Membuat sumur bor lengkap pompa dan aksesories</v>
      </c>
      <c r="E1666" s="1973"/>
      <c r="F1666" s="1974"/>
      <c r="G1666" s="1975">
        <f>G1665</f>
        <v>1</v>
      </c>
      <c r="H1666" s="1976" t="str">
        <f>H1665</f>
        <v>unit</v>
      </c>
      <c r="I1666" s="1977"/>
      <c r="J1666" s="1977"/>
      <c r="K1666" s="1978">
        <f>satpek!I119</f>
        <v>0.2</v>
      </c>
      <c r="L1666" s="1979"/>
      <c r="M1666" s="1980"/>
      <c r="N1666" s="1981">
        <f>N1665</f>
        <v>25000000</v>
      </c>
      <c r="O1666" s="1982"/>
      <c r="P1666" s="1983">
        <f>N1666</f>
        <v>25000000</v>
      </c>
      <c r="Q1666" s="1984"/>
      <c r="R1666" s="1985"/>
      <c r="S1666" s="1983">
        <f>K1666*N1666</f>
        <v>5000000</v>
      </c>
      <c r="T1666" s="1983">
        <f>N1666-S1666</f>
        <v>20000000</v>
      </c>
      <c r="U1666" s="1986"/>
      <c r="V1666" s="1848"/>
      <c r="W1666" s="1848"/>
      <c r="X1666" s="1848"/>
      <c r="Y1666" s="1848"/>
      <c r="Z1666" s="1956"/>
      <c r="AA1666" s="1956"/>
      <c r="AF1666" s="1958"/>
      <c r="AG1666" s="1958"/>
      <c r="AH1666" s="1958"/>
      <c r="AI1666" s="1959"/>
      <c r="AJ1666" s="1960"/>
    </row>
    <row r="1667" spans="1:36" ht="21.95" customHeight="1" x14ac:dyDescent="0.2">
      <c r="A1667" s="1833">
        <f>satpek!B120</f>
        <v>101</v>
      </c>
      <c r="B1667" s="1943">
        <f>B1665+1</f>
        <v>7</v>
      </c>
      <c r="C1667" s="1937"/>
      <c r="D1667" s="1944" t="str">
        <f>VLOOKUP($A1667,satpek!$B$20:$N$144,2,0)</f>
        <v>Pengadaan dan pemasangan septic tank komunal kap 2000 ltr</v>
      </c>
      <c r="E1667" s="1944"/>
      <c r="F1667" s="2004"/>
      <c r="G1667" s="1945">
        <v>1</v>
      </c>
      <c r="H1667" s="1946" t="str">
        <f>VLOOKUP($A1667,satpek!$B$20:$N$144,7,0)</f>
        <v>unit</v>
      </c>
      <c r="I1667" s="1947"/>
      <c r="J1667" s="1947"/>
      <c r="K1667" s="1948"/>
      <c r="L1667" s="1949"/>
      <c r="M1667" s="1950" t="str">
        <f>VLOOKUP($A1667,satpek!$B$20:$N$144,5,0)</f>
        <v>Daftar harga</v>
      </c>
      <c r="N1667" s="1951">
        <f>VLOOKUP($A1667,satpek!$B$20:$N$144,6,0)</f>
        <v>10887500</v>
      </c>
      <c r="O1667" s="1938"/>
      <c r="P1667" s="1952">
        <f t="shared" si="1061"/>
        <v>10887500</v>
      </c>
      <c r="Q1667" s="1953">
        <f>VLOOKUP($A1667,satpek!$B$20:$L$138,8,0)</f>
        <v>0.2</v>
      </c>
      <c r="R1667" s="1954">
        <f>VLOOKUP($A1667,satpek!$B$20:$L$138,9,0)</f>
        <v>0</v>
      </c>
      <c r="S1667" s="1954">
        <f>VLOOKUP($A1667,satpek!$B$20:$L$138,10,0)</f>
        <v>2177500</v>
      </c>
      <c r="T1667" s="1952">
        <f t="shared" si="1062"/>
        <v>2177500</v>
      </c>
      <c r="U1667" s="1955"/>
      <c r="X1667" s="1848">
        <f>P1670</f>
        <v>10887500</v>
      </c>
      <c r="Y1667" s="1848">
        <f>S1670</f>
        <v>2177500</v>
      </c>
      <c r="Z1667" s="1956">
        <v>1</v>
      </c>
      <c r="AA1667" s="1956">
        <f t="shared" si="976"/>
        <v>0</v>
      </c>
      <c r="AB1667" s="1836" t="s">
        <v>1852</v>
      </c>
      <c r="AF1667" s="1836"/>
      <c r="AG1667" s="1836"/>
      <c r="AH1667" s="1836"/>
      <c r="AI1667" s="1837">
        <v>10887500</v>
      </c>
      <c r="AJ1667" s="1960">
        <f t="shared" si="977"/>
        <v>0</v>
      </c>
    </row>
    <row r="1668" spans="1:36" ht="21.95" customHeight="1" x14ac:dyDescent="0.2">
      <c r="B1668" s="1943"/>
      <c r="C1668" s="1937"/>
      <c r="D1668" s="1944" t="s">
        <v>1853</v>
      </c>
      <c r="E1668" s="1944"/>
      <c r="F1668" s="2004"/>
      <c r="G1668" s="1945"/>
      <c r="H1668" s="2093"/>
      <c r="I1668" s="2094"/>
      <c r="J1668" s="2094"/>
      <c r="K1668" s="1935"/>
      <c r="L1668" s="1950"/>
      <c r="M1668" s="1950"/>
      <c r="N1668" s="1945" t="s">
        <v>1854</v>
      </c>
      <c r="O1668" s="2095"/>
      <c r="P1668" s="1952"/>
      <c r="Q1668" s="2094"/>
      <c r="R1668" s="2094"/>
      <c r="S1668" s="2094"/>
      <c r="T1668" s="2096"/>
      <c r="U1668" s="2097"/>
      <c r="Z1668" s="1956"/>
      <c r="AA1668" s="1956">
        <f t="shared" si="976"/>
        <v>0</v>
      </c>
      <c r="AB1668" s="1836" t="s">
        <v>1853</v>
      </c>
      <c r="AF1668" s="1836"/>
      <c r="AG1668" s="1836"/>
      <c r="AH1668" s="1836"/>
      <c r="AI1668" s="1837" t="s">
        <v>1854</v>
      </c>
      <c r="AJ1668" s="1960" t="e">
        <f t="shared" si="977"/>
        <v>#VALUE!</v>
      </c>
    </row>
    <row r="1669" spans="1:36" ht="21.95" customHeight="1" x14ac:dyDescent="0.2">
      <c r="B1669" s="1943"/>
      <c r="C1669" s="1937"/>
      <c r="D1669" s="1944" t="s">
        <v>1855</v>
      </c>
      <c r="E1669" s="1944"/>
      <c r="F1669" s="2004"/>
      <c r="G1669" s="1945"/>
      <c r="H1669" s="2093"/>
      <c r="I1669" s="2094"/>
      <c r="J1669" s="2094"/>
      <c r="K1669" s="1935"/>
      <c r="L1669" s="1950"/>
      <c r="M1669" s="1950"/>
      <c r="N1669" s="1945" t="s">
        <v>1854</v>
      </c>
      <c r="O1669" s="2095"/>
      <c r="P1669" s="1952"/>
      <c r="Q1669" s="2094"/>
      <c r="R1669" s="2094"/>
      <c r="S1669" s="2094"/>
      <c r="T1669" s="2096"/>
      <c r="U1669" s="2097"/>
      <c r="Z1669" s="1956"/>
      <c r="AA1669" s="1956">
        <f t="shared" si="976"/>
        <v>0</v>
      </c>
      <c r="AB1669" s="1836" t="s">
        <v>1855</v>
      </c>
      <c r="AF1669" s="1836"/>
      <c r="AG1669" s="1836"/>
      <c r="AH1669" s="1836"/>
      <c r="AI1669" s="1837" t="s">
        <v>1854</v>
      </c>
      <c r="AJ1669" s="1960" t="e">
        <f t="shared" si="977"/>
        <v>#VALUE!</v>
      </c>
    </row>
    <row r="1670" spans="1:36" s="1957" customFormat="1" ht="21.95" customHeight="1" x14ac:dyDescent="0.2">
      <c r="A1670" s="1942"/>
      <c r="B1670" s="1970"/>
      <c r="C1670" s="1971"/>
      <c r="D1670" s="1972" t="str">
        <f>D1667</f>
        <v>Pengadaan dan pemasangan septic tank komunal kap 2000 ltr</v>
      </c>
      <c r="E1670" s="1973"/>
      <c r="F1670" s="1974"/>
      <c r="G1670" s="1975">
        <f>G1667</f>
        <v>1</v>
      </c>
      <c r="H1670" s="1976" t="str">
        <f>H1667</f>
        <v>unit</v>
      </c>
      <c r="I1670" s="1977"/>
      <c r="J1670" s="1977"/>
      <c r="K1670" s="1978">
        <f>satpek!I120</f>
        <v>0.2</v>
      </c>
      <c r="L1670" s="1979"/>
      <c r="M1670" s="1980"/>
      <c r="N1670" s="1981">
        <f>N1667</f>
        <v>10887500</v>
      </c>
      <c r="O1670" s="1982"/>
      <c r="P1670" s="1983">
        <f>N1670</f>
        <v>10887500</v>
      </c>
      <c r="Q1670" s="1984"/>
      <c r="R1670" s="1985"/>
      <c r="S1670" s="1983">
        <f>K1670*N1670</f>
        <v>2177500</v>
      </c>
      <c r="T1670" s="1983">
        <f>N1670-S1670</f>
        <v>8710000</v>
      </c>
      <c r="U1670" s="1986"/>
      <c r="V1670" s="1848"/>
      <c r="W1670" s="1848"/>
      <c r="X1670" s="1848"/>
      <c r="Y1670" s="1848"/>
      <c r="Z1670" s="1956"/>
      <c r="AA1670" s="1956"/>
      <c r="AF1670" s="1958"/>
      <c r="AG1670" s="1958"/>
      <c r="AH1670" s="1958"/>
      <c r="AI1670" s="1959"/>
      <c r="AJ1670" s="1960"/>
    </row>
    <row r="1671" spans="1:36" ht="21.95" customHeight="1" x14ac:dyDescent="0.2">
      <c r="B1671" s="1927"/>
      <c r="C1671" s="2033"/>
      <c r="D1671" s="2034" t="s">
        <v>1786</v>
      </c>
      <c r="E1671" s="2035"/>
      <c r="F1671" s="2036"/>
      <c r="G1671" s="1945"/>
      <c r="H1671" s="2037"/>
      <c r="I1671" s="2038"/>
      <c r="J1671" s="2038"/>
      <c r="K1671" s="2039"/>
      <c r="L1671" s="2040"/>
      <c r="M1671" s="2040"/>
      <c r="N1671" s="1997"/>
      <c r="O1671" s="2041"/>
      <c r="P1671" s="2042"/>
      <c r="Q1671" s="2038"/>
      <c r="R1671" s="2038"/>
      <c r="S1671" s="2038"/>
      <c r="T1671" s="2043"/>
      <c r="U1671" s="2044"/>
      <c r="Z1671" s="1956"/>
      <c r="AA1671" s="1956">
        <f t="shared" ref="AA1671:AA1840" si="1099">Z1671-G1671</f>
        <v>0</v>
      </c>
      <c r="AB1671" s="1836" t="s">
        <v>1786</v>
      </c>
      <c r="AF1671" s="1836"/>
      <c r="AG1671" s="1836"/>
      <c r="AH1671" s="1836"/>
      <c r="AI1671" s="1837"/>
      <c r="AJ1671" s="1960">
        <f t="shared" ref="AJ1671:AJ1840" si="1100">AI1671-N1671</f>
        <v>0</v>
      </c>
    </row>
    <row r="1672" spans="1:36" ht="21.95" customHeight="1" x14ac:dyDescent="0.2">
      <c r="B1672" s="2162">
        <v>1</v>
      </c>
      <c r="C1672" s="2033"/>
      <c r="D1672" s="2034" t="s">
        <v>1856</v>
      </c>
      <c r="E1672" s="2035"/>
      <c r="F1672" s="2036"/>
      <c r="G1672" s="1945"/>
      <c r="H1672" s="2037"/>
      <c r="I1672" s="2038"/>
      <c r="J1672" s="2038"/>
      <c r="K1672" s="2039"/>
      <c r="L1672" s="2040"/>
      <c r="M1672" s="2040"/>
      <c r="N1672" s="1997"/>
      <c r="O1672" s="2041"/>
      <c r="P1672" s="2042"/>
      <c r="Q1672" s="2038"/>
      <c r="R1672" s="2038"/>
      <c r="S1672" s="2038"/>
      <c r="T1672" s="2043"/>
      <c r="U1672" s="2044"/>
      <c r="Z1672" s="1956"/>
      <c r="AA1672" s="1956">
        <f t="shared" si="1099"/>
        <v>0</v>
      </c>
      <c r="AB1672" s="1836" t="s">
        <v>1856</v>
      </c>
      <c r="AF1672" s="1836"/>
      <c r="AG1672" s="1836"/>
      <c r="AH1672" s="1836"/>
      <c r="AI1672" s="1837"/>
      <c r="AJ1672" s="1960">
        <f t="shared" si="1100"/>
        <v>0</v>
      </c>
    </row>
    <row r="1673" spans="1:36" ht="21.95" customHeight="1" x14ac:dyDescent="0.2">
      <c r="A1673" s="1833">
        <f>satpek!B73</f>
        <v>54</v>
      </c>
      <c r="B1673" s="1943">
        <v>1</v>
      </c>
      <c r="C1673" s="1937"/>
      <c r="D1673" s="1944" t="str">
        <f>VLOOKUP($A1673,satpek!$B$20:$N$144,2,0)</f>
        <v>Memasang pipa PVC tipe AW diameter 3/4"</v>
      </c>
      <c r="E1673" s="1944"/>
      <c r="F1673" s="2004"/>
      <c r="G1673" s="1945">
        <f>'[3]B.VOL RAB'!Q583</f>
        <v>18</v>
      </c>
      <c r="H1673" s="1946" t="str">
        <f>VLOOKUP($A1673,satpek!$B$20:$N$144,7,0)</f>
        <v>m'</v>
      </c>
      <c r="I1673" s="1947"/>
      <c r="J1673" s="1947"/>
      <c r="K1673" s="1948"/>
      <c r="L1673" s="1949"/>
      <c r="M1673" s="1950" t="str">
        <f>VLOOKUP($A1673,satpek!$B$20:$N$144,5,0)</f>
        <v>A.5.1.1.26.</v>
      </c>
      <c r="N1673" s="1951">
        <f>VLOOKUP($A1673,satpek!$B$20:$N$144,6,0)</f>
        <v>24034.87</v>
      </c>
      <c r="O1673" s="1938"/>
      <c r="P1673" s="1952">
        <f t="shared" ref="P1673:P1703" si="1101">ROUND((G1673*N1673),2)</f>
        <v>432627.66</v>
      </c>
      <c r="Q1673" s="1953">
        <f>VLOOKUP($A1673,satpek!$B$20:$L$138,8,0)</f>
        <v>0.94560353176804668</v>
      </c>
      <c r="R1673" s="1954">
        <f>VLOOKUP($A1673,satpek!$B$20:$L$138,9,0)</f>
        <v>20112.797999999999</v>
      </c>
      <c r="S1673" s="1954">
        <f>VLOOKUP($A1673,satpek!$B$20:$L$138,10,0)</f>
        <v>22727.461739999999</v>
      </c>
      <c r="T1673" s="1952">
        <f>S1673*G1673</f>
        <v>409094.31131999998</v>
      </c>
      <c r="U1673" s="1955"/>
      <c r="X1673" s="1848">
        <f>P1682</f>
        <v>21269.8</v>
      </c>
      <c r="Y1673" s="1848">
        <f>S1682</f>
        <v>21269.8</v>
      </c>
      <c r="Z1673" s="1956">
        <v>18</v>
      </c>
      <c r="AA1673" s="1956">
        <f t="shared" si="1099"/>
        <v>0</v>
      </c>
      <c r="AB1673" s="1836" t="s">
        <v>455</v>
      </c>
      <c r="AF1673" s="1836"/>
      <c r="AG1673" s="1836"/>
      <c r="AH1673" s="1836"/>
      <c r="AI1673" s="1837">
        <v>24319.86</v>
      </c>
      <c r="AJ1673" s="1960">
        <f t="shared" si="1100"/>
        <v>284.9900000000016</v>
      </c>
    </row>
    <row r="1674" spans="1:36" ht="21.95" customHeight="1" x14ac:dyDescent="0.2">
      <c r="B1674" s="2045"/>
      <c r="C1674" s="2046" t="str">
        <f>SNI!D1086</f>
        <v>Bahan</v>
      </c>
      <c r="D1674" s="2047"/>
      <c r="E1674" s="2047"/>
      <c r="F1674" s="2048"/>
      <c r="G1674" s="2049"/>
      <c r="H1674" s="2050"/>
      <c r="I1674" s="2051"/>
      <c r="J1674" s="2051"/>
      <c r="K1674" s="2052"/>
      <c r="L1674" s="2053"/>
      <c r="M1674" s="2054"/>
      <c r="N1674" s="2055"/>
      <c r="O1674" s="2056"/>
      <c r="P1674" s="2057"/>
      <c r="Q1674" s="2058"/>
      <c r="R1674" s="2059"/>
      <c r="S1674" s="2059"/>
      <c r="T1674" s="2057"/>
      <c r="U1674" s="2060"/>
      <c r="Z1674" s="1956"/>
      <c r="AA1674" s="1956"/>
      <c r="AF1674" s="1836"/>
      <c r="AG1674" s="1836"/>
      <c r="AH1674" s="1836"/>
      <c r="AI1674" s="1837"/>
      <c r="AJ1674" s="1960"/>
    </row>
    <row r="1675" spans="1:36" ht="21.95" customHeight="1" x14ac:dyDescent="0.2">
      <c r="B1675" s="2045"/>
      <c r="C1675" s="2046"/>
      <c r="D1675" s="2047" t="str">
        <f>SNI!E1086</f>
        <v>Pipa PVC 3/4"</v>
      </c>
      <c r="E1675" s="2047"/>
      <c r="F1675" s="2048"/>
      <c r="G1675" s="2049">
        <f>SNI!H1086</f>
        <v>1.2</v>
      </c>
      <c r="H1675" s="2050" t="str">
        <f>SNI!G1086</f>
        <v>m</v>
      </c>
      <c r="I1675" s="2051"/>
      <c r="J1675" s="2051"/>
      <c r="K1675" s="2052">
        <f>SNI!L1086</f>
        <v>0.94769999999999999</v>
      </c>
      <c r="L1675" s="2053"/>
      <c r="M1675" s="2054"/>
      <c r="N1675" s="2055">
        <f>SNI!I1086</f>
        <v>7700</v>
      </c>
      <c r="O1675" s="2056"/>
      <c r="P1675" s="1969">
        <f t="shared" ref="P1675" si="1102">N1675*G1675</f>
        <v>9240</v>
      </c>
      <c r="Q1675" s="1953"/>
      <c r="R1675" s="1954"/>
      <c r="S1675" s="1954">
        <f t="shared" ref="S1675" si="1103">P1675*K1675</f>
        <v>8756.7479999999996</v>
      </c>
      <c r="T1675" s="1969">
        <f t="shared" ref="T1675" si="1104">P1675-S1675</f>
        <v>483.25200000000041</v>
      </c>
      <c r="U1675" s="2060"/>
      <c r="Z1675" s="1956"/>
      <c r="AA1675" s="1956"/>
      <c r="AF1675" s="1836"/>
      <c r="AG1675" s="1836"/>
      <c r="AH1675" s="1836"/>
      <c r="AI1675" s="1837"/>
      <c r="AJ1675" s="1960"/>
    </row>
    <row r="1676" spans="1:36" ht="21.95" customHeight="1" x14ac:dyDescent="0.2">
      <c r="B1676" s="2045"/>
      <c r="C1676" s="2046"/>
      <c r="D1676" s="2047" t="str">
        <f>SNI!E1087</f>
        <v>Perlengkapan</v>
      </c>
      <c r="E1676" s="2047"/>
      <c r="F1676" s="2048"/>
      <c r="G1676" s="2049">
        <f>SNI!H1087</f>
        <v>1</v>
      </c>
      <c r="H1676" s="2050" t="str">
        <f>SNI!G1087</f>
        <v>bh</v>
      </c>
      <c r="I1676" s="2051"/>
      <c r="J1676" s="2051"/>
      <c r="K1676" s="2052">
        <f>SNI!L1087</f>
        <v>0.75</v>
      </c>
      <c r="L1676" s="2053"/>
      <c r="M1676" s="2054"/>
      <c r="N1676" s="2055">
        <f>SNI!I1087</f>
        <v>2695</v>
      </c>
      <c r="O1676" s="2056"/>
      <c r="P1676" s="1969">
        <f t="shared" ref="P1676:P1681" si="1105">N1676*G1676</f>
        <v>2695</v>
      </c>
      <c r="Q1676" s="1953"/>
      <c r="R1676" s="1954"/>
      <c r="S1676" s="1954">
        <f t="shared" ref="S1676:S1681" si="1106">P1676*K1676</f>
        <v>2021.25</v>
      </c>
      <c r="T1676" s="1969">
        <f t="shared" ref="T1676:T1681" si="1107">P1676-S1676</f>
        <v>673.75</v>
      </c>
      <c r="U1676" s="2060"/>
      <c r="Z1676" s="1956"/>
      <c r="AA1676" s="1956"/>
      <c r="AF1676" s="1836"/>
      <c r="AG1676" s="1836"/>
      <c r="AH1676" s="1836"/>
      <c r="AI1676" s="1837"/>
      <c r="AJ1676" s="1960"/>
    </row>
    <row r="1677" spans="1:36" ht="21.95" customHeight="1" x14ac:dyDescent="0.2">
      <c r="B1677" s="2045"/>
      <c r="C1677" s="2046" t="str">
        <f>SNI!D1089</f>
        <v>Tenaga Kerja</v>
      </c>
      <c r="D1677" s="2047"/>
      <c r="E1677" s="2047"/>
      <c r="F1677" s="2048"/>
      <c r="G1677" s="2049"/>
      <c r="H1677" s="2050"/>
      <c r="I1677" s="2051"/>
      <c r="J1677" s="2051"/>
      <c r="K1677" s="2052"/>
      <c r="L1677" s="2053"/>
      <c r="M1677" s="2054"/>
      <c r="N1677" s="2055"/>
      <c r="O1677" s="2056"/>
      <c r="P1677" s="1969"/>
      <c r="Q1677" s="1953"/>
      <c r="R1677" s="1954"/>
      <c r="S1677" s="1954"/>
      <c r="T1677" s="1969"/>
      <c r="U1677" s="2060"/>
      <c r="Z1677" s="1956"/>
      <c r="AA1677" s="1956"/>
      <c r="AF1677" s="1836"/>
      <c r="AG1677" s="1836"/>
      <c r="AH1677" s="1836"/>
      <c r="AI1677" s="1837"/>
      <c r="AJ1677" s="1960"/>
    </row>
    <row r="1678" spans="1:36" ht="21.95" customHeight="1" x14ac:dyDescent="0.2">
      <c r="B1678" s="2045"/>
      <c r="C1678" s="2046"/>
      <c r="D1678" s="2047" t="str">
        <f>SNI!E1089</f>
        <v>Pekerja</v>
      </c>
      <c r="E1678" s="2047"/>
      <c r="F1678" s="2048"/>
      <c r="G1678" s="2049">
        <f>SNI!H1089</f>
        <v>3.5999999999999997E-2</v>
      </c>
      <c r="H1678" s="2050" t="str">
        <f>SNI!G1089</f>
        <v>OH</v>
      </c>
      <c r="I1678" s="2051" t="str">
        <f>SNI!M1089</f>
        <v>WNI</v>
      </c>
      <c r="J1678" s="2051"/>
      <c r="K1678" s="2052">
        <f>SNI!L1089</f>
        <v>1</v>
      </c>
      <c r="L1678" s="2053"/>
      <c r="M1678" s="2054"/>
      <c r="N1678" s="2055">
        <f>SNI!I1089</f>
        <v>88300</v>
      </c>
      <c r="O1678" s="2056"/>
      <c r="P1678" s="1969">
        <f t="shared" si="1105"/>
        <v>3178.7999999999997</v>
      </c>
      <c r="Q1678" s="1953"/>
      <c r="R1678" s="1954"/>
      <c r="S1678" s="1954">
        <f t="shared" si="1106"/>
        <v>3178.7999999999997</v>
      </c>
      <c r="T1678" s="1969">
        <f t="shared" si="1107"/>
        <v>0</v>
      </c>
      <c r="U1678" s="2060"/>
      <c r="Z1678" s="1956"/>
      <c r="AA1678" s="1956"/>
      <c r="AF1678" s="1836"/>
      <c r="AG1678" s="1836"/>
      <c r="AH1678" s="1836"/>
      <c r="AI1678" s="1837"/>
      <c r="AJ1678" s="1960"/>
    </row>
    <row r="1679" spans="1:36" ht="21.95" customHeight="1" x14ac:dyDescent="0.2">
      <c r="B1679" s="2045"/>
      <c r="C1679" s="2046"/>
      <c r="D1679" s="2047" t="str">
        <f>SNI!E1090</f>
        <v>Tukang batu</v>
      </c>
      <c r="E1679" s="2047"/>
      <c r="F1679" s="2048"/>
      <c r="G1679" s="2049">
        <f>SNI!H1090</f>
        <v>0.06</v>
      </c>
      <c r="H1679" s="2050" t="str">
        <f>SNI!G1090</f>
        <v>OH</v>
      </c>
      <c r="I1679" s="2051" t="str">
        <f>SNI!M1090</f>
        <v>WNI</v>
      </c>
      <c r="J1679" s="2051"/>
      <c r="K1679" s="2052">
        <f>SNI!L1090</f>
        <v>1</v>
      </c>
      <c r="L1679" s="2053"/>
      <c r="M1679" s="2054"/>
      <c r="N1679" s="2055">
        <f>SNI!I1090</f>
        <v>90000</v>
      </c>
      <c r="O1679" s="2056"/>
      <c r="P1679" s="1969">
        <f t="shared" si="1105"/>
        <v>5400</v>
      </c>
      <c r="Q1679" s="1953"/>
      <c r="R1679" s="1954"/>
      <c r="S1679" s="1954">
        <f t="shared" si="1106"/>
        <v>5400</v>
      </c>
      <c r="T1679" s="1969">
        <f t="shared" si="1107"/>
        <v>0</v>
      </c>
      <c r="U1679" s="2060"/>
      <c r="Z1679" s="1956"/>
      <c r="AA1679" s="1956"/>
      <c r="AF1679" s="1836"/>
      <c r="AG1679" s="1836"/>
      <c r="AH1679" s="1836"/>
      <c r="AI1679" s="1837"/>
      <c r="AJ1679" s="1960"/>
    </row>
    <row r="1680" spans="1:36" ht="21.95" customHeight="1" x14ac:dyDescent="0.2">
      <c r="B1680" s="2045"/>
      <c r="C1680" s="2046"/>
      <c r="D1680" s="2047" t="str">
        <f>SNI!E1091</f>
        <v>Kepala tukang</v>
      </c>
      <c r="E1680" s="2047"/>
      <c r="F1680" s="2048"/>
      <c r="G1680" s="2049">
        <f>SNI!H1091</f>
        <v>6.0000000000000001E-3</v>
      </c>
      <c r="H1680" s="2050" t="str">
        <f>SNI!G1091</f>
        <v>OH</v>
      </c>
      <c r="I1680" s="2051" t="str">
        <f>SNI!M1091</f>
        <v>WNI</v>
      </c>
      <c r="J1680" s="2051"/>
      <c r="K1680" s="2052">
        <f>SNI!L1091</f>
        <v>1</v>
      </c>
      <c r="L1680" s="2053"/>
      <c r="M1680" s="2054"/>
      <c r="N1680" s="2055">
        <f>SNI!I1091</f>
        <v>96000</v>
      </c>
      <c r="O1680" s="2056"/>
      <c r="P1680" s="1969">
        <f t="shared" si="1105"/>
        <v>576</v>
      </c>
      <c r="Q1680" s="1953"/>
      <c r="R1680" s="1954"/>
      <c r="S1680" s="1954">
        <f t="shared" si="1106"/>
        <v>576</v>
      </c>
      <c r="T1680" s="1969">
        <f t="shared" si="1107"/>
        <v>0</v>
      </c>
      <c r="U1680" s="2060"/>
      <c r="Z1680" s="1956"/>
      <c r="AA1680" s="1956"/>
      <c r="AF1680" s="1836"/>
      <c r="AG1680" s="1836"/>
      <c r="AH1680" s="1836"/>
      <c r="AI1680" s="1837"/>
      <c r="AJ1680" s="1960"/>
    </row>
    <row r="1681" spans="1:36" ht="21.95" customHeight="1" x14ac:dyDescent="0.2">
      <c r="B1681" s="2045"/>
      <c r="C1681" s="2046"/>
      <c r="D1681" s="2047" t="str">
        <f>SNI!E1092</f>
        <v>Mandor</v>
      </c>
      <c r="E1681" s="2047"/>
      <c r="F1681" s="2048"/>
      <c r="G1681" s="2049">
        <f>SNI!H1092</f>
        <v>2E-3</v>
      </c>
      <c r="H1681" s="2050" t="str">
        <f>SNI!G1092</f>
        <v>OH</v>
      </c>
      <c r="I1681" s="2051" t="str">
        <f>SNI!M1092</f>
        <v>WNI</v>
      </c>
      <c r="J1681" s="2051"/>
      <c r="K1681" s="2052">
        <f>SNI!L1092</f>
        <v>1</v>
      </c>
      <c r="L1681" s="2053"/>
      <c r="M1681" s="2054"/>
      <c r="N1681" s="2055">
        <f>SNI!I1092</f>
        <v>90000</v>
      </c>
      <c r="O1681" s="2056"/>
      <c r="P1681" s="1969">
        <f t="shared" si="1105"/>
        <v>180</v>
      </c>
      <c r="Q1681" s="1953"/>
      <c r="R1681" s="1954"/>
      <c r="S1681" s="1954">
        <f t="shared" si="1106"/>
        <v>180</v>
      </c>
      <c r="T1681" s="1969">
        <f t="shared" si="1107"/>
        <v>0</v>
      </c>
      <c r="U1681" s="2060"/>
      <c r="Z1681" s="1956"/>
      <c r="AA1681" s="1956"/>
      <c r="AF1681" s="1836"/>
      <c r="AG1681" s="1836"/>
      <c r="AH1681" s="1836"/>
      <c r="AI1681" s="1837"/>
      <c r="AJ1681" s="1960"/>
    </row>
    <row r="1682" spans="1:36" s="1957" customFormat="1" ht="21.95" customHeight="1" x14ac:dyDescent="0.2">
      <c r="A1682" s="1942"/>
      <c r="B1682" s="1970"/>
      <c r="C1682" s="1971"/>
      <c r="D1682" s="1972"/>
      <c r="E1682" s="1973"/>
      <c r="F1682" s="1974" t="s">
        <v>556</v>
      </c>
      <c r="G1682" s="1975">
        <f>B1673</f>
        <v>1</v>
      </c>
      <c r="H1682" s="1976"/>
      <c r="I1682" s="1977"/>
      <c r="J1682" s="1977"/>
      <c r="K1682" s="1978"/>
      <c r="L1682" s="1979"/>
      <c r="M1682" s="1980"/>
      <c r="N1682" s="1981"/>
      <c r="O1682" s="1982"/>
      <c r="P1682" s="1983">
        <f>SUM(P1675:R1681)</f>
        <v>21269.8</v>
      </c>
      <c r="Q1682" s="1984"/>
      <c r="R1682" s="1985"/>
      <c r="S1682" s="1983">
        <f t="shared" ref="S1682" si="1108">SUM(S1675:U1681)</f>
        <v>21269.8</v>
      </c>
      <c r="T1682" s="1983">
        <f t="shared" ref="T1682" si="1109">SUM(T1675:V1681)</f>
        <v>1157.0020000000004</v>
      </c>
      <c r="U1682" s="1986"/>
      <c r="V1682" s="1848"/>
      <c r="W1682" s="1848"/>
      <c r="X1682" s="1848"/>
      <c r="Y1682" s="1848"/>
      <c r="Z1682" s="1956"/>
      <c r="AA1682" s="1956"/>
      <c r="AF1682" s="1958"/>
      <c r="AG1682" s="1958"/>
      <c r="AH1682" s="1958"/>
      <c r="AI1682" s="1959"/>
      <c r="AJ1682" s="1960"/>
    </row>
    <row r="1683" spans="1:36" ht="21.95" customHeight="1" x14ac:dyDescent="0.2">
      <c r="A1683" s="1833">
        <f>satpek!B74</f>
        <v>55</v>
      </c>
      <c r="B1683" s="1943">
        <f>B1673+1</f>
        <v>2</v>
      </c>
      <c r="C1683" s="1937"/>
      <c r="D1683" s="1944" t="str">
        <f>VLOOKUP($A1683,satpek!$B$20:$N$144,2,0)</f>
        <v>Memasang pipa PVC tipe AW diameter 1"</v>
      </c>
      <c r="E1683" s="1944"/>
      <c r="F1683" s="2004"/>
      <c r="G1683" s="1945">
        <f>'[3]B.VOL RAB'!Q584</f>
        <v>27.8</v>
      </c>
      <c r="H1683" s="1946" t="str">
        <f>VLOOKUP($A1683,satpek!$B$20:$N$144,7,0)</f>
        <v>m'</v>
      </c>
      <c r="I1683" s="1947"/>
      <c r="J1683" s="1947"/>
      <c r="K1683" s="1948"/>
      <c r="L1683" s="1949"/>
      <c r="M1683" s="1950" t="str">
        <f>VLOOKUP($A1683,satpek!$B$20:$N$144,5,0)</f>
        <v>A.5.1.1.27.</v>
      </c>
      <c r="N1683" s="1951">
        <f>VLOOKUP($A1683,satpek!$B$20:$N$144,6,0)</f>
        <v>26924.85</v>
      </c>
      <c r="O1683" s="1938"/>
      <c r="P1683" s="1952">
        <f t="shared" si="1101"/>
        <v>748510.83</v>
      </c>
      <c r="Q1683" s="1953">
        <f>VLOOKUP($A1683,satpek!$B$20:$L$138,8,0)</f>
        <v>0.94103691983565063</v>
      </c>
      <c r="R1683" s="1954">
        <f>VLOOKUP($A1683,satpek!$B$20:$L$138,9,0)</f>
        <v>22422.368999999999</v>
      </c>
      <c r="S1683" s="1954">
        <f>VLOOKUP($A1683,satpek!$B$20:$L$138,10,0)</f>
        <v>25337.276969999999</v>
      </c>
      <c r="T1683" s="1952">
        <f>S1683*G1683</f>
        <v>704376.29976600001</v>
      </c>
      <c r="U1683" s="1955"/>
      <c r="X1683" s="1848">
        <f>P1692</f>
        <v>23827.3</v>
      </c>
      <c r="Y1683" s="1848">
        <f>S1692</f>
        <v>23827.3</v>
      </c>
      <c r="Z1683" s="1956">
        <v>27.8</v>
      </c>
      <c r="AA1683" s="1956">
        <f t="shared" si="1099"/>
        <v>0</v>
      </c>
      <c r="AB1683" s="1836" t="s">
        <v>456</v>
      </c>
      <c r="AF1683" s="1836"/>
      <c r="AG1683" s="1836"/>
      <c r="AH1683" s="1836"/>
      <c r="AI1683" s="1837">
        <v>27340.35</v>
      </c>
      <c r="AJ1683" s="1960">
        <f t="shared" si="1100"/>
        <v>415.5</v>
      </c>
    </row>
    <row r="1684" spans="1:36" ht="21.95" customHeight="1" x14ac:dyDescent="0.2">
      <c r="B1684" s="2045"/>
      <c r="C1684" s="2046" t="str">
        <f>SNI!D1106</f>
        <v>Bahan</v>
      </c>
      <c r="D1684" s="2047"/>
      <c r="E1684" s="2047"/>
      <c r="F1684" s="2048"/>
      <c r="G1684" s="2049"/>
      <c r="H1684" s="2050"/>
      <c r="I1684" s="2051"/>
      <c r="J1684" s="2051"/>
      <c r="K1684" s="2052"/>
      <c r="L1684" s="2053"/>
      <c r="M1684" s="2054"/>
      <c r="N1684" s="2055"/>
      <c r="O1684" s="2056"/>
      <c r="P1684" s="2057"/>
      <c r="Q1684" s="2058"/>
      <c r="R1684" s="2059"/>
      <c r="S1684" s="2059"/>
      <c r="T1684" s="2057"/>
      <c r="U1684" s="2060"/>
      <c r="Z1684" s="1956"/>
      <c r="AA1684" s="1956"/>
      <c r="AF1684" s="1836"/>
      <c r="AG1684" s="1836"/>
      <c r="AH1684" s="1836"/>
      <c r="AI1684" s="1837"/>
      <c r="AJ1684" s="1960"/>
    </row>
    <row r="1685" spans="1:36" ht="21.95" customHeight="1" x14ac:dyDescent="0.2">
      <c r="B1685" s="2045"/>
      <c r="C1685" s="2046"/>
      <c r="D1685" s="2047" t="str">
        <f>SNI!E1106</f>
        <v>Pipa PVC 1"</v>
      </c>
      <c r="E1685" s="2047"/>
      <c r="F1685" s="2048"/>
      <c r="G1685" s="2049">
        <f>SNI!H1106</f>
        <v>1.2</v>
      </c>
      <c r="H1685" s="2050" t="str">
        <f>SNI!G1106</f>
        <v>m</v>
      </c>
      <c r="I1685" s="2051"/>
      <c r="J1685" s="2051"/>
      <c r="K1685" s="2052">
        <f>SNI!L1106</f>
        <v>0.94769999999999999</v>
      </c>
      <c r="L1685" s="2053"/>
      <c r="M1685" s="2054"/>
      <c r="N1685" s="2055">
        <f>SNI!I1106</f>
        <v>9350</v>
      </c>
      <c r="O1685" s="2056"/>
      <c r="P1685" s="1969">
        <f t="shared" ref="P1685" si="1110">N1685*G1685</f>
        <v>11220</v>
      </c>
      <c r="Q1685" s="1953"/>
      <c r="R1685" s="1954"/>
      <c r="S1685" s="1954">
        <f t="shared" ref="S1685" si="1111">P1685*K1685</f>
        <v>10633.194</v>
      </c>
      <c r="T1685" s="1969">
        <f t="shared" ref="T1685" si="1112">P1685-S1685</f>
        <v>586.80600000000049</v>
      </c>
      <c r="U1685" s="2060"/>
      <c r="Z1685" s="1956"/>
      <c r="AA1685" s="1956"/>
      <c r="AF1685" s="1836"/>
      <c r="AG1685" s="1836"/>
      <c r="AH1685" s="1836"/>
      <c r="AI1685" s="1837"/>
      <c r="AJ1685" s="1960"/>
    </row>
    <row r="1686" spans="1:36" ht="21.95" customHeight="1" x14ac:dyDescent="0.2">
      <c r="B1686" s="2045"/>
      <c r="C1686" s="2046"/>
      <c r="D1686" s="2047" t="str">
        <f>SNI!E1107</f>
        <v>Perlengkapan</v>
      </c>
      <c r="E1686" s="2047"/>
      <c r="F1686" s="2048"/>
      <c r="G1686" s="2049">
        <f>SNI!H1107</f>
        <v>1</v>
      </c>
      <c r="H1686" s="2050" t="str">
        <f>SNI!G1107</f>
        <v>bh</v>
      </c>
      <c r="I1686" s="2051"/>
      <c r="J1686" s="2051"/>
      <c r="K1686" s="2052">
        <f>SNI!L1107</f>
        <v>0.75</v>
      </c>
      <c r="L1686" s="2053"/>
      <c r="M1686" s="2054"/>
      <c r="N1686" s="2055">
        <f>SNI!I1107</f>
        <v>3272.5</v>
      </c>
      <c r="O1686" s="2056"/>
      <c r="P1686" s="1969">
        <f t="shared" ref="P1686:P1691" si="1113">N1686*G1686</f>
        <v>3272.5</v>
      </c>
      <c r="Q1686" s="1953"/>
      <c r="R1686" s="1954"/>
      <c r="S1686" s="1954">
        <f t="shared" ref="S1686:S1691" si="1114">P1686*K1686</f>
        <v>2454.375</v>
      </c>
      <c r="T1686" s="1969">
        <f t="shared" ref="T1686:T1691" si="1115">P1686-S1686</f>
        <v>818.125</v>
      </c>
      <c r="U1686" s="2060"/>
      <c r="Z1686" s="1956"/>
      <c r="AA1686" s="1956"/>
      <c r="AF1686" s="1836"/>
      <c r="AG1686" s="1836"/>
      <c r="AH1686" s="1836"/>
      <c r="AI1686" s="1837"/>
      <c r="AJ1686" s="1960"/>
    </row>
    <row r="1687" spans="1:36" ht="21.95" customHeight="1" x14ac:dyDescent="0.2">
      <c r="B1687" s="2045"/>
      <c r="C1687" s="2046" t="str">
        <f>SNI!D1109</f>
        <v>Tenaga Kerja</v>
      </c>
      <c r="D1687" s="2047"/>
      <c r="E1687" s="2047"/>
      <c r="F1687" s="2048"/>
      <c r="G1687" s="2049"/>
      <c r="H1687" s="2050"/>
      <c r="I1687" s="2051"/>
      <c r="J1687" s="2051"/>
      <c r="K1687" s="2052"/>
      <c r="L1687" s="2053"/>
      <c r="M1687" s="2054"/>
      <c r="N1687" s="2055"/>
      <c r="O1687" s="2056"/>
      <c r="P1687" s="1969"/>
      <c r="Q1687" s="1953"/>
      <c r="R1687" s="1954"/>
      <c r="S1687" s="1954"/>
      <c r="T1687" s="1969"/>
      <c r="U1687" s="2060"/>
      <c r="Z1687" s="1956"/>
      <c r="AA1687" s="1956"/>
      <c r="AF1687" s="1836"/>
      <c r="AG1687" s="1836"/>
      <c r="AH1687" s="1836"/>
      <c r="AI1687" s="1837"/>
      <c r="AJ1687" s="1960"/>
    </row>
    <row r="1688" spans="1:36" ht="21.95" customHeight="1" x14ac:dyDescent="0.2">
      <c r="B1688" s="2045"/>
      <c r="C1688" s="2046"/>
      <c r="D1688" s="2047" t="str">
        <f>SNI!E1109</f>
        <v>Pekerja</v>
      </c>
      <c r="E1688" s="2047"/>
      <c r="F1688" s="2048"/>
      <c r="G1688" s="2049">
        <f>SNI!H1109</f>
        <v>3.5999999999999997E-2</v>
      </c>
      <c r="H1688" s="2050" t="str">
        <f>SNI!G1109</f>
        <v>OH</v>
      </c>
      <c r="I1688" s="2142" t="s">
        <v>2012</v>
      </c>
      <c r="J1688" s="2051"/>
      <c r="K1688" s="2052">
        <f>SNI!L1109</f>
        <v>1</v>
      </c>
      <c r="L1688" s="2053"/>
      <c r="M1688" s="2054"/>
      <c r="N1688" s="2055">
        <f>SNI!I1109</f>
        <v>88300</v>
      </c>
      <c r="O1688" s="2056"/>
      <c r="P1688" s="1969">
        <f t="shared" si="1113"/>
        <v>3178.7999999999997</v>
      </c>
      <c r="Q1688" s="1953"/>
      <c r="R1688" s="1954"/>
      <c r="S1688" s="1954">
        <f t="shared" si="1114"/>
        <v>3178.7999999999997</v>
      </c>
      <c r="T1688" s="1969">
        <f t="shared" si="1115"/>
        <v>0</v>
      </c>
      <c r="U1688" s="2060"/>
      <c r="Z1688" s="1956"/>
      <c r="AA1688" s="1956"/>
      <c r="AF1688" s="1836"/>
      <c r="AG1688" s="1836"/>
      <c r="AH1688" s="1836"/>
      <c r="AI1688" s="1837"/>
      <c r="AJ1688" s="1960"/>
    </row>
    <row r="1689" spans="1:36" ht="21.95" customHeight="1" x14ac:dyDescent="0.2">
      <c r="B1689" s="2045"/>
      <c r="C1689" s="2046"/>
      <c r="D1689" s="2047" t="str">
        <f>SNI!E1110</f>
        <v>Tukang batu</v>
      </c>
      <c r="E1689" s="2047"/>
      <c r="F1689" s="2048"/>
      <c r="G1689" s="2049">
        <f>SNI!H1110</f>
        <v>0.06</v>
      </c>
      <c r="H1689" s="2050" t="str">
        <f>SNI!G1110</f>
        <v>OH</v>
      </c>
      <c r="I1689" s="2142" t="s">
        <v>2012</v>
      </c>
      <c r="J1689" s="2051"/>
      <c r="K1689" s="2052">
        <f>SNI!L1110</f>
        <v>1</v>
      </c>
      <c r="L1689" s="2053"/>
      <c r="M1689" s="2054"/>
      <c r="N1689" s="2055">
        <f>SNI!I1110</f>
        <v>90000</v>
      </c>
      <c r="O1689" s="2056"/>
      <c r="P1689" s="1969">
        <f t="shared" si="1113"/>
        <v>5400</v>
      </c>
      <c r="Q1689" s="1953"/>
      <c r="R1689" s="1954"/>
      <c r="S1689" s="1954">
        <f t="shared" si="1114"/>
        <v>5400</v>
      </c>
      <c r="T1689" s="1969">
        <f t="shared" si="1115"/>
        <v>0</v>
      </c>
      <c r="U1689" s="2060"/>
      <c r="Z1689" s="1956"/>
      <c r="AA1689" s="1956"/>
      <c r="AF1689" s="1836"/>
      <c r="AG1689" s="1836"/>
      <c r="AH1689" s="1836"/>
      <c r="AI1689" s="1837"/>
      <c r="AJ1689" s="1960"/>
    </row>
    <row r="1690" spans="1:36" ht="21.95" customHeight="1" x14ac:dyDescent="0.2">
      <c r="B1690" s="2045"/>
      <c r="C1690" s="2046"/>
      <c r="D1690" s="2047" t="str">
        <f>SNI!E1111</f>
        <v>Kep.Tukang</v>
      </c>
      <c r="E1690" s="2047"/>
      <c r="F1690" s="2048"/>
      <c r="G1690" s="2049">
        <f>SNI!H1111</f>
        <v>6.0000000000000001E-3</v>
      </c>
      <c r="H1690" s="2050" t="str">
        <f>SNI!G1111</f>
        <v>OH</v>
      </c>
      <c r="I1690" s="2142" t="s">
        <v>2012</v>
      </c>
      <c r="J1690" s="2051"/>
      <c r="K1690" s="2052">
        <f>SNI!L1111</f>
        <v>1</v>
      </c>
      <c r="L1690" s="2053"/>
      <c r="M1690" s="2054"/>
      <c r="N1690" s="2055">
        <f>SNI!I1111</f>
        <v>96000</v>
      </c>
      <c r="O1690" s="2056"/>
      <c r="P1690" s="1969">
        <f t="shared" si="1113"/>
        <v>576</v>
      </c>
      <c r="Q1690" s="1953"/>
      <c r="R1690" s="1954"/>
      <c r="S1690" s="1954">
        <f t="shared" si="1114"/>
        <v>576</v>
      </c>
      <c r="T1690" s="1969">
        <f t="shared" si="1115"/>
        <v>0</v>
      </c>
      <c r="U1690" s="2060"/>
      <c r="Z1690" s="1956"/>
      <c r="AA1690" s="1956"/>
      <c r="AF1690" s="1836"/>
      <c r="AG1690" s="1836"/>
      <c r="AH1690" s="1836"/>
      <c r="AI1690" s="1837"/>
      <c r="AJ1690" s="1960"/>
    </row>
    <row r="1691" spans="1:36" ht="21.95" customHeight="1" x14ac:dyDescent="0.2">
      <c r="B1691" s="2045"/>
      <c r="C1691" s="2046"/>
      <c r="D1691" s="2047" t="str">
        <f>SNI!E1112</f>
        <v>Mandor</v>
      </c>
      <c r="E1691" s="2047"/>
      <c r="F1691" s="2048"/>
      <c r="G1691" s="2049">
        <f>SNI!H1112</f>
        <v>2E-3</v>
      </c>
      <c r="H1691" s="2050" t="str">
        <f>SNI!G1112</f>
        <v>OH</v>
      </c>
      <c r="I1691" s="2142" t="s">
        <v>2012</v>
      </c>
      <c r="J1691" s="2051"/>
      <c r="K1691" s="2052">
        <f>SNI!L1112</f>
        <v>1</v>
      </c>
      <c r="L1691" s="2053"/>
      <c r="M1691" s="2054"/>
      <c r="N1691" s="2055">
        <f>SNI!I1112</f>
        <v>90000</v>
      </c>
      <c r="O1691" s="2056"/>
      <c r="P1691" s="1969">
        <f t="shared" si="1113"/>
        <v>180</v>
      </c>
      <c r="Q1691" s="1953"/>
      <c r="R1691" s="1954"/>
      <c r="S1691" s="1954">
        <f t="shared" si="1114"/>
        <v>180</v>
      </c>
      <c r="T1691" s="1969">
        <f t="shared" si="1115"/>
        <v>0</v>
      </c>
      <c r="U1691" s="2060"/>
      <c r="Z1691" s="1956"/>
      <c r="AA1691" s="1956"/>
      <c r="AF1691" s="1836"/>
      <c r="AG1691" s="1836"/>
      <c r="AH1691" s="1836"/>
      <c r="AI1691" s="1837"/>
      <c r="AJ1691" s="1960"/>
    </row>
    <row r="1692" spans="1:36" s="1957" customFormat="1" ht="21.95" customHeight="1" x14ac:dyDescent="0.2">
      <c r="A1692" s="1942"/>
      <c r="B1692" s="1970"/>
      <c r="C1692" s="1971"/>
      <c r="D1692" s="1972"/>
      <c r="E1692" s="1973"/>
      <c r="F1692" s="1974" t="s">
        <v>556</v>
      </c>
      <c r="G1692" s="1975">
        <f>B1683</f>
        <v>2</v>
      </c>
      <c r="H1692" s="1976"/>
      <c r="I1692" s="1977"/>
      <c r="J1692" s="1977"/>
      <c r="K1692" s="1978"/>
      <c r="L1692" s="1979"/>
      <c r="M1692" s="1980"/>
      <c r="N1692" s="1981"/>
      <c r="O1692" s="1982"/>
      <c r="P1692" s="1983">
        <f>SUM(P1685:R1691)</f>
        <v>23827.3</v>
      </c>
      <c r="Q1692" s="1984"/>
      <c r="R1692" s="1985"/>
      <c r="S1692" s="1983">
        <f t="shared" ref="S1692" si="1116">SUM(S1685:U1691)</f>
        <v>23827.3</v>
      </c>
      <c r="T1692" s="1983">
        <f t="shared" ref="T1692" si="1117">SUM(T1685:V1691)</f>
        <v>1404.9310000000005</v>
      </c>
      <c r="U1692" s="1986"/>
      <c r="V1692" s="1848"/>
      <c r="W1692" s="1848"/>
      <c r="X1692" s="1848"/>
      <c r="Y1692" s="1848"/>
      <c r="Z1692" s="1956"/>
      <c r="AA1692" s="1956"/>
      <c r="AF1692" s="1958"/>
      <c r="AG1692" s="1958"/>
      <c r="AH1692" s="1958"/>
      <c r="AI1692" s="1959"/>
      <c r="AJ1692" s="1960"/>
    </row>
    <row r="1693" spans="1:36" ht="21.95" customHeight="1" x14ac:dyDescent="0.2">
      <c r="A1693" s="1833">
        <f>satpek!B75</f>
        <v>56</v>
      </c>
      <c r="B1693" s="1943">
        <f>B1683+1</f>
        <v>3</v>
      </c>
      <c r="C1693" s="1937"/>
      <c r="D1693" s="1944" t="str">
        <f>VLOOKUP($A1693,satpek!$B$20:$N$144,2,0)</f>
        <v>Memasang pipa PVC tipe AW diameter 1 1/2"</v>
      </c>
      <c r="E1693" s="1944"/>
      <c r="F1693" s="2004"/>
      <c r="G1693" s="1945">
        <f>'[3]B.VOL RAB'!Q585</f>
        <v>53</v>
      </c>
      <c r="H1693" s="1946" t="str">
        <f>VLOOKUP($A1693,satpek!$B$20:$N$144,7,0)</f>
        <v>m'</v>
      </c>
      <c r="I1693" s="1947"/>
      <c r="J1693" s="1947"/>
      <c r="K1693" s="1948"/>
      <c r="L1693" s="1949"/>
      <c r="M1693" s="1950" t="str">
        <f>VLOOKUP($A1693,satpek!$B$20:$N$144,5,0)</f>
        <v>A.5.1.1.28.</v>
      </c>
      <c r="N1693" s="1951">
        <f>VLOOKUP($A1693,satpek!$B$20:$N$144,6,0)</f>
        <v>49932.95</v>
      </c>
      <c r="O1693" s="1938"/>
      <c r="P1693" s="1952">
        <f t="shared" si="1101"/>
        <v>2646446.35</v>
      </c>
      <c r="Q1693" s="1953">
        <f>VLOOKUP($A1693,satpek!$B$20:$L$138,8,0)</f>
        <v>0.93377650720946315</v>
      </c>
      <c r="R1693" s="1954">
        <f>VLOOKUP($A1693,satpek!$B$20:$L$138,9,0)</f>
        <v>41262.136500000001</v>
      </c>
      <c r="S1693" s="1954">
        <f>VLOOKUP($A1693,satpek!$B$20:$L$138,10,0)</f>
        <v>46626.214245000003</v>
      </c>
      <c r="T1693" s="1952">
        <f>S1693*G1693</f>
        <v>2471189.3549850001</v>
      </c>
      <c r="U1693" s="1955"/>
      <c r="X1693" s="1848">
        <f>P1702</f>
        <v>44188.45</v>
      </c>
      <c r="Y1693" s="1848">
        <f>S1702</f>
        <v>44188.45</v>
      </c>
      <c r="Z1693" s="1956">
        <v>53</v>
      </c>
      <c r="AA1693" s="1956">
        <f t="shared" si="1099"/>
        <v>0</v>
      </c>
      <c r="AB1693" s="1836" t="s">
        <v>457</v>
      </c>
      <c r="AF1693" s="1836"/>
      <c r="AG1693" s="1836"/>
      <c r="AH1693" s="1836"/>
      <c r="AI1693" s="1837">
        <v>50987.3</v>
      </c>
      <c r="AJ1693" s="1960">
        <f t="shared" si="1100"/>
        <v>1054.3500000000058</v>
      </c>
    </row>
    <row r="1694" spans="1:36" ht="21.95" customHeight="1" x14ac:dyDescent="0.2">
      <c r="B1694" s="2045"/>
      <c r="C1694" s="1988" t="str">
        <f>SNI!D1126</f>
        <v>Bahan</v>
      </c>
      <c r="D1694" s="2047"/>
      <c r="E1694" s="2047"/>
      <c r="F1694" s="2048"/>
      <c r="G1694" s="2049"/>
      <c r="H1694" s="2050"/>
      <c r="I1694" s="2051"/>
      <c r="J1694" s="2051"/>
      <c r="K1694" s="2052"/>
      <c r="L1694" s="2053"/>
      <c r="M1694" s="2054"/>
      <c r="N1694" s="2055"/>
      <c r="O1694" s="2056"/>
      <c r="P1694" s="2057"/>
      <c r="Q1694" s="2058"/>
      <c r="R1694" s="2059"/>
      <c r="S1694" s="2059"/>
      <c r="T1694" s="2057"/>
      <c r="U1694" s="2060"/>
      <c r="Z1694" s="1956"/>
      <c r="AA1694" s="1956"/>
      <c r="AF1694" s="1836"/>
      <c r="AG1694" s="1836"/>
      <c r="AH1694" s="1836"/>
      <c r="AI1694" s="1837"/>
      <c r="AJ1694" s="1960"/>
    </row>
    <row r="1695" spans="1:36" ht="21.95" customHeight="1" x14ac:dyDescent="0.2">
      <c r="B1695" s="2045"/>
      <c r="C1695" s="1988"/>
      <c r="D1695" s="2047" t="str">
        <f>SNI!E1126</f>
        <v>Pipa PVC 1 1/2"</v>
      </c>
      <c r="E1695" s="2047"/>
      <c r="F1695" s="2048"/>
      <c r="G1695" s="2049">
        <f>SNI!H1126</f>
        <v>1.2</v>
      </c>
      <c r="H1695" s="2050" t="str">
        <f>SNI!G1126</f>
        <v>m</v>
      </c>
      <c r="I1695" s="2051"/>
      <c r="J1695" s="2051"/>
      <c r="K1695" s="2052">
        <f>SNI!L1126</f>
        <v>0.94769999999999999</v>
      </c>
      <c r="L1695" s="2053"/>
      <c r="M1695" s="2054"/>
      <c r="N1695" s="2055">
        <f>SNI!I1126</f>
        <v>19475</v>
      </c>
      <c r="O1695" s="2056"/>
      <c r="P1695" s="1969">
        <f t="shared" ref="P1695" si="1118">N1695*G1695</f>
        <v>23370</v>
      </c>
      <c r="Q1695" s="1953"/>
      <c r="R1695" s="1954"/>
      <c r="S1695" s="1954">
        <f t="shared" ref="S1695" si="1119">P1695*K1695</f>
        <v>22147.749</v>
      </c>
      <c r="T1695" s="1969">
        <f t="shared" ref="T1695" si="1120">P1695-S1695</f>
        <v>1222.2510000000002</v>
      </c>
      <c r="U1695" s="2060"/>
      <c r="Z1695" s="1956"/>
      <c r="AA1695" s="1956"/>
      <c r="AF1695" s="1836"/>
      <c r="AG1695" s="1836"/>
      <c r="AH1695" s="1836"/>
      <c r="AI1695" s="1837"/>
      <c r="AJ1695" s="1960"/>
    </row>
    <row r="1696" spans="1:36" ht="21.95" customHeight="1" x14ac:dyDescent="0.2">
      <c r="B1696" s="2045"/>
      <c r="C1696" s="1988"/>
      <c r="D1696" s="2047" t="str">
        <f>SNI!E1127</f>
        <v>Perlengkapan</v>
      </c>
      <c r="E1696" s="2047"/>
      <c r="F1696" s="2048"/>
      <c r="G1696" s="2049">
        <f>SNI!H1127</f>
        <v>1</v>
      </c>
      <c r="H1696" s="2050" t="str">
        <f>SNI!G1127</f>
        <v>bh</v>
      </c>
      <c r="I1696" s="2051"/>
      <c r="J1696" s="2051"/>
      <c r="K1696" s="2052">
        <f>SNI!L1127</f>
        <v>0.75</v>
      </c>
      <c r="L1696" s="2053"/>
      <c r="M1696" s="2054"/>
      <c r="N1696" s="2055">
        <f>SNI!I1127</f>
        <v>6816.25</v>
      </c>
      <c r="O1696" s="2056"/>
      <c r="P1696" s="1969">
        <f t="shared" ref="P1696:P1701" si="1121">N1696*G1696</f>
        <v>6816.25</v>
      </c>
      <c r="Q1696" s="1953"/>
      <c r="R1696" s="1954"/>
      <c r="S1696" s="1954">
        <f t="shared" ref="S1696:S1701" si="1122">P1696*K1696</f>
        <v>5112.1875</v>
      </c>
      <c r="T1696" s="1969">
        <f t="shared" ref="T1696:T1701" si="1123">P1696-S1696</f>
        <v>1704.0625</v>
      </c>
      <c r="U1696" s="2060"/>
      <c r="Z1696" s="1956"/>
      <c r="AA1696" s="1956"/>
      <c r="AF1696" s="1836"/>
      <c r="AG1696" s="1836"/>
      <c r="AH1696" s="1836"/>
      <c r="AI1696" s="1837"/>
      <c r="AJ1696" s="1960"/>
    </row>
    <row r="1697" spans="1:36" ht="21.95" customHeight="1" x14ac:dyDescent="0.2">
      <c r="B1697" s="2045"/>
      <c r="C1697" s="1988" t="str">
        <f>SNI!D1129</f>
        <v>Tenaga Kerja</v>
      </c>
      <c r="D1697" s="2047"/>
      <c r="E1697" s="2047"/>
      <c r="F1697" s="2048"/>
      <c r="G1697" s="2049"/>
      <c r="H1697" s="2050"/>
      <c r="I1697" s="2051"/>
      <c r="J1697" s="2051"/>
      <c r="K1697" s="2052"/>
      <c r="L1697" s="2053"/>
      <c r="M1697" s="2054"/>
      <c r="N1697" s="2055"/>
      <c r="O1697" s="2056"/>
      <c r="P1697" s="1969"/>
      <c r="Q1697" s="1953"/>
      <c r="R1697" s="1954"/>
      <c r="S1697" s="1954"/>
      <c r="T1697" s="1969"/>
      <c r="U1697" s="2060"/>
      <c r="Z1697" s="1956"/>
      <c r="AA1697" s="1956"/>
      <c r="AF1697" s="1836"/>
      <c r="AG1697" s="1836"/>
      <c r="AH1697" s="1836"/>
      <c r="AI1697" s="1837"/>
      <c r="AJ1697" s="1960"/>
    </row>
    <row r="1698" spans="1:36" ht="21.95" customHeight="1" x14ac:dyDescent="0.2">
      <c r="B1698" s="2045"/>
      <c r="C1698" s="1988"/>
      <c r="D1698" s="2047" t="str">
        <f>SNI!E1129</f>
        <v>Pekerja</v>
      </c>
      <c r="E1698" s="2047"/>
      <c r="F1698" s="2048"/>
      <c r="G1698" s="2049">
        <f>SNI!H1129</f>
        <v>5.3999999999999999E-2</v>
      </c>
      <c r="H1698" s="2050" t="str">
        <f>SNI!G1129</f>
        <v>OH</v>
      </c>
      <c r="I1698" s="2142" t="s">
        <v>2012</v>
      </c>
      <c r="J1698" s="2051"/>
      <c r="K1698" s="2052">
        <f>SNI!L1129</f>
        <v>1</v>
      </c>
      <c r="L1698" s="2053"/>
      <c r="M1698" s="2054"/>
      <c r="N1698" s="2055">
        <f>SNI!I1129</f>
        <v>88300</v>
      </c>
      <c r="O1698" s="2056"/>
      <c r="P1698" s="1969">
        <f t="shared" si="1121"/>
        <v>4768.2</v>
      </c>
      <c r="Q1698" s="1953"/>
      <c r="R1698" s="1954"/>
      <c r="S1698" s="1954">
        <f t="shared" si="1122"/>
        <v>4768.2</v>
      </c>
      <c r="T1698" s="1969">
        <f t="shared" si="1123"/>
        <v>0</v>
      </c>
      <c r="U1698" s="2060"/>
      <c r="Z1698" s="1956"/>
      <c r="AA1698" s="1956"/>
      <c r="AF1698" s="1836"/>
      <c r="AG1698" s="1836"/>
      <c r="AH1698" s="1836"/>
      <c r="AI1698" s="1837"/>
      <c r="AJ1698" s="1960"/>
    </row>
    <row r="1699" spans="1:36" ht="21.95" customHeight="1" x14ac:dyDescent="0.2">
      <c r="B1699" s="2045"/>
      <c r="C1699" s="1988"/>
      <c r="D1699" s="2047" t="str">
        <f>SNI!E1130</f>
        <v>Tukang batu</v>
      </c>
      <c r="E1699" s="2047"/>
      <c r="F1699" s="2048"/>
      <c r="G1699" s="2049">
        <f>SNI!H1130</f>
        <v>0.09</v>
      </c>
      <c r="H1699" s="2050" t="str">
        <f>SNI!G1130</f>
        <v>OH</v>
      </c>
      <c r="I1699" s="2142" t="s">
        <v>2012</v>
      </c>
      <c r="J1699" s="2051"/>
      <c r="K1699" s="2052">
        <f>SNI!L1130</f>
        <v>1</v>
      </c>
      <c r="L1699" s="2053"/>
      <c r="M1699" s="2054"/>
      <c r="N1699" s="2055">
        <f>SNI!I1130</f>
        <v>90000</v>
      </c>
      <c r="O1699" s="2056"/>
      <c r="P1699" s="1969">
        <f t="shared" si="1121"/>
        <v>8100</v>
      </c>
      <c r="Q1699" s="1953"/>
      <c r="R1699" s="1954"/>
      <c r="S1699" s="1954">
        <f t="shared" si="1122"/>
        <v>8100</v>
      </c>
      <c r="T1699" s="1969">
        <f t="shared" si="1123"/>
        <v>0</v>
      </c>
      <c r="U1699" s="2060"/>
      <c r="Z1699" s="1956"/>
      <c r="AA1699" s="1956"/>
      <c r="AF1699" s="1836"/>
      <c r="AG1699" s="1836"/>
      <c r="AH1699" s="1836"/>
      <c r="AI1699" s="1837"/>
      <c r="AJ1699" s="1960"/>
    </row>
    <row r="1700" spans="1:36" ht="21.95" customHeight="1" x14ac:dyDescent="0.2">
      <c r="B1700" s="2045"/>
      <c r="C1700" s="1988"/>
      <c r="D1700" s="2047" t="str">
        <f>SNI!E1131</f>
        <v>Kep.Tukang</v>
      </c>
      <c r="E1700" s="2047"/>
      <c r="F1700" s="2048"/>
      <c r="G1700" s="2049">
        <f>SNI!H1131</f>
        <v>8.9999999999999993E-3</v>
      </c>
      <c r="H1700" s="2050" t="str">
        <f>SNI!G1131</f>
        <v>OH</v>
      </c>
      <c r="I1700" s="2142" t="s">
        <v>2012</v>
      </c>
      <c r="J1700" s="2051"/>
      <c r="K1700" s="2052">
        <f>SNI!L1131</f>
        <v>1</v>
      </c>
      <c r="L1700" s="2053"/>
      <c r="M1700" s="2054"/>
      <c r="N1700" s="2055">
        <f>SNI!I1131</f>
        <v>96000</v>
      </c>
      <c r="O1700" s="2056"/>
      <c r="P1700" s="1969">
        <f t="shared" si="1121"/>
        <v>863.99999999999989</v>
      </c>
      <c r="Q1700" s="1953"/>
      <c r="R1700" s="1954"/>
      <c r="S1700" s="1954">
        <f t="shared" si="1122"/>
        <v>863.99999999999989</v>
      </c>
      <c r="T1700" s="1969">
        <f t="shared" si="1123"/>
        <v>0</v>
      </c>
      <c r="U1700" s="2060"/>
      <c r="Z1700" s="1956"/>
      <c r="AA1700" s="1956"/>
      <c r="AF1700" s="1836"/>
      <c r="AG1700" s="1836"/>
      <c r="AH1700" s="1836"/>
      <c r="AI1700" s="1837"/>
      <c r="AJ1700" s="1960"/>
    </row>
    <row r="1701" spans="1:36" ht="21.95" customHeight="1" x14ac:dyDescent="0.2">
      <c r="B1701" s="2045"/>
      <c r="C1701" s="1988"/>
      <c r="D1701" s="2047" t="str">
        <f>SNI!E1132</f>
        <v>Mandor</v>
      </c>
      <c r="E1701" s="2047"/>
      <c r="F1701" s="2048"/>
      <c r="G1701" s="2049">
        <f>SNI!H1132</f>
        <v>3.0000000000000001E-3</v>
      </c>
      <c r="H1701" s="2050" t="str">
        <f>SNI!G1132</f>
        <v>OH</v>
      </c>
      <c r="I1701" s="2142" t="s">
        <v>2012</v>
      </c>
      <c r="J1701" s="2051"/>
      <c r="K1701" s="2052">
        <f>SNI!L1132</f>
        <v>1</v>
      </c>
      <c r="L1701" s="2053"/>
      <c r="M1701" s="2054"/>
      <c r="N1701" s="2055">
        <f>SNI!I1132</f>
        <v>90000</v>
      </c>
      <c r="O1701" s="2056"/>
      <c r="P1701" s="1969">
        <f t="shared" si="1121"/>
        <v>270</v>
      </c>
      <c r="Q1701" s="1953"/>
      <c r="R1701" s="1954"/>
      <c r="S1701" s="1954">
        <f t="shared" si="1122"/>
        <v>270</v>
      </c>
      <c r="T1701" s="1969">
        <f t="shared" si="1123"/>
        <v>0</v>
      </c>
      <c r="U1701" s="2060"/>
      <c r="Z1701" s="1956"/>
      <c r="AA1701" s="1956"/>
      <c r="AF1701" s="1836"/>
      <c r="AG1701" s="1836"/>
      <c r="AH1701" s="1836"/>
      <c r="AI1701" s="1837"/>
      <c r="AJ1701" s="1960"/>
    </row>
    <row r="1702" spans="1:36" s="1957" customFormat="1" ht="21.95" customHeight="1" x14ac:dyDescent="0.2">
      <c r="A1702" s="1942"/>
      <c r="B1702" s="1970"/>
      <c r="C1702" s="1971"/>
      <c r="D1702" s="1972"/>
      <c r="E1702" s="1973"/>
      <c r="F1702" s="1974" t="s">
        <v>556</v>
      </c>
      <c r="G1702" s="1975">
        <f>B1693</f>
        <v>3</v>
      </c>
      <c r="H1702" s="1976"/>
      <c r="I1702" s="1977"/>
      <c r="J1702" s="1977"/>
      <c r="K1702" s="1978"/>
      <c r="L1702" s="1979"/>
      <c r="M1702" s="1980"/>
      <c r="N1702" s="1981"/>
      <c r="O1702" s="1982"/>
      <c r="P1702" s="1983">
        <f>SUM(P1695:R1701)</f>
        <v>44188.45</v>
      </c>
      <c r="Q1702" s="1984"/>
      <c r="R1702" s="1985"/>
      <c r="S1702" s="1983">
        <f t="shared" ref="S1702" si="1124">SUM(S1695:U1701)</f>
        <v>44188.45</v>
      </c>
      <c r="T1702" s="1983">
        <f t="shared" ref="T1702" si="1125">SUM(T1695:V1701)</f>
        <v>2926.3135000000002</v>
      </c>
      <c r="U1702" s="1986"/>
      <c r="V1702" s="1848"/>
      <c r="W1702" s="1848"/>
      <c r="X1702" s="1848"/>
      <c r="Y1702" s="1848"/>
      <c r="Z1702" s="1956"/>
      <c r="AA1702" s="1956"/>
      <c r="AF1702" s="1958"/>
      <c r="AG1702" s="1958"/>
      <c r="AH1702" s="1958"/>
      <c r="AI1702" s="1959"/>
      <c r="AJ1702" s="1960"/>
    </row>
    <row r="1703" spans="1:36" ht="21.95" customHeight="1" x14ac:dyDescent="0.2">
      <c r="A1703" s="1833">
        <f>satpek!$B$115</f>
        <v>96</v>
      </c>
      <c r="B1703" s="1943">
        <f>B1693+1</f>
        <v>4</v>
      </c>
      <c r="C1703" s="2033"/>
      <c r="D1703" s="1944" t="str">
        <f>VLOOKUP($A1703,satpek!$B$20:$N$144,2,0)</f>
        <v>Pemasangan stop kran PVC 1 1/2"</v>
      </c>
      <c r="E1703" s="1944"/>
      <c r="F1703" s="2004"/>
      <c r="G1703" s="1945">
        <f>'[3]B.VOL RAB'!Q586</f>
        <v>4</v>
      </c>
      <c r="H1703" s="1946" t="str">
        <f>VLOOKUP($A1703,satpek!$B$20:$N$144,7,0)</f>
        <v>bh</v>
      </c>
      <c r="I1703" s="1947"/>
      <c r="J1703" s="1947"/>
      <c r="K1703" s="1948"/>
      <c r="L1703" s="1949"/>
      <c r="M1703" s="1950" t="str">
        <f>VLOOKUP($A1703,satpek!$B$20:$N$144,5,0)</f>
        <v>Daftar harga</v>
      </c>
      <c r="N1703" s="1951">
        <f>VLOOKUP($A1703,satpek!$B$20:$N$144,6,0)</f>
        <v>159000</v>
      </c>
      <c r="O1703" s="1938"/>
      <c r="P1703" s="1952">
        <f t="shared" si="1101"/>
        <v>636000</v>
      </c>
      <c r="Q1703" s="1953">
        <f>VLOOKUP($A1703,satpek!$B$20:$L$138,8,0)</f>
        <v>0.2</v>
      </c>
      <c r="R1703" s="1954">
        <f>VLOOKUP($A1703,satpek!$B$20:$L$138,9,0)</f>
        <v>0</v>
      </c>
      <c r="S1703" s="1954">
        <f>VLOOKUP($A1703,satpek!$B$20:$L$138,10,0)</f>
        <v>31800</v>
      </c>
      <c r="T1703" s="1952">
        <f>S1703*G1703</f>
        <v>127200</v>
      </c>
      <c r="U1703" s="1955"/>
      <c r="X1703" s="1848">
        <f>P1704</f>
        <v>159000</v>
      </c>
      <c r="Y1703" s="1848">
        <f>S1704</f>
        <v>31800</v>
      </c>
      <c r="Z1703" s="1956">
        <v>4</v>
      </c>
      <c r="AA1703" s="1956">
        <f t="shared" si="1099"/>
        <v>0</v>
      </c>
      <c r="AB1703" s="1836" t="s">
        <v>1857</v>
      </c>
      <c r="AF1703" s="1836"/>
      <c r="AG1703" s="1836"/>
      <c r="AH1703" s="1836"/>
      <c r="AI1703" s="1837">
        <v>159520.72</v>
      </c>
      <c r="AJ1703" s="1960">
        <f t="shared" si="1100"/>
        <v>520.72000000000116</v>
      </c>
    </row>
    <row r="1704" spans="1:36" s="1957" customFormat="1" ht="21.95" customHeight="1" x14ac:dyDescent="0.2">
      <c r="A1704" s="1942"/>
      <c r="B1704" s="1970"/>
      <c r="C1704" s="1971"/>
      <c r="D1704" s="1972" t="str">
        <f>D1703</f>
        <v>Pemasangan stop kran PVC 1 1/2"</v>
      </c>
      <c r="E1704" s="1973"/>
      <c r="F1704" s="1974"/>
      <c r="G1704" s="1975">
        <f>G1703</f>
        <v>4</v>
      </c>
      <c r="H1704" s="1976" t="str">
        <f>H1703</f>
        <v>bh</v>
      </c>
      <c r="I1704" s="1977"/>
      <c r="J1704" s="1977"/>
      <c r="K1704" s="1978">
        <f>satpek!I115</f>
        <v>0.2</v>
      </c>
      <c r="L1704" s="1979"/>
      <c r="M1704" s="1980"/>
      <c r="N1704" s="1981">
        <f>N1703</f>
        <v>159000</v>
      </c>
      <c r="O1704" s="1982"/>
      <c r="P1704" s="1983">
        <f>N1704</f>
        <v>159000</v>
      </c>
      <c r="Q1704" s="1984"/>
      <c r="R1704" s="1985"/>
      <c r="S1704" s="1983">
        <f>K1704*N1704</f>
        <v>31800</v>
      </c>
      <c r="T1704" s="1983">
        <f>N1704-S1704</f>
        <v>127200</v>
      </c>
      <c r="U1704" s="1986"/>
      <c r="V1704" s="1848"/>
      <c r="W1704" s="1848"/>
      <c r="X1704" s="1848"/>
      <c r="Y1704" s="1848"/>
      <c r="Z1704" s="1956"/>
      <c r="AA1704" s="1956"/>
      <c r="AF1704" s="1958"/>
      <c r="AG1704" s="1958"/>
      <c r="AH1704" s="1958"/>
      <c r="AI1704" s="1959"/>
      <c r="AJ1704" s="1960"/>
    </row>
    <row r="1705" spans="1:36" ht="21.95" customHeight="1" x14ac:dyDescent="0.2">
      <c r="B1705" s="2162">
        <v>2</v>
      </c>
      <c r="C1705" s="2033"/>
      <c r="D1705" s="2034" t="s">
        <v>1858</v>
      </c>
      <c r="E1705" s="2035"/>
      <c r="F1705" s="2036"/>
      <c r="G1705" s="1945"/>
      <c r="H1705" s="2037"/>
      <c r="I1705" s="2038"/>
      <c r="J1705" s="2038"/>
      <c r="K1705" s="2039"/>
      <c r="L1705" s="2040"/>
      <c r="M1705" s="2040"/>
      <c r="N1705" s="1951"/>
      <c r="O1705" s="2041"/>
      <c r="P1705" s="2042"/>
      <c r="Q1705" s="2038"/>
      <c r="R1705" s="2038"/>
      <c r="S1705" s="2038"/>
      <c r="T1705" s="2043"/>
      <c r="U1705" s="2044"/>
      <c r="Z1705" s="1956"/>
      <c r="AA1705" s="1956">
        <f t="shared" si="1099"/>
        <v>0</v>
      </c>
      <c r="AB1705" s="1836" t="s">
        <v>1858</v>
      </c>
      <c r="AF1705" s="1836"/>
      <c r="AG1705" s="1836"/>
      <c r="AH1705" s="1836"/>
      <c r="AI1705" s="1837"/>
      <c r="AJ1705" s="1960">
        <f t="shared" si="1100"/>
        <v>0</v>
      </c>
    </row>
    <row r="1706" spans="1:36" ht="21.95" customHeight="1" x14ac:dyDescent="0.2">
      <c r="A1706" s="1833">
        <f>satpek!B75</f>
        <v>56</v>
      </c>
      <c r="B1706" s="1943">
        <v>1</v>
      </c>
      <c r="C1706" s="1937"/>
      <c r="D1706" s="1944" t="str">
        <f>VLOOKUP($A1706,satpek!$B$20:$N$144,2,0)</f>
        <v>Memasang pipa PVC tipe AW diameter 1 1/2"</v>
      </c>
      <c r="E1706" s="1944"/>
      <c r="F1706" s="2004"/>
      <c r="G1706" s="1945">
        <f>'[3]B.VOL RAB'!Q588</f>
        <v>4</v>
      </c>
      <c r="H1706" s="1946" t="str">
        <f>VLOOKUP($A1706,satpek!$B$20:$N$144,7,0)</f>
        <v>m'</v>
      </c>
      <c r="I1706" s="1947"/>
      <c r="J1706" s="1947"/>
      <c r="K1706" s="1948"/>
      <c r="L1706" s="1949"/>
      <c r="M1706" s="1950" t="str">
        <f>VLOOKUP($A1706,satpek!$B$20:$N$144,5,0)</f>
        <v>A.5.1.1.28.</v>
      </c>
      <c r="N1706" s="1951">
        <f>VLOOKUP($A1706,satpek!$B$20:$N$144,6,0)</f>
        <v>49932.95</v>
      </c>
      <c r="O1706" s="1938"/>
      <c r="P1706" s="1952">
        <f t="shared" ref="P1706:P1726" si="1126">ROUND((G1706*N1706),2)</f>
        <v>199731.8</v>
      </c>
      <c r="Q1706" s="1953">
        <f>VLOOKUP($A1706,satpek!$B$20:$L$138,8,0)</f>
        <v>0.93377650720946315</v>
      </c>
      <c r="R1706" s="1954">
        <f>VLOOKUP($A1706,satpek!$B$20:$L$138,9,0)</f>
        <v>41262.136500000001</v>
      </c>
      <c r="S1706" s="1954">
        <f>VLOOKUP($A1706,satpek!$B$20:$L$138,10,0)</f>
        <v>46626.214245000003</v>
      </c>
      <c r="T1706" s="1952">
        <f>S1706*G1706</f>
        <v>186504.85698000001</v>
      </c>
      <c r="U1706" s="1955"/>
      <c r="X1706" s="1848">
        <f>P1715</f>
        <v>44188.45</v>
      </c>
      <c r="Y1706" s="1848">
        <f>S1715</f>
        <v>44188.45</v>
      </c>
      <c r="Z1706" s="1956">
        <v>4</v>
      </c>
      <c r="AA1706" s="1956">
        <f t="shared" si="1099"/>
        <v>0</v>
      </c>
      <c r="AB1706" s="1836" t="s">
        <v>457</v>
      </c>
      <c r="AF1706" s="1836"/>
      <c r="AG1706" s="1836"/>
      <c r="AH1706" s="1836"/>
      <c r="AI1706" s="1837">
        <v>50987.3</v>
      </c>
      <c r="AJ1706" s="1960">
        <f t="shared" si="1100"/>
        <v>1054.3500000000058</v>
      </c>
    </row>
    <row r="1707" spans="1:36" ht="21.95" customHeight="1" x14ac:dyDescent="0.2">
      <c r="B1707" s="2045"/>
      <c r="C1707" s="2046" t="str">
        <f>SNI!D1126</f>
        <v>Bahan</v>
      </c>
      <c r="D1707" s="2047"/>
      <c r="E1707" s="2047"/>
      <c r="F1707" s="2048"/>
      <c r="G1707" s="2049"/>
      <c r="H1707" s="2050"/>
      <c r="I1707" s="2051"/>
      <c r="J1707" s="2051"/>
      <c r="K1707" s="2052"/>
      <c r="L1707" s="2053"/>
      <c r="M1707" s="2054"/>
      <c r="N1707" s="2055"/>
      <c r="O1707" s="2056"/>
      <c r="P1707" s="2057"/>
      <c r="Q1707" s="2058"/>
      <c r="R1707" s="2059"/>
      <c r="S1707" s="2059"/>
      <c r="T1707" s="2057"/>
      <c r="U1707" s="2060"/>
      <c r="Z1707" s="1956"/>
      <c r="AA1707" s="1956"/>
      <c r="AF1707" s="1836"/>
      <c r="AG1707" s="1836"/>
      <c r="AH1707" s="1836"/>
      <c r="AI1707" s="1837"/>
      <c r="AJ1707" s="1960"/>
    </row>
    <row r="1708" spans="1:36" ht="21.95" customHeight="1" x14ac:dyDescent="0.2">
      <c r="B1708" s="2045"/>
      <c r="C1708" s="2046"/>
      <c r="D1708" s="2047" t="str">
        <f>SNI!E1126</f>
        <v>Pipa PVC 1 1/2"</v>
      </c>
      <c r="E1708" s="2047"/>
      <c r="F1708" s="2048"/>
      <c r="G1708" s="2049">
        <f>SNI!H1126</f>
        <v>1.2</v>
      </c>
      <c r="H1708" s="2050" t="str">
        <f>SNI!G1126</f>
        <v>m</v>
      </c>
      <c r="I1708" s="2051"/>
      <c r="J1708" s="2051"/>
      <c r="K1708" s="2052">
        <f>SNI!L1126</f>
        <v>0.94769999999999999</v>
      </c>
      <c r="L1708" s="2053"/>
      <c r="M1708" s="2054"/>
      <c r="N1708" s="2055">
        <f>SNI!I1126</f>
        <v>19475</v>
      </c>
      <c r="O1708" s="2056"/>
      <c r="P1708" s="1969">
        <f t="shared" ref="P1708" si="1127">N1708*G1708</f>
        <v>23370</v>
      </c>
      <c r="Q1708" s="1953"/>
      <c r="R1708" s="1954"/>
      <c r="S1708" s="1954">
        <f t="shared" ref="S1708" si="1128">P1708*K1708</f>
        <v>22147.749</v>
      </c>
      <c r="T1708" s="1969">
        <f t="shared" ref="T1708" si="1129">P1708-S1708</f>
        <v>1222.2510000000002</v>
      </c>
      <c r="U1708" s="2060"/>
      <c r="Z1708" s="1956"/>
      <c r="AA1708" s="1956"/>
      <c r="AF1708" s="1836"/>
      <c r="AG1708" s="1836"/>
      <c r="AH1708" s="1836"/>
      <c r="AI1708" s="1837"/>
      <c r="AJ1708" s="1960"/>
    </row>
    <row r="1709" spans="1:36" ht="21.95" customHeight="1" x14ac:dyDescent="0.2">
      <c r="B1709" s="2045"/>
      <c r="C1709" s="2046"/>
      <c r="D1709" s="2047" t="str">
        <f>SNI!E1127</f>
        <v>Perlengkapan</v>
      </c>
      <c r="E1709" s="2047"/>
      <c r="F1709" s="2048"/>
      <c r="G1709" s="2049">
        <f>SNI!H1127</f>
        <v>1</v>
      </c>
      <c r="H1709" s="2050" t="str">
        <f>SNI!G1127</f>
        <v>bh</v>
      </c>
      <c r="I1709" s="2051"/>
      <c r="J1709" s="2051"/>
      <c r="K1709" s="2052">
        <f>SNI!L1127</f>
        <v>0.75</v>
      </c>
      <c r="L1709" s="2053"/>
      <c r="M1709" s="2054"/>
      <c r="N1709" s="2055">
        <f>SNI!I1127</f>
        <v>6816.25</v>
      </c>
      <c r="O1709" s="2056"/>
      <c r="P1709" s="1969">
        <f t="shared" ref="P1709:P1714" si="1130">N1709*G1709</f>
        <v>6816.25</v>
      </c>
      <c r="Q1709" s="1953"/>
      <c r="R1709" s="1954"/>
      <c r="S1709" s="1954">
        <f t="shared" ref="S1709:S1714" si="1131">P1709*K1709</f>
        <v>5112.1875</v>
      </c>
      <c r="T1709" s="1969">
        <f t="shared" ref="T1709:T1714" si="1132">P1709-S1709</f>
        <v>1704.0625</v>
      </c>
      <c r="U1709" s="2060"/>
      <c r="Z1709" s="1956"/>
      <c r="AA1709" s="1956"/>
      <c r="AF1709" s="1836"/>
      <c r="AG1709" s="1836"/>
      <c r="AH1709" s="1836"/>
      <c r="AI1709" s="1837"/>
      <c r="AJ1709" s="1960"/>
    </row>
    <row r="1710" spans="1:36" ht="21.95" customHeight="1" x14ac:dyDescent="0.2">
      <c r="B1710" s="2045"/>
      <c r="C1710" s="2046" t="str">
        <f>SNI!D1129</f>
        <v>Tenaga Kerja</v>
      </c>
      <c r="D1710" s="2047"/>
      <c r="E1710" s="2047"/>
      <c r="F1710" s="2048"/>
      <c r="G1710" s="2049"/>
      <c r="H1710" s="2050"/>
      <c r="I1710" s="2051"/>
      <c r="J1710" s="2051"/>
      <c r="K1710" s="2052"/>
      <c r="L1710" s="2053"/>
      <c r="M1710" s="2054"/>
      <c r="N1710" s="2055"/>
      <c r="O1710" s="2056"/>
      <c r="P1710" s="1969"/>
      <c r="Q1710" s="1953"/>
      <c r="R1710" s="1954"/>
      <c r="S1710" s="1954"/>
      <c r="T1710" s="1969"/>
      <c r="U1710" s="2060"/>
      <c r="Z1710" s="1956"/>
      <c r="AA1710" s="1956"/>
      <c r="AF1710" s="1836"/>
      <c r="AG1710" s="1836"/>
      <c r="AH1710" s="1836"/>
      <c r="AI1710" s="1837"/>
      <c r="AJ1710" s="1960"/>
    </row>
    <row r="1711" spans="1:36" ht="21.95" customHeight="1" x14ac:dyDescent="0.2">
      <c r="B1711" s="2045"/>
      <c r="C1711" s="2046"/>
      <c r="D1711" s="2047" t="str">
        <f>SNI!E1129</f>
        <v>Pekerja</v>
      </c>
      <c r="E1711" s="2047"/>
      <c r="F1711" s="2048"/>
      <c r="G1711" s="2049">
        <f>SNI!H1129</f>
        <v>5.3999999999999999E-2</v>
      </c>
      <c r="H1711" s="2050" t="str">
        <f>SNI!G1129</f>
        <v>OH</v>
      </c>
      <c r="I1711" s="2051" t="str">
        <f>SNI!M1129</f>
        <v>WNI</v>
      </c>
      <c r="J1711" s="2051"/>
      <c r="K1711" s="2052">
        <f>SNI!L1129</f>
        <v>1</v>
      </c>
      <c r="L1711" s="2053"/>
      <c r="M1711" s="2054"/>
      <c r="N1711" s="2055">
        <f>SNI!I1129</f>
        <v>88300</v>
      </c>
      <c r="O1711" s="2056"/>
      <c r="P1711" s="1969">
        <f t="shared" si="1130"/>
        <v>4768.2</v>
      </c>
      <c r="Q1711" s="1953"/>
      <c r="R1711" s="1954"/>
      <c r="S1711" s="1954">
        <f t="shared" si="1131"/>
        <v>4768.2</v>
      </c>
      <c r="T1711" s="1969">
        <f t="shared" si="1132"/>
        <v>0</v>
      </c>
      <c r="U1711" s="2060"/>
      <c r="Z1711" s="1956"/>
      <c r="AA1711" s="1956"/>
      <c r="AF1711" s="1836"/>
      <c r="AG1711" s="1836"/>
      <c r="AH1711" s="1836"/>
      <c r="AI1711" s="1837"/>
      <c r="AJ1711" s="1960"/>
    </row>
    <row r="1712" spans="1:36" ht="21.95" customHeight="1" x14ac:dyDescent="0.2">
      <c r="B1712" s="2045"/>
      <c r="C1712" s="2046"/>
      <c r="D1712" s="2047" t="str">
        <f>SNI!E1130</f>
        <v>Tukang batu</v>
      </c>
      <c r="E1712" s="2047"/>
      <c r="F1712" s="2048"/>
      <c r="G1712" s="2049">
        <f>SNI!H1130</f>
        <v>0.09</v>
      </c>
      <c r="H1712" s="2050" t="str">
        <f>SNI!G1130</f>
        <v>OH</v>
      </c>
      <c r="I1712" s="2051" t="str">
        <f>SNI!M1130</f>
        <v>WNI</v>
      </c>
      <c r="J1712" s="2051"/>
      <c r="K1712" s="2052">
        <f>SNI!L1130</f>
        <v>1</v>
      </c>
      <c r="L1712" s="2053"/>
      <c r="M1712" s="2054"/>
      <c r="N1712" s="2055">
        <f>SNI!I1130</f>
        <v>90000</v>
      </c>
      <c r="O1712" s="2056"/>
      <c r="P1712" s="1969">
        <f t="shared" si="1130"/>
        <v>8100</v>
      </c>
      <c r="Q1712" s="1953"/>
      <c r="R1712" s="1954"/>
      <c r="S1712" s="1954">
        <f t="shared" si="1131"/>
        <v>8100</v>
      </c>
      <c r="T1712" s="1969">
        <f t="shared" si="1132"/>
        <v>0</v>
      </c>
      <c r="U1712" s="2060"/>
      <c r="Z1712" s="1956"/>
      <c r="AA1712" s="1956"/>
      <c r="AF1712" s="1836"/>
      <c r="AG1712" s="1836"/>
      <c r="AH1712" s="1836"/>
      <c r="AI1712" s="1837"/>
      <c r="AJ1712" s="1960"/>
    </row>
    <row r="1713" spans="1:36" ht="21.95" customHeight="1" x14ac:dyDescent="0.2">
      <c r="B1713" s="2045"/>
      <c r="C1713" s="2046"/>
      <c r="D1713" s="2047" t="str">
        <f>SNI!E1131</f>
        <v>Kep.Tukang</v>
      </c>
      <c r="E1713" s="2047"/>
      <c r="F1713" s="2048"/>
      <c r="G1713" s="2049">
        <f>SNI!H1131</f>
        <v>8.9999999999999993E-3</v>
      </c>
      <c r="H1713" s="2050" t="str">
        <f>SNI!G1131</f>
        <v>OH</v>
      </c>
      <c r="I1713" s="2051" t="str">
        <f>SNI!M1131</f>
        <v>WNI</v>
      </c>
      <c r="J1713" s="2051"/>
      <c r="K1713" s="2052">
        <f>SNI!L1131</f>
        <v>1</v>
      </c>
      <c r="L1713" s="2053"/>
      <c r="M1713" s="2054"/>
      <c r="N1713" s="2055">
        <f>SNI!I1131</f>
        <v>96000</v>
      </c>
      <c r="O1713" s="2056"/>
      <c r="P1713" s="1969">
        <f t="shared" si="1130"/>
        <v>863.99999999999989</v>
      </c>
      <c r="Q1713" s="1953"/>
      <c r="R1713" s="1954"/>
      <c r="S1713" s="1954">
        <f t="shared" si="1131"/>
        <v>863.99999999999989</v>
      </c>
      <c r="T1713" s="1969">
        <f t="shared" si="1132"/>
        <v>0</v>
      </c>
      <c r="U1713" s="2060"/>
      <c r="Z1713" s="1956"/>
      <c r="AA1713" s="1956"/>
      <c r="AF1713" s="1836"/>
      <c r="AG1713" s="1836"/>
      <c r="AH1713" s="1836"/>
      <c r="AI1713" s="1837"/>
      <c r="AJ1713" s="1960"/>
    </row>
    <row r="1714" spans="1:36" ht="21.95" customHeight="1" x14ac:dyDescent="0.2">
      <c r="B1714" s="2045"/>
      <c r="C1714" s="2046"/>
      <c r="D1714" s="2047" t="str">
        <f>SNI!E1132</f>
        <v>Mandor</v>
      </c>
      <c r="E1714" s="2047"/>
      <c r="F1714" s="2048"/>
      <c r="G1714" s="2049">
        <f>SNI!H1132</f>
        <v>3.0000000000000001E-3</v>
      </c>
      <c r="H1714" s="2050" t="str">
        <f>SNI!G1132</f>
        <v>OH</v>
      </c>
      <c r="I1714" s="2051" t="str">
        <f>SNI!M1132</f>
        <v>WNI</v>
      </c>
      <c r="J1714" s="2051"/>
      <c r="K1714" s="2052">
        <f>SNI!L1132</f>
        <v>1</v>
      </c>
      <c r="L1714" s="2053"/>
      <c r="M1714" s="2054"/>
      <c r="N1714" s="2055">
        <f>SNI!I1132</f>
        <v>90000</v>
      </c>
      <c r="O1714" s="2056"/>
      <c r="P1714" s="1969">
        <f t="shared" si="1130"/>
        <v>270</v>
      </c>
      <c r="Q1714" s="1953"/>
      <c r="R1714" s="1954"/>
      <c r="S1714" s="1954">
        <f t="shared" si="1131"/>
        <v>270</v>
      </c>
      <c r="T1714" s="1969">
        <f t="shared" si="1132"/>
        <v>0</v>
      </c>
      <c r="U1714" s="2060"/>
      <c r="Z1714" s="1956"/>
      <c r="AA1714" s="1956"/>
      <c r="AF1714" s="1836"/>
      <c r="AG1714" s="1836"/>
      <c r="AH1714" s="1836"/>
      <c r="AI1714" s="1837"/>
      <c r="AJ1714" s="1960"/>
    </row>
    <row r="1715" spans="1:36" s="1957" customFormat="1" ht="21.95" customHeight="1" x14ac:dyDescent="0.2">
      <c r="A1715" s="1942"/>
      <c r="B1715" s="1970"/>
      <c r="C1715" s="1971"/>
      <c r="D1715" s="1972"/>
      <c r="E1715" s="1973"/>
      <c r="F1715" s="1974" t="s">
        <v>556</v>
      </c>
      <c r="G1715" s="1975">
        <f>B1706</f>
        <v>1</v>
      </c>
      <c r="H1715" s="1976"/>
      <c r="I1715" s="1977"/>
      <c r="J1715" s="1977"/>
      <c r="K1715" s="1978"/>
      <c r="L1715" s="1979"/>
      <c r="M1715" s="1980"/>
      <c r="N1715" s="1981"/>
      <c r="O1715" s="1982"/>
      <c r="P1715" s="1983">
        <f>SUM(P1708:R1714)</f>
        <v>44188.45</v>
      </c>
      <c r="Q1715" s="1984"/>
      <c r="R1715" s="1985"/>
      <c r="S1715" s="1983">
        <f t="shared" ref="S1715" si="1133">SUM(S1708:U1714)</f>
        <v>44188.45</v>
      </c>
      <c r="T1715" s="1983">
        <f t="shared" ref="T1715" si="1134">SUM(T1708:V1714)</f>
        <v>2926.3135000000002</v>
      </c>
      <c r="U1715" s="1986"/>
      <c r="V1715" s="1848"/>
      <c r="W1715" s="1848"/>
      <c r="X1715" s="1848"/>
      <c r="Y1715" s="1848"/>
      <c r="Z1715" s="1956"/>
      <c r="AA1715" s="1956"/>
      <c r="AF1715" s="1958"/>
      <c r="AG1715" s="1958"/>
      <c r="AH1715" s="1958"/>
      <c r="AI1715" s="1959"/>
      <c r="AJ1715" s="1960"/>
    </row>
    <row r="1716" spans="1:36" ht="21.95" customHeight="1" x14ac:dyDescent="0.2">
      <c r="A1716" s="1833">
        <f>satpek!B76</f>
        <v>57</v>
      </c>
      <c r="B1716" s="1943">
        <f>B1706+1</f>
        <v>2</v>
      </c>
      <c r="C1716" s="1937"/>
      <c r="D1716" s="1944" t="str">
        <f>VLOOKUP($A1716,satpek!$B$20:$N$144,2,0)</f>
        <v>Memasang pipa PVC tipe AW diameter 2"</v>
      </c>
      <c r="E1716" s="1944"/>
      <c r="F1716" s="2004"/>
      <c r="G1716" s="1945">
        <f>'[3]B.VOL RAB'!Q589</f>
        <v>12</v>
      </c>
      <c r="H1716" s="1946" t="str">
        <f>VLOOKUP($A1716,satpek!$B$20:$N$144,7,0)</f>
        <v>m'</v>
      </c>
      <c r="I1716" s="1947"/>
      <c r="J1716" s="1947"/>
      <c r="K1716" s="1948"/>
      <c r="L1716" s="1949"/>
      <c r="M1716" s="1950" t="str">
        <f>VLOOKUP($A1716,satpek!$B$20:$N$144,5,0)</f>
        <v>A.5.1.1.29.</v>
      </c>
      <c r="N1716" s="1951">
        <f>VLOOKUP($A1716,satpek!$B$20:$N$144,6,0)</f>
        <v>78438.61</v>
      </c>
      <c r="O1716" s="1938"/>
      <c r="P1716" s="1952">
        <f t="shared" si="1126"/>
        <v>941263.32</v>
      </c>
      <c r="Q1716" s="1953">
        <f>VLOOKUP($A1716,satpek!$B$20:$L$138,8,0)</f>
        <v>0.92261300560255965</v>
      </c>
      <c r="R1716" s="1954">
        <f>VLOOKUP($A1716,satpek!$B$20:$L$138,9,0)</f>
        <v>64042.904999999999</v>
      </c>
      <c r="S1716" s="1954">
        <f>VLOOKUP($A1716,satpek!$B$20:$L$138,10,0)</f>
        <v>72368.482649999991</v>
      </c>
      <c r="T1716" s="1952">
        <f>S1716*G1716</f>
        <v>868421.79179999989</v>
      </c>
      <c r="U1716" s="1955"/>
      <c r="X1716" s="1848">
        <f>P1725</f>
        <v>69414.7</v>
      </c>
      <c r="Y1716" s="1848">
        <f>S1725</f>
        <v>69414.7</v>
      </c>
      <c r="Z1716" s="1956">
        <v>12</v>
      </c>
      <c r="AA1716" s="1956">
        <f t="shared" si="1099"/>
        <v>0</v>
      </c>
      <c r="AB1716" s="1836" t="s">
        <v>458</v>
      </c>
      <c r="AF1716" s="1836"/>
      <c r="AG1716" s="1836"/>
      <c r="AH1716" s="1836"/>
      <c r="AI1716" s="1837">
        <v>80780.31</v>
      </c>
      <c r="AJ1716" s="1960">
        <f t="shared" si="1100"/>
        <v>2341.6999999999971</v>
      </c>
    </row>
    <row r="1717" spans="1:36" ht="21.95" customHeight="1" x14ac:dyDescent="0.2">
      <c r="B1717" s="2045"/>
      <c r="C1717" s="2046" t="str">
        <f>SNI!D1145</f>
        <v>Bahan</v>
      </c>
      <c r="D1717" s="2047"/>
      <c r="E1717" s="2047"/>
      <c r="F1717" s="2048"/>
      <c r="G1717" s="2049"/>
      <c r="H1717" s="2050"/>
      <c r="I1717" s="2051"/>
      <c r="J1717" s="2051"/>
      <c r="K1717" s="2052"/>
      <c r="L1717" s="2053"/>
      <c r="M1717" s="2054"/>
      <c r="N1717" s="2055"/>
      <c r="O1717" s="2056"/>
      <c r="P1717" s="2057"/>
      <c r="Q1717" s="2058"/>
      <c r="R1717" s="2059"/>
      <c r="S1717" s="2059"/>
      <c r="T1717" s="2057"/>
      <c r="U1717" s="2060"/>
      <c r="Z1717" s="1956"/>
      <c r="AA1717" s="1956"/>
      <c r="AF1717" s="1836"/>
      <c r="AG1717" s="1836"/>
      <c r="AH1717" s="1836"/>
      <c r="AI1717" s="1837"/>
      <c r="AJ1717" s="1960"/>
    </row>
    <row r="1718" spans="1:36" ht="21.95" customHeight="1" x14ac:dyDescent="0.2">
      <c r="B1718" s="2045"/>
      <c r="C1718" s="2046"/>
      <c r="D1718" s="2047" t="str">
        <f>SNI!E1145</f>
        <v>Pipa PVC 2"</v>
      </c>
      <c r="E1718" s="2047"/>
      <c r="F1718" s="2048"/>
      <c r="G1718" s="2049">
        <f>SNI!H1145</f>
        <v>1.2</v>
      </c>
      <c r="H1718" s="2050" t="str">
        <f>SNI!G1145</f>
        <v>m</v>
      </c>
      <c r="I1718" s="2051"/>
      <c r="J1718" s="2051"/>
      <c r="K1718" s="2052">
        <f>SNI!L1145</f>
        <v>0.94769999999999999</v>
      </c>
      <c r="L1718" s="2053"/>
      <c r="M1718" s="2054"/>
      <c r="N1718" s="2055">
        <f>SNI!I1145</f>
        <v>35750</v>
      </c>
      <c r="O1718" s="2056"/>
      <c r="P1718" s="1969">
        <f t="shared" ref="P1718" si="1135">N1718*G1718</f>
        <v>42900</v>
      </c>
      <c r="Q1718" s="1953"/>
      <c r="R1718" s="1954"/>
      <c r="S1718" s="1954">
        <f t="shared" ref="S1718" si="1136">P1718*K1718</f>
        <v>40656.33</v>
      </c>
      <c r="T1718" s="1969">
        <f t="shared" ref="T1718" si="1137">P1718-S1718</f>
        <v>2243.6699999999983</v>
      </c>
      <c r="U1718" s="2060"/>
      <c r="Z1718" s="1956"/>
      <c r="AA1718" s="1956"/>
      <c r="AF1718" s="1836"/>
      <c r="AG1718" s="1836"/>
      <c r="AH1718" s="1836"/>
      <c r="AI1718" s="1837"/>
      <c r="AJ1718" s="1960"/>
    </row>
    <row r="1719" spans="1:36" ht="21.95" customHeight="1" x14ac:dyDescent="0.2">
      <c r="B1719" s="2045"/>
      <c r="C1719" s="2046"/>
      <c r="D1719" s="2047" t="str">
        <f>SNI!E1146</f>
        <v>Perlengkapan</v>
      </c>
      <c r="E1719" s="2047"/>
      <c r="F1719" s="2048"/>
      <c r="G1719" s="2049">
        <f>SNI!H1146</f>
        <v>1</v>
      </c>
      <c r="H1719" s="2050" t="str">
        <f>SNI!G1146</f>
        <v>bh</v>
      </c>
      <c r="I1719" s="2051"/>
      <c r="J1719" s="2051"/>
      <c r="K1719" s="2052">
        <f>SNI!L1146</f>
        <v>0.75</v>
      </c>
      <c r="L1719" s="2053"/>
      <c r="M1719" s="2054"/>
      <c r="N1719" s="2055">
        <f>SNI!I1146</f>
        <v>12512.5</v>
      </c>
      <c r="O1719" s="2056"/>
      <c r="P1719" s="1969">
        <f t="shared" ref="P1719:P1724" si="1138">N1719*G1719</f>
        <v>12512.5</v>
      </c>
      <c r="Q1719" s="1953"/>
      <c r="R1719" s="1954"/>
      <c r="S1719" s="1954">
        <f t="shared" ref="S1719:S1724" si="1139">P1719*K1719</f>
        <v>9384.375</v>
      </c>
      <c r="T1719" s="1969">
        <f t="shared" ref="T1719:T1724" si="1140">P1719-S1719</f>
        <v>3128.125</v>
      </c>
      <c r="U1719" s="2060"/>
      <c r="Z1719" s="1956"/>
      <c r="AA1719" s="1956"/>
      <c r="AF1719" s="1836"/>
      <c r="AG1719" s="1836"/>
      <c r="AH1719" s="1836"/>
      <c r="AI1719" s="1837"/>
      <c r="AJ1719" s="1960"/>
    </row>
    <row r="1720" spans="1:36" ht="21.95" customHeight="1" x14ac:dyDescent="0.2">
      <c r="B1720" s="2045"/>
      <c r="C1720" s="2046" t="str">
        <f>SNI!D1148</f>
        <v>Tenaga Kerja</v>
      </c>
      <c r="D1720" s="2047"/>
      <c r="E1720" s="2047"/>
      <c r="F1720" s="2048"/>
      <c r="G1720" s="2049"/>
      <c r="H1720" s="2050"/>
      <c r="I1720" s="2051"/>
      <c r="J1720" s="2051"/>
      <c r="K1720" s="2052"/>
      <c r="L1720" s="2053"/>
      <c r="M1720" s="2054"/>
      <c r="N1720" s="2055"/>
      <c r="O1720" s="2056"/>
      <c r="P1720" s="1969"/>
      <c r="Q1720" s="1953"/>
      <c r="R1720" s="1954"/>
      <c r="S1720" s="1954"/>
      <c r="T1720" s="1969"/>
      <c r="U1720" s="2060"/>
      <c r="Z1720" s="1956"/>
      <c r="AA1720" s="1956"/>
      <c r="AF1720" s="1836"/>
      <c r="AG1720" s="1836"/>
      <c r="AH1720" s="1836"/>
      <c r="AI1720" s="1837"/>
      <c r="AJ1720" s="1960"/>
    </row>
    <row r="1721" spans="1:36" ht="21.95" customHeight="1" x14ac:dyDescent="0.2">
      <c r="B1721" s="2045"/>
      <c r="C1721" s="2046"/>
      <c r="D1721" s="2047" t="str">
        <f>SNI!E1148</f>
        <v>Pekerja</v>
      </c>
      <c r="E1721" s="2047"/>
      <c r="F1721" s="2048"/>
      <c r="G1721" s="2049">
        <f>SNI!H1148</f>
        <v>5.3999999999999999E-2</v>
      </c>
      <c r="H1721" s="2050" t="str">
        <f>SNI!G1148</f>
        <v>OH</v>
      </c>
      <c r="I1721" s="2051" t="str">
        <f>SNI!M1148</f>
        <v>WNI</v>
      </c>
      <c r="J1721" s="2051"/>
      <c r="K1721" s="2052">
        <f>SNI!L1148</f>
        <v>1</v>
      </c>
      <c r="L1721" s="2053"/>
      <c r="M1721" s="2054"/>
      <c r="N1721" s="2055">
        <f>SNI!I1148</f>
        <v>88300</v>
      </c>
      <c r="O1721" s="2056"/>
      <c r="P1721" s="1969">
        <f t="shared" si="1138"/>
        <v>4768.2</v>
      </c>
      <c r="Q1721" s="1953"/>
      <c r="R1721" s="1954"/>
      <c r="S1721" s="1954">
        <f t="shared" si="1139"/>
        <v>4768.2</v>
      </c>
      <c r="T1721" s="1969">
        <f t="shared" si="1140"/>
        <v>0</v>
      </c>
      <c r="U1721" s="2060"/>
      <c r="Z1721" s="1956"/>
      <c r="AA1721" s="1956"/>
      <c r="AF1721" s="1836"/>
      <c r="AG1721" s="1836"/>
      <c r="AH1721" s="1836"/>
      <c r="AI1721" s="1837"/>
      <c r="AJ1721" s="1960"/>
    </row>
    <row r="1722" spans="1:36" ht="21.95" customHeight="1" x14ac:dyDescent="0.2">
      <c r="B1722" s="2045"/>
      <c r="C1722" s="2046"/>
      <c r="D1722" s="2047" t="str">
        <f>SNI!E1149</f>
        <v>Tukang batu</v>
      </c>
      <c r="E1722" s="2047"/>
      <c r="F1722" s="2048"/>
      <c r="G1722" s="2049">
        <f>SNI!H1149</f>
        <v>0.09</v>
      </c>
      <c r="H1722" s="2050" t="str">
        <f>SNI!G1149</f>
        <v>OH</v>
      </c>
      <c r="I1722" s="2051" t="str">
        <f>SNI!M1149</f>
        <v>WNI</v>
      </c>
      <c r="J1722" s="2051"/>
      <c r="K1722" s="2052">
        <f>SNI!L1149</f>
        <v>1</v>
      </c>
      <c r="L1722" s="2053"/>
      <c r="M1722" s="2054"/>
      <c r="N1722" s="2055">
        <f>SNI!I1149</f>
        <v>90000</v>
      </c>
      <c r="O1722" s="2056"/>
      <c r="P1722" s="1969">
        <f t="shared" si="1138"/>
        <v>8100</v>
      </c>
      <c r="Q1722" s="1953"/>
      <c r="R1722" s="1954"/>
      <c r="S1722" s="1954">
        <f t="shared" si="1139"/>
        <v>8100</v>
      </c>
      <c r="T1722" s="1969">
        <f t="shared" si="1140"/>
        <v>0</v>
      </c>
      <c r="U1722" s="2060"/>
      <c r="Z1722" s="1956"/>
      <c r="AA1722" s="1956"/>
      <c r="AF1722" s="1836"/>
      <c r="AG1722" s="1836"/>
      <c r="AH1722" s="1836"/>
      <c r="AI1722" s="1837"/>
      <c r="AJ1722" s="1960"/>
    </row>
    <row r="1723" spans="1:36" ht="21.95" customHeight="1" x14ac:dyDescent="0.2">
      <c r="B1723" s="2045"/>
      <c r="C1723" s="2046"/>
      <c r="D1723" s="2047" t="str">
        <f>SNI!E1150</f>
        <v>Kep.Tukang</v>
      </c>
      <c r="E1723" s="2047"/>
      <c r="F1723" s="2048"/>
      <c r="G1723" s="2049">
        <f>SNI!H1150</f>
        <v>9.0000000000000011E-3</v>
      </c>
      <c r="H1723" s="2050" t="str">
        <f>SNI!G1150</f>
        <v>OH</v>
      </c>
      <c r="I1723" s="2051" t="str">
        <f>SNI!M1150</f>
        <v>WNI</v>
      </c>
      <c r="J1723" s="2051"/>
      <c r="K1723" s="2052">
        <f>SNI!L1150</f>
        <v>1</v>
      </c>
      <c r="L1723" s="2053"/>
      <c r="M1723" s="2054"/>
      <c r="N1723" s="2055">
        <f>SNI!I1150</f>
        <v>96000</v>
      </c>
      <c r="O1723" s="2056"/>
      <c r="P1723" s="1969">
        <f t="shared" si="1138"/>
        <v>864.00000000000011</v>
      </c>
      <c r="Q1723" s="1953"/>
      <c r="R1723" s="1954"/>
      <c r="S1723" s="1954">
        <f t="shared" si="1139"/>
        <v>864.00000000000011</v>
      </c>
      <c r="T1723" s="1969">
        <f t="shared" si="1140"/>
        <v>0</v>
      </c>
      <c r="U1723" s="2060"/>
      <c r="Z1723" s="1956"/>
      <c r="AA1723" s="1956"/>
      <c r="AF1723" s="1836"/>
      <c r="AG1723" s="1836"/>
      <c r="AH1723" s="1836"/>
      <c r="AI1723" s="1837"/>
      <c r="AJ1723" s="1960"/>
    </row>
    <row r="1724" spans="1:36" ht="21.95" customHeight="1" x14ac:dyDescent="0.2">
      <c r="B1724" s="2045"/>
      <c r="C1724" s="2046"/>
      <c r="D1724" s="2047" t="str">
        <f>SNI!E1151</f>
        <v>Mandor</v>
      </c>
      <c r="E1724" s="2047"/>
      <c r="F1724" s="2048"/>
      <c r="G1724" s="2049">
        <f>SNI!H1151</f>
        <v>3.0000000000000001E-3</v>
      </c>
      <c r="H1724" s="2050" t="str">
        <f>SNI!G1151</f>
        <v>OH</v>
      </c>
      <c r="I1724" s="2051" t="str">
        <f>SNI!M1151</f>
        <v>WNI</v>
      </c>
      <c r="J1724" s="2051"/>
      <c r="K1724" s="2052">
        <f>SNI!L1151</f>
        <v>1</v>
      </c>
      <c r="L1724" s="2053"/>
      <c r="M1724" s="2054"/>
      <c r="N1724" s="2055">
        <f>SNI!I1151</f>
        <v>90000</v>
      </c>
      <c r="O1724" s="2056"/>
      <c r="P1724" s="1969">
        <f t="shared" si="1138"/>
        <v>270</v>
      </c>
      <c r="Q1724" s="1953"/>
      <c r="R1724" s="1954"/>
      <c r="S1724" s="1954">
        <f t="shared" si="1139"/>
        <v>270</v>
      </c>
      <c r="T1724" s="1969">
        <f t="shared" si="1140"/>
        <v>0</v>
      </c>
      <c r="U1724" s="2060"/>
      <c r="Z1724" s="1956"/>
      <c r="AA1724" s="1956"/>
      <c r="AF1724" s="1836"/>
      <c r="AG1724" s="1836"/>
      <c r="AH1724" s="1836"/>
      <c r="AI1724" s="1837"/>
      <c r="AJ1724" s="1960"/>
    </row>
    <row r="1725" spans="1:36" s="1957" customFormat="1" ht="21.95" customHeight="1" x14ac:dyDescent="0.2">
      <c r="A1725" s="1942"/>
      <c r="B1725" s="1970"/>
      <c r="C1725" s="1971"/>
      <c r="D1725" s="1972"/>
      <c r="E1725" s="1973"/>
      <c r="F1725" s="1974" t="s">
        <v>556</v>
      </c>
      <c r="G1725" s="1975">
        <f>B1716</f>
        <v>2</v>
      </c>
      <c r="H1725" s="1976"/>
      <c r="I1725" s="1977"/>
      <c r="J1725" s="1977"/>
      <c r="K1725" s="1978"/>
      <c r="L1725" s="1979"/>
      <c r="M1725" s="1980"/>
      <c r="N1725" s="1981"/>
      <c r="O1725" s="1982"/>
      <c r="P1725" s="1983">
        <f>SUM(P1718:R1724)</f>
        <v>69414.7</v>
      </c>
      <c r="Q1725" s="1984"/>
      <c r="R1725" s="1985"/>
      <c r="S1725" s="1983">
        <f t="shared" ref="S1725" si="1141">SUM(S1718:U1724)</f>
        <v>69414.7</v>
      </c>
      <c r="T1725" s="1983">
        <f t="shared" ref="T1725" si="1142">SUM(T1718:V1724)</f>
        <v>5371.7949999999983</v>
      </c>
      <c r="U1725" s="1986"/>
      <c r="V1725" s="1848"/>
      <c r="W1725" s="1848"/>
      <c r="X1725" s="1848"/>
      <c r="Y1725" s="1848"/>
      <c r="Z1725" s="1956"/>
      <c r="AA1725" s="1956"/>
      <c r="AF1725" s="1958"/>
      <c r="AG1725" s="1958"/>
      <c r="AH1725" s="1958"/>
      <c r="AI1725" s="1959"/>
      <c r="AJ1725" s="1960"/>
    </row>
    <row r="1726" spans="1:36" ht="21.95" customHeight="1" x14ac:dyDescent="0.2">
      <c r="A1726" s="1833">
        <f>satpek!B78</f>
        <v>59</v>
      </c>
      <c r="B1726" s="1943">
        <f>B1716+1</f>
        <v>3</v>
      </c>
      <c r="C1726" s="1937"/>
      <c r="D1726" s="1944" t="str">
        <f>VLOOKUP($A1726,satpek!$B$20:$N$144,2,0)</f>
        <v>Memasang pipa PVC tipe AW diameter 3"</v>
      </c>
      <c r="E1726" s="1944"/>
      <c r="F1726" s="2004"/>
      <c r="G1726" s="1945">
        <f>'[3]B.VOL RAB'!Q590</f>
        <v>24</v>
      </c>
      <c r="H1726" s="1946" t="str">
        <f>VLOOKUP($A1726,satpek!$B$20:$N$144,7,0)</f>
        <v>m'</v>
      </c>
      <c r="I1726" s="1947"/>
      <c r="J1726" s="1947"/>
      <c r="K1726" s="1948"/>
      <c r="L1726" s="1949"/>
      <c r="M1726" s="1950" t="str">
        <f>VLOOKUP($A1726,satpek!$B$20:$N$144,5,0)</f>
        <v>A.5.1.1.31.</v>
      </c>
      <c r="N1726" s="1951">
        <f>VLOOKUP($A1726,satpek!$B$20:$N$144,6,0)</f>
        <v>103284.6</v>
      </c>
      <c r="O1726" s="1938"/>
      <c r="P1726" s="1952">
        <f t="shared" si="1126"/>
        <v>2478830.4</v>
      </c>
      <c r="Q1726" s="1953">
        <f>VLOOKUP($A1726,satpek!$B$20:$L$138,8,0)</f>
        <v>0.92520067875753675</v>
      </c>
      <c r="R1726" s="1954">
        <f>VLOOKUP($A1726,satpek!$B$20:$L$138,9,0)</f>
        <v>84565.47</v>
      </c>
      <c r="S1726" s="1954">
        <f>VLOOKUP($A1726,satpek!$B$20:$L$138,10,0)</f>
        <v>95558.981100000005</v>
      </c>
      <c r="T1726" s="1952">
        <f>S1726*G1726</f>
        <v>2293415.5464000003</v>
      </c>
      <c r="U1726" s="1955"/>
      <c r="X1726" s="1848">
        <f>P1735</f>
        <v>91402.3</v>
      </c>
      <c r="Y1726" s="1848">
        <f>S1735</f>
        <v>91402.3</v>
      </c>
      <c r="Z1726" s="1956">
        <v>24</v>
      </c>
      <c r="AA1726" s="1956">
        <f t="shared" si="1099"/>
        <v>0</v>
      </c>
      <c r="AB1726" s="1836" t="s">
        <v>459</v>
      </c>
      <c r="AF1726" s="1836"/>
      <c r="AG1726" s="1836"/>
      <c r="AH1726" s="1836"/>
      <c r="AI1726" s="1837">
        <v>106247.69</v>
      </c>
      <c r="AJ1726" s="1960">
        <f t="shared" si="1100"/>
        <v>2963.0899999999965</v>
      </c>
    </row>
    <row r="1727" spans="1:36" ht="21.95" customHeight="1" x14ac:dyDescent="0.2">
      <c r="B1727" s="2045"/>
      <c r="C1727" s="1988" t="str">
        <f>SNI!D1183</f>
        <v>Bahan</v>
      </c>
      <c r="D1727" s="1989"/>
      <c r="E1727" s="1989"/>
      <c r="F1727" s="1990"/>
      <c r="G1727" s="2049"/>
      <c r="H1727" s="1992"/>
      <c r="I1727" s="1993"/>
      <c r="J1727" s="1993"/>
      <c r="K1727" s="1994"/>
      <c r="L1727" s="1995"/>
      <c r="M1727" s="1996"/>
      <c r="N1727" s="2055"/>
      <c r="O1727" s="1998"/>
      <c r="P1727" s="1999"/>
      <c r="Q1727" s="2000"/>
      <c r="R1727" s="2001"/>
      <c r="S1727" s="2001"/>
      <c r="T1727" s="1997"/>
      <c r="U1727" s="2002"/>
      <c r="Z1727" s="1956"/>
      <c r="AA1727" s="1956"/>
      <c r="AF1727" s="1836"/>
      <c r="AG1727" s="1836"/>
      <c r="AH1727" s="1836"/>
      <c r="AI1727" s="1837"/>
      <c r="AJ1727" s="1960"/>
    </row>
    <row r="1728" spans="1:36" ht="21.95" customHeight="1" x14ac:dyDescent="0.2">
      <c r="B1728" s="2045"/>
      <c r="C1728" s="1988"/>
      <c r="D1728" s="1989" t="str">
        <f>SNI!E1183</f>
        <v>Pipa PVC 3"</v>
      </c>
      <c r="E1728" s="1989"/>
      <c r="F1728" s="1990"/>
      <c r="G1728" s="2049">
        <f>SNI!H1183</f>
        <v>1.2</v>
      </c>
      <c r="H1728" s="1992" t="str">
        <f>SNI!G1183</f>
        <v>m</v>
      </c>
      <c r="I1728" s="1993"/>
      <c r="J1728" s="1993"/>
      <c r="K1728" s="1994">
        <f>SNI!L1183</f>
        <v>0.94769999999999999</v>
      </c>
      <c r="L1728" s="1995"/>
      <c r="M1728" s="1996"/>
      <c r="N1728" s="2055">
        <f>SNI!I1183</f>
        <v>45500</v>
      </c>
      <c r="O1728" s="1998"/>
      <c r="P1728" s="1969">
        <f t="shared" ref="P1728" si="1143">N1728*G1728</f>
        <v>54600</v>
      </c>
      <c r="Q1728" s="1953"/>
      <c r="R1728" s="1954"/>
      <c r="S1728" s="1954">
        <f t="shared" ref="S1728" si="1144">P1728*K1728</f>
        <v>51744.42</v>
      </c>
      <c r="T1728" s="1969">
        <f t="shared" ref="T1728" si="1145">P1728-S1728</f>
        <v>2855.5800000000017</v>
      </c>
      <c r="U1728" s="2002"/>
      <c r="Z1728" s="1956"/>
      <c r="AA1728" s="1956"/>
      <c r="AF1728" s="1836"/>
      <c r="AG1728" s="1836"/>
      <c r="AH1728" s="1836"/>
      <c r="AI1728" s="1837"/>
      <c r="AJ1728" s="1960"/>
    </row>
    <row r="1729" spans="1:36" ht="21.95" customHeight="1" x14ac:dyDescent="0.2">
      <c r="B1729" s="2045"/>
      <c r="C1729" s="1988"/>
      <c r="D1729" s="1989" t="str">
        <f>SNI!E1184</f>
        <v>Perlengkapan</v>
      </c>
      <c r="E1729" s="1989"/>
      <c r="F1729" s="1990"/>
      <c r="G1729" s="2049">
        <f>SNI!H1184</f>
        <v>1</v>
      </c>
      <c r="H1729" s="1992" t="str">
        <f>SNI!G1184</f>
        <v>bh</v>
      </c>
      <c r="I1729" s="1993"/>
      <c r="J1729" s="1993"/>
      <c r="K1729" s="1994">
        <f>SNI!L1184</f>
        <v>0.75</v>
      </c>
      <c r="L1729" s="1995"/>
      <c r="M1729" s="1996"/>
      <c r="N1729" s="2055">
        <f>SNI!I1184</f>
        <v>15924.999999999998</v>
      </c>
      <c r="O1729" s="1998"/>
      <c r="P1729" s="1969">
        <f t="shared" ref="P1729:P1734" si="1146">N1729*G1729</f>
        <v>15924.999999999998</v>
      </c>
      <c r="Q1729" s="1953"/>
      <c r="R1729" s="1954"/>
      <c r="S1729" s="1954">
        <f t="shared" ref="S1729:S1734" si="1147">P1729*K1729</f>
        <v>11943.749999999998</v>
      </c>
      <c r="T1729" s="1969">
        <f t="shared" ref="T1729:T1734" si="1148">P1729-S1729</f>
        <v>3981.25</v>
      </c>
      <c r="U1729" s="2002"/>
      <c r="Z1729" s="1956"/>
      <c r="AA1729" s="1956"/>
      <c r="AF1729" s="1836"/>
      <c r="AG1729" s="1836"/>
      <c r="AH1729" s="1836"/>
      <c r="AI1729" s="1837"/>
      <c r="AJ1729" s="1960"/>
    </row>
    <row r="1730" spans="1:36" ht="21.95" customHeight="1" x14ac:dyDescent="0.2">
      <c r="B1730" s="2045"/>
      <c r="C1730" s="1988" t="str">
        <f>SNI!D1186</f>
        <v>Tenaga Kerja</v>
      </c>
      <c r="D1730" s="1989"/>
      <c r="E1730" s="1989"/>
      <c r="F1730" s="1990"/>
      <c r="G1730" s="2049"/>
      <c r="H1730" s="1992"/>
      <c r="I1730" s="1993"/>
      <c r="J1730" s="1993"/>
      <c r="K1730" s="1994"/>
      <c r="L1730" s="1995"/>
      <c r="M1730" s="1996"/>
      <c r="N1730" s="2055"/>
      <c r="O1730" s="1998"/>
      <c r="P1730" s="1969"/>
      <c r="Q1730" s="1953"/>
      <c r="R1730" s="1954"/>
      <c r="S1730" s="1954"/>
      <c r="T1730" s="1969"/>
      <c r="U1730" s="2002"/>
      <c r="Z1730" s="1956"/>
      <c r="AA1730" s="1956"/>
      <c r="AF1730" s="1836"/>
      <c r="AG1730" s="1836"/>
      <c r="AH1730" s="1836"/>
      <c r="AI1730" s="1837"/>
      <c r="AJ1730" s="1960"/>
    </row>
    <row r="1731" spans="1:36" ht="21.95" customHeight="1" x14ac:dyDescent="0.2">
      <c r="B1731" s="2045"/>
      <c r="C1731" s="1988"/>
      <c r="D1731" s="1989" t="str">
        <f>SNI!E1186</f>
        <v>Pekerja</v>
      </c>
      <c r="E1731" s="1989"/>
      <c r="F1731" s="1990"/>
      <c r="G1731" s="2049">
        <f>SNI!H1186</f>
        <v>8.1000000000000003E-2</v>
      </c>
      <c r="H1731" s="1992" t="str">
        <f>SNI!G1186</f>
        <v>OH</v>
      </c>
      <c r="I1731" s="1993" t="str">
        <f>SNI!M1186</f>
        <v>WNI</v>
      </c>
      <c r="J1731" s="1993"/>
      <c r="K1731" s="1994">
        <f>SNI!L1186</f>
        <v>1</v>
      </c>
      <c r="L1731" s="1995"/>
      <c r="M1731" s="1996"/>
      <c r="N1731" s="2055">
        <f>SNI!I1186</f>
        <v>88300</v>
      </c>
      <c r="O1731" s="1998"/>
      <c r="P1731" s="1969">
        <f t="shared" si="1146"/>
        <v>7152.3</v>
      </c>
      <c r="Q1731" s="1953"/>
      <c r="R1731" s="1954"/>
      <c r="S1731" s="1954">
        <f t="shared" si="1147"/>
        <v>7152.3</v>
      </c>
      <c r="T1731" s="1969">
        <f t="shared" si="1148"/>
        <v>0</v>
      </c>
      <c r="U1731" s="2002"/>
      <c r="Z1731" s="1956"/>
      <c r="AA1731" s="1956"/>
      <c r="AF1731" s="1836"/>
      <c r="AG1731" s="1836"/>
      <c r="AH1731" s="1836"/>
      <c r="AI1731" s="1837"/>
      <c r="AJ1731" s="1960"/>
    </row>
    <row r="1732" spans="1:36" ht="21.95" customHeight="1" x14ac:dyDescent="0.2">
      <c r="B1732" s="2045"/>
      <c r="C1732" s="1988"/>
      <c r="D1732" s="1989" t="str">
        <f>SNI!E1187</f>
        <v>Tukang batu</v>
      </c>
      <c r="E1732" s="1989"/>
      <c r="F1732" s="1990"/>
      <c r="G1732" s="2049">
        <f>SNI!H1187</f>
        <v>0.13500000000000001</v>
      </c>
      <c r="H1732" s="1992" t="str">
        <f>SNI!G1187</f>
        <v>OH</v>
      </c>
      <c r="I1732" s="1993" t="str">
        <f>SNI!M1187</f>
        <v>WNI</v>
      </c>
      <c r="J1732" s="1993"/>
      <c r="K1732" s="1994">
        <f>SNI!L1187</f>
        <v>1</v>
      </c>
      <c r="L1732" s="1995"/>
      <c r="M1732" s="1996"/>
      <c r="N1732" s="2055">
        <f>SNI!I1187</f>
        <v>90000</v>
      </c>
      <c r="O1732" s="1998"/>
      <c r="P1732" s="1969">
        <f t="shared" si="1146"/>
        <v>12150</v>
      </c>
      <c r="Q1732" s="1953"/>
      <c r="R1732" s="1954"/>
      <c r="S1732" s="1954">
        <f t="shared" si="1147"/>
        <v>12150</v>
      </c>
      <c r="T1732" s="1969">
        <f t="shared" si="1148"/>
        <v>0</v>
      </c>
      <c r="U1732" s="2002"/>
      <c r="Z1732" s="1956"/>
      <c r="AA1732" s="1956"/>
      <c r="AF1732" s="1836"/>
      <c r="AG1732" s="1836"/>
      <c r="AH1732" s="1836"/>
      <c r="AI1732" s="1837"/>
      <c r="AJ1732" s="1960"/>
    </row>
    <row r="1733" spans="1:36" ht="21.95" customHeight="1" x14ac:dyDescent="0.2">
      <c r="B1733" s="2045"/>
      <c r="C1733" s="1988"/>
      <c r="D1733" s="1989" t="str">
        <f>SNI!E1188</f>
        <v>Kepala tukang</v>
      </c>
      <c r="E1733" s="1989"/>
      <c r="F1733" s="1990"/>
      <c r="G1733" s="2049">
        <f>SNI!H1188</f>
        <v>1.35E-2</v>
      </c>
      <c r="H1733" s="1992" t="str">
        <f>SNI!G1188</f>
        <v>OH</v>
      </c>
      <c r="I1733" s="1993" t="str">
        <f>SNI!M1188</f>
        <v>WNI</v>
      </c>
      <c r="J1733" s="1993"/>
      <c r="K1733" s="1994">
        <f>SNI!L1188</f>
        <v>1</v>
      </c>
      <c r="L1733" s="1995"/>
      <c r="M1733" s="1996"/>
      <c r="N1733" s="2055">
        <f>SNI!I1188</f>
        <v>90000</v>
      </c>
      <c r="O1733" s="1998"/>
      <c r="P1733" s="1969">
        <f t="shared" si="1146"/>
        <v>1215</v>
      </c>
      <c r="Q1733" s="1953"/>
      <c r="R1733" s="1954"/>
      <c r="S1733" s="1954">
        <f t="shared" si="1147"/>
        <v>1215</v>
      </c>
      <c r="T1733" s="1969">
        <f t="shared" si="1148"/>
        <v>0</v>
      </c>
      <c r="U1733" s="2002"/>
      <c r="Z1733" s="1956"/>
      <c r="AA1733" s="1956"/>
      <c r="AF1733" s="1836"/>
      <c r="AG1733" s="1836"/>
      <c r="AH1733" s="1836"/>
      <c r="AI1733" s="1837"/>
      <c r="AJ1733" s="1960"/>
    </row>
    <row r="1734" spans="1:36" ht="21.95" customHeight="1" x14ac:dyDescent="0.2">
      <c r="B1734" s="2045"/>
      <c r="C1734" s="1988"/>
      <c r="D1734" s="1989" t="str">
        <f>SNI!E1189</f>
        <v>Mandor</v>
      </c>
      <c r="E1734" s="1989"/>
      <c r="F1734" s="1990"/>
      <c r="G1734" s="2049">
        <f>SNI!H1189</f>
        <v>4.0000000000000001E-3</v>
      </c>
      <c r="H1734" s="1992" t="str">
        <f>SNI!G1189</f>
        <v>OH</v>
      </c>
      <c r="I1734" s="1993" t="str">
        <f>SNI!M1189</f>
        <v>WNI</v>
      </c>
      <c r="J1734" s="1993"/>
      <c r="K1734" s="1994">
        <f>SNI!L1189</f>
        <v>1</v>
      </c>
      <c r="L1734" s="1995"/>
      <c r="M1734" s="1996"/>
      <c r="N1734" s="2055">
        <f>SNI!I1189</f>
        <v>90000</v>
      </c>
      <c r="O1734" s="1998"/>
      <c r="P1734" s="1969">
        <f t="shared" si="1146"/>
        <v>360</v>
      </c>
      <c r="Q1734" s="1953"/>
      <c r="R1734" s="1954"/>
      <c r="S1734" s="1954">
        <f t="shared" si="1147"/>
        <v>360</v>
      </c>
      <c r="T1734" s="1969">
        <f t="shared" si="1148"/>
        <v>0</v>
      </c>
      <c r="U1734" s="2002"/>
      <c r="Z1734" s="1956"/>
      <c r="AA1734" s="1956"/>
      <c r="AF1734" s="1836"/>
      <c r="AG1734" s="1836"/>
      <c r="AH1734" s="1836"/>
      <c r="AI1734" s="1837"/>
      <c r="AJ1734" s="1960"/>
    </row>
    <row r="1735" spans="1:36" s="1957" customFormat="1" ht="21.95" customHeight="1" x14ac:dyDescent="0.2">
      <c r="A1735" s="1942"/>
      <c r="B1735" s="1970"/>
      <c r="C1735" s="1971"/>
      <c r="D1735" s="1972"/>
      <c r="E1735" s="1973"/>
      <c r="F1735" s="1974" t="s">
        <v>556</v>
      </c>
      <c r="G1735" s="1975">
        <f>B1726</f>
        <v>3</v>
      </c>
      <c r="H1735" s="1976"/>
      <c r="I1735" s="1977"/>
      <c r="J1735" s="1977"/>
      <c r="K1735" s="1978"/>
      <c r="L1735" s="1979"/>
      <c r="M1735" s="1980"/>
      <c r="N1735" s="1981"/>
      <c r="O1735" s="1982"/>
      <c r="P1735" s="1983">
        <f>SUM(P1728:R1734)</f>
        <v>91402.3</v>
      </c>
      <c r="Q1735" s="1984"/>
      <c r="R1735" s="1985"/>
      <c r="S1735" s="1983">
        <f t="shared" ref="S1735" si="1149">SUM(S1728:U1734)</f>
        <v>91402.3</v>
      </c>
      <c r="T1735" s="1983">
        <f t="shared" ref="T1735" si="1150">SUM(T1728:V1734)</f>
        <v>6836.8300000000017</v>
      </c>
      <c r="U1735" s="1986"/>
      <c r="V1735" s="1848"/>
      <c r="W1735" s="1848"/>
      <c r="X1735" s="1848"/>
      <c r="Y1735" s="1848"/>
      <c r="Z1735" s="1956"/>
      <c r="AA1735" s="1956"/>
      <c r="AF1735" s="1958"/>
      <c r="AG1735" s="1958"/>
      <c r="AH1735" s="1958"/>
      <c r="AI1735" s="1959"/>
      <c r="AJ1735" s="1960"/>
    </row>
    <row r="1736" spans="1:36" ht="21.95" customHeight="1" x14ac:dyDescent="0.2">
      <c r="B1736" s="2162">
        <v>3</v>
      </c>
      <c r="C1736" s="2033"/>
      <c r="D1736" s="2034" t="s">
        <v>1859</v>
      </c>
      <c r="E1736" s="2035"/>
      <c r="F1736" s="2036"/>
      <c r="G1736" s="1945"/>
      <c r="H1736" s="2037"/>
      <c r="I1736" s="2038"/>
      <c r="J1736" s="2038"/>
      <c r="K1736" s="2039"/>
      <c r="L1736" s="2040"/>
      <c r="M1736" s="2040"/>
      <c r="N1736" s="1951"/>
      <c r="O1736" s="2041"/>
      <c r="P1736" s="2042"/>
      <c r="Q1736" s="2038"/>
      <c r="R1736" s="2038"/>
      <c r="S1736" s="2038"/>
      <c r="T1736" s="2043"/>
      <c r="U1736" s="2044"/>
      <c r="Z1736" s="1956"/>
      <c r="AA1736" s="1956">
        <f t="shared" si="1099"/>
        <v>0</v>
      </c>
      <c r="AB1736" s="1836" t="s">
        <v>1859</v>
      </c>
      <c r="AF1736" s="1836"/>
      <c r="AG1736" s="1836"/>
      <c r="AH1736" s="1836"/>
      <c r="AI1736" s="1837"/>
      <c r="AJ1736" s="1960">
        <f t="shared" si="1100"/>
        <v>0</v>
      </c>
    </row>
    <row r="1737" spans="1:36" ht="21.95" customHeight="1" x14ac:dyDescent="0.2">
      <c r="A1737" s="1833">
        <f>satpek!$B$79</f>
        <v>60</v>
      </c>
      <c r="B1737" s="1943">
        <v>1</v>
      </c>
      <c r="C1737" s="1937"/>
      <c r="D1737" s="1944" t="str">
        <f>VLOOKUP($A1737,satpek!$B$20:$N$144,2,0)</f>
        <v>Memasang pipa PVC tipe AW diameter 4"</v>
      </c>
      <c r="E1737" s="1944"/>
      <c r="F1737" s="2004"/>
      <c r="G1737" s="1945">
        <f>'[3]B.VOL RAB'!Q592</f>
        <v>24</v>
      </c>
      <c r="H1737" s="1946" t="str">
        <f>VLOOKUP($A1737,satpek!$B$20:$N$144,7,0)</f>
        <v>m'</v>
      </c>
      <c r="I1737" s="1947"/>
      <c r="J1737" s="1947"/>
      <c r="K1737" s="1948"/>
      <c r="L1737" s="1949"/>
      <c r="M1737" s="1950" t="str">
        <f>VLOOKUP($A1737,satpek!$B$20:$N$144,5,0)</f>
        <v>A.5.1.1.32.</v>
      </c>
      <c r="N1737" s="1951">
        <f>VLOOKUP($A1737,satpek!$B$20:$N$144,6,0)</f>
        <v>167743.75</v>
      </c>
      <c r="O1737" s="1938"/>
      <c r="P1737" s="1952">
        <f t="shared" ref="P1737" si="1151">ROUND((G1737*N1737),2)</f>
        <v>4025850</v>
      </c>
      <c r="Q1737" s="1953">
        <f>VLOOKUP($A1737,satpek!$B$20:$L$138,8,0)</f>
        <v>0.91674479843821799</v>
      </c>
      <c r="R1737" s="1954">
        <f>VLOOKUP($A1737,satpek!$B$20:$L$138,9,0)</f>
        <v>136086.91500000001</v>
      </c>
      <c r="S1737" s="1954">
        <f>VLOOKUP($A1737,satpek!$B$20:$L$138,10,0)</f>
        <v>153778.21395</v>
      </c>
      <c r="T1737" s="1952">
        <f>S1737*G1737</f>
        <v>3690677.1348000001</v>
      </c>
      <c r="U1737" s="1955"/>
      <c r="X1737" s="1848">
        <f>P1746</f>
        <v>148445.79999999999</v>
      </c>
      <c r="Y1737" s="1848">
        <f>S1746</f>
        <v>148445.79999999999</v>
      </c>
      <c r="Z1737" s="1956">
        <v>24</v>
      </c>
      <c r="AA1737" s="1956">
        <f t="shared" si="1099"/>
        <v>0</v>
      </c>
      <c r="AB1737" s="1836" t="s">
        <v>460</v>
      </c>
      <c r="AF1737" s="1836"/>
      <c r="AG1737" s="1836"/>
      <c r="AH1737" s="1836"/>
      <c r="AI1737" s="1837">
        <v>173522.24</v>
      </c>
      <c r="AJ1737" s="1960">
        <f t="shared" si="1100"/>
        <v>5778.4899999999907</v>
      </c>
    </row>
    <row r="1738" spans="1:36" ht="21.95" customHeight="1" x14ac:dyDescent="0.2">
      <c r="B1738" s="2045"/>
      <c r="C1738" s="1988" t="str">
        <f>SNI!D1202</f>
        <v>Bahan</v>
      </c>
      <c r="D1738" s="1989"/>
      <c r="E1738" s="1989"/>
      <c r="F1738" s="1990"/>
      <c r="G1738" s="2049"/>
      <c r="H1738" s="1992"/>
      <c r="I1738" s="1993"/>
      <c r="J1738" s="1993"/>
      <c r="K1738" s="1994"/>
      <c r="L1738" s="1995"/>
      <c r="M1738" s="1996"/>
      <c r="N1738" s="2055"/>
      <c r="O1738" s="1998"/>
      <c r="P1738" s="1999"/>
      <c r="Q1738" s="2000"/>
      <c r="R1738" s="2001"/>
      <c r="S1738" s="2001"/>
      <c r="T1738" s="1997"/>
      <c r="U1738" s="2002"/>
      <c r="Z1738" s="1956"/>
      <c r="AA1738" s="1956"/>
      <c r="AF1738" s="1836"/>
      <c r="AG1738" s="1836"/>
      <c r="AH1738" s="1836"/>
      <c r="AI1738" s="1837"/>
      <c r="AJ1738" s="1960"/>
    </row>
    <row r="1739" spans="1:36" ht="21.95" customHeight="1" x14ac:dyDescent="0.2">
      <c r="B1739" s="2045"/>
      <c r="C1739" s="1988"/>
      <c r="D1739" s="1989" t="str">
        <f>SNI!E1202</f>
        <v>Pipa PVC</v>
      </c>
      <c r="E1739" s="1989"/>
      <c r="F1739" s="1990"/>
      <c r="G1739" s="2049">
        <f>SNI!H1202</f>
        <v>1.2</v>
      </c>
      <c r="H1739" s="1992" t="str">
        <f>SNI!G1202</f>
        <v>m</v>
      </c>
      <c r="I1739" s="1993"/>
      <c r="J1739" s="1993"/>
      <c r="K1739" s="1994">
        <f>SNI!L1202</f>
        <v>0.94769999999999999</v>
      </c>
      <c r="L1739" s="1995"/>
      <c r="M1739" s="1996"/>
      <c r="N1739" s="2055">
        <f>SNI!I1202</f>
        <v>82250</v>
      </c>
      <c r="O1739" s="1998"/>
      <c r="P1739" s="1969">
        <f t="shared" ref="P1739" si="1152">N1739*G1739</f>
        <v>98700</v>
      </c>
      <c r="Q1739" s="1953"/>
      <c r="R1739" s="1954"/>
      <c r="S1739" s="1954">
        <f t="shared" ref="S1739" si="1153">P1739*K1739</f>
        <v>93537.99</v>
      </c>
      <c r="T1739" s="1969">
        <f t="shared" ref="T1739" si="1154">P1739-S1739</f>
        <v>5162.0099999999948</v>
      </c>
      <c r="U1739" s="2002"/>
      <c r="Z1739" s="1956"/>
      <c r="AA1739" s="1956"/>
      <c r="AF1739" s="1836"/>
      <c r="AG1739" s="1836"/>
      <c r="AH1739" s="1836"/>
      <c r="AI1739" s="1837"/>
      <c r="AJ1739" s="1960"/>
    </row>
    <row r="1740" spans="1:36" ht="21.95" customHeight="1" x14ac:dyDescent="0.2">
      <c r="B1740" s="2045"/>
      <c r="C1740" s="1988"/>
      <c r="D1740" s="1989" t="str">
        <f>SNI!E1203</f>
        <v>Perlengkapan</v>
      </c>
      <c r="E1740" s="1989"/>
      <c r="F1740" s="1990"/>
      <c r="G1740" s="2049">
        <f>SNI!H1203</f>
        <v>1</v>
      </c>
      <c r="H1740" s="1992" t="str">
        <f>SNI!G1203</f>
        <v>bh</v>
      </c>
      <c r="I1740" s="1993"/>
      <c r="J1740" s="1993"/>
      <c r="K1740" s="1994">
        <f>SNI!L1203</f>
        <v>0.75</v>
      </c>
      <c r="L1740" s="1995"/>
      <c r="M1740" s="1996"/>
      <c r="N1740" s="2055">
        <f>SNI!I1203</f>
        <v>28787.499999999996</v>
      </c>
      <c r="O1740" s="1998"/>
      <c r="P1740" s="1969">
        <f t="shared" ref="P1740:P1745" si="1155">N1740*G1740</f>
        <v>28787.499999999996</v>
      </c>
      <c r="Q1740" s="1953"/>
      <c r="R1740" s="1954"/>
      <c r="S1740" s="1954">
        <f t="shared" ref="S1740:S1745" si="1156">P1740*K1740</f>
        <v>21590.624999999996</v>
      </c>
      <c r="T1740" s="1969">
        <f t="shared" ref="T1740:T1745" si="1157">P1740-S1740</f>
        <v>7196.875</v>
      </c>
      <c r="U1740" s="2002"/>
      <c r="Z1740" s="1956"/>
      <c r="AA1740" s="1956"/>
      <c r="AF1740" s="1836"/>
      <c r="AG1740" s="1836"/>
      <c r="AH1740" s="1836"/>
      <c r="AI1740" s="1837"/>
      <c r="AJ1740" s="1960"/>
    </row>
    <row r="1741" spans="1:36" ht="21.95" customHeight="1" x14ac:dyDescent="0.2">
      <c r="B1741" s="2045"/>
      <c r="C1741" s="1988" t="str">
        <f>SNI!D1205</f>
        <v>Tenaga Kerja</v>
      </c>
      <c r="D1741" s="1989"/>
      <c r="E1741" s="1989"/>
      <c r="F1741" s="1990"/>
      <c r="G1741" s="2049"/>
      <c r="H1741" s="1992"/>
      <c r="I1741" s="1993"/>
      <c r="J1741" s="1993"/>
      <c r="K1741" s="1994"/>
      <c r="L1741" s="1995"/>
      <c r="M1741" s="1996"/>
      <c r="N1741" s="2055"/>
      <c r="O1741" s="1998"/>
      <c r="P1741" s="1969"/>
      <c r="Q1741" s="1953"/>
      <c r="R1741" s="1954"/>
      <c r="S1741" s="1954"/>
      <c r="T1741" s="1969"/>
      <c r="U1741" s="2002"/>
      <c r="Z1741" s="1956"/>
      <c r="AA1741" s="1956"/>
      <c r="AF1741" s="1836"/>
      <c r="AG1741" s="1836"/>
      <c r="AH1741" s="1836"/>
      <c r="AI1741" s="1837"/>
      <c r="AJ1741" s="1960"/>
    </row>
    <row r="1742" spans="1:36" ht="21.95" customHeight="1" x14ac:dyDescent="0.2">
      <c r="B1742" s="2045"/>
      <c r="C1742" s="1988"/>
      <c r="D1742" s="1989" t="str">
        <f>SNI!E1205</f>
        <v>Pekerja</v>
      </c>
      <c r="E1742" s="1989"/>
      <c r="F1742" s="1990"/>
      <c r="G1742" s="2049">
        <f>SNI!H1205</f>
        <v>8.1000000000000003E-2</v>
      </c>
      <c r="H1742" s="1992" t="str">
        <f>SNI!G1205</f>
        <v>OH</v>
      </c>
      <c r="I1742" s="1993" t="str">
        <f>SNI!M1205</f>
        <v>WNI</v>
      </c>
      <c r="J1742" s="1993"/>
      <c r="K1742" s="1994">
        <f>SNI!L1205</f>
        <v>1</v>
      </c>
      <c r="L1742" s="1995"/>
      <c r="M1742" s="1996"/>
      <c r="N1742" s="2055">
        <f>SNI!I1205</f>
        <v>88300</v>
      </c>
      <c r="O1742" s="1998"/>
      <c r="P1742" s="1969">
        <f t="shared" si="1155"/>
        <v>7152.3</v>
      </c>
      <c r="Q1742" s="1953"/>
      <c r="R1742" s="1954"/>
      <c r="S1742" s="1954">
        <f t="shared" si="1156"/>
        <v>7152.3</v>
      </c>
      <c r="T1742" s="1969">
        <f t="shared" si="1157"/>
        <v>0</v>
      </c>
      <c r="U1742" s="2002"/>
      <c r="Z1742" s="1956"/>
      <c r="AA1742" s="1956"/>
      <c r="AF1742" s="1836"/>
      <c r="AG1742" s="1836"/>
      <c r="AH1742" s="1836"/>
      <c r="AI1742" s="1837"/>
      <c r="AJ1742" s="1960"/>
    </row>
    <row r="1743" spans="1:36" ht="21.95" customHeight="1" x14ac:dyDescent="0.2">
      <c r="B1743" s="2045"/>
      <c r="C1743" s="1988"/>
      <c r="D1743" s="1989" t="str">
        <f>SNI!E1206</f>
        <v>Tukang batu</v>
      </c>
      <c r="E1743" s="1989"/>
      <c r="F1743" s="1990"/>
      <c r="G1743" s="2049">
        <f>SNI!H1206</f>
        <v>0.13500000000000001</v>
      </c>
      <c r="H1743" s="1992" t="str">
        <f>SNI!G1206</f>
        <v>OH</v>
      </c>
      <c r="I1743" s="1993" t="str">
        <f>SNI!M1206</f>
        <v>WNI</v>
      </c>
      <c r="J1743" s="1993"/>
      <c r="K1743" s="1994">
        <f>SNI!L1206</f>
        <v>1</v>
      </c>
      <c r="L1743" s="1995"/>
      <c r="M1743" s="1996"/>
      <c r="N1743" s="2055">
        <f>SNI!I1206</f>
        <v>90000</v>
      </c>
      <c r="O1743" s="1998"/>
      <c r="P1743" s="1969">
        <f t="shared" si="1155"/>
        <v>12150</v>
      </c>
      <c r="Q1743" s="1953"/>
      <c r="R1743" s="1954"/>
      <c r="S1743" s="1954">
        <f t="shared" si="1156"/>
        <v>12150</v>
      </c>
      <c r="T1743" s="1969">
        <f t="shared" si="1157"/>
        <v>0</v>
      </c>
      <c r="U1743" s="2002"/>
      <c r="Z1743" s="1956"/>
      <c r="AA1743" s="1956"/>
      <c r="AF1743" s="1836"/>
      <c r="AG1743" s="1836"/>
      <c r="AH1743" s="1836"/>
      <c r="AI1743" s="1837"/>
      <c r="AJ1743" s="1960"/>
    </row>
    <row r="1744" spans="1:36" ht="21.95" customHeight="1" x14ac:dyDescent="0.2">
      <c r="B1744" s="2045"/>
      <c r="C1744" s="1988"/>
      <c r="D1744" s="1989" t="str">
        <f>SNI!E1207</f>
        <v>Kepala tukang</v>
      </c>
      <c r="E1744" s="1989"/>
      <c r="F1744" s="1990"/>
      <c r="G1744" s="2049">
        <f>SNI!H1207</f>
        <v>1.35E-2</v>
      </c>
      <c r="H1744" s="1992" t="str">
        <f>SNI!G1207</f>
        <v>OH</v>
      </c>
      <c r="I1744" s="1993" t="str">
        <f>SNI!M1207</f>
        <v>WNI</v>
      </c>
      <c r="J1744" s="1993"/>
      <c r="K1744" s="1994">
        <f>SNI!L1207</f>
        <v>1</v>
      </c>
      <c r="L1744" s="1995"/>
      <c r="M1744" s="1996"/>
      <c r="N1744" s="2055">
        <f>SNI!I1207</f>
        <v>96000</v>
      </c>
      <c r="O1744" s="1998"/>
      <c r="P1744" s="1969">
        <f t="shared" si="1155"/>
        <v>1296</v>
      </c>
      <c r="Q1744" s="1953"/>
      <c r="R1744" s="1954"/>
      <c r="S1744" s="1954">
        <f t="shared" si="1156"/>
        <v>1296</v>
      </c>
      <c r="T1744" s="1969">
        <f t="shared" si="1157"/>
        <v>0</v>
      </c>
      <c r="U1744" s="2002"/>
      <c r="Z1744" s="1956"/>
      <c r="AA1744" s="1956"/>
      <c r="AF1744" s="1836"/>
      <c r="AG1744" s="1836"/>
      <c r="AH1744" s="1836"/>
      <c r="AI1744" s="1837"/>
      <c r="AJ1744" s="1960"/>
    </row>
    <row r="1745" spans="1:36" ht="21.95" customHeight="1" x14ac:dyDescent="0.2">
      <c r="B1745" s="2045"/>
      <c r="C1745" s="1988"/>
      <c r="D1745" s="1989" t="str">
        <f>SNI!E1208</f>
        <v>Mandor</v>
      </c>
      <c r="E1745" s="1989"/>
      <c r="F1745" s="1990"/>
      <c r="G1745" s="2049">
        <f>SNI!H1208</f>
        <v>4.0000000000000001E-3</v>
      </c>
      <c r="H1745" s="1992" t="str">
        <f>SNI!G1208</f>
        <v>OH</v>
      </c>
      <c r="I1745" s="1993" t="str">
        <f>SNI!M1208</f>
        <v>WNI</v>
      </c>
      <c r="J1745" s="1993"/>
      <c r="K1745" s="1994">
        <f>SNI!L1208</f>
        <v>1</v>
      </c>
      <c r="L1745" s="1995"/>
      <c r="M1745" s="1996"/>
      <c r="N1745" s="2055">
        <f>SNI!I1208</f>
        <v>90000</v>
      </c>
      <c r="O1745" s="1998"/>
      <c r="P1745" s="1969">
        <f t="shared" si="1155"/>
        <v>360</v>
      </c>
      <c r="Q1745" s="1953"/>
      <c r="R1745" s="1954"/>
      <c r="S1745" s="1954">
        <f t="shared" si="1156"/>
        <v>360</v>
      </c>
      <c r="T1745" s="1969">
        <f t="shared" si="1157"/>
        <v>0</v>
      </c>
      <c r="U1745" s="2002"/>
      <c r="Z1745" s="1956"/>
      <c r="AA1745" s="1956"/>
      <c r="AF1745" s="1836"/>
      <c r="AG1745" s="1836"/>
      <c r="AH1745" s="1836"/>
      <c r="AI1745" s="1837"/>
      <c r="AJ1745" s="1960"/>
    </row>
    <row r="1746" spans="1:36" s="1957" customFormat="1" ht="21.95" customHeight="1" x14ac:dyDescent="0.2">
      <c r="A1746" s="1942"/>
      <c r="B1746" s="1970"/>
      <c r="C1746" s="1971"/>
      <c r="D1746" s="1972"/>
      <c r="E1746" s="1973"/>
      <c r="F1746" s="1974" t="s">
        <v>556</v>
      </c>
      <c r="G1746" s="1975">
        <f>B1737</f>
        <v>1</v>
      </c>
      <c r="H1746" s="1976"/>
      <c r="I1746" s="1977"/>
      <c r="J1746" s="1977"/>
      <c r="K1746" s="1978"/>
      <c r="L1746" s="1979"/>
      <c r="M1746" s="1980"/>
      <c r="N1746" s="1981"/>
      <c r="O1746" s="1982"/>
      <c r="P1746" s="1983">
        <f>SUM(P1739:R1745)</f>
        <v>148445.79999999999</v>
      </c>
      <c r="Q1746" s="1984"/>
      <c r="R1746" s="1985"/>
      <c r="S1746" s="1983">
        <f t="shared" ref="S1746" si="1158">SUM(S1739:U1745)</f>
        <v>148445.79999999999</v>
      </c>
      <c r="T1746" s="1983">
        <f t="shared" ref="T1746" si="1159">SUM(T1739:V1745)</f>
        <v>12358.884999999995</v>
      </c>
      <c r="U1746" s="1986"/>
      <c r="V1746" s="1848"/>
      <c r="W1746" s="1848"/>
      <c r="X1746" s="1848"/>
      <c r="Y1746" s="1848"/>
      <c r="Z1746" s="1956"/>
      <c r="AA1746" s="1956"/>
      <c r="AF1746" s="1958"/>
      <c r="AG1746" s="1958"/>
      <c r="AH1746" s="1958"/>
      <c r="AI1746" s="1959"/>
      <c r="AJ1746" s="1960"/>
    </row>
    <row r="1747" spans="1:36" ht="21.95" customHeight="1" x14ac:dyDescent="0.2">
      <c r="B1747" s="2162">
        <v>4</v>
      </c>
      <c r="C1747" s="2033"/>
      <c r="D1747" s="2034" t="s">
        <v>1860</v>
      </c>
      <c r="E1747" s="2035"/>
      <c r="F1747" s="2036"/>
      <c r="G1747" s="1945"/>
      <c r="H1747" s="2037"/>
      <c r="I1747" s="2038"/>
      <c r="J1747" s="2038"/>
      <c r="K1747" s="2039"/>
      <c r="L1747" s="2040"/>
      <c r="M1747" s="2040"/>
      <c r="N1747" s="1951"/>
      <c r="O1747" s="2041"/>
      <c r="P1747" s="2042"/>
      <c r="Q1747" s="2038"/>
      <c r="R1747" s="2038"/>
      <c r="S1747" s="2038"/>
      <c r="T1747" s="2043"/>
      <c r="U1747" s="2044"/>
      <c r="Z1747" s="1956"/>
      <c r="AA1747" s="1956">
        <f t="shared" si="1099"/>
        <v>0</v>
      </c>
      <c r="AB1747" s="1836" t="s">
        <v>1860</v>
      </c>
      <c r="AF1747" s="1836"/>
      <c r="AG1747" s="1836"/>
      <c r="AH1747" s="1836"/>
      <c r="AI1747" s="1837"/>
      <c r="AJ1747" s="1960">
        <f t="shared" si="1100"/>
        <v>0</v>
      </c>
    </row>
    <row r="1748" spans="1:36" ht="21" customHeight="1" x14ac:dyDescent="0.2">
      <c r="A1748" s="1833">
        <f>satpek!$B$79</f>
        <v>60</v>
      </c>
      <c r="B1748" s="1943">
        <v>1</v>
      </c>
      <c r="C1748" s="1937"/>
      <c r="D1748" s="1944" t="str">
        <f>VLOOKUP($A1748,satpek!$B$20:$N$144,2,0)</f>
        <v>Memasang pipa PVC tipe AW diameter 4"</v>
      </c>
      <c r="E1748" s="1944"/>
      <c r="F1748" s="2004"/>
      <c r="G1748" s="1945">
        <f>'[3]B.VOL RAB'!Q594</f>
        <v>102</v>
      </c>
      <c r="H1748" s="1946" t="str">
        <f>VLOOKUP($A1748,satpek!$B$20:$N$144,7,0)</f>
        <v>m'</v>
      </c>
      <c r="I1748" s="1947"/>
      <c r="J1748" s="1947"/>
      <c r="K1748" s="1948"/>
      <c r="L1748" s="1949"/>
      <c r="M1748" s="1950" t="str">
        <f>VLOOKUP($A1748,satpek!$B$20:$N$144,5,0)</f>
        <v>A.5.1.1.32.</v>
      </c>
      <c r="N1748" s="1951">
        <f>VLOOKUP($A1748,satpek!$B$20:$N$144,6,0)</f>
        <v>167743.75</v>
      </c>
      <c r="O1748" s="1938"/>
      <c r="P1748" s="1952">
        <f t="shared" ref="P1748" si="1160">ROUND((G1748*N1748),2)</f>
        <v>17109862.5</v>
      </c>
      <c r="Q1748" s="1953">
        <f>VLOOKUP($A1748,satpek!$B$20:$L$138,8,0)</f>
        <v>0.91674479843821799</v>
      </c>
      <c r="R1748" s="1954">
        <f>VLOOKUP($A1748,satpek!$B$20:$L$138,9,0)</f>
        <v>136086.91500000001</v>
      </c>
      <c r="S1748" s="1954">
        <f>VLOOKUP($A1748,satpek!$B$20:$L$138,10,0)</f>
        <v>153778.21395</v>
      </c>
      <c r="T1748" s="1952">
        <f>S1748*G1748</f>
        <v>15685377.822900001</v>
      </c>
      <c r="U1748" s="1955"/>
      <c r="X1748" s="1848">
        <f>P1757</f>
        <v>148445.79999999999</v>
      </c>
      <c r="Y1748" s="1848">
        <f>S1757</f>
        <v>148445.79999999999</v>
      </c>
      <c r="Z1748" s="1956">
        <v>102</v>
      </c>
      <c r="AA1748" s="1956">
        <f t="shared" si="1099"/>
        <v>0</v>
      </c>
      <c r="AB1748" s="1836" t="s">
        <v>460</v>
      </c>
      <c r="AF1748" s="1836"/>
      <c r="AG1748" s="1836"/>
      <c r="AH1748" s="1836"/>
      <c r="AI1748" s="1837">
        <v>173522.24</v>
      </c>
      <c r="AJ1748" s="1960">
        <f t="shared" si="1100"/>
        <v>5778.4899999999907</v>
      </c>
    </row>
    <row r="1749" spans="1:36" ht="21" customHeight="1" x14ac:dyDescent="0.2">
      <c r="B1749" s="2045"/>
      <c r="C1749" s="1988" t="str">
        <f>SNI!D1202</f>
        <v>Bahan</v>
      </c>
      <c r="D1749" s="1989"/>
      <c r="E1749" s="1989"/>
      <c r="F1749" s="1990"/>
      <c r="G1749" s="2049"/>
      <c r="H1749" s="1992"/>
      <c r="I1749" s="1993"/>
      <c r="J1749" s="1993"/>
      <c r="K1749" s="1994"/>
      <c r="L1749" s="1995"/>
      <c r="M1749" s="1996"/>
      <c r="N1749" s="1997"/>
      <c r="O1749" s="1998"/>
      <c r="P1749" s="1999"/>
      <c r="Q1749" s="2000"/>
      <c r="R1749" s="2001"/>
      <c r="S1749" s="2001"/>
      <c r="T1749" s="1997"/>
      <c r="U1749" s="2002"/>
      <c r="Z1749" s="1956"/>
      <c r="AA1749" s="1956"/>
      <c r="AF1749" s="1836"/>
      <c r="AG1749" s="1836"/>
      <c r="AH1749" s="1836"/>
      <c r="AI1749" s="1837"/>
      <c r="AJ1749" s="1960"/>
    </row>
    <row r="1750" spans="1:36" ht="21" customHeight="1" x14ac:dyDescent="0.2">
      <c r="B1750" s="2045"/>
      <c r="C1750" s="1988"/>
      <c r="D1750" s="1989" t="str">
        <f>SNI!E1202</f>
        <v>Pipa PVC</v>
      </c>
      <c r="E1750" s="1989"/>
      <c r="F1750" s="1990"/>
      <c r="G1750" s="2049">
        <f>SNI!H1202</f>
        <v>1.2</v>
      </c>
      <c r="H1750" s="1992" t="str">
        <f>SNI!G1202</f>
        <v>m</v>
      </c>
      <c r="I1750" s="1993"/>
      <c r="J1750" s="1993"/>
      <c r="K1750" s="1994">
        <f>SNI!L1202</f>
        <v>0.94769999999999999</v>
      </c>
      <c r="L1750" s="1995"/>
      <c r="M1750" s="1996"/>
      <c r="N1750" s="1997">
        <f>SNI!I1202</f>
        <v>82250</v>
      </c>
      <c r="O1750" s="1998"/>
      <c r="P1750" s="1969">
        <f t="shared" ref="P1750" si="1161">N1750*G1750</f>
        <v>98700</v>
      </c>
      <c r="Q1750" s="1953"/>
      <c r="R1750" s="1954"/>
      <c r="S1750" s="1954">
        <f t="shared" ref="S1750" si="1162">P1750*K1750</f>
        <v>93537.99</v>
      </c>
      <c r="T1750" s="1969">
        <f t="shared" ref="T1750" si="1163">P1750-S1750</f>
        <v>5162.0099999999948</v>
      </c>
      <c r="U1750" s="2002"/>
      <c r="Z1750" s="1956"/>
      <c r="AA1750" s="1956"/>
      <c r="AF1750" s="1836"/>
      <c r="AG1750" s="1836"/>
      <c r="AH1750" s="1836"/>
      <c r="AI1750" s="1837"/>
      <c r="AJ1750" s="1960"/>
    </row>
    <row r="1751" spans="1:36" ht="21" customHeight="1" x14ac:dyDescent="0.2">
      <c r="B1751" s="2045"/>
      <c r="C1751" s="1988"/>
      <c r="D1751" s="1989" t="str">
        <f>SNI!E1203</f>
        <v>Perlengkapan</v>
      </c>
      <c r="E1751" s="1989"/>
      <c r="F1751" s="1990"/>
      <c r="G1751" s="2049">
        <f>SNI!H1203</f>
        <v>1</v>
      </c>
      <c r="H1751" s="1992" t="str">
        <f>SNI!G1203</f>
        <v>bh</v>
      </c>
      <c r="I1751" s="1993"/>
      <c r="J1751" s="1993"/>
      <c r="K1751" s="1994">
        <f>SNI!L1203</f>
        <v>0.75</v>
      </c>
      <c r="L1751" s="1995"/>
      <c r="M1751" s="1996"/>
      <c r="N1751" s="1997">
        <f>SNI!I1203</f>
        <v>28787.499999999996</v>
      </c>
      <c r="O1751" s="1998"/>
      <c r="P1751" s="1969">
        <f t="shared" ref="P1751:P1756" si="1164">N1751*G1751</f>
        <v>28787.499999999996</v>
      </c>
      <c r="Q1751" s="1953"/>
      <c r="R1751" s="1954"/>
      <c r="S1751" s="1954">
        <f t="shared" ref="S1751:S1756" si="1165">P1751*K1751</f>
        <v>21590.624999999996</v>
      </c>
      <c r="T1751" s="1969">
        <f t="shared" ref="T1751:T1756" si="1166">P1751-S1751</f>
        <v>7196.875</v>
      </c>
      <c r="U1751" s="2002"/>
      <c r="Z1751" s="1956"/>
      <c r="AA1751" s="1956"/>
      <c r="AF1751" s="1836"/>
      <c r="AG1751" s="1836"/>
      <c r="AH1751" s="1836"/>
      <c r="AI1751" s="1837"/>
      <c r="AJ1751" s="1960"/>
    </row>
    <row r="1752" spans="1:36" ht="21" customHeight="1" x14ac:dyDescent="0.2">
      <c r="B1752" s="2045"/>
      <c r="C1752" s="1988" t="str">
        <f>SNI!D1205</f>
        <v>Tenaga Kerja</v>
      </c>
      <c r="D1752" s="1989"/>
      <c r="E1752" s="1989"/>
      <c r="F1752" s="1990"/>
      <c r="G1752" s="2049"/>
      <c r="H1752" s="1992"/>
      <c r="I1752" s="1993"/>
      <c r="J1752" s="1993"/>
      <c r="K1752" s="1994"/>
      <c r="L1752" s="1995"/>
      <c r="M1752" s="1996"/>
      <c r="N1752" s="1997"/>
      <c r="O1752" s="1998"/>
      <c r="P1752" s="1969"/>
      <c r="Q1752" s="1953"/>
      <c r="R1752" s="1954"/>
      <c r="S1752" s="1954"/>
      <c r="T1752" s="1969"/>
      <c r="U1752" s="2002"/>
      <c r="Z1752" s="1956"/>
      <c r="AA1752" s="1956"/>
      <c r="AF1752" s="1836"/>
      <c r="AG1752" s="1836"/>
      <c r="AH1752" s="1836"/>
      <c r="AI1752" s="1837"/>
      <c r="AJ1752" s="1960"/>
    </row>
    <row r="1753" spans="1:36" ht="21" customHeight="1" x14ac:dyDescent="0.2">
      <c r="B1753" s="2045"/>
      <c r="C1753" s="1988"/>
      <c r="D1753" s="1989" t="str">
        <f>SNI!E1205</f>
        <v>Pekerja</v>
      </c>
      <c r="E1753" s="1989"/>
      <c r="F1753" s="1990"/>
      <c r="G1753" s="2049">
        <f>SNI!H1205</f>
        <v>8.1000000000000003E-2</v>
      </c>
      <c r="H1753" s="1992" t="str">
        <f>SNI!G1205</f>
        <v>OH</v>
      </c>
      <c r="I1753" s="2142" t="s">
        <v>2012</v>
      </c>
      <c r="J1753" s="1993"/>
      <c r="K1753" s="1994">
        <f>SNI!L1205</f>
        <v>1</v>
      </c>
      <c r="L1753" s="1995"/>
      <c r="M1753" s="1996"/>
      <c r="N1753" s="1997">
        <f>SNI!I1205</f>
        <v>88300</v>
      </c>
      <c r="O1753" s="1998"/>
      <c r="P1753" s="1969">
        <f t="shared" si="1164"/>
        <v>7152.3</v>
      </c>
      <c r="Q1753" s="1953"/>
      <c r="R1753" s="1954"/>
      <c r="S1753" s="1954">
        <f t="shared" si="1165"/>
        <v>7152.3</v>
      </c>
      <c r="T1753" s="1969">
        <f t="shared" si="1166"/>
        <v>0</v>
      </c>
      <c r="U1753" s="2002"/>
      <c r="Z1753" s="1956"/>
      <c r="AA1753" s="1956"/>
      <c r="AF1753" s="1836"/>
      <c r="AG1753" s="1836"/>
      <c r="AH1753" s="1836"/>
      <c r="AI1753" s="1837"/>
      <c r="AJ1753" s="1960"/>
    </row>
    <row r="1754" spans="1:36" ht="21" customHeight="1" x14ac:dyDescent="0.2">
      <c r="B1754" s="2045"/>
      <c r="C1754" s="1988"/>
      <c r="D1754" s="1989" t="str">
        <f>SNI!E1206</f>
        <v>Tukang batu</v>
      </c>
      <c r="E1754" s="1989"/>
      <c r="F1754" s="1990"/>
      <c r="G1754" s="2049">
        <f>SNI!H1206</f>
        <v>0.13500000000000001</v>
      </c>
      <c r="H1754" s="1992" t="str">
        <f>SNI!G1206</f>
        <v>OH</v>
      </c>
      <c r="I1754" s="2142" t="s">
        <v>2012</v>
      </c>
      <c r="J1754" s="1993"/>
      <c r="K1754" s="1994">
        <f>SNI!L1206</f>
        <v>1</v>
      </c>
      <c r="L1754" s="1995"/>
      <c r="M1754" s="1996"/>
      <c r="N1754" s="1997">
        <f>SNI!I1206</f>
        <v>90000</v>
      </c>
      <c r="O1754" s="1998"/>
      <c r="P1754" s="1969">
        <f t="shared" si="1164"/>
        <v>12150</v>
      </c>
      <c r="Q1754" s="1953"/>
      <c r="R1754" s="1954"/>
      <c r="S1754" s="1954">
        <f t="shared" si="1165"/>
        <v>12150</v>
      </c>
      <c r="T1754" s="1969">
        <f t="shared" si="1166"/>
        <v>0</v>
      </c>
      <c r="U1754" s="2002"/>
      <c r="Z1754" s="1956"/>
      <c r="AA1754" s="1956"/>
      <c r="AF1754" s="1836"/>
      <c r="AG1754" s="1836"/>
      <c r="AH1754" s="1836"/>
      <c r="AI1754" s="1837"/>
      <c r="AJ1754" s="1960"/>
    </row>
    <row r="1755" spans="1:36" ht="21" customHeight="1" x14ac:dyDescent="0.2">
      <c r="B1755" s="2045"/>
      <c r="C1755" s="1988"/>
      <c r="D1755" s="1989" t="str">
        <f>SNI!E1207</f>
        <v>Kepala tukang</v>
      </c>
      <c r="E1755" s="1989"/>
      <c r="F1755" s="1990"/>
      <c r="G1755" s="2049">
        <f>SNI!H1207</f>
        <v>1.35E-2</v>
      </c>
      <c r="H1755" s="1992" t="str">
        <f>SNI!G1207</f>
        <v>OH</v>
      </c>
      <c r="I1755" s="2142" t="s">
        <v>2012</v>
      </c>
      <c r="J1755" s="1993"/>
      <c r="K1755" s="1994">
        <f>SNI!L1207</f>
        <v>1</v>
      </c>
      <c r="L1755" s="1995"/>
      <c r="M1755" s="1996"/>
      <c r="N1755" s="1997">
        <f>SNI!I1207</f>
        <v>96000</v>
      </c>
      <c r="O1755" s="1998"/>
      <c r="P1755" s="1969">
        <f t="shared" si="1164"/>
        <v>1296</v>
      </c>
      <c r="Q1755" s="1953"/>
      <c r="R1755" s="1954"/>
      <c r="S1755" s="1954">
        <f t="shared" si="1165"/>
        <v>1296</v>
      </c>
      <c r="T1755" s="1969">
        <f t="shared" si="1166"/>
        <v>0</v>
      </c>
      <c r="U1755" s="2002"/>
      <c r="Z1755" s="1956"/>
      <c r="AA1755" s="1956"/>
      <c r="AF1755" s="1836"/>
      <c r="AG1755" s="1836"/>
      <c r="AH1755" s="1836"/>
      <c r="AI1755" s="1837"/>
      <c r="AJ1755" s="1960"/>
    </row>
    <row r="1756" spans="1:36" ht="21" customHeight="1" x14ac:dyDescent="0.2">
      <c r="B1756" s="2045"/>
      <c r="C1756" s="1988"/>
      <c r="D1756" s="1989" t="str">
        <f>SNI!E1208</f>
        <v>Mandor</v>
      </c>
      <c r="E1756" s="1989"/>
      <c r="F1756" s="1990"/>
      <c r="G1756" s="2049">
        <f>SNI!H1208</f>
        <v>4.0000000000000001E-3</v>
      </c>
      <c r="H1756" s="1992" t="str">
        <f>SNI!G1208</f>
        <v>OH</v>
      </c>
      <c r="I1756" s="2142" t="s">
        <v>2012</v>
      </c>
      <c r="J1756" s="1993"/>
      <c r="K1756" s="1994">
        <f>SNI!L1208</f>
        <v>1</v>
      </c>
      <c r="L1756" s="1995"/>
      <c r="M1756" s="1996"/>
      <c r="N1756" s="1997">
        <f>SNI!I1208</f>
        <v>90000</v>
      </c>
      <c r="O1756" s="1998"/>
      <c r="P1756" s="1969">
        <f t="shared" si="1164"/>
        <v>360</v>
      </c>
      <c r="Q1756" s="1953"/>
      <c r="R1756" s="1954"/>
      <c r="S1756" s="1954">
        <f t="shared" si="1165"/>
        <v>360</v>
      </c>
      <c r="T1756" s="1969">
        <f t="shared" si="1166"/>
        <v>0</v>
      </c>
      <c r="U1756" s="2002"/>
      <c r="Z1756" s="1956"/>
      <c r="AA1756" s="1956"/>
      <c r="AF1756" s="1836"/>
      <c r="AG1756" s="1836"/>
      <c r="AH1756" s="1836"/>
      <c r="AI1756" s="1837"/>
      <c r="AJ1756" s="1960"/>
    </row>
    <row r="1757" spans="1:36" s="1957" customFormat="1" ht="21.95" customHeight="1" x14ac:dyDescent="0.2">
      <c r="A1757" s="1942"/>
      <c r="B1757" s="1970"/>
      <c r="C1757" s="1971"/>
      <c r="D1757" s="1972"/>
      <c r="E1757" s="1973"/>
      <c r="F1757" s="1974" t="s">
        <v>556</v>
      </c>
      <c r="G1757" s="1975">
        <f>B1748</f>
        <v>1</v>
      </c>
      <c r="H1757" s="1976"/>
      <c r="I1757" s="1977"/>
      <c r="J1757" s="1977"/>
      <c r="K1757" s="1978"/>
      <c r="L1757" s="1979"/>
      <c r="M1757" s="1980"/>
      <c r="N1757" s="1981"/>
      <c r="O1757" s="1982"/>
      <c r="P1757" s="1983">
        <f>SUM(P1750:R1756)</f>
        <v>148445.79999999999</v>
      </c>
      <c r="Q1757" s="1984"/>
      <c r="R1757" s="1985"/>
      <c r="S1757" s="1983">
        <f t="shared" ref="S1757" si="1167">SUM(S1750:U1756)</f>
        <v>148445.79999999999</v>
      </c>
      <c r="T1757" s="1983">
        <f t="shared" ref="T1757" si="1168">SUM(T1750:V1756)</f>
        <v>12358.884999999995</v>
      </c>
      <c r="U1757" s="1986"/>
      <c r="V1757" s="1848"/>
      <c r="W1757" s="1848"/>
      <c r="X1757" s="1848"/>
      <c r="Y1757" s="1848"/>
      <c r="Z1757" s="1956"/>
      <c r="AA1757" s="1956"/>
      <c r="AF1757" s="1958"/>
      <c r="AG1757" s="1958"/>
      <c r="AH1757" s="1958"/>
      <c r="AI1757" s="1959"/>
      <c r="AJ1757" s="1960"/>
    </row>
    <row r="1758" spans="1:36" ht="21.95" customHeight="1" x14ac:dyDescent="0.2">
      <c r="B1758" s="2162">
        <v>5</v>
      </c>
      <c r="C1758" s="2033"/>
      <c r="D1758" s="2034" t="s">
        <v>1861</v>
      </c>
      <c r="E1758" s="2035"/>
      <c r="F1758" s="2036"/>
      <c r="G1758" s="1945"/>
      <c r="H1758" s="2037"/>
      <c r="I1758" s="2038"/>
      <c r="J1758" s="2038"/>
      <c r="K1758" s="2039"/>
      <c r="L1758" s="2040"/>
      <c r="M1758" s="2040"/>
      <c r="N1758" s="1997"/>
      <c r="O1758" s="2041"/>
      <c r="P1758" s="2042"/>
      <c r="Q1758" s="2038"/>
      <c r="R1758" s="2038"/>
      <c r="S1758" s="2038"/>
      <c r="T1758" s="2043"/>
      <c r="U1758" s="2044"/>
      <c r="Z1758" s="1956"/>
      <c r="AA1758" s="1956">
        <f t="shared" si="1099"/>
        <v>0</v>
      </c>
      <c r="AB1758" s="1836" t="s">
        <v>1861</v>
      </c>
      <c r="AF1758" s="1836"/>
      <c r="AG1758" s="1836"/>
      <c r="AH1758" s="1836"/>
      <c r="AI1758" s="1837"/>
      <c r="AJ1758" s="1960">
        <f t="shared" si="1100"/>
        <v>0</v>
      </c>
    </row>
    <row r="1759" spans="1:36" ht="21.95" customHeight="1" x14ac:dyDescent="0.2">
      <c r="A1759" s="1833">
        <f>satpek!B69</f>
        <v>50</v>
      </c>
      <c r="B1759" s="1943">
        <v>1</v>
      </c>
      <c r="C1759" s="1937"/>
      <c r="D1759" s="1944" t="str">
        <f>VLOOKUP($A1759,satpek!$B$20:$N$144,2,0)</f>
        <v>Memasang kloset duduk/monoblok dan aksesoris</v>
      </c>
      <c r="E1759" s="1944"/>
      <c r="F1759" s="2004"/>
      <c r="G1759" s="1945">
        <f>'[3]B.VOL RAB'!Q596</f>
        <v>7</v>
      </c>
      <c r="H1759" s="1946" t="str">
        <f>VLOOKUP($A1759,satpek!$B$20:$N$144,7,0)</f>
        <v>bh</v>
      </c>
      <c r="I1759" s="1947"/>
      <c r="J1759" s="1947"/>
      <c r="K1759" s="1948"/>
      <c r="L1759" s="1949"/>
      <c r="M1759" s="1950" t="str">
        <f>VLOOKUP($A1759,satpek!$B$20:$N$144,5,0)</f>
        <v>A.5.1.1.1.</v>
      </c>
      <c r="N1759" s="1951">
        <f>VLOOKUP($A1759,satpek!$B$20:$N$144,6,0)</f>
        <v>3373897.5</v>
      </c>
      <c r="O1759" s="1938"/>
      <c r="P1759" s="1952">
        <f t="shared" ref="P1759:P1804" si="1169">ROUND((G1759*N1759),2)</f>
        <v>23617282.5</v>
      </c>
      <c r="Q1759" s="1953">
        <f>VLOOKUP($A1759,satpek!$B$20:$L$138,8,0)</f>
        <v>0.46447123838231602</v>
      </c>
      <c r="R1759" s="1954">
        <f>VLOOKUP($A1759,satpek!$B$20:$L$138,9,0)</f>
        <v>1386795</v>
      </c>
      <c r="S1759" s="1954">
        <f>VLOOKUP($A1759,satpek!$B$20:$L$138,10,0)</f>
        <v>1567078.35</v>
      </c>
      <c r="T1759" s="1952">
        <f t="shared" ref="T1759:T1804" si="1170">S1759*G1759</f>
        <v>10969548.450000001</v>
      </c>
      <c r="U1759" s="1955"/>
      <c r="X1759" s="1848">
        <f>P1769</f>
        <v>2985750</v>
      </c>
      <c r="Y1759" s="1848">
        <f>S1769</f>
        <v>1386795</v>
      </c>
      <c r="Z1759" s="1956">
        <v>7</v>
      </c>
      <c r="AA1759" s="1956">
        <f t="shared" si="1099"/>
        <v>0</v>
      </c>
      <c r="AB1759" s="1836" t="s">
        <v>1848</v>
      </c>
      <c r="AF1759" s="1836"/>
      <c r="AG1759" s="1836"/>
      <c r="AH1759" s="1836"/>
      <c r="AI1759" s="1837">
        <v>3359184.9</v>
      </c>
      <c r="AJ1759" s="1960">
        <f t="shared" si="1100"/>
        <v>-14712.600000000093</v>
      </c>
    </row>
    <row r="1760" spans="1:36" ht="21.95" customHeight="1" x14ac:dyDescent="0.2">
      <c r="B1760" s="2045"/>
      <c r="C1760" s="2046" t="str">
        <f>SNI!D1006</f>
        <v>Bahan</v>
      </c>
      <c r="D1760" s="2047"/>
      <c r="E1760" s="2047"/>
      <c r="F1760" s="2048"/>
      <c r="G1760" s="2049"/>
      <c r="H1760" s="2050"/>
      <c r="I1760" s="2051"/>
      <c r="J1760" s="2051"/>
      <c r="K1760" s="2052"/>
      <c r="L1760" s="2053"/>
      <c r="M1760" s="2054"/>
      <c r="N1760" s="2055"/>
      <c r="O1760" s="2056"/>
      <c r="P1760" s="2057"/>
      <c r="Q1760" s="2058"/>
      <c r="R1760" s="2059"/>
      <c r="S1760" s="2059"/>
      <c r="T1760" s="2057"/>
      <c r="U1760" s="2060"/>
      <c r="Z1760" s="1956"/>
      <c r="AA1760" s="1956"/>
      <c r="AF1760" s="1836"/>
      <c r="AG1760" s="1836"/>
      <c r="AH1760" s="1836"/>
      <c r="AI1760" s="1837"/>
      <c r="AJ1760" s="1960"/>
    </row>
    <row r="1761" spans="1:36" ht="21.95" customHeight="1" x14ac:dyDescent="0.2">
      <c r="B1761" s="2045"/>
      <c r="C1761" s="2046"/>
      <c r="D1761" s="2047" t="str">
        <f>SNI!E1006</f>
        <v>Kloset duduk/monoblok</v>
      </c>
      <c r="E1761" s="2047"/>
      <c r="F1761" s="2048"/>
      <c r="G1761" s="2049">
        <f>SNI!H1006</f>
        <v>1</v>
      </c>
      <c r="H1761" s="2050" t="str">
        <f>SNI!G1006</f>
        <v>unit</v>
      </c>
      <c r="I1761" s="2051"/>
      <c r="J1761" s="2051"/>
      <c r="K1761" s="2052">
        <f>SNI!L1006</f>
        <v>0.30630000000000002</v>
      </c>
      <c r="L1761" s="2053"/>
      <c r="M1761" s="2054"/>
      <c r="N1761" s="2055">
        <f>SNI!I1006</f>
        <v>2150000</v>
      </c>
      <c r="O1761" s="2056"/>
      <c r="P1761" s="1969">
        <f t="shared" ref="P1761" si="1171">N1761*G1761</f>
        <v>2150000</v>
      </c>
      <c r="Q1761" s="1953"/>
      <c r="R1761" s="1954"/>
      <c r="S1761" s="1954">
        <f t="shared" ref="S1761" si="1172">P1761*K1761</f>
        <v>658545</v>
      </c>
      <c r="T1761" s="1969">
        <f t="shared" ref="T1761" si="1173">P1761-S1761</f>
        <v>1491455</v>
      </c>
      <c r="U1761" s="2060"/>
      <c r="Z1761" s="1956"/>
      <c r="AA1761" s="1956"/>
      <c r="AF1761" s="1836"/>
      <c r="AG1761" s="1836"/>
      <c r="AH1761" s="1836"/>
      <c r="AI1761" s="1837"/>
      <c r="AJ1761" s="1960"/>
    </row>
    <row r="1762" spans="1:36" ht="21.95" customHeight="1" x14ac:dyDescent="0.2">
      <c r="B1762" s="2045"/>
      <c r="C1762" s="2046"/>
      <c r="D1762" s="2047" t="str">
        <f>SNI!E1007</f>
        <v>Perlengkapan</v>
      </c>
      <c r="E1762" s="2047"/>
      <c r="F1762" s="2048"/>
      <c r="G1762" s="2049">
        <f>SNI!H1007</f>
        <v>1</v>
      </c>
      <c r="H1762" s="2050" t="str">
        <f>SNI!G1007</f>
        <v>ls</v>
      </c>
      <c r="I1762" s="2051"/>
      <c r="J1762" s="2051"/>
      <c r="K1762" s="2052">
        <f>SNI!L1007</f>
        <v>0.75</v>
      </c>
      <c r="L1762" s="2053"/>
      <c r="M1762" s="2054"/>
      <c r="N1762" s="2055">
        <f>SNI!I1007</f>
        <v>430000</v>
      </c>
      <c r="O1762" s="2056"/>
      <c r="P1762" s="1969">
        <f t="shared" ref="P1762:P1768" si="1174">N1762*G1762</f>
        <v>430000</v>
      </c>
      <c r="Q1762" s="1953"/>
      <c r="R1762" s="1954"/>
      <c r="S1762" s="1954">
        <f t="shared" ref="S1762:S1768" si="1175">P1762*K1762</f>
        <v>322500</v>
      </c>
      <c r="T1762" s="1969">
        <f t="shared" ref="T1762:T1768" si="1176">P1762-S1762</f>
        <v>107500</v>
      </c>
      <c r="U1762" s="2060"/>
      <c r="Z1762" s="1956"/>
      <c r="AA1762" s="1956"/>
      <c r="AF1762" s="1836"/>
      <c r="AG1762" s="1836"/>
      <c r="AH1762" s="1836"/>
      <c r="AI1762" s="1837"/>
      <c r="AJ1762" s="1960"/>
    </row>
    <row r="1763" spans="1:36" ht="21.95" customHeight="1" x14ac:dyDescent="0.2">
      <c r="B1763" s="2045"/>
      <c r="C1763" s="2046"/>
      <c r="D1763" s="2047" t="str">
        <f>SNI!E1008</f>
        <v>( 6% harga kloset )</v>
      </c>
      <c r="E1763" s="2047"/>
      <c r="F1763" s="2048"/>
      <c r="G1763" s="2049">
        <f>SNI!H1008</f>
        <v>0</v>
      </c>
      <c r="H1763" s="2050">
        <f>SNI!G1008</f>
        <v>0</v>
      </c>
      <c r="I1763" s="2051"/>
      <c r="J1763" s="2051"/>
      <c r="K1763" s="2052">
        <f>SNI!L1008</f>
        <v>0</v>
      </c>
      <c r="L1763" s="2053"/>
      <c r="M1763" s="2054"/>
      <c r="N1763" s="2055">
        <f>SNI!I1008</f>
        <v>0</v>
      </c>
      <c r="O1763" s="2056"/>
      <c r="P1763" s="1969">
        <f t="shared" si="1174"/>
        <v>0</v>
      </c>
      <c r="Q1763" s="1953"/>
      <c r="R1763" s="1954"/>
      <c r="S1763" s="1954">
        <f t="shared" si="1175"/>
        <v>0</v>
      </c>
      <c r="T1763" s="1969">
        <f t="shared" si="1176"/>
        <v>0</v>
      </c>
      <c r="U1763" s="2060"/>
      <c r="Z1763" s="1956"/>
      <c r="AA1763" s="1956"/>
      <c r="AF1763" s="1836"/>
      <c r="AG1763" s="1836"/>
      <c r="AH1763" s="1836"/>
      <c r="AI1763" s="1837"/>
      <c r="AJ1763" s="1960"/>
    </row>
    <row r="1764" spans="1:36" ht="21.95" customHeight="1" x14ac:dyDescent="0.2">
      <c r="B1764" s="2045"/>
      <c r="C1764" s="2046" t="str">
        <f>SNI!D1010</f>
        <v>Tenaga Kerja</v>
      </c>
      <c r="D1764" s="2047"/>
      <c r="E1764" s="2047"/>
      <c r="F1764" s="2048"/>
      <c r="G1764" s="2049"/>
      <c r="H1764" s="2050"/>
      <c r="I1764" s="2051"/>
      <c r="J1764" s="2051"/>
      <c r="K1764" s="2052"/>
      <c r="L1764" s="2053"/>
      <c r="M1764" s="2054"/>
      <c r="N1764" s="2055"/>
      <c r="O1764" s="2056"/>
      <c r="P1764" s="1969"/>
      <c r="Q1764" s="1953"/>
      <c r="R1764" s="1954"/>
      <c r="S1764" s="1954"/>
      <c r="T1764" s="1969"/>
      <c r="U1764" s="2060"/>
      <c r="Z1764" s="1956"/>
      <c r="AA1764" s="1956"/>
      <c r="AF1764" s="1836"/>
      <c r="AG1764" s="1836"/>
      <c r="AH1764" s="1836"/>
      <c r="AI1764" s="1837"/>
      <c r="AJ1764" s="1960"/>
    </row>
    <row r="1765" spans="1:36" ht="21.95" customHeight="1" x14ac:dyDescent="0.2">
      <c r="B1765" s="2045"/>
      <c r="C1765" s="2046"/>
      <c r="D1765" s="2047" t="str">
        <f>SNI!E1010</f>
        <v>Pekerja</v>
      </c>
      <c r="E1765" s="2047"/>
      <c r="F1765" s="2048"/>
      <c r="G1765" s="2049">
        <f>SNI!H1010</f>
        <v>3.3</v>
      </c>
      <c r="H1765" s="2050" t="str">
        <f>SNI!G1010</f>
        <v>OH</v>
      </c>
      <c r="I1765" s="2142" t="s">
        <v>2012</v>
      </c>
      <c r="J1765" s="2051"/>
      <c r="K1765" s="2052">
        <f>SNI!L1010</f>
        <v>1</v>
      </c>
      <c r="L1765" s="2053"/>
      <c r="M1765" s="2054"/>
      <c r="N1765" s="2055">
        <f>SNI!I1010</f>
        <v>88300</v>
      </c>
      <c r="O1765" s="2056"/>
      <c r="P1765" s="1969">
        <f t="shared" si="1174"/>
        <v>291390</v>
      </c>
      <c r="Q1765" s="1953"/>
      <c r="R1765" s="1954"/>
      <c r="S1765" s="1954">
        <f t="shared" si="1175"/>
        <v>291390</v>
      </c>
      <c r="T1765" s="1969">
        <f t="shared" si="1176"/>
        <v>0</v>
      </c>
      <c r="U1765" s="2060"/>
      <c r="Z1765" s="1956"/>
      <c r="AA1765" s="1956"/>
      <c r="AF1765" s="1836"/>
      <c r="AG1765" s="1836"/>
      <c r="AH1765" s="1836"/>
      <c r="AI1765" s="1837"/>
      <c r="AJ1765" s="1960"/>
    </row>
    <row r="1766" spans="1:36" ht="21.95" customHeight="1" x14ac:dyDescent="0.2">
      <c r="B1766" s="2045"/>
      <c r="C1766" s="2046"/>
      <c r="D1766" s="2047" t="str">
        <f>SNI!E1011</f>
        <v>Tukang batu</v>
      </c>
      <c r="E1766" s="2047"/>
      <c r="F1766" s="2048"/>
      <c r="G1766" s="2049">
        <f>SNI!H1011</f>
        <v>1.1000000000000001</v>
      </c>
      <c r="H1766" s="2050" t="str">
        <f>SNI!G1011</f>
        <v>OH</v>
      </c>
      <c r="I1766" s="2142" t="s">
        <v>2012</v>
      </c>
      <c r="J1766" s="2051"/>
      <c r="K1766" s="2052">
        <f>SNI!L1011</f>
        <v>1</v>
      </c>
      <c r="L1766" s="2053"/>
      <c r="M1766" s="2054"/>
      <c r="N1766" s="2055">
        <f>SNI!I1011</f>
        <v>90000</v>
      </c>
      <c r="O1766" s="2056"/>
      <c r="P1766" s="1969">
        <f t="shared" si="1174"/>
        <v>99000.000000000015</v>
      </c>
      <c r="Q1766" s="1953"/>
      <c r="R1766" s="1954"/>
      <c r="S1766" s="1954">
        <f t="shared" si="1175"/>
        <v>99000.000000000015</v>
      </c>
      <c r="T1766" s="1969">
        <f t="shared" si="1176"/>
        <v>0</v>
      </c>
      <c r="U1766" s="2060"/>
      <c r="Z1766" s="1956"/>
      <c r="AA1766" s="1956"/>
      <c r="AF1766" s="1836"/>
      <c r="AG1766" s="1836"/>
      <c r="AH1766" s="1836"/>
      <c r="AI1766" s="1837"/>
      <c r="AJ1766" s="1960"/>
    </row>
    <row r="1767" spans="1:36" ht="21.95" customHeight="1" x14ac:dyDescent="0.2">
      <c r="B1767" s="2045"/>
      <c r="C1767" s="2046"/>
      <c r="D1767" s="2047" t="str">
        <f>SNI!E1012</f>
        <v>Kepala tukang</v>
      </c>
      <c r="E1767" s="2047"/>
      <c r="F1767" s="2048"/>
      <c r="G1767" s="2049">
        <f>SNI!H1012</f>
        <v>0.01</v>
      </c>
      <c r="H1767" s="2050" t="str">
        <f>SNI!G1012</f>
        <v>OH</v>
      </c>
      <c r="I1767" s="2142" t="s">
        <v>2012</v>
      </c>
      <c r="J1767" s="2051"/>
      <c r="K1767" s="2052">
        <f>SNI!L1012</f>
        <v>1</v>
      </c>
      <c r="L1767" s="2053"/>
      <c r="M1767" s="2054"/>
      <c r="N1767" s="2055">
        <f>SNI!I1012</f>
        <v>96000</v>
      </c>
      <c r="O1767" s="2056"/>
      <c r="P1767" s="1969">
        <f t="shared" si="1174"/>
        <v>960</v>
      </c>
      <c r="Q1767" s="1953"/>
      <c r="R1767" s="1954"/>
      <c r="S1767" s="1954">
        <f t="shared" si="1175"/>
        <v>960</v>
      </c>
      <c r="T1767" s="1969">
        <f t="shared" si="1176"/>
        <v>0</v>
      </c>
      <c r="U1767" s="2060"/>
      <c r="Z1767" s="1956"/>
      <c r="AA1767" s="1956"/>
      <c r="AF1767" s="1836"/>
      <c r="AG1767" s="1836"/>
      <c r="AH1767" s="1836"/>
      <c r="AI1767" s="1837"/>
      <c r="AJ1767" s="1960"/>
    </row>
    <row r="1768" spans="1:36" ht="21.95" customHeight="1" x14ac:dyDescent="0.2">
      <c r="B1768" s="2045"/>
      <c r="C1768" s="2046"/>
      <c r="D1768" s="2047" t="str">
        <f>SNI!E1013</f>
        <v>Mandor</v>
      </c>
      <c r="E1768" s="2047"/>
      <c r="F1768" s="2048"/>
      <c r="G1768" s="2049">
        <f>SNI!H1013</f>
        <v>0.16</v>
      </c>
      <c r="H1768" s="2050" t="str">
        <f>SNI!G1013</f>
        <v>OH</v>
      </c>
      <c r="I1768" s="2142" t="s">
        <v>2012</v>
      </c>
      <c r="J1768" s="2051"/>
      <c r="K1768" s="2052">
        <f>SNI!L1013</f>
        <v>1</v>
      </c>
      <c r="L1768" s="2053"/>
      <c r="M1768" s="2054"/>
      <c r="N1768" s="2055">
        <f>SNI!I1013</f>
        <v>90000</v>
      </c>
      <c r="O1768" s="2056"/>
      <c r="P1768" s="1969">
        <f t="shared" si="1174"/>
        <v>14400</v>
      </c>
      <c r="Q1768" s="1953"/>
      <c r="R1768" s="1954"/>
      <c r="S1768" s="1954">
        <f t="shared" si="1175"/>
        <v>14400</v>
      </c>
      <c r="T1768" s="1969">
        <f t="shared" si="1176"/>
        <v>0</v>
      </c>
      <c r="U1768" s="2060"/>
      <c r="Z1768" s="1956"/>
      <c r="AA1768" s="1956"/>
      <c r="AF1768" s="1836"/>
      <c r="AG1768" s="1836"/>
      <c r="AH1768" s="1836"/>
      <c r="AI1768" s="1837"/>
      <c r="AJ1768" s="1960"/>
    </row>
    <row r="1769" spans="1:36" s="1957" customFormat="1" ht="21.95" customHeight="1" x14ac:dyDescent="0.2">
      <c r="A1769" s="1942"/>
      <c r="B1769" s="1970"/>
      <c r="C1769" s="1971"/>
      <c r="D1769" s="1972"/>
      <c r="E1769" s="1973"/>
      <c r="F1769" s="1974" t="s">
        <v>556</v>
      </c>
      <c r="G1769" s="1975">
        <f>B1759</f>
        <v>1</v>
      </c>
      <c r="H1769" s="1976"/>
      <c r="I1769" s="1977"/>
      <c r="J1769" s="1977"/>
      <c r="K1769" s="1978"/>
      <c r="L1769" s="1979"/>
      <c r="M1769" s="1980"/>
      <c r="N1769" s="1981"/>
      <c r="O1769" s="1982"/>
      <c r="P1769" s="1983">
        <f>SUM(P1761:P1768)</f>
        <v>2985750</v>
      </c>
      <c r="Q1769" s="1984"/>
      <c r="R1769" s="1985"/>
      <c r="S1769" s="1983">
        <f t="shared" ref="S1769:T1769" si="1177">SUM(S1761:S1768)</f>
        <v>1386795</v>
      </c>
      <c r="T1769" s="1983">
        <f t="shared" si="1177"/>
        <v>1598955</v>
      </c>
      <c r="U1769" s="1986"/>
      <c r="V1769" s="1848"/>
      <c r="W1769" s="1848"/>
      <c r="X1769" s="1848"/>
      <c r="Y1769" s="1848"/>
      <c r="Z1769" s="1956"/>
      <c r="AA1769" s="1956"/>
      <c r="AF1769" s="1958"/>
      <c r="AG1769" s="1958"/>
      <c r="AH1769" s="1958"/>
      <c r="AI1769" s="1959"/>
      <c r="AJ1769" s="1960"/>
    </row>
    <row r="1770" spans="1:36" ht="21.95" customHeight="1" x14ac:dyDescent="0.2">
      <c r="A1770" s="1833">
        <f>satpek!B71</f>
        <v>52</v>
      </c>
      <c r="B1770" s="1943">
        <f>B1759+1</f>
        <v>2</v>
      </c>
      <c r="C1770" s="1937"/>
      <c r="D1770" s="1944" t="str">
        <f>VLOOKUP($A1770,satpek!$B$20:$N$144,2,0)</f>
        <v>Memasang wastafel lengkap sifon stainless</v>
      </c>
      <c r="E1770" s="1944"/>
      <c r="F1770" s="2004"/>
      <c r="G1770" s="1945">
        <f>'[3]B.VOL RAB'!Q597</f>
        <v>4</v>
      </c>
      <c r="H1770" s="1946" t="str">
        <f>VLOOKUP($A1770,satpek!$B$20:$N$144,7,0)</f>
        <v>bh</v>
      </c>
      <c r="I1770" s="1947"/>
      <c r="J1770" s="1947"/>
      <c r="K1770" s="1948"/>
      <c r="L1770" s="1949"/>
      <c r="M1770" s="1950" t="str">
        <f>VLOOKUP($A1770,satpek!$B$20:$N$144,5,0)</f>
        <v>A.5.1.1.5.</v>
      </c>
      <c r="N1770" s="1951">
        <f>VLOOKUP($A1770,satpek!$B$20:$N$144,6,0)</f>
        <v>1376407.8</v>
      </c>
      <c r="O1770" s="1938"/>
      <c r="P1770" s="1952">
        <f t="shared" si="1169"/>
        <v>5505631.2000000002</v>
      </c>
      <c r="Q1770" s="1953">
        <f>VLOOKUP($A1770,satpek!$B$20:$L$138,8,0)</f>
        <v>0.71936118089420875</v>
      </c>
      <c r="R1770" s="1954">
        <f>VLOOKUP($A1770,satpek!$B$20:$L$138,9,0)</f>
        <v>876225.08</v>
      </c>
      <c r="S1770" s="1954">
        <f>VLOOKUP($A1770,satpek!$B$20:$L$138,10,0)</f>
        <v>990134.34039999999</v>
      </c>
      <c r="T1770" s="1952">
        <f t="shared" si="1170"/>
        <v>3960537.3615999999</v>
      </c>
      <c r="U1770" s="1955"/>
      <c r="X1770" s="1848">
        <f>P1782</f>
        <v>1218060</v>
      </c>
      <c r="Y1770" s="1848">
        <f>S1782</f>
        <v>876225.08</v>
      </c>
      <c r="Z1770" s="1956">
        <v>4</v>
      </c>
      <c r="AA1770" s="1956">
        <f t="shared" si="1099"/>
        <v>0</v>
      </c>
      <c r="AB1770" s="1836" t="s">
        <v>1849</v>
      </c>
      <c r="AF1770" s="1836"/>
      <c r="AG1770" s="1836"/>
      <c r="AH1770" s="1836"/>
      <c r="AI1770" s="1837">
        <v>1003649.05</v>
      </c>
      <c r="AJ1770" s="1960">
        <f t="shared" si="1100"/>
        <v>-372758.75</v>
      </c>
    </row>
    <row r="1771" spans="1:36" ht="21.95" customHeight="1" x14ac:dyDescent="0.2">
      <c r="B1771" s="2045"/>
      <c r="C1771" s="2046" t="str">
        <f>SNI!D1046</f>
        <v>Bahan</v>
      </c>
      <c r="D1771" s="2047"/>
      <c r="E1771" s="2047"/>
      <c r="F1771" s="2048"/>
      <c r="G1771" s="2049"/>
      <c r="H1771" s="2050"/>
      <c r="I1771" s="2051"/>
      <c r="J1771" s="2051"/>
      <c r="K1771" s="2052"/>
      <c r="L1771" s="2053"/>
      <c r="M1771" s="2054"/>
      <c r="N1771" s="2055"/>
      <c r="O1771" s="2056"/>
      <c r="P1771" s="2057"/>
      <c r="Q1771" s="2058"/>
      <c r="R1771" s="2059"/>
      <c r="S1771" s="2059"/>
      <c r="T1771" s="2057"/>
      <c r="U1771" s="2060"/>
      <c r="Z1771" s="1956"/>
      <c r="AA1771" s="1956"/>
      <c r="AF1771" s="1836"/>
      <c r="AG1771" s="1836"/>
      <c r="AH1771" s="1836"/>
      <c r="AI1771" s="1837"/>
      <c r="AJ1771" s="1960"/>
    </row>
    <row r="1772" spans="1:36" ht="21.95" customHeight="1" x14ac:dyDescent="0.2">
      <c r="B1772" s="2045"/>
      <c r="C1772" s="2046"/>
      <c r="D1772" s="2047" t="str">
        <f>SNI!E1046</f>
        <v>Wastafel</v>
      </c>
      <c r="E1772" s="2047"/>
      <c r="F1772" s="2048"/>
      <c r="G1772" s="2049">
        <f>SNI!H1046</f>
        <v>1</v>
      </c>
      <c r="H1772" s="2050" t="str">
        <f>SNI!G1046</f>
        <v>unit</v>
      </c>
      <c r="I1772" s="2051"/>
      <c r="J1772" s="2051"/>
      <c r="K1772" s="2052">
        <f>SNI!L1046</f>
        <v>0.62909999999999999</v>
      </c>
      <c r="L1772" s="2053"/>
      <c r="M1772" s="2054"/>
      <c r="N1772" s="2055">
        <f>SNI!I1046</f>
        <v>850000</v>
      </c>
      <c r="O1772" s="2056"/>
      <c r="P1772" s="1969">
        <f t="shared" ref="P1772" si="1178">N1772*G1772</f>
        <v>850000</v>
      </c>
      <c r="Q1772" s="1953"/>
      <c r="R1772" s="1954"/>
      <c r="S1772" s="1954">
        <f t="shared" ref="S1772" si="1179">P1772*K1772</f>
        <v>534735</v>
      </c>
      <c r="T1772" s="1969">
        <f t="shared" ref="T1772" si="1180">P1772-S1772</f>
        <v>315265</v>
      </c>
      <c r="U1772" s="2060"/>
      <c r="Z1772" s="1956"/>
      <c r="AA1772" s="1956"/>
      <c r="AF1772" s="1836"/>
      <c r="AG1772" s="1836"/>
      <c r="AH1772" s="1836"/>
      <c r="AI1772" s="1837"/>
      <c r="AJ1772" s="1960"/>
    </row>
    <row r="1773" spans="1:36" ht="21.95" customHeight="1" x14ac:dyDescent="0.2">
      <c r="B1773" s="2045"/>
      <c r="C1773" s="2046"/>
      <c r="D1773" s="2047" t="str">
        <f>SNI!E1047</f>
        <v>Perlengkapan</v>
      </c>
      <c r="E1773" s="2047"/>
      <c r="F1773" s="2048"/>
      <c r="G1773" s="2049">
        <f>SNI!H1047</f>
        <v>1</v>
      </c>
      <c r="H1773" s="2050" t="str">
        <f>SNI!G1047</f>
        <v>bh</v>
      </c>
      <c r="I1773" s="2051"/>
      <c r="J1773" s="2051"/>
      <c r="K1773" s="2052">
        <f>SNI!L1047</f>
        <v>0.75</v>
      </c>
      <c r="L1773" s="2053"/>
      <c r="M1773" s="2054"/>
      <c r="N1773" s="2055">
        <f>SNI!I1047</f>
        <v>102000</v>
      </c>
      <c r="O1773" s="2056"/>
      <c r="P1773" s="1969">
        <f t="shared" ref="P1773:P1781" si="1181">N1773*G1773</f>
        <v>102000</v>
      </c>
      <c r="Q1773" s="1953"/>
      <c r="R1773" s="1954"/>
      <c r="S1773" s="1954">
        <f t="shared" ref="S1773:S1781" si="1182">P1773*K1773</f>
        <v>76500</v>
      </c>
      <c r="T1773" s="1969">
        <f t="shared" ref="T1773:T1781" si="1183">P1773-S1773</f>
        <v>25500</v>
      </c>
      <c r="U1773" s="2060"/>
      <c r="Z1773" s="1956"/>
      <c r="AA1773" s="1956"/>
      <c r="AF1773" s="1836"/>
      <c r="AG1773" s="1836"/>
      <c r="AH1773" s="1836"/>
      <c r="AI1773" s="1837"/>
      <c r="AJ1773" s="1960"/>
    </row>
    <row r="1774" spans="1:36" ht="21.95" customHeight="1" x14ac:dyDescent="0.2">
      <c r="B1774" s="2045"/>
      <c r="C1774" s="2046"/>
      <c r="D1774" s="2047" t="str">
        <f>SNI!E1048</f>
        <v>( 12% harga wastafel )</v>
      </c>
      <c r="E1774" s="2047"/>
      <c r="F1774" s="2048"/>
      <c r="G1774" s="2049"/>
      <c r="H1774" s="2050"/>
      <c r="I1774" s="2051"/>
      <c r="J1774" s="2051"/>
      <c r="K1774" s="2052"/>
      <c r="L1774" s="2053"/>
      <c r="M1774" s="2054"/>
      <c r="N1774" s="2055"/>
      <c r="O1774" s="2056"/>
      <c r="P1774" s="1969"/>
      <c r="Q1774" s="1953"/>
      <c r="R1774" s="1954"/>
      <c r="S1774" s="1954"/>
      <c r="T1774" s="1969"/>
      <c r="U1774" s="2060"/>
      <c r="Z1774" s="1956"/>
      <c r="AA1774" s="1956"/>
      <c r="AF1774" s="1836"/>
      <c r="AG1774" s="1836"/>
      <c r="AH1774" s="1836"/>
      <c r="AI1774" s="1837"/>
      <c r="AJ1774" s="1960"/>
    </row>
    <row r="1775" spans="1:36" ht="21.95" customHeight="1" x14ac:dyDescent="0.2">
      <c r="B1775" s="2045"/>
      <c r="C1775" s="2046"/>
      <c r="D1775" s="2047" t="str">
        <f>SNI!E1049</f>
        <v>PC</v>
      </c>
      <c r="E1775" s="2047"/>
      <c r="F1775" s="2048"/>
      <c r="G1775" s="2049">
        <f>SNI!H1049</f>
        <v>6</v>
      </c>
      <c r="H1775" s="2050" t="str">
        <f>SNI!G1049</f>
        <v>kg</v>
      </c>
      <c r="I1775" s="2051"/>
      <c r="J1775" s="2051"/>
      <c r="K1775" s="2052">
        <f>SNI!L1049</f>
        <v>0.85140000000000005</v>
      </c>
      <c r="L1775" s="2053"/>
      <c r="M1775" s="2054"/>
      <c r="N1775" s="2055">
        <f>SNI!I1049</f>
        <v>1200</v>
      </c>
      <c r="O1775" s="2056"/>
      <c r="P1775" s="1969">
        <f t="shared" si="1181"/>
        <v>7200</v>
      </c>
      <c r="Q1775" s="1953"/>
      <c r="R1775" s="1954"/>
      <c r="S1775" s="1954">
        <f t="shared" si="1182"/>
        <v>6130.08</v>
      </c>
      <c r="T1775" s="1969">
        <f t="shared" si="1183"/>
        <v>1069.92</v>
      </c>
      <c r="U1775" s="2060"/>
      <c r="Z1775" s="1956"/>
      <c r="AA1775" s="1956"/>
      <c r="AF1775" s="1836"/>
      <c r="AG1775" s="1836"/>
      <c r="AH1775" s="1836"/>
      <c r="AI1775" s="1837"/>
      <c r="AJ1775" s="1960"/>
    </row>
    <row r="1776" spans="1:36" ht="21.95" customHeight="1" x14ac:dyDescent="0.2">
      <c r="B1776" s="2045"/>
      <c r="C1776" s="2046"/>
      <c r="D1776" s="2047" t="str">
        <f>SNI!E1050</f>
        <v>Pasir pasang</v>
      </c>
      <c r="E1776" s="2047"/>
      <c r="F1776" s="2048"/>
      <c r="G1776" s="2049">
        <f>SNI!H1050</f>
        <v>0.01</v>
      </c>
      <c r="H1776" s="2050" t="str">
        <f>SNI!G1050</f>
        <v>m3</v>
      </c>
      <c r="I1776" s="2051"/>
      <c r="J1776" s="2051"/>
      <c r="K1776" s="2052">
        <f>SNI!L1050</f>
        <v>1</v>
      </c>
      <c r="L1776" s="2053"/>
      <c r="M1776" s="2054"/>
      <c r="N1776" s="2055">
        <f>SNI!I1050</f>
        <v>260000</v>
      </c>
      <c r="O1776" s="2056"/>
      <c r="P1776" s="1969">
        <f t="shared" si="1181"/>
        <v>2600</v>
      </c>
      <c r="Q1776" s="1953"/>
      <c r="R1776" s="1954"/>
      <c r="S1776" s="1954">
        <f t="shared" si="1182"/>
        <v>2600</v>
      </c>
      <c r="T1776" s="1969">
        <f t="shared" si="1183"/>
        <v>0</v>
      </c>
      <c r="U1776" s="2060"/>
      <c r="Z1776" s="1956"/>
      <c r="AA1776" s="1956"/>
      <c r="AF1776" s="1836"/>
      <c r="AG1776" s="1836"/>
      <c r="AH1776" s="1836"/>
      <c r="AI1776" s="1837"/>
      <c r="AJ1776" s="1960"/>
    </row>
    <row r="1777" spans="1:36" ht="21.95" customHeight="1" x14ac:dyDescent="0.2">
      <c r="B1777" s="2045"/>
      <c r="C1777" s="2046" t="str">
        <f>SNI!D1052</f>
        <v>Tenaga Kerja</v>
      </c>
      <c r="D1777" s="2047"/>
      <c r="E1777" s="2047"/>
      <c r="F1777" s="2048"/>
      <c r="G1777" s="2049"/>
      <c r="H1777" s="2050"/>
      <c r="I1777" s="2051"/>
      <c r="J1777" s="2051"/>
      <c r="K1777" s="2052"/>
      <c r="L1777" s="2053"/>
      <c r="M1777" s="2054"/>
      <c r="N1777" s="2055"/>
      <c r="O1777" s="2056"/>
      <c r="P1777" s="1969"/>
      <c r="Q1777" s="1953"/>
      <c r="R1777" s="1954"/>
      <c r="S1777" s="1954"/>
      <c r="T1777" s="1969"/>
      <c r="U1777" s="2060"/>
      <c r="Z1777" s="1956"/>
      <c r="AA1777" s="1956"/>
      <c r="AF1777" s="1836"/>
      <c r="AG1777" s="1836"/>
      <c r="AH1777" s="1836"/>
      <c r="AI1777" s="1837"/>
      <c r="AJ1777" s="1960"/>
    </row>
    <row r="1778" spans="1:36" ht="21.95" customHeight="1" x14ac:dyDescent="0.2">
      <c r="B1778" s="2045"/>
      <c r="C1778" s="2046"/>
      <c r="D1778" s="2047" t="str">
        <f>SNI!E1052</f>
        <v>Pekerja</v>
      </c>
      <c r="E1778" s="2047"/>
      <c r="F1778" s="2048"/>
      <c r="G1778" s="2049">
        <f>SNI!H1052</f>
        <v>1.2</v>
      </c>
      <c r="H1778" s="2050" t="str">
        <f>SNI!G1052</f>
        <v>OH</v>
      </c>
      <c r="I1778" s="2142" t="s">
        <v>2012</v>
      </c>
      <c r="J1778" s="2051"/>
      <c r="K1778" s="2052">
        <f>SNI!L1052</f>
        <v>1</v>
      </c>
      <c r="L1778" s="2053"/>
      <c r="M1778" s="2054"/>
      <c r="N1778" s="2055">
        <f>SNI!I1052</f>
        <v>88300</v>
      </c>
      <c r="O1778" s="2056"/>
      <c r="P1778" s="1969">
        <f t="shared" si="1181"/>
        <v>105960</v>
      </c>
      <c r="Q1778" s="1953"/>
      <c r="R1778" s="1954"/>
      <c r="S1778" s="1954">
        <f t="shared" si="1182"/>
        <v>105960</v>
      </c>
      <c r="T1778" s="1969">
        <f t="shared" si="1183"/>
        <v>0</v>
      </c>
      <c r="U1778" s="2060"/>
      <c r="Z1778" s="1956"/>
      <c r="AA1778" s="1956"/>
      <c r="AF1778" s="1836"/>
      <c r="AG1778" s="1836"/>
      <c r="AH1778" s="1836"/>
      <c r="AI1778" s="1837"/>
      <c r="AJ1778" s="1960"/>
    </row>
    <row r="1779" spans="1:36" ht="21.95" customHeight="1" x14ac:dyDescent="0.2">
      <c r="B1779" s="2045"/>
      <c r="C1779" s="2046"/>
      <c r="D1779" s="2047" t="str">
        <f>SNI!E1053</f>
        <v>Tukang batu</v>
      </c>
      <c r="E1779" s="2047"/>
      <c r="F1779" s="2048"/>
      <c r="G1779" s="2049">
        <f>SNI!H1053</f>
        <v>1.45</v>
      </c>
      <c r="H1779" s="2050" t="str">
        <f>SNI!G1053</f>
        <v>OH</v>
      </c>
      <c r="I1779" s="2142" t="s">
        <v>2012</v>
      </c>
      <c r="J1779" s="2051"/>
      <c r="K1779" s="2052">
        <f>SNI!L1053</f>
        <v>1</v>
      </c>
      <c r="L1779" s="2053"/>
      <c r="M1779" s="2054"/>
      <c r="N1779" s="2055">
        <f>SNI!I1053</f>
        <v>90000</v>
      </c>
      <c r="O1779" s="2056"/>
      <c r="P1779" s="1969">
        <f t="shared" si="1181"/>
        <v>130500</v>
      </c>
      <c r="Q1779" s="1953"/>
      <c r="R1779" s="1954"/>
      <c r="S1779" s="1954">
        <f t="shared" si="1182"/>
        <v>130500</v>
      </c>
      <c r="T1779" s="1969">
        <f t="shared" si="1183"/>
        <v>0</v>
      </c>
      <c r="U1779" s="2060"/>
      <c r="Z1779" s="1956"/>
      <c r="AA1779" s="1956"/>
      <c r="AF1779" s="1836"/>
      <c r="AG1779" s="1836"/>
      <c r="AH1779" s="1836"/>
      <c r="AI1779" s="1837"/>
      <c r="AJ1779" s="1960"/>
    </row>
    <row r="1780" spans="1:36" ht="21.95" customHeight="1" x14ac:dyDescent="0.2">
      <c r="B1780" s="2045"/>
      <c r="C1780" s="2046"/>
      <c r="D1780" s="2047" t="str">
        <f>SNI!E1054</f>
        <v>Kepala tukang</v>
      </c>
      <c r="E1780" s="2047"/>
      <c r="F1780" s="2048"/>
      <c r="G1780" s="2049">
        <f>SNI!H1054</f>
        <v>0.15</v>
      </c>
      <c r="H1780" s="2050" t="str">
        <f>SNI!G1054</f>
        <v>OH</v>
      </c>
      <c r="I1780" s="2142" t="s">
        <v>2012</v>
      </c>
      <c r="J1780" s="2051"/>
      <c r="K1780" s="2052">
        <f>SNI!L1054</f>
        <v>1</v>
      </c>
      <c r="L1780" s="2053"/>
      <c r="M1780" s="2054"/>
      <c r="N1780" s="2055">
        <f>SNI!I1054</f>
        <v>96000</v>
      </c>
      <c r="O1780" s="2056"/>
      <c r="P1780" s="1969">
        <f t="shared" si="1181"/>
        <v>14400</v>
      </c>
      <c r="Q1780" s="1953"/>
      <c r="R1780" s="1954"/>
      <c r="S1780" s="1954">
        <f t="shared" si="1182"/>
        <v>14400</v>
      </c>
      <c r="T1780" s="1969">
        <f t="shared" si="1183"/>
        <v>0</v>
      </c>
      <c r="U1780" s="2060"/>
      <c r="Z1780" s="1956"/>
      <c r="AA1780" s="1956"/>
      <c r="AF1780" s="1836"/>
      <c r="AG1780" s="1836"/>
      <c r="AH1780" s="1836"/>
      <c r="AI1780" s="1837"/>
      <c r="AJ1780" s="1960"/>
    </row>
    <row r="1781" spans="1:36" ht="21.95" customHeight="1" x14ac:dyDescent="0.2">
      <c r="B1781" s="2045"/>
      <c r="C1781" s="2046"/>
      <c r="D1781" s="2047" t="str">
        <f>SNI!E1055</f>
        <v>Mandor</v>
      </c>
      <c r="E1781" s="2047"/>
      <c r="F1781" s="2048"/>
      <c r="G1781" s="2049">
        <f>SNI!H1055</f>
        <v>0.06</v>
      </c>
      <c r="H1781" s="2050" t="str">
        <f>SNI!G1055</f>
        <v>OH</v>
      </c>
      <c r="I1781" s="2142" t="s">
        <v>2012</v>
      </c>
      <c r="J1781" s="2051"/>
      <c r="K1781" s="2052">
        <f>SNI!L1055</f>
        <v>1</v>
      </c>
      <c r="L1781" s="2053"/>
      <c r="M1781" s="2054"/>
      <c r="N1781" s="2055">
        <f>SNI!I1055</f>
        <v>90000</v>
      </c>
      <c r="O1781" s="2056"/>
      <c r="P1781" s="1969">
        <f t="shared" si="1181"/>
        <v>5400</v>
      </c>
      <c r="Q1781" s="1953"/>
      <c r="R1781" s="1954"/>
      <c r="S1781" s="1954">
        <f t="shared" si="1182"/>
        <v>5400</v>
      </c>
      <c r="T1781" s="1969">
        <f t="shared" si="1183"/>
        <v>0</v>
      </c>
      <c r="U1781" s="2060"/>
      <c r="Z1781" s="1956"/>
      <c r="AA1781" s="1956"/>
      <c r="AF1781" s="1836"/>
      <c r="AG1781" s="1836"/>
      <c r="AH1781" s="1836"/>
      <c r="AI1781" s="1837"/>
      <c r="AJ1781" s="1960"/>
    </row>
    <row r="1782" spans="1:36" s="1957" customFormat="1" ht="21.95" customHeight="1" x14ac:dyDescent="0.2">
      <c r="A1782" s="1942"/>
      <c r="B1782" s="1970"/>
      <c r="C1782" s="1971"/>
      <c r="D1782" s="1972"/>
      <c r="E1782" s="1973"/>
      <c r="F1782" s="1974" t="s">
        <v>556</v>
      </c>
      <c r="G1782" s="1975">
        <f>B1770</f>
        <v>2</v>
      </c>
      <c r="H1782" s="1976"/>
      <c r="I1782" s="1977"/>
      <c r="J1782" s="1977"/>
      <c r="K1782" s="1978"/>
      <c r="L1782" s="1979"/>
      <c r="M1782" s="1980"/>
      <c r="N1782" s="1981"/>
      <c r="O1782" s="1982"/>
      <c r="P1782" s="1983">
        <f>SUM(P1772:P1781)</f>
        <v>1218060</v>
      </c>
      <c r="Q1782" s="1984"/>
      <c r="R1782" s="1985"/>
      <c r="S1782" s="1983">
        <f>SUM(S1772:S1781)</f>
        <v>876225.08</v>
      </c>
      <c r="T1782" s="1983">
        <f>SUM(T1772:T1781)</f>
        <v>341834.92</v>
      </c>
      <c r="U1782" s="1986"/>
      <c r="V1782" s="1848"/>
      <c r="W1782" s="1848"/>
      <c r="X1782" s="1848"/>
      <c r="Y1782" s="1848"/>
      <c r="Z1782" s="1956"/>
      <c r="AA1782" s="1956"/>
      <c r="AF1782" s="1958"/>
      <c r="AG1782" s="1958"/>
      <c r="AH1782" s="1958"/>
      <c r="AI1782" s="1959"/>
      <c r="AJ1782" s="1960"/>
    </row>
    <row r="1783" spans="1:36" ht="21.95" customHeight="1" x14ac:dyDescent="0.2">
      <c r="A1783" s="1833">
        <f>satpek!B72</f>
        <v>53</v>
      </c>
      <c r="B1783" s="1943">
        <f>B1770+1</f>
        <v>3</v>
      </c>
      <c r="C1783" s="1937"/>
      <c r="D1783" s="1944" t="str">
        <f>VLOOKUP($A1783,satpek!$B$20:$N$144,2,0)</f>
        <v>Memasang floor drain stainless</v>
      </c>
      <c r="E1783" s="1944"/>
      <c r="F1783" s="2004"/>
      <c r="G1783" s="1945">
        <f>'[3]B.VOL RAB'!Q598</f>
        <v>9</v>
      </c>
      <c r="H1783" s="1946" t="str">
        <f>VLOOKUP($A1783,satpek!$B$20:$N$144,7,0)</f>
        <v>bh</v>
      </c>
      <c r="I1783" s="1947"/>
      <c r="J1783" s="1947"/>
      <c r="K1783" s="1948"/>
      <c r="L1783" s="1949"/>
      <c r="M1783" s="1950" t="str">
        <f>VLOOKUP($A1783,satpek!$B$20:$N$144,5,0)</f>
        <v>A.5.1.1.14.</v>
      </c>
      <c r="N1783" s="1951">
        <f>VLOOKUP($A1783,satpek!$B$20:$N$144,6,0)</f>
        <v>120111.09</v>
      </c>
      <c r="O1783" s="1938"/>
      <c r="P1783" s="1952">
        <f t="shared" si="1169"/>
        <v>1080999.81</v>
      </c>
      <c r="Q1783" s="1953">
        <f>VLOOKUP($A1783,satpek!$B$20:$L$138,8,0)</f>
        <v>0.10624406122698578</v>
      </c>
      <c r="R1783" s="1954">
        <f>VLOOKUP($A1783,satpek!$B$20:$L$138,9,0)</f>
        <v>11293</v>
      </c>
      <c r="S1783" s="1954">
        <f>VLOOKUP($A1783,satpek!$B$20:$L$138,10,0)</f>
        <v>12761.09</v>
      </c>
      <c r="T1783" s="1952">
        <f t="shared" si="1170"/>
        <v>114849.81</v>
      </c>
      <c r="U1783" s="1955"/>
      <c r="X1783" s="1848">
        <f>P1791</f>
        <v>106293</v>
      </c>
      <c r="Y1783" s="1848">
        <f>S1791</f>
        <v>11293</v>
      </c>
      <c r="Z1783" s="1956">
        <v>9</v>
      </c>
      <c r="AA1783" s="1956">
        <f t="shared" si="1099"/>
        <v>0</v>
      </c>
      <c r="AB1783" s="1836" t="s">
        <v>1915</v>
      </c>
      <c r="AF1783" s="1836"/>
      <c r="AG1783" s="1836"/>
      <c r="AH1783" s="1836"/>
      <c r="AI1783" s="1837">
        <v>103903.5</v>
      </c>
      <c r="AJ1783" s="1960">
        <f t="shared" si="1100"/>
        <v>-16207.589999999997</v>
      </c>
    </row>
    <row r="1784" spans="1:36" ht="21.95" customHeight="1" x14ac:dyDescent="0.2">
      <c r="B1784" s="2045"/>
      <c r="C1784" s="2046" t="str">
        <f>SNI!D1068</f>
        <v>Bahan</v>
      </c>
      <c r="D1784" s="2047"/>
      <c r="E1784" s="2047"/>
      <c r="F1784" s="2048"/>
      <c r="G1784" s="2049"/>
      <c r="H1784" s="2050"/>
      <c r="I1784" s="2051"/>
      <c r="J1784" s="2051"/>
      <c r="K1784" s="2052"/>
      <c r="L1784" s="2053"/>
      <c r="M1784" s="2054"/>
      <c r="N1784" s="2055"/>
      <c r="O1784" s="2056"/>
      <c r="P1784" s="2057"/>
      <c r="Q1784" s="2058"/>
      <c r="R1784" s="2059"/>
      <c r="S1784" s="2059"/>
      <c r="T1784" s="2057"/>
      <c r="U1784" s="2060"/>
      <c r="Z1784" s="1956"/>
      <c r="AA1784" s="1956"/>
      <c r="AF1784" s="1836"/>
      <c r="AG1784" s="1836"/>
      <c r="AH1784" s="1836"/>
      <c r="AI1784" s="1837"/>
      <c r="AJ1784" s="1960"/>
    </row>
    <row r="1785" spans="1:36" ht="21.95" customHeight="1" x14ac:dyDescent="0.2">
      <c r="B1785" s="2045"/>
      <c r="C1785" s="2046"/>
      <c r="D1785" s="2047" t="str">
        <f>SNI!E1068</f>
        <v>Floor drain</v>
      </c>
      <c r="E1785" s="2047"/>
      <c r="F1785" s="2048"/>
      <c r="G1785" s="2049">
        <f>SNI!H1068</f>
        <v>1</v>
      </c>
      <c r="H1785" s="2050" t="str">
        <f>SNI!G1068</f>
        <v>unit</v>
      </c>
      <c r="I1785" s="2051"/>
      <c r="J1785" s="2051"/>
      <c r="K1785" s="2052">
        <f>SNI!L1068</f>
        <v>0</v>
      </c>
      <c r="L1785" s="2053"/>
      <c r="M1785" s="2054"/>
      <c r="N1785" s="2055">
        <f>SNI!I1068</f>
        <v>95000</v>
      </c>
      <c r="O1785" s="2056"/>
      <c r="P1785" s="1969">
        <f t="shared" ref="P1785" si="1184">N1785*G1785</f>
        <v>95000</v>
      </c>
      <c r="Q1785" s="1953"/>
      <c r="R1785" s="1954"/>
      <c r="S1785" s="1954">
        <f t="shared" ref="S1785" si="1185">P1785*K1785</f>
        <v>0</v>
      </c>
      <c r="T1785" s="1969">
        <f t="shared" ref="T1785" si="1186">P1785-S1785</f>
        <v>95000</v>
      </c>
      <c r="U1785" s="2060"/>
      <c r="Z1785" s="1956"/>
      <c r="AA1785" s="1956"/>
      <c r="AF1785" s="1836"/>
      <c r="AG1785" s="1836"/>
      <c r="AH1785" s="1836"/>
      <c r="AI1785" s="1837"/>
      <c r="AJ1785" s="1960"/>
    </row>
    <row r="1786" spans="1:36" ht="21.95" customHeight="1" x14ac:dyDescent="0.2">
      <c r="B1786" s="2045"/>
      <c r="C1786" s="2046" t="str">
        <f>SNI!D1070</f>
        <v>Tenaga Kerja</v>
      </c>
      <c r="D1786" s="2047"/>
      <c r="E1786" s="2047"/>
      <c r="F1786" s="2048"/>
      <c r="G1786" s="2049"/>
      <c r="H1786" s="2050"/>
      <c r="I1786" s="2051"/>
      <c r="J1786" s="2051"/>
      <c r="K1786" s="2052"/>
      <c r="L1786" s="2053"/>
      <c r="M1786" s="2054"/>
      <c r="N1786" s="2055"/>
      <c r="O1786" s="2056"/>
      <c r="P1786" s="1969"/>
      <c r="Q1786" s="1953"/>
      <c r="R1786" s="1954"/>
      <c r="S1786" s="1954"/>
      <c r="T1786" s="1969"/>
      <c r="U1786" s="2060"/>
      <c r="Z1786" s="1956"/>
      <c r="AA1786" s="1956"/>
      <c r="AF1786" s="1836"/>
      <c r="AG1786" s="1836"/>
      <c r="AH1786" s="1836"/>
      <c r="AI1786" s="1837"/>
      <c r="AJ1786" s="1960"/>
    </row>
    <row r="1787" spans="1:36" ht="21.95" customHeight="1" x14ac:dyDescent="0.2">
      <c r="B1787" s="2045"/>
      <c r="C1787" s="2046"/>
      <c r="D1787" s="2047" t="str">
        <f>SNI!E1070</f>
        <v>Pekerja</v>
      </c>
      <c r="E1787" s="2047"/>
      <c r="F1787" s="2048"/>
      <c r="G1787" s="2049">
        <f>SNI!H1070</f>
        <v>0.01</v>
      </c>
      <c r="H1787" s="2050" t="str">
        <f>SNI!G1070</f>
        <v>OH</v>
      </c>
      <c r="I1787" s="2142" t="s">
        <v>2012</v>
      </c>
      <c r="J1787" s="2051"/>
      <c r="K1787" s="2052">
        <f>SNI!L1070</f>
        <v>1</v>
      </c>
      <c r="L1787" s="2053"/>
      <c r="M1787" s="2054"/>
      <c r="N1787" s="2055">
        <f>SNI!I1070</f>
        <v>88300</v>
      </c>
      <c r="O1787" s="2056"/>
      <c r="P1787" s="1969">
        <f t="shared" ref="P1787:P1790" si="1187">N1787*G1787</f>
        <v>883</v>
      </c>
      <c r="Q1787" s="1953"/>
      <c r="R1787" s="1954"/>
      <c r="S1787" s="1954">
        <f t="shared" ref="S1787:S1790" si="1188">P1787*K1787</f>
        <v>883</v>
      </c>
      <c r="T1787" s="1969">
        <f t="shared" ref="T1787:T1790" si="1189">P1787-S1787</f>
        <v>0</v>
      </c>
      <c r="U1787" s="2060"/>
      <c r="Z1787" s="1956"/>
      <c r="AA1787" s="1956"/>
      <c r="AF1787" s="1836"/>
      <c r="AG1787" s="1836"/>
      <c r="AH1787" s="1836"/>
      <c r="AI1787" s="1837"/>
      <c r="AJ1787" s="1960"/>
    </row>
    <row r="1788" spans="1:36" ht="21.95" customHeight="1" x14ac:dyDescent="0.2">
      <c r="B1788" s="2045"/>
      <c r="C1788" s="2046"/>
      <c r="D1788" s="2047" t="str">
        <f>SNI!E1071</f>
        <v>Tukang batu</v>
      </c>
      <c r="E1788" s="2047"/>
      <c r="F1788" s="2048"/>
      <c r="G1788" s="2049">
        <f>SNI!H1071</f>
        <v>0.1</v>
      </c>
      <c r="H1788" s="2050" t="str">
        <f>SNI!G1071</f>
        <v>OH</v>
      </c>
      <c r="I1788" s="2142" t="s">
        <v>2012</v>
      </c>
      <c r="J1788" s="2051"/>
      <c r="K1788" s="2052">
        <f>SNI!L1071</f>
        <v>1</v>
      </c>
      <c r="L1788" s="2053"/>
      <c r="M1788" s="2054"/>
      <c r="N1788" s="2055">
        <f>SNI!I1071</f>
        <v>90000</v>
      </c>
      <c r="O1788" s="2056"/>
      <c r="P1788" s="1969">
        <f t="shared" si="1187"/>
        <v>9000</v>
      </c>
      <c r="Q1788" s="1953"/>
      <c r="R1788" s="1954"/>
      <c r="S1788" s="1954">
        <f t="shared" si="1188"/>
        <v>9000</v>
      </c>
      <c r="T1788" s="1969">
        <f t="shared" si="1189"/>
        <v>0</v>
      </c>
      <c r="U1788" s="2060"/>
      <c r="Z1788" s="1956"/>
      <c r="AA1788" s="1956"/>
      <c r="AF1788" s="1836"/>
      <c r="AG1788" s="1836"/>
      <c r="AH1788" s="1836"/>
      <c r="AI1788" s="1837"/>
      <c r="AJ1788" s="1960"/>
    </row>
    <row r="1789" spans="1:36" ht="21.95" customHeight="1" x14ac:dyDescent="0.2">
      <c r="B1789" s="2045"/>
      <c r="C1789" s="2046"/>
      <c r="D1789" s="2047" t="str">
        <f>SNI!E1072</f>
        <v>Kepala tukang</v>
      </c>
      <c r="E1789" s="2047"/>
      <c r="F1789" s="2048"/>
      <c r="G1789" s="2049">
        <f>SNI!H1072</f>
        <v>0.01</v>
      </c>
      <c r="H1789" s="2050" t="str">
        <f>SNI!G1072</f>
        <v>OH</v>
      </c>
      <c r="I1789" s="2142" t="s">
        <v>2012</v>
      </c>
      <c r="J1789" s="2051"/>
      <c r="K1789" s="2052">
        <f>SNI!L1072</f>
        <v>1</v>
      </c>
      <c r="L1789" s="2053"/>
      <c r="M1789" s="2054"/>
      <c r="N1789" s="2055">
        <f>SNI!I1072</f>
        <v>96000</v>
      </c>
      <c r="O1789" s="2056"/>
      <c r="P1789" s="1969">
        <f t="shared" si="1187"/>
        <v>960</v>
      </c>
      <c r="Q1789" s="1953"/>
      <c r="R1789" s="1954"/>
      <c r="S1789" s="1954">
        <f t="shared" si="1188"/>
        <v>960</v>
      </c>
      <c r="T1789" s="1969">
        <f t="shared" si="1189"/>
        <v>0</v>
      </c>
      <c r="U1789" s="2060"/>
      <c r="Z1789" s="1956"/>
      <c r="AA1789" s="1956"/>
      <c r="AF1789" s="1836"/>
      <c r="AG1789" s="1836"/>
      <c r="AH1789" s="1836"/>
      <c r="AI1789" s="1837"/>
      <c r="AJ1789" s="1960"/>
    </row>
    <row r="1790" spans="1:36" ht="21.95" customHeight="1" x14ac:dyDescent="0.2">
      <c r="B1790" s="2045"/>
      <c r="C1790" s="2046"/>
      <c r="D1790" s="2047" t="str">
        <f>SNI!E1073</f>
        <v>Mandor</v>
      </c>
      <c r="E1790" s="2047"/>
      <c r="F1790" s="2048"/>
      <c r="G1790" s="2049">
        <f>SNI!H1073</f>
        <v>5.0000000000000001E-3</v>
      </c>
      <c r="H1790" s="2050" t="str">
        <f>SNI!G1073</f>
        <v>OH</v>
      </c>
      <c r="I1790" s="2142" t="s">
        <v>2012</v>
      </c>
      <c r="J1790" s="2051"/>
      <c r="K1790" s="2052">
        <f>SNI!L1073</f>
        <v>1</v>
      </c>
      <c r="L1790" s="2053"/>
      <c r="M1790" s="2054"/>
      <c r="N1790" s="2055">
        <f>SNI!I1073</f>
        <v>90000</v>
      </c>
      <c r="O1790" s="2056"/>
      <c r="P1790" s="1969">
        <f t="shared" si="1187"/>
        <v>450</v>
      </c>
      <c r="Q1790" s="1953"/>
      <c r="R1790" s="1954"/>
      <c r="S1790" s="1954">
        <f t="shared" si="1188"/>
        <v>450</v>
      </c>
      <c r="T1790" s="1969">
        <f t="shared" si="1189"/>
        <v>0</v>
      </c>
      <c r="U1790" s="2060"/>
      <c r="Z1790" s="1956"/>
      <c r="AA1790" s="1956"/>
      <c r="AF1790" s="1836"/>
      <c r="AG1790" s="1836"/>
      <c r="AH1790" s="1836"/>
      <c r="AI1790" s="1837"/>
      <c r="AJ1790" s="1960"/>
    </row>
    <row r="1791" spans="1:36" s="1957" customFormat="1" ht="21.95" customHeight="1" x14ac:dyDescent="0.2">
      <c r="A1791" s="1942"/>
      <c r="B1791" s="1970"/>
      <c r="C1791" s="1971"/>
      <c r="D1791" s="1972"/>
      <c r="E1791" s="1973"/>
      <c r="F1791" s="1974" t="s">
        <v>556</v>
      </c>
      <c r="G1791" s="1975">
        <f>B1783</f>
        <v>3</v>
      </c>
      <c r="H1791" s="1976"/>
      <c r="I1791" s="1977"/>
      <c r="J1791" s="1977"/>
      <c r="K1791" s="1978"/>
      <c r="L1791" s="1979"/>
      <c r="M1791" s="1980"/>
      <c r="N1791" s="1981"/>
      <c r="O1791" s="1982"/>
      <c r="P1791" s="1983">
        <f>SUM(P1785:P1790)</f>
        <v>106293</v>
      </c>
      <c r="Q1791" s="1984"/>
      <c r="R1791" s="1985"/>
      <c r="S1791" s="1983">
        <f t="shared" ref="S1791:T1791" si="1190">SUM(S1785:S1790)</f>
        <v>11293</v>
      </c>
      <c r="T1791" s="1983">
        <f t="shared" si="1190"/>
        <v>95000</v>
      </c>
      <c r="U1791" s="1986"/>
      <c r="V1791" s="1848"/>
      <c r="W1791" s="1848"/>
      <c r="X1791" s="1848"/>
      <c r="Y1791" s="1848"/>
      <c r="Z1791" s="1956"/>
      <c r="AA1791" s="1956"/>
      <c r="AF1791" s="1958"/>
      <c r="AG1791" s="1958"/>
      <c r="AH1791" s="1958"/>
      <c r="AI1791" s="1959"/>
      <c r="AJ1791" s="1960"/>
    </row>
    <row r="1792" spans="1:36" ht="21.95" customHeight="1" x14ac:dyDescent="0.2">
      <c r="A1792" s="1833">
        <f>satpek!B82</f>
        <v>63</v>
      </c>
      <c r="B1792" s="1943">
        <f>B1783+1</f>
        <v>4</v>
      </c>
      <c r="C1792" s="1937"/>
      <c r="D1792" s="1944" t="str">
        <f>VLOOKUP($A1792,satpek!$B$20:$N$144,2,0)</f>
        <v>Memasang kran diameter 1/2", onda stainless</v>
      </c>
      <c r="E1792" s="1944"/>
      <c r="F1792" s="2004"/>
      <c r="G1792" s="1945">
        <f>'[3]B.VOL RAB'!Q599</f>
        <v>7</v>
      </c>
      <c r="H1792" s="1946" t="str">
        <f>VLOOKUP($A1792,satpek!$B$20:$N$144,7,0)</f>
        <v>bh</v>
      </c>
      <c r="I1792" s="1947"/>
      <c r="J1792" s="1947"/>
      <c r="K1792" s="1948"/>
      <c r="L1792" s="1949"/>
      <c r="M1792" s="1950" t="str">
        <f>VLOOKUP($A1792,satpek!$B$20:$N$144,5,0)</f>
        <v>A.5.1.1.19.</v>
      </c>
      <c r="N1792" s="1951">
        <f>VLOOKUP($A1792,satpek!$B$20:$N$144,6,0)</f>
        <v>170986.52</v>
      </c>
      <c r="O1792" s="1938"/>
      <c r="P1792" s="1952">
        <f t="shared" si="1169"/>
        <v>1196905.6399999999</v>
      </c>
      <c r="Q1792" s="1953">
        <f>VLOOKUP($A1792,satpek!$B$20:$L$138,8,0)</f>
        <v>0.95355069374915324</v>
      </c>
      <c r="R1792" s="1954">
        <f>VLOOKUP($A1792,satpek!$B$20:$L$138,9,0)</f>
        <v>144287</v>
      </c>
      <c r="S1792" s="1954">
        <f>VLOOKUP($A1792,satpek!$B$20:$L$138,10,0)</f>
        <v>163044.31</v>
      </c>
      <c r="T1792" s="1952">
        <f t="shared" si="1170"/>
        <v>1141310.17</v>
      </c>
      <c r="U1792" s="1955"/>
      <c r="X1792" s="1848">
        <f>P1801</f>
        <v>151315.5</v>
      </c>
      <c r="Y1792" s="1848">
        <f>S1801</f>
        <v>144287</v>
      </c>
      <c r="Z1792" s="1956">
        <v>7</v>
      </c>
      <c r="AA1792" s="1956">
        <f t="shared" si="1099"/>
        <v>0</v>
      </c>
      <c r="AB1792" s="1836" t="s">
        <v>1916</v>
      </c>
      <c r="AF1792" s="1836"/>
      <c r="AG1792" s="1836"/>
      <c r="AH1792" s="1836"/>
      <c r="AI1792" s="1837">
        <v>104041.93</v>
      </c>
      <c r="AJ1792" s="1960">
        <f t="shared" si="1100"/>
        <v>-66944.59</v>
      </c>
    </row>
    <row r="1793" spans="1:36" ht="21.95" customHeight="1" x14ac:dyDescent="0.2">
      <c r="B1793" s="2045"/>
      <c r="C1793" s="2046" t="str">
        <f>SNI!D1259</f>
        <v>Bahan</v>
      </c>
      <c r="D1793" s="2047"/>
      <c r="E1793" s="2047"/>
      <c r="F1793" s="2048"/>
      <c r="G1793" s="2049"/>
      <c r="H1793" s="2050"/>
      <c r="I1793" s="2051"/>
      <c r="J1793" s="2051"/>
      <c r="K1793" s="2052"/>
      <c r="L1793" s="2053"/>
      <c r="M1793" s="2054"/>
      <c r="N1793" s="2055"/>
      <c r="O1793" s="2056"/>
      <c r="P1793" s="2057"/>
      <c r="Q1793" s="2058"/>
      <c r="R1793" s="2059"/>
      <c r="S1793" s="2059"/>
      <c r="T1793" s="2057"/>
      <c r="U1793" s="2060"/>
      <c r="Z1793" s="1956"/>
      <c r="AA1793" s="1956"/>
      <c r="AF1793" s="1836"/>
      <c r="AG1793" s="1836"/>
      <c r="AH1793" s="1836"/>
      <c r="AI1793" s="1837"/>
      <c r="AJ1793" s="1960"/>
    </row>
    <row r="1794" spans="1:36" ht="21.95" customHeight="1" x14ac:dyDescent="0.2">
      <c r="B1794" s="2045"/>
      <c r="C1794" s="2046"/>
      <c r="D1794" s="2047" t="str">
        <f>SNI!E1259</f>
        <v>Kran air 1/2" stainless</v>
      </c>
      <c r="E1794" s="2047"/>
      <c r="F1794" s="2048"/>
      <c r="G1794" s="2049">
        <f>SNI!H1259</f>
        <v>1</v>
      </c>
      <c r="H1794" s="2050" t="str">
        <f>SNI!G1259</f>
        <v>bh</v>
      </c>
      <c r="I1794" s="2051"/>
      <c r="J1794" s="2051"/>
      <c r="K1794" s="2052">
        <f>SNI!L1259</f>
        <v>0.93740000000000001</v>
      </c>
      <c r="L1794" s="2053"/>
      <c r="M1794" s="2054"/>
      <c r="N1794" s="2055">
        <f>SNI!I1259</f>
        <v>110000</v>
      </c>
      <c r="O1794" s="2056"/>
      <c r="P1794" s="1969">
        <f t="shared" ref="P1794" si="1191">N1794*G1794</f>
        <v>110000</v>
      </c>
      <c r="Q1794" s="1953"/>
      <c r="R1794" s="1954"/>
      <c r="S1794" s="1954">
        <f t="shared" ref="S1794" si="1192">P1794*K1794</f>
        <v>103114</v>
      </c>
      <c r="T1794" s="1969">
        <f t="shared" ref="T1794" si="1193">P1794-S1794</f>
        <v>6886</v>
      </c>
      <c r="U1794" s="2060"/>
      <c r="Z1794" s="1956"/>
      <c r="AA1794" s="1956"/>
      <c r="AF1794" s="1836"/>
      <c r="AG1794" s="1836"/>
      <c r="AH1794" s="1836"/>
      <c r="AI1794" s="1837"/>
      <c r="AJ1794" s="1960"/>
    </row>
    <row r="1795" spans="1:36" ht="21.95" customHeight="1" x14ac:dyDescent="0.2">
      <c r="B1795" s="2045"/>
      <c r="C1795" s="2046"/>
      <c r="D1795" s="2047" t="str">
        <f>SNI!E1260</f>
        <v>Seal tape</v>
      </c>
      <c r="E1795" s="2047"/>
      <c r="F1795" s="2048"/>
      <c r="G1795" s="2049">
        <f>SNI!H1260</f>
        <v>2.5000000000000001E-2</v>
      </c>
      <c r="H1795" s="2050" t="str">
        <f>SNI!G1260</f>
        <v>bh</v>
      </c>
      <c r="I1795" s="2051"/>
      <c r="J1795" s="2051"/>
      <c r="K1795" s="2052">
        <f>SNI!L1260</f>
        <v>0</v>
      </c>
      <c r="L1795" s="2053"/>
      <c r="M1795" s="2054"/>
      <c r="N1795" s="2055">
        <f>SNI!I1260</f>
        <v>5700</v>
      </c>
      <c r="O1795" s="2056"/>
      <c r="P1795" s="1969">
        <f t="shared" ref="P1795:P1800" si="1194">N1795*G1795</f>
        <v>142.5</v>
      </c>
      <c r="Q1795" s="1953"/>
      <c r="R1795" s="1954"/>
      <c r="S1795" s="1954">
        <f t="shared" ref="S1795:S1800" si="1195">P1795*K1795</f>
        <v>0</v>
      </c>
      <c r="T1795" s="1969">
        <f t="shared" ref="T1795:T1800" si="1196">P1795-S1795</f>
        <v>142.5</v>
      </c>
      <c r="U1795" s="2060"/>
      <c r="Z1795" s="1956"/>
      <c r="AA1795" s="1956"/>
      <c r="AF1795" s="1836"/>
      <c r="AG1795" s="1836"/>
      <c r="AH1795" s="1836"/>
      <c r="AI1795" s="1837"/>
      <c r="AJ1795" s="1960"/>
    </row>
    <row r="1796" spans="1:36" ht="21.95" customHeight="1" x14ac:dyDescent="0.2">
      <c r="B1796" s="2045"/>
      <c r="C1796" s="2046" t="str">
        <f>SNI!D1262</f>
        <v>Tenaga Kerja</v>
      </c>
      <c r="D1796" s="2047"/>
      <c r="E1796" s="2047"/>
      <c r="F1796" s="2048"/>
      <c r="G1796" s="2049"/>
      <c r="H1796" s="2050"/>
      <c r="I1796" s="2051"/>
      <c r="J1796" s="2051"/>
      <c r="K1796" s="2052"/>
      <c r="L1796" s="2053"/>
      <c r="M1796" s="2054"/>
      <c r="N1796" s="2055"/>
      <c r="O1796" s="2056"/>
      <c r="P1796" s="1969"/>
      <c r="Q1796" s="1953"/>
      <c r="R1796" s="1954"/>
      <c r="S1796" s="1954"/>
      <c r="T1796" s="1969"/>
      <c r="U1796" s="2060"/>
      <c r="Z1796" s="1956"/>
      <c r="AA1796" s="1956"/>
      <c r="AF1796" s="1836"/>
      <c r="AG1796" s="1836"/>
      <c r="AH1796" s="1836"/>
      <c r="AI1796" s="1837"/>
      <c r="AJ1796" s="1960"/>
    </row>
    <row r="1797" spans="1:36" ht="21.95" customHeight="1" x14ac:dyDescent="0.2">
      <c r="B1797" s="2045"/>
      <c r="C1797" s="2046"/>
      <c r="D1797" s="2047" t="str">
        <f>SNI!E1262</f>
        <v>Pekerja</v>
      </c>
      <c r="E1797" s="2047"/>
      <c r="F1797" s="2048"/>
      <c r="G1797" s="2049">
        <f>SNI!H1262</f>
        <v>0.01</v>
      </c>
      <c r="H1797" s="2050" t="str">
        <f>SNI!G1262</f>
        <v>OH</v>
      </c>
      <c r="I1797" s="2051" t="str">
        <f>SNI!M1262</f>
        <v>WNI</v>
      </c>
      <c r="J1797" s="2051"/>
      <c r="K1797" s="2052">
        <f>SNI!L1262</f>
        <v>1</v>
      </c>
      <c r="L1797" s="2053"/>
      <c r="M1797" s="2054"/>
      <c r="N1797" s="2055">
        <f>SNI!I1262</f>
        <v>88300</v>
      </c>
      <c r="O1797" s="2056"/>
      <c r="P1797" s="1969">
        <f t="shared" si="1194"/>
        <v>883</v>
      </c>
      <c r="Q1797" s="1953"/>
      <c r="R1797" s="1954"/>
      <c r="S1797" s="1954">
        <f t="shared" si="1195"/>
        <v>883</v>
      </c>
      <c r="T1797" s="1969">
        <f t="shared" si="1196"/>
        <v>0</v>
      </c>
      <c r="U1797" s="2060"/>
      <c r="Z1797" s="1956"/>
      <c r="AA1797" s="1956"/>
      <c r="AF1797" s="1836"/>
      <c r="AG1797" s="1836"/>
      <c r="AH1797" s="1836"/>
      <c r="AI1797" s="1837"/>
      <c r="AJ1797" s="1960"/>
    </row>
    <row r="1798" spans="1:36" ht="21.95" customHeight="1" x14ac:dyDescent="0.2">
      <c r="B1798" s="2045"/>
      <c r="C1798" s="2046"/>
      <c r="D1798" s="2047" t="str">
        <f>SNI!E1263</f>
        <v>Tukang batu</v>
      </c>
      <c r="E1798" s="2047"/>
      <c r="F1798" s="2048"/>
      <c r="G1798" s="2049">
        <f>SNI!H1263</f>
        <v>0.4</v>
      </c>
      <c r="H1798" s="2050" t="str">
        <f>SNI!G1263</f>
        <v>OH</v>
      </c>
      <c r="I1798" s="2051" t="str">
        <f>SNI!M1263</f>
        <v>WNI</v>
      </c>
      <c r="J1798" s="2051"/>
      <c r="K1798" s="2052">
        <f>SNI!L1263</f>
        <v>1</v>
      </c>
      <c r="L1798" s="2053"/>
      <c r="M1798" s="2054"/>
      <c r="N1798" s="2055">
        <f>SNI!I1263</f>
        <v>90000</v>
      </c>
      <c r="O1798" s="2056"/>
      <c r="P1798" s="1969">
        <f t="shared" si="1194"/>
        <v>36000</v>
      </c>
      <c r="Q1798" s="1953"/>
      <c r="R1798" s="1954"/>
      <c r="S1798" s="1954">
        <f t="shared" si="1195"/>
        <v>36000</v>
      </c>
      <c r="T1798" s="1969">
        <f t="shared" si="1196"/>
        <v>0</v>
      </c>
      <c r="U1798" s="2060"/>
      <c r="Z1798" s="1956"/>
      <c r="AA1798" s="1956"/>
      <c r="AF1798" s="1836"/>
      <c r="AG1798" s="1836"/>
      <c r="AH1798" s="1836"/>
      <c r="AI1798" s="1837"/>
      <c r="AJ1798" s="1960"/>
    </row>
    <row r="1799" spans="1:36" ht="21.95" customHeight="1" x14ac:dyDescent="0.2">
      <c r="B1799" s="2045"/>
      <c r="C1799" s="2046"/>
      <c r="D1799" s="2047" t="str">
        <f>SNI!E1264</f>
        <v>Kepala tukang</v>
      </c>
      <c r="E1799" s="2047"/>
      <c r="F1799" s="2048"/>
      <c r="G1799" s="2049">
        <f>SNI!H1264</f>
        <v>0.04</v>
      </c>
      <c r="H1799" s="2050" t="str">
        <f>SNI!G1264</f>
        <v>OH</v>
      </c>
      <c r="I1799" s="2051" t="str">
        <f>SNI!M1264</f>
        <v>WNI</v>
      </c>
      <c r="J1799" s="2051"/>
      <c r="K1799" s="2052">
        <f>SNI!L1264</f>
        <v>1</v>
      </c>
      <c r="L1799" s="2053"/>
      <c r="M1799" s="2054"/>
      <c r="N1799" s="2055">
        <f>SNI!I1264</f>
        <v>96000</v>
      </c>
      <c r="O1799" s="2056"/>
      <c r="P1799" s="1969">
        <f t="shared" si="1194"/>
        <v>3840</v>
      </c>
      <c r="Q1799" s="1953"/>
      <c r="R1799" s="1954"/>
      <c r="S1799" s="1954">
        <f t="shared" si="1195"/>
        <v>3840</v>
      </c>
      <c r="T1799" s="1969">
        <f t="shared" si="1196"/>
        <v>0</v>
      </c>
      <c r="U1799" s="2060"/>
      <c r="Z1799" s="1956"/>
      <c r="AA1799" s="1956"/>
      <c r="AF1799" s="1836"/>
      <c r="AG1799" s="1836"/>
      <c r="AH1799" s="1836"/>
      <c r="AI1799" s="1837"/>
      <c r="AJ1799" s="1960"/>
    </row>
    <row r="1800" spans="1:36" ht="21.95" customHeight="1" x14ac:dyDescent="0.2">
      <c r="B1800" s="2045"/>
      <c r="C1800" s="2046"/>
      <c r="D1800" s="2047" t="str">
        <f>SNI!E1265</f>
        <v>Mandor</v>
      </c>
      <c r="E1800" s="2047"/>
      <c r="F1800" s="2048"/>
      <c r="G1800" s="2049">
        <f>SNI!H1265</f>
        <v>5.0000000000000001E-3</v>
      </c>
      <c r="H1800" s="2050" t="str">
        <f>SNI!G1265</f>
        <v>OH</v>
      </c>
      <c r="I1800" s="2051" t="str">
        <f>SNI!M1265</f>
        <v>WNI</v>
      </c>
      <c r="J1800" s="2051"/>
      <c r="K1800" s="2052">
        <f>SNI!L1265</f>
        <v>1</v>
      </c>
      <c r="L1800" s="2053"/>
      <c r="M1800" s="2054"/>
      <c r="N1800" s="2055">
        <f>SNI!I1265</f>
        <v>90000</v>
      </c>
      <c r="O1800" s="2056"/>
      <c r="P1800" s="1969">
        <f t="shared" si="1194"/>
        <v>450</v>
      </c>
      <c r="Q1800" s="1953"/>
      <c r="R1800" s="1954"/>
      <c r="S1800" s="1954">
        <f t="shared" si="1195"/>
        <v>450</v>
      </c>
      <c r="T1800" s="1969">
        <f t="shared" si="1196"/>
        <v>0</v>
      </c>
      <c r="U1800" s="2060"/>
      <c r="Z1800" s="1956"/>
      <c r="AA1800" s="1956"/>
      <c r="AF1800" s="1836"/>
      <c r="AG1800" s="1836"/>
      <c r="AH1800" s="1836"/>
      <c r="AI1800" s="1837"/>
      <c r="AJ1800" s="1960"/>
    </row>
    <row r="1801" spans="1:36" s="1957" customFormat="1" ht="21.95" customHeight="1" x14ac:dyDescent="0.2">
      <c r="A1801" s="1942"/>
      <c r="B1801" s="1970"/>
      <c r="C1801" s="1971"/>
      <c r="D1801" s="1972"/>
      <c r="E1801" s="1973"/>
      <c r="F1801" s="1974" t="s">
        <v>556</v>
      </c>
      <c r="G1801" s="1975">
        <f>B1793</f>
        <v>0</v>
      </c>
      <c r="H1801" s="1976"/>
      <c r="I1801" s="1977"/>
      <c r="J1801" s="1977"/>
      <c r="K1801" s="1978"/>
      <c r="L1801" s="1979"/>
      <c r="M1801" s="1980"/>
      <c r="N1801" s="1981"/>
      <c r="O1801" s="1982"/>
      <c r="P1801" s="1983">
        <f>SUM(P1794:P1800)</f>
        <v>151315.5</v>
      </c>
      <c r="Q1801" s="1984"/>
      <c r="R1801" s="1985"/>
      <c r="S1801" s="1983">
        <f t="shared" ref="S1801:T1801" si="1197">SUM(S1794:S1800)</f>
        <v>144287</v>
      </c>
      <c r="T1801" s="1983">
        <f t="shared" si="1197"/>
        <v>7028.5</v>
      </c>
      <c r="U1801" s="1986"/>
      <c r="V1801" s="1848"/>
      <c r="W1801" s="1848"/>
      <c r="X1801" s="1848"/>
      <c r="Y1801" s="1848"/>
      <c r="Z1801" s="1956"/>
      <c r="AA1801" s="1956"/>
      <c r="AF1801" s="1958"/>
      <c r="AG1801" s="1958"/>
      <c r="AH1801" s="1958"/>
      <c r="AI1801" s="1959"/>
      <c r="AJ1801" s="1960"/>
    </row>
    <row r="1802" spans="1:36" ht="21.95" customHeight="1" x14ac:dyDescent="0.2">
      <c r="A1802" s="1833">
        <f>satpek!B123</f>
        <v>102</v>
      </c>
      <c r="B1802" s="1943">
        <f>B1792+1</f>
        <v>5</v>
      </c>
      <c r="C1802" s="1937"/>
      <c r="D1802" s="1944" t="str">
        <f>VLOOKUP($A1802,satpek!$B$20:$N$144,2,0)</f>
        <v>Torn kapasitas 1000ltr+radar otomatis</v>
      </c>
      <c r="E1802" s="1944"/>
      <c r="F1802" s="2004"/>
      <c r="G1802" s="1945">
        <f>'[3]B.VOL RAB'!Q600</f>
        <v>2</v>
      </c>
      <c r="H1802" s="1946" t="str">
        <f>VLOOKUP($A1802,satpek!$B$20:$N$144,7,0)</f>
        <v>unit</v>
      </c>
      <c r="I1802" s="1947"/>
      <c r="J1802" s="1947"/>
      <c r="K1802" s="1948"/>
      <c r="L1802" s="1949"/>
      <c r="M1802" s="1950" t="str">
        <f>VLOOKUP($A1802,satpek!$B$20:$N$144,5,0)</f>
        <v>Daftar harga</v>
      </c>
      <c r="N1802" s="1951">
        <f>VLOOKUP($A1802,satpek!$B$20:$N$144,6,0)</f>
        <v>2250000</v>
      </c>
      <c r="O1802" s="1938"/>
      <c r="P1802" s="1952">
        <f t="shared" si="1169"/>
        <v>4500000</v>
      </c>
      <c r="Q1802" s="1953">
        <f>VLOOKUP($A1802,satpek!$B$20:$L$138,8,0)</f>
        <v>0.2</v>
      </c>
      <c r="R1802" s="1954">
        <f>VLOOKUP($A1802,satpek!$B$20:$L$138,9,0)</f>
        <v>0</v>
      </c>
      <c r="S1802" s="1954">
        <f>VLOOKUP($A1802,satpek!$B$20:$L$138,10,0)</f>
        <v>450000</v>
      </c>
      <c r="T1802" s="1952">
        <f t="shared" si="1170"/>
        <v>900000</v>
      </c>
      <c r="U1802" s="1955"/>
      <c r="X1802" s="1848">
        <f>P1803</f>
        <v>2250000</v>
      </c>
      <c r="Y1802" s="1848">
        <f>S1803</f>
        <v>450000</v>
      </c>
      <c r="Z1802" s="1956">
        <v>2</v>
      </c>
      <c r="AA1802" s="1956">
        <f t="shared" si="1099"/>
        <v>0</v>
      </c>
      <c r="AB1802" s="1836" t="s">
        <v>1862</v>
      </c>
      <c r="AF1802" s="1836"/>
      <c r="AG1802" s="1836"/>
      <c r="AH1802" s="1836"/>
      <c r="AI1802" s="1837">
        <v>2050000</v>
      </c>
      <c r="AJ1802" s="1960">
        <f t="shared" si="1100"/>
        <v>-200000</v>
      </c>
    </row>
    <row r="1803" spans="1:36" s="1957" customFormat="1" ht="21.95" customHeight="1" x14ac:dyDescent="0.2">
      <c r="A1803" s="1942"/>
      <c r="B1803" s="1970"/>
      <c r="C1803" s="1971"/>
      <c r="D1803" s="1972" t="str">
        <f>D1802</f>
        <v>Torn kapasitas 1000ltr+radar otomatis</v>
      </c>
      <c r="E1803" s="1973"/>
      <c r="F1803" s="1974"/>
      <c r="G1803" s="1975">
        <f>G1802</f>
        <v>2</v>
      </c>
      <c r="H1803" s="1976" t="str">
        <f>H1802</f>
        <v>unit</v>
      </c>
      <c r="I1803" s="1977"/>
      <c r="J1803" s="1977"/>
      <c r="K1803" s="1978">
        <f>satpek!I123</f>
        <v>0.2</v>
      </c>
      <c r="L1803" s="1979"/>
      <c r="M1803" s="1980"/>
      <c r="N1803" s="1981">
        <f>N1802</f>
        <v>2250000</v>
      </c>
      <c r="O1803" s="1982"/>
      <c r="P1803" s="1983">
        <f>N1803</f>
        <v>2250000</v>
      </c>
      <c r="Q1803" s="1984"/>
      <c r="R1803" s="1985"/>
      <c r="S1803" s="1983">
        <f>K1803*N1803</f>
        <v>450000</v>
      </c>
      <c r="T1803" s="1983">
        <f>N1803-S1803</f>
        <v>1800000</v>
      </c>
      <c r="U1803" s="1986"/>
      <c r="V1803" s="1848"/>
      <c r="W1803" s="1848"/>
      <c r="X1803" s="1848"/>
      <c r="Y1803" s="1848"/>
      <c r="Z1803" s="1956"/>
      <c r="AA1803" s="1956"/>
      <c r="AF1803" s="1958"/>
      <c r="AG1803" s="1958"/>
      <c r="AH1803" s="1958"/>
      <c r="AI1803" s="1959"/>
      <c r="AJ1803" s="1960"/>
    </row>
    <row r="1804" spans="1:36" ht="21.95" customHeight="1" x14ac:dyDescent="0.2">
      <c r="A1804" s="1833">
        <f>A1783</f>
        <v>53</v>
      </c>
      <c r="B1804" s="1943">
        <f>B1802+1</f>
        <v>6</v>
      </c>
      <c r="C1804" s="1937"/>
      <c r="D1804" s="1944" t="s">
        <v>1968</v>
      </c>
      <c r="E1804" s="1944"/>
      <c r="F1804" s="2004"/>
      <c r="G1804" s="1945">
        <f>'[3]B.VOL RAB'!Q601</f>
        <v>12</v>
      </c>
      <c r="H1804" s="1946" t="str">
        <f>VLOOKUP($A1804,satpek!$B$20:$N$144,7,0)</f>
        <v>bh</v>
      </c>
      <c r="I1804" s="1947"/>
      <c r="J1804" s="1947"/>
      <c r="K1804" s="1948"/>
      <c r="L1804" s="1949"/>
      <c r="M1804" s="1950" t="str">
        <f>VLOOKUP($A1804,satpek!$B$20:$N$144,5,0)</f>
        <v>A.5.1.1.14.</v>
      </c>
      <c r="N1804" s="1951">
        <f>VLOOKUP($A1804,satpek!$B$20:$N$144,6,0)</f>
        <v>120111.09</v>
      </c>
      <c r="O1804" s="1938"/>
      <c r="P1804" s="1952">
        <f t="shared" si="1169"/>
        <v>1441333.08</v>
      </c>
      <c r="Q1804" s="1953">
        <f>VLOOKUP($A1804,satpek!$B$20:$L$138,8,0)</f>
        <v>0.10624406122698578</v>
      </c>
      <c r="R1804" s="1954">
        <f>VLOOKUP($A1804,satpek!$B$20:$L$138,9,0)</f>
        <v>11293</v>
      </c>
      <c r="S1804" s="1954">
        <f>VLOOKUP($A1804,satpek!$B$20:$L$138,10,0)</f>
        <v>12761.09</v>
      </c>
      <c r="T1804" s="1952">
        <f t="shared" si="1170"/>
        <v>153133.08000000002</v>
      </c>
      <c r="U1804" s="1955"/>
      <c r="X1804" s="1848">
        <f>P1812</f>
        <v>106293</v>
      </c>
      <c r="Y1804" s="1848">
        <f>S1812</f>
        <v>11293</v>
      </c>
      <c r="Z1804" s="1956">
        <v>12</v>
      </c>
      <c r="AA1804" s="1956">
        <f t="shared" si="1099"/>
        <v>0</v>
      </c>
      <c r="AB1804" s="1836" t="s">
        <v>1863</v>
      </c>
      <c r="AF1804" s="1836"/>
      <c r="AG1804" s="1836"/>
      <c r="AH1804" s="1836"/>
      <c r="AI1804" s="1837">
        <v>174300.72</v>
      </c>
      <c r="AJ1804" s="1960">
        <f t="shared" si="1100"/>
        <v>54189.630000000005</v>
      </c>
    </row>
    <row r="1805" spans="1:36" ht="21.95" customHeight="1" x14ac:dyDescent="0.2">
      <c r="B1805" s="2045"/>
      <c r="C1805" s="2046" t="str">
        <f>SNI!D1068</f>
        <v>Bahan</v>
      </c>
      <c r="D1805" s="2047"/>
      <c r="E1805" s="2047"/>
      <c r="F1805" s="2048"/>
      <c r="G1805" s="2049"/>
      <c r="H1805" s="2050"/>
      <c r="I1805" s="2051"/>
      <c r="J1805" s="2051"/>
      <c r="K1805" s="2052"/>
      <c r="L1805" s="2053"/>
      <c r="M1805" s="2054"/>
      <c r="N1805" s="2055"/>
      <c r="O1805" s="2056"/>
      <c r="P1805" s="1969"/>
      <c r="Q1805" s="1953"/>
      <c r="R1805" s="1954"/>
      <c r="S1805" s="1954"/>
      <c r="T1805" s="1969"/>
      <c r="U1805" s="2060"/>
      <c r="Z1805" s="1956"/>
      <c r="AA1805" s="1956"/>
      <c r="AF1805" s="1836"/>
      <c r="AG1805" s="1836"/>
      <c r="AH1805" s="1836"/>
      <c r="AI1805" s="1837"/>
      <c r="AJ1805" s="1960"/>
    </row>
    <row r="1806" spans="1:36" ht="21.95" customHeight="1" x14ac:dyDescent="0.2">
      <c r="B1806" s="2045"/>
      <c r="C1806" s="2046"/>
      <c r="D1806" s="2047" t="str">
        <f>SNI!E1068</f>
        <v>Floor drain</v>
      </c>
      <c r="E1806" s="2047"/>
      <c r="F1806" s="2048"/>
      <c r="G1806" s="2049">
        <f>SNI!H1068</f>
        <v>1</v>
      </c>
      <c r="H1806" s="2050" t="str">
        <f>SNI!G1068</f>
        <v>unit</v>
      </c>
      <c r="I1806" s="2051"/>
      <c r="J1806" s="2051"/>
      <c r="K1806" s="2052">
        <f>SNI!L1068</f>
        <v>0</v>
      </c>
      <c r="L1806" s="2053"/>
      <c r="M1806" s="2054"/>
      <c r="N1806" s="2055">
        <f>SNI!I1068</f>
        <v>95000</v>
      </c>
      <c r="O1806" s="2056"/>
      <c r="P1806" s="1969">
        <f t="shared" ref="P1806" si="1198">N1806*G1806</f>
        <v>95000</v>
      </c>
      <c r="Q1806" s="1953"/>
      <c r="R1806" s="1954"/>
      <c r="S1806" s="1954">
        <f t="shared" ref="S1806" si="1199">P1806*K1806</f>
        <v>0</v>
      </c>
      <c r="T1806" s="1969">
        <f t="shared" ref="T1806" si="1200">P1806-S1806</f>
        <v>95000</v>
      </c>
      <c r="U1806" s="2060"/>
      <c r="Z1806" s="1956"/>
      <c r="AA1806" s="1956"/>
      <c r="AF1806" s="1836"/>
      <c r="AG1806" s="1836"/>
      <c r="AH1806" s="1836"/>
      <c r="AI1806" s="1837"/>
      <c r="AJ1806" s="1960"/>
    </row>
    <row r="1807" spans="1:36" ht="21.95" customHeight="1" x14ac:dyDescent="0.2">
      <c r="B1807" s="2045"/>
      <c r="C1807" s="2046" t="str">
        <f>SNI!D1070</f>
        <v>Tenaga Kerja</v>
      </c>
      <c r="D1807" s="2047"/>
      <c r="E1807" s="2047"/>
      <c r="F1807" s="2048"/>
      <c r="G1807" s="2049"/>
      <c r="H1807" s="2050"/>
      <c r="I1807" s="2051"/>
      <c r="J1807" s="2051"/>
      <c r="K1807" s="2052"/>
      <c r="L1807" s="2053"/>
      <c r="M1807" s="2054"/>
      <c r="N1807" s="2055"/>
      <c r="O1807" s="2056"/>
      <c r="P1807" s="1969"/>
      <c r="Q1807" s="1953"/>
      <c r="R1807" s="1954"/>
      <c r="S1807" s="1954"/>
      <c r="T1807" s="1969"/>
      <c r="U1807" s="2060"/>
      <c r="Z1807" s="1956"/>
      <c r="AA1807" s="1956"/>
      <c r="AF1807" s="1836"/>
      <c r="AG1807" s="1836"/>
      <c r="AH1807" s="1836"/>
      <c r="AI1807" s="1837"/>
      <c r="AJ1807" s="1960"/>
    </row>
    <row r="1808" spans="1:36" ht="21.95" customHeight="1" x14ac:dyDescent="0.2">
      <c r="B1808" s="2045"/>
      <c r="C1808" s="2046"/>
      <c r="D1808" s="2047" t="str">
        <f>SNI!E1070</f>
        <v>Pekerja</v>
      </c>
      <c r="E1808" s="2047"/>
      <c r="F1808" s="2048"/>
      <c r="G1808" s="2049">
        <f>SNI!H1070</f>
        <v>0.01</v>
      </c>
      <c r="H1808" s="2050" t="str">
        <f>SNI!G1070</f>
        <v>OH</v>
      </c>
      <c r="I1808" s="2142" t="s">
        <v>2012</v>
      </c>
      <c r="J1808" s="2051"/>
      <c r="K1808" s="2052">
        <f>SNI!L1070</f>
        <v>1</v>
      </c>
      <c r="L1808" s="2053"/>
      <c r="M1808" s="2054"/>
      <c r="N1808" s="2055">
        <f>SNI!I1070</f>
        <v>88300</v>
      </c>
      <c r="O1808" s="2056"/>
      <c r="P1808" s="1969">
        <f t="shared" ref="P1808:P1811" si="1201">N1808*G1808</f>
        <v>883</v>
      </c>
      <c r="Q1808" s="1953"/>
      <c r="R1808" s="1954"/>
      <c r="S1808" s="1954">
        <f t="shared" ref="S1808:S1811" si="1202">P1808*K1808</f>
        <v>883</v>
      </c>
      <c r="T1808" s="1969">
        <f t="shared" ref="T1808:T1811" si="1203">P1808-S1808</f>
        <v>0</v>
      </c>
      <c r="U1808" s="2060"/>
      <c r="Z1808" s="1956"/>
      <c r="AA1808" s="1956"/>
      <c r="AF1808" s="1836"/>
      <c r="AG1808" s="1836"/>
      <c r="AH1808" s="1836"/>
      <c r="AI1808" s="1837"/>
      <c r="AJ1808" s="1960"/>
    </row>
    <row r="1809" spans="1:36" ht="21.95" customHeight="1" x14ac:dyDescent="0.2">
      <c r="B1809" s="2045"/>
      <c r="C1809" s="2046"/>
      <c r="D1809" s="2047" t="str">
        <f>SNI!E1071</f>
        <v>Tukang batu</v>
      </c>
      <c r="E1809" s="2047"/>
      <c r="F1809" s="2048"/>
      <c r="G1809" s="2049">
        <f>SNI!H1071</f>
        <v>0.1</v>
      </c>
      <c r="H1809" s="2050" t="str">
        <f>SNI!G1071</f>
        <v>OH</v>
      </c>
      <c r="I1809" s="2142" t="s">
        <v>2012</v>
      </c>
      <c r="J1809" s="2051"/>
      <c r="K1809" s="2052">
        <f>SNI!L1071</f>
        <v>1</v>
      </c>
      <c r="L1809" s="2053"/>
      <c r="M1809" s="2054"/>
      <c r="N1809" s="2055">
        <f>SNI!I1071</f>
        <v>90000</v>
      </c>
      <c r="O1809" s="2056"/>
      <c r="P1809" s="1969">
        <f t="shared" si="1201"/>
        <v>9000</v>
      </c>
      <c r="Q1809" s="1953"/>
      <c r="R1809" s="1954"/>
      <c r="S1809" s="1954">
        <f t="shared" si="1202"/>
        <v>9000</v>
      </c>
      <c r="T1809" s="1969">
        <f t="shared" si="1203"/>
        <v>0</v>
      </c>
      <c r="U1809" s="2060"/>
      <c r="Z1809" s="1956"/>
      <c r="AA1809" s="1956"/>
      <c r="AF1809" s="1836"/>
      <c r="AG1809" s="1836"/>
      <c r="AH1809" s="1836"/>
      <c r="AI1809" s="1837"/>
      <c r="AJ1809" s="1960"/>
    </row>
    <row r="1810" spans="1:36" ht="21.95" customHeight="1" x14ac:dyDescent="0.2">
      <c r="B1810" s="2045"/>
      <c r="C1810" s="2046"/>
      <c r="D1810" s="2047" t="str">
        <f>SNI!E1072</f>
        <v>Kepala tukang</v>
      </c>
      <c r="E1810" s="2047"/>
      <c r="F1810" s="2048"/>
      <c r="G1810" s="2049">
        <f>SNI!H1072</f>
        <v>0.01</v>
      </c>
      <c r="H1810" s="2050" t="str">
        <f>SNI!G1072</f>
        <v>OH</v>
      </c>
      <c r="I1810" s="2142" t="s">
        <v>2012</v>
      </c>
      <c r="J1810" s="2051"/>
      <c r="K1810" s="2052">
        <f>SNI!L1072</f>
        <v>1</v>
      </c>
      <c r="L1810" s="2053"/>
      <c r="M1810" s="2054"/>
      <c r="N1810" s="2055">
        <f>SNI!I1072</f>
        <v>96000</v>
      </c>
      <c r="O1810" s="2056"/>
      <c r="P1810" s="1969">
        <f t="shared" si="1201"/>
        <v>960</v>
      </c>
      <c r="Q1810" s="1953"/>
      <c r="R1810" s="1954"/>
      <c r="S1810" s="1954">
        <f t="shared" si="1202"/>
        <v>960</v>
      </c>
      <c r="T1810" s="1969">
        <f t="shared" si="1203"/>
        <v>0</v>
      </c>
      <c r="U1810" s="2060"/>
      <c r="Z1810" s="1956"/>
      <c r="AA1810" s="1956"/>
      <c r="AF1810" s="1836"/>
      <c r="AG1810" s="1836"/>
      <c r="AH1810" s="1836"/>
      <c r="AI1810" s="1837"/>
      <c r="AJ1810" s="1960"/>
    </row>
    <row r="1811" spans="1:36" ht="21.95" customHeight="1" x14ac:dyDescent="0.2">
      <c r="B1811" s="2045"/>
      <c r="C1811" s="2046"/>
      <c r="D1811" s="2047" t="str">
        <f>SNI!E1073</f>
        <v>Mandor</v>
      </c>
      <c r="E1811" s="2047"/>
      <c r="F1811" s="2048"/>
      <c r="G1811" s="2049">
        <f>SNI!H1073</f>
        <v>5.0000000000000001E-3</v>
      </c>
      <c r="H1811" s="2050" t="str">
        <f>SNI!G1073</f>
        <v>OH</v>
      </c>
      <c r="I1811" s="2142" t="s">
        <v>2012</v>
      </c>
      <c r="J1811" s="2051"/>
      <c r="K1811" s="2052">
        <f>SNI!L1073</f>
        <v>1</v>
      </c>
      <c r="L1811" s="2053"/>
      <c r="M1811" s="2054"/>
      <c r="N1811" s="2055">
        <f>SNI!I1073</f>
        <v>90000</v>
      </c>
      <c r="O1811" s="2056"/>
      <c r="P1811" s="1969">
        <f t="shared" si="1201"/>
        <v>450</v>
      </c>
      <c r="Q1811" s="1953"/>
      <c r="R1811" s="1954"/>
      <c r="S1811" s="1954">
        <f t="shared" si="1202"/>
        <v>450</v>
      </c>
      <c r="T1811" s="1969">
        <f t="shared" si="1203"/>
        <v>0</v>
      </c>
      <c r="U1811" s="2060"/>
      <c r="Z1811" s="1956"/>
      <c r="AA1811" s="1956"/>
      <c r="AF1811" s="1836"/>
      <c r="AG1811" s="1836"/>
      <c r="AH1811" s="1836"/>
      <c r="AI1811" s="1837"/>
      <c r="AJ1811" s="1960"/>
    </row>
    <row r="1812" spans="1:36" s="1957" customFormat="1" ht="21.95" customHeight="1" x14ac:dyDescent="0.2">
      <c r="A1812" s="1942"/>
      <c r="B1812" s="1970"/>
      <c r="C1812" s="1971"/>
      <c r="D1812" s="1972"/>
      <c r="E1812" s="1973"/>
      <c r="F1812" s="1974" t="s">
        <v>556</v>
      </c>
      <c r="G1812" s="1975">
        <f>B1804</f>
        <v>6</v>
      </c>
      <c r="H1812" s="1976"/>
      <c r="I1812" s="1977"/>
      <c r="J1812" s="1977"/>
      <c r="K1812" s="1978"/>
      <c r="L1812" s="1979"/>
      <c r="M1812" s="1980"/>
      <c r="N1812" s="1981"/>
      <c r="O1812" s="1982"/>
      <c r="P1812" s="1983">
        <f>SUM(P1805:P1811)</f>
        <v>106293</v>
      </c>
      <c r="Q1812" s="1984"/>
      <c r="R1812" s="1985"/>
      <c r="S1812" s="1983">
        <f t="shared" ref="S1812" si="1204">SUM(S1805:S1811)</f>
        <v>11293</v>
      </c>
      <c r="T1812" s="1983">
        <f t="shared" ref="T1812" si="1205">SUM(T1805:T1811)</f>
        <v>95000</v>
      </c>
      <c r="U1812" s="1986"/>
      <c r="V1812" s="1848"/>
      <c r="W1812" s="1848"/>
      <c r="X1812" s="1848"/>
      <c r="Y1812" s="1848"/>
      <c r="Z1812" s="1956"/>
      <c r="AA1812" s="1956"/>
      <c r="AF1812" s="1958"/>
      <c r="AG1812" s="1958"/>
      <c r="AH1812" s="1958"/>
      <c r="AI1812" s="1959"/>
      <c r="AJ1812" s="1960"/>
    </row>
    <row r="1813" spans="1:36" ht="21.95" customHeight="1" x14ac:dyDescent="0.2">
      <c r="B1813" s="2017"/>
      <c r="C1813" s="2018"/>
      <c r="D1813" s="2019"/>
      <c r="E1813" s="2019"/>
      <c r="F1813" s="2020"/>
      <c r="G1813" s="2021"/>
      <c r="H1813" s="2022"/>
      <c r="I1813" s="2023"/>
      <c r="J1813" s="2023"/>
      <c r="K1813" s="2024"/>
      <c r="L1813" s="2025"/>
      <c r="M1813" s="2025"/>
      <c r="N1813" s="2026" t="s">
        <v>358</v>
      </c>
      <c r="O1813" s="2027"/>
      <c r="P1813" s="2065" t="s">
        <v>1840</v>
      </c>
      <c r="Q1813" s="2029">
        <f>AVERAGE(Q1535:Q1804)</f>
        <v>0.65274523678583829</v>
      </c>
      <c r="R1813" s="2023"/>
      <c r="S1813" s="2023"/>
      <c r="T1813" s="2068">
        <f>SUM(T1535:T1804)</f>
        <v>122453176.23216204</v>
      </c>
      <c r="U1813" s="2031"/>
      <c r="V1813" s="1848">
        <f>[3]HPS!M268</f>
        <v>144794794.86999997</v>
      </c>
      <c r="W1813" s="1848" t="e">
        <f>#REF!-V1813</f>
        <v>#REF!</v>
      </c>
      <c r="Z1813" s="1956"/>
      <c r="AA1813" s="1956">
        <f t="shared" si="1099"/>
        <v>0</v>
      </c>
      <c r="AB1813" s="2174"/>
      <c r="AF1813" s="1836"/>
      <c r="AG1813" s="1836"/>
      <c r="AH1813" s="1836"/>
      <c r="AI1813" s="1837" t="s">
        <v>358</v>
      </c>
      <c r="AJ1813" s="1960" t="e">
        <f t="shared" si="1100"/>
        <v>#VALUE!</v>
      </c>
    </row>
    <row r="1814" spans="1:36" ht="21.95" customHeight="1" x14ac:dyDescent="0.2">
      <c r="B1814" s="1927" t="s">
        <v>1864</v>
      </c>
      <c r="C1814" s="2033"/>
      <c r="D1814" s="2034" t="s">
        <v>1865</v>
      </c>
      <c r="E1814" s="2035"/>
      <c r="F1814" s="2036"/>
      <c r="G1814" s="1945"/>
      <c r="H1814" s="2037"/>
      <c r="I1814" s="2038"/>
      <c r="J1814" s="2038"/>
      <c r="K1814" s="2039"/>
      <c r="L1814" s="2040"/>
      <c r="M1814" s="2040"/>
      <c r="N1814" s="1997"/>
      <c r="O1814" s="2041"/>
      <c r="P1814" s="2042"/>
      <c r="Q1814" s="2038"/>
      <c r="R1814" s="2038"/>
      <c r="S1814" s="2038"/>
      <c r="T1814" s="2043"/>
      <c r="U1814" s="2044"/>
      <c r="Z1814" s="1956"/>
      <c r="AA1814" s="1956">
        <f t="shared" si="1099"/>
        <v>0</v>
      </c>
      <c r="AB1814" s="1836" t="s">
        <v>1865</v>
      </c>
      <c r="AF1814" s="1836"/>
      <c r="AG1814" s="1836"/>
      <c r="AH1814" s="1836"/>
      <c r="AI1814" s="1837"/>
      <c r="AJ1814" s="1960">
        <f t="shared" si="1100"/>
        <v>0</v>
      </c>
    </row>
    <row r="1815" spans="1:36" ht="21.95" customHeight="1" x14ac:dyDescent="0.2">
      <c r="B1815" s="1927"/>
      <c r="C1815" s="2033"/>
      <c r="D1815" s="2034" t="s">
        <v>1769</v>
      </c>
      <c r="E1815" s="2035"/>
      <c r="F1815" s="2036"/>
      <c r="G1815" s="1945"/>
      <c r="H1815" s="2037"/>
      <c r="I1815" s="2038"/>
      <c r="J1815" s="2038"/>
      <c r="K1815" s="2039"/>
      <c r="L1815" s="2040"/>
      <c r="M1815" s="2040"/>
      <c r="N1815" s="1997"/>
      <c r="O1815" s="2041"/>
      <c r="P1815" s="2042"/>
      <c r="Q1815" s="2038"/>
      <c r="R1815" s="2038"/>
      <c r="S1815" s="2038"/>
      <c r="T1815" s="2043"/>
      <c r="U1815" s="2044"/>
      <c r="Z1815" s="1956"/>
      <c r="AA1815" s="1956">
        <f t="shared" si="1099"/>
        <v>0</v>
      </c>
      <c r="AB1815" s="1836" t="s">
        <v>1769</v>
      </c>
      <c r="AF1815" s="1836"/>
      <c r="AG1815" s="1836"/>
      <c r="AH1815" s="1836"/>
      <c r="AI1815" s="1837"/>
      <c r="AJ1815" s="1960">
        <f t="shared" si="1100"/>
        <v>0</v>
      </c>
    </row>
    <row r="1816" spans="1:36" ht="21.95" customHeight="1" x14ac:dyDescent="0.2">
      <c r="A1816" s="1833">
        <f>satpek!B124</f>
        <v>103</v>
      </c>
      <c r="B1816" s="1943">
        <v>1</v>
      </c>
      <c r="C1816" s="1937"/>
      <c r="D1816" s="1944" t="str">
        <f>VLOOKUP($A1816,satpek!$B$20:$N$144,2,0)</f>
        <v>Penyambungan Daya PLN Tegangan Rendah (TR) 3 phase 44 KVA</v>
      </c>
      <c r="E1816" s="2035"/>
      <c r="F1816" s="2036"/>
      <c r="G1816" s="1945">
        <f>'[3]B.VOL RAB'!Q606</f>
        <v>44000</v>
      </c>
      <c r="H1816" s="1946" t="str">
        <f>VLOOKUP($A1816,satpek!$B$20:$N$144,7,0)</f>
        <v>va</v>
      </c>
      <c r="I1816" s="1947"/>
      <c r="J1816" s="1947"/>
      <c r="K1816" s="1948"/>
      <c r="L1816" s="1949"/>
      <c r="M1816" s="1950" t="str">
        <f>VLOOKUP($A1816,satpek!$B$20:$N$144,5,0)</f>
        <v>Daftar harga</v>
      </c>
      <c r="N1816" s="1951">
        <f>VLOOKUP($A1816,satpek!$B$20:$N$144,6,0)</f>
        <v>1564.5</v>
      </c>
      <c r="O1816" s="1938"/>
      <c r="P1816" s="1952">
        <f t="shared" ref="P1816" si="1206">ROUND((G1816*N1816),2)</f>
        <v>68838000</v>
      </c>
      <c r="Q1816" s="1953">
        <f>VLOOKUP($A1816,satpek!$B$20:$L$138,8,0)</f>
        <v>0.2</v>
      </c>
      <c r="R1816" s="1954">
        <f>VLOOKUP($A1816,satpek!$B$20:$L$138,9,0)</f>
        <v>0</v>
      </c>
      <c r="S1816" s="1954">
        <f>VLOOKUP($A1816,satpek!$B$20:$L$138,10,0)</f>
        <v>312.90000000000003</v>
      </c>
      <c r="T1816" s="1952">
        <f>S1816*G1816</f>
        <v>13767600.000000002</v>
      </c>
      <c r="U1816" s="1955"/>
      <c r="X1816" s="1848">
        <f>P1821</f>
        <v>1564.5</v>
      </c>
      <c r="Y1816" s="1848">
        <f>S1821</f>
        <v>312.90000000000003</v>
      </c>
      <c r="Z1816" s="1956">
        <v>44000</v>
      </c>
      <c r="AA1816" s="1956">
        <f t="shared" si="1099"/>
        <v>0</v>
      </c>
      <c r="AB1816" s="1836" t="s">
        <v>1866</v>
      </c>
      <c r="AF1816" s="1836"/>
      <c r="AG1816" s="1836"/>
      <c r="AH1816" s="1836"/>
      <c r="AI1816" s="1837">
        <v>1350</v>
      </c>
      <c r="AJ1816" s="1960">
        <f t="shared" si="1100"/>
        <v>-214.5</v>
      </c>
    </row>
    <row r="1817" spans="1:36" ht="21.95" customHeight="1" x14ac:dyDescent="0.2">
      <c r="B1817" s="1943"/>
      <c r="C1817" s="1937" t="s">
        <v>1566</v>
      </c>
      <c r="D1817" s="1944" t="s">
        <v>1868</v>
      </c>
      <c r="E1817" s="2035"/>
      <c r="F1817" s="2036"/>
      <c r="G1817" s="1945"/>
      <c r="H1817" s="2037"/>
      <c r="I1817" s="2038"/>
      <c r="J1817" s="2038"/>
      <c r="K1817" s="2039"/>
      <c r="L1817" s="2040"/>
      <c r="M1817" s="2040" t="s">
        <v>1854</v>
      </c>
      <c r="N1817" s="1997"/>
      <c r="O1817" s="2041"/>
      <c r="P1817" s="2042"/>
      <c r="Q1817" s="2038"/>
      <c r="R1817" s="2038"/>
      <c r="S1817" s="2038"/>
      <c r="T1817" s="2043"/>
      <c r="U1817" s="2044"/>
      <c r="Z1817" s="1956"/>
      <c r="AA1817" s="1956">
        <f t="shared" si="1099"/>
        <v>0</v>
      </c>
      <c r="AB1817" s="1836" t="s">
        <v>1868</v>
      </c>
      <c r="AF1817" s="1836"/>
      <c r="AG1817" s="1836"/>
      <c r="AH1817" s="1836"/>
      <c r="AI1817" s="1837"/>
      <c r="AJ1817" s="1960">
        <f t="shared" si="1100"/>
        <v>0</v>
      </c>
    </row>
    <row r="1818" spans="1:36" ht="21.95" customHeight="1" x14ac:dyDescent="0.2">
      <c r="B1818" s="1943"/>
      <c r="C1818" s="1937" t="s">
        <v>1569</v>
      </c>
      <c r="D1818" s="1944" t="s">
        <v>1869</v>
      </c>
      <c r="E1818" s="2035"/>
      <c r="F1818" s="2036"/>
      <c r="G1818" s="1945"/>
      <c r="H1818" s="2037"/>
      <c r="I1818" s="2038"/>
      <c r="J1818" s="2038"/>
      <c r="K1818" s="2039"/>
      <c r="L1818" s="2040"/>
      <c r="M1818" s="2040" t="s">
        <v>1854</v>
      </c>
      <c r="N1818" s="1997"/>
      <c r="O1818" s="2041"/>
      <c r="P1818" s="2042"/>
      <c r="Q1818" s="2038"/>
      <c r="R1818" s="2038"/>
      <c r="S1818" s="2038"/>
      <c r="T1818" s="2043"/>
      <c r="U1818" s="2044"/>
      <c r="Z1818" s="1956"/>
      <c r="AA1818" s="1956">
        <f t="shared" si="1099"/>
        <v>0</v>
      </c>
      <c r="AB1818" s="1836" t="s">
        <v>1869</v>
      </c>
      <c r="AF1818" s="1836"/>
      <c r="AG1818" s="1836"/>
      <c r="AH1818" s="1836"/>
      <c r="AI1818" s="1837"/>
      <c r="AJ1818" s="1960">
        <f t="shared" si="1100"/>
        <v>0</v>
      </c>
    </row>
    <row r="1819" spans="1:36" ht="21.95" customHeight="1" x14ac:dyDescent="0.2">
      <c r="B1819" s="1943"/>
      <c r="C1819" s="1937" t="s">
        <v>1571</v>
      </c>
      <c r="D1819" s="1944" t="s">
        <v>1870</v>
      </c>
      <c r="E1819" s="2035"/>
      <c r="F1819" s="2036"/>
      <c r="G1819" s="1945"/>
      <c r="H1819" s="2037"/>
      <c r="I1819" s="2038"/>
      <c r="J1819" s="2038"/>
      <c r="K1819" s="2039"/>
      <c r="L1819" s="2040"/>
      <c r="M1819" s="2040" t="s">
        <v>1854</v>
      </c>
      <c r="N1819" s="1997"/>
      <c r="O1819" s="2041"/>
      <c r="P1819" s="2042"/>
      <c r="Q1819" s="2038"/>
      <c r="R1819" s="2038"/>
      <c r="S1819" s="2038"/>
      <c r="T1819" s="2043"/>
      <c r="U1819" s="2044"/>
      <c r="Z1819" s="1956"/>
      <c r="AA1819" s="1956">
        <f t="shared" si="1099"/>
        <v>0</v>
      </c>
      <c r="AB1819" s="1836" t="s">
        <v>1870</v>
      </c>
      <c r="AF1819" s="1836"/>
      <c r="AG1819" s="1836"/>
      <c r="AH1819" s="1836"/>
      <c r="AI1819" s="1837"/>
      <c r="AJ1819" s="1960">
        <f t="shared" si="1100"/>
        <v>0</v>
      </c>
    </row>
    <row r="1820" spans="1:36" ht="21.95" customHeight="1" x14ac:dyDescent="0.2">
      <c r="B1820" s="1943"/>
      <c r="C1820" s="1937" t="s">
        <v>1582</v>
      </c>
      <c r="D1820" s="1944" t="s">
        <v>1871</v>
      </c>
      <c r="E1820" s="2035"/>
      <c r="F1820" s="2036"/>
      <c r="G1820" s="1945"/>
      <c r="H1820" s="2037"/>
      <c r="I1820" s="2038"/>
      <c r="J1820" s="2038"/>
      <c r="K1820" s="2039"/>
      <c r="L1820" s="2040"/>
      <c r="M1820" s="2040" t="s">
        <v>1854</v>
      </c>
      <c r="N1820" s="1997"/>
      <c r="O1820" s="2041"/>
      <c r="P1820" s="2042"/>
      <c r="Q1820" s="2038"/>
      <c r="R1820" s="2038"/>
      <c r="S1820" s="2038"/>
      <c r="T1820" s="2043"/>
      <c r="U1820" s="2044"/>
      <c r="Z1820" s="1956"/>
      <c r="AA1820" s="1956">
        <f t="shared" si="1099"/>
        <v>0</v>
      </c>
      <c r="AB1820" s="1836" t="s">
        <v>1871</v>
      </c>
      <c r="AF1820" s="1836"/>
      <c r="AG1820" s="1836"/>
      <c r="AH1820" s="1836"/>
      <c r="AI1820" s="1837"/>
      <c r="AJ1820" s="1960">
        <f t="shared" si="1100"/>
        <v>0</v>
      </c>
    </row>
    <row r="1821" spans="1:36" s="1957" customFormat="1" ht="21.95" customHeight="1" x14ac:dyDescent="0.2">
      <c r="A1821" s="1942"/>
      <c r="B1821" s="1970"/>
      <c r="C1821" s="1971"/>
      <c r="D1821" s="1972" t="str">
        <f>D1816</f>
        <v>Penyambungan Daya PLN Tegangan Rendah (TR) 3 phase 44 KVA</v>
      </c>
      <c r="E1821" s="1973"/>
      <c r="F1821" s="1974"/>
      <c r="G1821" s="1975">
        <f>G1816</f>
        <v>44000</v>
      </c>
      <c r="H1821" s="1976" t="str">
        <f>H1816</f>
        <v>va</v>
      </c>
      <c r="I1821" s="1977"/>
      <c r="J1821" s="1977"/>
      <c r="K1821" s="1978">
        <f>satpek!I124</f>
        <v>0.2</v>
      </c>
      <c r="L1821" s="1979"/>
      <c r="M1821" s="1980"/>
      <c r="N1821" s="1981">
        <f>N1816</f>
        <v>1564.5</v>
      </c>
      <c r="O1821" s="1982"/>
      <c r="P1821" s="1983">
        <f>N1821</f>
        <v>1564.5</v>
      </c>
      <c r="Q1821" s="1984"/>
      <c r="R1821" s="1985"/>
      <c r="S1821" s="1983">
        <f>K1821*N1821</f>
        <v>312.90000000000003</v>
      </c>
      <c r="T1821" s="1983">
        <f>N1821-S1821</f>
        <v>1251.5999999999999</v>
      </c>
      <c r="U1821" s="1986"/>
      <c r="V1821" s="1848"/>
      <c r="W1821" s="1848"/>
      <c r="X1821" s="1848"/>
      <c r="Y1821" s="1848"/>
      <c r="Z1821" s="1956"/>
      <c r="AA1821" s="1956"/>
      <c r="AF1821" s="1958"/>
      <c r="AG1821" s="1958"/>
      <c r="AH1821" s="1958"/>
      <c r="AI1821" s="1959"/>
      <c r="AJ1821" s="1960"/>
    </row>
    <row r="1822" spans="1:36" ht="21.95" customHeight="1" x14ac:dyDescent="0.2">
      <c r="A1822" s="1833">
        <f>satpek!B87</f>
        <v>68</v>
      </c>
      <c r="B1822" s="1943">
        <v>2</v>
      </c>
      <c r="C1822" s="1937"/>
      <c r="D1822" s="1944" t="s">
        <v>1872</v>
      </c>
      <c r="E1822" s="1944"/>
      <c r="F1822" s="2004"/>
      <c r="G1822" s="1945">
        <f>'[3]B.VOL RAB'!Q607</f>
        <v>61.3</v>
      </c>
      <c r="H1822" s="1946" t="str">
        <f>VLOOKUP($A1822,satpek!$B$20:$N$144,7,0)</f>
        <v>ttk</v>
      </c>
      <c r="I1822" s="1947"/>
      <c r="J1822" s="1947"/>
      <c r="K1822" s="1948"/>
      <c r="L1822" s="1949"/>
      <c r="M1822" s="1950" t="str">
        <f>VLOOKUP($A1822,satpek!$B$20:$N$144,5,0)</f>
        <v>An. Dihitung</v>
      </c>
      <c r="N1822" s="1951">
        <f>VLOOKUP($A1822,satpek!$B$20:$N$144,6,0)</f>
        <v>841092.9</v>
      </c>
      <c r="O1822" s="1938"/>
      <c r="P1822" s="1952">
        <f t="shared" ref="P1822:P1982" si="1207">ROUND((G1822*N1822),2)</f>
        <v>51558994.770000003</v>
      </c>
      <c r="Q1822" s="1953">
        <f>VLOOKUP($A1822,satpek!$B$20:$L$138,8,0)</f>
        <v>0.87338949122029208</v>
      </c>
      <c r="R1822" s="1954">
        <f>VLOOKUP($A1822,satpek!$B$20:$L$138,9,0)</f>
        <v>650090</v>
      </c>
      <c r="S1822" s="1954">
        <f>VLOOKUP($A1822,satpek!$B$20:$L$138,10,0)</f>
        <v>734601.7</v>
      </c>
      <c r="T1822" s="1952">
        <f t="shared" ref="T1822:T1982" si="1208">S1822*G1822</f>
        <v>45031084.209999993</v>
      </c>
      <c r="U1822" s="1955"/>
      <c r="X1822" s="1848">
        <f>P1830</f>
        <v>744330</v>
      </c>
      <c r="Y1822" s="1848">
        <f>S1830</f>
        <v>650090</v>
      </c>
      <c r="Z1822" s="1956">
        <v>61.3</v>
      </c>
      <c r="AA1822" s="1956">
        <f t="shared" si="1099"/>
        <v>0</v>
      </c>
      <c r="AB1822" s="1836" t="s">
        <v>1872</v>
      </c>
      <c r="AF1822" s="1836"/>
      <c r="AG1822" s="1836"/>
      <c r="AH1822" s="1836"/>
      <c r="AI1822" s="1837">
        <v>839929</v>
      </c>
      <c r="AJ1822" s="1960">
        <f t="shared" si="1100"/>
        <v>-1163.9000000000233</v>
      </c>
    </row>
    <row r="1823" spans="1:36" ht="21.95" customHeight="1" x14ac:dyDescent="0.2">
      <c r="B1823" s="2045"/>
      <c r="C1823" s="2046" t="str">
        <f>SNI!D1357</f>
        <v>Bahan</v>
      </c>
      <c r="D1823" s="2047"/>
      <c r="E1823" s="2047"/>
      <c r="F1823" s="2048"/>
      <c r="G1823" s="2049"/>
      <c r="H1823" s="2050"/>
      <c r="I1823" s="2051"/>
      <c r="J1823" s="2051"/>
      <c r="K1823" s="2052"/>
      <c r="L1823" s="2053"/>
      <c r="M1823" s="2054"/>
      <c r="N1823" s="2055"/>
      <c r="O1823" s="2056"/>
      <c r="P1823" s="2057"/>
      <c r="Q1823" s="2058"/>
      <c r="R1823" s="2059"/>
      <c r="S1823" s="2059"/>
      <c r="T1823" s="2057"/>
      <c r="U1823" s="2060"/>
      <c r="Z1823" s="1956"/>
      <c r="AA1823" s="1956"/>
      <c r="AF1823" s="1836"/>
      <c r="AG1823" s="1836"/>
      <c r="AH1823" s="1836"/>
      <c r="AI1823" s="1837"/>
      <c r="AJ1823" s="1960"/>
    </row>
    <row r="1824" spans="1:36" ht="21.95" customHeight="1" x14ac:dyDescent="0.2">
      <c r="B1824" s="2045"/>
      <c r="C1824" s="2046"/>
      <c r="D1824" s="2047" t="str">
        <f>SNI!E1357</f>
        <v>Kabel 4x70 mm</v>
      </c>
      <c r="E1824" s="2047"/>
      <c r="F1824" s="2048"/>
      <c r="G1824" s="2049">
        <f>SNI!H1357</f>
        <v>1</v>
      </c>
      <c r="H1824" s="2050" t="str">
        <f>SNI!G1357</f>
        <v>m'</v>
      </c>
      <c r="I1824" s="2051"/>
      <c r="J1824" s="2051"/>
      <c r="K1824" s="2052">
        <f>SNI!L1357</f>
        <v>0.88549999999999995</v>
      </c>
      <c r="L1824" s="2053"/>
      <c r="M1824" s="2054"/>
      <c r="N1824" s="2055">
        <f>SNI!I1357</f>
        <v>620000</v>
      </c>
      <c r="O1824" s="2056"/>
      <c r="P1824" s="1969">
        <f t="shared" ref="P1824" si="1209">N1824*G1824</f>
        <v>620000</v>
      </c>
      <c r="Q1824" s="1953"/>
      <c r="R1824" s="1954"/>
      <c r="S1824" s="1954">
        <f t="shared" ref="S1824" si="1210">P1824*K1824</f>
        <v>549010</v>
      </c>
      <c r="T1824" s="1969">
        <f t="shared" ref="T1824" si="1211">P1824-S1824</f>
        <v>70990</v>
      </c>
      <c r="U1824" s="2060"/>
      <c r="Z1824" s="1956"/>
      <c r="AA1824" s="1956"/>
      <c r="AF1824" s="1836"/>
      <c r="AG1824" s="1836"/>
      <c r="AH1824" s="1836"/>
      <c r="AI1824" s="1837"/>
      <c r="AJ1824" s="1960"/>
    </row>
    <row r="1825" spans="1:36" ht="21.95" customHeight="1" x14ac:dyDescent="0.2">
      <c r="B1825" s="2045"/>
      <c r="C1825" s="2046"/>
      <c r="D1825" s="2047" t="str">
        <f>SNI!E1358</f>
        <v>aksesoris 15%</v>
      </c>
      <c r="E1825" s="2047"/>
      <c r="F1825" s="2048"/>
      <c r="G1825" s="2049">
        <f>SNI!H1358</f>
        <v>1</v>
      </c>
      <c r="H1825" s="2050" t="str">
        <f>SNI!G1358</f>
        <v>ls</v>
      </c>
      <c r="I1825" s="2051"/>
      <c r="J1825" s="2051"/>
      <c r="K1825" s="2052">
        <f>SNI!L1358</f>
        <v>0.75</v>
      </c>
      <c r="L1825" s="2053"/>
      <c r="M1825" s="2054"/>
      <c r="N1825" s="2055">
        <f>SNI!I1358</f>
        <v>93000</v>
      </c>
      <c r="O1825" s="2056"/>
      <c r="P1825" s="1969">
        <f t="shared" ref="P1825:P1829" si="1212">N1825*G1825</f>
        <v>93000</v>
      </c>
      <c r="Q1825" s="1953"/>
      <c r="R1825" s="1954"/>
      <c r="S1825" s="1954">
        <f t="shared" ref="S1825:S1829" si="1213">P1825*K1825</f>
        <v>69750</v>
      </c>
      <c r="T1825" s="1969">
        <f t="shared" ref="T1825:T1829" si="1214">P1825-S1825</f>
        <v>23250</v>
      </c>
      <c r="U1825" s="2060"/>
      <c r="Z1825" s="1956"/>
      <c r="AA1825" s="1956"/>
      <c r="AF1825" s="1836"/>
      <c r="AG1825" s="1836"/>
      <c r="AH1825" s="1836"/>
      <c r="AI1825" s="1837"/>
      <c r="AJ1825" s="1960"/>
    </row>
    <row r="1826" spans="1:36" ht="21.95" customHeight="1" x14ac:dyDescent="0.2">
      <c r="B1826" s="2045"/>
      <c r="C1826" s="2046" t="str">
        <f>SNI!D1360</f>
        <v>Tenaga Kerja</v>
      </c>
      <c r="D1826" s="2047"/>
      <c r="E1826" s="2047"/>
      <c r="F1826" s="2048"/>
      <c r="G1826" s="2049"/>
      <c r="H1826" s="2050"/>
      <c r="I1826" s="2051"/>
      <c r="J1826" s="2051"/>
      <c r="K1826" s="2052"/>
      <c r="L1826" s="2053"/>
      <c r="M1826" s="2054"/>
      <c r="N1826" s="2055"/>
      <c r="O1826" s="2056"/>
      <c r="P1826" s="1969"/>
      <c r="Q1826" s="1953"/>
      <c r="R1826" s="1954"/>
      <c r="S1826" s="1954"/>
      <c r="T1826" s="1969"/>
      <c r="U1826" s="2060"/>
      <c r="Z1826" s="1956"/>
      <c r="AA1826" s="1956"/>
      <c r="AF1826" s="1836"/>
      <c r="AG1826" s="1836"/>
      <c r="AH1826" s="1836"/>
      <c r="AI1826" s="1837"/>
      <c r="AJ1826" s="1960"/>
    </row>
    <row r="1827" spans="1:36" ht="21.95" customHeight="1" x14ac:dyDescent="0.2">
      <c r="B1827" s="2045"/>
      <c r="C1827" s="2046"/>
      <c r="D1827" s="2047" t="str">
        <f>SNI!E1360</f>
        <v>Pekerja</v>
      </c>
      <c r="E1827" s="2047"/>
      <c r="F1827" s="2048"/>
      <c r="G1827" s="2049">
        <f>SNI!H1360</f>
        <v>0.1</v>
      </c>
      <c r="H1827" s="2050" t="str">
        <f>SNI!G1360</f>
        <v>OH</v>
      </c>
      <c r="I1827" s="2142" t="s">
        <v>2012</v>
      </c>
      <c r="J1827" s="2051"/>
      <c r="K1827" s="2052">
        <f>SNI!L1360</f>
        <v>1</v>
      </c>
      <c r="L1827" s="2053"/>
      <c r="M1827" s="2054"/>
      <c r="N1827" s="2055">
        <f>SNI!I1360</f>
        <v>88300</v>
      </c>
      <c r="O1827" s="2056"/>
      <c r="P1827" s="1969">
        <f t="shared" si="1212"/>
        <v>8830</v>
      </c>
      <c r="Q1827" s="1953"/>
      <c r="R1827" s="1954"/>
      <c r="S1827" s="1954">
        <f t="shared" si="1213"/>
        <v>8830</v>
      </c>
      <c r="T1827" s="1969">
        <f t="shared" si="1214"/>
        <v>0</v>
      </c>
      <c r="U1827" s="2060"/>
      <c r="Z1827" s="1956"/>
      <c r="AA1827" s="1956"/>
      <c r="AF1827" s="1836"/>
      <c r="AG1827" s="1836"/>
      <c r="AH1827" s="1836"/>
      <c r="AI1827" s="1837"/>
      <c r="AJ1827" s="1960"/>
    </row>
    <row r="1828" spans="1:36" ht="21.95" customHeight="1" x14ac:dyDescent="0.2">
      <c r="B1828" s="2045"/>
      <c r="C1828" s="2046"/>
      <c r="D1828" s="2047" t="str">
        <f>SNI!E1361</f>
        <v>Tukang listrik</v>
      </c>
      <c r="E1828" s="2047"/>
      <c r="F1828" s="2048"/>
      <c r="G1828" s="2049">
        <f>SNI!H1361</f>
        <v>0.2</v>
      </c>
      <c r="H1828" s="2050" t="str">
        <f>SNI!G1361</f>
        <v>OH</v>
      </c>
      <c r="I1828" s="2142" t="s">
        <v>2012</v>
      </c>
      <c r="J1828" s="2051"/>
      <c r="K1828" s="2052">
        <f>SNI!L1361</f>
        <v>1</v>
      </c>
      <c r="L1828" s="2053"/>
      <c r="M1828" s="2054"/>
      <c r="N1828" s="2055">
        <f>SNI!I1361</f>
        <v>90000</v>
      </c>
      <c r="O1828" s="2056"/>
      <c r="P1828" s="1969">
        <f t="shared" si="1212"/>
        <v>18000</v>
      </c>
      <c r="Q1828" s="1953"/>
      <c r="R1828" s="1954"/>
      <c r="S1828" s="1954">
        <f t="shared" si="1213"/>
        <v>18000</v>
      </c>
      <c r="T1828" s="1969">
        <f t="shared" si="1214"/>
        <v>0</v>
      </c>
      <c r="U1828" s="2060"/>
      <c r="Z1828" s="1956"/>
      <c r="AA1828" s="1956"/>
      <c r="AF1828" s="1836"/>
      <c r="AG1828" s="1836"/>
      <c r="AH1828" s="1836"/>
      <c r="AI1828" s="1837"/>
      <c r="AJ1828" s="1960"/>
    </row>
    <row r="1829" spans="1:36" ht="21.95" customHeight="1" x14ac:dyDescent="0.2">
      <c r="B1829" s="2045"/>
      <c r="C1829" s="2046"/>
      <c r="D1829" s="2047" t="str">
        <f>SNI!E1362</f>
        <v>Mandor</v>
      </c>
      <c r="E1829" s="2047"/>
      <c r="F1829" s="2048"/>
      <c r="G1829" s="2049">
        <f>SNI!H1362</f>
        <v>0.05</v>
      </c>
      <c r="H1829" s="2050" t="str">
        <f>SNI!G1362</f>
        <v>OH</v>
      </c>
      <c r="I1829" s="2142" t="s">
        <v>2012</v>
      </c>
      <c r="J1829" s="2051"/>
      <c r="K1829" s="2052">
        <f>SNI!L1362</f>
        <v>1</v>
      </c>
      <c r="L1829" s="2053"/>
      <c r="M1829" s="2054"/>
      <c r="N1829" s="2055">
        <f>SNI!I1362</f>
        <v>90000</v>
      </c>
      <c r="O1829" s="2056"/>
      <c r="P1829" s="1969">
        <f t="shared" si="1212"/>
        <v>4500</v>
      </c>
      <c r="Q1829" s="1953"/>
      <c r="R1829" s="1954"/>
      <c r="S1829" s="1954">
        <f t="shared" si="1213"/>
        <v>4500</v>
      </c>
      <c r="T1829" s="1969">
        <f t="shared" si="1214"/>
        <v>0</v>
      </c>
      <c r="U1829" s="2060"/>
      <c r="Z1829" s="1956"/>
      <c r="AA1829" s="1956"/>
      <c r="AF1829" s="1836"/>
      <c r="AG1829" s="1836"/>
      <c r="AH1829" s="1836"/>
      <c r="AI1829" s="1837"/>
      <c r="AJ1829" s="1960"/>
    </row>
    <row r="1830" spans="1:36" s="1957" customFormat="1" ht="21.95" customHeight="1" x14ac:dyDescent="0.2">
      <c r="A1830" s="1942"/>
      <c r="B1830" s="1970"/>
      <c r="C1830" s="1971"/>
      <c r="D1830" s="1972"/>
      <c r="E1830" s="1973"/>
      <c r="F1830" s="1974" t="s">
        <v>556</v>
      </c>
      <c r="G1830" s="1975">
        <f>B1822</f>
        <v>2</v>
      </c>
      <c r="H1830" s="1976"/>
      <c r="I1830" s="1977"/>
      <c r="J1830" s="1977"/>
      <c r="K1830" s="1978"/>
      <c r="L1830" s="1979"/>
      <c r="M1830" s="1980"/>
      <c r="N1830" s="1981"/>
      <c r="O1830" s="1982"/>
      <c r="P1830" s="1983">
        <f>SUM(P1823:P1829)</f>
        <v>744330</v>
      </c>
      <c r="Q1830" s="1984"/>
      <c r="R1830" s="1985"/>
      <c r="S1830" s="1983">
        <f t="shared" ref="S1830" si="1215">SUM(S1823:S1829)</f>
        <v>650090</v>
      </c>
      <c r="T1830" s="1983">
        <f t="shared" ref="T1830" si="1216">SUM(T1823:T1829)</f>
        <v>94240</v>
      </c>
      <c r="U1830" s="1986"/>
      <c r="V1830" s="1848"/>
      <c r="W1830" s="1848"/>
      <c r="X1830" s="1848"/>
      <c r="Y1830" s="1848"/>
      <c r="Z1830" s="1956"/>
      <c r="AA1830" s="1956"/>
      <c r="AF1830" s="1958"/>
      <c r="AG1830" s="1958"/>
      <c r="AH1830" s="1958"/>
      <c r="AI1830" s="1959"/>
      <c r="AJ1830" s="1960"/>
    </row>
    <row r="1831" spans="1:36" ht="21.95" customHeight="1" x14ac:dyDescent="0.2">
      <c r="A1831" s="1833">
        <f>satpek!B86</f>
        <v>67</v>
      </c>
      <c r="B1831" s="1943">
        <f>B1822+1</f>
        <v>3</v>
      </c>
      <c r="C1831" s="1937"/>
      <c r="D1831" s="1944" t="s">
        <v>1873</v>
      </c>
      <c r="E1831" s="1944"/>
      <c r="F1831" s="2004"/>
      <c r="G1831" s="1945">
        <f>'[3]B.VOL RAB'!Q608</f>
        <v>3.2</v>
      </c>
      <c r="H1831" s="1946" t="str">
        <f>VLOOKUP($A1831,satpek!$B$20:$N$144,7,0)</f>
        <v>ttk</v>
      </c>
      <c r="I1831" s="1947"/>
      <c r="J1831" s="1947"/>
      <c r="K1831" s="1948"/>
      <c r="L1831" s="1949"/>
      <c r="M1831" s="1950" t="str">
        <f>VLOOKUP($A1831,satpek!$B$20:$N$144,5,0)</f>
        <v>An. Dihitung</v>
      </c>
      <c r="N1831" s="1951">
        <f>VLOOKUP($A1831,satpek!$B$20:$N$144,6,0)</f>
        <v>490227.9</v>
      </c>
      <c r="O1831" s="1938"/>
      <c r="P1831" s="1952">
        <f t="shared" si="1207"/>
        <v>1568729.28</v>
      </c>
      <c r="Q1831" s="1953">
        <f>VLOOKUP($A1831,satpek!$B$20:$L$138,8,0)</f>
        <v>0.87737132056335432</v>
      </c>
      <c r="R1831" s="1954">
        <f>VLOOKUP($A1831,satpek!$B$20:$L$138,9,0)</f>
        <v>380630</v>
      </c>
      <c r="S1831" s="1954">
        <f>VLOOKUP($A1831,satpek!$B$20:$L$138,10,0)</f>
        <v>430111.9</v>
      </c>
      <c r="T1831" s="1952">
        <f t="shared" si="1208"/>
        <v>1376358.08</v>
      </c>
      <c r="U1831" s="1955"/>
      <c r="X1831" s="1848">
        <f>P1839</f>
        <v>433830</v>
      </c>
      <c r="Y1831" s="1848">
        <f>S1839</f>
        <v>380630</v>
      </c>
      <c r="Z1831" s="1956">
        <v>3.2</v>
      </c>
      <c r="AA1831" s="1956">
        <f t="shared" si="1099"/>
        <v>0</v>
      </c>
      <c r="AB1831" s="1836" t="s">
        <v>1873</v>
      </c>
      <c r="AF1831" s="1836"/>
      <c r="AG1831" s="1836"/>
      <c r="AH1831" s="1836"/>
      <c r="AI1831" s="1837">
        <v>489064</v>
      </c>
      <c r="AJ1831" s="1960">
        <f t="shared" si="1100"/>
        <v>-1163.9000000000233</v>
      </c>
    </row>
    <row r="1832" spans="1:36" ht="21.95" customHeight="1" x14ac:dyDescent="0.2">
      <c r="B1832" s="2045"/>
      <c r="C1832" s="2046" t="str">
        <f>SNI!D1337</f>
        <v>Bahan</v>
      </c>
      <c r="D1832" s="2047"/>
      <c r="E1832" s="2047"/>
      <c r="F1832" s="2048"/>
      <c r="G1832" s="2049"/>
      <c r="H1832" s="2050"/>
      <c r="I1832" s="2051"/>
      <c r="J1832" s="2051"/>
      <c r="K1832" s="2052"/>
      <c r="L1832" s="2053"/>
      <c r="M1832" s="2054"/>
      <c r="N1832" s="2055"/>
      <c r="O1832" s="2056"/>
      <c r="P1832" s="2057"/>
      <c r="Q1832" s="2058"/>
      <c r="R1832" s="2059"/>
      <c r="S1832" s="2059"/>
      <c r="T1832" s="2057"/>
      <c r="U1832" s="2060"/>
      <c r="Z1832" s="1956"/>
      <c r="AA1832" s="1956"/>
      <c r="AF1832" s="1836"/>
      <c r="AG1832" s="1836"/>
      <c r="AH1832" s="1836"/>
      <c r="AI1832" s="1837"/>
      <c r="AJ1832" s="1960"/>
    </row>
    <row r="1833" spans="1:36" ht="21.95" customHeight="1" x14ac:dyDescent="0.2">
      <c r="B1833" s="2045"/>
      <c r="C1833" s="2046"/>
      <c r="D1833" s="2047" t="str">
        <f>SNI!E1337</f>
        <v>Kabel 4x16 mm</v>
      </c>
      <c r="E1833" s="2047"/>
      <c r="F1833" s="2048"/>
      <c r="G1833" s="2049">
        <f>SNI!H1337</f>
        <v>1</v>
      </c>
      <c r="H1833" s="2050" t="str">
        <f>SNI!G1337</f>
        <v>m'</v>
      </c>
      <c r="I1833" s="2051"/>
      <c r="J1833" s="2051"/>
      <c r="K1833" s="2052">
        <f>SNI!L1337</f>
        <v>0.88549999999999995</v>
      </c>
      <c r="L1833" s="2053"/>
      <c r="M1833" s="2054"/>
      <c r="N1833" s="2055">
        <f>SNI!I1337</f>
        <v>350000</v>
      </c>
      <c r="O1833" s="2056"/>
      <c r="P1833" s="1969">
        <f t="shared" ref="P1833" si="1217">N1833*G1833</f>
        <v>350000</v>
      </c>
      <c r="Q1833" s="1953"/>
      <c r="R1833" s="1954"/>
      <c r="S1833" s="1954">
        <f t="shared" ref="S1833" si="1218">P1833*K1833</f>
        <v>309925</v>
      </c>
      <c r="T1833" s="1969">
        <f t="shared" ref="T1833" si="1219">P1833-S1833</f>
        <v>40075</v>
      </c>
      <c r="U1833" s="2060"/>
      <c r="Z1833" s="1956"/>
      <c r="AA1833" s="1956"/>
      <c r="AF1833" s="1836"/>
      <c r="AG1833" s="1836"/>
      <c r="AH1833" s="1836"/>
      <c r="AI1833" s="1837"/>
      <c r="AJ1833" s="1960"/>
    </row>
    <row r="1834" spans="1:36" ht="21.95" customHeight="1" x14ac:dyDescent="0.2">
      <c r="B1834" s="2045"/>
      <c r="C1834" s="2046"/>
      <c r="D1834" s="2047" t="str">
        <f>SNI!E1338</f>
        <v>aksesoris 15%</v>
      </c>
      <c r="E1834" s="2047"/>
      <c r="F1834" s="2048"/>
      <c r="G1834" s="2049">
        <f>SNI!H1338</f>
        <v>1</v>
      </c>
      <c r="H1834" s="2050" t="str">
        <f>SNI!G1338</f>
        <v>ls</v>
      </c>
      <c r="I1834" s="2051"/>
      <c r="J1834" s="2051"/>
      <c r="K1834" s="2052">
        <f>SNI!L1338</f>
        <v>0.75</v>
      </c>
      <c r="L1834" s="2053"/>
      <c r="M1834" s="2054"/>
      <c r="N1834" s="2055">
        <f>SNI!I1338</f>
        <v>52500</v>
      </c>
      <c r="O1834" s="2056"/>
      <c r="P1834" s="1969">
        <f t="shared" ref="P1834:P1838" si="1220">N1834*G1834</f>
        <v>52500</v>
      </c>
      <c r="Q1834" s="1953"/>
      <c r="R1834" s="1954"/>
      <c r="S1834" s="1954">
        <f t="shared" ref="S1834:S1838" si="1221">P1834*K1834</f>
        <v>39375</v>
      </c>
      <c r="T1834" s="1969">
        <f t="shared" ref="T1834:T1838" si="1222">P1834-S1834</f>
        <v>13125</v>
      </c>
      <c r="U1834" s="2060"/>
      <c r="Z1834" s="1956"/>
      <c r="AA1834" s="1956"/>
      <c r="AF1834" s="1836"/>
      <c r="AG1834" s="1836"/>
      <c r="AH1834" s="1836"/>
      <c r="AI1834" s="1837"/>
      <c r="AJ1834" s="1960"/>
    </row>
    <row r="1835" spans="1:36" ht="21.95" customHeight="1" x14ac:dyDescent="0.2">
      <c r="B1835" s="2045"/>
      <c r="C1835" s="2046" t="str">
        <f>SNI!D1340</f>
        <v>Tenaga Kerja</v>
      </c>
      <c r="D1835" s="2047"/>
      <c r="E1835" s="2047"/>
      <c r="F1835" s="2048"/>
      <c r="G1835" s="2049"/>
      <c r="H1835" s="2050"/>
      <c r="I1835" s="2051"/>
      <c r="J1835" s="2051"/>
      <c r="K1835" s="2052"/>
      <c r="L1835" s="2053"/>
      <c r="M1835" s="2054"/>
      <c r="N1835" s="2055"/>
      <c r="O1835" s="2056"/>
      <c r="P1835" s="1969"/>
      <c r="Q1835" s="1953"/>
      <c r="R1835" s="1954"/>
      <c r="S1835" s="1954"/>
      <c r="T1835" s="1969"/>
      <c r="U1835" s="2060"/>
      <c r="Z1835" s="1956"/>
      <c r="AA1835" s="1956"/>
      <c r="AF1835" s="1836"/>
      <c r="AG1835" s="1836"/>
      <c r="AH1835" s="1836"/>
      <c r="AI1835" s="1837"/>
      <c r="AJ1835" s="1960"/>
    </row>
    <row r="1836" spans="1:36" ht="21.95" customHeight="1" x14ac:dyDescent="0.2">
      <c r="B1836" s="2045"/>
      <c r="C1836" s="2046"/>
      <c r="D1836" s="2047" t="str">
        <f>SNI!E1340</f>
        <v>Pekerja</v>
      </c>
      <c r="E1836" s="2047"/>
      <c r="F1836" s="2048"/>
      <c r="G1836" s="2049">
        <f>SNI!H1340</f>
        <v>0.1</v>
      </c>
      <c r="H1836" s="2050" t="str">
        <f>SNI!G1340</f>
        <v>OH</v>
      </c>
      <c r="I1836" s="2142" t="s">
        <v>2012</v>
      </c>
      <c r="J1836" s="2051"/>
      <c r="K1836" s="2052">
        <f>SNI!L1340</f>
        <v>1</v>
      </c>
      <c r="L1836" s="2053"/>
      <c r="M1836" s="2054"/>
      <c r="N1836" s="2055">
        <f>SNI!I1340</f>
        <v>88300</v>
      </c>
      <c r="O1836" s="2056"/>
      <c r="P1836" s="1969">
        <f t="shared" si="1220"/>
        <v>8830</v>
      </c>
      <c r="Q1836" s="1953"/>
      <c r="R1836" s="1954"/>
      <c r="S1836" s="1954">
        <f t="shared" si="1221"/>
        <v>8830</v>
      </c>
      <c r="T1836" s="1969">
        <f t="shared" si="1222"/>
        <v>0</v>
      </c>
      <c r="U1836" s="2060"/>
      <c r="Z1836" s="1956"/>
      <c r="AA1836" s="1956"/>
      <c r="AF1836" s="1836"/>
      <c r="AG1836" s="1836"/>
      <c r="AH1836" s="1836"/>
      <c r="AI1836" s="1837"/>
      <c r="AJ1836" s="1960"/>
    </row>
    <row r="1837" spans="1:36" ht="21.95" customHeight="1" x14ac:dyDescent="0.2">
      <c r="B1837" s="2045"/>
      <c r="C1837" s="2046"/>
      <c r="D1837" s="2047" t="str">
        <f>SNI!E1341</f>
        <v>Tukang listrik</v>
      </c>
      <c r="E1837" s="2047"/>
      <c r="F1837" s="2048"/>
      <c r="G1837" s="2049">
        <f>SNI!H1341</f>
        <v>0.2</v>
      </c>
      <c r="H1837" s="2050" t="str">
        <f>SNI!G1341</f>
        <v>OH</v>
      </c>
      <c r="I1837" s="2142" t="s">
        <v>2012</v>
      </c>
      <c r="J1837" s="2051"/>
      <c r="K1837" s="2052">
        <f>SNI!L1341</f>
        <v>1</v>
      </c>
      <c r="L1837" s="2053"/>
      <c r="M1837" s="2054"/>
      <c r="N1837" s="2055">
        <f>SNI!I1341</f>
        <v>90000</v>
      </c>
      <c r="O1837" s="2056"/>
      <c r="P1837" s="1969">
        <f t="shared" si="1220"/>
        <v>18000</v>
      </c>
      <c r="Q1837" s="1953"/>
      <c r="R1837" s="1954"/>
      <c r="S1837" s="1954">
        <f t="shared" si="1221"/>
        <v>18000</v>
      </c>
      <c r="T1837" s="1969">
        <f t="shared" si="1222"/>
        <v>0</v>
      </c>
      <c r="U1837" s="2060"/>
      <c r="Z1837" s="1956"/>
      <c r="AA1837" s="1956"/>
      <c r="AF1837" s="1836"/>
      <c r="AG1837" s="1836"/>
      <c r="AH1837" s="1836"/>
      <c r="AI1837" s="1837"/>
      <c r="AJ1837" s="1960"/>
    </row>
    <row r="1838" spans="1:36" ht="21.95" customHeight="1" x14ac:dyDescent="0.2">
      <c r="B1838" s="2045"/>
      <c r="C1838" s="2046"/>
      <c r="D1838" s="2047" t="str">
        <f>SNI!E1342</f>
        <v>Mandor</v>
      </c>
      <c r="E1838" s="2047"/>
      <c r="F1838" s="2048"/>
      <c r="G1838" s="2049">
        <f>SNI!H1342</f>
        <v>0.05</v>
      </c>
      <c r="H1838" s="2050" t="str">
        <f>SNI!G1342</f>
        <v>OH</v>
      </c>
      <c r="I1838" s="2142" t="s">
        <v>2012</v>
      </c>
      <c r="J1838" s="2051"/>
      <c r="K1838" s="2052">
        <f>SNI!L1342</f>
        <v>1</v>
      </c>
      <c r="L1838" s="2053"/>
      <c r="M1838" s="2054"/>
      <c r="N1838" s="2055">
        <f>SNI!I1342</f>
        <v>90000</v>
      </c>
      <c r="O1838" s="2056"/>
      <c r="P1838" s="1969">
        <f t="shared" si="1220"/>
        <v>4500</v>
      </c>
      <c r="Q1838" s="1953"/>
      <c r="R1838" s="1954"/>
      <c r="S1838" s="1954">
        <f t="shared" si="1221"/>
        <v>4500</v>
      </c>
      <c r="T1838" s="1969">
        <f t="shared" si="1222"/>
        <v>0</v>
      </c>
      <c r="U1838" s="2060"/>
      <c r="Z1838" s="1956"/>
      <c r="AA1838" s="1956"/>
      <c r="AF1838" s="1836"/>
      <c r="AG1838" s="1836"/>
      <c r="AH1838" s="1836"/>
      <c r="AI1838" s="1837"/>
      <c r="AJ1838" s="1960"/>
    </row>
    <row r="1839" spans="1:36" s="1957" customFormat="1" ht="21.95" customHeight="1" x14ac:dyDescent="0.2">
      <c r="A1839" s="1942"/>
      <c r="B1839" s="1970"/>
      <c r="C1839" s="1971"/>
      <c r="D1839" s="1972"/>
      <c r="E1839" s="1973"/>
      <c r="F1839" s="1974" t="s">
        <v>556</v>
      </c>
      <c r="G1839" s="1975">
        <f>B1831</f>
        <v>3</v>
      </c>
      <c r="H1839" s="1976"/>
      <c r="I1839" s="1977"/>
      <c r="J1839" s="1977"/>
      <c r="K1839" s="1978"/>
      <c r="L1839" s="1979"/>
      <c r="M1839" s="1980"/>
      <c r="N1839" s="1981"/>
      <c r="O1839" s="1982"/>
      <c r="P1839" s="1983">
        <f>SUM(P1832:P1838)</f>
        <v>433830</v>
      </c>
      <c r="Q1839" s="1984"/>
      <c r="R1839" s="1985"/>
      <c r="S1839" s="1983">
        <f t="shared" ref="S1839" si="1223">SUM(S1832:S1838)</f>
        <v>380630</v>
      </c>
      <c r="T1839" s="1983">
        <f t="shared" ref="T1839" si="1224">SUM(T1832:T1838)</f>
        <v>53200</v>
      </c>
      <c r="U1839" s="1986"/>
      <c r="V1839" s="1848"/>
      <c r="W1839" s="1848"/>
      <c r="X1839" s="1848"/>
      <c r="Y1839" s="1848"/>
      <c r="Z1839" s="1956"/>
      <c r="AA1839" s="1956"/>
      <c r="AF1839" s="1958"/>
      <c r="AG1839" s="1958"/>
      <c r="AH1839" s="1958"/>
      <c r="AI1839" s="1959"/>
      <c r="AJ1839" s="1960"/>
    </row>
    <row r="1840" spans="1:36" ht="21.95" customHeight="1" x14ac:dyDescent="0.2">
      <c r="A1840" s="1833">
        <f>satpek!B89</f>
        <v>70</v>
      </c>
      <c r="B1840" s="1943">
        <f>B1831+1</f>
        <v>4</v>
      </c>
      <c r="C1840" s="1937"/>
      <c r="D1840" s="1944" t="str">
        <f>VLOOKUP($A1840,satpek!$B$20:$N$144,2,0)</f>
        <v>Memasang instalasi titik lampu (kabel 2x1,5 mm) tanpa fitting</v>
      </c>
      <c r="E1840" s="1944"/>
      <c r="F1840" s="2004"/>
      <c r="G1840" s="1945">
        <f>'[3]B.VOL RAB'!Q609</f>
        <v>142</v>
      </c>
      <c r="H1840" s="1946" t="str">
        <f>VLOOKUP($A1840,satpek!$B$20:$N$144,7,0)</f>
        <v>ttk</v>
      </c>
      <c r="I1840" s="1947"/>
      <c r="J1840" s="1947"/>
      <c r="K1840" s="1948"/>
      <c r="L1840" s="1949"/>
      <c r="M1840" s="1950" t="str">
        <f>VLOOKUP($A1840,satpek!$B$20:$N$144,5,0)</f>
        <v>An. Dihitung</v>
      </c>
      <c r="N1840" s="1951">
        <f>VLOOKUP($A1840,satpek!$B$20:$N$144,6,0)</f>
        <v>115332.32</v>
      </c>
      <c r="O1840" s="1938"/>
      <c r="P1840" s="1952">
        <f t="shared" si="1207"/>
        <v>16377189.439999999</v>
      </c>
      <c r="Q1840" s="1953">
        <f>VLOOKUP($A1840,satpek!$B$20:$L$138,8,0)</f>
        <v>0.80012051261953288</v>
      </c>
      <c r="R1840" s="1954">
        <f>VLOOKUP($A1840,satpek!$B$20:$L$138,9,0)</f>
        <v>81663.5</v>
      </c>
      <c r="S1840" s="1954">
        <f>VLOOKUP($A1840,satpek!$B$20:$L$138,10,0)</f>
        <v>92279.755000000005</v>
      </c>
      <c r="T1840" s="1952">
        <f t="shared" si="1208"/>
        <v>13103725.210000001</v>
      </c>
      <c r="U1840" s="1955"/>
      <c r="X1840" s="1848">
        <f>P1850</f>
        <v>102064</v>
      </c>
      <c r="Y1840" s="1848">
        <f>S1850</f>
        <v>81663.5</v>
      </c>
      <c r="Z1840" s="1956">
        <v>142</v>
      </c>
      <c r="AA1840" s="1956">
        <f t="shared" si="1099"/>
        <v>0</v>
      </c>
      <c r="AB1840" s="1836" t="s">
        <v>1917</v>
      </c>
      <c r="AF1840" s="1836"/>
      <c r="AG1840" s="1836"/>
      <c r="AH1840" s="1836"/>
      <c r="AI1840" s="1837">
        <v>215790.45</v>
      </c>
      <c r="AJ1840" s="1960">
        <f t="shared" si="1100"/>
        <v>100458.13</v>
      </c>
    </row>
    <row r="1841" spans="1:36" ht="21.95" customHeight="1" x14ac:dyDescent="0.2">
      <c r="B1841" s="2045"/>
      <c r="C1841" s="2046" t="str">
        <f>SNI!D1398</f>
        <v>Bahan</v>
      </c>
      <c r="D1841" s="2047"/>
      <c r="E1841" s="2047"/>
      <c r="F1841" s="2048"/>
      <c r="G1841" s="2049"/>
      <c r="H1841" s="2050"/>
      <c r="I1841" s="2051"/>
      <c r="J1841" s="2051"/>
      <c r="K1841" s="2052"/>
      <c r="L1841" s="2053"/>
      <c r="M1841" s="2054"/>
      <c r="N1841" s="2055"/>
      <c r="O1841" s="2056"/>
      <c r="P1841" s="2057"/>
      <c r="Q1841" s="2058"/>
      <c r="R1841" s="2059"/>
      <c r="S1841" s="2059"/>
      <c r="T1841" s="2057"/>
      <c r="U1841" s="2060"/>
      <c r="Z1841" s="1956"/>
      <c r="AA1841" s="1956"/>
      <c r="AF1841" s="1836"/>
      <c r="AG1841" s="1836"/>
      <c r="AH1841" s="1836"/>
      <c r="AI1841" s="1837"/>
      <c r="AJ1841" s="1960"/>
    </row>
    <row r="1842" spans="1:36" ht="21.95" customHeight="1" x14ac:dyDescent="0.2">
      <c r="B1842" s="2045"/>
      <c r="C1842" s="2046"/>
      <c r="D1842" s="2047" t="str">
        <f>SNI!E1398</f>
        <v>Pipa listrik 5/8"</v>
      </c>
      <c r="E1842" s="2047"/>
      <c r="F1842" s="2048"/>
      <c r="G1842" s="2049">
        <f>SNI!H1398</f>
        <v>1</v>
      </c>
      <c r="H1842" s="2050" t="str">
        <f>SNI!G1398</f>
        <v>btg</v>
      </c>
      <c r="I1842" s="2051"/>
      <c r="J1842" s="2051"/>
      <c r="K1842" s="2052">
        <f>SNI!L1398</f>
        <v>0</v>
      </c>
      <c r="L1842" s="2053"/>
      <c r="M1842" s="2054"/>
      <c r="N1842" s="2055">
        <f>SNI!I1398</f>
        <v>8000</v>
      </c>
      <c r="O1842" s="2056"/>
      <c r="P1842" s="1969">
        <f t="shared" ref="P1842" si="1225">N1842*G1842</f>
        <v>8000</v>
      </c>
      <c r="Q1842" s="1953"/>
      <c r="R1842" s="1954"/>
      <c r="S1842" s="1954">
        <f t="shared" ref="S1842" si="1226">P1842*K1842</f>
        <v>0</v>
      </c>
      <c r="T1842" s="1969">
        <f t="shared" ref="T1842" si="1227">P1842-S1842</f>
        <v>8000</v>
      </c>
      <c r="U1842" s="2060"/>
      <c r="Z1842" s="1956"/>
      <c r="AA1842" s="1956"/>
      <c r="AF1842" s="1836"/>
      <c r="AG1842" s="1836"/>
      <c r="AH1842" s="1836"/>
      <c r="AI1842" s="1837"/>
      <c r="AJ1842" s="1960"/>
    </row>
    <row r="1843" spans="1:36" ht="21.95" customHeight="1" x14ac:dyDescent="0.2">
      <c r="B1843" s="2045"/>
      <c r="C1843" s="2046"/>
      <c r="D1843" s="2047" t="str">
        <f>SNI!E1399</f>
        <v>Kabel 2x1,5</v>
      </c>
      <c r="E1843" s="2047"/>
      <c r="F1843" s="2048"/>
      <c r="G1843" s="2049">
        <f>SNI!H1399</f>
        <v>10</v>
      </c>
      <c r="H1843" s="2050" t="str">
        <f>SNI!G1399</f>
        <v>m'</v>
      </c>
      <c r="I1843" s="2051"/>
      <c r="J1843" s="2051"/>
      <c r="K1843" s="2052">
        <f>SNI!L1399</f>
        <v>0.88549999999999995</v>
      </c>
      <c r="L1843" s="2053"/>
      <c r="M1843" s="2054"/>
      <c r="N1843" s="2055">
        <f>SNI!I1399</f>
        <v>6900</v>
      </c>
      <c r="O1843" s="2056"/>
      <c r="P1843" s="1969">
        <f t="shared" ref="P1843:P1849" si="1228">N1843*G1843</f>
        <v>69000</v>
      </c>
      <c r="Q1843" s="1953"/>
      <c r="R1843" s="1954"/>
      <c r="S1843" s="1954">
        <f t="shared" ref="S1843:S1849" si="1229">P1843*K1843</f>
        <v>61099.5</v>
      </c>
      <c r="T1843" s="1969">
        <f t="shared" ref="T1843:T1849" si="1230">P1843-S1843</f>
        <v>7900.5</v>
      </c>
      <c r="U1843" s="2060"/>
      <c r="Z1843" s="1956"/>
      <c r="AA1843" s="1956"/>
      <c r="AF1843" s="1836"/>
      <c r="AG1843" s="1836"/>
      <c r="AH1843" s="1836"/>
      <c r="AI1843" s="1837"/>
      <c r="AJ1843" s="1960"/>
    </row>
    <row r="1844" spans="1:36" ht="21.95" customHeight="1" x14ac:dyDescent="0.2">
      <c r="B1844" s="2045"/>
      <c r="C1844" s="2046"/>
      <c r="D1844" s="2047" t="str">
        <f>SNI!E1400</f>
        <v>T Dus</v>
      </c>
      <c r="E1844" s="2047"/>
      <c r="F1844" s="2048"/>
      <c r="G1844" s="2049">
        <f>SNI!H1400</f>
        <v>1</v>
      </c>
      <c r="H1844" s="2050" t="str">
        <f>SNI!G1400</f>
        <v>bh</v>
      </c>
      <c r="I1844" s="2051"/>
      <c r="J1844" s="2051"/>
      <c r="K1844" s="2052">
        <f>SNI!L1400</f>
        <v>0</v>
      </c>
      <c r="L1844" s="2053"/>
      <c r="M1844" s="2054"/>
      <c r="N1844" s="2055">
        <f>SNI!I1400</f>
        <v>2500</v>
      </c>
      <c r="O1844" s="2056"/>
      <c r="P1844" s="1969">
        <f t="shared" si="1228"/>
        <v>2500</v>
      </c>
      <c r="Q1844" s="1953"/>
      <c r="R1844" s="1954"/>
      <c r="S1844" s="1954">
        <f t="shared" si="1229"/>
        <v>0</v>
      </c>
      <c r="T1844" s="1969">
        <f t="shared" si="1230"/>
        <v>2500</v>
      </c>
      <c r="U1844" s="2060"/>
      <c r="Z1844" s="1956"/>
      <c r="AA1844" s="1956"/>
      <c r="AF1844" s="1836"/>
      <c r="AG1844" s="1836"/>
      <c r="AH1844" s="1836"/>
      <c r="AI1844" s="1837"/>
      <c r="AJ1844" s="1960"/>
    </row>
    <row r="1845" spans="1:36" ht="21.95" customHeight="1" x14ac:dyDescent="0.2">
      <c r="B1845" s="2045"/>
      <c r="C1845" s="2046"/>
      <c r="D1845" s="2047" t="str">
        <f>SNI!E1401</f>
        <v>L Bow</v>
      </c>
      <c r="E1845" s="2047"/>
      <c r="F1845" s="2048"/>
      <c r="G1845" s="2049">
        <f>SNI!H1401</f>
        <v>1</v>
      </c>
      <c r="H1845" s="2050" t="str">
        <f>SNI!G1401</f>
        <v>bh</v>
      </c>
      <c r="I1845" s="2051"/>
      <c r="J1845" s="2051"/>
      <c r="K1845" s="2052">
        <f>SNI!L1401</f>
        <v>0</v>
      </c>
      <c r="L1845" s="2053"/>
      <c r="M1845" s="2054"/>
      <c r="N1845" s="2055">
        <f>SNI!I1401</f>
        <v>2000</v>
      </c>
      <c r="O1845" s="2056"/>
      <c r="P1845" s="1969">
        <f t="shared" si="1228"/>
        <v>2000</v>
      </c>
      <c r="Q1845" s="1953"/>
      <c r="R1845" s="1954"/>
      <c r="S1845" s="1954">
        <f t="shared" si="1229"/>
        <v>0</v>
      </c>
      <c r="T1845" s="1969">
        <f t="shared" si="1230"/>
        <v>2000</v>
      </c>
      <c r="U1845" s="2060"/>
      <c r="Z1845" s="1956"/>
      <c r="AA1845" s="1956"/>
      <c r="AF1845" s="1836"/>
      <c r="AG1845" s="1836"/>
      <c r="AH1845" s="1836"/>
      <c r="AI1845" s="1837"/>
      <c r="AJ1845" s="1960"/>
    </row>
    <row r="1846" spans="1:36" ht="21.95" customHeight="1" x14ac:dyDescent="0.2">
      <c r="B1846" s="2045"/>
      <c r="C1846" s="2046" t="str">
        <f>SNI!D1403</f>
        <v>Tenaga Kerja</v>
      </c>
      <c r="D1846" s="2047"/>
      <c r="E1846" s="2047"/>
      <c r="F1846" s="2048"/>
      <c r="G1846" s="2049"/>
      <c r="H1846" s="2050"/>
      <c r="I1846" s="2051"/>
      <c r="J1846" s="2051"/>
      <c r="K1846" s="2052"/>
      <c r="L1846" s="2053"/>
      <c r="M1846" s="2054"/>
      <c r="N1846" s="2055"/>
      <c r="O1846" s="2056"/>
      <c r="P1846" s="1969"/>
      <c r="Q1846" s="1953"/>
      <c r="R1846" s="1954"/>
      <c r="S1846" s="1954"/>
      <c r="T1846" s="1969"/>
      <c r="U1846" s="2060"/>
      <c r="Z1846" s="1956"/>
      <c r="AA1846" s="1956"/>
      <c r="AF1846" s="1836"/>
      <c r="AG1846" s="1836"/>
      <c r="AH1846" s="1836"/>
      <c r="AI1846" s="1837"/>
      <c r="AJ1846" s="1960"/>
    </row>
    <row r="1847" spans="1:36" ht="21.95" customHeight="1" x14ac:dyDescent="0.2">
      <c r="B1847" s="2045"/>
      <c r="C1847" s="2046"/>
      <c r="D1847" s="2047" t="str">
        <f>SNI!E1403</f>
        <v>Pekerja</v>
      </c>
      <c r="E1847" s="2047"/>
      <c r="F1847" s="2048"/>
      <c r="G1847" s="2049">
        <f>SNI!H1403</f>
        <v>0.08</v>
      </c>
      <c r="H1847" s="2050" t="str">
        <f>SNI!G1403</f>
        <v>OH</v>
      </c>
      <c r="I1847" s="2142" t="s">
        <v>2012</v>
      </c>
      <c r="J1847" s="2051"/>
      <c r="K1847" s="2052">
        <f>SNI!L1403</f>
        <v>1</v>
      </c>
      <c r="L1847" s="2053"/>
      <c r="M1847" s="2054"/>
      <c r="N1847" s="2055">
        <f>SNI!I1403</f>
        <v>88300</v>
      </c>
      <c r="O1847" s="2056"/>
      <c r="P1847" s="1969">
        <f t="shared" si="1228"/>
        <v>7064</v>
      </c>
      <c r="Q1847" s="1953"/>
      <c r="R1847" s="1954"/>
      <c r="S1847" s="1954">
        <f t="shared" si="1229"/>
        <v>7064</v>
      </c>
      <c r="T1847" s="1969">
        <f t="shared" si="1230"/>
        <v>0</v>
      </c>
      <c r="U1847" s="2060"/>
      <c r="Z1847" s="1956"/>
      <c r="AA1847" s="1956"/>
      <c r="AF1847" s="1836"/>
      <c r="AG1847" s="1836"/>
      <c r="AH1847" s="1836"/>
      <c r="AI1847" s="1837"/>
      <c r="AJ1847" s="1960"/>
    </row>
    <row r="1848" spans="1:36" ht="21.95" customHeight="1" x14ac:dyDescent="0.2">
      <c r="B1848" s="2045"/>
      <c r="C1848" s="2046"/>
      <c r="D1848" s="2047" t="str">
        <f>SNI!E1404</f>
        <v>Tukang listrik</v>
      </c>
      <c r="E1848" s="2047"/>
      <c r="F1848" s="2048"/>
      <c r="G1848" s="2049">
        <f>SNI!H1404</f>
        <v>0.1</v>
      </c>
      <c r="H1848" s="2050" t="str">
        <f>SNI!G1404</f>
        <v>OH</v>
      </c>
      <c r="I1848" s="2142" t="s">
        <v>2012</v>
      </c>
      <c r="J1848" s="2051"/>
      <c r="K1848" s="2052">
        <f>SNI!L1404</f>
        <v>1</v>
      </c>
      <c r="L1848" s="2053"/>
      <c r="M1848" s="2054"/>
      <c r="N1848" s="2055">
        <f>SNI!I1404</f>
        <v>90000</v>
      </c>
      <c r="O1848" s="2056"/>
      <c r="P1848" s="1969">
        <f t="shared" si="1228"/>
        <v>9000</v>
      </c>
      <c r="Q1848" s="1953"/>
      <c r="R1848" s="1954"/>
      <c r="S1848" s="1954">
        <f t="shared" si="1229"/>
        <v>9000</v>
      </c>
      <c r="T1848" s="1969">
        <f t="shared" si="1230"/>
        <v>0</v>
      </c>
      <c r="U1848" s="2060"/>
      <c r="Z1848" s="1956"/>
      <c r="AA1848" s="1956"/>
      <c r="AF1848" s="1836"/>
      <c r="AG1848" s="1836"/>
      <c r="AH1848" s="1836"/>
      <c r="AI1848" s="1837"/>
      <c r="AJ1848" s="1960"/>
    </row>
    <row r="1849" spans="1:36" ht="21.95" customHeight="1" x14ac:dyDescent="0.2">
      <c r="B1849" s="2045"/>
      <c r="C1849" s="2046"/>
      <c r="D1849" s="2047" t="str">
        <f>SNI!E1405</f>
        <v>Mandor</v>
      </c>
      <c r="E1849" s="2047"/>
      <c r="F1849" s="2048"/>
      <c r="G1849" s="2049">
        <f>SNI!H1405</f>
        <v>0.05</v>
      </c>
      <c r="H1849" s="2050" t="str">
        <f>SNI!G1405</f>
        <v>OH</v>
      </c>
      <c r="I1849" s="2142" t="s">
        <v>2012</v>
      </c>
      <c r="J1849" s="2051"/>
      <c r="K1849" s="2052">
        <f>SNI!L1405</f>
        <v>1</v>
      </c>
      <c r="L1849" s="2053"/>
      <c r="M1849" s="2054"/>
      <c r="N1849" s="2055">
        <f>SNI!I1405</f>
        <v>90000</v>
      </c>
      <c r="O1849" s="2056"/>
      <c r="P1849" s="1969">
        <f t="shared" si="1228"/>
        <v>4500</v>
      </c>
      <c r="Q1849" s="1953"/>
      <c r="R1849" s="1954"/>
      <c r="S1849" s="1954">
        <f t="shared" si="1229"/>
        <v>4500</v>
      </c>
      <c r="T1849" s="1969">
        <f t="shared" si="1230"/>
        <v>0</v>
      </c>
      <c r="U1849" s="2060"/>
      <c r="Z1849" s="1956"/>
      <c r="AA1849" s="1956"/>
      <c r="AF1849" s="1836"/>
      <c r="AG1849" s="1836"/>
      <c r="AH1849" s="1836"/>
      <c r="AI1849" s="1837"/>
      <c r="AJ1849" s="1960"/>
    </row>
    <row r="1850" spans="1:36" s="1957" customFormat="1" ht="21.95" customHeight="1" x14ac:dyDescent="0.2">
      <c r="A1850" s="1942"/>
      <c r="B1850" s="1970"/>
      <c r="C1850" s="1971"/>
      <c r="D1850" s="1972"/>
      <c r="E1850" s="1973"/>
      <c r="F1850" s="1974" t="s">
        <v>556</v>
      </c>
      <c r="G1850" s="1975">
        <f>B1840</f>
        <v>4</v>
      </c>
      <c r="H1850" s="1976"/>
      <c r="I1850" s="1977"/>
      <c r="J1850" s="1977"/>
      <c r="K1850" s="1978"/>
      <c r="L1850" s="1979"/>
      <c r="M1850" s="1980"/>
      <c r="N1850" s="1981"/>
      <c r="O1850" s="1982"/>
      <c r="P1850" s="1983">
        <f>SUM(P1842:P1849)</f>
        <v>102064</v>
      </c>
      <c r="Q1850" s="1984"/>
      <c r="R1850" s="1985"/>
      <c r="S1850" s="1983">
        <f t="shared" ref="S1850:T1850" si="1231">SUM(S1842:S1849)</f>
        <v>81663.5</v>
      </c>
      <c r="T1850" s="1983">
        <f t="shared" si="1231"/>
        <v>20400.5</v>
      </c>
      <c r="U1850" s="1986"/>
      <c r="V1850" s="1848"/>
      <c r="W1850" s="1848"/>
      <c r="X1850" s="1848"/>
      <c r="Y1850" s="1848"/>
      <c r="Z1850" s="1956"/>
      <c r="AA1850" s="1956"/>
      <c r="AF1850" s="1958"/>
      <c r="AG1850" s="1958"/>
      <c r="AH1850" s="1958"/>
      <c r="AI1850" s="1959"/>
      <c r="AJ1850" s="1960"/>
    </row>
    <row r="1851" spans="1:36" ht="21.95" customHeight="1" x14ac:dyDescent="0.2">
      <c r="A1851" s="1833">
        <f>satpek!B91</f>
        <v>72</v>
      </c>
      <c r="B1851" s="1943">
        <f>B1840+1</f>
        <v>5</v>
      </c>
      <c r="C1851" s="1937"/>
      <c r="D1851" s="1944" t="str">
        <f>VLOOKUP($A1851,satpek!$B$20:$N$144,2,0)</f>
        <v>Memasang Instalasi titik stop kontak (kabel 3x2,5 mm)</v>
      </c>
      <c r="E1851" s="1944"/>
      <c r="F1851" s="2004"/>
      <c r="G1851" s="1945">
        <f>'[3]B.VOL RAB'!Q610</f>
        <v>42</v>
      </c>
      <c r="H1851" s="1946" t="str">
        <f>VLOOKUP($A1851,satpek!$B$20:$N$144,7,0)</f>
        <v>ttk</v>
      </c>
      <c r="I1851" s="1947"/>
      <c r="J1851" s="1947"/>
      <c r="K1851" s="1948"/>
      <c r="L1851" s="1949"/>
      <c r="M1851" s="1950" t="str">
        <f>VLOOKUP($A1851,satpek!$B$20:$N$144,5,0)</f>
        <v>An. Dihitung</v>
      </c>
      <c r="N1851" s="1951">
        <f>VLOOKUP($A1851,satpek!$B$20:$N$144,6,0)</f>
        <v>145842.32</v>
      </c>
      <c r="O1851" s="1938"/>
      <c r="P1851" s="1952">
        <f t="shared" si="1207"/>
        <v>6125377.4400000004</v>
      </c>
      <c r="Q1851" s="1953">
        <f>VLOOKUP($A1851,satpek!$B$20:$L$138,8,0)</f>
        <v>0.8179817764829852</v>
      </c>
      <c r="R1851" s="1954">
        <f>VLOOKUP($A1851,satpek!$B$20:$L$138,9,0)</f>
        <v>105572</v>
      </c>
      <c r="S1851" s="1954">
        <f>VLOOKUP($A1851,satpek!$B$20:$L$138,10,0)</f>
        <v>119296.36</v>
      </c>
      <c r="T1851" s="1952">
        <f t="shared" si="1208"/>
        <v>5010447.12</v>
      </c>
      <c r="U1851" s="1955"/>
      <c r="X1851" s="1848">
        <f>P1861</f>
        <v>129064</v>
      </c>
      <c r="Y1851" s="1848">
        <f>S1861</f>
        <v>105572</v>
      </c>
      <c r="Z1851" s="1956">
        <v>42</v>
      </c>
      <c r="AA1851" s="1956">
        <f t="shared" ref="AA1851:AA2099" si="1232">Z1851-G1851</f>
        <v>0</v>
      </c>
      <c r="AB1851" s="1836" t="s">
        <v>1918</v>
      </c>
      <c r="AG1851" s="1836"/>
      <c r="AH1851" s="1836"/>
      <c r="AI1851" s="1837">
        <v>249351.45</v>
      </c>
      <c r="AJ1851" s="1960">
        <f t="shared" ref="AJ1851:AJ2099" si="1233">AI1851-N1851</f>
        <v>103509.13</v>
      </c>
    </row>
    <row r="1852" spans="1:36" ht="21.95" customHeight="1" x14ac:dyDescent="0.2">
      <c r="B1852" s="2045"/>
      <c r="C1852" s="2046" t="str">
        <f>SNI!D1438</f>
        <v>Bahan</v>
      </c>
      <c r="D1852" s="2047"/>
      <c r="E1852" s="2047"/>
      <c r="F1852" s="2048"/>
      <c r="G1852" s="2049"/>
      <c r="H1852" s="2050"/>
      <c r="I1852" s="2051"/>
      <c r="J1852" s="2051"/>
      <c r="K1852" s="2052"/>
      <c r="L1852" s="2053"/>
      <c r="M1852" s="2054"/>
      <c r="N1852" s="2055"/>
      <c r="O1852" s="2056"/>
      <c r="P1852" s="2057"/>
      <c r="Q1852" s="2058"/>
      <c r="R1852" s="2059"/>
      <c r="S1852" s="2059"/>
      <c r="T1852" s="2057"/>
      <c r="U1852" s="2060"/>
      <c r="Z1852" s="1956"/>
      <c r="AA1852" s="1956"/>
      <c r="AG1852" s="1836"/>
      <c r="AH1852" s="1836"/>
      <c r="AI1852" s="1837"/>
      <c r="AJ1852" s="1960"/>
    </row>
    <row r="1853" spans="1:36" ht="21.95" customHeight="1" x14ac:dyDescent="0.2">
      <c r="B1853" s="2045"/>
      <c r="C1853" s="2046"/>
      <c r="D1853" s="2047" t="str">
        <f>SNI!E1438</f>
        <v>Pipa listrik 5/8"</v>
      </c>
      <c r="E1853" s="2047"/>
      <c r="F1853" s="2048"/>
      <c r="G1853" s="2049">
        <f>SNI!H1438</f>
        <v>1</v>
      </c>
      <c r="H1853" s="2050" t="str">
        <f>SNI!G1438</f>
        <v>btg</v>
      </c>
      <c r="I1853" s="2051"/>
      <c r="J1853" s="2051"/>
      <c r="K1853" s="2052">
        <f>SNI!L1438</f>
        <v>0</v>
      </c>
      <c r="L1853" s="2053"/>
      <c r="M1853" s="2054"/>
      <c r="N1853" s="2055">
        <f>SNI!I1438</f>
        <v>8000</v>
      </c>
      <c r="O1853" s="2056"/>
      <c r="P1853" s="1969">
        <f t="shared" ref="P1853" si="1234">N1853*G1853</f>
        <v>8000</v>
      </c>
      <c r="Q1853" s="1953"/>
      <c r="R1853" s="1954"/>
      <c r="S1853" s="1954">
        <f t="shared" ref="S1853" si="1235">P1853*K1853</f>
        <v>0</v>
      </c>
      <c r="T1853" s="1969">
        <f t="shared" ref="T1853" si="1236">P1853-S1853</f>
        <v>8000</v>
      </c>
      <c r="U1853" s="2060"/>
      <c r="Z1853" s="1956"/>
      <c r="AA1853" s="1956"/>
      <c r="AG1853" s="1836"/>
      <c r="AH1853" s="1836"/>
      <c r="AI1853" s="1837"/>
      <c r="AJ1853" s="1960"/>
    </row>
    <row r="1854" spans="1:36" ht="21.95" customHeight="1" x14ac:dyDescent="0.2">
      <c r="B1854" s="2045"/>
      <c r="C1854" s="2046"/>
      <c r="D1854" s="2047" t="str">
        <f>SNI!E1439</f>
        <v>Kabel 3x2,5</v>
      </c>
      <c r="E1854" s="2047"/>
      <c r="F1854" s="2048"/>
      <c r="G1854" s="2049">
        <f>SNI!H1439</f>
        <v>10</v>
      </c>
      <c r="H1854" s="2050" t="str">
        <f>SNI!G1439</f>
        <v>m'</v>
      </c>
      <c r="I1854" s="2051"/>
      <c r="J1854" s="2051"/>
      <c r="K1854" s="2052">
        <f>SNI!L1439</f>
        <v>0.88549999999999995</v>
      </c>
      <c r="L1854" s="2053"/>
      <c r="M1854" s="2054"/>
      <c r="N1854" s="2055">
        <f>SNI!I1439</f>
        <v>9600</v>
      </c>
      <c r="O1854" s="2056"/>
      <c r="P1854" s="1969">
        <f t="shared" ref="P1854:P1860" si="1237">N1854*G1854</f>
        <v>96000</v>
      </c>
      <c r="Q1854" s="1953"/>
      <c r="R1854" s="1954"/>
      <c r="S1854" s="1954">
        <f t="shared" ref="S1854:S1860" si="1238">P1854*K1854</f>
        <v>85008</v>
      </c>
      <c r="T1854" s="1969">
        <f t="shared" ref="T1854:T1860" si="1239">P1854-S1854</f>
        <v>10992</v>
      </c>
      <c r="U1854" s="2060"/>
      <c r="Z1854" s="1956"/>
      <c r="AA1854" s="1956"/>
      <c r="AG1854" s="1836"/>
      <c r="AH1854" s="1836"/>
      <c r="AI1854" s="1837"/>
      <c r="AJ1854" s="1960"/>
    </row>
    <row r="1855" spans="1:36" ht="21.95" customHeight="1" x14ac:dyDescent="0.2">
      <c r="B1855" s="2045"/>
      <c r="C1855" s="2046"/>
      <c r="D1855" s="2047" t="str">
        <f>SNI!E1440</f>
        <v>T Dus</v>
      </c>
      <c r="E1855" s="2047"/>
      <c r="F1855" s="2048"/>
      <c r="G1855" s="2049">
        <f>SNI!H1440</f>
        <v>1</v>
      </c>
      <c r="H1855" s="2050" t="str">
        <f>SNI!G1440</f>
        <v>bh</v>
      </c>
      <c r="I1855" s="2051"/>
      <c r="J1855" s="2051"/>
      <c r="K1855" s="2052">
        <f>SNI!L1440</f>
        <v>0</v>
      </c>
      <c r="L1855" s="2053"/>
      <c r="M1855" s="2054"/>
      <c r="N1855" s="2055">
        <f>SNI!I1440</f>
        <v>2500</v>
      </c>
      <c r="O1855" s="2056"/>
      <c r="P1855" s="1969">
        <f t="shared" si="1237"/>
        <v>2500</v>
      </c>
      <c r="Q1855" s="1953"/>
      <c r="R1855" s="1954"/>
      <c r="S1855" s="1954">
        <f t="shared" si="1238"/>
        <v>0</v>
      </c>
      <c r="T1855" s="1969">
        <f t="shared" si="1239"/>
        <v>2500</v>
      </c>
      <c r="U1855" s="2060"/>
      <c r="Z1855" s="1956"/>
      <c r="AA1855" s="1956"/>
      <c r="AG1855" s="1836"/>
      <c r="AH1855" s="1836"/>
      <c r="AI1855" s="1837"/>
      <c r="AJ1855" s="1960"/>
    </row>
    <row r="1856" spans="1:36" ht="21.95" customHeight="1" x14ac:dyDescent="0.2">
      <c r="B1856" s="2045"/>
      <c r="C1856" s="2046"/>
      <c r="D1856" s="2047" t="str">
        <f>SNI!E1441</f>
        <v>L Bow</v>
      </c>
      <c r="E1856" s="2047"/>
      <c r="F1856" s="2048"/>
      <c r="G1856" s="2049">
        <f>SNI!H1441</f>
        <v>1</v>
      </c>
      <c r="H1856" s="2050" t="str">
        <f>SNI!G1441</f>
        <v>bh</v>
      </c>
      <c r="I1856" s="2051"/>
      <c r="J1856" s="2051"/>
      <c r="K1856" s="2052">
        <f>SNI!L1441</f>
        <v>0</v>
      </c>
      <c r="L1856" s="2053"/>
      <c r="M1856" s="2054"/>
      <c r="N1856" s="2055">
        <f>SNI!I1441</f>
        <v>2000</v>
      </c>
      <c r="O1856" s="2056"/>
      <c r="P1856" s="1969">
        <f t="shared" si="1237"/>
        <v>2000</v>
      </c>
      <c r="Q1856" s="1953"/>
      <c r="R1856" s="1954"/>
      <c r="S1856" s="1954">
        <f t="shared" si="1238"/>
        <v>0</v>
      </c>
      <c r="T1856" s="1969">
        <f t="shared" si="1239"/>
        <v>2000</v>
      </c>
      <c r="U1856" s="2060"/>
      <c r="Z1856" s="1956"/>
      <c r="AA1856" s="1956"/>
      <c r="AG1856" s="1836"/>
      <c r="AH1856" s="1836"/>
      <c r="AI1856" s="1837"/>
      <c r="AJ1856" s="1960"/>
    </row>
    <row r="1857" spans="1:36" ht="21.95" customHeight="1" x14ac:dyDescent="0.2">
      <c r="B1857" s="2045"/>
      <c r="C1857" s="2046" t="str">
        <f>SNI!D1443</f>
        <v>Tenaga Kerja</v>
      </c>
      <c r="D1857" s="2047"/>
      <c r="E1857" s="2047"/>
      <c r="F1857" s="2048"/>
      <c r="G1857" s="2049"/>
      <c r="H1857" s="2050"/>
      <c r="I1857" s="2051"/>
      <c r="J1857" s="2051"/>
      <c r="K1857" s="2052"/>
      <c r="L1857" s="2053"/>
      <c r="M1857" s="2054"/>
      <c r="N1857" s="2055"/>
      <c r="O1857" s="2056"/>
      <c r="P1857" s="1969"/>
      <c r="Q1857" s="1953"/>
      <c r="R1857" s="1954"/>
      <c r="S1857" s="1954"/>
      <c r="T1857" s="1969"/>
      <c r="U1857" s="2060"/>
      <c r="Z1857" s="1956"/>
      <c r="AA1857" s="1956"/>
      <c r="AG1857" s="1836"/>
      <c r="AH1857" s="1836"/>
      <c r="AI1857" s="1837"/>
      <c r="AJ1857" s="1960"/>
    </row>
    <row r="1858" spans="1:36" ht="21.95" customHeight="1" x14ac:dyDescent="0.2">
      <c r="B1858" s="2045"/>
      <c r="C1858" s="2046"/>
      <c r="D1858" s="2047" t="str">
        <f>SNI!E1443</f>
        <v>Pekerja</v>
      </c>
      <c r="E1858" s="2047"/>
      <c r="F1858" s="2048"/>
      <c r="G1858" s="2049">
        <f>SNI!H1443</f>
        <v>0.08</v>
      </c>
      <c r="H1858" s="2050" t="str">
        <f>SNI!G1443</f>
        <v>OH</v>
      </c>
      <c r="I1858" s="2142" t="s">
        <v>2012</v>
      </c>
      <c r="J1858" s="2051"/>
      <c r="K1858" s="2052">
        <f>SNI!L1443</f>
        <v>1</v>
      </c>
      <c r="L1858" s="2053"/>
      <c r="M1858" s="2054"/>
      <c r="N1858" s="2055">
        <f>SNI!I1443</f>
        <v>88300</v>
      </c>
      <c r="O1858" s="2056"/>
      <c r="P1858" s="1969">
        <f t="shared" si="1237"/>
        <v>7064</v>
      </c>
      <c r="Q1858" s="1953"/>
      <c r="R1858" s="1954"/>
      <c r="S1858" s="1954">
        <f t="shared" si="1238"/>
        <v>7064</v>
      </c>
      <c r="T1858" s="1969">
        <f t="shared" si="1239"/>
        <v>0</v>
      </c>
      <c r="U1858" s="2060"/>
      <c r="Z1858" s="1956"/>
      <c r="AA1858" s="1956"/>
      <c r="AG1858" s="1836"/>
      <c r="AH1858" s="1836"/>
      <c r="AI1858" s="1837"/>
      <c r="AJ1858" s="1960"/>
    </row>
    <row r="1859" spans="1:36" ht="21.95" customHeight="1" x14ac:dyDescent="0.2">
      <c r="B1859" s="2045"/>
      <c r="C1859" s="2046"/>
      <c r="D1859" s="2047" t="str">
        <f>SNI!E1444</f>
        <v>Tukang listrik</v>
      </c>
      <c r="E1859" s="2047"/>
      <c r="F1859" s="2048"/>
      <c r="G1859" s="2049">
        <f>SNI!H1444</f>
        <v>0.1</v>
      </c>
      <c r="H1859" s="2050" t="str">
        <f>SNI!G1444</f>
        <v>OH</v>
      </c>
      <c r="I1859" s="2142" t="s">
        <v>2012</v>
      </c>
      <c r="J1859" s="2051"/>
      <c r="K1859" s="2052">
        <f>SNI!L1444</f>
        <v>1</v>
      </c>
      <c r="L1859" s="2053"/>
      <c r="M1859" s="2054"/>
      <c r="N1859" s="2055">
        <f>SNI!I1444</f>
        <v>90000</v>
      </c>
      <c r="O1859" s="2056"/>
      <c r="P1859" s="1969">
        <f t="shared" si="1237"/>
        <v>9000</v>
      </c>
      <c r="Q1859" s="1953"/>
      <c r="R1859" s="1954"/>
      <c r="S1859" s="1954">
        <f t="shared" si="1238"/>
        <v>9000</v>
      </c>
      <c r="T1859" s="1969">
        <f t="shared" si="1239"/>
        <v>0</v>
      </c>
      <c r="U1859" s="2060"/>
      <c r="Z1859" s="1956"/>
      <c r="AA1859" s="1956"/>
      <c r="AG1859" s="1836"/>
      <c r="AH1859" s="1836"/>
      <c r="AI1859" s="1837"/>
      <c r="AJ1859" s="1960"/>
    </row>
    <row r="1860" spans="1:36" ht="21.95" customHeight="1" x14ac:dyDescent="0.2">
      <c r="B1860" s="2045"/>
      <c r="C1860" s="2046"/>
      <c r="D1860" s="2047" t="str">
        <f>SNI!E1445</f>
        <v>Mandor</v>
      </c>
      <c r="E1860" s="2047"/>
      <c r="F1860" s="2048"/>
      <c r="G1860" s="2049">
        <f>SNI!H1445</f>
        <v>0.05</v>
      </c>
      <c r="H1860" s="2050" t="str">
        <f>SNI!G1445</f>
        <v>OH</v>
      </c>
      <c r="I1860" s="2142" t="s">
        <v>2012</v>
      </c>
      <c r="J1860" s="2051"/>
      <c r="K1860" s="2052">
        <f>SNI!L1445</f>
        <v>1</v>
      </c>
      <c r="L1860" s="2053"/>
      <c r="M1860" s="2054"/>
      <c r="N1860" s="2055">
        <f>SNI!I1445</f>
        <v>90000</v>
      </c>
      <c r="O1860" s="2056"/>
      <c r="P1860" s="1969">
        <f t="shared" si="1237"/>
        <v>4500</v>
      </c>
      <c r="Q1860" s="1953"/>
      <c r="R1860" s="1954"/>
      <c r="S1860" s="1954">
        <f t="shared" si="1238"/>
        <v>4500</v>
      </c>
      <c r="T1860" s="1969">
        <f t="shared" si="1239"/>
        <v>0</v>
      </c>
      <c r="U1860" s="2060"/>
      <c r="Z1860" s="1956"/>
      <c r="AA1860" s="1956"/>
      <c r="AG1860" s="1836"/>
      <c r="AH1860" s="1836"/>
      <c r="AI1860" s="1837"/>
      <c r="AJ1860" s="1960"/>
    </row>
    <row r="1861" spans="1:36" s="1957" customFormat="1" ht="21.95" customHeight="1" x14ac:dyDescent="0.2">
      <c r="A1861" s="1942"/>
      <c r="B1861" s="1970"/>
      <c r="C1861" s="1971"/>
      <c r="D1861" s="1972"/>
      <c r="E1861" s="1973"/>
      <c r="F1861" s="1974" t="s">
        <v>556</v>
      </c>
      <c r="G1861" s="1975">
        <f>B1851</f>
        <v>5</v>
      </c>
      <c r="H1861" s="1976"/>
      <c r="I1861" s="1977"/>
      <c r="J1861" s="1977"/>
      <c r="K1861" s="1978"/>
      <c r="L1861" s="1979"/>
      <c r="M1861" s="1980"/>
      <c r="N1861" s="1981"/>
      <c r="O1861" s="1982"/>
      <c r="P1861" s="1983">
        <f>SUM(P1853:P1860)</f>
        <v>129064</v>
      </c>
      <c r="Q1861" s="1984"/>
      <c r="R1861" s="1985"/>
      <c r="S1861" s="1983">
        <f t="shared" ref="S1861" si="1240">SUM(S1853:S1860)</f>
        <v>105572</v>
      </c>
      <c r="T1861" s="1983">
        <f t="shared" ref="T1861" si="1241">SUM(T1853:T1860)</f>
        <v>23492</v>
      </c>
      <c r="U1861" s="1986"/>
      <c r="V1861" s="1848"/>
      <c r="W1861" s="1848"/>
      <c r="X1861" s="1848"/>
      <c r="Y1861" s="1848"/>
      <c r="Z1861" s="1956"/>
      <c r="AA1861" s="1956"/>
      <c r="AF1861" s="1958"/>
      <c r="AG1861" s="1958"/>
      <c r="AH1861" s="1958"/>
      <c r="AI1861" s="1959"/>
      <c r="AJ1861" s="1960"/>
    </row>
    <row r="1862" spans="1:36" ht="21.95" customHeight="1" x14ac:dyDescent="0.2">
      <c r="A1862" s="1833">
        <f>A1851</f>
        <v>72</v>
      </c>
      <c r="B1862" s="1943">
        <f>B1851+1</f>
        <v>6</v>
      </c>
      <c r="C1862" s="1937"/>
      <c r="D1862" s="1944" t="s">
        <v>1874</v>
      </c>
      <c r="E1862" s="1944"/>
      <c r="F1862" s="2004"/>
      <c r="G1862" s="1945">
        <f>'[3]B.VOL RAB'!Q611</f>
        <v>13</v>
      </c>
      <c r="H1862" s="1946" t="str">
        <f>VLOOKUP($A1862,satpek!$B$20:$N$144,7,0)</f>
        <v>ttk</v>
      </c>
      <c r="I1862" s="1947"/>
      <c r="J1862" s="1947"/>
      <c r="K1862" s="1948"/>
      <c r="L1862" s="1949"/>
      <c r="M1862" s="1950" t="str">
        <f>VLOOKUP($A1862,satpek!$B$20:$N$144,5,0)</f>
        <v>An. Dihitung</v>
      </c>
      <c r="N1862" s="1951">
        <f>VLOOKUP($A1862,satpek!$B$20:$N$144,6,0)</f>
        <v>145842.32</v>
      </c>
      <c r="O1862" s="1938"/>
      <c r="P1862" s="1952">
        <f t="shared" si="1207"/>
        <v>1895950.16</v>
      </c>
      <c r="Q1862" s="1953">
        <f>VLOOKUP($A1862,satpek!$B$20:$L$138,8,0)</f>
        <v>0.8179817764829852</v>
      </c>
      <c r="R1862" s="1954">
        <f>VLOOKUP($A1862,satpek!$B$20:$L$138,9,0)</f>
        <v>105572</v>
      </c>
      <c r="S1862" s="1954">
        <f>VLOOKUP($A1862,satpek!$B$20:$L$138,10,0)</f>
        <v>119296.36</v>
      </c>
      <c r="T1862" s="1952">
        <f t="shared" si="1208"/>
        <v>1550852.68</v>
      </c>
      <c r="U1862" s="1955"/>
      <c r="X1862" s="1848">
        <f>P1872</f>
        <v>129064</v>
      </c>
      <c r="Y1862" s="1848">
        <f>S1872</f>
        <v>105572</v>
      </c>
      <c r="Z1862" s="1956">
        <v>13</v>
      </c>
      <c r="AA1862" s="1956">
        <f t="shared" si="1232"/>
        <v>0</v>
      </c>
      <c r="AB1862" s="1836" t="s">
        <v>1874</v>
      </c>
      <c r="AG1862" s="1836"/>
      <c r="AH1862" s="1836"/>
      <c r="AI1862" s="1837">
        <v>249351.45</v>
      </c>
      <c r="AJ1862" s="1960">
        <f t="shared" si="1233"/>
        <v>103509.13</v>
      </c>
    </row>
    <row r="1863" spans="1:36" ht="21.95" customHeight="1" x14ac:dyDescent="0.2">
      <c r="B1863" s="2045"/>
      <c r="C1863" s="2046" t="str">
        <f>SNI!D1438</f>
        <v>Bahan</v>
      </c>
      <c r="D1863" s="2047"/>
      <c r="E1863" s="2047"/>
      <c r="F1863" s="2048"/>
      <c r="G1863" s="2049"/>
      <c r="H1863" s="2050"/>
      <c r="I1863" s="2051"/>
      <c r="J1863" s="2051"/>
      <c r="K1863" s="2052"/>
      <c r="L1863" s="2053"/>
      <c r="M1863" s="2054"/>
      <c r="N1863" s="2055"/>
      <c r="O1863" s="2056"/>
      <c r="P1863" s="2057"/>
      <c r="Q1863" s="2058"/>
      <c r="R1863" s="2059"/>
      <c r="S1863" s="2059"/>
      <c r="T1863" s="2057"/>
      <c r="U1863" s="2060"/>
      <c r="Z1863" s="1956"/>
      <c r="AA1863" s="1956"/>
      <c r="AG1863" s="1836"/>
      <c r="AH1863" s="1836"/>
      <c r="AI1863" s="1837"/>
      <c r="AJ1863" s="1960"/>
    </row>
    <row r="1864" spans="1:36" ht="21.95" customHeight="1" x14ac:dyDescent="0.2">
      <c r="B1864" s="2045"/>
      <c r="C1864" s="2046"/>
      <c r="D1864" s="2047" t="str">
        <f>SNI!E1438</f>
        <v>Pipa listrik 5/8"</v>
      </c>
      <c r="E1864" s="2047"/>
      <c r="F1864" s="2048"/>
      <c r="G1864" s="2049">
        <f>SNI!H1438</f>
        <v>1</v>
      </c>
      <c r="H1864" s="2050" t="str">
        <f>SNI!G1438</f>
        <v>btg</v>
      </c>
      <c r="I1864" s="2051"/>
      <c r="J1864" s="2051"/>
      <c r="K1864" s="2052">
        <f>SNI!L1438</f>
        <v>0</v>
      </c>
      <c r="L1864" s="2053"/>
      <c r="M1864" s="2054"/>
      <c r="N1864" s="2055">
        <f>SNI!I1438</f>
        <v>8000</v>
      </c>
      <c r="O1864" s="2056"/>
      <c r="P1864" s="1969">
        <f t="shared" ref="P1864" si="1242">N1864*G1864</f>
        <v>8000</v>
      </c>
      <c r="Q1864" s="1953"/>
      <c r="R1864" s="1954"/>
      <c r="S1864" s="1954">
        <f t="shared" ref="S1864" si="1243">P1864*K1864</f>
        <v>0</v>
      </c>
      <c r="T1864" s="1969">
        <f t="shared" ref="T1864" si="1244">P1864-S1864</f>
        <v>8000</v>
      </c>
      <c r="U1864" s="2060"/>
      <c r="Z1864" s="1956"/>
      <c r="AA1864" s="1956"/>
      <c r="AG1864" s="1836"/>
      <c r="AH1864" s="1836"/>
      <c r="AI1864" s="1837"/>
      <c r="AJ1864" s="1960"/>
    </row>
    <row r="1865" spans="1:36" ht="21.95" customHeight="1" x14ac:dyDescent="0.2">
      <c r="B1865" s="2045"/>
      <c r="C1865" s="2046"/>
      <c r="D1865" s="2047" t="str">
        <f>SNI!E1439</f>
        <v>Kabel 3x2,5</v>
      </c>
      <c r="E1865" s="2047"/>
      <c r="F1865" s="2048"/>
      <c r="G1865" s="2049">
        <f>SNI!H1439</f>
        <v>10</v>
      </c>
      <c r="H1865" s="2050" t="str">
        <f>SNI!G1439</f>
        <v>m'</v>
      </c>
      <c r="I1865" s="2051"/>
      <c r="J1865" s="2051"/>
      <c r="K1865" s="2052">
        <f>SNI!L1439</f>
        <v>0.88549999999999995</v>
      </c>
      <c r="L1865" s="2053"/>
      <c r="M1865" s="2054"/>
      <c r="N1865" s="2055">
        <f>SNI!I1439</f>
        <v>9600</v>
      </c>
      <c r="O1865" s="2056"/>
      <c r="P1865" s="1969">
        <f t="shared" ref="P1865:P1871" si="1245">N1865*G1865</f>
        <v>96000</v>
      </c>
      <c r="Q1865" s="1953"/>
      <c r="R1865" s="1954"/>
      <c r="S1865" s="1954">
        <f t="shared" ref="S1865:S1871" si="1246">P1865*K1865</f>
        <v>85008</v>
      </c>
      <c r="T1865" s="1969">
        <f t="shared" ref="T1865:T1871" si="1247">P1865-S1865</f>
        <v>10992</v>
      </c>
      <c r="U1865" s="2060"/>
      <c r="Z1865" s="1956"/>
      <c r="AA1865" s="1956"/>
      <c r="AG1865" s="1836"/>
      <c r="AH1865" s="1836"/>
      <c r="AI1865" s="1837"/>
      <c r="AJ1865" s="1960"/>
    </row>
    <row r="1866" spans="1:36" ht="21.95" customHeight="1" x14ac:dyDescent="0.2">
      <c r="B1866" s="2045"/>
      <c r="C1866" s="2046"/>
      <c r="D1866" s="2047" t="str">
        <f>SNI!E1440</f>
        <v>T Dus</v>
      </c>
      <c r="E1866" s="2047"/>
      <c r="F1866" s="2048"/>
      <c r="G1866" s="2049">
        <f>SNI!H1440</f>
        <v>1</v>
      </c>
      <c r="H1866" s="2050" t="str">
        <f>SNI!G1440</f>
        <v>bh</v>
      </c>
      <c r="I1866" s="2051"/>
      <c r="J1866" s="2051"/>
      <c r="K1866" s="2052">
        <f>SNI!L1440</f>
        <v>0</v>
      </c>
      <c r="L1866" s="2053"/>
      <c r="M1866" s="2054"/>
      <c r="N1866" s="2055">
        <f>SNI!I1440</f>
        <v>2500</v>
      </c>
      <c r="O1866" s="2056"/>
      <c r="P1866" s="1969">
        <f t="shared" si="1245"/>
        <v>2500</v>
      </c>
      <c r="Q1866" s="1953"/>
      <c r="R1866" s="1954"/>
      <c r="S1866" s="1954">
        <f t="shared" si="1246"/>
        <v>0</v>
      </c>
      <c r="T1866" s="1969">
        <f t="shared" si="1247"/>
        <v>2500</v>
      </c>
      <c r="U1866" s="2060"/>
      <c r="Z1866" s="1956"/>
      <c r="AA1866" s="1956"/>
      <c r="AG1866" s="1836"/>
      <c r="AH1866" s="1836"/>
      <c r="AI1866" s="1837"/>
      <c r="AJ1866" s="1960"/>
    </row>
    <row r="1867" spans="1:36" ht="21.95" customHeight="1" x14ac:dyDescent="0.2">
      <c r="B1867" s="2045"/>
      <c r="C1867" s="2046"/>
      <c r="D1867" s="2047" t="str">
        <f>SNI!E1441</f>
        <v>L Bow</v>
      </c>
      <c r="E1867" s="2047"/>
      <c r="F1867" s="2048"/>
      <c r="G1867" s="2049">
        <f>SNI!H1441</f>
        <v>1</v>
      </c>
      <c r="H1867" s="2050" t="str">
        <f>SNI!G1441</f>
        <v>bh</v>
      </c>
      <c r="I1867" s="2051"/>
      <c r="J1867" s="2051"/>
      <c r="K1867" s="2052">
        <f>SNI!L1441</f>
        <v>0</v>
      </c>
      <c r="L1867" s="2053"/>
      <c r="M1867" s="2054"/>
      <c r="N1867" s="2055">
        <f>SNI!I1441</f>
        <v>2000</v>
      </c>
      <c r="O1867" s="2056"/>
      <c r="P1867" s="1969">
        <f t="shared" si="1245"/>
        <v>2000</v>
      </c>
      <c r="Q1867" s="1953"/>
      <c r="R1867" s="1954"/>
      <c r="S1867" s="1954">
        <f t="shared" si="1246"/>
        <v>0</v>
      </c>
      <c r="T1867" s="1969">
        <f t="shared" si="1247"/>
        <v>2000</v>
      </c>
      <c r="U1867" s="2060"/>
      <c r="Z1867" s="1956"/>
      <c r="AA1867" s="1956"/>
      <c r="AG1867" s="1836"/>
      <c r="AH1867" s="1836"/>
      <c r="AI1867" s="1837"/>
      <c r="AJ1867" s="1960"/>
    </row>
    <row r="1868" spans="1:36" ht="21.95" customHeight="1" x14ac:dyDescent="0.2">
      <c r="B1868" s="2045"/>
      <c r="C1868" s="2046" t="str">
        <f>SNI!D1443</f>
        <v>Tenaga Kerja</v>
      </c>
      <c r="D1868" s="2047"/>
      <c r="E1868" s="2047"/>
      <c r="F1868" s="2048"/>
      <c r="G1868" s="2049"/>
      <c r="H1868" s="2050"/>
      <c r="I1868" s="2051"/>
      <c r="J1868" s="2051"/>
      <c r="K1868" s="2052"/>
      <c r="L1868" s="2053"/>
      <c r="M1868" s="2054"/>
      <c r="N1868" s="2055"/>
      <c r="O1868" s="2056"/>
      <c r="P1868" s="1969"/>
      <c r="Q1868" s="1953"/>
      <c r="R1868" s="1954"/>
      <c r="S1868" s="1954"/>
      <c r="T1868" s="1969"/>
      <c r="U1868" s="2060"/>
      <c r="Z1868" s="1956"/>
      <c r="AA1868" s="1956"/>
      <c r="AG1868" s="1836"/>
      <c r="AH1868" s="1836"/>
      <c r="AI1868" s="1837"/>
      <c r="AJ1868" s="1960"/>
    </row>
    <row r="1869" spans="1:36" ht="21.95" customHeight="1" x14ac:dyDescent="0.2">
      <c r="B1869" s="2045"/>
      <c r="C1869" s="2046"/>
      <c r="D1869" s="2047" t="str">
        <f>SNI!E1443</f>
        <v>Pekerja</v>
      </c>
      <c r="E1869" s="2047"/>
      <c r="F1869" s="2048"/>
      <c r="G1869" s="2049">
        <f>SNI!H1443</f>
        <v>0.08</v>
      </c>
      <c r="H1869" s="2050" t="str">
        <f>SNI!G1443</f>
        <v>OH</v>
      </c>
      <c r="I1869" s="2142" t="s">
        <v>2012</v>
      </c>
      <c r="J1869" s="2051"/>
      <c r="K1869" s="2052">
        <f>SNI!L1443</f>
        <v>1</v>
      </c>
      <c r="L1869" s="2053"/>
      <c r="M1869" s="2054"/>
      <c r="N1869" s="2055">
        <f>SNI!I1443</f>
        <v>88300</v>
      </c>
      <c r="O1869" s="2056"/>
      <c r="P1869" s="1969">
        <f t="shared" si="1245"/>
        <v>7064</v>
      </c>
      <c r="Q1869" s="1953"/>
      <c r="R1869" s="1954"/>
      <c r="S1869" s="1954">
        <f t="shared" si="1246"/>
        <v>7064</v>
      </c>
      <c r="T1869" s="1969">
        <f t="shared" si="1247"/>
        <v>0</v>
      </c>
      <c r="U1869" s="2060"/>
      <c r="Z1869" s="1956"/>
      <c r="AA1869" s="1956"/>
      <c r="AG1869" s="1836"/>
      <c r="AH1869" s="1836"/>
      <c r="AI1869" s="1837"/>
      <c r="AJ1869" s="1960"/>
    </row>
    <row r="1870" spans="1:36" ht="21.95" customHeight="1" x14ac:dyDescent="0.2">
      <c r="B1870" s="2045"/>
      <c r="C1870" s="2046"/>
      <c r="D1870" s="2047" t="str">
        <f>SNI!E1444</f>
        <v>Tukang listrik</v>
      </c>
      <c r="E1870" s="2047"/>
      <c r="F1870" s="2048"/>
      <c r="G1870" s="2049">
        <f>SNI!H1444</f>
        <v>0.1</v>
      </c>
      <c r="H1870" s="2050" t="str">
        <f>SNI!G1444</f>
        <v>OH</v>
      </c>
      <c r="I1870" s="2142" t="s">
        <v>2012</v>
      </c>
      <c r="J1870" s="2051"/>
      <c r="K1870" s="2052">
        <f>SNI!L1444</f>
        <v>1</v>
      </c>
      <c r="L1870" s="2053"/>
      <c r="M1870" s="2054"/>
      <c r="N1870" s="2055">
        <f>SNI!I1444</f>
        <v>90000</v>
      </c>
      <c r="O1870" s="2056"/>
      <c r="P1870" s="1969">
        <f t="shared" si="1245"/>
        <v>9000</v>
      </c>
      <c r="Q1870" s="1953"/>
      <c r="R1870" s="1954"/>
      <c r="S1870" s="1954">
        <f t="shared" si="1246"/>
        <v>9000</v>
      </c>
      <c r="T1870" s="1969">
        <f t="shared" si="1247"/>
        <v>0</v>
      </c>
      <c r="U1870" s="2060"/>
      <c r="Z1870" s="1956"/>
      <c r="AA1870" s="1956"/>
      <c r="AG1870" s="1836"/>
      <c r="AH1870" s="1836"/>
      <c r="AI1870" s="1837"/>
      <c r="AJ1870" s="1960"/>
    </row>
    <row r="1871" spans="1:36" ht="21.95" customHeight="1" x14ac:dyDescent="0.2">
      <c r="B1871" s="2045"/>
      <c r="C1871" s="2046"/>
      <c r="D1871" s="2047" t="str">
        <f>SNI!E1445</f>
        <v>Mandor</v>
      </c>
      <c r="E1871" s="2047"/>
      <c r="F1871" s="2048"/>
      <c r="G1871" s="2049">
        <f>SNI!H1445</f>
        <v>0.05</v>
      </c>
      <c r="H1871" s="2050" t="str">
        <f>SNI!G1445</f>
        <v>OH</v>
      </c>
      <c r="I1871" s="2142" t="s">
        <v>2012</v>
      </c>
      <c r="J1871" s="2051"/>
      <c r="K1871" s="2052">
        <f>SNI!L1445</f>
        <v>1</v>
      </c>
      <c r="L1871" s="2053"/>
      <c r="M1871" s="2054"/>
      <c r="N1871" s="2055">
        <f>SNI!I1445</f>
        <v>90000</v>
      </c>
      <c r="O1871" s="2056"/>
      <c r="P1871" s="1969">
        <f t="shared" si="1245"/>
        <v>4500</v>
      </c>
      <c r="Q1871" s="1953"/>
      <c r="R1871" s="1954"/>
      <c r="S1871" s="1954">
        <f t="shared" si="1246"/>
        <v>4500</v>
      </c>
      <c r="T1871" s="1969">
        <f t="shared" si="1247"/>
        <v>0</v>
      </c>
      <c r="U1871" s="2060"/>
      <c r="Z1871" s="1956"/>
      <c r="AA1871" s="1956"/>
      <c r="AG1871" s="1836"/>
      <c r="AH1871" s="1836"/>
      <c r="AI1871" s="1837"/>
      <c r="AJ1871" s="1960"/>
    </row>
    <row r="1872" spans="1:36" s="1957" customFormat="1" ht="21.95" customHeight="1" x14ac:dyDescent="0.2">
      <c r="A1872" s="1942"/>
      <c r="B1872" s="1970"/>
      <c r="C1872" s="1971"/>
      <c r="D1872" s="1972"/>
      <c r="E1872" s="1973"/>
      <c r="F1872" s="1974" t="s">
        <v>556</v>
      </c>
      <c r="G1872" s="1975">
        <f>B1862</f>
        <v>6</v>
      </c>
      <c r="H1872" s="1976"/>
      <c r="I1872" s="1977"/>
      <c r="J1872" s="1977"/>
      <c r="K1872" s="1978"/>
      <c r="L1872" s="1979"/>
      <c r="M1872" s="1980"/>
      <c r="N1872" s="1981"/>
      <c r="O1872" s="1982"/>
      <c r="P1872" s="1983">
        <f>SUM(P1864:P1871)</f>
        <v>129064</v>
      </c>
      <c r="Q1872" s="1984"/>
      <c r="R1872" s="1985"/>
      <c r="S1872" s="1983">
        <f t="shared" ref="S1872" si="1248">SUM(S1864:S1871)</f>
        <v>105572</v>
      </c>
      <c r="T1872" s="1983">
        <f t="shared" ref="T1872" si="1249">SUM(T1864:T1871)</f>
        <v>23492</v>
      </c>
      <c r="U1872" s="1986"/>
      <c r="V1872" s="1848"/>
      <c r="W1872" s="1848"/>
      <c r="X1872" s="1848"/>
      <c r="Y1872" s="1848"/>
      <c r="Z1872" s="1956"/>
      <c r="AA1872" s="1956"/>
      <c r="AF1872" s="1958"/>
      <c r="AG1872" s="1958"/>
      <c r="AH1872" s="1958"/>
      <c r="AI1872" s="1959"/>
      <c r="AJ1872" s="1960"/>
    </row>
    <row r="1873" spans="1:36" ht="21.95" customHeight="1" x14ac:dyDescent="0.2">
      <c r="A1873" s="1833">
        <f>satpek!B92</f>
        <v>73</v>
      </c>
      <c r="B1873" s="1943">
        <f>B1862+1</f>
        <v>7</v>
      </c>
      <c r="C1873" s="1937"/>
      <c r="D1873" s="1944" t="str">
        <f>VLOOKUP($A1873,satpek!$B$20:$N$144,2,0)</f>
        <v>Instalasi titik Telephone 2 pair</v>
      </c>
      <c r="E1873" s="1944"/>
      <c r="F1873" s="2004"/>
      <c r="G1873" s="1945">
        <f>'[3]B.VOL RAB'!Q612</f>
        <v>6</v>
      </c>
      <c r="H1873" s="1946" t="str">
        <f>VLOOKUP($A1873,satpek!$B$20:$N$144,7,0)</f>
        <v>ttk</v>
      </c>
      <c r="I1873" s="1947"/>
      <c r="J1873" s="1947"/>
      <c r="K1873" s="1948"/>
      <c r="L1873" s="1949"/>
      <c r="M1873" s="1950" t="str">
        <f>VLOOKUP($A1873,satpek!$B$20:$N$144,5,0)</f>
        <v>An. Dihitung</v>
      </c>
      <c r="N1873" s="1951">
        <f>VLOOKUP($A1873,satpek!$B$20:$N$144,6,0)</f>
        <v>93371.9</v>
      </c>
      <c r="O1873" s="1938"/>
      <c r="P1873" s="1952">
        <f t="shared" si="1207"/>
        <v>560231.4</v>
      </c>
      <c r="Q1873" s="1953">
        <f>VLOOKUP($A1873,satpek!$B$20:$L$138,8,0)</f>
        <v>0.9071039574004599</v>
      </c>
      <c r="R1873" s="1954">
        <f>VLOOKUP($A1873,satpek!$B$20:$L$138,9,0)</f>
        <v>74954</v>
      </c>
      <c r="S1873" s="1954">
        <f>VLOOKUP($A1873,satpek!$B$20:$L$138,10,0)</f>
        <v>84698.02</v>
      </c>
      <c r="T1873" s="1952">
        <f t="shared" si="1208"/>
        <v>508188.12</v>
      </c>
      <c r="U1873" s="1955"/>
      <c r="X1873" s="1848">
        <f>P1881</f>
        <v>82630</v>
      </c>
      <c r="Y1873" s="1848">
        <f>S1881</f>
        <v>74954</v>
      </c>
      <c r="Z1873" s="1956">
        <v>6</v>
      </c>
      <c r="AA1873" s="1956">
        <f t="shared" si="1232"/>
        <v>0</v>
      </c>
      <c r="AB1873" s="1836" t="s">
        <v>1875</v>
      </c>
      <c r="AG1873" s="1836"/>
      <c r="AH1873" s="1836"/>
      <c r="AI1873" s="1837">
        <v>92208</v>
      </c>
      <c r="AJ1873" s="1960">
        <f t="shared" si="1233"/>
        <v>-1163.8999999999942</v>
      </c>
    </row>
    <row r="1874" spans="1:36" ht="21.95" customHeight="1" x14ac:dyDescent="0.2">
      <c r="B1874" s="2045"/>
      <c r="C1874" s="2046" t="str">
        <f>SNI!D1458</f>
        <v>Bahan</v>
      </c>
      <c r="D1874" s="2047"/>
      <c r="E1874" s="2047"/>
      <c r="F1874" s="2048"/>
      <c r="G1874" s="2049"/>
      <c r="H1874" s="2050"/>
      <c r="I1874" s="2051"/>
      <c r="J1874" s="2051"/>
      <c r="K1874" s="2052"/>
      <c r="L1874" s="2053"/>
      <c r="M1874" s="2054"/>
      <c r="N1874" s="2055"/>
      <c r="O1874" s="2056"/>
      <c r="P1874" s="2057"/>
      <c r="Q1874" s="2058"/>
      <c r="R1874" s="2059"/>
      <c r="S1874" s="2059"/>
      <c r="T1874" s="2057"/>
      <c r="U1874" s="2060"/>
      <c r="Z1874" s="1956"/>
      <c r="AA1874" s="1956"/>
      <c r="AG1874" s="1836"/>
      <c r="AH1874" s="1836"/>
      <c r="AI1874" s="1837"/>
      <c r="AJ1874" s="1960"/>
    </row>
    <row r="1875" spans="1:36" ht="21.95" customHeight="1" x14ac:dyDescent="0.2">
      <c r="B1875" s="2045"/>
      <c r="C1875" s="2046"/>
      <c r="D1875" s="2047" t="str">
        <f>SNI!E1458</f>
        <v>Kabel Telephone</v>
      </c>
      <c r="E1875" s="2047"/>
      <c r="F1875" s="2048"/>
      <c r="G1875" s="2049">
        <f>SNI!H1458</f>
        <v>10</v>
      </c>
      <c r="H1875" s="2050" t="str">
        <f>SNI!G1458</f>
        <v>m'</v>
      </c>
      <c r="I1875" s="2051"/>
      <c r="J1875" s="2051"/>
      <c r="K1875" s="2052">
        <f>SNI!L1458</f>
        <v>0.88549999999999995</v>
      </c>
      <c r="L1875" s="2053"/>
      <c r="M1875" s="2054"/>
      <c r="N1875" s="2055">
        <f>SNI!I1458</f>
        <v>3800</v>
      </c>
      <c r="O1875" s="2056"/>
      <c r="P1875" s="1969">
        <f t="shared" ref="P1875" si="1250">N1875*G1875</f>
        <v>38000</v>
      </c>
      <c r="Q1875" s="1953"/>
      <c r="R1875" s="1954"/>
      <c r="S1875" s="1954">
        <f t="shared" ref="S1875" si="1251">P1875*K1875</f>
        <v>33649</v>
      </c>
      <c r="T1875" s="1969">
        <f t="shared" ref="T1875" si="1252">P1875-S1875</f>
        <v>4351</v>
      </c>
      <c r="U1875" s="2060"/>
      <c r="Z1875" s="1956"/>
      <c r="AA1875" s="1956"/>
      <c r="AG1875" s="1836"/>
      <c r="AH1875" s="1836"/>
      <c r="AI1875" s="1837"/>
      <c r="AJ1875" s="1960"/>
    </row>
    <row r="1876" spans="1:36" ht="21.95" customHeight="1" x14ac:dyDescent="0.2">
      <c r="B1876" s="2045"/>
      <c r="C1876" s="2046"/>
      <c r="D1876" s="2047" t="str">
        <f>SNI!E1459</f>
        <v>aksesoris 35%</v>
      </c>
      <c r="E1876" s="2047"/>
      <c r="F1876" s="2048"/>
      <c r="G1876" s="2049">
        <f>SNI!H1459</f>
        <v>1</v>
      </c>
      <c r="H1876" s="2050" t="str">
        <f>SNI!G1459</f>
        <v xml:space="preserve">ls </v>
      </c>
      <c r="I1876" s="2051"/>
      <c r="J1876" s="2051"/>
      <c r="K1876" s="2052">
        <f>SNI!L1459</f>
        <v>0.75</v>
      </c>
      <c r="L1876" s="2053"/>
      <c r="M1876" s="2054"/>
      <c r="N1876" s="2055">
        <f>SNI!I1459</f>
        <v>13300</v>
      </c>
      <c r="O1876" s="2056"/>
      <c r="P1876" s="1969">
        <f t="shared" ref="P1876:P1880" si="1253">N1876*G1876</f>
        <v>13300</v>
      </c>
      <c r="Q1876" s="1953"/>
      <c r="R1876" s="1954"/>
      <c r="S1876" s="1954">
        <f t="shared" ref="S1876:S1880" si="1254">P1876*K1876</f>
        <v>9975</v>
      </c>
      <c r="T1876" s="1969">
        <f t="shared" ref="T1876:T1880" si="1255">P1876-S1876</f>
        <v>3325</v>
      </c>
      <c r="U1876" s="2060"/>
      <c r="Z1876" s="1956"/>
      <c r="AA1876" s="1956"/>
      <c r="AG1876" s="1836"/>
      <c r="AH1876" s="1836"/>
      <c r="AI1876" s="1837"/>
      <c r="AJ1876" s="1960"/>
    </row>
    <row r="1877" spans="1:36" ht="21.95" customHeight="1" x14ac:dyDescent="0.2">
      <c r="B1877" s="2045"/>
      <c r="C1877" s="2046" t="str">
        <f>SNI!D1461</f>
        <v>Tenaga Kerja</v>
      </c>
      <c r="D1877" s="2047"/>
      <c r="E1877" s="2047"/>
      <c r="F1877" s="2048"/>
      <c r="G1877" s="2049"/>
      <c r="H1877" s="2050"/>
      <c r="I1877" s="2051"/>
      <c r="J1877" s="2051"/>
      <c r="K1877" s="2052"/>
      <c r="L1877" s="2053"/>
      <c r="M1877" s="2054"/>
      <c r="N1877" s="2055"/>
      <c r="O1877" s="2056"/>
      <c r="P1877" s="1969"/>
      <c r="Q1877" s="1953"/>
      <c r="R1877" s="1954"/>
      <c r="S1877" s="1954"/>
      <c r="T1877" s="1969"/>
      <c r="U1877" s="2060"/>
      <c r="Z1877" s="1956"/>
      <c r="AA1877" s="1956"/>
      <c r="AG1877" s="1836"/>
      <c r="AH1877" s="1836"/>
      <c r="AI1877" s="1837"/>
      <c r="AJ1877" s="1960"/>
    </row>
    <row r="1878" spans="1:36" ht="21.95" customHeight="1" x14ac:dyDescent="0.2">
      <c r="B1878" s="2045"/>
      <c r="C1878" s="2046"/>
      <c r="D1878" s="2047" t="str">
        <f>SNI!E1461</f>
        <v>Pekerja</v>
      </c>
      <c r="E1878" s="2047"/>
      <c r="F1878" s="2048"/>
      <c r="G1878" s="2049">
        <f>SNI!H1461</f>
        <v>0.1</v>
      </c>
      <c r="H1878" s="2050" t="str">
        <f>SNI!G1461</f>
        <v>OH</v>
      </c>
      <c r="I1878" s="2142" t="s">
        <v>2012</v>
      </c>
      <c r="J1878" s="2051"/>
      <c r="K1878" s="2052">
        <f>SNI!L1461</f>
        <v>1</v>
      </c>
      <c r="L1878" s="2053"/>
      <c r="M1878" s="2054"/>
      <c r="N1878" s="2055">
        <f>SNI!I1461</f>
        <v>88300</v>
      </c>
      <c r="O1878" s="2056"/>
      <c r="P1878" s="1969">
        <f t="shared" si="1253"/>
        <v>8830</v>
      </c>
      <c r="Q1878" s="1953"/>
      <c r="R1878" s="1954"/>
      <c r="S1878" s="1954">
        <f t="shared" si="1254"/>
        <v>8830</v>
      </c>
      <c r="T1878" s="1969">
        <f t="shared" si="1255"/>
        <v>0</v>
      </c>
      <c r="U1878" s="2060"/>
      <c r="Z1878" s="1956"/>
      <c r="AA1878" s="1956"/>
      <c r="AG1878" s="1836"/>
      <c r="AH1878" s="1836"/>
      <c r="AI1878" s="1837"/>
      <c r="AJ1878" s="1960"/>
    </row>
    <row r="1879" spans="1:36" ht="21.95" customHeight="1" x14ac:dyDescent="0.2">
      <c r="B1879" s="2045"/>
      <c r="C1879" s="2046"/>
      <c r="D1879" s="2047" t="str">
        <f>SNI!E1462</f>
        <v>Tukang listrik</v>
      </c>
      <c r="E1879" s="2047"/>
      <c r="F1879" s="2048"/>
      <c r="G1879" s="2049">
        <f>SNI!H1462</f>
        <v>0.2</v>
      </c>
      <c r="H1879" s="2050" t="str">
        <f>SNI!G1462</f>
        <v>OH</v>
      </c>
      <c r="I1879" s="2142" t="s">
        <v>2012</v>
      </c>
      <c r="J1879" s="2051"/>
      <c r="K1879" s="2052">
        <f>SNI!L1462</f>
        <v>1</v>
      </c>
      <c r="L1879" s="2053"/>
      <c r="M1879" s="2054"/>
      <c r="N1879" s="2055">
        <f>SNI!I1462</f>
        <v>90000</v>
      </c>
      <c r="O1879" s="2056"/>
      <c r="P1879" s="1969">
        <f t="shared" si="1253"/>
        <v>18000</v>
      </c>
      <c r="Q1879" s="1953"/>
      <c r="R1879" s="1954"/>
      <c r="S1879" s="1954">
        <f t="shared" si="1254"/>
        <v>18000</v>
      </c>
      <c r="T1879" s="1969">
        <f t="shared" si="1255"/>
        <v>0</v>
      </c>
      <c r="U1879" s="2060"/>
      <c r="Z1879" s="1956"/>
      <c r="AA1879" s="1956"/>
      <c r="AG1879" s="1836"/>
      <c r="AH1879" s="1836"/>
      <c r="AI1879" s="1837"/>
      <c r="AJ1879" s="1960"/>
    </row>
    <row r="1880" spans="1:36" ht="21.95" customHeight="1" x14ac:dyDescent="0.2">
      <c r="B1880" s="2045"/>
      <c r="C1880" s="2046"/>
      <c r="D1880" s="2047" t="str">
        <f>SNI!E1463</f>
        <v>Mandor</v>
      </c>
      <c r="E1880" s="2047"/>
      <c r="F1880" s="2048"/>
      <c r="G1880" s="2049">
        <f>SNI!H1463</f>
        <v>0.05</v>
      </c>
      <c r="H1880" s="2050" t="str">
        <f>SNI!G1463</f>
        <v>OH</v>
      </c>
      <c r="I1880" s="2142" t="s">
        <v>2012</v>
      </c>
      <c r="J1880" s="2051"/>
      <c r="K1880" s="2052">
        <f>SNI!L1463</f>
        <v>1</v>
      </c>
      <c r="L1880" s="2053"/>
      <c r="M1880" s="2054"/>
      <c r="N1880" s="2055">
        <f>SNI!I1463</f>
        <v>90000</v>
      </c>
      <c r="O1880" s="2056"/>
      <c r="P1880" s="1969">
        <f t="shared" si="1253"/>
        <v>4500</v>
      </c>
      <c r="Q1880" s="1953"/>
      <c r="R1880" s="1954"/>
      <c r="S1880" s="1954">
        <f t="shared" si="1254"/>
        <v>4500</v>
      </c>
      <c r="T1880" s="1969">
        <f t="shared" si="1255"/>
        <v>0</v>
      </c>
      <c r="U1880" s="2060"/>
      <c r="Z1880" s="1956"/>
      <c r="AA1880" s="1956"/>
      <c r="AG1880" s="1836"/>
      <c r="AH1880" s="1836"/>
      <c r="AI1880" s="1837"/>
      <c r="AJ1880" s="1960"/>
    </row>
    <row r="1881" spans="1:36" s="1957" customFormat="1" ht="21.95" customHeight="1" x14ac:dyDescent="0.2">
      <c r="A1881" s="1942"/>
      <c r="B1881" s="1970"/>
      <c r="C1881" s="1971"/>
      <c r="D1881" s="1972"/>
      <c r="E1881" s="1973"/>
      <c r="F1881" s="1974" t="s">
        <v>556</v>
      </c>
      <c r="G1881" s="1975">
        <f>B1871</f>
        <v>0</v>
      </c>
      <c r="H1881" s="1976"/>
      <c r="I1881" s="1977"/>
      <c r="J1881" s="1977"/>
      <c r="K1881" s="1978"/>
      <c r="L1881" s="1979"/>
      <c r="M1881" s="1980"/>
      <c r="N1881" s="1981"/>
      <c r="O1881" s="1982"/>
      <c r="P1881" s="1983">
        <f>SUM(P1875:P1880)</f>
        <v>82630</v>
      </c>
      <c r="Q1881" s="1984"/>
      <c r="R1881" s="1985"/>
      <c r="S1881" s="1983">
        <f t="shared" ref="S1881:T1881" si="1256">SUM(S1875:S1880)</f>
        <v>74954</v>
      </c>
      <c r="T1881" s="1983">
        <f t="shared" si="1256"/>
        <v>7676</v>
      </c>
      <c r="U1881" s="1986"/>
      <c r="V1881" s="1848"/>
      <c r="W1881" s="1848"/>
      <c r="X1881" s="1848"/>
      <c r="Y1881" s="1848"/>
      <c r="Z1881" s="1956"/>
      <c r="AA1881" s="1956"/>
      <c r="AF1881" s="1958"/>
      <c r="AG1881" s="1958"/>
      <c r="AH1881" s="1958"/>
      <c r="AI1881" s="1959"/>
      <c r="AJ1881" s="1960"/>
    </row>
    <row r="1882" spans="1:36" ht="21.95" customHeight="1" x14ac:dyDescent="0.2">
      <c r="A1882" s="1833">
        <f>satpek!B93</f>
        <v>74</v>
      </c>
      <c r="B1882" s="1943">
        <f>B1873+1</f>
        <v>8</v>
      </c>
      <c r="C1882" s="1937"/>
      <c r="D1882" s="1944" t="str">
        <f>VLOOKUP($A1882,satpek!$B$20:$N$144,2,0)</f>
        <v>Instalasi titik Data CAT 6</v>
      </c>
      <c r="E1882" s="1944"/>
      <c r="F1882" s="2004"/>
      <c r="G1882" s="1945">
        <f>'[3]B.VOL RAB'!Q613</f>
        <v>12</v>
      </c>
      <c r="H1882" s="1946" t="str">
        <f>VLOOKUP($A1882,satpek!$B$20:$N$144,7,0)</f>
        <v>ttk</v>
      </c>
      <c r="I1882" s="1947"/>
      <c r="J1882" s="1947"/>
      <c r="K1882" s="1948"/>
      <c r="L1882" s="1949"/>
      <c r="M1882" s="1950" t="str">
        <f>VLOOKUP($A1882,satpek!$B$20:$N$144,5,0)</f>
        <v>An. Dihitung</v>
      </c>
      <c r="N1882" s="1951">
        <f>VLOOKUP($A1882,satpek!$B$20:$N$144,6,0)</f>
        <v>140437.33000000002</v>
      </c>
      <c r="O1882" s="1938"/>
      <c r="P1882" s="1952">
        <f t="shared" si="1207"/>
        <v>1685247.96</v>
      </c>
      <c r="Q1882" s="1953">
        <f>VLOOKUP($A1882,satpek!$B$20:$L$138,8,0)</f>
        <v>0.88809056240536555</v>
      </c>
      <c r="R1882" s="1954">
        <f>VLOOKUP($A1882,satpek!$B$20:$L$138,9,0)</f>
        <v>110372.62333</v>
      </c>
      <c r="S1882" s="1954">
        <f>VLOOKUP($A1882,satpek!$B$20:$L$138,10,0)</f>
        <v>124721.0643629</v>
      </c>
      <c r="T1882" s="1952">
        <f t="shared" si="1208"/>
        <v>1496652.7723548</v>
      </c>
      <c r="U1882" s="1955"/>
      <c r="X1882" s="1848">
        <f>P1890</f>
        <v>124280.82001639344</v>
      </c>
      <c r="Y1882" s="1848">
        <f>S1890</f>
        <v>110372.62320901638</v>
      </c>
      <c r="Z1882" s="1956">
        <v>12</v>
      </c>
      <c r="AA1882" s="1956">
        <f t="shared" si="1232"/>
        <v>0</v>
      </c>
      <c r="AB1882" s="1836" t="s">
        <v>1876</v>
      </c>
      <c r="AG1882" s="1836"/>
      <c r="AH1882" s="1836"/>
      <c r="AI1882" s="1837">
        <v>139273.43</v>
      </c>
      <c r="AJ1882" s="1960">
        <f t="shared" si="1233"/>
        <v>-1163.9000000000233</v>
      </c>
    </row>
    <row r="1883" spans="1:36" ht="21.95" customHeight="1" x14ac:dyDescent="0.2">
      <c r="B1883" s="2045"/>
      <c r="C1883" s="2046" t="str">
        <f>SNI!D1478</f>
        <v>Bahan</v>
      </c>
      <c r="D1883" s="2047"/>
      <c r="E1883" s="2047"/>
      <c r="F1883" s="2048"/>
      <c r="G1883" s="2049"/>
      <c r="H1883" s="2050"/>
      <c r="I1883" s="2051"/>
      <c r="J1883" s="2051"/>
      <c r="K1883" s="2052"/>
      <c r="L1883" s="2053"/>
      <c r="M1883" s="2054"/>
      <c r="N1883" s="2055"/>
      <c r="O1883" s="2056"/>
      <c r="P1883" s="2057"/>
      <c r="Q1883" s="2058"/>
      <c r="R1883" s="2059"/>
      <c r="S1883" s="2059"/>
      <c r="T1883" s="2057"/>
      <c r="U1883" s="2060"/>
      <c r="Z1883" s="1956"/>
      <c r="AA1883" s="1956"/>
      <c r="AG1883" s="1836"/>
      <c r="AH1883" s="1836"/>
      <c r="AI1883" s="1837"/>
      <c r="AJ1883" s="1960"/>
    </row>
    <row r="1884" spans="1:36" ht="21.95" customHeight="1" x14ac:dyDescent="0.2">
      <c r="B1884" s="2045"/>
      <c r="C1884" s="2046"/>
      <c r="D1884" s="2047" t="str">
        <f>SNI!E1478</f>
        <v>Kabel Data CAT 6</v>
      </c>
      <c r="E1884" s="2047"/>
      <c r="F1884" s="2048"/>
      <c r="G1884" s="2049">
        <f>SNI!H1478</f>
        <v>10</v>
      </c>
      <c r="H1884" s="2050" t="str">
        <f>SNI!G1478</f>
        <v>m'</v>
      </c>
      <c r="I1884" s="2051"/>
      <c r="J1884" s="2051"/>
      <c r="K1884" s="2052">
        <f>SNI!L1478</f>
        <v>0.88549999999999995</v>
      </c>
      <c r="L1884" s="2053"/>
      <c r="M1884" s="2054"/>
      <c r="N1884" s="2055">
        <f>SNI!I1478</f>
        <v>6885.2459016393441</v>
      </c>
      <c r="O1884" s="2056"/>
      <c r="P1884" s="1969">
        <f t="shared" ref="P1884" si="1257">N1884*G1884</f>
        <v>68852.459016393434</v>
      </c>
      <c r="Q1884" s="1953"/>
      <c r="R1884" s="1954"/>
      <c r="S1884" s="1954">
        <f t="shared" ref="S1884" si="1258">P1884*K1884</f>
        <v>60968.85245901638</v>
      </c>
      <c r="T1884" s="1969">
        <f t="shared" ref="T1884" si="1259">P1884-S1884</f>
        <v>7883.6065573770538</v>
      </c>
      <c r="U1884" s="2060"/>
      <c r="Z1884" s="1956"/>
      <c r="AA1884" s="1956"/>
      <c r="AG1884" s="1836"/>
      <c r="AH1884" s="1836"/>
      <c r="AI1884" s="1837"/>
      <c r="AJ1884" s="1960"/>
    </row>
    <row r="1885" spans="1:36" ht="21.95" customHeight="1" x14ac:dyDescent="0.2">
      <c r="B1885" s="2045"/>
      <c r="C1885" s="2046"/>
      <c r="D1885" s="2047" t="str">
        <f>SNI!E1479</f>
        <v>aksesoris 35%</v>
      </c>
      <c r="E1885" s="2047"/>
      <c r="F1885" s="2048"/>
      <c r="G1885" s="2049">
        <f>SNI!H1479</f>
        <v>1</v>
      </c>
      <c r="H1885" s="2050" t="str">
        <f>SNI!G1479</f>
        <v xml:space="preserve">ls </v>
      </c>
      <c r="I1885" s="2051"/>
      <c r="J1885" s="2051"/>
      <c r="K1885" s="2052">
        <f>SNI!L1479</f>
        <v>0.75</v>
      </c>
      <c r="L1885" s="2053"/>
      <c r="M1885" s="2054"/>
      <c r="N1885" s="2055">
        <f>SNI!I1479</f>
        <v>24098.361000000001</v>
      </c>
      <c r="O1885" s="2056"/>
      <c r="P1885" s="1969">
        <f t="shared" ref="P1885:P1889" si="1260">N1885*G1885</f>
        <v>24098.361000000001</v>
      </c>
      <c r="Q1885" s="1953"/>
      <c r="R1885" s="1954"/>
      <c r="S1885" s="1954">
        <f t="shared" ref="S1885:S1889" si="1261">P1885*K1885</f>
        <v>18073.77075</v>
      </c>
      <c r="T1885" s="1969">
        <f t="shared" ref="T1885:T1889" si="1262">P1885-S1885</f>
        <v>6024.5902500000011</v>
      </c>
      <c r="U1885" s="2060"/>
      <c r="Z1885" s="1956"/>
      <c r="AA1885" s="1956"/>
      <c r="AG1885" s="1836"/>
      <c r="AH1885" s="1836"/>
      <c r="AI1885" s="1837"/>
      <c r="AJ1885" s="1960"/>
    </row>
    <row r="1886" spans="1:36" ht="21.95" customHeight="1" x14ac:dyDescent="0.2">
      <c r="B1886" s="2045"/>
      <c r="C1886" s="2046" t="str">
        <f>SNI!D1481</f>
        <v>Tenaga Kerja</v>
      </c>
      <c r="D1886" s="2047"/>
      <c r="E1886" s="2047"/>
      <c r="F1886" s="2048"/>
      <c r="G1886" s="2049"/>
      <c r="H1886" s="2050"/>
      <c r="I1886" s="2051"/>
      <c r="J1886" s="2051"/>
      <c r="K1886" s="2052"/>
      <c r="L1886" s="2053"/>
      <c r="M1886" s="2054"/>
      <c r="N1886" s="2055"/>
      <c r="O1886" s="2056"/>
      <c r="P1886" s="1969"/>
      <c r="Q1886" s="1953"/>
      <c r="R1886" s="1954"/>
      <c r="S1886" s="1954"/>
      <c r="T1886" s="1969"/>
      <c r="U1886" s="2060"/>
      <c r="Z1886" s="1956"/>
      <c r="AA1886" s="1956"/>
      <c r="AG1886" s="1836"/>
      <c r="AH1886" s="1836"/>
      <c r="AI1886" s="1837"/>
      <c r="AJ1886" s="1960"/>
    </row>
    <row r="1887" spans="1:36" ht="21.95" customHeight="1" x14ac:dyDescent="0.2">
      <c r="B1887" s="2045"/>
      <c r="C1887" s="2046"/>
      <c r="D1887" s="2047" t="str">
        <f>SNI!E1481</f>
        <v>Pekerja</v>
      </c>
      <c r="E1887" s="2047"/>
      <c r="F1887" s="2048"/>
      <c r="G1887" s="2049">
        <f>SNI!H1481</f>
        <v>0.1</v>
      </c>
      <c r="H1887" s="2050" t="str">
        <f>SNI!G1481</f>
        <v>OH</v>
      </c>
      <c r="I1887" s="2142" t="s">
        <v>2012</v>
      </c>
      <c r="J1887" s="2051"/>
      <c r="K1887" s="2052">
        <f>SNI!L1481</f>
        <v>1</v>
      </c>
      <c r="L1887" s="2053"/>
      <c r="M1887" s="2054"/>
      <c r="N1887" s="2055">
        <f>SNI!I1481</f>
        <v>88300</v>
      </c>
      <c r="O1887" s="2056"/>
      <c r="P1887" s="1969">
        <f t="shared" si="1260"/>
        <v>8830</v>
      </c>
      <c r="Q1887" s="1953"/>
      <c r="R1887" s="1954"/>
      <c r="S1887" s="1954">
        <f t="shared" si="1261"/>
        <v>8830</v>
      </c>
      <c r="T1887" s="1969">
        <f t="shared" si="1262"/>
        <v>0</v>
      </c>
      <c r="U1887" s="2060"/>
      <c r="Z1887" s="1956"/>
      <c r="AA1887" s="1956"/>
      <c r="AG1887" s="1836"/>
      <c r="AH1887" s="1836"/>
      <c r="AI1887" s="1837"/>
      <c r="AJ1887" s="1960"/>
    </row>
    <row r="1888" spans="1:36" ht="21.95" customHeight="1" x14ac:dyDescent="0.2">
      <c r="B1888" s="2045"/>
      <c r="C1888" s="2046"/>
      <c r="D1888" s="2047" t="str">
        <f>SNI!E1482</f>
        <v>Tukang listrik</v>
      </c>
      <c r="E1888" s="2047"/>
      <c r="F1888" s="2048"/>
      <c r="G1888" s="2049">
        <f>SNI!H1482</f>
        <v>0.2</v>
      </c>
      <c r="H1888" s="2050" t="str">
        <f>SNI!G1482</f>
        <v>OH</v>
      </c>
      <c r="I1888" s="2142" t="s">
        <v>2012</v>
      </c>
      <c r="J1888" s="2051"/>
      <c r="K1888" s="2052">
        <f>SNI!L1482</f>
        <v>1</v>
      </c>
      <c r="L1888" s="2053"/>
      <c r="M1888" s="2054"/>
      <c r="N1888" s="2055">
        <f>SNI!I1482</f>
        <v>90000</v>
      </c>
      <c r="O1888" s="2056"/>
      <c r="P1888" s="1969">
        <f t="shared" si="1260"/>
        <v>18000</v>
      </c>
      <c r="Q1888" s="1953"/>
      <c r="R1888" s="1954"/>
      <c r="S1888" s="1954">
        <f t="shared" si="1261"/>
        <v>18000</v>
      </c>
      <c r="T1888" s="1969">
        <f t="shared" si="1262"/>
        <v>0</v>
      </c>
      <c r="U1888" s="2060"/>
      <c r="Z1888" s="1956"/>
      <c r="AA1888" s="1956"/>
      <c r="AG1888" s="1836"/>
      <c r="AH1888" s="1836"/>
      <c r="AI1888" s="1837"/>
      <c r="AJ1888" s="1960"/>
    </row>
    <row r="1889" spans="1:36" ht="21.95" customHeight="1" x14ac:dyDescent="0.2">
      <c r="B1889" s="2045"/>
      <c r="C1889" s="2046"/>
      <c r="D1889" s="2047" t="str">
        <f>SNI!E1483</f>
        <v>Mandor</v>
      </c>
      <c r="E1889" s="2047"/>
      <c r="F1889" s="2048"/>
      <c r="G1889" s="2049">
        <f>SNI!H1483</f>
        <v>0.05</v>
      </c>
      <c r="H1889" s="2050" t="str">
        <f>SNI!G1483</f>
        <v>OH</v>
      </c>
      <c r="I1889" s="2142" t="s">
        <v>2012</v>
      </c>
      <c r="J1889" s="2051"/>
      <c r="K1889" s="2052">
        <f>SNI!L1483</f>
        <v>1</v>
      </c>
      <c r="L1889" s="2053"/>
      <c r="M1889" s="2054"/>
      <c r="N1889" s="2055">
        <f>SNI!I1483</f>
        <v>90000</v>
      </c>
      <c r="O1889" s="2056"/>
      <c r="P1889" s="1969">
        <f t="shared" si="1260"/>
        <v>4500</v>
      </c>
      <c r="Q1889" s="1953"/>
      <c r="R1889" s="1954"/>
      <c r="S1889" s="1954">
        <f t="shared" si="1261"/>
        <v>4500</v>
      </c>
      <c r="T1889" s="1969">
        <f t="shared" si="1262"/>
        <v>0</v>
      </c>
      <c r="U1889" s="2060"/>
      <c r="Z1889" s="1956"/>
      <c r="AA1889" s="1956"/>
      <c r="AG1889" s="1836"/>
      <c r="AH1889" s="1836"/>
      <c r="AI1889" s="1837"/>
      <c r="AJ1889" s="1960"/>
    </row>
    <row r="1890" spans="1:36" s="1957" customFormat="1" ht="21.95" customHeight="1" x14ac:dyDescent="0.2">
      <c r="A1890" s="1942"/>
      <c r="B1890" s="1970"/>
      <c r="C1890" s="1971"/>
      <c r="D1890" s="1972"/>
      <c r="E1890" s="1973"/>
      <c r="F1890" s="1974" t="s">
        <v>556</v>
      </c>
      <c r="G1890" s="1975">
        <f>B1880</f>
        <v>0</v>
      </c>
      <c r="H1890" s="1976"/>
      <c r="I1890" s="1977"/>
      <c r="J1890" s="1977"/>
      <c r="K1890" s="1978"/>
      <c r="L1890" s="1979"/>
      <c r="M1890" s="1980"/>
      <c r="N1890" s="1981"/>
      <c r="O1890" s="1982"/>
      <c r="P1890" s="1983">
        <f>SUM(P1884:P1889)</f>
        <v>124280.82001639344</v>
      </c>
      <c r="Q1890" s="1984"/>
      <c r="R1890" s="1985"/>
      <c r="S1890" s="1983">
        <f t="shared" ref="S1890" si="1263">SUM(S1884:S1889)</f>
        <v>110372.62320901638</v>
      </c>
      <c r="T1890" s="1983">
        <f t="shared" ref="T1890" si="1264">SUM(T1884:T1889)</f>
        <v>13908.196807377055</v>
      </c>
      <c r="U1890" s="1986"/>
      <c r="V1890" s="1848"/>
      <c r="W1890" s="1848"/>
      <c r="X1890" s="1848"/>
      <c r="Y1890" s="1848"/>
      <c r="Z1890" s="1956"/>
      <c r="AA1890" s="1956"/>
      <c r="AF1890" s="1958"/>
      <c r="AG1890" s="1958"/>
      <c r="AH1890" s="1958"/>
      <c r="AI1890" s="1959"/>
      <c r="AJ1890" s="1960"/>
    </row>
    <row r="1891" spans="1:36" ht="21.95" customHeight="1" x14ac:dyDescent="0.2">
      <c r="A1891" s="1833">
        <f>satpek!B94</f>
        <v>75</v>
      </c>
      <c r="B1891" s="1943">
        <f>B1882+1</f>
        <v>9</v>
      </c>
      <c r="C1891" s="1937"/>
      <c r="D1891" s="1944" t="str">
        <f>VLOOKUP($A1891,satpek!$B$20:$N$144,2,0)</f>
        <v>Memasang saklar ganda</v>
      </c>
      <c r="E1891" s="1944"/>
      <c r="F1891" s="2004"/>
      <c r="G1891" s="1945">
        <f>'[3]B.VOL RAB'!Q615</f>
        <v>28</v>
      </c>
      <c r="H1891" s="1946" t="str">
        <f>VLOOKUP($A1891,satpek!$B$20:$N$144,7,0)</f>
        <v>bh</v>
      </c>
      <c r="I1891" s="1947"/>
      <c r="J1891" s="1947"/>
      <c r="K1891" s="1948"/>
      <c r="L1891" s="1949"/>
      <c r="M1891" s="1950" t="str">
        <f>VLOOKUP($A1891,satpek!$B$20:$N$144,5,0)</f>
        <v>An. Dihitung</v>
      </c>
      <c r="N1891" s="1951">
        <f>VLOOKUP($A1891,satpek!$B$20:$N$144,6,0)</f>
        <v>49855.6</v>
      </c>
      <c r="O1891" s="1938"/>
      <c r="P1891" s="1952">
        <f t="shared" si="1207"/>
        <v>1395956.8</v>
      </c>
      <c r="Q1891" s="1953">
        <f>VLOOKUP($A1891,satpek!$B$20:$L$138,8,0)</f>
        <v>0.55736627379873072</v>
      </c>
      <c r="R1891" s="1954">
        <f>VLOOKUP($A1891,satpek!$B$20:$L$138,9,0)</f>
        <v>24591</v>
      </c>
      <c r="S1891" s="1954">
        <f>VLOOKUP($A1891,satpek!$B$20:$L$138,10,0)</f>
        <v>27787.83</v>
      </c>
      <c r="T1891" s="1952">
        <f t="shared" si="1208"/>
        <v>778059.24</v>
      </c>
      <c r="U1891" s="1955"/>
      <c r="X1891" s="1848">
        <f>P1898</f>
        <v>44120</v>
      </c>
      <c r="Y1891" s="1848">
        <f>S1898</f>
        <v>24591</v>
      </c>
      <c r="Z1891" s="1956">
        <v>28</v>
      </c>
      <c r="AA1891" s="1956">
        <f t="shared" si="1232"/>
        <v>0</v>
      </c>
      <c r="AB1891" s="1836" t="s">
        <v>372</v>
      </c>
      <c r="AG1891" s="1836"/>
      <c r="AH1891" s="1836"/>
      <c r="AI1891" s="1837">
        <v>49482.7</v>
      </c>
      <c r="AJ1891" s="1960">
        <f t="shared" si="1233"/>
        <v>-372.90000000000146</v>
      </c>
    </row>
    <row r="1892" spans="1:36" ht="21.95" customHeight="1" x14ac:dyDescent="0.2">
      <c r="B1892" s="2045"/>
      <c r="C1892" s="2046" t="str">
        <f>SNI!D1498</f>
        <v>Bahan</v>
      </c>
      <c r="D1892" s="2047"/>
      <c r="E1892" s="2047"/>
      <c r="F1892" s="2048"/>
      <c r="G1892" s="2049"/>
      <c r="H1892" s="2050"/>
      <c r="I1892" s="2051"/>
      <c r="J1892" s="2051"/>
      <c r="K1892" s="2052"/>
      <c r="L1892" s="2053"/>
      <c r="M1892" s="2054"/>
      <c r="N1892" s="2055"/>
      <c r="O1892" s="2056"/>
      <c r="P1892" s="2057"/>
      <c r="Q1892" s="2058"/>
      <c r="R1892" s="2059"/>
      <c r="S1892" s="2059"/>
      <c r="T1892" s="2057"/>
      <c r="U1892" s="2060"/>
      <c r="Z1892" s="1956"/>
      <c r="AA1892" s="1956"/>
      <c r="AG1892" s="1836"/>
      <c r="AH1892" s="1836"/>
      <c r="AI1892" s="1837"/>
      <c r="AJ1892" s="1960"/>
    </row>
    <row r="1893" spans="1:36" ht="21.95" customHeight="1" x14ac:dyDescent="0.2">
      <c r="B1893" s="2045"/>
      <c r="C1893" s="2046"/>
      <c r="D1893" s="2047" t="str">
        <f>SNI!E1498</f>
        <v>Saklar ganda</v>
      </c>
      <c r="E1893" s="2047"/>
      <c r="F1893" s="2048"/>
      <c r="G1893" s="2049">
        <f>SNI!H1498</f>
        <v>1</v>
      </c>
      <c r="H1893" s="2050" t="str">
        <f>SNI!G1498</f>
        <v>bh</v>
      </c>
      <c r="I1893" s="2051"/>
      <c r="J1893" s="2051"/>
      <c r="K1893" s="2052">
        <f>SNI!L1498</f>
        <v>0.28499999999999998</v>
      </c>
      <c r="L1893" s="2053"/>
      <c r="M1893" s="2054"/>
      <c r="N1893" s="2055">
        <f>SNI!I1498</f>
        <v>23600</v>
      </c>
      <c r="O1893" s="2056"/>
      <c r="P1893" s="1969">
        <f t="shared" ref="P1893" si="1265">N1893*G1893</f>
        <v>23600</v>
      </c>
      <c r="Q1893" s="1953"/>
      <c r="R1893" s="1954"/>
      <c r="S1893" s="1954">
        <f t="shared" ref="S1893" si="1266">P1893*K1893</f>
        <v>6725.9999999999991</v>
      </c>
      <c r="T1893" s="1969">
        <f t="shared" ref="T1893" si="1267">P1893-S1893</f>
        <v>16874</v>
      </c>
      <c r="U1893" s="2060"/>
      <c r="Z1893" s="1956"/>
      <c r="AA1893" s="1956"/>
      <c r="AG1893" s="1836"/>
      <c r="AH1893" s="1836"/>
      <c r="AI1893" s="1837"/>
      <c r="AJ1893" s="1960"/>
    </row>
    <row r="1894" spans="1:36" ht="21.95" customHeight="1" x14ac:dyDescent="0.2">
      <c r="B1894" s="2045"/>
      <c r="C1894" s="2046"/>
      <c r="D1894" s="2047" t="str">
        <f>SNI!E1499</f>
        <v>aksesoris 45%</v>
      </c>
      <c r="E1894" s="2047"/>
      <c r="F1894" s="2048"/>
      <c r="G1894" s="2049">
        <f>SNI!H1499</f>
        <v>1</v>
      </c>
      <c r="H1894" s="2050" t="str">
        <f>SNI!G1499</f>
        <v xml:space="preserve">ls </v>
      </c>
      <c r="I1894" s="2051"/>
      <c r="J1894" s="2051"/>
      <c r="K1894" s="2052">
        <f>SNI!L1499</f>
        <v>0.75</v>
      </c>
      <c r="L1894" s="2053"/>
      <c r="M1894" s="2054"/>
      <c r="N1894" s="2055">
        <f>SNI!I1499</f>
        <v>10620</v>
      </c>
      <c r="O1894" s="2056"/>
      <c r="P1894" s="1969">
        <f t="shared" ref="P1894:P1897" si="1268">N1894*G1894</f>
        <v>10620</v>
      </c>
      <c r="Q1894" s="1953"/>
      <c r="R1894" s="1954"/>
      <c r="S1894" s="1954">
        <f t="shared" ref="S1894:S1897" si="1269">P1894*K1894</f>
        <v>7965</v>
      </c>
      <c r="T1894" s="1969">
        <f t="shared" ref="T1894:T1897" si="1270">P1894-S1894</f>
        <v>2655</v>
      </c>
      <c r="U1894" s="2060"/>
      <c r="Z1894" s="1956"/>
      <c r="AA1894" s="1956"/>
      <c r="AG1894" s="1836"/>
      <c r="AH1894" s="1836"/>
      <c r="AI1894" s="1837"/>
      <c r="AJ1894" s="1960"/>
    </row>
    <row r="1895" spans="1:36" ht="21.95" customHeight="1" x14ac:dyDescent="0.2">
      <c r="B1895" s="2045"/>
      <c r="C1895" s="2046" t="str">
        <f>SNI!D1501</f>
        <v>Tenaga Kerja</v>
      </c>
      <c r="D1895" s="2047"/>
      <c r="E1895" s="2047"/>
      <c r="F1895" s="2048"/>
      <c r="G1895" s="2049"/>
      <c r="H1895" s="2050"/>
      <c r="I1895" s="2051"/>
      <c r="J1895" s="2051"/>
      <c r="K1895" s="2052"/>
      <c r="L1895" s="2053"/>
      <c r="M1895" s="2054"/>
      <c r="N1895" s="2055"/>
      <c r="O1895" s="2056"/>
      <c r="P1895" s="1969"/>
      <c r="Q1895" s="1953"/>
      <c r="R1895" s="1954"/>
      <c r="S1895" s="1954"/>
      <c r="T1895" s="1969"/>
      <c r="U1895" s="2060"/>
      <c r="Z1895" s="1956"/>
      <c r="AA1895" s="1956"/>
      <c r="AG1895" s="1836"/>
      <c r="AH1895" s="1836"/>
      <c r="AI1895" s="1837"/>
      <c r="AJ1895" s="1960"/>
    </row>
    <row r="1896" spans="1:36" ht="21.95" customHeight="1" x14ac:dyDescent="0.2">
      <c r="B1896" s="2045"/>
      <c r="C1896" s="2046"/>
      <c r="D1896" s="2047" t="str">
        <f>SNI!E1501</f>
        <v>Tukang listrik</v>
      </c>
      <c r="E1896" s="2047"/>
      <c r="F1896" s="2048"/>
      <c r="G1896" s="2049">
        <f>SNI!H1501</f>
        <v>0.1</v>
      </c>
      <c r="H1896" s="2050" t="str">
        <f>SNI!G1501</f>
        <v>OH</v>
      </c>
      <c r="I1896" s="2142" t="s">
        <v>2012</v>
      </c>
      <c r="J1896" s="2051"/>
      <c r="K1896" s="2052">
        <f>SNI!L1501</f>
        <v>1</v>
      </c>
      <c r="L1896" s="2053"/>
      <c r="M1896" s="2054"/>
      <c r="N1896" s="2055">
        <f>SNI!I1501</f>
        <v>90000</v>
      </c>
      <c r="O1896" s="2056"/>
      <c r="P1896" s="1969">
        <f t="shared" si="1268"/>
        <v>9000</v>
      </c>
      <c r="Q1896" s="1953"/>
      <c r="R1896" s="1954"/>
      <c r="S1896" s="1954">
        <f t="shared" si="1269"/>
        <v>9000</v>
      </c>
      <c r="T1896" s="1969">
        <f t="shared" si="1270"/>
        <v>0</v>
      </c>
      <c r="U1896" s="2060"/>
      <c r="Z1896" s="1956"/>
      <c r="AA1896" s="1956"/>
      <c r="AG1896" s="1836"/>
      <c r="AH1896" s="1836"/>
      <c r="AI1896" s="1837"/>
      <c r="AJ1896" s="1960"/>
    </row>
    <row r="1897" spans="1:36" ht="21.95" customHeight="1" x14ac:dyDescent="0.2">
      <c r="B1897" s="2045"/>
      <c r="C1897" s="2046"/>
      <c r="D1897" s="2047" t="str">
        <f>SNI!E1502</f>
        <v>Mandor</v>
      </c>
      <c r="E1897" s="2047"/>
      <c r="F1897" s="2048"/>
      <c r="G1897" s="2049">
        <f>SNI!H1502</f>
        <v>0.01</v>
      </c>
      <c r="H1897" s="2050" t="str">
        <f>SNI!G1502</f>
        <v>OH</v>
      </c>
      <c r="I1897" s="2142" t="s">
        <v>2012</v>
      </c>
      <c r="J1897" s="2051"/>
      <c r="K1897" s="2052">
        <f>SNI!L1502</f>
        <v>1</v>
      </c>
      <c r="L1897" s="2053"/>
      <c r="M1897" s="2054"/>
      <c r="N1897" s="2055">
        <f>SNI!I1502</f>
        <v>90000</v>
      </c>
      <c r="O1897" s="2056"/>
      <c r="P1897" s="1969">
        <f t="shared" si="1268"/>
        <v>900</v>
      </c>
      <c r="Q1897" s="1953"/>
      <c r="R1897" s="1954"/>
      <c r="S1897" s="1954">
        <f t="shared" si="1269"/>
        <v>900</v>
      </c>
      <c r="T1897" s="1969">
        <f t="shared" si="1270"/>
        <v>0</v>
      </c>
      <c r="U1897" s="2060"/>
      <c r="Z1897" s="1956"/>
      <c r="AA1897" s="1956"/>
      <c r="AG1897" s="1836"/>
      <c r="AH1897" s="1836"/>
      <c r="AI1897" s="1837"/>
      <c r="AJ1897" s="1960"/>
    </row>
    <row r="1898" spans="1:36" s="1957" customFormat="1" ht="21.95" customHeight="1" x14ac:dyDescent="0.2">
      <c r="A1898" s="1942"/>
      <c r="B1898" s="1970"/>
      <c r="C1898" s="1971"/>
      <c r="D1898" s="1972"/>
      <c r="E1898" s="1973"/>
      <c r="F1898" s="1974" t="s">
        <v>556</v>
      </c>
      <c r="G1898" s="1975">
        <f>B1891</f>
        <v>9</v>
      </c>
      <c r="H1898" s="1976"/>
      <c r="I1898" s="1977"/>
      <c r="J1898" s="1977"/>
      <c r="K1898" s="1978"/>
      <c r="L1898" s="1979"/>
      <c r="M1898" s="1980"/>
      <c r="N1898" s="1981"/>
      <c r="O1898" s="1982"/>
      <c r="P1898" s="1983">
        <f>SUM(P1892:P1897)</f>
        <v>44120</v>
      </c>
      <c r="Q1898" s="1984"/>
      <c r="R1898" s="1985"/>
      <c r="S1898" s="1983">
        <f t="shared" ref="S1898" si="1271">SUM(S1892:S1897)</f>
        <v>24591</v>
      </c>
      <c r="T1898" s="1983">
        <f t="shared" ref="T1898" si="1272">SUM(T1892:T1897)</f>
        <v>19529</v>
      </c>
      <c r="U1898" s="1986"/>
      <c r="V1898" s="1848"/>
      <c r="W1898" s="1848"/>
      <c r="X1898" s="1848"/>
      <c r="Y1898" s="1848"/>
      <c r="Z1898" s="1956"/>
      <c r="AA1898" s="1956"/>
      <c r="AF1898" s="1958"/>
      <c r="AG1898" s="1958"/>
      <c r="AH1898" s="1958"/>
      <c r="AI1898" s="1959"/>
      <c r="AJ1898" s="1960"/>
    </row>
    <row r="1899" spans="1:36" ht="21.95" customHeight="1" x14ac:dyDescent="0.2">
      <c r="A1899" s="1833">
        <f>satpek!B95</f>
        <v>76</v>
      </c>
      <c r="B1899" s="1943">
        <f>B1891+1</f>
        <v>10</v>
      </c>
      <c r="C1899" s="1937"/>
      <c r="D1899" s="1944" t="str">
        <f>VLOOKUP($A1899,satpek!$B$20:$N$144,2,0)</f>
        <v>Memasang saklar tunggal</v>
      </c>
      <c r="E1899" s="1944"/>
      <c r="F1899" s="2004"/>
      <c r="G1899" s="1945">
        <f>'[3]B.VOL RAB'!Q616</f>
        <v>11</v>
      </c>
      <c r="H1899" s="1946" t="str">
        <f>VLOOKUP($A1899,satpek!$B$20:$N$144,7,0)</f>
        <v>bh</v>
      </c>
      <c r="I1899" s="1947"/>
      <c r="J1899" s="1947"/>
      <c r="K1899" s="1948"/>
      <c r="L1899" s="1949"/>
      <c r="M1899" s="1950" t="str">
        <f>VLOOKUP($A1899,satpek!$B$20:$N$144,5,0)</f>
        <v>An. Dihitung</v>
      </c>
      <c r="N1899" s="1951">
        <f>VLOOKUP($A1899,satpek!$B$20:$N$144,6,0)</f>
        <v>41826.949999999997</v>
      </c>
      <c r="O1899" s="1938"/>
      <c r="P1899" s="1952">
        <f t="shared" si="1207"/>
        <v>460096.45</v>
      </c>
      <c r="Q1899" s="1953">
        <f>VLOOKUP($A1899,satpek!$B$20:$L$138,8,0)</f>
        <v>0.5819465081723626</v>
      </c>
      <c r="R1899" s="1954">
        <f>VLOOKUP($A1899,satpek!$B$20:$L$138,9,0)</f>
        <v>21540.75</v>
      </c>
      <c r="S1899" s="1954">
        <f>VLOOKUP($A1899,satpek!$B$20:$L$138,10,0)</f>
        <v>24341.047500000001</v>
      </c>
      <c r="T1899" s="1952">
        <f t="shared" si="1208"/>
        <v>267751.52250000002</v>
      </c>
      <c r="U1899" s="1955"/>
      <c r="X1899" s="1848">
        <f>P1906</f>
        <v>37015</v>
      </c>
      <c r="Y1899" s="1848">
        <f>S1906</f>
        <v>21540.75</v>
      </c>
      <c r="Z1899" s="1956">
        <v>11</v>
      </c>
      <c r="AA1899" s="1956">
        <f t="shared" si="1232"/>
        <v>0</v>
      </c>
      <c r="AB1899" s="1836" t="s">
        <v>373</v>
      </c>
      <c r="AG1899" s="1836"/>
      <c r="AH1899" s="1836"/>
      <c r="AI1899" s="1837">
        <v>41454.050000000003</v>
      </c>
      <c r="AJ1899" s="1960">
        <f t="shared" si="1233"/>
        <v>-372.89999999999418</v>
      </c>
    </row>
    <row r="1900" spans="1:36" ht="21.95" customHeight="1" x14ac:dyDescent="0.2">
      <c r="B1900" s="2045"/>
      <c r="C1900" s="2046" t="str">
        <f>SNI!D1515</f>
        <v>Bahan</v>
      </c>
      <c r="D1900" s="2047"/>
      <c r="E1900" s="2047"/>
      <c r="F1900" s="2048"/>
      <c r="G1900" s="2049"/>
      <c r="H1900" s="2050"/>
      <c r="I1900" s="2051"/>
      <c r="J1900" s="2051"/>
      <c r="K1900" s="2052"/>
      <c r="L1900" s="2053"/>
      <c r="M1900" s="2054"/>
      <c r="N1900" s="2055"/>
      <c r="O1900" s="2056"/>
      <c r="P1900" s="2057"/>
      <c r="Q1900" s="2058"/>
      <c r="R1900" s="2059"/>
      <c r="S1900" s="2059"/>
      <c r="T1900" s="2057"/>
      <c r="U1900" s="2060"/>
      <c r="Z1900" s="1956"/>
      <c r="AA1900" s="1956"/>
      <c r="AG1900" s="1836"/>
      <c r="AH1900" s="1836"/>
      <c r="AI1900" s="1837"/>
      <c r="AJ1900" s="1960"/>
    </row>
    <row r="1901" spans="1:36" ht="21.95" customHeight="1" x14ac:dyDescent="0.2">
      <c r="B1901" s="2045"/>
      <c r="C1901" s="2046"/>
      <c r="D1901" s="2047" t="str">
        <f>SNI!E1515</f>
        <v>Saklar tunggal</v>
      </c>
      <c r="E1901" s="2047"/>
      <c r="F1901" s="2048"/>
      <c r="G1901" s="2049">
        <f>SNI!H1515</f>
        <v>1</v>
      </c>
      <c r="H1901" s="2050" t="str">
        <f>SNI!G1515</f>
        <v>bh</v>
      </c>
      <c r="I1901" s="2051"/>
      <c r="J1901" s="2051"/>
      <c r="K1901" s="2052">
        <f>SNI!L1515</f>
        <v>0.28499999999999998</v>
      </c>
      <c r="L1901" s="2053"/>
      <c r="M1901" s="2054"/>
      <c r="N1901" s="2055">
        <f>SNI!I1515</f>
        <v>18700</v>
      </c>
      <c r="O1901" s="2056"/>
      <c r="P1901" s="1969">
        <f t="shared" ref="P1901" si="1273">N1901*G1901</f>
        <v>18700</v>
      </c>
      <c r="Q1901" s="1953"/>
      <c r="R1901" s="1954"/>
      <c r="S1901" s="1954">
        <f t="shared" ref="S1901" si="1274">P1901*K1901</f>
        <v>5329.4999999999991</v>
      </c>
      <c r="T1901" s="1969">
        <f t="shared" ref="T1901" si="1275">P1901-S1901</f>
        <v>13370.5</v>
      </c>
      <c r="U1901" s="2060"/>
      <c r="Z1901" s="1956"/>
      <c r="AA1901" s="1956"/>
      <c r="AG1901" s="1836"/>
      <c r="AH1901" s="1836"/>
      <c r="AI1901" s="1837"/>
      <c r="AJ1901" s="1960"/>
    </row>
    <row r="1902" spans="1:36" ht="21.95" customHeight="1" x14ac:dyDescent="0.2">
      <c r="B1902" s="2045"/>
      <c r="C1902" s="2046"/>
      <c r="D1902" s="2047" t="str">
        <f>SNI!E1516</f>
        <v>aksesoris 45%</v>
      </c>
      <c r="E1902" s="2047"/>
      <c r="F1902" s="2048"/>
      <c r="G1902" s="2049">
        <f>SNI!H1516</f>
        <v>1</v>
      </c>
      <c r="H1902" s="2050" t="str">
        <f>SNI!G1516</f>
        <v xml:space="preserve">ls </v>
      </c>
      <c r="I1902" s="2051"/>
      <c r="J1902" s="2051"/>
      <c r="K1902" s="2052">
        <f>SNI!L1516</f>
        <v>0.75</v>
      </c>
      <c r="L1902" s="2053"/>
      <c r="M1902" s="2054"/>
      <c r="N1902" s="2055">
        <f>SNI!I1516</f>
        <v>8415</v>
      </c>
      <c r="O1902" s="2056"/>
      <c r="P1902" s="1969">
        <f t="shared" ref="P1902:P1905" si="1276">N1902*G1902</f>
        <v>8415</v>
      </c>
      <c r="Q1902" s="1953"/>
      <c r="R1902" s="1954"/>
      <c r="S1902" s="1954">
        <f t="shared" ref="S1902:S1905" si="1277">P1902*K1902</f>
        <v>6311.25</v>
      </c>
      <c r="T1902" s="1969">
        <f t="shared" ref="T1902:T1905" si="1278">P1902-S1902</f>
        <v>2103.75</v>
      </c>
      <c r="U1902" s="2060"/>
      <c r="Z1902" s="1956"/>
      <c r="AA1902" s="1956"/>
      <c r="AG1902" s="1836"/>
      <c r="AH1902" s="1836"/>
      <c r="AI1902" s="1837"/>
      <c r="AJ1902" s="1960"/>
    </row>
    <row r="1903" spans="1:36" ht="21.95" customHeight="1" x14ac:dyDescent="0.2">
      <c r="B1903" s="2045"/>
      <c r="C1903" s="2046" t="str">
        <f>SNI!D1518</f>
        <v>Tenaga Kerja</v>
      </c>
      <c r="D1903" s="2047"/>
      <c r="E1903" s="2047"/>
      <c r="F1903" s="2048"/>
      <c r="G1903" s="2049"/>
      <c r="H1903" s="2050"/>
      <c r="I1903" s="2051"/>
      <c r="J1903" s="2051"/>
      <c r="K1903" s="2052"/>
      <c r="L1903" s="2053"/>
      <c r="M1903" s="2054"/>
      <c r="N1903" s="2055"/>
      <c r="O1903" s="2056"/>
      <c r="P1903" s="1969"/>
      <c r="Q1903" s="1953"/>
      <c r="R1903" s="1954"/>
      <c r="S1903" s="1954"/>
      <c r="T1903" s="1969"/>
      <c r="U1903" s="2060"/>
      <c r="Z1903" s="1956"/>
      <c r="AA1903" s="1956"/>
      <c r="AG1903" s="1836"/>
      <c r="AH1903" s="1836"/>
      <c r="AI1903" s="1837"/>
      <c r="AJ1903" s="1960"/>
    </row>
    <row r="1904" spans="1:36" ht="21.95" customHeight="1" x14ac:dyDescent="0.2">
      <c r="B1904" s="2045"/>
      <c r="C1904" s="2046"/>
      <c r="D1904" s="2047" t="str">
        <f>SNI!E1518</f>
        <v>Tukang listrik</v>
      </c>
      <c r="E1904" s="2047"/>
      <c r="F1904" s="2048"/>
      <c r="G1904" s="2049">
        <f>SNI!H1518</f>
        <v>0.1</v>
      </c>
      <c r="H1904" s="2050" t="str">
        <f>SNI!G1518</f>
        <v>OH</v>
      </c>
      <c r="I1904" s="2142" t="s">
        <v>2012</v>
      </c>
      <c r="J1904" s="2051"/>
      <c r="K1904" s="2052">
        <f>SNI!L1518</f>
        <v>1</v>
      </c>
      <c r="L1904" s="2053"/>
      <c r="M1904" s="2054"/>
      <c r="N1904" s="2055">
        <f>SNI!I1518</f>
        <v>90000</v>
      </c>
      <c r="O1904" s="2056"/>
      <c r="P1904" s="1969">
        <f t="shared" si="1276"/>
        <v>9000</v>
      </c>
      <c r="Q1904" s="1953"/>
      <c r="R1904" s="1954"/>
      <c r="S1904" s="1954">
        <f t="shared" si="1277"/>
        <v>9000</v>
      </c>
      <c r="T1904" s="1969">
        <f t="shared" si="1278"/>
        <v>0</v>
      </c>
      <c r="U1904" s="2060"/>
      <c r="Z1904" s="1956"/>
      <c r="AA1904" s="1956"/>
      <c r="AG1904" s="1836"/>
      <c r="AH1904" s="1836"/>
      <c r="AI1904" s="1837"/>
      <c r="AJ1904" s="1960"/>
    </row>
    <row r="1905" spans="1:36" ht="21.95" customHeight="1" x14ac:dyDescent="0.2">
      <c r="B1905" s="2045"/>
      <c r="C1905" s="2046"/>
      <c r="D1905" s="2047" t="str">
        <f>SNI!E1519</f>
        <v>Mandor</v>
      </c>
      <c r="E1905" s="2047"/>
      <c r="F1905" s="2048"/>
      <c r="G1905" s="2049">
        <f>SNI!H1519</f>
        <v>0.01</v>
      </c>
      <c r="H1905" s="2050" t="str">
        <f>SNI!G1519</f>
        <v>OH</v>
      </c>
      <c r="I1905" s="2142" t="s">
        <v>2012</v>
      </c>
      <c r="J1905" s="2051"/>
      <c r="K1905" s="2052">
        <f>SNI!L1519</f>
        <v>1</v>
      </c>
      <c r="L1905" s="2053"/>
      <c r="M1905" s="2054"/>
      <c r="N1905" s="2055">
        <f>SNI!I1519</f>
        <v>90000</v>
      </c>
      <c r="O1905" s="2056"/>
      <c r="P1905" s="1969">
        <f t="shared" si="1276"/>
        <v>900</v>
      </c>
      <c r="Q1905" s="1953"/>
      <c r="R1905" s="1954"/>
      <c r="S1905" s="1954">
        <f t="shared" si="1277"/>
        <v>900</v>
      </c>
      <c r="T1905" s="1969">
        <f t="shared" si="1278"/>
        <v>0</v>
      </c>
      <c r="U1905" s="2060"/>
      <c r="Z1905" s="1956"/>
      <c r="AA1905" s="1956"/>
      <c r="AG1905" s="1836"/>
      <c r="AH1905" s="1836"/>
      <c r="AI1905" s="1837"/>
      <c r="AJ1905" s="1960"/>
    </row>
    <row r="1906" spans="1:36" s="1957" customFormat="1" ht="21.95" customHeight="1" x14ac:dyDescent="0.2">
      <c r="A1906" s="1942"/>
      <c r="B1906" s="1970"/>
      <c r="C1906" s="1971"/>
      <c r="D1906" s="1972"/>
      <c r="E1906" s="1973"/>
      <c r="F1906" s="1974" t="s">
        <v>556</v>
      </c>
      <c r="G1906" s="1975">
        <f>B1899</f>
        <v>10</v>
      </c>
      <c r="H1906" s="1976"/>
      <c r="I1906" s="1977"/>
      <c r="J1906" s="1977"/>
      <c r="K1906" s="1978"/>
      <c r="L1906" s="1979"/>
      <c r="M1906" s="1980"/>
      <c r="N1906" s="1981"/>
      <c r="O1906" s="1982"/>
      <c r="P1906" s="1983">
        <f>SUM(P1900:P1905)</f>
        <v>37015</v>
      </c>
      <c r="Q1906" s="1984"/>
      <c r="R1906" s="1985"/>
      <c r="S1906" s="1983">
        <f t="shared" ref="S1906" si="1279">SUM(S1900:S1905)</f>
        <v>21540.75</v>
      </c>
      <c r="T1906" s="1983">
        <f t="shared" ref="T1906" si="1280">SUM(T1900:T1905)</f>
        <v>15474.25</v>
      </c>
      <c r="U1906" s="1986"/>
      <c r="V1906" s="1848"/>
      <c r="W1906" s="1848"/>
      <c r="X1906" s="1848"/>
      <c r="Y1906" s="1848"/>
      <c r="Z1906" s="1956"/>
      <c r="AA1906" s="1956"/>
      <c r="AF1906" s="1958"/>
      <c r="AG1906" s="1958"/>
      <c r="AH1906" s="1958"/>
      <c r="AI1906" s="1959"/>
      <c r="AJ1906" s="1960"/>
    </row>
    <row r="1907" spans="1:36" ht="21.95" customHeight="1" x14ac:dyDescent="0.2">
      <c r="A1907" s="1833">
        <f>satpek!B96</f>
        <v>77</v>
      </c>
      <c r="B1907" s="1943">
        <f>B1899+1</f>
        <v>11</v>
      </c>
      <c r="C1907" s="1937"/>
      <c r="D1907" s="1944" t="str">
        <f>VLOOKUP($A1907,satpek!$B$20:$N$144,2,0)</f>
        <v>Memasang stop kontak</v>
      </c>
      <c r="E1907" s="1944"/>
      <c r="F1907" s="2004"/>
      <c r="G1907" s="1945">
        <f>'[3]B.VOL RAB'!Q617</f>
        <v>42</v>
      </c>
      <c r="H1907" s="1946" t="str">
        <f>VLOOKUP($A1907,satpek!$B$20:$N$144,7,0)</f>
        <v>bh</v>
      </c>
      <c r="I1907" s="1947"/>
      <c r="J1907" s="1947"/>
      <c r="K1907" s="1948"/>
      <c r="L1907" s="1949"/>
      <c r="M1907" s="1950" t="str">
        <f>VLOOKUP($A1907,satpek!$B$20:$N$144,5,0)</f>
        <v>An. Dihitung</v>
      </c>
      <c r="N1907" s="1951">
        <f>VLOOKUP($A1907,satpek!$B$20:$N$144,6,0)</f>
        <v>37730.699999999997</v>
      </c>
      <c r="O1907" s="1938"/>
      <c r="P1907" s="1952">
        <f t="shared" si="1207"/>
        <v>1584689.4</v>
      </c>
      <c r="Q1907" s="1953">
        <f>VLOOKUP($A1907,satpek!$B$20:$L$138,8,0)</f>
        <v>0.59851752021563343</v>
      </c>
      <c r="R1907" s="1954">
        <f>VLOOKUP($A1907,satpek!$B$20:$L$138,9,0)</f>
        <v>19984.5</v>
      </c>
      <c r="S1907" s="1954">
        <f>VLOOKUP($A1907,satpek!$B$20:$L$138,10,0)</f>
        <v>22582.485000000001</v>
      </c>
      <c r="T1907" s="1952">
        <f t="shared" si="1208"/>
        <v>948464.37</v>
      </c>
      <c r="U1907" s="1955"/>
      <c r="X1907" s="1848">
        <f>P1914</f>
        <v>33390</v>
      </c>
      <c r="Y1907" s="1848">
        <f>S1914</f>
        <v>19984.5</v>
      </c>
      <c r="Z1907" s="1956">
        <v>42</v>
      </c>
      <c r="AA1907" s="1956">
        <f t="shared" si="1232"/>
        <v>0</v>
      </c>
      <c r="AB1907" s="1836" t="s">
        <v>374</v>
      </c>
      <c r="AG1907" s="1836"/>
      <c r="AH1907" s="1836"/>
      <c r="AI1907" s="1837">
        <v>37357.800000000003</v>
      </c>
      <c r="AJ1907" s="1960">
        <f t="shared" si="1233"/>
        <v>-372.89999999999418</v>
      </c>
    </row>
    <row r="1908" spans="1:36" ht="21.95" customHeight="1" x14ac:dyDescent="0.2">
      <c r="B1908" s="2045"/>
      <c r="C1908" s="2046" t="str">
        <f>SNI!D1532</f>
        <v>Bahan</v>
      </c>
      <c r="D1908" s="2047"/>
      <c r="E1908" s="2047"/>
      <c r="F1908" s="2048"/>
      <c r="G1908" s="2049"/>
      <c r="H1908" s="2050"/>
      <c r="I1908" s="2051"/>
      <c r="J1908" s="2051"/>
      <c r="K1908" s="2052"/>
      <c r="L1908" s="2053"/>
      <c r="M1908" s="2054"/>
      <c r="N1908" s="2055"/>
      <c r="O1908" s="2056"/>
      <c r="P1908" s="2057"/>
      <c r="Q1908" s="2058"/>
      <c r="R1908" s="2059"/>
      <c r="S1908" s="2059"/>
      <c r="T1908" s="2057"/>
      <c r="U1908" s="2060"/>
      <c r="Z1908" s="1956"/>
      <c r="AA1908" s="1956"/>
      <c r="AG1908" s="1836"/>
      <c r="AH1908" s="1836"/>
      <c r="AI1908" s="1837"/>
      <c r="AJ1908" s="1960"/>
    </row>
    <row r="1909" spans="1:36" ht="21" customHeight="1" x14ac:dyDescent="0.2">
      <c r="B1909" s="2045"/>
      <c r="C1909" s="2046"/>
      <c r="D1909" s="2047" t="str">
        <f>SNI!E1532</f>
        <v>Stop kontak</v>
      </c>
      <c r="E1909" s="2047"/>
      <c r="F1909" s="2048"/>
      <c r="G1909" s="2049">
        <f>SNI!H1532</f>
        <v>1</v>
      </c>
      <c r="H1909" s="2050" t="str">
        <f>SNI!G1532</f>
        <v>bh</v>
      </c>
      <c r="I1909" s="2051"/>
      <c r="J1909" s="2051"/>
      <c r="K1909" s="2052">
        <f>SNI!L1532</f>
        <v>0.28499999999999998</v>
      </c>
      <c r="L1909" s="2053"/>
      <c r="M1909" s="2054"/>
      <c r="N1909" s="2055">
        <f>SNI!I1532</f>
        <v>16200</v>
      </c>
      <c r="O1909" s="2056"/>
      <c r="P1909" s="1969">
        <f t="shared" ref="P1909" si="1281">N1909*G1909</f>
        <v>16200</v>
      </c>
      <c r="Q1909" s="1953"/>
      <c r="R1909" s="1954"/>
      <c r="S1909" s="1954">
        <f t="shared" ref="S1909" si="1282">P1909*K1909</f>
        <v>4617</v>
      </c>
      <c r="T1909" s="1969">
        <f t="shared" ref="T1909" si="1283">P1909-S1909</f>
        <v>11583</v>
      </c>
      <c r="U1909" s="2060"/>
      <c r="Z1909" s="1956"/>
      <c r="AA1909" s="1956"/>
      <c r="AG1909" s="1836"/>
      <c r="AH1909" s="1836"/>
      <c r="AI1909" s="1837"/>
      <c r="AJ1909" s="1960"/>
    </row>
    <row r="1910" spans="1:36" ht="21" customHeight="1" x14ac:dyDescent="0.2">
      <c r="B1910" s="2045"/>
      <c r="C1910" s="2046"/>
      <c r="D1910" s="2047" t="str">
        <f>SNI!E1533</f>
        <v>aksesoris 45%</v>
      </c>
      <c r="E1910" s="2047"/>
      <c r="F1910" s="2048"/>
      <c r="G1910" s="2049">
        <f>SNI!H1533</f>
        <v>1</v>
      </c>
      <c r="H1910" s="2050" t="str">
        <f>SNI!G1533</f>
        <v xml:space="preserve">ls </v>
      </c>
      <c r="I1910" s="2051"/>
      <c r="J1910" s="2051"/>
      <c r="K1910" s="2052">
        <f>SNI!L1533</f>
        <v>0.75</v>
      </c>
      <c r="L1910" s="2053"/>
      <c r="M1910" s="2054"/>
      <c r="N1910" s="2055">
        <f>SNI!I1533</f>
        <v>7290</v>
      </c>
      <c r="O1910" s="2056"/>
      <c r="P1910" s="1969">
        <f t="shared" ref="P1910:P1913" si="1284">N1910*G1910</f>
        <v>7290</v>
      </c>
      <c r="Q1910" s="1953"/>
      <c r="R1910" s="1954"/>
      <c r="S1910" s="1954">
        <f t="shared" ref="S1910:S1913" si="1285">P1910*K1910</f>
        <v>5467.5</v>
      </c>
      <c r="T1910" s="1969">
        <f t="shared" ref="T1910:T1913" si="1286">P1910-S1910</f>
        <v>1822.5</v>
      </c>
      <c r="U1910" s="2060"/>
      <c r="Z1910" s="1956"/>
      <c r="AA1910" s="1956"/>
      <c r="AG1910" s="1836"/>
      <c r="AH1910" s="1836"/>
      <c r="AI1910" s="1837"/>
      <c r="AJ1910" s="1960"/>
    </row>
    <row r="1911" spans="1:36" ht="21" customHeight="1" x14ac:dyDescent="0.2">
      <c r="B1911" s="2045"/>
      <c r="C1911" s="2046" t="str">
        <f>SNI!D1535</f>
        <v>Tenaga Kerja</v>
      </c>
      <c r="D1911" s="2047"/>
      <c r="E1911" s="2047"/>
      <c r="F1911" s="2048"/>
      <c r="G1911" s="2049"/>
      <c r="H1911" s="2050"/>
      <c r="I1911" s="2051"/>
      <c r="J1911" s="2051"/>
      <c r="K1911" s="2052"/>
      <c r="L1911" s="2053"/>
      <c r="M1911" s="2054"/>
      <c r="N1911" s="2055"/>
      <c r="O1911" s="2056"/>
      <c r="P1911" s="1969"/>
      <c r="Q1911" s="1953"/>
      <c r="R1911" s="1954"/>
      <c r="S1911" s="1954"/>
      <c r="T1911" s="1969"/>
      <c r="U1911" s="2060"/>
      <c r="Z1911" s="1956"/>
      <c r="AA1911" s="1956"/>
      <c r="AG1911" s="1836"/>
      <c r="AH1911" s="1836"/>
      <c r="AI1911" s="1837"/>
      <c r="AJ1911" s="1960"/>
    </row>
    <row r="1912" spans="1:36" ht="21" customHeight="1" x14ac:dyDescent="0.2">
      <c r="B1912" s="2045"/>
      <c r="C1912" s="2046"/>
      <c r="D1912" s="2047" t="str">
        <f>SNI!E1535</f>
        <v>Tukang listrik</v>
      </c>
      <c r="E1912" s="2047"/>
      <c r="F1912" s="2048"/>
      <c r="G1912" s="2049">
        <f>SNI!H1535</f>
        <v>0.1</v>
      </c>
      <c r="H1912" s="2050" t="str">
        <f>SNI!G1535</f>
        <v>OH</v>
      </c>
      <c r="I1912" s="2142" t="s">
        <v>2012</v>
      </c>
      <c r="J1912" s="2051"/>
      <c r="K1912" s="2052">
        <f>SNI!L1535</f>
        <v>1</v>
      </c>
      <c r="L1912" s="2053"/>
      <c r="M1912" s="2054"/>
      <c r="N1912" s="2055">
        <f>SNI!I1535</f>
        <v>90000</v>
      </c>
      <c r="O1912" s="2056"/>
      <c r="P1912" s="1969">
        <f t="shared" si="1284"/>
        <v>9000</v>
      </c>
      <c r="Q1912" s="1953"/>
      <c r="R1912" s="1954"/>
      <c r="S1912" s="1954">
        <f t="shared" si="1285"/>
        <v>9000</v>
      </c>
      <c r="T1912" s="1969">
        <f t="shared" si="1286"/>
        <v>0</v>
      </c>
      <c r="U1912" s="2060"/>
      <c r="Z1912" s="1956"/>
      <c r="AA1912" s="1956"/>
      <c r="AG1912" s="1836"/>
      <c r="AH1912" s="1836"/>
      <c r="AI1912" s="1837"/>
      <c r="AJ1912" s="1960"/>
    </row>
    <row r="1913" spans="1:36" ht="21" customHeight="1" x14ac:dyDescent="0.2">
      <c r="B1913" s="2045"/>
      <c r="C1913" s="2046"/>
      <c r="D1913" s="2047" t="str">
        <f>SNI!E1536</f>
        <v>Mandor</v>
      </c>
      <c r="E1913" s="2047"/>
      <c r="F1913" s="2048"/>
      <c r="G1913" s="2049">
        <f>SNI!H1536</f>
        <v>0.01</v>
      </c>
      <c r="H1913" s="2050" t="str">
        <f>SNI!G1536</f>
        <v>OH</v>
      </c>
      <c r="I1913" s="2142" t="s">
        <v>2012</v>
      </c>
      <c r="J1913" s="2051"/>
      <c r="K1913" s="2052">
        <f>SNI!L1536</f>
        <v>1</v>
      </c>
      <c r="L1913" s="2053"/>
      <c r="M1913" s="2054"/>
      <c r="N1913" s="2055">
        <f>SNI!I1536</f>
        <v>90000</v>
      </c>
      <c r="O1913" s="2056"/>
      <c r="P1913" s="1969">
        <f t="shared" si="1284"/>
        <v>900</v>
      </c>
      <c r="Q1913" s="1953"/>
      <c r="R1913" s="1954"/>
      <c r="S1913" s="1954">
        <f t="shared" si="1285"/>
        <v>900</v>
      </c>
      <c r="T1913" s="1969">
        <f t="shared" si="1286"/>
        <v>0</v>
      </c>
      <c r="U1913" s="2060"/>
      <c r="Z1913" s="1956"/>
      <c r="AA1913" s="1956"/>
      <c r="AG1913" s="1836"/>
      <c r="AH1913" s="1836"/>
      <c r="AI1913" s="1837"/>
      <c r="AJ1913" s="1960"/>
    </row>
    <row r="1914" spans="1:36" s="1957" customFormat="1" ht="21.95" customHeight="1" x14ac:dyDescent="0.2">
      <c r="A1914" s="1942"/>
      <c r="B1914" s="1970"/>
      <c r="C1914" s="1971"/>
      <c r="D1914" s="1972"/>
      <c r="E1914" s="1973"/>
      <c r="F1914" s="1974" t="s">
        <v>556</v>
      </c>
      <c r="G1914" s="1975">
        <f>B1907</f>
        <v>11</v>
      </c>
      <c r="H1914" s="1976"/>
      <c r="I1914" s="1977"/>
      <c r="J1914" s="1977"/>
      <c r="K1914" s="1978"/>
      <c r="L1914" s="1979"/>
      <c r="M1914" s="1980"/>
      <c r="N1914" s="1981"/>
      <c r="O1914" s="1982"/>
      <c r="P1914" s="1983">
        <f>SUM(P1908:P1913)</f>
        <v>33390</v>
      </c>
      <c r="Q1914" s="1984"/>
      <c r="R1914" s="1985"/>
      <c r="S1914" s="1983">
        <f t="shared" ref="S1914" si="1287">SUM(S1908:S1913)</f>
        <v>19984.5</v>
      </c>
      <c r="T1914" s="1983">
        <f t="shared" ref="T1914" si="1288">SUM(T1908:T1913)</f>
        <v>13405.5</v>
      </c>
      <c r="U1914" s="1986"/>
      <c r="V1914" s="1848"/>
      <c r="W1914" s="1848"/>
      <c r="X1914" s="1848"/>
      <c r="Y1914" s="1848"/>
      <c r="Z1914" s="1956"/>
      <c r="AA1914" s="1956"/>
      <c r="AF1914" s="1958"/>
      <c r="AG1914" s="1958"/>
      <c r="AH1914" s="1958"/>
      <c r="AI1914" s="1959"/>
      <c r="AJ1914" s="1960"/>
    </row>
    <row r="1915" spans="1:36" ht="21.95" customHeight="1" x14ac:dyDescent="0.2">
      <c r="A1915" s="1833">
        <f>satpek!B97</f>
        <v>78</v>
      </c>
      <c r="B1915" s="1943">
        <f>B1907+1</f>
        <v>12</v>
      </c>
      <c r="C1915" s="1937"/>
      <c r="D1915" s="1944" t="str">
        <f>VLOOKUP($A1915,satpek!$B$20:$N$144,2,0)</f>
        <v xml:space="preserve">Memasang stop kontak AC </v>
      </c>
      <c r="E1915" s="1944"/>
      <c r="F1915" s="2004"/>
      <c r="G1915" s="1945">
        <f>'[3]B.VOL RAB'!Q618</f>
        <v>13</v>
      </c>
      <c r="H1915" s="1946" t="str">
        <f>VLOOKUP($A1915,satpek!$B$20:$N$144,7,0)</f>
        <v>bh</v>
      </c>
      <c r="I1915" s="1947"/>
      <c r="J1915" s="1947"/>
      <c r="K1915" s="1948"/>
      <c r="L1915" s="1949"/>
      <c r="M1915" s="1950" t="str">
        <f>VLOOKUP($A1915,satpek!$B$20:$N$144,5,0)</f>
        <v>An. Dihitung</v>
      </c>
      <c r="N1915" s="1951">
        <f>VLOOKUP($A1915,satpek!$B$20:$N$144,6,0)</f>
        <v>115836.3</v>
      </c>
      <c r="O1915" s="1938"/>
      <c r="P1915" s="1952">
        <f t="shared" si="1207"/>
        <v>1505871.9</v>
      </c>
      <c r="Q1915" s="1953">
        <f>VLOOKUP($A1915,satpek!$B$20:$L$138,8,0)</f>
        <v>0.46296458882060287</v>
      </c>
      <c r="R1915" s="1954">
        <f>VLOOKUP($A1915,satpek!$B$20:$L$138,9,0)</f>
        <v>47458.5</v>
      </c>
      <c r="S1915" s="1954">
        <f>VLOOKUP($A1915,satpek!$B$20:$L$138,10,0)</f>
        <v>53628.105000000003</v>
      </c>
      <c r="T1915" s="1952">
        <f t="shared" si="1208"/>
        <v>697165.36499999999</v>
      </c>
      <c r="U1915" s="1955"/>
      <c r="X1915" s="1848">
        <f>P1922</f>
        <v>102510</v>
      </c>
      <c r="Y1915" s="1848">
        <f>S1922</f>
        <v>47458.5</v>
      </c>
      <c r="Z1915" s="1956">
        <v>13</v>
      </c>
      <c r="AA1915" s="1956">
        <f t="shared" si="1232"/>
        <v>0</v>
      </c>
      <c r="AB1915" s="1836" t="s">
        <v>1877</v>
      </c>
      <c r="AG1915" s="1836"/>
      <c r="AH1915" s="1836"/>
      <c r="AI1915" s="1837">
        <v>115463.4</v>
      </c>
      <c r="AJ1915" s="1960">
        <f t="shared" si="1233"/>
        <v>-372.90000000000873</v>
      </c>
    </row>
    <row r="1916" spans="1:36" ht="21.95" customHeight="1" x14ac:dyDescent="0.2">
      <c r="B1916" s="2045"/>
      <c r="C1916" s="2046" t="str">
        <f>SNI!D1549</f>
        <v>Bahan</v>
      </c>
      <c r="D1916" s="2047"/>
      <c r="E1916" s="2047"/>
      <c r="F1916" s="2048"/>
      <c r="G1916" s="2049"/>
      <c r="H1916" s="2050"/>
      <c r="I1916" s="2051"/>
      <c r="J1916" s="2051"/>
      <c r="K1916" s="2052"/>
      <c r="L1916" s="2053"/>
      <c r="M1916" s="2054"/>
      <c r="N1916" s="2055"/>
      <c r="O1916" s="2056"/>
      <c r="P1916" s="2057"/>
      <c r="Q1916" s="2058"/>
      <c r="R1916" s="2059"/>
      <c r="S1916" s="2059"/>
      <c r="T1916" s="2057"/>
      <c r="U1916" s="2060"/>
      <c r="Z1916" s="1956"/>
      <c r="AA1916" s="1956"/>
      <c r="AG1916" s="1836"/>
      <c r="AH1916" s="1836"/>
      <c r="AI1916" s="1837"/>
      <c r="AJ1916" s="1960"/>
    </row>
    <row r="1917" spans="1:36" ht="21.95" customHeight="1" x14ac:dyDescent="0.2">
      <c r="B1917" s="2045"/>
      <c r="C1917" s="2046"/>
      <c r="D1917" s="2047" t="str">
        <f>SNI!E1549</f>
        <v>Stop kontak AC</v>
      </c>
      <c r="E1917" s="2047"/>
      <c r="F1917" s="2048"/>
      <c r="G1917" s="2049">
        <f>SNI!H1549</f>
        <v>1</v>
      </c>
      <c r="H1917" s="2050" t="str">
        <f>SNI!G1549</f>
        <v>bh</v>
      </c>
      <c r="I1917" s="2051"/>
      <c r="J1917" s="2051"/>
      <c r="K1917" s="2052">
        <f>SNI!L1549</f>
        <v>0.28499999999999998</v>
      </c>
      <c r="L1917" s="2053"/>
      <c r="M1917" s="2054"/>
      <c r="N1917" s="2055">
        <f>SNI!I1549</f>
        <v>68600</v>
      </c>
      <c r="O1917" s="2056"/>
      <c r="P1917" s="1969">
        <f t="shared" ref="P1917" si="1289">N1917*G1917</f>
        <v>68600</v>
      </c>
      <c r="Q1917" s="1953"/>
      <c r="R1917" s="1954"/>
      <c r="S1917" s="1954">
        <f t="shared" ref="S1917" si="1290">P1917*K1917</f>
        <v>19551</v>
      </c>
      <c r="T1917" s="1969">
        <f t="shared" ref="T1917" si="1291">P1917-S1917</f>
        <v>49049</v>
      </c>
      <c r="U1917" s="2060"/>
      <c r="Z1917" s="1956"/>
      <c r="AA1917" s="1956"/>
      <c r="AG1917" s="1836"/>
      <c r="AH1917" s="1836"/>
      <c r="AI1917" s="1837"/>
      <c r="AJ1917" s="1960"/>
    </row>
    <row r="1918" spans="1:36" ht="21.95" customHeight="1" x14ac:dyDescent="0.2">
      <c r="B1918" s="2045"/>
      <c r="C1918" s="2046"/>
      <c r="D1918" s="2047" t="str">
        <f>SNI!E1550</f>
        <v>aksesoris 35%</v>
      </c>
      <c r="E1918" s="2047"/>
      <c r="F1918" s="2048"/>
      <c r="G1918" s="2049">
        <f>SNI!H1550</f>
        <v>1</v>
      </c>
      <c r="H1918" s="2050" t="str">
        <f>SNI!G1550</f>
        <v xml:space="preserve">ls </v>
      </c>
      <c r="I1918" s="2051"/>
      <c r="J1918" s="2051"/>
      <c r="K1918" s="2052">
        <f>SNI!L1550</f>
        <v>0.75</v>
      </c>
      <c r="L1918" s="2053"/>
      <c r="M1918" s="2054"/>
      <c r="N1918" s="2055">
        <f>SNI!I1550</f>
        <v>24010</v>
      </c>
      <c r="O1918" s="2056"/>
      <c r="P1918" s="1969">
        <f t="shared" ref="P1918:P1921" si="1292">N1918*G1918</f>
        <v>24010</v>
      </c>
      <c r="Q1918" s="1953"/>
      <c r="R1918" s="1954"/>
      <c r="S1918" s="1954">
        <f t="shared" ref="S1918:S1921" si="1293">P1918*K1918</f>
        <v>18007.5</v>
      </c>
      <c r="T1918" s="1969">
        <f t="shared" ref="T1918:T1921" si="1294">P1918-S1918</f>
        <v>6002.5</v>
      </c>
      <c r="U1918" s="2060"/>
      <c r="Z1918" s="1956"/>
      <c r="AA1918" s="1956"/>
      <c r="AG1918" s="1836"/>
      <c r="AH1918" s="1836"/>
      <c r="AI1918" s="1837"/>
      <c r="AJ1918" s="1960"/>
    </row>
    <row r="1919" spans="1:36" ht="21.95" customHeight="1" x14ac:dyDescent="0.2">
      <c r="B1919" s="2045"/>
      <c r="C1919" s="2046" t="str">
        <f>SNI!D1552</f>
        <v>Tenaga Kerja</v>
      </c>
      <c r="D1919" s="2047"/>
      <c r="E1919" s="2047"/>
      <c r="F1919" s="2048"/>
      <c r="G1919" s="2049"/>
      <c r="H1919" s="2050"/>
      <c r="I1919" s="2051"/>
      <c r="J1919" s="2051"/>
      <c r="K1919" s="2052"/>
      <c r="L1919" s="2053"/>
      <c r="M1919" s="2054"/>
      <c r="N1919" s="2055"/>
      <c r="O1919" s="2056"/>
      <c r="P1919" s="1969"/>
      <c r="Q1919" s="1953"/>
      <c r="R1919" s="1954"/>
      <c r="S1919" s="1954"/>
      <c r="T1919" s="1969"/>
      <c r="U1919" s="2060"/>
      <c r="Z1919" s="1956"/>
      <c r="AA1919" s="1956"/>
      <c r="AG1919" s="1836"/>
      <c r="AH1919" s="1836"/>
      <c r="AI1919" s="1837"/>
      <c r="AJ1919" s="1960"/>
    </row>
    <row r="1920" spans="1:36" ht="21.95" customHeight="1" x14ac:dyDescent="0.2">
      <c r="B1920" s="2045"/>
      <c r="C1920" s="2046"/>
      <c r="D1920" s="2047" t="str">
        <f>SNI!E1552</f>
        <v>Tukang listrik</v>
      </c>
      <c r="E1920" s="2047"/>
      <c r="F1920" s="2048"/>
      <c r="G1920" s="2049">
        <f>SNI!H1552</f>
        <v>0.1</v>
      </c>
      <c r="H1920" s="2050" t="str">
        <f>SNI!G1552</f>
        <v>OH</v>
      </c>
      <c r="I1920" s="2142" t="s">
        <v>2012</v>
      </c>
      <c r="J1920" s="2051"/>
      <c r="K1920" s="2052">
        <f>SNI!L1552</f>
        <v>1</v>
      </c>
      <c r="L1920" s="2053"/>
      <c r="M1920" s="2054"/>
      <c r="N1920" s="2055">
        <f>SNI!I1552</f>
        <v>90000</v>
      </c>
      <c r="O1920" s="2056"/>
      <c r="P1920" s="1969">
        <f t="shared" si="1292"/>
        <v>9000</v>
      </c>
      <c r="Q1920" s="1953"/>
      <c r="R1920" s="1954"/>
      <c r="S1920" s="1954">
        <f t="shared" si="1293"/>
        <v>9000</v>
      </c>
      <c r="T1920" s="1969">
        <f t="shared" si="1294"/>
        <v>0</v>
      </c>
      <c r="U1920" s="2060"/>
      <c r="Z1920" s="1956"/>
      <c r="AA1920" s="1956"/>
      <c r="AG1920" s="1836"/>
      <c r="AH1920" s="1836"/>
      <c r="AI1920" s="1837"/>
      <c r="AJ1920" s="1960"/>
    </row>
    <row r="1921" spans="1:36" ht="21.95" customHeight="1" x14ac:dyDescent="0.2">
      <c r="B1921" s="2045"/>
      <c r="C1921" s="2046"/>
      <c r="D1921" s="2047" t="str">
        <f>SNI!E1553</f>
        <v>Mandor</v>
      </c>
      <c r="E1921" s="2047"/>
      <c r="F1921" s="2048"/>
      <c r="G1921" s="2049">
        <f>SNI!H1553</f>
        <v>0.01</v>
      </c>
      <c r="H1921" s="2050" t="str">
        <f>SNI!G1553</f>
        <v>OH</v>
      </c>
      <c r="I1921" s="2142" t="s">
        <v>2012</v>
      </c>
      <c r="J1921" s="2051"/>
      <c r="K1921" s="2052">
        <f>SNI!L1553</f>
        <v>1</v>
      </c>
      <c r="L1921" s="2053"/>
      <c r="M1921" s="2054"/>
      <c r="N1921" s="2055">
        <f>SNI!I1553</f>
        <v>90000</v>
      </c>
      <c r="O1921" s="2056"/>
      <c r="P1921" s="1969">
        <f t="shared" si="1292"/>
        <v>900</v>
      </c>
      <c r="Q1921" s="1953"/>
      <c r="R1921" s="1954"/>
      <c r="S1921" s="1954">
        <f t="shared" si="1293"/>
        <v>900</v>
      </c>
      <c r="T1921" s="1969">
        <f t="shared" si="1294"/>
        <v>0</v>
      </c>
      <c r="U1921" s="2060"/>
      <c r="Z1921" s="1956"/>
      <c r="AA1921" s="1956"/>
      <c r="AG1921" s="1836"/>
      <c r="AH1921" s="1836"/>
      <c r="AI1921" s="1837"/>
      <c r="AJ1921" s="1960"/>
    </row>
    <row r="1922" spans="1:36" s="1957" customFormat="1" ht="21.95" customHeight="1" x14ac:dyDescent="0.2">
      <c r="A1922" s="1942"/>
      <c r="B1922" s="1970"/>
      <c r="C1922" s="1971"/>
      <c r="D1922" s="1972"/>
      <c r="E1922" s="1973"/>
      <c r="F1922" s="1974" t="s">
        <v>556</v>
      </c>
      <c r="G1922" s="1975">
        <f>B1915</f>
        <v>12</v>
      </c>
      <c r="H1922" s="1976"/>
      <c r="I1922" s="1977"/>
      <c r="J1922" s="1977"/>
      <c r="K1922" s="1978"/>
      <c r="L1922" s="1979"/>
      <c r="M1922" s="1980"/>
      <c r="N1922" s="1981"/>
      <c r="O1922" s="1982"/>
      <c r="P1922" s="1983">
        <f>SUM(P1916:P1921)</f>
        <v>102510</v>
      </c>
      <c r="Q1922" s="1984"/>
      <c r="R1922" s="1985"/>
      <c r="S1922" s="1983">
        <f t="shared" ref="S1922" si="1295">SUM(S1916:S1921)</f>
        <v>47458.5</v>
      </c>
      <c r="T1922" s="1983">
        <f t="shared" ref="T1922" si="1296">SUM(T1916:T1921)</f>
        <v>55051.5</v>
      </c>
      <c r="U1922" s="1986"/>
      <c r="V1922" s="1848"/>
      <c r="W1922" s="1848"/>
      <c r="X1922" s="1848"/>
      <c r="Y1922" s="1848"/>
      <c r="Z1922" s="1956"/>
      <c r="AA1922" s="1956"/>
      <c r="AF1922" s="1958"/>
      <c r="AG1922" s="1958"/>
      <c r="AH1922" s="1958"/>
      <c r="AI1922" s="1959"/>
      <c r="AJ1922" s="1960"/>
    </row>
    <row r="1923" spans="1:36" ht="21.95" customHeight="1" x14ac:dyDescent="0.2">
      <c r="A1923" s="1833">
        <f>satpek!$B$98</f>
        <v>79</v>
      </c>
      <c r="B1923" s="1943">
        <f>B1915+1</f>
        <v>13</v>
      </c>
      <c r="C1923" s="1937"/>
      <c r="D1923" s="1944" t="str">
        <f>VLOOKUP($A1923,satpek!$B$20:$N$144,2,0)</f>
        <v>Memasang stop kontak outlet Telephone</v>
      </c>
      <c r="E1923" s="1944"/>
      <c r="F1923" s="2004"/>
      <c r="G1923" s="1945">
        <f>'[3]B.VOL RAB'!Q619</f>
        <v>6</v>
      </c>
      <c r="H1923" s="1946" t="str">
        <f>VLOOKUP($A1923,satpek!$B$20:$N$144,7,0)</f>
        <v>bh</v>
      </c>
      <c r="I1923" s="1947"/>
      <c r="J1923" s="1947"/>
      <c r="K1923" s="1948"/>
      <c r="L1923" s="1949"/>
      <c r="M1923" s="1950" t="str">
        <f>VLOOKUP($A1923,satpek!$B$20:$N$144,5,0)</f>
        <v>An. Dihitung</v>
      </c>
      <c r="N1923" s="1951">
        <f>VLOOKUP($A1923,satpek!$B$20:$N$144,6,0)</f>
        <v>82122.75</v>
      </c>
      <c r="O1923" s="1938"/>
      <c r="P1923" s="1952">
        <f t="shared" si="1207"/>
        <v>492736.5</v>
      </c>
      <c r="Q1923" s="1953">
        <f>VLOOKUP($A1923,satpek!$B$20:$L$138,8,0)</f>
        <v>0.48653250773993806</v>
      </c>
      <c r="R1923" s="1954">
        <f>VLOOKUP($A1923,satpek!$B$20:$L$138,9,0)</f>
        <v>35358.75</v>
      </c>
      <c r="S1923" s="1954">
        <f>VLOOKUP($A1923,satpek!$B$20:$L$138,10,0)</f>
        <v>39955.387499999997</v>
      </c>
      <c r="T1923" s="1952">
        <f t="shared" si="1208"/>
        <v>239732.32499999998</v>
      </c>
      <c r="U1923" s="1955"/>
      <c r="X1923" s="1848">
        <f>P1930</f>
        <v>72675</v>
      </c>
      <c r="Y1923" s="1848">
        <f>S1930</f>
        <v>35358.75</v>
      </c>
      <c r="Z1923" s="1956">
        <v>6</v>
      </c>
      <c r="AA1923" s="1956">
        <f t="shared" si="1232"/>
        <v>0</v>
      </c>
      <c r="AB1923" s="1836" t="s">
        <v>1878</v>
      </c>
      <c r="AG1923" s="1836"/>
      <c r="AH1923" s="1836"/>
      <c r="AI1923" s="1837">
        <v>81749.850000000006</v>
      </c>
      <c r="AJ1923" s="1960">
        <f t="shared" si="1233"/>
        <v>-372.89999999999418</v>
      </c>
    </row>
    <row r="1924" spans="1:36" ht="21.95" customHeight="1" x14ac:dyDescent="0.2">
      <c r="B1924" s="2045"/>
      <c r="C1924" s="2046" t="str">
        <f>SNI!D1566</f>
        <v>Bahan</v>
      </c>
      <c r="D1924" s="2047"/>
      <c r="E1924" s="2047"/>
      <c r="F1924" s="2048"/>
      <c r="G1924" s="2049"/>
      <c r="H1924" s="2050"/>
      <c r="I1924" s="2051"/>
      <c r="J1924" s="2051"/>
      <c r="K1924" s="2052"/>
      <c r="L1924" s="2053"/>
      <c r="M1924" s="2054"/>
      <c r="N1924" s="2055"/>
      <c r="O1924" s="2056"/>
      <c r="P1924" s="2057"/>
      <c r="Q1924" s="2058"/>
      <c r="R1924" s="2059"/>
      <c r="S1924" s="2059"/>
      <c r="T1924" s="2057"/>
      <c r="U1924" s="2060"/>
      <c r="Z1924" s="1956"/>
      <c r="AA1924" s="1956"/>
      <c r="AG1924" s="1836"/>
      <c r="AH1924" s="1836"/>
      <c r="AI1924" s="1837"/>
      <c r="AJ1924" s="1960"/>
    </row>
    <row r="1925" spans="1:36" ht="21.95" customHeight="1" x14ac:dyDescent="0.2">
      <c r="B1925" s="2045"/>
      <c r="C1925" s="2046"/>
      <c r="D1925" s="2047" t="str">
        <f>SNI!E1566</f>
        <v>Stop kontak Telephone</v>
      </c>
      <c r="E1925" s="2047"/>
      <c r="F1925" s="2048"/>
      <c r="G1925" s="2049">
        <f>SNI!H1566</f>
        <v>1</v>
      </c>
      <c r="H1925" s="2050" t="str">
        <f>SNI!G1566</f>
        <v>bh</v>
      </c>
      <c r="I1925" s="2051"/>
      <c r="J1925" s="2051"/>
      <c r="K1925" s="2052">
        <f>SNI!L1566</f>
        <v>0.28499999999999998</v>
      </c>
      <c r="L1925" s="2053"/>
      <c r="M1925" s="2054"/>
      <c r="N1925" s="2055">
        <f>SNI!I1566</f>
        <v>46500</v>
      </c>
      <c r="O1925" s="2056"/>
      <c r="P1925" s="1969">
        <f t="shared" ref="P1925" si="1297">N1925*G1925</f>
        <v>46500</v>
      </c>
      <c r="Q1925" s="1953"/>
      <c r="R1925" s="1954"/>
      <c r="S1925" s="1954">
        <f t="shared" ref="S1925" si="1298">P1925*K1925</f>
        <v>13252.499999999998</v>
      </c>
      <c r="T1925" s="1969">
        <f t="shared" ref="T1925" si="1299">P1925-S1925</f>
        <v>33247.5</v>
      </c>
      <c r="U1925" s="2060"/>
      <c r="Z1925" s="1956"/>
      <c r="AA1925" s="1956"/>
      <c r="AG1925" s="1836"/>
      <c r="AH1925" s="1836"/>
      <c r="AI1925" s="1837"/>
      <c r="AJ1925" s="1960"/>
    </row>
    <row r="1926" spans="1:36" ht="21.95" customHeight="1" x14ac:dyDescent="0.2">
      <c r="B1926" s="2045"/>
      <c r="C1926" s="2046"/>
      <c r="D1926" s="2047" t="str">
        <f>SNI!E1567</f>
        <v>aksesoris 35%</v>
      </c>
      <c r="E1926" s="2047"/>
      <c r="F1926" s="2048"/>
      <c r="G1926" s="2049">
        <f>SNI!H1567</f>
        <v>1</v>
      </c>
      <c r="H1926" s="2050" t="str">
        <f>SNI!G1567</f>
        <v xml:space="preserve">ls </v>
      </c>
      <c r="I1926" s="2051"/>
      <c r="J1926" s="2051"/>
      <c r="K1926" s="2052">
        <f>SNI!L1567</f>
        <v>0.75</v>
      </c>
      <c r="L1926" s="2053"/>
      <c r="M1926" s="2054"/>
      <c r="N1926" s="2055">
        <f>SNI!I1567</f>
        <v>16274.999999999998</v>
      </c>
      <c r="O1926" s="2056"/>
      <c r="P1926" s="1969">
        <f t="shared" ref="P1926:P1929" si="1300">N1926*G1926</f>
        <v>16274.999999999998</v>
      </c>
      <c r="Q1926" s="1953"/>
      <c r="R1926" s="1954"/>
      <c r="S1926" s="1954">
        <f t="shared" ref="S1926:S1929" si="1301">P1926*K1926</f>
        <v>12206.249999999998</v>
      </c>
      <c r="T1926" s="1969">
        <f t="shared" ref="T1926:T1929" si="1302">P1926-S1926</f>
        <v>4068.75</v>
      </c>
      <c r="U1926" s="2060"/>
      <c r="Z1926" s="1956"/>
      <c r="AA1926" s="1956"/>
      <c r="AG1926" s="1836"/>
      <c r="AH1926" s="1836"/>
      <c r="AI1926" s="1837"/>
      <c r="AJ1926" s="1960"/>
    </row>
    <row r="1927" spans="1:36" ht="21.95" customHeight="1" x14ac:dyDescent="0.2">
      <c r="B1927" s="2045"/>
      <c r="C1927" s="2046" t="str">
        <f>SNI!D1569</f>
        <v>Tenaga Kerja</v>
      </c>
      <c r="D1927" s="2047"/>
      <c r="E1927" s="2047"/>
      <c r="F1927" s="2048"/>
      <c r="G1927" s="2049"/>
      <c r="H1927" s="2050"/>
      <c r="I1927" s="2051"/>
      <c r="J1927" s="2051"/>
      <c r="K1927" s="2052"/>
      <c r="L1927" s="2053"/>
      <c r="M1927" s="2054"/>
      <c r="N1927" s="2055"/>
      <c r="O1927" s="2056"/>
      <c r="P1927" s="1969"/>
      <c r="Q1927" s="1953"/>
      <c r="R1927" s="1954"/>
      <c r="S1927" s="1954"/>
      <c r="T1927" s="1969"/>
      <c r="U1927" s="2060"/>
      <c r="Z1927" s="1956"/>
      <c r="AA1927" s="1956"/>
      <c r="AG1927" s="1836"/>
      <c r="AH1927" s="1836"/>
      <c r="AI1927" s="1837"/>
      <c r="AJ1927" s="1960"/>
    </row>
    <row r="1928" spans="1:36" ht="21.95" customHeight="1" x14ac:dyDescent="0.2">
      <c r="B1928" s="2045"/>
      <c r="C1928" s="2046"/>
      <c r="D1928" s="2047" t="str">
        <f>SNI!E1569</f>
        <v>Tukang listrik</v>
      </c>
      <c r="E1928" s="2047"/>
      <c r="F1928" s="2048"/>
      <c r="G1928" s="2049">
        <f>SNI!H1569</f>
        <v>0.1</v>
      </c>
      <c r="H1928" s="2050" t="str">
        <f>SNI!G1569</f>
        <v>OH</v>
      </c>
      <c r="I1928" s="2051" t="str">
        <f>SNI!M1569</f>
        <v>WNI</v>
      </c>
      <c r="J1928" s="2051"/>
      <c r="K1928" s="2052">
        <f>SNI!L1569</f>
        <v>1</v>
      </c>
      <c r="L1928" s="2053"/>
      <c r="M1928" s="2054"/>
      <c r="N1928" s="2055">
        <f>SNI!I1569</f>
        <v>90000</v>
      </c>
      <c r="O1928" s="2056"/>
      <c r="P1928" s="1969">
        <f t="shared" si="1300"/>
        <v>9000</v>
      </c>
      <c r="Q1928" s="1953"/>
      <c r="R1928" s="1954"/>
      <c r="S1928" s="1954">
        <f t="shared" si="1301"/>
        <v>9000</v>
      </c>
      <c r="T1928" s="1969">
        <f t="shared" si="1302"/>
        <v>0</v>
      </c>
      <c r="U1928" s="2060"/>
      <c r="Z1928" s="1956"/>
      <c r="AA1928" s="1956"/>
      <c r="AG1928" s="1836"/>
      <c r="AH1928" s="1836"/>
      <c r="AI1928" s="1837"/>
      <c r="AJ1928" s="1960"/>
    </row>
    <row r="1929" spans="1:36" ht="21.95" customHeight="1" x14ac:dyDescent="0.2">
      <c r="B1929" s="2045"/>
      <c r="C1929" s="2046"/>
      <c r="D1929" s="2047" t="str">
        <f>SNI!E1570</f>
        <v>Mandor</v>
      </c>
      <c r="E1929" s="2047"/>
      <c r="F1929" s="2048"/>
      <c r="G1929" s="2049">
        <f>SNI!H1570</f>
        <v>0.01</v>
      </c>
      <c r="H1929" s="2050" t="str">
        <f>SNI!G1570</f>
        <v>OH</v>
      </c>
      <c r="I1929" s="2051" t="str">
        <f>SNI!M1570</f>
        <v>WNI</v>
      </c>
      <c r="J1929" s="2051"/>
      <c r="K1929" s="2052">
        <f>SNI!L1570</f>
        <v>1</v>
      </c>
      <c r="L1929" s="2053"/>
      <c r="M1929" s="2054"/>
      <c r="N1929" s="2055">
        <f>SNI!I1570</f>
        <v>90000</v>
      </c>
      <c r="O1929" s="2056"/>
      <c r="P1929" s="1969">
        <f t="shared" si="1300"/>
        <v>900</v>
      </c>
      <c r="Q1929" s="1953"/>
      <c r="R1929" s="1954"/>
      <c r="S1929" s="1954">
        <f t="shared" si="1301"/>
        <v>900</v>
      </c>
      <c r="T1929" s="1969">
        <f t="shared" si="1302"/>
        <v>0</v>
      </c>
      <c r="U1929" s="2060"/>
      <c r="Z1929" s="1956"/>
      <c r="AA1929" s="1956"/>
      <c r="AG1929" s="1836"/>
      <c r="AH1929" s="1836"/>
      <c r="AI1929" s="1837"/>
      <c r="AJ1929" s="1960"/>
    </row>
    <row r="1930" spans="1:36" s="1957" customFormat="1" ht="21.95" customHeight="1" x14ac:dyDescent="0.2">
      <c r="A1930" s="1942"/>
      <c r="B1930" s="1970"/>
      <c r="C1930" s="1971"/>
      <c r="D1930" s="1972"/>
      <c r="E1930" s="1973"/>
      <c r="F1930" s="1974" t="s">
        <v>556</v>
      </c>
      <c r="G1930" s="1975">
        <f>B1923</f>
        <v>13</v>
      </c>
      <c r="H1930" s="1976"/>
      <c r="I1930" s="1977"/>
      <c r="J1930" s="1977"/>
      <c r="K1930" s="1978"/>
      <c r="L1930" s="1979"/>
      <c r="M1930" s="1980"/>
      <c r="N1930" s="1981"/>
      <c r="O1930" s="1982"/>
      <c r="P1930" s="1983">
        <f>SUM(P1924:P1929)</f>
        <v>72675</v>
      </c>
      <c r="Q1930" s="1984"/>
      <c r="R1930" s="1985"/>
      <c r="S1930" s="1983">
        <f t="shared" ref="S1930" si="1303">SUM(S1924:S1929)</f>
        <v>35358.75</v>
      </c>
      <c r="T1930" s="1983">
        <f t="shared" ref="T1930" si="1304">SUM(T1924:T1929)</f>
        <v>37316.25</v>
      </c>
      <c r="U1930" s="1986"/>
      <c r="V1930" s="1848"/>
      <c r="W1930" s="1848"/>
      <c r="X1930" s="1848"/>
      <c r="Y1930" s="1848"/>
      <c r="Z1930" s="1956"/>
      <c r="AA1930" s="1956"/>
      <c r="AF1930" s="1958"/>
      <c r="AG1930" s="1958"/>
      <c r="AH1930" s="1958"/>
      <c r="AI1930" s="1959"/>
      <c r="AJ1930" s="1960"/>
    </row>
    <row r="1931" spans="1:36" ht="21.95" customHeight="1" x14ac:dyDescent="0.2">
      <c r="A1931" s="1833">
        <f>satpek!$B$99</f>
        <v>80</v>
      </c>
      <c r="B1931" s="1943">
        <f>B1923+1</f>
        <v>14</v>
      </c>
      <c r="C1931" s="1937"/>
      <c r="D1931" s="1944" t="s">
        <v>1879</v>
      </c>
      <c r="E1931" s="1944"/>
      <c r="F1931" s="2004"/>
      <c r="G1931" s="1945">
        <f>'[3]B.VOL RAB'!Q620</f>
        <v>12</v>
      </c>
      <c r="H1931" s="1946" t="str">
        <f>VLOOKUP($A1931,satpek!$B$20:$N$144,7,0)</f>
        <v>bh</v>
      </c>
      <c r="I1931" s="1947"/>
      <c r="J1931" s="1947"/>
      <c r="K1931" s="1948"/>
      <c r="L1931" s="1949"/>
      <c r="M1931" s="1950" t="str">
        <f>VLOOKUP($A1931,satpek!$B$20:$N$144,5,0)</f>
        <v>An. Dihitung</v>
      </c>
      <c r="N1931" s="1951">
        <f>VLOOKUP($A1931,satpek!$B$20:$N$144,6,0)</f>
        <v>136278</v>
      </c>
      <c r="O1931" s="1938"/>
      <c r="P1931" s="1952">
        <f t="shared" si="1207"/>
        <v>1635336</v>
      </c>
      <c r="Q1931" s="1953">
        <f>VLOOKUP($A1931,satpek!$B$20:$L$138,8,0)</f>
        <v>0.45435323383084575</v>
      </c>
      <c r="R1931" s="1954">
        <f>VLOOKUP($A1931,satpek!$B$20:$L$138,9,0)</f>
        <v>54795</v>
      </c>
      <c r="S1931" s="1954">
        <f>VLOOKUP($A1931,satpek!$B$20:$L$138,10,0)</f>
        <v>61918.35</v>
      </c>
      <c r="T1931" s="1952">
        <f t="shared" si="1208"/>
        <v>743020.2</v>
      </c>
      <c r="U1931" s="1955"/>
      <c r="X1931" s="1848">
        <f>P1938</f>
        <v>120600</v>
      </c>
      <c r="Y1931" s="1848">
        <f>S1938</f>
        <v>54794.999999999993</v>
      </c>
      <c r="Z1931" s="1956">
        <v>12</v>
      </c>
      <c r="AA1931" s="1956">
        <f t="shared" si="1232"/>
        <v>0</v>
      </c>
      <c r="AB1931" s="1836" t="s">
        <v>1879</v>
      </c>
      <c r="AG1931" s="1836"/>
      <c r="AH1931" s="1836"/>
      <c r="AI1931" s="1837">
        <v>135905.1</v>
      </c>
      <c r="AJ1931" s="1960">
        <f t="shared" si="1233"/>
        <v>-372.89999999999418</v>
      </c>
    </row>
    <row r="1932" spans="1:36" ht="21.95" customHeight="1" x14ac:dyDescent="0.2">
      <c r="B1932" s="2045"/>
      <c r="C1932" s="2046" t="str">
        <f>SNI!D1586</f>
        <v>Bahan</v>
      </c>
      <c r="D1932" s="2047"/>
      <c r="E1932" s="2047"/>
      <c r="F1932" s="2048"/>
      <c r="G1932" s="2049"/>
      <c r="H1932" s="2050"/>
      <c r="I1932" s="2051"/>
      <c r="J1932" s="2051"/>
      <c r="K1932" s="2052"/>
      <c r="L1932" s="2053"/>
      <c r="M1932" s="2054"/>
      <c r="N1932" s="2055"/>
      <c r="O1932" s="2056"/>
      <c r="P1932" s="2057"/>
      <c r="Q1932" s="2058"/>
      <c r="R1932" s="2059"/>
      <c r="S1932" s="2059"/>
      <c r="T1932" s="2057"/>
      <c r="U1932" s="2060"/>
      <c r="Z1932" s="1956"/>
      <c r="AA1932" s="1956"/>
      <c r="AG1932" s="1836"/>
      <c r="AH1932" s="1836"/>
      <c r="AI1932" s="1837"/>
      <c r="AJ1932" s="1960"/>
    </row>
    <row r="1933" spans="1:36" ht="21.95" customHeight="1" x14ac:dyDescent="0.2">
      <c r="B1933" s="2045"/>
      <c r="C1933" s="2046"/>
      <c r="D1933" s="2047" t="str">
        <f>SNI!E1586</f>
        <v>Stop kontak Data</v>
      </c>
      <c r="E1933" s="2047"/>
      <c r="F1933" s="2048"/>
      <c r="G1933" s="2049">
        <f>SNI!H1586</f>
        <v>1</v>
      </c>
      <c r="H1933" s="2050" t="str">
        <f>SNI!G1586</f>
        <v>bh</v>
      </c>
      <c r="I1933" s="2051"/>
      <c r="J1933" s="2051"/>
      <c r="K1933" s="2052">
        <f>SNI!L1586</f>
        <v>0.28499999999999998</v>
      </c>
      <c r="L1933" s="2053"/>
      <c r="M1933" s="2054"/>
      <c r="N1933" s="2055">
        <f>SNI!I1586</f>
        <v>82000</v>
      </c>
      <c r="O1933" s="2056"/>
      <c r="P1933" s="1969">
        <f t="shared" ref="P1933" si="1305">N1933*G1933</f>
        <v>82000</v>
      </c>
      <c r="Q1933" s="1953"/>
      <c r="R1933" s="1954"/>
      <c r="S1933" s="1954">
        <f t="shared" ref="S1933" si="1306">P1933*K1933</f>
        <v>23369.999999999996</v>
      </c>
      <c r="T1933" s="1969">
        <f t="shared" ref="T1933" si="1307">P1933-S1933</f>
        <v>58630</v>
      </c>
      <c r="U1933" s="2060"/>
      <c r="Z1933" s="1956"/>
      <c r="AA1933" s="1956"/>
      <c r="AG1933" s="1836"/>
      <c r="AH1933" s="1836"/>
      <c r="AI1933" s="1837"/>
      <c r="AJ1933" s="1960"/>
    </row>
    <row r="1934" spans="1:36" ht="21.95" customHeight="1" x14ac:dyDescent="0.2">
      <c r="B1934" s="2045"/>
      <c r="C1934" s="2046"/>
      <c r="D1934" s="2047" t="str">
        <f>SNI!E1587</f>
        <v>aksesoris 35%</v>
      </c>
      <c r="E1934" s="2047"/>
      <c r="F1934" s="2048"/>
      <c r="G1934" s="2049">
        <f>SNI!H1587</f>
        <v>1</v>
      </c>
      <c r="H1934" s="2050" t="str">
        <f>SNI!G1587</f>
        <v xml:space="preserve">ls </v>
      </c>
      <c r="I1934" s="2051"/>
      <c r="J1934" s="2051"/>
      <c r="K1934" s="2052">
        <f>SNI!L1587</f>
        <v>0.75</v>
      </c>
      <c r="L1934" s="2053"/>
      <c r="M1934" s="2054"/>
      <c r="N1934" s="2055">
        <f>SNI!I1587</f>
        <v>28699.999999999996</v>
      </c>
      <c r="O1934" s="2056"/>
      <c r="P1934" s="1969">
        <f t="shared" ref="P1934:P1937" si="1308">N1934*G1934</f>
        <v>28699.999999999996</v>
      </c>
      <c r="Q1934" s="1953"/>
      <c r="R1934" s="1954"/>
      <c r="S1934" s="1954">
        <f t="shared" ref="S1934:S1937" si="1309">P1934*K1934</f>
        <v>21524.999999999996</v>
      </c>
      <c r="T1934" s="1969">
        <f t="shared" ref="T1934:T1937" si="1310">P1934-S1934</f>
        <v>7175</v>
      </c>
      <c r="U1934" s="2060"/>
      <c r="Z1934" s="1956"/>
      <c r="AA1934" s="1956"/>
      <c r="AG1934" s="1836"/>
      <c r="AH1934" s="1836"/>
      <c r="AI1934" s="1837"/>
      <c r="AJ1934" s="1960"/>
    </row>
    <row r="1935" spans="1:36" ht="21.95" customHeight="1" x14ac:dyDescent="0.2">
      <c r="B1935" s="2045"/>
      <c r="C1935" s="2046" t="str">
        <f>SNI!D1589</f>
        <v>Tenaga Kerja</v>
      </c>
      <c r="D1935" s="2047"/>
      <c r="E1935" s="2047"/>
      <c r="F1935" s="2048"/>
      <c r="G1935" s="2049"/>
      <c r="H1935" s="2050"/>
      <c r="I1935" s="2051"/>
      <c r="J1935" s="2051"/>
      <c r="K1935" s="2052"/>
      <c r="L1935" s="2053"/>
      <c r="M1935" s="2054"/>
      <c r="N1935" s="2055"/>
      <c r="O1935" s="2056"/>
      <c r="P1935" s="1969"/>
      <c r="Q1935" s="1953"/>
      <c r="R1935" s="1954"/>
      <c r="S1935" s="1954"/>
      <c r="T1935" s="1969"/>
      <c r="U1935" s="2060"/>
      <c r="Z1935" s="1956"/>
      <c r="AA1935" s="1956"/>
      <c r="AG1935" s="1836"/>
      <c r="AH1935" s="1836"/>
      <c r="AI1935" s="1837"/>
      <c r="AJ1935" s="1960"/>
    </row>
    <row r="1936" spans="1:36" ht="21.95" customHeight="1" x14ac:dyDescent="0.2">
      <c r="B1936" s="2045"/>
      <c r="C1936" s="2046"/>
      <c r="D1936" s="2047" t="str">
        <f>SNI!E1589</f>
        <v>Tukang listrik</v>
      </c>
      <c r="E1936" s="2047"/>
      <c r="F1936" s="2048"/>
      <c r="G1936" s="2049">
        <f>SNI!H1589</f>
        <v>0.1</v>
      </c>
      <c r="H1936" s="2050" t="str">
        <f>SNI!G1589</f>
        <v>OH</v>
      </c>
      <c r="I1936" s="2142" t="s">
        <v>2012</v>
      </c>
      <c r="J1936" s="2051"/>
      <c r="K1936" s="2052">
        <f>SNI!L1589</f>
        <v>1</v>
      </c>
      <c r="L1936" s="2053"/>
      <c r="M1936" s="2054"/>
      <c r="N1936" s="2055">
        <f>SNI!I1589</f>
        <v>90000</v>
      </c>
      <c r="O1936" s="2056"/>
      <c r="P1936" s="1969">
        <f t="shared" si="1308"/>
        <v>9000</v>
      </c>
      <c r="Q1936" s="1953"/>
      <c r="R1936" s="1954"/>
      <c r="S1936" s="1954">
        <f t="shared" si="1309"/>
        <v>9000</v>
      </c>
      <c r="T1936" s="1969">
        <f t="shared" si="1310"/>
        <v>0</v>
      </c>
      <c r="U1936" s="2060"/>
      <c r="Z1936" s="1956"/>
      <c r="AA1936" s="1956"/>
      <c r="AG1936" s="1836"/>
      <c r="AH1936" s="1836"/>
      <c r="AI1936" s="1837"/>
      <c r="AJ1936" s="1960"/>
    </row>
    <row r="1937" spans="1:36" ht="21.95" customHeight="1" x14ac:dyDescent="0.2">
      <c r="B1937" s="2045"/>
      <c r="C1937" s="2046"/>
      <c r="D1937" s="2047" t="str">
        <f>SNI!E1590</f>
        <v>Mandor</v>
      </c>
      <c r="E1937" s="2047"/>
      <c r="F1937" s="2048"/>
      <c r="G1937" s="2049">
        <f>SNI!H1590</f>
        <v>0.01</v>
      </c>
      <c r="H1937" s="2050" t="str">
        <f>SNI!G1590</f>
        <v>OH</v>
      </c>
      <c r="I1937" s="2142" t="s">
        <v>2012</v>
      </c>
      <c r="J1937" s="2051"/>
      <c r="K1937" s="2052">
        <f>SNI!L1590</f>
        <v>1</v>
      </c>
      <c r="L1937" s="2053"/>
      <c r="M1937" s="2054"/>
      <c r="N1937" s="2055">
        <f>SNI!I1590</f>
        <v>90000</v>
      </c>
      <c r="O1937" s="2056"/>
      <c r="P1937" s="1969">
        <f t="shared" si="1308"/>
        <v>900</v>
      </c>
      <c r="Q1937" s="1953"/>
      <c r="R1937" s="1954"/>
      <c r="S1937" s="1954">
        <f t="shared" si="1309"/>
        <v>900</v>
      </c>
      <c r="T1937" s="1969">
        <f t="shared" si="1310"/>
        <v>0</v>
      </c>
      <c r="U1937" s="2060"/>
      <c r="Z1937" s="1956"/>
      <c r="AA1937" s="1956"/>
      <c r="AG1937" s="1836"/>
      <c r="AH1937" s="1836"/>
      <c r="AI1937" s="1837"/>
      <c r="AJ1937" s="1960"/>
    </row>
    <row r="1938" spans="1:36" s="1957" customFormat="1" ht="21.95" customHeight="1" x14ac:dyDescent="0.2">
      <c r="A1938" s="1942"/>
      <c r="B1938" s="1970"/>
      <c r="C1938" s="1971"/>
      <c r="D1938" s="1972"/>
      <c r="E1938" s="1973"/>
      <c r="F1938" s="1974" t="s">
        <v>556</v>
      </c>
      <c r="G1938" s="1975">
        <f>B1931</f>
        <v>14</v>
      </c>
      <c r="H1938" s="1976"/>
      <c r="I1938" s="1977"/>
      <c r="J1938" s="1977"/>
      <c r="K1938" s="1978"/>
      <c r="L1938" s="1979"/>
      <c r="M1938" s="1980"/>
      <c r="N1938" s="1981"/>
      <c r="O1938" s="1982"/>
      <c r="P1938" s="1983">
        <f>SUM(P1932:P1937)</f>
        <v>120600</v>
      </c>
      <c r="Q1938" s="1984"/>
      <c r="R1938" s="1985"/>
      <c r="S1938" s="1983">
        <f t="shared" ref="S1938" si="1311">SUM(S1932:S1937)</f>
        <v>54794.999999999993</v>
      </c>
      <c r="T1938" s="1983">
        <f t="shared" ref="T1938" si="1312">SUM(T1932:T1937)</f>
        <v>65805</v>
      </c>
      <c r="U1938" s="1986"/>
      <c r="V1938" s="1848"/>
      <c r="W1938" s="1848"/>
      <c r="X1938" s="1848"/>
      <c r="Y1938" s="1848"/>
      <c r="Z1938" s="1956"/>
      <c r="AA1938" s="1956"/>
      <c r="AF1938" s="1958"/>
      <c r="AG1938" s="1958"/>
      <c r="AH1938" s="1958"/>
      <c r="AI1938" s="1959"/>
      <c r="AJ1938" s="1960"/>
    </row>
    <row r="1939" spans="1:36" ht="21.95" customHeight="1" x14ac:dyDescent="0.2">
      <c r="A1939" s="1833">
        <f>satpek!B100</f>
        <v>81</v>
      </c>
      <c r="B1939" s="1943">
        <f>B1931+1</f>
        <v>15</v>
      </c>
      <c r="C1939" s="1937"/>
      <c r="D1939" s="1944" t="str">
        <f>VLOOKUP($A1939,satpek!$B$20:$N$144,2,0)</f>
        <v>Memasang downlight LED 10 watt tipe inbow</v>
      </c>
      <c r="E1939" s="1944"/>
      <c r="F1939" s="2004"/>
      <c r="G1939" s="1945">
        <f>'[3]B.VOL RAB'!Q621</f>
        <v>12</v>
      </c>
      <c r="H1939" s="1946" t="str">
        <f>VLOOKUP($A1939,satpek!$B$20:$N$144,7,0)</f>
        <v>ttk</v>
      </c>
      <c r="I1939" s="1947"/>
      <c r="J1939" s="1947"/>
      <c r="K1939" s="1948"/>
      <c r="L1939" s="1949"/>
      <c r="M1939" s="1950" t="str">
        <f>VLOOKUP($A1939,satpek!$B$20:$N$144,5,0)</f>
        <v>An. Dihitung</v>
      </c>
      <c r="N1939" s="1951">
        <f>VLOOKUP($A1939,satpek!$B$20:$N$144,6,0)</f>
        <v>124333.9</v>
      </c>
      <c r="O1939" s="1938"/>
      <c r="P1939" s="1952">
        <f t="shared" si="1207"/>
        <v>1492006.8</v>
      </c>
      <c r="Q1939" s="1953">
        <f>VLOOKUP($A1939,satpek!$B$20:$L$138,8,0)</f>
        <v>0.71568663091884033</v>
      </c>
      <c r="R1939" s="1954">
        <f>VLOOKUP($A1939,satpek!$B$20:$L$138,9,0)</f>
        <v>78747</v>
      </c>
      <c r="S1939" s="1954">
        <f>VLOOKUP($A1939,satpek!$B$20:$L$138,10,0)</f>
        <v>88984.11</v>
      </c>
      <c r="T1939" s="1952">
        <f t="shared" si="1208"/>
        <v>1067809.32</v>
      </c>
      <c r="U1939" s="1955"/>
      <c r="X1939" s="1848">
        <f>P1947</f>
        <v>110030</v>
      </c>
      <c r="Y1939" s="1848">
        <f>S1947</f>
        <v>78747</v>
      </c>
      <c r="Z1939" s="1956">
        <v>12</v>
      </c>
      <c r="AA1939" s="1956">
        <f t="shared" si="1232"/>
        <v>0</v>
      </c>
      <c r="AB1939" s="1836" t="s">
        <v>1880</v>
      </c>
      <c r="AG1939" s="1836"/>
      <c r="AH1939" s="1836"/>
      <c r="AI1939" s="1837">
        <v>123237.8</v>
      </c>
      <c r="AJ1939" s="1960">
        <f t="shared" si="1233"/>
        <v>-1096.0999999999913</v>
      </c>
    </row>
    <row r="1940" spans="1:36" ht="21.95" customHeight="1" x14ac:dyDescent="0.2">
      <c r="B1940" s="2045"/>
      <c r="C1940" s="2046" t="str">
        <f>SNI!D1606</f>
        <v>Bahan</v>
      </c>
      <c r="D1940" s="2047"/>
      <c r="E1940" s="2047"/>
      <c r="F1940" s="2048"/>
      <c r="G1940" s="2049"/>
      <c r="H1940" s="2050"/>
      <c r="I1940" s="2051"/>
      <c r="J1940" s="2051"/>
      <c r="K1940" s="2052"/>
      <c r="L1940" s="2053"/>
      <c r="M1940" s="2054"/>
      <c r="N1940" s="2055"/>
      <c r="O1940" s="2056"/>
      <c r="P1940" s="2057"/>
      <c r="Q1940" s="2058"/>
      <c r="R1940" s="2059"/>
      <c r="S1940" s="2059"/>
      <c r="T1940" s="2057"/>
      <c r="U1940" s="2060"/>
      <c r="Z1940" s="1956"/>
      <c r="AA1940" s="1956"/>
      <c r="AG1940" s="1836"/>
      <c r="AH1940" s="1836"/>
      <c r="AI1940" s="1837"/>
      <c r="AJ1940" s="1960"/>
    </row>
    <row r="1941" spans="1:36" ht="21.95" customHeight="1" x14ac:dyDescent="0.2">
      <c r="B1941" s="2045"/>
      <c r="C1941" s="2046"/>
      <c r="D1941" s="2047" t="str">
        <f>SNI!E1606</f>
        <v>Lampu LED 10 watt</v>
      </c>
      <c r="E1941" s="2047"/>
      <c r="F1941" s="2048"/>
      <c r="G1941" s="2049">
        <f>SNI!H1606</f>
        <v>1</v>
      </c>
      <c r="H1941" s="2050" t="str">
        <f>SNI!G1606</f>
        <v>bh</v>
      </c>
      <c r="I1941" s="2051"/>
      <c r="J1941" s="2051"/>
      <c r="K1941" s="2052">
        <f>SNI!L1606</f>
        <v>0.59060000000000001</v>
      </c>
      <c r="L1941" s="2053"/>
      <c r="M1941" s="2054"/>
      <c r="N1941" s="2055">
        <f>SNI!I1606</f>
        <v>70000</v>
      </c>
      <c r="O1941" s="2056"/>
      <c r="P1941" s="1969">
        <f t="shared" ref="P1941" si="1313">N1941*G1941</f>
        <v>70000</v>
      </c>
      <c r="Q1941" s="1953"/>
      <c r="R1941" s="1954"/>
      <c r="S1941" s="1954">
        <f t="shared" ref="S1941" si="1314">P1941*K1941</f>
        <v>41342</v>
      </c>
      <c r="T1941" s="1969">
        <f t="shared" ref="T1941" si="1315">P1941-S1941</f>
        <v>28658</v>
      </c>
      <c r="U1941" s="2060"/>
      <c r="Z1941" s="1956"/>
      <c r="AA1941" s="1956"/>
      <c r="AG1941" s="1836"/>
      <c r="AH1941" s="1836"/>
      <c r="AI1941" s="1837"/>
      <c r="AJ1941" s="1960"/>
    </row>
    <row r="1942" spans="1:36" ht="21.95" customHeight="1" x14ac:dyDescent="0.2">
      <c r="B1942" s="2045"/>
      <c r="C1942" s="2046"/>
      <c r="D1942" s="2047" t="str">
        <f>SNI!E1607</f>
        <v>aksesoris 15%</v>
      </c>
      <c r="E1942" s="2047"/>
      <c r="F1942" s="2048"/>
      <c r="G1942" s="2049">
        <f>SNI!H1607</f>
        <v>1</v>
      </c>
      <c r="H1942" s="2050" t="str">
        <f>SNI!G1607</f>
        <v xml:space="preserve">ls </v>
      </c>
      <c r="I1942" s="2051"/>
      <c r="J1942" s="2051"/>
      <c r="K1942" s="2052">
        <f>SNI!L1607</f>
        <v>0.75</v>
      </c>
      <c r="L1942" s="2053"/>
      <c r="M1942" s="2054"/>
      <c r="N1942" s="2055">
        <f>SNI!I1607</f>
        <v>10500</v>
      </c>
      <c r="O1942" s="2056"/>
      <c r="P1942" s="1969">
        <f t="shared" ref="P1942:P1946" si="1316">N1942*G1942</f>
        <v>10500</v>
      </c>
      <c r="Q1942" s="1953"/>
      <c r="R1942" s="1954"/>
      <c r="S1942" s="1954">
        <f t="shared" ref="S1942:S1946" si="1317">P1942*K1942</f>
        <v>7875</v>
      </c>
      <c r="T1942" s="1969">
        <f t="shared" ref="T1942:T1946" si="1318">P1942-S1942</f>
        <v>2625</v>
      </c>
      <c r="U1942" s="2060"/>
      <c r="Z1942" s="1956"/>
      <c r="AA1942" s="1956"/>
      <c r="AG1942" s="1836"/>
      <c r="AH1942" s="1836"/>
      <c r="AI1942" s="1837"/>
      <c r="AJ1942" s="1960"/>
    </row>
    <row r="1943" spans="1:36" ht="21.95" customHeight="1" x14ac:dyDescent="0.2">
      <c r="B1943" s="2045"/>
      <c r="C1943" s="2046" t="str">
        <f>SNI!D1609</f>
        <v>Tenaga Kerja</v>
      </c>
      <c r="D1943" s="2047"/>
      <c r="E1943" s="2047"/>
      <c r="F1943" s="2048"/>
      <c r="G1943" s="2049"/>
      <c r="H1943" s="2050"/>
      <c r="I1943" s="2051"/>
      <c r="J1943" s="2051"/>
      <c r="K1943" s="2052"/>
      <c r="L1943" s="2053"/>
      <c r="M1943" s="2054"/>
      <c r="N1943" s="2055"/>
      <c r="O1943" s="2056"/>
      <c r="P1943" s="1969"/>
      <c r="Q1943" s="1953"/>
      <c r="R1943" s="1954"/>
      <c r="S1943" s="1954"/>
      <c r="T1943" s="1969"/>
      <c r="U1943" s="2060"/>
      <c r="Z1943" s="1956"/>
      <c r="AA1943" s="1956"/>
      <c r="AG1943" s="1836"/>
      <c r="AH1943" s="1836"/>
      <c r="AI1943" s="1837"/>
      <c r="AJ1943" s="1960"/>
    </row>
    <row r="1944" spans="1:36" ht="21.95" customHeight="1" x14ac:dyDescent="0.2">
      <c r="B1944" s="2045"/>
      <c r="C1944" s="2046"/>
      <c r="D1944" s="2047" t="str">
        <f>SNI!E1609</f>
        <v>Pekerja</v>
      </c>
      <c r="E1944" s="2047"/>
      <c r="F1944" s="2048"/>
      <c r="G1944" s="2049">
        <f>SNI!H1609</f>
        <v>0.1</v>
      </c>
      <c r="H1944" s="2050" t="str">
        <f>SNI!G1609</f>
        <v>OH</v>
      </c>
      <c r="I1944" s="2142" t="s">
        <v>2012</v>
      </c>
      <c r="J1944" s="2051"/>
      <c r="K1944" s="2052">
        <f>SNI!L1609</f>
        <v>1</v>
      </c>
      <c r="L1944" s="2053"/>
      <c r="M1944" s="2054"/>
      <c r="N1944" s="2055">
        <f>SNI!I1609</f>
        <v>88300</v>
      </c>
      <c r="O1944" s="2056"/>
      <c r="P1944" s="1969">
        <f t="shared" si="1316"/>
        <v>8830</v>
      </c>
      <c r="Q1944" s="1953"/>
      <c r="R1944" s="1954"/>
      <c r="S1944" s="1954">
        <f t="shared" si="1317"/>
        <v>8830</v>
      </c>
      <c r="T1944" s="1969">
        <f t="shared" si="1318"/>
        <v>0</v>
      </c>
      <c r="U1944" s="2060"/>
      <c r="Z1944" s="1956"/>
      <c r="AA1944" s="1956"/>
      <c r="AG1944" s="1836"/>
      <c r="AH1944" s="1836"/>
      <c r="AI1944" s="1837"/>
      <c r="AJ1944" s="1960"/>
    </row>
    <row r="1945" spans="1:36" ht="21.95" customHeight="1" x14ac:dyDescent="0.2">
      <c r="B1945" s="2045"/>
      <c r="C1945" s="2046"/>
      <c r="D1945" s="2047" t="str">
        <f>SNI!E1610</f>
        <v>Tukang listrik</v>
      </c>
      <c r="E1945" s="2047"/>
      <c r="F1945" s="2048"/>
      <c r="G1945" s="2049">
        <f>SNI!H1610</f>
        <v>0.18</v>
      </c>
      <c r="H1945" s="2050" t="str">
        <f>SNI!G1610</f>
        <v>OH</v>
      </c>
      <c r="I1945" s="2142" t="s">
        <v>2012</v>
      </c>
      <c r="J1945" s="2051"/>
      <c r="K1945" s="2052">
        <f>SNI!L1610</f>
        <v>1</v>
      </c>
      <c r="L1945" s="2053"/>
      <c r="M1945" s="2054"/>
      <c r="N1945" s="2055">
        <f>SNI!I1610</f>
        <v>90000</v>
      </c>
      <c r="O1945" s="2056"/>
      <c r="P1945" s="1969">
        <f t="shared" si="1316"/>
        <v>16200</v>
      </c>
      <c r="Q1945" s="1953"/>
      <c r="R1945" s="1954"/>
      <c r="S1945" s="1954">
        <f t="shared" si="1317"/>
        <v>16200</v>
      </c>
      <c r="T1945" s="1969">
        <f t="shared" si="1318"/>
        <v>0</v>
      </c>
      <c r="U1945" s="2060"/>
      <c r="Z1945" s="1956"/>
      <c r="AA1945" s="1956"/>
      <c r="AG1945" s="1836"/>
      <c r="AH1945" s="1836"/>
      <c r="AI1945" s="1837"/>
      <c r="AJ1945" s="1960"/>
    </row>
    <row r="1946" spans="1:36" ht="21.95" customHeight="1" x14ac:dyDescent="0.2">
      <c r="B1946" s="2045"/>
      <c r="C1946" s="2046"/>
      <c r="D1946" s="2047" t="str">
        <f>SNI!E1611</f>
        <v>Mandor</v>
      </c>
      <c r="E1946" s="2047"/>
      <c r="F1946" s="2048"/>
      <c r="G1946" s="2049">
        <f>SNI!H1611</f>
        <v>0.05</v>
      </c>
      <c r="H1946" s="2050" t="str">
        <f>SNI!G1611</f>
        <v>OH</v>
      </c>
      <c r="I1946" s="2142" t="s">
        <v>2012</v>
      </c>
      <c r="J1946" s="2051"/>
      <c r="K1946" s="2052">
        <f>SNI!L1611</f>
        <v>1</v>
      </c>
      <c r="L1946" s="2053"/>
      <c r="M1946" s="2054"/>
      <c r="N1946" s="2055">
        <f>SNI!I1611</f>
        <v>90000</v>
      </c>
      <c r="O1946" s="2056"/>
      <c r="P1946" s="1969">
        <f t="shared" si="1316"/>
        <v>4500</v>
      </c>
      <c r="Q1946" s="1953"/>
      <c r="R1946" s="1954"/>
      <c r="S1946" s="1954">
        <f t="shared" si="1317"/>
        <v>4500</v>
      </c>
      <c r="T1946" s="1969">
        <f t="shared" si="1318"/>
        <v>0</v>
      </c>
      <c r="U1946" s="2060"/>
      <c r="Z1946" s="1956"/>
      <c r="AA1946" s="1956"/>
      <c r="AG1946" s="1836"/>
      <c r="AH1946" s="1836"/>
      <c r="AI1946" s="1837"/>
      <c r="AJ1946" s="1960"/>
    </row>
    <row r="1947" spans="1:36" s="1957" customFormat="1" ht="21.95" customHeight="1" x14ac:dyDescent="0.2">
      <c r="A1947" s="1942"/>
      <c r="B1947" s="1970"/>
      <c r="C1947" s="1971"/>
      <c r="D1947" s="1972"/>
      <c r="E1947" s="1973"/>
      <c r="F1947" s="1974" t="s">
        <v>556</v>
      </c>
      <c r="G1947" s="1975">
        <f>B1939</f>
        <v>15</v>
      </c>
      <c r="H1947" s="1976"/>
      <c r="I1947" s="1977"/>
      <c r="J1947" s="1977"/>
      <c r="K1947" s="1978"/>
      <c r="L1947" s="1979"/>
      <c r="M1947" s="1980"/>
      <c r="N1947" s="1981"/>
      <c r="O1947" s="1982"/>
      <c r="P1947" s="1983">
        <f>SUM(P1941:P1946)</f>
        <v>110030</v>
      </c>
      <c r="Q1947" s="1984"/>
      <c r="R1947" s="1985"/>
      <c r="S1947" s="1983">
        <f t="shared" ref="S1947" si="1319">SUM(S1941:S1946)</f>
        <v>78747</v>
      </c>
      <c r="T1947" s="1983">
        <f t="shared" ref="T1947" si="1320">SUM(T1941:T1946)</f>
        <v>31283</v>
      </c>
      <c r="U1947" s="1986"/>
      <c r="V1947" s="1848"/>
      <c r="W1947" s="1848"/>
      <c r="X1947" s="1848"/>
      <c r="Y1947" s="1848"/>
      <c r="Z1947" s="1956"/>
      <c r="AA1947" s="1956"/>
      <c r="AF1947" s="1958"/>
      <c r="AG1947" s="1958"/>
      <c r="AH1947" s="1958"/>
      <c r="AI1947" s="1959"/>
      <c r="AJ1947" s="1960"/>
    </row>
    <row r="1948" spans="1:36" ht="21.95" customHeight="1" x14ac:dyDescent="0.2">
      <c r="A1948" s="1833">
        <f>satpek!B101</f>
        <v>82</v>
      </c>
      <c r="B1948" s="1943">
        <f>B1939+1</f>
        <v>16</v>
      </c>
      <c r="C1948" s="1937"/>
      <c r="D1948" s="1944" t="str">
        <f>VLOOKUP($A1948,satpek!$B$20:$N$144,2,0)</f>
        <v>Memasang downlight LED 17 watt tipe inbow</v>
      </c>
      <c r="E1948" s="1944"/>
      <c r="F1948" s="2004"/>
      <c r="G1948" s="1945">
        <f>'[3]B.VOL RAB'!Q622</f>
        <v>122</v>
      </c>
      <c r="H1948" s="1946" t="str">
        <f>VLOOKUP($A1948,satpek!$B$20:$N$144,7,0)</f>
        <v>ttk</v>
      </c>
      <c r="I1948" s="1947"/>
      <c r="J1948" s="1947"/>
      <c r="K1948" s="1948"/>
      <c r="L1948" s="1949"/>
      <c r="M1948" s="1950" t="str">
        <f>VLOOKUP($A1948,satpek!$B$20:$N$144,5,0)</f>
        <v>An. Dihitung</v>
      </c>
      <c r="N1948" s="1951">
        <f>VLOOKUP($A1948,satpek!$B$20:$N$144,6,0)</f>
        <v>186709.9</v>
      </c>
      <c r="O1948" s="1938"/>
      <c r="P1948" s="1952">
        <f t="shared" si="1207"/>
        <v>22778607.800000001</v>
      </c>
      <c r="Q1948" s="1953">
        <f>VLOOKUP($A1948,satpek!$B$20:$L$138,8,0)</f>
        <v>0.68084367245657573</v>
      </c>
      <c r="R1948" s="1954">
        <f>VLOOKUP($A1948,satpek!$B$20:$L$138,9,0)</f>
        <v>112495.8</v>
      </c>
      <c r="S1948" s="1954">
        <f>VLOOKUP($A1948,satpek!$B$20:$L$138,10,0)</f>
        <v>127120.254</v>
      </c>
      <c r="T1948" s="1952">
        <f t="shared" si="1208"/>
        <v>15508670.988</v>
      </c>
      <c r="U1948" s="1955"/>
      <c r="X1948" s="1848">
        <f>P1956</f>
        <v>165230</v>
      </c>
      <c r="Y1948" s="1848">
        <f>S1956</f>
        <v>112495.8</v>
      </c>
      <c r="Z1948" s="1956">
        <v>122</v>
      </c>
      <c r="AA1948" s="1956">
        <f t="shared" si="1232"/>
        <v>0</v>
      </c>
      <c r="AB1948" s="1836" t="s">
        <v>1881</v>
      </c>
      <c r="AG1948" s="1836"/>
      <c r="AH1948" s="1836"/>
      <c r="AI1948" s="1837">
        <v>185613.8</v>
      </c>
      <c r="AJ1948" s="1960">
        <f t="shared" si="1233"/>
        <v>-1096.1000000000058</v>
      </c>
    </row>
    <row r="1949" spans="1:36" ht="21.95" customHeight="1" x14ac:dyDescent="0.2">
      <c r="B1949" s="2045"/>
      <c r="C1949" s="2046" t="str">
        <f>SNI!D1626</f>
        <v>Bahan</v>
      </c>
      <c r="D1949" s="2047"/>
      <c r="E1949" s="2047"/>
      <c r="F1949" s="2048"/>
      <c r="G1949" s="2049"/>
      <c r="H1949" s="2050"/>
      <c r="I1949" s="2051"/>
      <c r="J1949" s="2051"/>
      <c r="K1949" s="2052"/>
      <c r="L1949" s="2053"/>
      <c r="M1949" s="2054"/>
      <c r="N1949" s="2055"/>
      <c r="O1949" s="2056"/>
      <c r="P1949" s="2057"/>
      <c r="Q1949" s="2058"/>
      <c r="R1949" s="2059"/>
      <c r="S1949" s="2059"/>
      <c r="T1949" s="2057"/>
      <c r="U1949" s="2060"/>
      <c r="Z1949" s="1956"/>
      <c r="AA1949" s="1956"/>
      <c r="AG1949" s="1836"/>
      <c r="AH1949" s="1836"/>
      <c r="AI1949" s="1837"/>
      <c r="AJ1949" s="1960"/>
    </row>
    <row r="1950" spans="1:36" ht="21.95" customHeight="1" x14ac:dyDescent="0.2">
      <c r="B1950" s="2045"/>
      <c r="C1950" s="2046"/>
      <c r="D1950" s="2047" t="str">
        <f>SNI!E1626</f>
        <v>Lampu LED 17 watt</v>
      </c>
      <c r="E1950" s="2047"/>
      <c r="F1950" s="2048"/>
      <c r="G1950" s="2049">
        <f>SNI!H1626</f>
        <v>1</v>
      </c>
      <c r="H1950" s="2050" t="str">
        <f>SNI!G1626</f>
        <v>bh</v>
      </c>
      <c r="I1950" s="2051"/>
      <c r="J1950" s="2051"/>
      <c r="K1950" s="2052">
        <f>SNI!L1626</f>
        <v>0.59060000000000001</v>
      </c>
      <c r="L1950" s="2053"/>
      <c r="M1950" s="2054"/>
      <c r="N1950" s="2055">
        <f>SNI!I1626</f>
        <v>118000</v>
      </c>
      <c r="O1950" s="2056"/>
      <c r="P1950" s="1969">
        <f t="shared" ref="P1950" si="1321">N1950*G1950</f>
        <v>118000</v>
      </c>
      <c r="Q1950" s="1953"/>
      <c r="R1950" s="1954"/>
      <c r="S1950" s="1954">
        <f t="shared" ref="S1950" si="1322">P1950*K1950</f>
        <v>69690.8</v>
      </c>
      <c r="T1950" s="1969">
        <f t="shared" ref="T1950" si="1323">P1950-S1950</f>
        <v>48309.2</v>
      </c>
      <c r="U1950" s="2060"/>
      <c r="Z1950" s="1956"/>
      <c r="AA1950" s="1956"/>
      <c r="AG1950" s="1836"/>
      <c r="AH1950" s="1836"/>
      <c r="AI1950" s="1837"/>
      <c r="AJ1950" s="1960"/>
    </row>
    <row r="1951" spans="1:36" ht="21.95" customHeight="1" x14ac:dyDescent="0.2">
      <c r="B1951" s="2045"/>
      <c r="C1951" s="2046"/>
      <c r="D1951" s="2047" t="str">
        <f>SNI!E1627</f>
        <v>aksesoris 15%</v>
      </c>
      <c r="E1951" s="2047"/>
      <c r="F1951" s="2048"/>
      <c r="G1951" s="2049">
        <f>SNI!H1627</f>
        <v>1</v>
      </c>
      <c r="H1951" s="2050" t="str">
        <f>SNI!G1627</f>
        <v xml:space="preserve">ls </v>
      </c>
      <c r="I1951" s="2051"/>
      <c r="J1951" s="2051"/>
      <c r="K1951" s="2052">
        <f>SNI!L1627</f>
        <v>0.75</v>
      </c>
      <c r="L1951" s="2053"/>
      <c r="M1951" s="2054"/>
      <c r="N1951" s="2055">
        <f>SNI!I1627</f>
        <v>17700</v>
      </c>
      <c r="O1951" s="2056"/>
      <c r="P1951" s="1969">
        <f t="shared" ref="P1951:P1955" si="1324">N1951*G1951</f>
        <v>17700</v>
      </c>
      <c r="Q1951" s="1953"/>
      <c r="R1951" s="1954"/>
      <c r="S1951" s="1954">
        <f t="shared" ref="S1951:S1955" si="1325">P1951*K1951</f>
        <v>13275</v>
      </c>
      <c r="T1951" s="1969">
        <f t="shared" ref="T1951:T1955" si="1326">P1951-S1951</f>
        <v>4425</v>
      </c>
      <c r="U1951" s="2060"/>
      <c r="Z1951" s="1956"/>
      <c r="AA1951" s="1956"/>
      <c r="AG1951" s="1836"/>
      <c r="AH1951" s="1836"/>
      <c r="AI1951" s="1837"/>
      <c r="AJ1951" s="1960"/>
    </row>
    <row r="1952" spans="1:36" ht="21.95" customHeight="1" x14ac:dyDescent="0.2">
      <c r="B1952" s="2045"/>
      <c r="C1952" s="2046" t="str">
        <f>SNI!D1629</f>
        <v>Tenaga Kerja</v>
      </c>
      <c r="D1952" s="2047"/>
      <c r="E1952" s="2047"/>
      <c r="F1952" s="2048"/>
      <c r="G1952" s="2049"/>
      <c r="H1952" s="2050"/>
      <c r="I1952" s="2051"/>
      <c r="J1952" s="2051"/>
      <c r="K1952" s="2052"/>
      <c r="L1952" s="2053"/>
      <c r="M1952" s="2054"/>
      <c r="N1952" s="2055"/>
      <c r="O1952" s="2056"/>
      <c r="P1952" s="1969"/>
      <c r="Q1952" s="1953"/>
      <c r="R1952" s="1954"/>
      <c r="S1952" s="1954"/>
      <c r="T1952" s="1969"/>
      <c r="U1952" s="2060"/>
      <c r="Z1952" s="1956"/>
      <c r="AA1952" s="1956"/>
      <c r="AG1952" s="1836"/>
      <c r="AH1952" s="1836"/>
      <c r="AI1952" s="1837"/>
      <c r="AJ1952" s="1960"/>
    </row>
    <row r="1953" spans="1:36" ht="21.95" customHeight="1" x14ac:dyDescent="0.2">
      <c r="B1953" s="2045"/>
      <c r="C1953" s="2046"/>
      <c r="D1953" s="2047" t="str">
        <f>SNI!E1629</f>
        <v>Pekerja</v>
      </c>
      <c r="E1953" s="2047"/>
      <c r="F1953" s="2048"/>
      <c r="G1953" s="2049">
        <f>SNI!H1629</f>
        <v>0.1</v>
      </c>
      <c r="H1953" s="2050" t="str">
        <f>SNI!G1629</f>
        <v>OH</v>
      </c>
      <c r="I1953" s="2142" t="s">
        <v>2012</v>
      </c>
      <c r="J1953" s="2051"/>
      <c r="K1953" s="2052">
        <f>SNI!L1629</f>
        <v>1</v>
      </c>
      <c r="L1953" s="2053"/>
      <c r="M1953" s="2054"/>
      <c r="N1953" s="2055">
        <f>SNI!I1629</f>
        <v>88300</v>
      </c>
      <c r="O1953" s="2056"/>
      <c r="P1953" s="1969">
        <f t="shared" si="1324"/>
        <v>8830</v>
      </c>
      <c r="Q1953" s="1953"/>
      <c r="R1953" s="1954"/>
      <c r="S1953" s="1954">
        <f t="shared" si="1325"/>
        <v>8830</v>
      </c>
      <c r="T1953" s="1969">
        <f t="shared" si="1326"/>
        <v>0</v>
      </c>
      <c r="U1953" s="2060"/>
      <c r="Z1953" s="1956"/>
      <c r="AA1953" s="1956"/>
      <c r="AG1953" s="1836"/>
      <c r="AH1953" s="1836"/>
      <c r="AI1953" s="1837"/>
      <c r="AJ1953" s="1960"/>
    </row>
    <row r="1954" spans="1:36" ht="21.95" customHeight="1" x14ac:dyDescent="0.2">
      <c r="B1954" s="2045"/>
      <c r="C1954" s="2046"/>
      <c r="D1954" s="2047" t="str">
        <f>SNI!E1630</f>
        <v>Tukang listrik</v>
      </c>
      <c r="E1954" s="2047"/>
      <c r="F1954" s="2048"/>
      <c r="G1954" s="2049">
        <f>SNI!H1630</f>
        <v>0.18</v>
      </c>
      <c r="H1954" s="2050" t="str">
        <f>SNI!G1630</f>
        <v>OH</v>
      </c>
      <c r="I1954" s="2142" t="s">
        <v>2012</v>
      </c>
      <c r="J1954" s="2051"/>
      <c r="K1954" s="2052">
        <f>SNI!L1630</f>
        <v>1</v>
      </c>
      <c r="L1954" s="2053"/>
      <c r="M1954" s="2054"/>
      <c r="N1954" s="2055">
        <f>SNI!I1630</f>
        <v>90000</v>
      </c>
      <c r="O1954" s="2056"/>
      <c r="P1954" s="1969">
        <f t="shared" si="1324"/>
        <v>16200</v>
      </c>
      <c r="Q1954" s="1953"/>
      <c r="R1954" s="1954"/>
      <c r="S1954" s="1954">
        <f t="shared" si="1325"/>
        <v>16200</v>
      </c>
      <c r="T1954" s="1969">
        <f t="shared" si="1326"/>
        <v>0</v>
      </c>
      <c r="U1954" s="2060"/>
      <c r="Z1954" s="1956"/>
      <c r="AA1954" s="1956"/>
      <c r="AG1954" s="1836"/>
      <c r="AH1954" s="1836"/>
      <c r="AI1954" s="1837"/>
      <c r="AJ1954" s="1960"/>
    </row>
    <row r="1955" spans="1:36" ht="21.95" customHeight="1" x14ac:dyDescent="0.2">
      <c r="B1955" s="2045"/>
      <c r="C1955" s="2046"/>
      <c r="D1955" s="2047" t="str">
        <f>SNI!E1631</f>
        <v>Mandor</v>
      </c>
      <c r="E1955" s="2047"/>
      <c r="F1955" s="2048"/>
      <c r="G1955" s="2049">
        <f>SNI!H1631</f>
        <v>0.05</v>
      </c>
      <c r="H1955" s="2050" t="str">
        <f>SNI!G1631</f>
        <v>OH</v>
      </c>
      <c r="I1955" s="2142" t="s">
        <v>2012</v>
      </c>
      <c r="J1955" s="2051"/>
      <c r="K1955" s="2052">
        <f>SNI!L1631</f>
        <v>1</v>
      </c>
      <c r="L1955" s="2053"/>
      <c r="M1955" s="2054"/>
      <c r="N1955" s="2055">
        <f>SNI!I1631</f>
        <v>90000</v>
      </c>
      <c r="O1955" s="2056"/>
      <c r="P1955" s="1969">
        <f t="shared" si="1324"/>
        <v>4500</v>
      </c>
      <c r="Q1955" s="1953"/>
      <c r="R1955" s="1954"/>
      <c r="S1955" s="1954">
        <f t="shared" si="1325"/>
        <v>4500</v>
      </c>
      <c r="T1955" s="1969">
        <f t="shared" si="1326"/>
        <v>0</v>
      </c>
      <c r="U1955" s="2060"/>
      <c r="Z1955" s="1956"/>
      <c r="AA1955" s="1956"/>
      <c r="AG1955" s="1836"/>
      <c r="AH1955" s="1836"/>
      <c r="AI1955" s="1837"/>
      <c r="AJ1955" s="1960"/>
    </row>
    <row r="1956" spans="1:36" s="1957" customFormat="1" ht="21.95" customHeight="1" x14ac:dyDescent="0.2">
      <c r="A1956" s="1942"/>
      <c r="B1956" s="1970"/>
      <c r="C1956" s="1971"/>
      <c r="D1956" s="1972"/>
      <c r="E1956" s="1973"/>
      <c r="F1956" s="1974" t="s">
        <v>556</v>
      </c>
      <c r="G1956" s="1975">
        <f>B1948</f>
        <v>16</v>
      </c>
      <c r="H1956" s="1976"/>
      <c r="I1956" s="1977"/>
      <c r="J1956" s="1977"/>
      <c r="K1956" s="1978"/>
      <c r="L1956" s="1979"/>
      <c r="M1956" s="1980"/>
      <c r="N1956" s="1981"/>
      <c r="O1956" s="1982"/>
      <c r="P1956" s="1983">
        <f>SUM(P1950:P1955)</f>
        <v>165230</v>
      </c>
      <c r="Q1956" s="1984"/>
      <c r="R1956" s="1985"/>
      <c r="S1956" s="1983">
        <f t="shared" ref="S1956" si="1327">SUM(S1950:S1955)</f>
        <v>112495.8</v>
      </c>
      <c r="T1956" s="1983">
        <f t="shared" ref="T1956" si="1328">SUM(T1950:T1955)</f>
        <v>52734.2</v>
      </c>
      <c r="U1956" s="1986"/>
      <c r="V1956" s="1848"/>
      <c r="W1956" s="1848"/>
      <c r="X1956" s="1848"/>
      <c r="Y1956" s="1848"/>
      <c r="Z1956" s="1956"/>
      <c r="AA1956" s="1956"/>
      <c r="AF1956" s="1958"/>
      <c r="AG1956" s="1958"/>
      <c r="AH1956" s="1958"/>
      <c r="AI1956" s="1959"/>
      <c r="AJ1956" s="1960"/>
    </row>
    <row r="1957" spans="1:36" ht="21.95" customHeight="1" x14ac:dyDescent="0.2">
      <c r="A1957" s="1833">
        <f>satpek!B102</f>
        <v>83</v>
      </c>
      <c r="B1957" s="1943">
        <f>B1948+1</f>
        <v>17</v>
      </c>
      <c r="C1957" s="1937"/>
      <c r="D1957" s="1944" t="str">
        <f>VLOOKUP($A1957,satpek!$B$20:$N$144,2,0)</f>
        <v>Memasang downlight LED 17 watt tipe outbow</v>
      </c>
      <c r="E1957" s="1944"/>
      <c r="F1957" s="2004"/>
      <c r="G1957" s="1945">
        <f>'[3]B.VOL RAB'!Q623</f>
        <v>8</v>
      </c>
      <c r="H1957" s="1946" t="str">
        <f>VLOOKUP($A1957,satpek!$B$20:$N$144,7,0)</f>
        <v>ttk</v>
      </c>
      <c r="I1957" s="1947"/>
      <c r="J1957" s="1947"/>
      <c r="K1957" s="1948"/>
      <c r="L1957" s="1949"/>
      <c r="M1957" s="1950" t="str">
        <f>VLOOKUP($A1957,satpek!$B$20:$N$144,5,0)</f>
        <v>An. Dihitung</v>
      </c>
      <c r="N1957" s="1951">
        <f>VLOOKUP($A1957,satpek!$B$20:$N$144,6,0)</f>
        <v>118457.9</v>
      </c>
      <c r="O1957" s="1938"/>
      <c r="P1957" s="1952">
        <f t="shared" si="1207"/>
        <v>947663.2</v>
      </c>
      <c r="Q1957" s="1953">
        <f>VLOOKUP($A1957,satpek!$B$20:$L$138,8,0)</f>
        <v>0.67070304302203565</v>
      </c>
      <c r="R1957" s="1954">
        <f>VLOOKUP($A1957,satpek!$B$20:$L$138,9,0)</f>
        <v>70309.8</v>
      </c>
      <c r="S1957" s="1954">
        <f>VLOOKUP($A1957,satpek!$B$20:$L$138,10,0)</f>
        <v>79450.074000000008</v>
      </c>
      <c r="T1957" s="1952">
        <f t="shared" si="1208"/>
        <v>635600.59200000006</v>
      </c>
      <c r="U1957" s="1955"/>
      <c r="X1957" s="1848">
        <f>P1966</f>
        <v>104830</v>
      </c>
      <c r="Y1957" s="1848">
        <f>S1966</f>
        <v>70309.8</v>
      </c>
      <c r="Z1957" s="1956">
        <v>8</v>
      </c>
      <c r="AA1957" s="1956">
        <f t="shared" si="1232"/>
        <v>0</v>
      </c>
      <c r="AB1957" s="1836" t="s">
        <v>1882</v>
      </c>
      <c r="AG1957" s="1836"/>
      <c r="AH1957" s="1836"/>
      <c r="AI1957" s="1837">
        <v>117361.8</v>
      </c>
      <c r="AJ1957" s="1960">
        <f t="shared" si="1233"/>
        <v>-1096.0999999999913</v>
      </c>
    </row>
    <row r="1958" spans="1:36" ht="21.95" customHeight="1" x14ac:dyDescent="0.2">
      <c r="B1958" s="2045"/>
      <c r="C1958" s="2046" t="str">
        <f>SNI!D1646</f>
        <v>Bahan</v>
      </c>
      <c r="D1958" s="2047"/>
      <c r="E1958" s="2047"/>
      <c r="F1958" s="2048"/>
      <c r="G1958" s="2049"/>
      <c r="H1958" s="2050"/>
      <c r="I1958" s="2051"/>
      <c r="J1958" s="2051"/>
      <c r="K1958" s="2052"/>
      <c r="L1958" s="2053"/>
      <c r="M1958" s="2054"/>
      <c r="N1958" s="2055"/>
      <c r="O1958" s="2056"/>
      <c r="P1958" s="2057"/>
      <c r="Q1958" s="2058"/>
      <c r="R1958" s="2059"/>
      <c r="S1958" s="2059"/>
      <c r="T1958" s="2057"/>
      <c r="U1958" s="2060"/>
      <c r="Z1958" s="1956"/>
      <c r="AA1958" s="1956"/>
      <c r="AG1958" s="1836"/>
      <c r="AH1958" s="1836"/>
      <c r="AI1958" s="1837"/>
      <c r="AJ1958" s="1960"/>
    </row>
    <row r="1959" spans="1:36" ht="21.95" customHeight="1" x14ac:dyDescent="0.2">
      <c r="B1959" s="2045"/>
      <c r="C1959" s="2046"/>
      <c r="D1959" s="2047" t="str">
        <f>SNI!E1646</f>
        <v>Fitting</v>
      </c>
      <c r="E1959" s="2047"/>
      <c r="F1959" s="2048"/>
      <c r="G1959" s="2049">
        <f>SNI!H1646</f>
        <v>1</v>
      </c>
      <c r="H1959" s="2050" t="str">
        <f>SNI!G1646</f>
        <v>bh</v>
      </c>
      <c r="I1959" s="2051"/>
      <c r="J1959" s="2051"/>
      <c r="K1959" s="2052">
        <f>SNI!L1646</f>
        <v>0</v>
      </c>
      <c r="L1959" s="2053"/>
      <c r="M1959" s="2054"/>
      <c r="N1959" s="2055">
        <f>SNI!I1646</f>
        <v>8600</v>
      </c>
      <c r="O1959" s="2056"/>
      <c r="P1959" s="1969">
        <f t="shared" ref="P1959" si="1329">N1959*G1959</f>
        <v>8600</v>
      </c>
      <c r="Q1959" s="1953"/>
      <c r="R1959" s="1954"/>
      <c r="S1959" s="1954">
        <f t="shared" ref="S1959" si="1330">P1959*K1959</f>
        <v>0</v>
      </c>
      <c r="T1959" s="1969">
        <f t="shared" ref="T1959" si="1331">P1959-S1959</f>
        <v>8600</v>
      </c>
      <c r="U1959" s="2060"/>
      <c r="Z1959" s="1956"/>
      <c r="AA1959" s="1956"/>
      <c r="AG1959" s="1836"/>
      <c r="AH1959" s="1836"/>
      <c r="AI1959" s="1837"/>
      <c r="AJ1959" s="1960"/>
    </row>
    <row r="1960" spans="1:36" ht="21.95" customHeight="1" x14ac:dyDescent="0.2">
      <c r="B1960" s="2045"/>
      <c r="C1960" s="2046"/>
      <c r="D1960" s="2047" t="str">
        <f>SNI!E1647</f>
        <v>LED 17 watt tipe outbow</v>
      </c>
      <c r="E1960" s="2047"/>
      <c r="F1960" s="2048"/>
      <c r="G1960" s="2049">
        <f>SNI!H1647</f>
        <v>1</v>
      </c>
      <c r="H1960" s="2050" t="str">
        <f>SNI!G1647</f>
        <v>m'</v>
      </c>
      <c r="I1960" s="2051"/>
      <c r="J1960" s="2051"/>
      <c r="K1960" s="2052">
        <f>SNI!L1647</f>
        <v>0.59060000000000001</v>
      </c>
      <c r="L1960" s="2053"/>
      <c r="M1960" s="2054"/>
      <c r="N1960" s="2055">
        <f>SNI!I1647</f>
        <v>58000</v>
      </c>
      <c r="O1960" s="2056"/>
      <c r="P1960" s="1969">
        <f t="shared" ref="P1960:P1965" si="1332">N1960*G1960</f>
        <v>58000</v>
      </c>
      <c r="Q1960" s="1953"/>
      <c r="R1960" s="1954"/>
      <c r="S1960" s="1954">
        <f t="shared" ref="S1960:S1965" si="1333">P1960*K1960</f>
        <v>34254.800000000003</v>
      </c>
      <c r="T1960" s="1969">
        <f t="shared" ref="T1960:T1965" si="1334">P1960-S1960</f>
        <v>23745.199999999997</v>
      </c>
      <c r="U1960" s="2060"/>
      <c r="Z1960" s="1956"/>
      <c r="AA1960" s="1956"/>
      <c r="AG1960" s="1836"/>
      <c r="AH1960" s="1836"/>
      <c r="AI1960" s="1837"/>
      <c r="AJ1960" s="1960"/>
    </row>
    <row r="1961" spans="1:36" ht="21.95" customHeight="1" x14ac:dyDescent="0.2">
      <c r="B1961" s="2045"/>
      <c r="C1961" s="2046"/>
      <c r="D1961" s="2047" t="str">
        <f>SNI!E1648</f>
        <v>aksesoris 15%</v>
      </c>
      <c r="E1961" s="2047"/>
      <c r="F1961" s="2048"/>
      <c r="G1961" s="2049">
        <f>SNI!H1648</f>
        <v>1</v>
      </c>
      <c r="H1961" s="2050" t="str">
        <f>SNI!G1648</f>
        <v xml:space="preserve">ls </v>
      </c>
      <c r="I1961" s="2051"/>
      <c r="J1961" s="2051"/>
      <c r="K1961" s="2052">
        <f>SNI!L1648</f>
        <v>0.75</v>
      </c>
      <c r="L1961" s="2053"/>
      <c r="M1961" s="2054"/>
      <c r="N1961" s="2055">
        <f>SNI!I1648</f>
        <v>8700</v>
      </c>
      <c r="O1961" s="2056"/>
      <c r="P1961" s="1969">
        <f t="shared" si="1332"/>
        <v>8700</v>
      </c>
      <c r="Q1961" s="1953"/>
      <c r="R1961" s="1954"/>
      <c r="S1961" s="1954">
        <f t="shared" si="1333"/>
        <v>6525</v>
      </c>
      <c r="T1961" s="1969">
        <f t="shared" si="1334"/>
        <v>2175</v>
      </c>
      <c r="U1961" s="2060"/>
      <c r="Z1961" s="1956"/>
      <c r="AA1961" s="1956"/>
      <c r="AG1961" s="1836"/>
      <c r="AH1961" s="1836"/>
      <c r="AI1961" s="1837"/>
      <c r="AJ1961" s="1960"/>
    </row>
    <row r="1962" spans="1:36" ht="21.95" customHeight="1" x14ac:dyDescent="0.2">
      <c r="B1962" s="2045"/>
      <c r="C1962" s="2046" t="str">
        <f>SNI!D1650</f>
        <v>Tenaga Kerja</v>
      </c>
      <c r="D1962" s="2047"/>
      <c r="E1962" s="2047"/>
      <c r="F1962" s="2048"/>
      <c r="G1962" s="2049"/>
      <c r="H1962" s="2050"/>
      <c r="I1962" s="2051"/>
      <c r="J1962" s="2051"/>
      <c r="K1962" s="2052"/>
      <c r="L1962" s="2053"/>
      <c r="M1962" s="2054"/>
      <c r="N1962" s="2055"/>
      <c r="O1962" s="2056"/>
      <c r="P1962" s="1969"/>
      <c r="Q1962" s="1953"/>
      <c r="R1962" s="1954"/>
      <c r="S1962" s="1954"/>
      <c r="T1962" s="1969"/>
      <c r="U1962" s="2060"/>
      <c r="Z1962" s="1956"/>
      <c r="AA1962" s="1956"/>
      <c r="AG1962" s="1836"/>
      <c r="AH1962" s="1836"/>
      <c r="AI1962" s="1837"/>
      <c r="AJ1962" s="1960"/>
    </row>
    <row r="1963" spans="1:36" ht="21.95" customHeight="1" x14ac:dyDescent="0.2">
      <c r="B1963" s="2045"/>
      <c r="C1963" s="2046"/>
      <c r="D1963" s="2047" t="str">
        <f>SNI!E1650</f>
        <v>Pekerja</v>
      </c>
      <c r="E1963" s="2047"/>
      <c r="F1963" s="2048"/>
      <c r="G1963" s="2049">
        <f>SNI!H1650</f>
        <v>0.1</v>
      </c>
      <c r="H1963" s="2050" t="str">
        <f>SNI!G1650</f>
        <v>OH</v>
      </c>
      <c r="I1963" s="2051" t="str">
        <f>SNI!M1650</f>
        <v>WNI</v>
      </c>
      <c r="J1963" s="2051"/>
      <c r="K1963" s="2052">
        <f>SNI!L1650</f>
        <v>1</v>
      </c>
      <c r="L1963" s="2053"/>
      <c r="M1963" s="2054"/>
      <c r="N1963" s="2055">
        <f>SNI!I1650</f>
        <v>88300</v>
      </c>
      <c r="O1963" s="2056"/>
      <c r="P1963" s="1969">
        <f t="shared" si="1332"/>
        <v>8830</v>
      </c>
      <c r="Q1963" s="1953"/>
      <c r="R1963" s="1954"/>
      <c r="S1963" s="1954">
        <f t="shared" si="1333"/>
        <v>8830</v>
      </c>
      <c r="T1963" s="1969">
        <f t="shared" si="1334"/>
        <v>0</v>
      </c>
      <c r="U1963" s="2060"/>
      <c r="Z1963" s="1956"/>
      <c r="AA1963" s="1956"/>
      <c r="AG1963" s="1836"/>
      <c r="AH1963" s="1836"/>
      <c r="AI1963" s="1837"/>
      <c r="AJ1963" s="1960"/>
    </row>
    <row r="1964" spans="1:36" ht="21.95" customHeight="1" x14ac:dyDescent="0.2">
      <c r="B1964" s="2045"/>
      <c r="C1964" s="2046"/>
      <c r="D1964" s="2047" t="str">
        <f>SNI!E1651</f>
        <v>Tukang listrik</v>
      </c>
      <c r="E1964" s="2047"/>
      <c r="F1964" s="2048"/>
      <c r="G1964" s="2049">
        <f>SNI!H1651</f>
        <v>0.18</v>
      </c>
      <c r="H1964" s="2050" t="str">
        <f>SNI!G1651</f>
        <v>OH</v>
      </c>
      <c r="I1964" s="2051" t="str">
        <f>SNI!M1651</f>
        <v>WNI</v>
      </c>
      <c r="J1964" s="2051"/>
      <c r="K1964" s="2052">
        <f>SNI!L1651</f>
        <v>1</v>
      </c>
      <c r="L1964" s="2053"/>
      <c r="M1964" s="2054"/>
      <c r="N1964" s="2055">
        <f>SNI!I1651</f>
        <v>90000</v>
      </c>
      <c r="O1964" s="2056"/>
      <c r="P1964" s="1969">
        <f t="shared" si="1332"/>
        <v>16200</v>
      </c>
      <c r="Q1964" s="1953"/>
      <c r="R1964" s="1954"/>
      <c r="S1964" s="1954">
        <f t="shared" si="1333"/>
        <v>16200</v>
      </c>
      <c r="T1964" s="1969">
        <f t="shared" si="1334"/>
        <v>0</v>
      </c>
      <c r="U1964" s="2060"/>
      <c r="Z1964" s="1956"/>
      <c r="AA1964" s="1956"/>
      <c r="AG1964" s="1836"/>
      <c r="AH1964" s="1836"/>
      <c r="AI1964" s="1837"/>
      <c r="AJ1964" s="1960"/>
    </row>
    <row r="1965" spans="1:36" ht="21.95" customHeight="1" x14ac:dyDescent="0.2">
      <c r="B1965" s="2045"/>
      <c r="C1965" s="2046"/>
      <c r="D1965" s="2047" t="str">
        <f>SNI!E1652</f>
        <v>Mandor</v>
      </c>
      <c r="E1965" s="2047"/>
      <c r="F1965" s="2048"/>
      <c r="G1965" s="2049">
        <f>SNI!H1652</f>
        <v>0.05</v>
      </c>
      <c r="H1965" s="2050" t="str">
        <f>SNI!G1652</f>
        <v>OH</v>
      </c>
      <c r="I1965" s="2051" t="str">
        <f>SNI!M1652</f>
        <v>WNI</v>
      </c>
      <c r="J1965" s="2051"/>
      <c r="K1965" s="2052">
        <f>SNI!L1652</f>
        <v>1</v>
      </c>
      <c r="L1965" s="2053"/>
      <c r="M1965" s="2054"/>
      <c r="N1965" s="2055">
        <f>SNI!I1652</f>
        <v>90000</v>
      </c>
      <c r="O1965" s="2056"/>
      <c r="P1965" s="1969">
        <f t="shared" si="1332"/>
        <v>4500</v>
      </c>
      <c r="Q1965" s="1953"/>
      <c r="R1965" s="1954"/>
      <c r="S1965" s="1954">
        <f t="shared" si="1333"/>
        <v>4500</v>
      </c>
      <c r="T1965" s="1969">
        <f t="shared" si="1334"/>
        <v>0</v>
      </c>
      <c r="U1965" s="2060"/>
      <c r="Z1965" s="1956"/>
      <c r="AA1965" s="1956"/>
      <c r="AG1965" s="1836"/>
      <c r="AH1965" s="1836"/>
      <c r="AI1965" s="1837"/>
      <c r="AJ1965" s="1960"/>
    </row>
    <row r="1966" spans="1:36" s="1957" customFormat="1" ht="21.95" customHeight="1" x14ac:dyDescent="0.2">
      <c r="A1966" s="1942"/>
      <c r="B1966" s="1970"/>
      <c r="C1966" s="1971"/>
      <c r="D1966" s="1972"/>
      <c r="E1966" s="1973"/>
      <c r="F1966" s="1974" t="s">
        <v>556</v>
      </c>
      <c r="G1966" s="1975">
        <f>B1957</f>
        <v>17</v>
      </c>
      <c r="H1966" s="1976"/>
      <c r="I1966" s="1977"/>
      <c r="J1966" s="1977"/>
      <c r="K1966" s="1978"/>
      <c r="L1966" s="1979"/>
      <c r="M1966" s="1980"/>
      <c r="N1966" s="1981"/>
      <c r="O1966" s="1982"/>
      <c r="P1966" s="1983">
        <f>SUM(P1959:P1965)</f>
        <v>104830</v>
      </c>
      <c r="Q1966" s="1984"/>
      <c r="R1966" s="1985"/>
      <c r="S1966" s="1983">
        <f t="shared" ref="S1966:T1966" si="1335">SUM(S1959:S1965)</f>
        <v>70309.8</v>
      </c>
      <c r="T1966" s="1983">
        <f t="shared" si="1335"/>
        <v>34520.199999999997</v>
      </c>
      <c r="U1966" s="1986"/>
      <c r="V1966" s="1848"/>
      <c r="W1966" s="1848"/>
      <c r="X1966" s="1848"/>
      <c r="Y1966" s="1848"/>
      <c r="Z1966" s="1956"/>
      <c r="AA1966" s="1956"/>
      <c r="AF1966" s="1958"/>
      <c r="AG1966" s="1958"/>
      <c r="AH1966" s="1958"/>
      <c r="AI1966" s="1959"/>
      <c r="AJ1966" s="1960"/>
    </row>
    <row r="1967" spans="1:36" ht="21.95" customHeight="1" x14ac:dyDescent="0.2">
      <c r="A1967" s="1833">
        <f>satpek!B103</f>
        <v>84</v>
      </c>
      <c r="B1967" s="1943">
        <f>B1957+1</f>
        <v>18</v>
      </c>
      <c r="C1967" s="1937"/>
      <c r="D1967" s="1944" t="s">
        <v>1883</v>
      </c>
      <c r="E1967" s="1944"/>
      <c r="F1967" s="2004"/>
      <c r="G1967" s="1945">
        <f>'[3]B.VOL RAB'!Q624</f>
        <v>55</v>
      </c>
      <c r="H1967" s="1946" t="str">
        <f>VLOOKUP($A1967,satpek!$B$20:$N$144,7,0)</f>
        <v>m'</v>
      </c>
      <c r="I1967" s="1947"/>
      <c r="J1967" s="1947"/>
      <c r="K1967" s="1948"/>
      <c r="L1967" s="1949"/>
      <c r="M1967" s="1950" t="str">
        <f>VLOOKUP($A1967,satpek!$B$20:$N$144,5,0)</f>
        <v>An. Dihitung</v>
      </c>
      <c r="N1967" s="1951">
        <f>VLOOKUP($A1967,satpek!$B$20:$N$144,6,0)</f>
        <v>274370.78000000003</v>
      </c>
      <c r="O1967" s="1938"/>
      <c r="P1967" s="1952">
        <f t="shared" si="1207"/>
        <v>15090392.9</v>
      </c>
      <c r="Q1967" s="1953">
        <f>VLOOKUP($A1967,satpek!$B$20:$L$138,8,0)</f>
        <v>0.80899051094289265</v>
      </c>
      <c r="R1967" s="1954">
        <f>VLOOKUP($A1967,satpek!$B$20:$L$138,9,0)</f>
        <v>196427.75</v>
      </c>
      <c r="S1967" s="1954">
        <f>VLOOKUP($A1967,satpek!$B$20:$L$138,10,0)</f>
        <v>221963.35750000001</v>
      </c>
      <c r="T1967" s="1952">
        <f t="shared" si="1208"/>
        <v>12207984.662500001</v>
      </c>
      <c r="U1967" s="1955"/>
      <c r="X1967" s="1848">
        <f>P1977</f>
        <v>242806</v>
      </c>
      <c r="Y1967" s="1848">
        <f>S1977</f>
        <v>196427.75</v>
      </c>
      <c r="Z1967" s="1956">
        <v>55</v>
      </c>
      <c r="AA1967" s="1956">
        <f t="shared" si="1232"/>
        <v>0</v>
      </c>
      <c r="AB1967" s="1836" t="s">
        <v>1883</v>
      </c>
      <c r="AG1967" s="1836"/>
      <c r="AH1967" s="1836"/>
      <c r="AI1967" s="1837">
        <v>286212.05</v>
      </c>
      <c r="AJ1967" s="1960">
        <f t="shared" si="1233"/>
        <v>11841.26999999996</v>
      </c>
    </row>
    <row r="1968" spans="1:36" ht="21.95" customHeight="1" x14ac:dyDescent="0.2">
      <c r="B1968" s="2045"/>
      <c r="C1968" s="2046" t="str">
        <f>SNI!D1667</f>
        <v>Bahan</v>
      </c>
      <c r="D1968" s="2047"/>
      <c r="E1968" s="2047"/>
      <c r="F1968" s="2048"/>
      <c r="G1968" s="2049"/>
      <c r="H1968" s="2050"/>
      <c r="I1968" s="2051"/>
      <c r="J1968" s="2051"/>
      <c r="K1968" s="2052"/>
      <c r="L1968" s="2053"/>
      <c r="M1968" s="2054"/>
      <c r="N1968" s="2055"/>
      <c r="O1968" s="2056"/>
      <c r="P1968" s="2057"/>
      <c r="Q1968" s="2058"/>
      <c r="R1968" s="2059"/>
      <c r="S1968" s="2059"/>
      <c r="T1968" s="2057"/>
      <c r="U1968" s="2060"/>
      <c r="Z1968" s="1956"/>
      <c r="AA1968" s="1956"/>
      <c r="AG1968" s="1836"/>
      <c r="AH1968" s="1836"/>
      <c r="AI1968" s="1837"/>
      <c r="AJ1968" s="1960"/>
    </row>
    <row r="1969" spans="1:36" ht="21.95" customHeight="1" x14ac:dyDescent="0.2">
      <c r="B1969" s="2045"/>
      <c r="C1969" s="2046"/>
      <c r="D1969" s="2047" t="str">
        <f>SNI!E1667</f>
        <v>longdrat m10</v>
      </c>
      <c r="E1969" s="2047"/>
      <c r="F1969" s="2048"/>
      <c r="G1969" s="2049">
        <f>SNI!H1667</f>
        <v>2</v>
      </c>
      <c r="H1969" s="2050" t="str">
        <f>SNI!G1667</f>
        <v>bh</v>
      </c>
      <c r="I1969" s="2051"/>
      <c r="J1969" s="2051"/>
      <c r="K1969" s="2052">
        <f>SNI!L1667</f>
        <v>0</v>
      </c>
      <c r="L1969" s="2053"/>
      <c r="M1969" s="2054"/>
      <c r="N1969" s="2055">
        <f>SNI!I1667</f>
        <v>10500</v>
      </c>
      <c r="O1969" s="2056"/>
      <c r="P1969" s="1969">
        <f t="shared" ref="P1969" si="1336">N1969*G1969</f>
        <v>21000</v>
      </c>
      <c r="Q1969" s="1953"/>
      <c r="R1969" s="1954"/>
      <c r="S1969" s="1954">
        <f t="shared" ref="S1969" si="1337">P1969*K1969</f>
        <v>0</v>
      </c>
      <c r="T1969" s="1969">
        <f t="shared" ref="T1969" si="1338">P1969-S1969</f>
        <v>21000</v>
      </c>
      <c r="U1969" s="2060"/>
      <c r="Z1969" s="1956"/>
      <c r="AA1969" s="1956"/>
      <c r="AG1969" s="1836"/>
      <c r="AH1969" s="1836"/>
      <c r="AI1969" s="1837"/>
      <c r="AJ1969" s="1960"/>
    </row>
    <row r="1970" spans="1:36" ht="21.95" customHeight="1" x14ac:dyDescent="0.2">
      <c r="B1970" s="2045"/>
      <c r="C1970" s="2046"/>
      <c r="D1970" s="2047" t="str">
        <f>SNI!E1668</f>
        <v>dynabolt</v>
      </c>
      <c r="E1970" s="2047"/>
      <c r="F1970" s="2048"/>
      <c r="G1970" s="2049">
        <f>SNI!H1668</f>
        <v>2</v>
      </c>
      <c r="H1970" s="2050" t="str">
        <f>SNI!G1668</f>
        <v>bh</v>
      </c>
      <c r="I1970" s="2051"/>
      <c r="J1970" s="2051"/>
      <c r="K1970" s="2052">
        <f>SNI!L1668</f>
        <v>0</v>
      </c>
      <c r="L1970" s="2053"/>
      <c r="M1970" s="2054"/>
      <c r="N1970" s="2055">
        <f>SNI!I1668</f>
        <v>570</v>
      </c>
      <c r="O1970" s="2056"/>
      <c r="P1970" s="1969">
        <f t="shared" ref="P1970:P1976" si="1339">N1970*G1970</f>
        <v>1140</v>
      </c>
      <c r="Q1970" s="1953"/>
      <c r="R1970" s="1954"/>
      <c r="S1970" s="1954">
        <f t="shared" ref="S1970:S1976" si="1340">P1970*K1970</f>
        <v>0</v>
      </c>
      <c r="T1970" s="1969">
        <f t="shared" ref="T1970:T1976" si="1341">P1970-S1970</f>
        <v>1140</v>
      </c>
      <c r="U1970" s="2060"/>
      <c r="Z1970" s="1956"/>
      <c r="AA1970" s="1956"/>
      <c r="AG1970" s="1836"/>
      <c r="AH1970" s="1836"/>
      <c r="AI1970" s="1837"/>
      <c r="AJ1970" s="1960"/>
    </row>
    <row r="1971" spans="1:36" ht="21.95" customHeight="1" x14ac:dyDescent="0.2">
      <c r="B1971" s="2045"/>
      <c r="C1971" s="2046"/>
      <c r="D1971" s="2047" t="str">
        <f>SNI!E1669</f>
        <v>kabel tray</v>
      </c>
      <c r="E1971" s="2047"/>
      <c r="F1971" s="2048"/>
      <c r="G1971" s="2049">
        <f>SNI!H1669</f>
        <v>1.1000000000000001</v>
      </c>
      <c r="H1971" s="2050" t="str">
        <f>SNI!G1669</f>
        <v>m'</v>
      </c>
      <c r="I1971" s="2051"/>
      <c r="J1971" s="2051"/>
      <c r="K1971" s="2052">
        <f>SNI!L1669</f>
        <v>0.88549999999999995</v>
      </c>
      <c r="L1971" s="2053"/>
      <c r="M1971" s="2054"/>
      <c r="N1971" s="2055">
        <f>SNI!I1669</f>
        <v>140000</v>
      </c>
      <c r="O1971" s="2056"/>
      <c r="P1971" s="1969">
        <f t="shared" si="1339"/>
        <v>154000</v>
      </c>
      <c r="Q1971" s="1953"/>
      <c r="R1971" s="1954"/>
      <c r="S1971" s="1954">
        <f t="shared" si="1340"/>
        <v>136367</v>
      </c>
      <c r="T1971" s="1969">
        <f t="shared" si="1341"/>
        <v>17633</v>
      </c>
      <c r="U1971" s="2060"/>
      <c r="Z1971" s="1956"/>
      <c r="AA1971" s="1956"/>
      <c r="AG1971" s="1836"/>
      <c r="AH1971" s="1836"/>
      <c r="AI1971" s="1837"/>
      <c r="AJ1971" s="1960"/>
    </row>
    <row r="1972" spans="1:36" ht="21.95" customHeight="1" x14ac:dyDescent="0.2">
      <c r="B1972" s="2045"/>
      <c r="C1972" s="2046"/>
      <c r="D1972" s="2047" t="str">
        <f>SNI!E1670</f>
        <v>aksesoris 15%</v>
      </c>
      <c r="E1972" s="2047"/>
      <c r="F1972" s="2048"/>
      <c r="G1972" s="2049">
        <f>SNI!H1670</f>
        <v>1</v>
      </c>
      <c r="H1972" s="2050" t="str">
        <f>SNI!G1670</f>
        <v xml:space="preserve">ls </v>
      </c>
      <c r="I1972" s="2051"/>
      <c r="J1972" s="2051"/>
      <c r="K1972" s="2052">
        <f>SNI!L1670</f>
        <v>0.75</v>
      </c>
      <c r="L1972" s="2053"/>
      <c r="M1972" s="2054"/>
      <c r="N1972" s="2055">
        <f>SNI!I1670</f>
        <v>26421</v>
      </c>
      <c r="O1972" s="2056"/>
      <c r="P1972" s="1969">
        <f t="shared" si="1339"/>
        <v>26421</v>
      </c>
      <c r="Q1972" s="1953"/>
      <c r="R1972" s="1954"/>
      <c r="S1972" s="1954">
        <f t="shared" si="1340"/>
        <v>19815.75</v>
      </c>
      <c r="T1972" s="1969">
        <f t="shared" si="1341"/>
        <v>6605.25</v>
      </c>
      <c r="U1972" s="2060"/>
      <c r="Z1972" s="1956"/>
      <c r="AA1972" s="1956"/>
      <c r="AG1972" s="1836"/>
      <c r="AH1972" s="1836"/>
      <c r="AI1972" s="1837"/>
      <c r="AJ1972" s="1960"/>
    </row>
    <row r="1973" spans="1:36" ht="21.95" customHeight="1" x14ac:dyDescent="0.2">
      <c r="B1973" s="2045"/>
      <c r="C1973" s="2046" t="str">
        <f>SNI!D1672</f>
        <v>Tenaga Kerja</v>
      </c>
      <c r="D1973" s="2047"/>
      <c r="E1973" s="2047"/>
      <c r="F1973" s="2048"/>
      <c r="G1973" s="2049"/>
      <c r="H1973" s="2050"/>
      <c r="I1973" s="2051"/>
      <c r="J1973" s="2051"/>
      <c r="K1973" s="2052"/>
      <c r="L1973" s="2053"/>
      <c r="M1973" s="2054"/>
      <c r="N1973" s="2055"/>
      <c r="O1973" s="2056"/>
      <c r="P1973" s="1969"/>
      <c r="Q1973" s="1953"/>
      <c r="R1973" s="1954"/>
      <c r="S1973" s="1954"/>
      <c r="T1973" s="1969"/>
      <c r="U1973" s="2060"/>
      <c r="Z1973" s="1956"/>
      <c r="AA1973" s="1956"/>
      <c r="AG1973" s="1836"/>
      <c r="AH1973" s="1836"/>
      <c r="AI1973" s="1837"/>
      <c r="AJ1973" s="1960"/>
    </row>
    <row r="1974" spans="1:36" ht="21.95" customHeight="1" x14ac:dyDescent="0.2">
      <c r="B1974" s="2045"/>
      <c r="C1974" s="2046"/>
      <c r="D1974" s="2047" t="str">
        <f>SNI!E1672</f>
        <v>Pekerja</v>
      </c>
      <c r="E1974" s="2047"/>
      <c r="F1974" s="2048"/>
      <c r="G1974" s="2049">
        <f>SNI!H1672</f>
        <v>0.15</v>
      </c>
      <c r="H1974" s="2050" t="str">
        <f>SNI!G1672</f>
        <v>OH</v>
      </c>
      <c r="I1974" s="2051" t="str">
        <f>SNI!M1672</f>
        <v>WNI</v>
      </c>
      <c r="J1974" s="2051"/>
      <c r="K1974" s="2052">
        <f>SNI!L1672</f>
        <v>1</v>
      </c>
      <c r="L1974" s="2053"/>
      <c r="M1974" s="2054"/>
      <c r="N1974" s="2055">
        <f>SNI!I1672</f>
        <v>88300</v>
      </c>
      <c r="O1974" s="2056"/>
      <c r="P1974" s="1969">
        <f t="shared" si="1339"/>
        <v>13245</v>
      </c>
      <c r="Q1974" s="1953"/>
      <c r="R1974" s="1954"/>
      <c r="S1974" s="1954">
        <f t="shared" si="1340"/>
        <v>13245</v>
      </c>
      <c r="T1974" s="1969">
        <f t="shared" si="1341"/>
        <v>0</v>
      </c>
      <c r="U1974" s="2060"/>
      <c r="Z1974" s="1956"/>
      <c r="AA1974" s="1956"/>
      <c r="AG1974" s="1836"/>
      <c r="AH1974" s="1836"/>
      <c r="AI1974" s="1837"/>
      <c r="AJ1974" s="1960"/>
    </row>
    <row r="1975" spans="1:36" ht="21.95" customHeight="1" x14ac:dyDescent="0.2">
      <c r="B1975" s="2045"/>
      <c r="C1975" s="2046"/>
      <c r="D1975" s="2047" t="str">
        <f>SNI!E1673</f>
        <v>Tukang listrik</v>
      </c>
      <c r="E1975" s="2047"/>
      <c r="F1975" s="2048"/>
      <c r="G1975" s="2049">
        <f>SNI!H1673</f>
        <v>0.25</v>
      </c>
      <c r="H1975" s="2050" t="str">
        <f>SNI!G1673</f>
        <v>OH</v>
      </c>
      <c r="I1975" s="2051" t="str">
        <f>SNI!M1673</f>
        <v>WNI</v>
      </c>
      <c r="J1975" s="2051"/>
      <c r="K1975" s="2052">
        <f>SNI!L1673</f>
        <v>1</v>
      </c>
      <c r="L1975" s="2053"/>
      <c r="M1975" s="2054"/>
      <c r="N1975" s="2055">
        <f>SNI!I1673</f>
        <v>90000</v>
      </c>
      <c r="O1975" s="2056"/>
      <c r="P1975" s="1969">
        <f t="shared" si="1339"/>
        <v>22500</v>
      </c>
      <c r="Q1975" s="1953"/>
      <c r="R1975" s="1954"/>
      <c r="S1975" s="1954">
        <f t="shared" si="1340"/>
        <v>22500</v>
      </c>
      <c r="T1975" s="1969">
        <f t="shared" si="1341"/>
        <v>0</v>
      </c>
      <c r="U1975" s="2060"/>
      <c r="Z1975" s="1956"/>
      <c r="AA1975" s="1956"/>
      <c r="AG1975" s="1836"/>
      <c r="AH1975" s="1836"/>
      <c r="AI1975" s="1837"/>
      <c r="AJ1975" s="1960"/>
    </row>
    <row r="1976" spans="1:36" ht="21.95" customHeight="1" x14ac:dyDescent="0.2">
      <c r="B1976" s="2045"/>
      <c r="C1976" s="2046"/>
      <c r="D1976" s="2047" t="str">
        <f>SNI!E1674</f>
        <v>Mandor</v>
      </c>
      <c r="E1976" s="2047"/>
      <c r="F1976" s="2048"/>
      <c r="G1976" s="2049">
        <f>SNI!H1674</f>
        <v>0.05</v>
      </c>
      <c r="H1976" s="2050" t="str">
        <f>SNI!G1674</f>
        <v>OH</v>
      </c>
      <c r="I1976" s="2051" t="str">
        <f>SNI!M1674</f>
        <v>WNI</v>
      </c>
      <c r="J1976" s="2051"/>
      <c r="K1976" s="2052">
        <f>SNI!L1674</f>
        <v>1</v>
      </c>
      <c r="L1976" s="2053"/>
      <c r="M1976" s="2054"/>
      <c r="N1976" s="2055">
        <f>SNI!I1674</f>
        <v>90000</v>
      </c>
      <c r="O1976" s="2056"/>
      <c r="P1976" s="1969">
        <f t="shared" si="1339"/>
        <v>4500</v>
      </c>
      <c r="Q1976" s="1953"/>
      <c r="R1976" s="1954"/>
      <c r="S1976" s="1954">
        <f t="shared" si="1340"/>
        <v>4500</v>
      </c>
      <c r="T1976" s="1969">
        <f t="shared" si="1341"/>
        <v>0</v>
      </c>
      <c r="U1976" s="2060"/>
      <c r="Z1976" s="1956"/>
      <c r="AA1976" s="1956"/>
      <c r="AG1976" s="1836"/>
      <c r="AH1976" s="1836"/>
      <c r="AI1976" s="1837"/>
      <c r="AJ1976" s="1960"/>
    </row>
    <row r="1977" spans="1:36" s="1957" customFormat="1" ht="21.95" customHeight="1" x14ac:dyDescent="0.2">
      <c r="A1977" s="1942"/>
      <c r="B1977" s="1970"/>
      <c r="C1977" s="1971"/>
      <c r="D1977" s="1972"/>
      <c r="E1977" s="1973"/>
      <c r="F1977" s="1974" t="s">
        <v>556</v>
      </c>
      <c r="G1977" s="1975">
        <f>B1967</f>
        <v>18</v>
      </c>
      <c r="H1977" s="1976"/>
      <c r="I1977" s="1977"/>
      <c r="J1977" s="1977"/>
      <c r="K1977" s="1978"/>
      <c r="L1977" s="1979"/>
      <c r="M1977" s="1980"/>
      <c r="N1977" s="1981"/>
      <c r="O1977" s="1982"/>
      <c r="P1977" s="1983">
        <f>SUM(P1969:P1976)</f>
        <v>242806</v>
      </c>
      <c r="Q1977" s="1984"/>
      <c r="R1977" s="1985"/>
      <c r="S1977" s="1983">
        <f t="shared" ref="S1977:T1977" si="1342">SUM(S1969:S1976)</f>
        <v>196427.75</v>
      </c>
      <c r="T1977" s="1983">
        <f t="shared" si="1342"/>
        <v>46378.25</v>
      </c>
      <c r="U1977" s="1986"/>
      <c r="V1977" s="1848"/>
      <c r="W1977" s="1848"/>
      <c r="X1977" s="1848"/>
      <c r="Y1977" s="1848"/>
      <c r="Z1977" s="1956"/>
      <c r="AA1977" s="1956"/>
      <c r="AF1977" s="1958"/>
      <c r="AG1977" s="1958"/>
      <c r="AH1977" s="1958"/>
      <c r="AI1977" s="1959"/>
      <c r="AJ1977" s="1960"/>
    </row>
    <row r="1978" spans="1:36" ht="21.95" customHeight="1" x14ac:dyDescent="0.2">
      <c r="A1978" s="1833">
        <f>satpek!B129</f>
        <v>104</v>
      </c>
      <c r="B1978" s="1943">
        <f>B1967+1</f>
        <v>19</v>
      </c>
      <c r="C1978" s="1937"/>
      <c r="D1978" s="1944" t="str">
        <f>VLOOKUP($A1978,satpek!$B$20:$N$144,2,0)</f>
        <v>Memasang Unit AC 1 PK</v>
      </c>
      <c r="E1978" s="1944"/>
      <c r="F1978" s="2004"/>
      <c r="G1978" s="1945">
        <f>'[3]B.VOL RAB'!Q625</f>
        <v>13</v>
      </c>
      <c r="H1978" s="1946" t="str">
        <f>VLOOKUP($A1978,satpek!$B$20:$N$144,7,0)</f>
        <v>unit</v>
      </c>
      <c r="I1978" s="1947"/>
      <c r="J1978" s="1947"/>
      <c r="K1978" s="1948"/>
      <c r="L1978" s="1949"/>
      <c r="M1978" s="1950" t="str">
        <f>VLOOKUP($A1978,satpek!$B$20:$N$144,5,0)</f>
        <v>Daftar harga</v>
      </c>
      <c r="N1978" s="1951">
        <f>VLOOKUP($A1978,satpek!$B$20:$N$144,6,0)</f>
        <v>4950000</v>
      </c>
      <c r="O1978" s="1938"/>
      <c r="P1978" s="1952">
        <f t="shared" si="1207"/>
        <v>64350000</v>
      </c>
      <c r="Q1978" s="1953">
        <f>VLOOKUP($A1978,satpek!$B$20:$L$138,8,0)</f>
        <v>0.1082</v>
      </c>
      <c r="R1978" s="1954">
        <f>VLOOKUP($A1978,satpek!$B$20:$L$138,9,0)</f>
        <v>0</v>
      </c>
      <c r="S1978" s="1954">
        <f>VLOOKUP($A1978,satpek!$B$20:$L$138,10,0)</f>
        <v>535590</v>
      </c>
      <c r="T1978" s="1952">
        <f t="shared" si="1208"/>
        <v>6962670</v>
      </c>
      <c r="U1978" s="1955"/>
      <c r="X1978" s="1848">
        <f>P1979</f>
        <v>4950000</v>
      </c>
      <c r="Y1978" s="1848">
        <f>S1979</f>
        <v>535590</v>
      </c>
      <c r="Z1978" s="1956">
        <v>13</v>
      </c>
      <c r="AA1978" s="1956">
        <f t="shared" si="1232"/>
        <v>0</v>
      </c>
      <c r="AB1978" s="1836" t="s">
        <v>1884</v>
      </c>
      <c r="AG1978" s="1836"/>
      <c r="AH1978" s="1836"/>
      <c r="AI1978" s="1837">
        <v>4950000</v>
      </c>
      <c r="AJ1978" s="1960">
        <f t="shared" si="1233"/>
        <v>0</v>
      </c>
    </row>
    <row r="1979" spans="1:36" s="1957" customFormat="1" ht="21.95" customHeight="1" x14ac:dyDescent="0.2">
      <c r="A1979" s="1942"/>
      <c r="B1979" s="1970"/>
      <c r="C1979" s="1971"/>
      <c r="D1979" s="1972" t="str">
        <f>D1978</f>
        <v>Memasang Unit AC 1 PK</v>
      </c>
      <c r="E1979" s="1973"/>
      <c r="F1979" s="1974"/>
      <c r="G1979" s="1975">
        <f>G1978</f>
        <v>13</v>
      </c>
      <c r="H1979" s="1976" t="str">
        <f>H1978</f>
        <v>unit</v>
      </c>
      <c r="I1979" s="1977"/>
      <c r="J1979" s="1977"/>
      <c r="K1979" s="1978">
        <f>satpek!I129</f>
        <v>0.1082</v>
      </c>
      <c r="L1979" s="1979"/>
      <c r="M1979" s="1980"/>
      <c r="N1979" s="1981">
        <f>N1978</f>
        <v>4950000</v>
      </c>
      <c r="O1979" s="1982"/>
      <c r="P1979" s="1983">
        <f>N1979</f>
        <v>4950000</v>
      </c>
      <c r="Q1979" s="1984"/>
      <c r="R1979" s="1985"/>
      <c r="S1979" s="1983">
        <f>K1979*N1979</f>
        <v>535590</v>
      </c>
      <c r="T1979" s="1983">
        <f>N1979-S1979</f>
        <v>4414410</v>
      </c>
      <c r="U1979" s="1986"/>
      <c r="V1979" s="1848"/>
      <c r="W1979" s="1848"/>
      <c r="X1979" s="1848"/>
      <c r="Y1979" s="1848"/>
      <c r="Z1979" s="1956"/>
      <c r="AA1979" s="1956"/>
      <c r="AF1979" s="1958"/>
      <c r="AG1979" s="1958"/>
      <c r="AH1979" s="1958"/>
      <c r="AI1979" s="1959"/>
      <c r="AJ1979" s="1960"/>
    </row>
    <row r="1980" spans="1:36" ht="21.95" customHeight="1" x14ac:dyDescent="0.2">
      <c r="A1980" s="1833">
        <f>satpek!B117</f>
        <v>98</v>
      </c>
      <c r="B1980" s="1943">
        <f>B1978+1</f>
        <v>20</v>
      </c>
      <c r="C1980" s="1937"/>
      <c r="D1980" s="1944" t="str">
        <f>VLOOKUP($A1980,satpek!$B$20:$N$144,2,0)</f>
        <v>Panel uk 50x70x25 lengkap dengan asesoris 3 phase</v>
      </c>
      <c r="E1980" s="1944"/>
      <c r="F1980" s="2004"/>
      <c r="G1980" s="1945">
        <f>'[3]B.VOL RAB'!Q626</f>
        <v>1</v>
      </c>
      <c r="H1980" s="1946" t="str">
        <f>VLOOKUP($A1980,satpek!$B$20:$N$144,7,0)</f>
        <v>unit</v>
      </c>
      <c r="I1980" s="1947"/>
      <c r="J1980" s="1947"/>
      <c r="K1980" s="1948"/>
      <c r="L1980" s="1949"/>
      <c r="M1980" s="1950" t="str">
        <f>VLOOKUP($A1980,satpek!$B$20:$N$144,5,0)</f>
        <v>Daftar harga</v>
      </c>
      <c r="N1980" s="1951">
        <f>VLOOKUP($A1980,satpek!$B$20:$N$144,6,0)</f>
        <v>5000000</v>
      </c>
      <c r="O1980" s="1938"/>
      <c r="P1980" s="1952">
        <f t="shared" si="1207"/>
        <v>5000000</v>
      </c>
      <c r="Q1980" s="1953">
        <f>VLOOKUP($A1980,satpek!$B$20:$L$138,8,0)</f>
        <v>0.3</v>
      </c>
      <c r="R1980" s="1954">
        <f>VLOOKUP($A1980,satpek!$B$20:$L$138,9,0)</f>
        <v>0</v>
      </c>
      <c r="S1980" s="1954">
        <f>VLOOKUP($A1980,satpek!$B$20:$L$138,10,0)</f>
        <v>1500000</v>
      </c>
      <c r="T1980" s="1952">
        <f t="shared" si="1208"/>
        <v>1500000</v>
      </c>
      <c r="U1980" s="1955"/>
      <c r="X1980" s="1848">
        <f>P1981</f>
        <v>5000000</v>
      </c>
      <c r="Y1980" s="1848">
        <f>S1981</f>
        <v>1500000</v>
      </c>
      <c r="Z1980" s="1956">
        <v>1</v>
      </c>
      <c r="AA1980" s="1956">
        <f t="shared" si="1232"/>
        <v>0</v>
      </c>
      <c r="AB1980" s="1836" t="s">
        <v>1885</v>
      </c>
      <c r="AG1980" s="1836"/>
      <c r="AH1980" s="1836"/>
      <c r="AI1980" s="1837">
        <v>5000000</v>
      </c>
      <c r="AJ1980" s="1960">
        <f t="shared" si="1233"/>
        <v>0</v>
      </c>
    </row>
    <row r="1981" spans="1:36" s="1957" customFormat="1" ht="21.95" customHeight="1" x14ac:dyDescent="0.2">
      <c r="A1981" s="1942"/>
      <c r="B1981" s="1970"/>
      <c r="C1981" s="1971"/>
      <c r="D1981" s="1972" t="str">
        <f>D1980</f>
        <v>Panel uk 50x70x25 lengkap dengan asesoris 3 phase</v>
      </c>
      <c r="E1981" s="1973"/>
      <c r="F1981" s="1974"/>
      <c r="G1981" s="1975">
        <f>G1980</f>
        <v>1</v>
      </c>
      <c r="H1981" s="1976" t="str">
        <f>H1980</f>
        <v>unit</v>
      </c>
      <c r="I1981" s="1977"/>
      <c r="J1981" s="1977"/>
      <c r="K1981" s="1978">
        <f>satpek!I117</f>
        <v>0.3</v>
      </c>
      <c r="L1981" s="1979"/>
      <c r="M1981" s="1980"/>
      <c r="N1981" s="1981">
        <f>N1980</f>
        <v>5000000</v>
      </c>
      <c r="O1981" s="1982"/>
      <c r="P1981" s="1983">
        <f>N1981</f>
        <v>5000000</v>
      </c>
      <c r="Q1981" s="1984"/>
      <c r="R1981" s="1985"/>
      <c r="S1981" s="1983">
        <f>K1981*N1981</f>
        <v>1500000</v>
      </c>
      <c r="T1981" s="1983">
        <f>N1981-S1981</f>
        <v>3500000</v>
      </c>
      <c r="U1981" s="1986"/>
      <c r="V1981" s="1848"/>
      <c r="W1981" s="1848"/>
      <c r="X1981" s="1848"/>
      <c r="Y1981" s="1848"/>
      <c r="Z1981" s="1956"/>
      <c r="AA1981" s="1956"/>
      <c r="AF1981" s="1958"/>
      <c r="AG1981" s="1958"/>
      <c r="AH1981" s="1958"/>
      <c r="AI1981" s="1959"/>
      <c r="AJ1981" s="1960"/>
    </row>
    <row r="1982" spans="1:36" ht="21.95" customHeight="1" x14ac:dyDescent="0.2">
      <c r="A1982" s="1833">
        <f>satpek!B104</f>
        <v>85</v>
      </c>
      <c r="B1982" s="1943">
        <f t="shared" ref="B1982" si="1343">B1980+1</f>
        <v>21</v>
      </c>
      <c r="C1982" s="1937"/>
      <c r="D1982" s="1944" t="str">
        <f>VLOOKUP($A1982,satpek!$B$20:$N$144,2,0)</f>
        <v>Memasang Exhaust fan</v>
      </c>
      <c r="E1982" s="1944"/>
      <c r="F1982" s="2004"/>
      <c r="G1982" s="1945">
        <f>'[3]B.VOL RAB'!Q627</f>
        <v>10</v>
      </c>
      <c r="H1982" s="1946" t="str">
        <f>VLOOKUP($A1982,satpek!$B$20:$N$144,7,0)</f>
        <v>bh</v>
      </c>
      <c r="I1982" s="1947"/>
      <c r="J1982" s="1947"/>
      <c r="K1982" s="1948"/>
      <c r="L1982" s="1949"/>
      <c r="M1982" s="1950" t="str">
        <f>VLOOKUP($A1982,satpek!$B$20:$N$144,5,0)</f>
        <v>An. Dihitung</v>
      </c>
      <c r="N1982" s="1951">
        <f>VLOOKUP($A1982,satpek!$B$20:$N$144,6,0)</f>
        <v>556977</v>
      </c>
      <c r="O1982" s="1938"/>
      <c r="P1982" s="1952">
        <f t="shared" si="1207"/>
        <v>5569770</v>
      </c>
      <c r="Q1982" s="1953">
        <f>VLOOKUP($A1982,satpek!$B$20:$L$138,8,0)</f>
        <v>0.11594643944004869</v>
      </c>
      <c r="R1982" s="1954">
        <f>VLOOKUP($A1982,satpek!$B$20:$L$138,9,0)</f>
        <v>57150</v>
      </c>
      <c r="S1982" s="1954">
        <f>VLOOKUP($A1982,satpek!$B$20:$L$138,10,0)</f>
        <v>64579.5</v>
      </c>
      <c r="T1982" s="1952">
        <f t="shared" si="1208"/>
        <v>645795</v>
      </c>
      <c r="U1982" s="1955"/>
      <c r="X1982" s="1848">
        <f>P1989</f>
        <v>492900</v>
      </c>
      <c r="Y1982" s="1848">
        <f>S1989</f>
        <v>57150</v>
      </c>
      <c r="Z1982" s="1956">
        <v>10</v>
      </c>
      <c r="AA1982" s="1956">
        <f t="shared" si="1232"/>
        <v>0</v>
      </c>
      <c r="AB1982" s="1836" t="s">
        <v>1886</v>
      </c>
      <c r="AG1982" s="1836"/>
      <c r="AH1982" s="1836"/>
      <c r="AI1982" s="1837">
        <v>556604.1</v>
      </c>
      <c r="AJ1982" s="1960">
        <f t="shared" si="1233"/>
        <v>-372.90000000002328</v>
      </c>
    </row>
    <row r="1983" spans="1:36" ht="21.95" customHeight="1" x14ac:dyDescent="0.2">
      <c r="B1983" s="2045"/>
      <c r="C1983" s="1988" t="str">
        <f>SNI!D1689</f>
        <v>Bahan</v>
      </c>
      <c r="D1983" s="1989"/>
      <c r="E1983" s="1989"/>
      <c r="F1983" s="1990"/>
      <c r="G1983" s="2049"/>
      <c r="H1983" s="1992"/>
      <c r="I1983" s="1993"/>
      <c r="J1983" s="1993"/>
      <c r="K1983" s="1994"/>
      <c r="L1983" s="1995"/>
      <c r="M1983" s="1996"/>
      <c r="N1983" s="1997"/>
      <c r="O1983" s="1998"/>
      <c r="P1983" s="1999"/>
      <c r="Q1983" s="2000"/>
      <c r="R1983" s="2001"/>
      <c r="S1983" s="2001"/>
      <c r="T1983" s="1997"/>
      <c r="U1983" s="2002"/>
      <c r="Z1983" s="1956"/>
      <c r="AA1983" s="1956"/>
      <c r="AG1983" s="1836"/>
      <c r="AH1983" s="1836"/>
      <c r="AI1983" s="1837"/>
      <c r="AJ1983" s="1960"/>
    </row>
    <row r="1984" spans="1:36" ht="21.95" customHeight="1" x14ac:dyDescent="0.2">
      <c r="B1984" s="2045"/>
      <c r="C1984" s="1988"/>
      <c r="D1984" s="1989" t="str">
        <f>SNI!E1689</f>
        <v>Exhaustfan</v>
      </c>
      <c r="E1984" s="1989"/>
      <c r="F1984" s="1990"/>
      <c r="G1984" s="2049">
        <f>SNI!H1689</f>
        <v>1</v>
      </c>
      <c r="H1984" s="1992" t="str">
        <f>SNI!G1689</f>
        <v>bh</v>
      </c>
      <c r="I1984" s="1993"/>
      <c r="J1984" s="1993"/>
      <c r="K1984" s="1994">
        <f>SNI!L1689</f>
        <v>0</v>
      </c>
      <c r="L1984" s="1995"/>
      <c r="M1984" s="1996"/>
      <c r="N1984" s="1997">
        <f>SNI!I1689</f>
        <v>420000</v>
      </c>
      <c r="O1984" s="1998"/>
      <c r="P1984" s="1969">
        <f t="shared" ref="P1984" si="1344">N1984*G1984</f>
        <v>420000</v>
      </c>
      <c r="Q1984" s="1953"/>
      <c r="R1984" s="1954"/>
      <c r="S1984" s="1954">
        <f t="shared" ref="S1984" si="1345">P1984*K1984</f>
        <v>0</v>
      </c>
      <c r="T1984" s="1969">
        <f t="shared" ref="T1984" si="1346">P1984-S1984</f>
        <v>420000</v>
      </c>
      <c r="U1984" s="2002"/>
      <c r="Z1984" s="1956"/>
      <c r="AA1984" s="1956"/>
      <c r="AG1984" s="1836"/>
      <c r="AH1984" s="1836"/>
      <c r="AI1984" s="1837"/>
      <c r="AJ1984" s="1960"/>
    </row>
    <row r="1985" spans="1:36" ht="21.95" customHeight="1" x14ac:dyDescent="0.2">
      <c r="B1985" s="2045"/>
      <c r="C1985" s="1988"/>
      <c r="D1985" s="1989" t="str">
        <f>SNI!E1690</f>
        <v>aksesoris 15%</v>
      </c>
      <c r="E1985" s="1989"/>
      <c r="F1985" s="1990"/>
      <c r="G1985" s="2049">
        <f>SNI!H1690</f>
        <v>1</v>
      </c>
      <c r="H1985" s="1992" t="str">
        <f>SNI!G1690</f>
        <v xml:space="preserve">ls </v>
      </c>
      <c r="I1985" s="1993"/>
      <c r="J1985" s="1993"/>
      <c r="K1985" s="1994">
        <f>SNI!L1690</f>
        <v>0.75</v>
      </c>
      <c r="L1985" s="1995"/>
      <c r="M1985" s="1996"/>
      <c r="N1985" s="1997">
        <f>SNI!I1690</f>
        <v>63000</v>
      </c>
      <c r="O1985" s="1998"/>
      <c r="P1985" s="1969">
        <f t="shared" ref="P1985:P1988" si="1347">N1985*G1985</f>
        <v>63000</v>
      </c>
      <c r="Q1985" s="1953"/>
      <c r="R1985" s="1954"/>
      <c r="S1985" s="1954">
        <f t="shared" ref="S1985:S1988" si="1348">P1985*K1985</f>
        <v>47250</v>
      </c>
      <c r="T1985" s="1969">
        <f t="shared" ref="T1985:T1988" si="1349">P1985-S1985</f>
        <v>15750</v>
      </c>
      <c r="U1985" s="2002"/>
      <c r="Z1985" s="1956"/>
      <c r="AA1985" s="1956"/>
      <c r="AG1985" s="1836"/>
      <c r="AH1985" s="1836"/>
      <c r="AI1985" s="1837"/>
      <c r="AJ1985" s="1960"/>
    </row>
    <row r="1986" spans="1:36" ht="21.95" customHeight="1" x14ac:dyDescent="0.2">
      <c r="B1986" s="2045"/>
      <c r="C1986" s="1988" t="str">
        <f>SNI!D1692</f>
        <v>Tenaga Kerja</v>
      </c>
      <c r="D1986" s="1989"/>
      <c r="E1986" s="1989"/>
      <c r="F1986" s="1990"/>
      <c r="G1986" s="2049"/>
      <c r="H1986" s="1992"/>
      <c r="I1986" s="1993"/>
      <c r="J1986" s="1993"/>
      <c r="K1986" s="1994"/>
      <c r="L1986" s="1995"/>
      <c r="M1986" s="1996"/>
      <c r="N1986" s="1997"/>
      <c r="O1986" s="1998"/>
      <c r="P1986" s="1969"/>
      <c r="Q1986" s="1953"/>
      <c r="R1986" s="1954"/>
      <c r="S1986" s="1954"/>
      <c r="T1986" s="1969"/>
      <c r="U1986" s="2002"/>
      <c r="Z1986" s="1956"/>
      <c r="AA1986" s="1956"/>
      <c r="AG1986" s="1836"/>
      <c r="AH1986" s="1836"/>
      <c r="AI1986" s="1837"/>
      <c r="AJ1986" s="1960"/>
    </row>
    <row r="1987" spans="1:36" ht="21.95" customHeight="1" x14ac:dyDescent="0.2">
      <c r="B1987" s="2045"/>
      <c r="C1987" s="1988"/>
      <c r="D1987" s="1989" t="str">
        <f>SNI!E1692</f>
        <v>Tukang listrik</v>
      </c>
      <c r="E1987" s="1989"/>
      <c r="F1987" s="1990"/>
      <c r="G1987" s="2049">
        <f>SNI!H1692</f>
        <v>0.1</v>
      </c>
      <c r="H1987" s="1992" t="str">
        <f>SNI!G1692</f>
        <v>OH</v>
      </c>
      <c r="I1987" s="2142" t="s">
        <v>2012</v>
      </c>
      <c r="J1987" s="1993"/>
      <c r="K1987" s="1994">
        <f>SNI!L1692</f>
        <v>1</v>
      </c>
      <c r="L1987" s="1995"/>
      <c r="M1987" s="1996"/>
      <c r="N1987" s="1997">
        <f>SNI!I1692</f>
        <v>90000</v>
      </c>
      <c r="O1987" s="1998"/>
      <c r="P1987" s="1969">
        <f t="shared" si="1347"/>
        <v>9000</v>
      </c>
      <c r="Q1987" s="1953"/>
      <c r="R1987" s="1954"/>
      <c r="S1987" s="1954">
        <f t="shared" si="1348"/>
        <v>9000</v>
      </c>
      <c r="T1987" s="1969">
        <f t="shared" si="1349"/>
        <v>0</v>
      </c>
      <c r="U1987" s="2002"/>
      <c r="Z1987" s="1956"/>
      <c r="AA1987" s="1956"/>
      <c r="AG1987" s="1836"/>
      <c r="AH1987" s="1836"/>
      <c r="AI1987" s="1837"/>
      <c r="AJ1987" s="1960"/>
    </row>
    <row r="1988" spans="1:36" ht="21.95" customHeight="1" x14ac:dyDescent="0.2">
      <c r="B1988" s="2045"/>
      <c r="C1988" s="1988"/>
      <c r="D1988" s="1989" t="str">
        <f>SNI!E1693</f>
        <v>Mandor</v>
      </c>
      <c r="E1988" s="1989"/>
      <c r="F1988" s="1990"/>
      <c r="G1988" s="2049">
        <f>SNI!H1693</f>
        <v>0.01</v>
      </c>
      <c r="H1988" s="1992" t="str">
        <f>SNI!G1693</f>
        <v>OH</v>
      </c>
      <c r="I1988" s="2142" t="s">
        <v>2012</v>
      </c>
      <c r="J1988" s="1993"/>
      <c r="K1988" s="1994">
        <f>SNI!L1693</f>
        <v>1</v>
      </c>
      <c r="L1988" s="1995"/>
      <c r="M1988" s="1996"/>
      <c r="N1988" s="1997">
        <f>SNI!I1693</f>
        <v>90000</v>
      </c>
      <c r="O1988" s="1998"/>
      <c r="P1988" s="1969">
        <f t="shared" si="1347"/>
        <v>900</v>
      </c>
      <c r="Q1988" s="1953"/>
      <c r="R1988" s="1954"/>
      <c r="S1988" s="1954">
        <f t="shared" si="1348"/>
        <v>900</v>
      </c>
      <c r="T1988" s="1969">
        <f t="shared" si="1349"/>
        <v>0</v>
      </c>
      <c r="U1988" s="2002"/>
      <c r="Z1988" s="1956"/>
      <c r="AA1988" s="1956"/>
      <c r="AG1988" s="1836"/>
      <c r="AH1988" s="1836"/>
      <c r="AI1988" s="1837"/>
      <c r="AJ1988" s="1960"/>
    </row>
    <row r="1989" spans="1:36" s="1957" customFormat="1" ht="21.95" customHeight="1" x14ac:dyDescent="0.2">
      <c r="A1989" s="1942"/>
      <c r="B1989" s="1970"/>
      <c r="C1989" s="1971"/>
      <c r="D1989" s="1972"/>
      <c r="E1989" s="1973"/>
      <c r="F1989" s="1974" t="s">
        <v>556</v>
      </c>
      <c r="G1989" s="1975">
        <f>B1982</f>
        <v>21</v>
      </c>
      <c r="H1989" s="1976"/>
      <c r="I1989" s="1977"/>
      <c r="J1989" s="1977"/>
      <c r="K1989" s="1978"/>
      <c r="L1989" s="1979"/>
      <c r="M1989" s="1980"/>
      <c r="N1989" s="1981"/>
      <c r="O1989" s="1982"/>
      <c r="P1989" s="1983">
        <f>SUM(P1984:P1988)</f>
        <v>492900</v>
      </c>
      <c r="Q1989" s="1984"/>
      <c r="R1989" s="1985"/>
      <c r="S1989" s="1983">
        <f t="shared" ref="S1989:T1989" si="1350">SUM(S1984:S1988)</f>
        <v>57150</v>
      </c>
      <c r="T1989" s="1983">
        <f t="shared" si="1350"/>
        <v>435750</v>
      </c>
      <c r="U1989" s="1986"/>
      <c r="V1989" s="1848"/>
      <c r="W1989" s="1848"/>
      <c r="X1989" s="1848"/>
      <c r="Y1989" s="1848"/>
      <c r="Z1989" s="1956"/>
      <c r="AA1989" s="1956"/>
      <c r="AF1989" s="1958"/>
      <c r="AG1989" s="1958"/>
      <c r="AH1989" s="1958"/>
      <c r="AI1989" s="1959"/>
      <c r="AJ1989" s="1960"/>
    </row>
    <row r="1990" spans="1:36" ht="21.95" customHeight="1" x14ac:dyDescent="0.2">
      <c r="B1990" s="1927"/>
      <c r="C1990" s="2033"/>
      <c r="D1990" s="2034" t="s">
        <v>1786</v>
      </c>
      <c r="E1990" s="2035"/>
      <c r="F1990" s="2036"/>
      <c r="G1990" s="1945"/>
      <c r="H1990" s="2037"/>
      <c r="I1990" s="2038"/>
      <c r="J1990" s="2038"/>
      <c r="K1990" s="2039"/>
      <c r="L1990" s="2040"/>
      <c r="M1990" s="2040"/>
      <c r="N1990" s="1997"/>
      <c r="O1990" s="2041"/>
      <c r="P1990" s="2042"/>
      <c r="Q1990" s="2038"/>
      <c r="R1990" s="2038"/>
      <c r="S1990" s="2038"/>
      <c r="T1990" s="2043"/>
      <c r="U1990" s="2044"/>
      <c r="Z1990" s="1956"/>
      <c r="AA1990" s="1956">
        <f t="shared" si="1232"/>
        <v>0</v>
      </c>
      <c r="AB1990" s="1836" t="s">
        <v>1786</v>
      </c>
      <c r="AF1990" s="1836"/>
      <c r="AG1990" s="1836"/>
      <c r="AH1990" s="1836"/>
      <c r="AI1990" s="1837"/>
      <c r="AJ1990" s="1960">
        <f t="shared" si="1233"/>
        <v>0</v>
      </c>
    </row>
    <row r="1991" spans="1:36" ht="21.95" customHeight="1" x14ac:dyDescent="0.2">
      <c r="A1991" s="1833">
        <f>satpek!B86</f>
        <v>67</v>
      </c>
      <c r="B1991" s="1943">
        <v>1</v>
      </c>
      <c r="C1991" s="1937"/>
      <c r="D1991" s="1944" t="s">
        <v>1887</v>
      </c>
      <c r="E1991" s="1944"/>
      <c r="F1991" s="2004"/>
      <c r="G1991" s="1945">
        <f>'[3]B.VOL RAB'!Q631</f>
        <v>7.6</v>
      </c>
      <c r="H1991" s="1946" t="str">
        <f>VLOOKUP($A1991,satpek!$B$20:$N$144,7,0)</f>
        <v>ttk</v>
      </c>
      <c r="I1991" s="1947"/>
      <c r="J1991" s="1947"/>
      <c r="K1991" s="1948"/>
      <c r="L1991" s="1949"/>
      <c r="M1991" s="1950" t="str">
        <f>VLOOKUP($A1991,satpek!$B$20:$N$144,5,0)</f>
        <v>An. Dihitung</v>
      </c>
      <c r="N1991" s="1951">
        <f>VLOOKUP($A1991,satpek!$B$20:$N$144,6,0)</f>
        <v>490227.9</v>
      </c>
      <c r="O1991" s="1938"/>
      <c r="P1991" s="1952">
        <f t="shared" ref="P1991:P2142" si="1351">ROUND((G1991*N1991),2)</f>
        <v>3725732.04</v>
      </c>
      <c r="Q1991" s="1953">
        <f>VLOOKUP($A1991,satpek!$B$20:$L$138,8,0)</f>
        <v>0.87737132056335432</v>
      </c>
      <c r="R1991" s="1954">
        <f>VLOOKUP($A1991,satpek!$B$20:$L$138,9,0)</f>
        <v>380630</v>
      </c>
      <c r="S1991" s="1954">
        <f>VLOOKUP($A1991,satpek!$B$20:$L$138,10,0)</f>
        <v>430111.9</v>
      </c>
      <c r="T1991" s="1952">
        <f t="shared" ref="T1991:T2142" si="1352">S1991*G1991</f>
        <v>3268850.44</v>
      </c>
      <c r="U1991" s="1955"/>
      <c r="X1991" s="1848">
        <f>P1999</f>
        <v>433830</v>
      </c>
      <c r="Y1991" s="1848">
        <f>S1999</f>
        <v>380630</v>
      </c>
      <c r="Z1991" s="1956">
        <v>7.6</v>
      </c>
      <c r="AA1991" s="1956">
        <f t="shared" si="1232"/>
        <v>0</v>
      </c>
      <c r="AB1991" s="1836" t="s">
        <v>1887</v>
      </c>
      <c r="AF1991" s="1836"/>
      <c r="AG1991" s="1836"/>
      <c r="AH1991" s="1836"/>
      <c r="AI1991" s="1837">
        <v>167950.77</v>
      </c>
      <c r="AJ1991" s="1960">
        <f t="shared" si="1233"/>
        <v>-322277.13</v>
      </c>
    </row>
    <row r="1992" spans="1:36" ht="21.95" customHeight="1" x14ac:dyDescent="0.2">
      <c r="B1992" s="2045"/>
      <c r="C1992" s="2046" t="str">
        <f>SNI!D1337</f>
        <v>Bahan</v>
      </c>
      <c r="D1992" s="2047"/>
      <c r="E1992" s="2047"/>
      <c r="F1992" s="2048"/>
      <c r="G1992" s="2049"/>
      <c r="H1992" s="2050"/>
      <c r="I1992" s="2051"/>
      <c r="J1992" s="2051"/>
      <c r="K1992" s="2052"/>
      <c r="L1992" s="2053"/>
      <c r="M1992" s="2054"/>
      <c r="N1992" s="2055"/>
      <c r="O1992" s="2056"/>
      <c r="P1992" s="2057"/>
      <c r="Q1992" s="2058"/>
      <c r="R1992" s="2059"/>
      <c r="S1992" s="2059"/>
      <c r="T1992" s="2057"/>
      <c r="U1992" s="2060"/>
      <c r="Z1992" s="1956"/>
      <c r="AA1992" s="1956"/>
      <c r="AF1992" s="1836"/>
      <c r="AG1992" s="1836"/>
      <c r="AH1992" s="1836"/>
      <c r="AI1992" s="1837"/>
      <c r="AJ1992" s="1960"/>
    </row>
    <row r="1993" spans="1:36" ht="21.95" customHeight="1" x14ac:dyDescent="0.2">
      <c r="B1993" s="2045"/>
      <c r="C1993" s="2046"/>
      <c r="D1993" s="2047" t="str">
        <f>SNI!E1337</f>
        <v>Kabel 4x16 mm</v>
      </c>
      <c r="E1993" s="2047"/>
      <c r="F1993" s="2048"/>
      <c r="G1993" s="2049">
        <f>SNI!H1337</f>
        <v>1</v>
      </c>
      <c r="H1993" s="2050" t="str">
        <f>SNI!G1337</f>
        <v>m'</v>
      </c>
      <c r="I1993" s="2051"/>
      <c r="J1993" s="2051"/>
      <c r="K1993" s="2052">
        <f>SNI!L1337</f>
        <v>0.88549999999999995</v>
      </c>
      <c r="L1993" s="2053"/>
      <c r="M1993" s="2054"/>
      <c r="N1993" s="2055">
        <f>SNI!I1337</f>
        <v>350000</v>
      </c>
      <c r="O1993" s="2056"/>
      <c r="P1993" s="1969">
        <f t="shared" ref="P1993" si="1353">N1993*G1993</f>
        <v>350000</v>
      </c>
      <c r="Q1993" s="1953"/>
      <c r="R1993" s="1954"/>
      <c r="S1993" s="1954">
        <f t="shared" ref="S1993" si="1354">P1993*K1993</f>
        <v>309925</v>
      </c>
      <c r="T1993" s="1969">
        <f t="shared" ref="T1993" si="1355">P1993-S1993</f>
        <v>40075</v>
      </c>
      <c r="U1993" s="2060"/>
      <c r="Z1993" s="1956"/>
      <c r="AA1993" s="1956"/>
      <c r="AF1993" s="1836"/>
      <c r="AG1993" s="1836"/>
      <c r="AH1993" s="1836"/>
      <c r="AI1993" s="1837"/>
      <c r="AJ1993" s="1960"/>
    </row>
    <row r="1994" spans="1:36" ht="21.95" customHeight="1" x14ac:dyDescent="0.2">
      <c r="B1994" s="2045"/>
      <c r="C1994" s="2046"/>
      <c r="D1994" s="2047" t="str">
        <f>SNI!E1338</f>
        <v>aksesoris 15%</v>
      </c>
      <c r="E1994" s="2047"/>
      <c r="F1994" s="2048"/>
      <c r="G1994" s="2049">
        <f>SNI!H1338</f>
        <v>1</v>
      </c>
      <c r="H1994" s="2050" t="str">
        <f>SNI!G1338</f>
        <v>ls</v>
      </c>
      <c r="I1994" s="2051"/>
      <c r="J1994" s="2051"/>
      <c r="K1994" s="2052">
        <f>SNI!L1338</f>
        <v>0.75</v>
      </c>
      <c r="L1994" s="2053"/>
      <c r="M1994" s="2054"/>
      <c r="N1994" s="2055">
        <f>SNI!I1338</f>
        <v>52500</v>
      </c>
      <c r="O1994" s="2056"/>
      <c r="P1994" s="1969">
        <f t="shared" ref="P1994:P1998" si="1356">N1994*G1994</f>
        <v>52500</v>
      </c>
      <c r="Q1994" s="1953"/>
      <c r="R1994" s="1954"/>
      <c r="S1994" s="1954">
        <f t="shared" ref="S1994:S1998" si="1357">P1994*K1994</f>
        <v>39375</v>
      </c>
      <c r="T1994" s="1969">
        <f t="shared" ref="T1994:T1998" si="1358">P1994-S1994</f>
        <v>13125</v>
      </c>
      <c r="U1994" s="2060"/>
      <c r="Z1994" s="1956"/>
      <c r="AA1994" s="1956"/>
      <c r="AF1994" s="1836"/>
      <c r="AG1994" s="1836"/>
      <c r="AH1994" s="1836"/>
      <c r="AI1994" s="1837"/>
      <c r="AJ1994" s="1960"/>
    </row>
    <row r="1995" spans="1:36" ht="21.95" customHeight="1" x14ac:dyDescent="0.2">
      <c r="B1995" s="2045"/>
      <c r="C1995" s="2046" t="str">
        <f>SNI!D1340</f>
        <v>Tenaga Kerja</v>
      </c>
      <c r="D1995" s="2047"/>
      <c r="E1995" s="2047"/>
      <c r="F1995" s="2048"/>
      <c r="G1995" s="2049"/>
      <c r="H1995" s="2050"/>
      <c r="I1995" s="2051"/>
      <c r="J1995" s="2051"/>
      <c r="K1995" s="2052"/>
      <c r="L1995" s="2053"/>
      <c r="M1995" s="2054"/>
      <c r="N1995" s="2055"/>
      <c r="O1995" s="2056"/>
      <c r="P1995" s="1969"/>
      <c r="Q1995" s="1953"/>
      <c r="R1995" s="1954"/>
      <c r="S1995" s="1954"/>
      <c r="T1995" s="1969"/>
      <c r="U1995" s="2060"/>
      <c r="Z1995" s="1956"/>
      <c r="AA1995" s="1956"/>
      <c r="AF1995" s="1836"/>
      <c r="AG1995" s="1836"/>
      <c r="AH1995" s="1836"/>
      <c r="AI1995" s="1837"/>
      <c r="AJ1995" s="1960"/>
    </row>
    <row r="1996" spans="1:36" ht="21.95" customHeight="1" x14ac:dyDescent="0.2">
      <c r="B1996" s="2045"/>
      <c r="C1996" s="2046"/>
      <c r="D1996" s="2047" t="str">
        <f>SNI!E1340</f>
        <v>Pekerja</v>
      </c>
      <c r="E1996" s="2047"/>
      <c r="F1996" s="2048"/>
      <c r="G1996" s="2049">
        <f>SNI!H1340</f>
        <v>0.1</v>
      </c>
      <c r="H1996" s="2050" t="str">
        <f>SNI!G1340</f>
        <v>OH</v>
      </c>
      <c r="I1996" s="2142" t="s">
        <v>2012</v>
      </c>
      <c r="J1996" s="2051"/>
      <c r="K1996" s="2052">
        <f>SNI!L1340</f>
        <v>1</v>
      </c>
      <c r="L1996" s="2053"/>
      <c r="M1996" s="2054"/>
      <c r="N1996" s="2055">
        <f>SNI!I1340</f>
        <v>88300</v>
      </c>
      <c r="O1996" s="2056"/>
      <c r="P1996" s="1969">
        <f t="shared" si="1356"/>
        <v>8830</v>
      </c>
      <c r="Q1996" s="1953"/>
      <c r="R1996" s="1954"/>
      <c r="S1996" s="1954">
        <f t="shared" si="1357"/>
        <v>8830</v>
      </c>
      <c r="T1996" s="1969">
        <f t="shared" si="1358"/>
        <v>0</v>
      </c>
      <c r="U1996" s="2060"/>
      <c r="Z1996" s="1956"/>
      <c r="AA1996" s="1956"/>
      <c r="AF1996" s="1836"/>
      <c r="AG1996" s="1836"/>
      <c r="AH1996" s="1836"/>
      <c r="AI1996" s="1837"/>
      <c r="AJ1996" s="1960"/>
    </row>
    <row r="1997" spans="1:36" ht="21.95" customHeight="1" x14ac:dyDescent="0.2">
      <c r="B1997" s="2045"/>
      <c r="C1997" s="2046"/>
      <c r="D1997" s="2047" t="str">
        <f>SNI!E1341</f>
        <v>Tukang listrik</v>
      </c>
      <c r="E1997" s="2047"/>
      <c r="F1997" s="2048"/>
      <c r="G1997" s="2049">
        <f>SNI!H1341</f>
        <v>0.2</v>
      </c>
      <c r="H1997" s="2050" t="str">
        <f>SNI!G1341</f>
        <v>OH</v>
      </c>
      <c r="I1997" s="2142" t="s">
        <v>2012</v>
      </c>
      <c r="J1997" s="2051"/>
      <c r="K1997" s="2052">
        <f>SNI!L1341</f>
        <v>1</v>
      </c>
      <c r="L1997" s="2053"/>
      <c r="M1997" s="2054"/>
      <c r="N1997" s="2055">
        <f>SNI!I1341</f>
        <v>90000</v>
      </c>
      <c r="O1997" s="2056"/>
      <c r="P1997" s="1969">
        <f t="shared" si="1356"/>
        <v>18000</v>
      </c>
      <c r="Q1997" s="1953"/>
      <c r="R1997" s="1954"/>
      <c r="S1997" s="1954">
        <f t="shared" si="1357"/>
        <v>18000</v>
      </c>
      <c r="T1997" s="1969">
        <f t="shared" si="1358"/>
        <v>0</v>
      </c>
      <c r="U1997" s="2060"/>
      <c r="Z1997" s="1956"/>
      <c r="AA1997" s="1956"/>
      <c r="AF1997" s="1836"/>
      <c r="AG1997" s="1836"/>
      <c r="AH1997" s="1836"/>
      <c r="AI1997" s="1837"/>
      <c r="AJ1997" s="1960"/>
    </row>
    <row r="1998" spans="1:36" ht="21.95" customHeight="1" x14ac:dyDescent="0.2">
      <c r="B1998" s="2045"/>
      <c r="C1998" s="2046"/>
      <c r="D1998" s="2047" t="str">
        <f>SNI!E1342</f>
        <v>Mandor</v>
      </c>
      <c r="E1998" s="2047"/>
      <c r="F1998" s="2048"/>
      <c r="G1998" s="2049">
        <f>SNI!H1342</f>
        <v>0.05</v>
      </c>
      <c r="H1998" s="2050" t="str">
        <f>SNI!G1342</f>
        <v>OH</v>
      </c>
      <c r="I1998" s="2142" t="s">
        <v>2012</v>
      </c>
      <c r="J1998" s="2051"/>
      <c r="K1998" s="2052">
        <f>SNI!L1342</f>
        <v>1</v>
      </c>
      <c r="L1998" s="2053"/>
      <c r="M1998" s="2054"/>
      <c r="N1998" s="2055">
        <f>SNI!I1342</f>
        <v>90000</v>
      </c>
      <c r="O1998" s="2056"/>
      <c r="P1998" s="1969">
        <f t="shared" si="1356"/>
        <v>4500</v>
      </c>
      <c r="Q1998" s="1953"/>
      <c r="R1998" s="1954"/>
      <c r="S1998" s="1954">
        <f t="shared" si="1357"/>
        <v>4500</v>
      </c>
      <c r="T1998" s="1969">
        <f t="shared" si="1358"/>
        <v>0</v>
      </c>
      <c r="U1998" s="2060"/>
      <c r="Z1998" s="1956"/>
      <c r="AA1998" s="1956"/>
      <c r="AF1998" s="1836"/>
      <c r="AG1998" s="1836"/>
      <c r="AH1998" s="1836"/>
      <c r="AI1998" s="1837"/>
      <c r="AJ1998" s="1960"/>
    </row>
    <row r="1999" spans="1:36" s="1957" customFormat="1" ht="21.95" customHeight="1" x14ac:dyDescent="0.2">
      <c r="A1999" s="1942"/>
      <c r="B1999" s="1970"/>
      <c r="C1999" s="1971"/>
      <c r="D1999" s="1972"/>
      <c r="E1999" s="1973"/>
      <c r="F1999" s="1974" t="s">
        <v>556</v>
      </c>
      <c r="G1999" s="1975">
        <f>B1991</f>
        <v>1</v>
      </c>
      <c r="H1999" s="1976"/>
      <c r="I1999" s="1977"/>
      <c r="J1999" s="1977"/>
      <c r="K1999" s="1978"/>
      <c r="L1999" s="1979"/>
      <c r="M1999" s="1980"/>
      <c r="N1999" s="1981"/>
      <c r="O1999" s="1982"/>
      <c r="P1999" s="1983">
        <f>SUM(P1993:P1998)</f>
        <v>433830</v>
      </c>
      <c r="Q1999" s="1984"/>
      <c r="R1999" s="1985"/>
      <c r="S1999" s="1983">
        <f t="shared" ref="S1999:T1999" si="1359">SUM(S1993:S1998)</f>
        <v>380630</v>
      </c>
      <c r="T1999" s="1983">
        <f t="shared" si="1359"/>
        <v>53200</v>
      </c>
      <c r="U1999" s="1986"/>
      <c r="V1999" s="1848"/>
      <c r="W1999" s="1848"/>
      <c r="X1999" s="1848"/>
      <c r="Y1999" s="1848"/>
      <c r="Z1999" s="1956"/>
      <c r="AA1999" s="1956"/>
      <c r="AF1999" s="1958"/>
      <c r="AG1999" s="1958"/>
      <c r="AH1999" s="1958"/>
      <c r="AI1999" s="1959"/>
      <c r="AJ1999" s="1960"/>
    </row>
    <row r="2000" spans="1:36" ht="21.95" customHeight="1" x14ac:dyDescent="0.2">
      <c r="A2000" s="1833">
        <f>satpek!B89</f>
        <v>70</v>
      </c>
      <c r="B2000" s="1943">
        <f>B1991+1</f>
        <v>2</v>
      </c>
      <c r="C2000" s="1937"/>
      <c r="D2000" s="1944" t="str">
        <f>VLOOKUP($A2000,satpek!$B$20:$N$144,2,0)</f>
        <v>Memasang instalasi titik lampu (kabel 2x1,5 mm) tanpa fitting</v>
      </c>
      <c r="E2000" s="1944"/>
      <c r="F2000" s="2004"/>
      <c r="G2000" s="1945">
        <f>'[3]B.VOL RAB'!Q632</f>
        <v>12</v>
      </c>
      <c r="H2000" s="1946" t="str">
        <f>VLOOKUP($A2000,satpek!$B$20:$N$144,7,0)</f>
        <v>ttk</v>
      </c>
      <c r="I2000" s="1947"/>
      <c r="J2000" s="1947"/>
      <c r="K2000" s="1948"/>
      <c r="L2000" s="1949"/>
      <c r="M2000" s="1950" t="str">
        <f>VLOOKUP($A2000,satpek!$B$20:$N$144,5,0)</f>
        <v>An. Dihitung</v>
      </c>
      <c r="N2000" s="1951">
        <f>VLOOKUP($A2000,satpek!$B$20:$N$144,6,0)</f>
        <v>115332.32</v>
      </c>
      <c r="O2000" s="1938"/>
      <c r="P2000" s="1952">
        <f t="shared" si="1351"/>
        <v>1383987.84</v>
      </c>
      <c r="Q2000" s="1953">
        <f>VLOOKUP($A2000,satpek!$B$20:$L$138,8,0)</f>
        <v>0.80012051261953288</v>
      </c>
      <c r="R2000" s="1954">
        <f>VLOOKUP($A2000,satpek!$B$20:$L$138,9,0)</f>
        <v>81663.5</v>
      </c>
      <c r="S2000" s="1954">
        <f>VLOOKUP($A2000,satpek!$B$20:$L$138,10,0)</f>
        <v>92279.755000000005</v>
      </c>
      <c r="T2000" s="1952">
        <f t="shared" si="1352"/>
        <v>1107357.06</v>
      </c>
      <c r="U2000" s="1955"/>
      <c r="X2000" s="1848">
        <f>P2010</f>
        <v>102064</v>
      </c>
      <c r="Y2000" s="1848">
        <f>S2010</f>
        <v>81663.5</v>
      </c>
      <c r="Z2000" s="1956">
        <v>12</v>
      </c>
      <c r="AA2000" s="1956">
        <f t="shared" si="1232"/>
        <v>0</v>
      </c>
      <c r="AB2000" s="1836" t="s">
        <v>1917</v>
      </c>
      <c r="AF2000" s="1836"/>
      <c r="AG2000" s="1836"/>
      <c r="AH2000" s="1836"/>
      <c r="AI2000" s="1837">
        <v>215790.45</v>
      </c>
      <c r="AJ2000" s="1960">
        <f t="shared" si="1233"/>
        <v>100458.13</v>
      </c>
    </row>
    <row r="2001" spans="1:36" ht="21.95" customHeight="1" x14ac:dyDescent="0.2">
      <c r="B2001" s="2045"/>
      <c r="C2001" s="2046" t="str">
        <f>SNI!D1398</f>
        <v>Bahan</v>
      </c>
      <c r="D2001" s="2047"/>
      <c r="E2001" s="2047"/>
      <c r="F2001" s="2048"/>
      <c r="G2001" s="2049"/>
      <c r="H2001" s="2050"/>
      <c r="I2001" s="2051"/>
      <c r="J2001" s="2051"/>
      <c r="K2001" s="2052"/>
      <c r="L2001" s="2053"/>
      <c r="M2001" s="2054"/>
      <c r="N2001" s="2055"/>
      <c r="O2001" s="2056"/>
      <c r="P2001" s="2057"/>
      <c r="Q2001" s="2058"/>
      <c r="R2001" s="2059"/>
      <c r="S2001" s="2059"/>
      <c r="T2001" s="2057"/>
      <c r="U2001" s="2060"/>
      <c r="Z2001" s="1956"/>
      <c r="AA2001" s="1956"/>
      <c r="AF2001" s="1836"/>
      <c r="AG2001" s="1836"/>
      <c r="AH2001" s="1836"/>
      <c r="AI2001" s="1837"/>
      <c r="AJ2001" s="1960"/>
    </row>
    <row r="2002" spans="1:36" ht="21.95" customHeight="1" x14ac:dyDescent="0.2">
      <c r="B2002" s="2045"/>
      <c r="C2002" s="2046"/>
      <c r="D2002" s="2047" t="str">
        <f>SNI!E1398</f>
        <v>Pipa listrik 5/8"</v>
      </c>
      <c r="E2002" s="2047"/>
      <c r="F2002" s="2048"/>
      <c r="G2002" s="2049">
        <f>SNI!H1398</f>
        <v>1</v>
      </c>
      <c r="H2002" s="2050" t="str">
        <f>SNI!G1398</f>
        <v>btg</v>
      </c>
      <c r="I2002" s="2051"/>
      <c r="J2002" s="2051"/>
      <c r="K2002" s="2052">
        <f>SNI!L1398</f>
        <v>0</v>
      </c>
      <c r="L2002" s="2053"/>
      <c r="M2002" s="2054"/>
      <c r="N2002" s="2055">
        <f>SNI!I1398</f>
        <v>8000</v>
      </c>
      <c r="O2002" s="2056"/>
      <c r="P2002" s="1969">
        <f t="shared" ref="P2002" si="1360">N2002*G2002</f>
        <v>8000</v>
      </c>
      <c r="Q2002" s="1953"/>
      <c r="R2002" s="1954"/>
      <c r="S2002" s="1954">
        <f t="shared" ref="S2002" si="1361">P2002*K2002</f>
        <v>0</v>
      </c>
      <c r="T2002" s="1969">
        <f t="shared" ref="T2002" si="1362">P2002-S2002</f>
        <v>8000</v>
      </c>
      <c r="U2002" s="2060"/>
      <c r="Z2002" s="1956"/>
      <c r="AA2002" s="1956"/>
      <c r="AF2002" s="1836"/>
      <c r="AG2002" s="1836"/>
      <c r="AH2002" s="1836"/>
      <c r="AI2002" s="1837"/>
      <c r="AJ2002" s="1960"/>
    </row>
    <row r="2003" spans="1:36" ht="21.95" customHeight="1" x14ac:dyDescent="0.2">
      <c r="B2003" s="2045"/>
      <c r="C2003" s="2046"/>
      <c r="D2003" s="2047" t="str">
        <f>SNI!E1399</f>
        <v>Kabel 2x1,5</v>
      </c>
      <c r="E2003" s="2047"/>
      <c r="F2003" s="2048"/>
      <c r="G2003" s="2049">
        <f>SNI!H1399</f>
        <v>10</v>
      </c>
      <c r="H2003" s="2050" t="str">
        <f>SNI!G1399</f>
        <v>m'</v>
      </c>
      <c r="I2003" s="2051"/>
      <c r="J2003" s="2051"/>
      <c r="K2003" s="2052">
        <f>SNI!L1399</f>
        <v>0.88549999999999995</v>
      </c>
      <c r="L2003" s="2053"/>
      <c r="M2003" s="2054"/>
      <c r="N2003" s="2055">
        <f>SNI!I1399</f>
        <v>6900</v>
      </c>
      <c r="O2003" s="2056"/>
      <c r="P2003" s="1969">
        <f t="shared" ref="P2003:P2008" si="1363">N2003*G2003</f>
        <v>69000</v>
      </c>
      <c r="Q2003" s="1953"/>
      <c r="R2003" s="1954"/>
      <c r="S2003" s="1954">
        <f t="shared" ref="S2003:S2008" si="1364">P2003*K2003</f>
        <v>61099.5</v>
      </c>
      <c r="T2003" s="1969">
        <f t="shared" ref="T2003:T2008" si="1365">P2003-S2003</f>
        <v>7900.5</v>
      </c>
      <c r="U2003" s="2060"/>
      <c r="Z2003" s="1956"/>
      <c r="AA2003" s="1956"/>
      <c r="AF2003" s="1836"/>
      <c r="AG2003" s="1836"/>
      <c r="AH2003" s="1836"/>
      <c r="AI2003" s="1837"/>
      <c r="AJ2003" s="1960"/>
    </row>
    <row r="2004" spans="1:36" ht="21.95" customHeight="1" x14ac:dyDescent="0.2">
      <c r="B2004" s="2045"/>
      <c r="C2004" s="2046"/>
      <c r="D2004" s="2047" t="str">
        <f>SNI!E1400</f>
        <v>T Dus</v>
      </c>
      <c r="E2004" s="2047"/>
      <c r="F2004" s="2048"/>
      <c r="G2004" s="2049">
        <f>SNI!H1400</f>
        <v>1</v>
      </c>
      <c r="H2004" s="2050" t="str">
        <f>SNI!G1400</f>
        <v>bh</v>
      </c>
      <c r="I2004" s="2051"/>
      <c r="J2004" s="2051"/>
      <c r="K2004" s="2052">
        <f>SNI!L1400</f>
        <v>0</v>
      </c>
      <c r="L2004" s="2053"/>
      <c r="M2004" s="2054"/>
      <c r="N2004" s="2055">
        <f>SNI!I1400</f>
        <v>2500</v>
      </c>
      <c r="O2004" s="2056"/>
      <c r="P2004" s="1969">
        <f t="shared" si="1363"/>
        <v>2500</v>
      </c>
      <c r="Q2004" s="1953"/>
      <c r="R2004" s="1954"/>
      <c r="S2004" s="1954">
        <f t="shared" si="1364"/>
        <v>0</v>
      </c>
      <c r="T2004" s="1969">
        <f t="shared" si="1365"/>
        <v>2500</v>
      </c>
      <c r="U2004" s="2060"/>
      <c r="Z2004" s="1956"/>
      <c r="AA2004" s="1956"/>
      <c r="AF2004" s="1836"/>
      <c r="AG2004" s="1836"/>
      <c r="AH2004" s="1836"/>
      <c r="AI2004" s="1837"/>
      <c r="AJ2004" s="1960"/>
    </row>
    <row r="2005" spans="1:36" ht="21.95" customHeight="1" x14ac:dyDescent="0.2">
      <c r="B2005" s="2045"/>
      <c r="C2005" s="2046"/>
      <c r="D2005" s="2047" t="str">
        <f>SNI!E1401</f>
        <v>L Bow</v>
      </c>
      <c r="E2005" s="2047"/>
      <c r="F2005" s="2048"/>
      <c r="G2005" s="2049">
        <f>SNI!H1401</f>
        <v>1</v>
      </c>
      <c r="H2005" s="2050" t="str">
        <f>SNI!G1401</f>
        <v>bh</v>
      </c>
      <c r="I2005" s="2051"/>
      <c r="J2005" s="2051"/>
      <c r="K2005" s="2052">
        <f>SNI!L1401</f>
        <v>0</v>
      </c>
      <c r="L2005" s="2053"/>
      <c r="M2005" s="2054"/>
      <c r="N2005" s="2055">
        <f>SNI!I1401</f>
        <v>2000</v>
      </c>
      <c r="O2005" s="2056"/>
      <c r="P2005" s="1969">
        <f t="shared" si="1363"/>
        <v>2000</v>
      </c>
      <c r="Q2005" s="1953"/>
      <c r="R2005" s="1954"/>
      <c r="S2005" s="1954">
        <f t="shared" si="1364"/>
        <v>0</v>
      </c>
      <c r="T2005" s="1969">
        <f t="shared" si="1365"/>
        <v>2000</v>
      </c>
      <c r="U2005" s="2060"/>
      <c r="Z2005" s="1956"/>
      <c r="AA2005" s="1956"/>
      <c r="AF2005" s="1836"/>
      <c r="AG2005" s="1836"/>
      <c r="AH2005" s="1836"/>
      <c r="AI2005" s="1837"/>
      <c r="AJ2005" s="1960"/>
    </row>
    <row r="2006" spans="1:36" ht="21.95" customHeight="1" x14ac:dyDescent="0.2">
      <c r="B2006" s="2045"/>
      <c r="C2006" s="2046" t="str">
        <f>SNI!D1403</f>
        <v>Tenaga Kerja</v>
      </c>
      <c r="D2006" s="2047"/>
      <c r="E2006" s="2047"/>
      <c r="F2006" s="2048"/>
      <c r="G2006" s="2049"/>
      <c r="H2006" s="2050"/>
      <c r="I2006" s="2051"/>
      <c r="J2006" s="2051"/>
      <c r="K2006" s="2052"/>
      <c r="L2006" s="2053"/>
      <c r="M2006" s="2054"/>
      <c r="N2006" s="2055"/>
      <c r="O2006" s="2056"/>
      <c r="P2006" s="1969"/>
      <c r="Q2006" s="1953"/>
      <c r="R2006" s="1954"/>
      <c r="S2006" s="1954"/>
      <c r="T2006" s="1969"/>
      <c r="U2006" s="2060"/>
      <c r="Z2006" s="1956"/>
      <c r="AA2006" s="1956"/>
      <c r="AF2006" s="1836"/>
      <c r="AG2006" s="1836"/>
      <c r="AH2006" s="1836"/>
      <c r="AI2006" s="1837"/>
      <c r="AJ2006" s="1960"/>
    </row>
    <row r="2007" spans="1:36" ht="21.95" customHeight="1" x14ac:dyDescent="0.2">
      <c r="B2007" s="2045"/>
      <c r="C2007" s="2046"/>
      <c r="D2007" s="2047" t="str">
        <f>SNI!E1403</f>
        <v>Pekerja</v>
      </c>
      <c r="E2007" s="2047"/>
      <c r="F2007" s="2048"/>
      <c r="G2007" s="2049">
        <f>SNI!H1403</f>
        <v>0.08</v>
      </c>
      <c r="H2007" s="2050" t="str">
        <f>SNI!G1403</f>
        <v>OH</v>
      </c>
      <c r="I2007" s="2142" t="s">
        <v>2012</v>
      </c>
      <c r="J2007" s="2051"/>
      <c r="K2007" s="2052">
        <f>SNI!L1403</f>
        <v>1</v>
      </c>
      <c r="L2007" s="2053"/>
      <c r="M2007" s="2054"/>
      <c r="N2007" s="2055">
        <f>SNI!I1403</f>
        <v>88300</v>
      </c>
      <c r="O2007" s="2056"/>
      <c r="P2007" s="1969">
        <f t="shared" si="1363"/>
        <v>7064</v>
      </c>
      <c r="Q2007" s="1953"/>
      <c r="R2007" s="1954"/>
      <c r="S2007" s="1954">
        <f t="shared" si="1364"/>
        <v>7064</v>
      </c>
      <c r="T2007" s="1969">
        <f t="shared" si="1365"/>
        <v>0</v>
      </c>
      <c r="U2007" s="2060"/>
      <c r="Z2007" s="1956"/>
      <c r="AA2007" s="1956"/>
      <c r="AF2007" s="1836"/>
      <c r="AG2007" s="1836"/>
      <c r="AH2007" s="1836"/>
      <c r="AI2007" s="1837"/>
      <c r="AJ2007" s="1960"/>
    </row>
    <row r="2008" spans="1:36" ht="21.95" customHeight="1" x14ac:dyDescent="0.2">
      <c r="B2008" s="2045"/>
      <c r="C2008" s="2046"/>
      <c r="D2008" s="2047" t="str">
        <f>SNI!E1404</f>
        <v>Tukang listrik</v>
      </c>
      <c r="E2008" s="2047"/>
      <c r="F2008" s="2048"/>
      <c r="G2008" s="2049">
        <f>SNI!H1404</f>
        <v>0.1</v>
      </c>
      <c r="H2008" s="2050" t="str">
        <f>SNI!G1404</f>
        <v>OH</v>
      </c>
      <c r="I2008" s="2142" t="s">
        <v>2012</v>
      </c>
      <c r="J2008" s="2051"/>
      <c r="K2008" s="2052">
        <f>SNI!L1404</f>
        <v>1</v>
      </c>
      <c r="L2008" s="2053"/>
      <c r="M2008" s="2054"/>
      <c r="N2008" s="2055">
        <f>SNI!I1404</f>
        <v>90000</v>
      </c>
      <c r="O2008" s="2056"/>
      <c r="P2008" s="1969">
        <f t="shared" si="1363"/>
        <v>9000</v>
      </c>
      <c r="Q2008" s="1953"/>
      <c r="R2008" s="1954"/>
      <c r="S2008" s="1954">
        <f t="shared" si="1364"/>
        <v>9000</v>
      </c>
      <c r="T2008" s="1969">
        <f t="shared" si="1365"/>
        <v>0</v>
      </c>
      <c r="U2008" s="2060"/>
      <c r="Z2008" s="1956"/>
      <c r="AA2008" s="1956"/>
      <c r="AF2008" s="1836"/>
      <c r="AG2008" s="1836"/>
      <c r="AH2008" s="1836"/>
      <c r="AI2008" s="1837"/>
      <c r="AJ2008" s="1960"/>
    </row>
    <row r="2009" spans="1:36" ht="21.95" customHeight="1" x14ac:dyDescent="0.2">
      <c r="B2009" s="2045"/>
      <c r="C2009" s="2046"/>
      <c r="D2009" s="2047" t="str">
        <f>SNI!E1405</f>
        <v>Mandor</v>
      </c>
      <c r="E2009" s="2047"/>
      <c r="F2009" s="2048"/>
      <c r="G2009" s="2049">
        <f>SNI!H1405</f>
        <v>0.05</v>
      </c>
      <c r="H2009" s="2050" t="str">
        <f>SNI!G1405</f>
        <v>OH</v>
      </c>
      <c r="I2009" s="2142" t="s">
        <v>2012</v>
      </c>
      <c r="J2009" s="2051"/>
      <c r="K2009" s="2052">
        <f>SNI!L1405</f>
        <v>1</v>
      </c>
      <c r="L2009" s="2053"/>
      <c r="M2009" s="2054"/>
      <c r="N2009" s="2055">
        <f>SNI!I1405</f>
        <v>90000</v>
      </c>
      <c r="O2009" s="2056"/>
      <c r="P2009" s="1969">
        <f t="shared" ref="P2009" si="1366">N2009*G2009</f>
        <v>4500</v>
      </c>
      <c r="Q2009" s="1953"/>
      <c r="R2009" s="1954"/>
      <c r="S2009" s="1954">
        <f t="shared" ref="S2009" si="1367">P2009*K2009</f>
        <v>4500</v>
      </c>
      <c r="T2009" s="1969">
        <f t="shared" ref="T2009" si="1368">P2009-S2009</f>
        <v>0</v>
      </c>
      <c r="U2009" s="2060"/>
      <c r="Z2009" s="1956"/>
      <c r="AA2009" s="1956"/>
      <c r="AF2009" s="1836"/>
      <c r="AG2009" s="1836"/>
      <c r="AH2009" s="1836"/>
      <c r="AI2009" s="1837"/>
      <c r="AJ2009" s="1960"/>
    </row>
    <row r="2010" spans="1:36" s="1957" customFormat="1" ht="21.95" customHeight="1" x14ac:dyDescent="0.2">
      <c r="A2010" s="1942"/>
      <c r="B2010" s="1970"/>
      <c r="C2010" s="1971"/>
      <c r="D2010" s="1972"/>
      <c r="E2010" s="1973"/>
      <c r="F2010" s="1974" t="s">
        <v>556</v>
      </c>
      <c r="G2010" s="1975">
        <f>B2000</f>
        <v>2</v>
      </c>
      <c r="H2010" s="1976"/>
      <c r="I2010" s="1977"/>
      <c r="J2010" s="1977"/>
      <c r="K2010" s="1978"/>
      <c r="L2010" s="1979"/>
      <c r="M2010" s="1980"/>
      <c r="N2010" s="1981"/>
      <c r="O2010" s="1982"/>
      <c r="P2010" s="1983">
        <f>SUM(P2002:P2009)</f>
        <v>102064</v>
      </c>
      <c r="Q2010" s="1984"/>
      <c r="R2010" s="1985"/>
      <c r="S2010" s="1983">
        <f t="shared" ref="S2010:T2010" si="1369">SUM(S2002:S2009)</f>
        <v>81663.5</v>
      </c>
      <c r="T2010" s="1983">
        <f t="shared" si="1369"/>
        <v>20400.5</v>
      </c>
      <c r="U2010" s="1986"/>
      <c r="V2010" s="1848"/>
      <c r="W2010" s="1848"/>
      <c r="X2010" s="1848"/>
      <c r="Y2010" s="1848"/>
      <c r="Z2010" s="1956"/>
      <c r="AA2010" s="1956"/>
      <c r="AF2010" s="1958"/>
      <c r="AG2010" s="1958"/>
      <c r="AH2010" s="1958"/>
      <c r="AI2010" s="1959"/>
      <c r="AJ2010" s="1960"/>
    </row>
    <row r="2011" spans="1:36" ht="21.95" customHeight="1" x14ac:dyDescent="0.2">
      <c r="A2011" s="1833">
        <f>satpek!B91</f>
        <v>72</v>
      </c>
      <c r="B2011" s="1943">
        <f>B2000+1</f>
        <v>3</v>
      </c>
      <c r="C2011" s="1937"/>
      <c r="D2011" s="1944" t="str">
        <f>VLOOKUP($A2011,satpek!$B$20:$N$144,2,0)</f>
        <v>Memasang Instalasi titik stop kontak (kabel 3x2,5 mm)</v>
      </c>
      <c r="E2011" s="1944"/>
      <c r="F2011" s="2004"/>
      <c r="G2011" s="1945">
        <f>'[3]B.VOL RAB'!Q633</f>
        <v>42</v>
      </c>
      <c r="H2011" s="1946" t="str">
        <f>VLOOKUP($A2011,satpek!$B$20:$N$144,7,0)</f>
        <v>ttk</v>
      </c>
      <c r="I2011" s="1947"/>
      <c r="J2011" s="1947"/>
      <c r="K2011" s="1948"/>
      <c r="L2011" s="1949"/>
      <c r="M2011" s="1950" t="str">
        <f>VLOOKUP($A2011,satpek!$B$20:$N$144,5,0)</f>
        <v>An. Dihitung</v>
      </c>
      <c r="N2011" s="1951">
        <f>VLOOKUP($A2011,satpek!$B$20:$N$144,6,0)</f>
        <v>145842.32</v>
      </c>
      <c r="O2011" s="1938"/>
      <c r="P2011" s="1952">
        <f t="shared" si="1351"/>
        <v>6125377.4400000004</v>
      </c>
      <c r="Q2011" s="1953">
        <f>VLOOKUP($A2011,satpek!$B$20:$L$138,8,0)</f>
        <v>0.8179817764829852</v>
      </c>
      <c r="R2011" s="1954">
        <f>VLOOKUP($A2011,satpek!$B$20:$L$138,9,0)</f>
        <v>105572</v>
      </c>
      <c r="S2011" s="1954">
        <f>VLOOKUP($A2011,satpek!$B$20:$L$138,10,0)</f>
        <v>119296.36</v>
      </c>
      <c r="T2011" s="1952">
        <f t="shared" si="1352"/>
        <v>5010447.12</v>
      </c>
      <c r="U2011" s="1955"/>
      <c r="X2011" s="1848">
        <f>P2021</f>
        <v>129064</v>
      </c>
      <c r="Y2011" s="1848">
        <f>S2021</f>
        <v>105572</v>
      </c>
      <c r="Z2011" s="1956">
        <v>42</v>
      </c>
      <c r="AA2011" s="1956">
        <f t="shared" si="1232"/>
        <v>0</v>
      </c>
      <c r="AB2011" s="1836" t="s">
        <v>1918</v>
      </c>
      <c r="AG2011" s="1836"/>
      <c r="AH2011" s="1836"/>
      <c r="AI2011" s="1837">
        <v>249351.45</v>
      </c>
      <c r="AJ2011" s="1960">
        <f t="shared" si="1233"/>
        <v>103509.13</v>
      </c>
    </row>
    <row r="2012" spans="1:36" ht="21.95" customHeight="1" x14ac:dyDescent="0.2">
      <c r="B2012" s="2045"/>
      <c r="C2012" s="2046" t="str">
        <f>SNI!D1438</f>
        <v>Bahan</v>
      </c>
      <c r="D2012" s="2047"/>
      <c r="E2012" s="2047"/>
      <c r="F2012" s="2048"/>
      <c r="G2012" s="2049"/>
      <c r="H2012" s="2050"/>
      <c r="I2012" s="2051"/>
      <c r="J2012" s="2051"/>
      <c r="K2012" s="2052"/>
      <c r="L2012" s="2053"/>
      <c r="M2012" s="2054"/>
      <c r="N2012" s="2055"/>
      <c r="O2012" s="2056"/>
      <c r="P2012" s="2057"/>
      <c r="Q2012" s="2058"/>
      <c r="R2012" s="2059"/>
      <c r="S2012" s="2059"/>
      <c r="T2012" s="2057"/>
      <c r="U2012" s="2060"/>
      <c r="Z2012" s="1956"/>
      <c r="AA2012" s="1956"/>
      <c r="AG2012" s="1836"/>
      <c r="AH2012" s="1836"/>
      <c r="AI2012" s="1837"/>
      <c r="AJ2012" s="1960"/>
    </row>
    <row r="2013" spans="1:36" ht="21.95" customHeight="1" x14ac:dyDescent="0.2">
      <c r="B2013" s="2045"/>
      <c r="C2013" s="2046"/>
      <c r="D2013" s="2047" t="str">
        <f>SNI!E1438</f>
        <v>Pipa listrik 5/8"</v>
      </c>
      <c r="E2013" s="2047"/>
      <c r="F2013" s="2048"/>
      <c r="G2013" s="2049">
        <f>SNI!H1438</f>
        <v>1</v>
      </c>
      <c r="H2013" s="2050" t="str">
        <f>SNI!G1438</f>
        <v>btg</v>
      </c>
      <c r="I2013" s="2051"/>
      <c r="J2013" s="2051"/>
      <c r="K2013" s="2052">
        <f>SNI!L1438</f>
        <v>0</v>
      </c>
      <c r="L2013" s="2053"/>
      <c r="M2013" s="2054"/>
      <c r="N2013" s="2055">
        <f>SNI!I1438</f>
        <v>8000</v>
      </c>
      <c r="O2013" s="2056"/>
      <c r="P2013" s="1969">
        <f t="shared" ref="P2013" si="1370">N2013*G2013</f>
        <v>8000</v>
      </c>
      <c r="Q2013" s="1953"/>
      <c r="R2013" s="1954"/>
      <c r="S2013" s="1954">
        <f t="shared" ref="S2013" si="1371">P2013*K2013</f>
        <v>0</v>
      </c>
      <c r="T2013" s="1969">
        <f t="shared" ref="T2013" si="1372">P2013-S2013</f>
        <v>8000</v>
      </c>
      <c r="U2013" s="2060"/>
      <c r="Z2013" s="1956"/>
      <c r="AA2013" s="1956"/>
      <c r="AG2013" s="1836"/>
      <c r="AH2013" s="1836"/>
      <c r="AI2013" s="1837"/>
      <c r="AJ2013" s="1960"/>
    </row>
    <row r="2014" spans="1:36" ht="21.95" customHeight="1" x14ac:dyDescent="0.2">
      <c r="B2014" s="2045"/>
      <c r="C2014" s="2046"/>
      <c r="D2014" s="2047" t="str">
        <f>SNI!E1439</f>
        <v>Kabel 3x2,5</v>
      </c>
      <c r="E2014" s="2047"/>
      <c r="F2014" s="2048"/>
      <c r="G2014" s="2049">
        <f>SNI!H1439</f>
        <v>10</v>
      </c>
      <c r="H2014" s="2050" t="str">
        <f>SNI!G1439</f>
        <v>m'</v>
      </c>
      <c r="I2014" s="2051"/>
      <c r="J2014" s="2051"/>
      <c r="K2014" s="2052">
        <f>SNI!L1439</f>
        <v>0.88549999999999995</v>
      </c>
      <c r="L2014" s="2053"/>
      <c r="M2014" s="2054"/>
      <c r="N2014" s="2055">
        <f>SNI!I1439</f>
        <v>9600</v>
      </c>
      <c r="O2014" s="2056"/>
      <c r="P2014" s="1969">
        <f t="shared" ref="P2014:P2020" si="1373">N2014*G2014</f>
        <v>96000</v>
      </c>
      <c r="Q2014" s="1953"/>
      <c r="R2014" s="1954"/>
      <c r="S2014" s="1954">
        <f t="shared" ref="S2014:S2020" si="1374">P2014*K2014</f>
        <v>85008</v>
      </c>
      <c r="T2014" s="1969">
        <f t="shared" ref="T2014:T2020" si="1375">P2014-S2014</f>
        <v>10992</v>
      </c>
      <c r="U2014" s="2060"/>
      <c r="Z2014" s="1956"/>
      <c r="AA2014" s="1956"/>
      <c r="AG2014" s="1836"/>
      <c r="AH2014" s="1836"/>
      <c r="AI2014" s="1837"/>
      <c r="AJ2014" s="1960"/>
    </row>
    <row r="2015" spans="1:36" ht="21.95" customHeight="1" x14ac:dyDescent="0.2">
      <c r="B2015" s="2045"/>
      <c r="C2015" s="2046"/>
      <c r="D2015" s="2047" t="str">
        <f>SNI!E1440</f>
        <v>T Dus</v>
      </c>
      <c r="E2015" s="2047"/>
      <c r="F2015" s="2048"/>
      <c r="G2015" s="2049">
        <f>SNI!H1440</f>
        <v>1</v>
      </c>
      <c r="H2015" s="2050" t="str">
        <f>SNI!G1440</f>
        <v>bh</v>
      </c>
      <c r="I2015" s="2051"/>
      <c r="J2015" s="2051"/>
      <c r="K2015" s="2052">
        <f>SNI!L1440</f>
        <v>0</v>
      </c>
      <c r="L2015" s="2053"/>
      <c r="M2015" s="2054"/>
      <c r="N2015" s="2055">
        <f>SNI!I1440</f>
        <v>2500</v>
      </c>
      <c r="O2015" s="2056"/>
      <c r="P2015" s="1969">
        <f t="shared" si="1373"/>
        <v>2500</v>
      </c>
      <c r="Q2015" s="1953"/>
      <c r="R2015" s="1954"/>
      <c r="S2015" s="1954">
        <f t="shared" si="1374"/>
        <v>0</v>
      </c>
      <c r="T2015" s="1969">
        <f t="shared" si="1375"/>
        <v>2500</v>
      </c>
      <c r="U2015" s="2060"/>
      <c r="Z2015" s="1956"/>
      <c r="AA2015" s="1956"/>
      <c r="AG2015" s="1836"/>
      <c r="AH2015" s="1836"/>
      <c r="AI2015" s="1837"/>
      <c r="AJ2015" s="1960"/>
    </row>
    <row r="2016" spans="1:36" ht="21.95" customHeight="1" x14ac:dyDescent="0.2">
      <c r="B2016" s="2045"/>
      <c r="C2016" s="2046"/>
      <c r="D2016" s="2047" t="str">
        <f>SNI!E1441</f>
        <v>L Bow</v>
      </c>
      <c r="E2016" s="2047"/>
      <c r="F2016" s="2048"/>
      <c r="G2016" s="2049">
        <f>SNI!H1441</f>
        <v>1</v>
      </c>
      <c r="H2016" s="2050" t="str">
        <f>SNI!G1441</f>
        <v>bh</v>
      </c>
      <c r="I2016" s="2051"/>
      <c r="J2016" s="2051"/>
      <c r="K2016" s="2052">
        <f>SNI!L1441</f>
        <v>0</v>
      </c>
      <c r="L2016" s="2053"/>
      <c r="M2016" s="2054"/>
      <c r="N2016" s="2055">
        <f>SNI!I1441</f>
        <v>2000</v>
      </c>
      <c r="O2016" s="2056"/>
      <c r="P2016" s="1969">
        <f t="shared" si="1373"/>
        <v>2000</v>
      </c>
      <c r="Q2016" s="1953"/>
      <c r="R2016" s="1954"/>
      <c r="S2016" s="1954">
        <f t="shared" si="1374"/>
        <v>0</v>
      </c>
      <c r="T2016" s="1969">
        <f t="shared" si="1375"/>
        <v>2000</v>
      </c>
      <c r="U2016" s="2060"/>
      <c r="Z2016" s="1956"/>
      <c r="AA2016" s="1956"/>
      <c r="AG2016" s="1836"/>
      <c r="AH2016" s="1836"/>
      <c r="AI2016" s="1837"/>
      <c r="AJ2016" s="1960"/>
    </row>
    <row r="2017" spans="1:36" ht="21.95" customHeight="1" x14ac:dyDescent="0.2">
      <c r="B2017" s="2045"/>
      <c r="C2017" s="2046" t="str">
        <f>SNI!D1443</f>
        <v>Tenaga Kerja</v>
      </c>
      <c r="D2017" s="2047"/>
      <c r="E2017" s="2047"/>
      <c r="F2017" s="2048"/>
      <c r="G2017" s="2049"/>
      <c r="H2017" s="2050"/>
      <c r="I2017" s="2051"/>
      <c r="J2017" s="2051"/>
      <c r="K2017" s="2052"/>
      <c r="L2017" s="2053"/>
      <c r="M2017" s="2054"/>
      <c r="N2017" s="2055"/>
      <c r="O2017" s="2056"/>
      <c r="P2017" s="1969"/>
      <c r="Q2017" s="1953"/>
      <c r="R2017" s="1954"/>
      <c r="S2017" s="1954"/>
      <c r="T2017" s="1969"/>
      <c r="U2017" s="2060"/>
      <c r="Z2017" s="1956"/>
      <c r="AA2017" s="1956"/>
      <c r="AG2017" s="1836"/>
      <c r="AH2017" s="1836"/>
      <c r="AI2017" s="1837"/>
      <c r="AJ2017" s="1960"/>
    </row>
    <row r="2018" spans="1:36" ht="21.95" customHeight="1" x14ac:dyDescent="0.2">
      <c r="B2018" s="2045"/>
      <c r="C2018" s="2046"/>
      <c r="D2018" s="2047" t="str">
        <f>SNI!E1443</f>
        <v>Pekerja</v>
      </c>
      <c r="E2018" s="2047"/>
      <c r="F2018" s="2048"/>
      <c r="G2018" s="2049">
        <f>SNI!H1443</f>
        <v>0.08</v>
      </c>
      <c r="H2018" s="2050" t="str">
        <f>SNI!G1443</f>
        <v>OH</v>
      </c>
      <c r="I2018" s="2051" t="str">
        <f>SNI!M1443</f>
        <v>WNI</v>
      </c>
      <c r="J2018" s="2051"/>
      <c r="K2018" s="2052">
        <f>SNI!L1443</f>
        <v>1</v>
      </c>
      <c r="L2018" s="2053"/>
      <c r="M2018" s="2054"/>
      <c r="N2018" s="2055">
        <f>SNI!I1443</f>
        <v>88300</v>
      </c>
      <c r="O2018" s="2056"/>
      <c r="P2018" s="1969">
        <f t="shared" si="1373"/>
        <v>7064</v>
      </c>
      <c r="Q2018" s="1953"/>
      <c r="R2018" s="1954"/>
      <c r="S2018" s="1954">
        <f t="shared" si="1374"/>
        <v>7064</v>
      </c>
      <c r="T2018" s="1969">
        <f t="shared" si="1375"/>
        <v>0</v>
      </c>
      <c r="U2018" s="2060"/>
      <c r="Z2018" s="1956"/>
      <c r="AA2018" s="1956"/>
      <c r="AG2018" s="1836"/>
      <c r="AH2018" s="1836"/>
      <c r="AI2018" s="1837"/>
      <c r="AJ2018" s="1960"/>
    </row>
    <row r="2019" spans="1:36" ht="21.95" customHeight="1" x14ac:dyDescent="0.2">
      <c r="B2019" s="2045"/>
      <c r="C2019" s="2046"/>
      <c r="D2019" s="2047" t="str">
        <f>SNI!E1444</f>
        <v>Tukang listrik</v>
      </c>
      <c r="E2019" s="2047"/>
      <c r="F2019" s="2048"/>
      <c r="G2019" s="2049">
        <f>SNI!H1444</f>
        <v>0.1</v>
      </c>
      <c r="H2019" s="2050" t="str">
        <f>SNI!G1444</f>
        <v>OH</v>
      </c>
      <c r="I2019" s="2051" t="str">
        <f>SNI!M1444</f>
        <v>WNI</v>
      </c>
      <c r="J2019" s="2051"/>
      <c r="K2019" s="2052">
        <f>SNI!L1444</f>
        <v>1</v>
      </c>
      <c r="L2019" s="2053"/>
      <c r="M2019" s="2054"/>
      <c r="N2019" s="2055">
        <f>SNI!I1444</f>
        <v>90000</v>
      </c>
      <c r="O2019" s="2056"/>
      <c r="P2019" s="1969">
        <f t="shared" si="1373"/>
        <v>9000</v>
      </c>
      <c r="Q2019" s="1953"/>
      <c r="R2019" s="1954"/>
      <c r="S2019" s="1954">
        <f t="shared" si="1374"/>
        <v>9000</v>
      </c>
      <c r="T2019" s="1969">
        <f t="shared" si="1375"/>
        <v>0</v>
      </c>
      <c r="U2019" s="2060"/>
      <c r="Z2019" s="1956"/>
      <c r="AA2019" s="1956"/>
      <c r="AG2019" s="1836"/>
      <c r="AH2019" s="1836"/>
      <c r="AI2019" s="1837"/>
      <c r="AJ2019" s="1960"/>
    </row>
    <row r="2020" spans="1:36" ht="21.95" customHeight="1" x14ac:dyDescent="0.2">
      <c r="B2020" s="2045"/>
      <c r="C2020" s="2046"/>
      <c r="D2020" s="2047" t="str">
        <f>SNI!E1445</f>
        <v>Mandor</v>
      </c>
      <c r="E2020" s="2047"/>
      <c r="F2020" s="2048"/>
      <c r="G2020" s="2049">
        <f>SNI!H1445</f>
        <v>0.05</v>
      </c>
      <c r="H2020" s="2050" t="str">
        <f>SNI!G1445</f>
        <v>OH</v>
      </c>
      <c r="I2020" s="2051" t="str">
        <f>SNI!M1445</f>
        <v>WNI</v>
      </c>
      <c r="J2020" s="2051"/>
      <c r="K2020" s="2052">
        <f>SNI!L1445</f>
        <v>1</v>
      </c>
      <c r="L2020" s="2053"/>
      <c r="M2020" s="2054"/>
      <c r="N2020" s="2055">
        <f>SNI!I1445</f>
        <v>90000</v>
      </c>
      <c r="O2020" s="2056"/>
      <c r="P2020" s="1969">
        <f t="shared" si="1373"/>
        <v>4500</v>
      </c>
      <c r="Q2020" s="1953"/>
      <c r="R2020" s="1954"/>
      <c r="S2020" s="1954">
        <f t="shared" si="1374"/>
        <v>4500</v>
      </c>
      <c r="T2020" s="1969">
        <f t="shared" si="1375"/>
        <v>0</v>
      </c>
      <c r="U2020" s="2060"/>
      <c r="Z2020" s="1956"/>
      <c r="AA2020" s="1956"/>
      <c r="AG2020" s="1836"/>
      <c r="AH2020" s="1836"/>
      <c r="AI2020" s="1837"/>
      <c r="AJ2020" s="1960"/>
    </row>
    <row r="2021" spans="1:36" s="1957" customFormat="1" ht="21.95" customHeight="1" x14ac:dyDescent="0.2">
      <c r="A2021" s="1942"/>
      <c r="B2021" s="1970"/>
      <c r="C2021" s="1971"/>
      <c r="D2021" s="1972"/>
      <c r="E2021" s="1973"/>
      <c r="F2021" s="1974" t="s">
        <v>556</v>
      </c>
      <c r="G2021" s="1975">
        <f>B2011</f>
        <v>3</v>
      </c>
      <c r="H2021" s="1976"/>
      <c r="I2021" s="1977"/>
      <c r="J2021" s="1977"/>
      <c r="K2021" s="1978"/>
      <c r="L2021" s="1979"/>
      <c r="M2021" s="1980"/>
      <c r="N2021" s="1981"/>
      <c r="O2021" s="1982"/>
      <c r="P2021" s="1983">
        <f>SUM(P2013:P2020)</f>
        <v>129064</v>
      </c>
      <c r="Q2021" s="1984"/>
      <c r="R2021" s="1985"/>
      <c r="S2021" s="1983">
        <f t="shared" ref="S2021" si="1376">SUM(S2013:S2020)</f>
        <v>105572</v>
      </c>
      <c r="T2021" s="1983">
        <f t="shared" ref="T2021" si="1377">SUM(T2013:T2020)</f>
        <v>23492</v>
      </c>
      <c r="U2021" s="1986"/>
      <c r="V2021" s="1848"/>
      <c r="W2021" s="1848"/>
      <c r="X2021" s="1848"/>
      <c r="Y2021" s="1848"/>
      <c r="Z2021" s="1956"/>
      <c r="AA2021" s="1956"/>
      <c r="AF2021" s="1958"/>
      <c r="AG2021" s="1958"/>
      <c r="AH2021" s="1958"/>
      <c r="AI2021" s="1959"/>
      <c r="AJ2021" s="1960"/>
    </row>
    <row r="2022" spans="1:36" ht="21.95" customHeight="1" x14ac:dyDescent="0.2">
      <c r="A2022" s="1833">
        <f>A2011</f>
        <v>72</v>
      </c>
      <c r="B2022" s="1943">
        <f>B2011+1</f>
        <v>4</v>
      </c>
      <c r="C2022" s="1937"/>
      <c r="D2022" s="1944" t="s">
        <v>1874</v>
      </c>
      <c r="E2022" s="1944"/>
      <c r="F2022" s="2004"/>
      <c r="G2022" s="1945">
        <f>'[3]B.VOL RAB'!Q634</f>
        <v>12</v>
      </c>
      <c r="H2022" s="1946" t="str">
        <f>VLOOKUP($A2022,satpek!$B$20:$N$144,7,0)</f>
        <v>ttk</v>
      </c>
      <c r="I2022" s="1947"/>
      <c r="J2022" s="1947"/>
      <c r="K2022" s="1948"/>
      <c r="L2022" s="1949"/>
      <c r="M2022" s="1950" t="str">
        <f>VLOOKUP($A2022,satpek!$B$20:$N$144,5,0)</f>
        <v>An. Dihitung</v>
      </c>
      <c r="N2022" s="1951">
        <f>VLOOKUP($A2022,satpek!$B$20:$N$144,6,0)</f>
        <v>145842.32</v>
      </c>
      <c r="O2022" s="1938"/>
      <c r="P2022" s="1952">
        <f t="shared" si="1351"/>
        <v>1750107.84</v>
      </c>
      <c r="Q2022" s="1953">
        <f>VLOOKUP($A2022,satpek!$B$20:$L$138,8,0)</f>
        <v>0.8179817764829852</v>
      </c>
      <c r="R2022" s="1954">
        <f>VLOOKUP($A2022,satpek!$B$20:$L$138,9,0)</f>
        <v>105572</v>
      </c>
      <c r="S2022" s="1954">
        <f>VLOOKUP($A2022,satpek!$B$20:$L$138,10,0)</f>
        <v>119296.36</v>
      </c>
      <c r="T2022" s="1952">
        <f t="shared" si="1352"/>
        <v>1431556.32</v>
      </c>
      <c r="U2022" s="1955"/>
      <c r="X2022" s="1848">
        <f>P2032</f>
        <v>129064</v>
      </c>
      <c r="Y2022" s="1848">
        <f>S2032</f>
        <v>105572</v>
      </c>
      <c r="Z2022" s="1956">
        <v>12</v>
      </c>
      <c r="AA2022" s="1956">
        <f t="shared" si="1232"/>
        <v>0</v>
      </c>
      <c r="AB2022" s="1836" t="s">
        <v>1874</v>
      </c>
      <c r="AG2022" s="1836"/>
      <c r="AH2022" s="1836"/>
      <c r="AI2022" s="1837">
        <v>249351.45</v>
      </c>
      <c r="AJ2022" s="1960">
        <f t="shared" si="1233"/>
        <v>103509.13</v>
      </c>
    </row>
    <row r="2023" spans="1:36" ht="21.95" customHeight="1" x14ac:dyDescent="0.2">
      <c r="B2023" s="2045"/>
      <c r="C2023" s="2046" t="str">
        <f>SNI!D1438</f>
        <v>Bahan</v>
      </c>
      <c r="D2023" s="2047"/>
      <c r="E2023" s="2047"/>
      <c r="F2023" s="2048"/>
      <c r="G2023" s="2049"/>
      <c r="H2023" s="2050"/>
      <c r="I2023" s="2051"/>
      <c r="J2023" s="2051"/>
      <c r="K2023" s="2052"/>
      <c r="L2023" s="2053"/>
      <c r="M2023" s="2054"/>
      <c r="N2023" s="2055"/>
      <c r="O2023" s="2056"/>
      <c r="P2023" s="2057"/>
      <c r="Q2023" s="2058"/>
      <c r="R2023" s="2059"/>
      <c r="S2023" s="2059"/>
      <c r="T2023" s="2057"/>
      <c r="U2023" s="2060"/>
      <c r="Z2023" s="1956"/>
      <c r="AA2023" s="1956"/>
      <c r="AG2023" s="1836"/>
      <c r="AH2023" s="1836"/>
      <c r="AI2023" s="1837"/>
      <c r="AJ2023" s="1960"/>
    </row>
    <row r="2024" spans="1:36" ht="21.95" customHeight="1" x14ac:dyDescent="0.2">
      <c r="B2024" s="2045"/>
      <c r="C2024" s="2046"/>
      <c r="D2024" s="2047" t="str">
        <f>SNI!E1438</f>
        <v>Pipa listrik 5/8"</v>
      </c>
      <c r="E2024" s="2047"/>
      <c r="F2024" s="2048"/>
      <c r="G2024" s="2049">
        <f>SNI!H1438</f>
        <v>1</v>
      </c>
      <c r="H2024" s="2050" t="str">
        <f>SNI!G1438</f>
        <v>btg</v>
      </c>
      <c r="I2024" s="2051"/>
      <c r="J2024" s="2051"/>
      <c r="K2024" s="2052">
        <f>SNI!L1438</f>
        <v>0</v>
      </c>
      <c r="L2024" s="2053"/>
      <c r="M2024" s="2054"/>
      <c r="N2024" s="2055">
        <f>SNI!I1438</f>
        <v>8000</v>
      </c>
      <c r="O2024" s="2056"/>
      <c r="P2024" s="1969">
        <f t="shared" ref="P2024" si="1378">N2024*G2024</f>
        <v>8000</v>
      </c>
      <c r="Q2024" s="1953"/>
      <c r="R2024" s="1954"/>
      <c r="S2024" s="1954">
        <f t="shared" ref="S2024" si="1379">P2024*K2024</f>
        <v>0</v>
      </c>
      <c r="T2024" s="1969">
        <f t="shared" ref="T2024" si="1380">P2024-S2024</f>
        <v>8000</v>
      </c>
      <c r="U2024" s="2060"/>
      <c r="Z2024" s="1956"/>
      <c r="AA2024" s="1956"/>
      <c r="AG2024" s="1836"/>
      <c r="AH2024" s="1836"/>
      <c r="AI2024" s="1837"/>
      <c r="AJ2024" s="1960"/>
    </row>
    <row r="2025" spans="1:36" ht="21.95" customHeight="1" x14ac:dyDescent="0.2">
      <c r="B2025" s="2045"/>
      <c r="C2025" s="2046"/>
      <c r="D2025" s="2047" t="str">
        <f>SNI!E1439</f>
        <v>Kabel 3x2,5</v>
      </c>
      <c r="E2025" s="2047"/>
      <c r="F2025" s="2048"/>
      <c r="G2025" s="2049">
        <f>SNI!H1439</f>
        <v>10</v>
      </c>
      <c r="H2025" s="2050" t="str">
        <f>SNI!G1439</f>
        <v>m'</v>
      </c>
      <c r="I2025" s="2051"/>
      <c r="J2025" s="2051"/>
      <c r="K2025" s="2052">
        <f>SNI!L1439</f>
        <v>0.88549999999999995</v>
      </c>
      <c r="L2025" s="2053"/>
      <c r="M2025" s="2054"/>
      <c r="N2025" s="2055">
        <f>SNI!I1439</f>
        <v>9600</v>
      </c>
      <c r="O2025" s="2056"/>
      <c r="P2025" s="1969">
        <f t="shared" ref="P2025:P2031" si="1381">N2025*G2025</f>
        <v>96000</v>
      </c>
      <c r="Q2025" s="1953"/>
      <c r="R2025" s="1954"/>
      <c r="S2025" s="1954">
        <f t="shared" ref="S2025:S2031" si="1382">P2025*K2025</f>
        <v>85008</v>
      </c>
      <c r="T2025" s="1969">
        <f t="shared" ref="T2025:T2031" si="1383">P2025-S2025</f>
        <v>10992</v>
      </c>
      <c r="U2025" s="2060"/>
      <c r="Z2025" s="1956"/>
      <c r="AA2025" s="1956"/>
      <c r="AG2025" s="1836"/>
      <c r="AH2025" s="1836"/>
      <c r="AI2025" s="1837"/>
      <c r="AJ2025" s="1960"/>
    </row>
    <row r="2026" spans="1:36" ht="21.95" customHeight="1" x14ac:dyDescent="0.2">
      <c r="B2026" s="2045"/>
      <c r="C2026" s="2046"/>
      <c r="D2026" s="2047" t="str">
        <f>SNI!E1440</f>
        <v>T Dus</v>
      </c>
      <c r="E2026" s="2047"/>
      <c r="F2026" s="2048"/>
      <c r="G2026" s="2049">
        <f>SNI!H1440</f>
        <v>1</v>
      </c>
      <c r="H2026" s="2050" t="str">
        <f>SNI!G1440</f>
        <v>bh</v>
      </c>
      <c r="I2026" s="2051"/>
      <c r="J2026" s="2051"/>
      <c r="K2026" s="2052">
        <f>SNI!L1440</f>
        <v>0</v>
      </c>
      <c r="L2026" s="2053"/>
      <c r="M2026" s="2054"/>
      <c r="N2026" s="2055">
        <f>SNI!I1440</f>
        <v>2500</v>
      </c>
      <c r="O2026" s="2056"/>
      <c r="P2026" s="1969">
        <f t="shared" si="1381"/>
        <v>2500</v>
      </c>
      <c r="Q2026" s="1953"/>
      <c r="R2026" s="1954"/>
      <c r="S2026" s="1954">
        <f t="shared" si="1382"/>
        <v>0</v>
      </c>
      <c r="T2026" s="1969">
        <f t="shared" si="1383"/>
        <v>2500</v>
      </c>
      <c r="U2026" s="2060"/>
      <c r="Z2026" s="1956"/>
      <c r="AA2026" s="1956"/>
      <c r="AG2026" s="1836"/>
      <c r="AH2026" s="1836"/>
      <c r="AI2026" s="1837"/>
      <c r="AJ2026" s="1960"/>
    </row>
    <row r="2027" spans="1:36" ht="21.95" customHeight="1" x14ac:dyDescent="0.2">
      <c r="B2027" s="2045"/>
      <c r="C2027" s="2046"/>
      <c r="D2027" s="2047" t="str">
        <f>SNI!E1441</f>
        <v>L Bow</v>
      </c>
      <c r="E2027" s="2047"/>
      <c r="F2027" s="2048"/>
      <c r="G2027" s="2049">
        <f>SNI!H1441</f>
        <v>1</v>
      </c>
      <c r="H2027" s="2050" t="str">
        <f>SNI!G1441</f>
        <v>bh</v>
      </c>
      <c r="I2027" s="2051"/>
      <c r="J2027" s="2051"/>
      <c r="K2027" s="2052">
        <f>SNI!L1441</f>
        <v>0</v>
      </c>
      <c r="L2027" s="2053"/>
      <c r="M2027" s="2054"/>
      <c r="N2027" s="2055">
        <f>SNI!I1441</f>
        <v>2000</v>
      </c>
      <c r="O2027" s="2056"/>
      <c r="P2027" s="1969">
        <f t="shared" si="1381"/>
        <v>2000</v>
      </c>
      <c r="Q2027" s="1953"/>
      <c r="R2027" s="1954"/>
      <c r="S2027" s="1954">
        <f t="shared" si="1382"/>
        <v>0</v>
      </c>
      <c r="T2027" s="1969">
        <f t="shared" si="1383"/>
        <v>2000</v>
      </c>
      <c r="U2027" s="2060"/>
      <c r="Z2027" s="1956"/>
      <c r="AA2027" s="1956"/>
      <c r="AG2027" s="1836"/>
      <c r="AH2027" s="1836"/>
      <c r="AI2027" s="1837"/>
      <c r="AJ2027" s="1960"/>
    </row>
    <row r="2028" spans="1:36" ht="21.95" customHeight="1" x14ac:dyDescent="0.2">
      <c r="B2028" s="2045"/>
      <c r="C2028" s="2046" t="str">
        <f>SNI!D1443</f>
        <v>Tenaga Kerja</v>
      </c>
      <c r="D2028" s="2047"/>
      <c r="E2028" s="2047"/>
      <c r="F2028" s="2048"/>
      <c r="G2028" s="2049"/>
      <c r="H2028" s="2050"/>
      <c r="I2028" s="2051"/>
      <c r="J2028" s="2051"/>
      <c r="K2028" s="2052"/>
      <c r="L2028" s="2053"/>
      <c r="M2028" s="2054"/>
      <c r="N2028" s="2055"/>
      <c r="O2028" s="2056"/>
      <c r="P2028" s="1969"/>
      <c r="Q2028" s="1953"/>
      <c r="R2028" s="1954"/>
      <c r="S2028" s="1954"/>
      <c r="T2028" s="1969"/>
      <c r="U2028" s="2060"/>
      <c r="Z2028" s="1956"/>
      <c r="AA2028" s="1956"/>
      <c r="AG2028" s="1836"/>
      <c r="AH2028" s="1836"/>
      <c r="AI2028" s="1837"/>
      <c r="AJ2028" s="1960"/>
    </row>
    <row r="2029" spans="1:36" ht="21.95" customHeight="1" x14ac:dyDescent="0.2">
      <c r="B2029" s="2045"/>
      <c r="C2029" s="2046"/>
      <c r="D2029" s="2047" t="str">
        <f>SNI!E1443</f>
        <v>Pekerja</v>
      </c>
      <c r="E2029" s="2047"/>
      <c r="F2029" s="2048"/>
      <c r="G2029" s="2049">
        <f>SNI!H1443</f>
        <v>0.08</v>
      </c>
      <c r="H2029" s="2050" t="str">
        <f>SNI!G1443</f>
        <v>OH</v>
      </c>
      <c r="I2029" s="2051" t="str">
        <f>SNI!M1443</f>
        <v>WNI</v>
      </c>
      <c r="J2029" s="2051"/>
      <c r="K2029" s="2052">
        <f>SNI!L1443</f>
        <v>1</v>
      </c>
      <c r="L2029" s="2053"/>
      <c r="M2029" s="2054"/>
      <c r="N2029" s="2055">
        <f>SNI!I1443</f>
        <v>88300</v>
      </c>
      <c r="O2029" s="2056"/>
      <c r="P2029" s="1969">
        <f t="shared" si="1381"/>
        <v>7064</v>
      </c>
      <c r="Q2029" s="1953"/>
      <c r="R2029" s="1954"/>
      <c r="S2029" s="1954">
        <f t="shared" si="1382"/>
        <v>7064</v>
      </c>
      <c r="T2029" s="1969">
        <f t="shared" si="1383"/>
        <v>0</v>
      </c>
      <c r="U2029" s="2060"/>
      <c r="Z2029" s="1956"/>
      <c r="AA2029" s="1956"/>
      <c r="AG2029" s="1836"/>
      <c r="AH2029" s="1836"/>
      <c r="AI2029" s="1837"/>
      <c r="AJ2029" s="1960"/>
    </row>
    <row r="2030" spans="1:36" ht="21.95" customHeight="1" x14ac:dyDescent="0.2">
      <c r="B2030" s="2045"/>
      <c r="C2030" s="2046"/>
      <c r="D2030" s="2047" t="str">
        <f>SNI!E1444</f>
        <v>Tukang listrik</v>
      </c>
      <c r="E2030" s="2047"/>
      <c r="F2030" s="2048"/>
      <c r="G2030" s="2049">
        <f>SNI!H1444</f>
        <v>0.1</v>
      </c>
      <c r="H2030" s="2050" t="str">
        <f>SNI!G1444</f>
        <v>OH</v>
      </c>
      <c r="I2030" s="2051" t="str">
        <f>SNI!M1444</f>
        <v>WNI</v>
      </c>
      <c r="J2030" s="2051"/>
      <c r="K2030" s="2052">
        <f>SNI!L1444</f>
        <v>1</v>
      </c>
      <c r="L2030" s="2053"/>
      <c r="M2030" s="2054"/>
      <c r="N2030" s="2055">
        <f>SNI!I1444</f>
        <v>90000</v>
      </c>
      <c r="O2030" s="2056"/>
      <c r="P2030" s="1969">
        <f t="shared" si="1381"/>
        <v>9000</v>
      </c>
      <c r="Q2030" s="1953"/>
      <c r="R2030" s="1954"/>
      <c r="S2030" s="1954">
        <f t="shared" si="1382"/>
        <v>9000</v>
      </c>
      <c r="T2030" s="1969">
        <f t="shared" si="1383"/>
        <v>0</v>
      </c>
      <c r="U2030" s="2060"/>
      <c r="Z2030" s="1956"/>
      <c r="AA2030" s="1956"/>
      <c r="AG2030" s="1836"/>
      <c r="AH2030" s="1836"/>
      <c r="AI2030" s="1837"/>
      <c r="AJ2030" s="1960"/>
    </row>
    <row r="2031" spans="1:36" ht="21.95" customHeight="1" x14ac:dyDescent="0.2">
      <c r="B2031" s="2045"/>
      <c r="C2031" s="2046"/>
      <c r="D2031" s="2047" t="str">
        <f>SNI!E1445</f>
        <v>Mandor</v>
      </c>
      <c r="E2031" s="2047"/>
      <c r="F2031" s="2048"/>
      <c r="G2031" s="2049">
        <f>SNI!H1445</f>
        <v>0.05</v>
      </c>
      <c r="H2031" s="2050" t="str">
        <f>SNI!G1445</f>
        <v>OH</v>
      </c>
      <c r="I2031" s="2051" t="str">
        <f>SNI!M1445</f>
        <v>WNI</v>
      </c>
      <c r="J2031" s="2051"/>
      <c r="K2031" s="2052">
        <f>SNI!L1445</f>
        <v>1</v>
      </c>
      <c r="L2031" s="2053"/>
      <c r="M2031" s="2054"/>
      <c r="N2031" s="2055">
        <f>SNI!I1445</f>
        <v>90000</v>
      </c>
      <c r="O2031" s="2056"/>
      <c r="P2031" s="1969">
        <f t="shared" si="1381"/>
        <v>4500</v>
      </c>
      <c r="Q2031" s="1953"/>
      <c r="R2031" s="1954"/>
      <c r="S2031" s="1954">
        <f t="shared" si="1382"/>
        <v>4500</v>
      </c>
      <c r="T2031" s="1969">
        <f t="shared" si="1383"/>
        <v>0</v>
      </c>
      <c r="U2031" s="2060"/>
      <c r="Z2031" s="1956"/>
      <c r="AA2031" s="1956"/>
      <c r="AG2031" s="1836"/>
      <c r="AH2031" s="1836"/>
      <c r="AI2031" s="1837"/>
      <c r="AJ2031" s="1960"/>
    </row>
    <row r="2032" spans="1:36" s="1957" customFormat="1" ht="21.95" customHeight="1" x14ac:dyDescent="0.2">
      <c r="A2032" s="1942"/>
      <c r="B2032" s="1970"/>
      <c r="C2032" s="1971"/>
      <c r="D2032" s="1972"/>
      <c r="E2032" s="1973"/>
      <c r="F2032" s="1974" t="s">
        <v>556</v>
      </c>
      <c r="G2032" s="1975">
        <f>B2022</f>
        <v>4</v>
      </c>
      <c r="H2032" s="1976"/>
      <c r="I2032" s="1977"/>
      <c r="J2032" s="1977"/>
      <c r="K2032" s="1978"/>
      <c r="L2032" s="1979"/>
      <c r="M2032" s="1980"/>
      <c r="N2032" s="1981"/>
      <c r="O2032" s="1982"/>
      <c r="P2032" s="1983">
        <f>SUM(P2024:P2031)</f>
        <v>129064</v>
      </c>
      <c r="Q2032" s="1984"/>
      <c r="R2032" s="1985"/>
      <c r="S2032" s="1983">
        <f t="shared" ref="S2032" si="1384">SUM(S2024:S2031)</f>
        <v>105572</v>
      </c>
      <c r="T2032" s="1983">
        <f t="shared" ref="T2032" si="1385">SUM(T2024:T2031)</f>
        <v>23492</v>
      </c>
      <c r="U2032" s="1986"/>
      <c r="V2032" s="1848"/>
      <c r="W2032" s="1848"/>
      <c r="X2032" s="1848"/>
      <c r="Y2032" s="1848"/>
      <c r="Z2032" s="1956"/>
      <c r="AA2032" s="1956"/>
      <c r="AF2032" s="1958"/>
      <c r="AG2032" s="1958"/>
      <c r="AH2032" s="1958"/>
      <c r="AI2032" s="1959"/>
      <c r="AJ2032" s="1960"/>
    </row>
    <row r="2033" spans="1:36" ht="21.95" customHeight="1" x14ac:dyDescent="0.2">
      <c r="A2033" s="1833">
        <f>satpek!B92</f>
        <v>73</v>
      </c>
      <c r="B2033" s="1943">
        <f>B2022+1</f>
        <v>5</v>
      </c>
      <c r="C2033" s="1937"/>
      <c r="D2033" s="1944" t="str">
        <f>VLOOKUP($A2033,satpek!$B$20:$N$144,2,0)</f>
        <v>Instalasi titik Telephone 2 pair</v>
      </c>
      <c r="E2033" s="1944"/>
      <c r="F2033" s="2004"/>
      <c r="G2033" s="1945">
        <f>'[3]B.VOL RAB'!Q637</f>
        <v>28</v>
      </c>
      <c r="H2033" s="1946" t="str">
        <f>VLOOKUP($A2033,satpek!$B$20:$N$144,7,0)</f>
        <v>ttk</v>
      </c>
      <c r="I2033" s="1947"/>
      <c r="J2033" s="1947"/>
      <c r="K2033" s="1948"/>
      <c r="L2033" s="1949"/>
      <c r="M2033" s="1950" t="str">
        <f>VLOOKUP($A2033,satpek!$B$20:$N$144,5,0)</f>
        <v>An. Dihitung</v>
      </c>
      <c r="N2033" s="1951">
        <f>VLOOKUP($A2033,satpek!$B$20:$N$144,6,0)</f>
        <v>93371.9</v>
      </c>
      <c r="O2033" s="1938"/>
      <c r="P2033" s="1952">
        <f t="shared" si="1351"/>
        <v>2614413.2000000002</v>
      </c>
      <c r="Q2033" s="1953">
        <f>VLOOKUP($A2033,satpek!$B$20:$L$138,8,0)</f>
        <v>0.9071039574004599</v>
      </c>
      <c r="R2033" s="1954">
        <f>VLOOKUP($A2033,satpek!$B$20:$L$138,9,0)</f>
        <v>74954</v>
      </c>
      <c r="S2033" s="1954">
        <f>VLOOKUP($A2033,satpek!$B$20:$L$138,10,0)</f>
        <v>84698.02</v>
      </c>
      <c r="T2033" s="1952">
        <f t="shared" si="1352"/>
        <v>2371544.56</v>
      </c>
      <c r="U2033" s="1955"/>
      <c r="X2033" s="1848">
        <f>P2041</f>
        <v>82630</v>
      </c>
      <c r="Y2033" s="1848">
        <f>S2041</f>
        <v>74954</v>
      </c>
      <c r="Z2033" s="1956">
        <v>28</v>
      </c>
      <c r="AA2033" s="1956">
        <f t="shared" si="1232"/>
        <v>0</v>
      </c>
      <c r="AB2033" s="1836" t="s">
        <v>1875</v>
      </c>
      <c r="AG2033" s="1836"/>
      <c r="AH2033" s="1836"/>
      <c r="AI2033" s="1837">
        <v>92208</v>
      </c>
      <c r="AJ2033" s="1960">
        <f t="shared" si="1233"/>
        <v>-1163.8999999999942</v>
      </c>
    </row>
    <row r="2034" spans="1:36" ht="21.95" customHeight="1" x14ac:dyDescent="0.2">
      <c r="B2034" s="2045"/>
      <c r="C2034" s="2046" t="str">
        <f>SNI!D1458</f>
        <v>Bahan</v>
      </c>
      <c r="D2034" s="2047"/>
      <c r="E2034" s="2047"/>
      <c r="F2034" s="2048"/>
      <c r="G2034" s="2049"/>
      <c r="H2034" s="2050"/>
      <c r="I2034" s="2051"/>
      <c r="J2034" s="2051"/>
      <c r="K2034" s="2052"/>
      <c r="L2034" s="2053"/>
      <c r="M2034" s="2054"/>
      <c r="N2034" s="2055"/>
      <c r="O2034" s="2056"/>
      <c r="P2034" s="2057"/>
      <c r="Q2034" s="2058"/>
      <c r="R2034" s="2059"/>
      <c r="S2034" s="2059"/>
      <c r="T2034" s="2057"/>
      <c r="U2034" s="2060"/>
      <c r="Z2034" s="1956"/>
      <c r="AA2034" s="1956"/>
      <c r="AG2034" s="1836"/>
      <c r="AH2034" s="1836"/>
      <c r="AI2034" s="1837"/>
      <c r="AJ2034" s="1960"/>
    </row>
    <row r="2035" spans="1:36" ht="21.95" customHeight="1" x14ac:dyDescent="0.2">
      <c r="B2035" s="2045"/>
      <c r="C2035" s="2046"/>
      <c r="D2035" s="2047" t="str">
        <f>SNI!E1458</f>
        <v>Kabel Telephone</v>
      </c>
      <c r="E2035" s="2047"/>
      <c r="F2035" s="2048"/>
      <c r="G2035" s="2049">
        <f>SNI!H1458</f>
        <v>10</v>
      </c>
      <c r="H2035" s="2050" t="str">
        <f>SNI!G1458</f>
        <v>m'</v>
      </c>
      <c r="I2035" s="2051"/>
      <c r="J2035" s="2051"/>
      <c r="K2035" s="2052">
        <f>SNI!L1458</f>
        <v>0.88549999999999995</v>
      </c>
      <c r="L2035" s="2053"/>
      <c r="M2035" s="2054"/>
      <c r="N2035" s="2055">
        <f>SNI!I1458</f>
        <v>3800</v>
      </c>
      <c r="O2035" s="2056"/>
      <c r="P2035" s="1969">
        <f t="shared" ref="P2035" si="1386">N2035*G2035</f>
        <v>38000</v>
      </c>
      <c r="Q2035" s="1953"/>
      <c r="R2035" s="1954"/>
      <c r="S2035" s="1954">
        <f t="shared" ref="S2035" si="1387">P2035*K2035</f>
        <v>33649</v>
      </c>
      <c r="T2035" s="1969">
        <f t="shared" ref="T2035" si="1388">P2035-S2035</f>
        <v>4351</v>
      </c>
      <c r="U2035" s="2060"/>
      <c r="Z2035" s="1956"/>
      <c r="AA2035" s="1956"/>
      <c r="AG2035" s="1836"/>
      <c r="AH2035" s="1836"/>
      <c r="AI2035" s="1837"/>
      <c r="AJ2035" s="1960"/>
    </row>
    <row r="2036" spans="1:36" ht="21.95" customHeight="1" x14ac:dyDescent="0.2">
      <c r="B2036" s="2045"/>
      <c r="C2036" s="2046"/>
      <c r="D2036" s="2047" t="str">
        <f>SNI!E1459</f>
        <v>aksesoris 35%</v>
      </c>
      <c r="E2036" s="2047"/>
      <c r="F2036" s="2048"/>
      <c r="G2036" s="2049">
        <f>SNI!H1459</f>
        <v>1</v>
      </c>
      <c r="H2036" s="2050" t="str">
        <f>SNI!G1459</f>
        <v xml:space="preserve">ls </v>
      </c>
      <c r="I2036" s="2051"/>
      <c r="J2036" s="2051"/>
      <c r="K2036" s="2052">
        <f>SNI!L1459</f>
        <v>0.75</v>
      </c>
      <c r="L2036" s="2053"/>
      <c r="M2036" s="2054"/>
      <c r="N2036" s="2055">
        <f>SNI!I1459</f>
        <v>13300</v>
      </c>
      <c r="O2036" s="2056"/>
      <c r="P2036" s="1969">
        <f t="shared" ref="P2036:P2040" si="1389">N2036*G2036</f>
        <v>13300</v>
      </c>
      <c r="Q2036" s="1953"/>
      <c r="R2036" s="1954"/>
      <c r="S2036" s="1954">
        <f t="shared" ref="S2036:S2040" si="1390">P2036*K2036</f>
        <v>9975</v>
      </c>
      <c r="T2036" s="1969">
        <f t="shared" ref="T2036:T2040" si="1391">P2036-S2036</f>
        <v>3325</v>
      </c>
      <c r="U2036" s="2060"/>
      <c r="Z2036" s="1956"/>
      <c r="AA2036" s="1956"/>
      <c r="AG2036" s="1836"/>
      <c r="AH2036" s="1836"/>
      <c r="AI2036" s="1837"/>
      <c r="AJ2036" s="1960"/>
    </row>
    <row r="2037" spans="1:36" ht="21" customHeight="1" x14ac:dyDescent="0.2">
      <c r="B2037" s="2045"/>
      <c r="C2037" s="2046" t="str">
        <f>SNI!D1461</f>
        <v>Tenaga Kerja</v>
      </c>
      <c r="D2037" s="2047"/>
      <c r="E2037" s="2047"/>
      <c r="F2037" s="2048"/>
      <c r="G2037" s="2049"/>
      <c r="H2037" s="2050"/>
      <c r="I2037" s="2051"/>
      <c r="J2037" s="2051"/>
      <c r="K2037" s="2052"/>
      <c r="L2037" s="2053"/>
      <c r="M2037" s="2054"/>
      <c r="N2037" s="2055"/>
      <c r="O2037" s="2056"/>
      <c r="P2037" s="1969"/>
      <c r="Q2037" s="1953"/>
      <c r="R2037" s="1954"/>
      <c r="S2037" s="1954"/>
      <c r="T2037" s="1969"/>
      <c r="U2037" s="2060"/>
      <c r="Z2037" s="1956"/>
      <c r="AA2037" s="1956"/>
      <c r="AG2037" s="1836"/>
      <c r="AH2037" s="1836"/>
      <c r="AI2037" s="1837"/>
      <c r="AJ2037" s="1960"/>
    </row>
    <row r="2038" spans="1:36" ht="21.95" customHeight="1" x14ac:dyDescent="0.2">
      <c r="B2038" s="2045"/>
      <c r="C2038" s="2046"/>
      <c r="D2038" s="2047" t="str">
        <f>SNI!E1461</f>
        <v>Pekerja</v>
      </c>
      <c r="E2038" s="2047"/>
      <c r="F2038" s="2048"/>
      <c r="G2038" s="2049">
        <f>SNI!H1461</f>
        <v>0.1</v>
      </c>
      <c r="H2038" s="2050" t="str">
        <f>SNI!G1461</f>
        <v>OH</v>
      </c>
      <c r="I2038" s="2051" t="str">
        <f>SNI!M1461</f>
        <v>WNI</v>
      </c>
      <c r="J2038" s="2051"/>
      <c r="K2038" s="2052">
        <f>SNI!L1461</f>
        <v>1</v>
      </c>
      <c r="L2038" s="2053"/>
      <c r="M2038" s="2054"/>
      <c r="N2038" s="2055">
        <f>SNI!I1461</f>
        <v>88300</v>
      </c>
      <c r="O2038" s="2056"/>
      <c r="P2038" s="1969">
        <f t="shared" si="1389"/>
        <v>8830</v>
      </c>
      <c r="Q2038" s="1953"/>
      <c r="R2038" s="1954"/>
      <c r="S2038" s="1954">
        <f t="shared" si="1390"/>
        <v>8830</v>
      </c>
      <c r="T2038" s="1969">
        <f t="shared" si="1391"/>
        <v>0</v>
      </c>
      <c r="U2038" s="2060"/>
      <c r="Z2038" s="1956"/>
      <c r="AA2038" s="1956"/>
      <c r="AG2038" s="1836"/>
      <c r="AH2038" s="1836"/>
      <c r="AI2038" s="1837"/>
      <c r="AJ2038" s="1960"/>
    </row>
    <row r="2039" spans="1:36" ht="21.95" customHeight="1" x14ac:dyDescent="0.2">
      <c r="B2039" s="2045"/>
      <c r="C2039" s="2046"/>
      <c r="D2039" s="2047" t="str">
        <f>SNI!E1462</f>
        <v>Tukang listrik</v>
      </c>
      <c r="E2039" s="2047"/>
      <c r="F2039" s="2048"/>
      <c r="G2039" s="2049">
        <f>SNI!H1462</f>
        <v>0.2</v>
      </c>
      <c r="H2039" s="2050" t="str">
        <f>SNI!G1462</f>
        <v>OH</v>
      </c>
      <c r="I2039" s="2051" t="str">
        <f>SNI!M1462</f>
        <v>WNI</v>
      </c>
      <c r="J2039" s="2051"/>
      <c r="K2039" s="2052">
        <f>SNI!L1462</f>
        <v>1</v>
      </c>
      <c r="L2039" s="2053"/>
      <c r="M2039" s="2054"/>
      <c r="N2039" s="2055">
        <f>SNI!I1462</f>
        <v>90000</v>
      </c>
      <c r="O2039" s="2056"/>
      <c r="P2039" s="1969">
        <f t="shared" si="1389"/>
        <v>18000</v>
      </c>
      <c r="Q2039" s="1953"/>
      <c r="R2039" s="1954"/>
      <c r="S2039" s="1954">
        <f t="shared" si="1390"/>
        <v>18000</v>
      </c>
      <c r="T2039" s="1969">
        <f t="shared" si="1391"/>
        <v>0</v>
      </c>
      <c r="U2039" s="2060"/>
      <c r="Z2039" s="1956"/>
      <c r="AA2039" s="1956"/>
      <c r="AG2039" s="1836"/>
      <c r="AH2039" s="1836"/>
      <c r="AI2039" s="1837"/>
      <c r="AJ2039" s="1960"/>
    </row>
    <row r="2040" spans="1:36" ht="21.95" customHeight="1" x14ac:dyDescent="0.2">
      <c r="B2040" s="2045"/>
      <c r="C2040" s="2046"/>
      <c r="D2040" s="2047" t="str">
        <f>SNI!E1463</f>
        <v>Mandor</v>
      </c>
      <c r="E2040" s="2047"/>
      <c r="F2040" s="2048"/>
      <c r="G2040" s="2049">
        <f>SNI!H1463</f>
        <v>0.05</v>
      </c>
      <c r="H2040" s="2050" t="str">
        <f>SNI!G1463</f>
        <v>OH</v>
      </c>
      <c r="I2040" s="2051" t="str">
        <f>SNI!M1463</f>
        <v>WNI</v>
      </c>
      <c r="J2040" s="2051"/>
      <c r="K2040" s="2052">
        <f>SNI!L1463</f>
        <v>1</v>
      </c>
      <c r="L2040" s="2053"/>
      <c r="M2040" s="2054"/>
      <c r="N2040" s="2055">
        <f>SNI!I1463</f>
        <v>90000</v>
      </c>
      <c r="O2040" s="2056"/>
      <c r="P2040" s="1969">
        <f t="shared" si="1389"/>
        <v>4500</v>
      </c>
      <c r="Q2040" s="1953"/>
      <c r="R2040" s="1954"/>
      <c r="S2040" s="1954">
        <f t="shared" si="1390"/>
        <v>4500</v>
      </c>
      <c r="T2040" s="1969">
        <f t="shared" si="1391"/>
        <v>0</v>
      </c>
      <c r="U2040" s="2060"/>
      <c r="Z2040" s="1956"/>
      <c r="AA2040" s="1956"/>
      <c r="AG2040" s="1836"/>
      <c r="AH2040" s="1836"/>
      <c r="AI2040" s="1837"/>
      <c r="AJ2040" s="1960"/>
    </row>
    <row r="2041" spans="1:36" s="1957" customFormat="1" ht="21.95" customHeight="1" x14ac:dyDescent="0.2">
      <c r="A2041" s="1942"/>
      <c r="B2041" s="1970"/>
      <c r="C2041" s="1971"/>
      <c r="D2041" s="1972"/>
      <c r="E2041" s="1973"/>
      <c r="F2041" s="1974" t="s">
        <v>556</v>
      </c>
      <c r="G2041" s="1975">
        <f>B2033</f>
        <v>5</v>
      </c>
      <c r="H2041" s="1976"/>
      <c r="I2041" s="1977"/>
      <c r="J2041" s="1977"/>
      <c r="K2041" s="1978"/>
      <c r="L2041" s="1979"/>
      <c r="M2041" s="1980"/>
      <c r="N2041" s="1981"/>
      <c r="O2041" s="1982"/>
      <c r="P2041" s="1983">
        <f>SUM(P2035:P2040)</f>
        <v>82630</v>
      </c>
      <c r="Q2041" s="1984"/>
      <c r="R2041" s="1985"/>
      <c r="S2041" s="1983">
        <f t="shared" ref="S2041:T2041" si="1392">SUM(S2035:S2040)</f>
        <v>74954</v>
      </c>
      <c r="T2041" s="1983">
        <f t="shared" si="1392"/>
        <v>7676</v>
      </c>
      <c r="U2041" s="1986"/>
      <c r="V2041" s="1848"/>
      <c r="W2041" s="1848"/>
      <c r="X2041" s="1848"/>
      <c r="Y2041" s="1848"/>
      <c r="Z2041" s="1956"/>
      <c r="AA2041" s="1956"/>
      <c r="AF2041" s="1958"/>
      <c r="AG2041" s="1958"/>
      <c r="AH2041" s="1958"/>
      <c r="AI2041" s="1959"/>
      <c r="AJ2041" s="1960"/>
    </row>
    <row r="2042" spans="1:36" ht="21.95" customHeight="1" x14ac:dyDescent="0.2">
      <c r="A2042" s="1833">
        <f>A1882</f>
        <v>74</v>
      </c>
      <c r="B2042" s="1943">
        <f>B2033+1</f>
        <v>6</v>
      </c>
      <c r="C2042" s="1937"/>
      <c r="D2042" s="1944" t="str">
        <f>VLOOKUP($A2042,satpek!$B$20:$N$144,2,0)</f>
        <v>Instalasi titik Data CAT 6</v>
      </c>
      <c r="E2042" s="1944"/>
      <c r="F2042" s="2004"/>
      <c r="G2042" s="1945">
        <f>'[3]B.VOL RAB'!Q638</f>
        <v>12</v>
      </c>
      <c r="H2042" s="1946" t="str">
        <f>VLOOKUP($A2042,satpek!$B$20:$N$144,7,0)</f>
        <v>ttk</v>
      </c>
      <c r="I2042" s="1947"/>
      <c r="J2042" s="1947"/>
      <c r="K2042" s="1948"/>
      <c r="L2042" s="1949"/>
      <c r="M2042" s="1950" t="str">
        <f>VLOOKUP($A2042,satpek!$B$20:$N$144,5,0)</f>
        <v>An. Dihitung</v>
      </c>
      <c r="N2042" s="1951">
        <f>VLOOKUP($A2042,satpek!$B$20:$N$144,6,0)</f>
        <v>140437.33000000002</v>
      </c>
      <c r="O2042" s="1938"/>
      <c r="P2042" s="1952">
        <f t="shared" si="1351"/>
        <v>1685247.96</v>
      </c>
      <c r="Q2042" s="1953">
        <f>VLOOKUP($A2042,satpek!$B$20:$L$138,8,0)</f>
        <v>0.88809056240536555</v>
      </c>
      <c r="R2042" s="1954">
        <f>VLOOKUP($A2042,satpek!$B$20:$L$138,9,0)</f>
        <v>110372.62333</v>
      </c>
      <c r="S2042" s="1954">
        <f>VLOOKUP($A2042,satpek!$B$20:$L$138,10,0)</f>
        <v>124721.0643629</v>
      </c>
      <c r="T2042" s="1952">
        <f t="shared" si="1352"/>
        <v>1496652.7723548</v>
      </c>
      <c r="U2042" s="1955"/>
      <c r="X2042" s="1848">
        <f>P2050</f>
        <v>124280.82001639344</v>
      </c>
      <c r="Y2042" s="1848">
        <f>S2050</f>
        <v>110372.62320901638</v>
      </c>
      <c r="Z2042" s="1956">
        <v>12</v>
      </c>
      <c r="AA2042" s="1956">
        <f t="shared" si="1232"/>
        <v>0</v>
      </c>
      <c r="AB2042" s="1836" t="s">
        <v>1876</v>
      </c>
      <c r="AG2042" s="1836"/>
      <c r="AH2042" s="1836"/>
      <c r="AI2042" s="1837">
        <v>139273.43</v>
      </c>
      <c r="AJ2042" s="1960">
        <f t="shared" si="1233"/>
        <v>-1163.9000000000233</v>
      </c>
    </row>
    <row r="2043" spans="1:36" ht="21.95" customHeight="1" x14ac:dyDescent="0.2">
      <c r="B2043" s="2045"/>
      <c r="C2043" s="2046" t="str">
        <f>SNI!D1478</f>
        <v>Bahan</v>
      </c>
      <c r="D2043" s="2047"/>
      <c r="E2043" s="2047"/>
      <c r="F2043" s="2048"/>
      <c r="G2043" s="2049"/>
      <c r="H2043" s="2050"/>
      <c r="I2043" s="2051"/>
      <c r="J2043" s="2051"/>
      <c r="K2043" s="2052"/>
      <c r="L2043" s="2053"/>
      <c r="M2043" s="2054"/>
      <c r="N2043" s="2055"/>
      <c r="O2043" s="2056"/>
      <c r="P2043" s="2057"/>
      <c r="Q2043" s="2058"/>
      <c r="R2043" s="2059"/>
      <c r="S2043" s="2059"/>
      <c r="T2043" s="2057"/>
      <c r="U2043" s="2060"/>
      <c r="Z2043" s="1956"/>
      <c r="AA2043" s="1956"/>
      <c r="AG2043" s="1836"/>
      <c r="AH2043" s="1836"/>
      <c r="AI2043" s="1837"/>
      <c r="AJ2043" s="1960"/>
    </row>
    <row r="2044" spans="1:36" ht="21.95" customHeight="1" x14ac:dyDescent="0.2">
      <c r="B2044" s="2045"/>
      <c r="C2044" s="2046"/>
      <c r="D2044" s="2047" t="str">
        <f>SNI!E1478</f>
        <v>Kabel Data CAT 6</v>
      </c>
      <c r="E2044" s="2047"/>
      <c r="F2044" s="2048"/>
      <c r="G2044" s="2049">
        <f>SNI!H1478</f>
        <v>10</v>
      </c>
      <c r="H2044" s="2050" t="str">
        <f>SNI!G1478</f>
        <v>m'</v>
      </c>
      <c r="I2044" s="2051"/>
      <c r="J2044" s="2051"/>
      <c r="K2044" s="2052">
        <f>SNI!L1478</f>
        <v>0.88549999999999995</v>
      </c>
      <c r="L2044" s="2053"/>
      <c r="M2044" s="2054"/>
      <c r="N2044" s="2055">
        <f>SNI!I1478</f>
        <v>6885.2459016393441</v>
      </c>
      <c r="O2044" s="2056"/>
      <c r="P2044" s="1969">
        <f t="shared" ref="P2044" si="1393">N2044*G2044</f>
        <v>68852.459016393434</v>
      </c>
      <c r="Q2044" s="1953"/>
      <c r="R2044" s="1954"/>
      <c r="S2044" s="1954">
        <f t="shared" ref="S2044" si="1394">P2044*K2044</f>
        <v>60968.85245901638</v>
      </c>
      <c r="T2044" s="1969">
        <f t="shared" ref="T2044" si="1395">P2044-S2044</f>
        <v>7883.6065573770538</v>
      </c>
      <c r="U2044" s="2060"/>
      <c r="Z2044" s="1956"/>
      <c r="AA2044" s="1956"/>
      <c r="AG2044" s="1836"/>
      <c r="AH2044" s="1836"/>
      <c r="AI2044" s="1837"/>
      <c r="AJ2044" s="1960"/>
    </row>
    <row r="2045" spans="1:36" ht="21.95" customHeight="1" x14ac:dyDescent="0.2">
      <c r="B2045" s="2045"/>
      <c r="C2045" s="2046"/>
      <c r="D2045" s="2047" t="str">
        <f>SNI!E1479</f>
        <v>aksesoris 35%</v>
      </c>
      <c r="E2045" s="2047"/>
      <c r="F2045" s="2048"/>
      <c r="G2045" s="2049">
        <f>SNI!H1479</f>
        <v>1</v>
      </c>
      <c r="H2045" s="2050" t="str">
        <f>SNI!G1479</f>
        <v xml:space="preserve">ls </v>
      </c>
      <c r="I2045" s="2051"/>
      <c r="J2045" s="2051"/>
      <c r="K2045" s="2052">
        <f>SNI!L1479</f>
        <v>0.75</v>
      </c>
      <c r="L2045" s="2053"/>
      <c r="M2045" s="2054"/>
      <c r="N2045" s="2055">
        <f>SNI!I1479</f>
        <v>24098.361000000001</v>
      </c>
      <c r="O2045" s="2056"/>
      <c r="P2045" s="1969">
        <f t="shared" ref="P2045:P2049" si="1396">N2045*G2045</f>
        <v>24098.361000000001</v>
      </c>
      <c r="Q2045" s="1953"/>
      <c r="R2045" s="1954"/>
      <c r="S2045" s="1954">
        <f t="shared" ref="S2045:S2049" si="1397">P2045*K2045</f>
        <v>18073.77075</v>
      </c>
      <c r="T2045" s="1969">
        <f t="shared" ref="T2045:T2049" si="1398">P2045-S2045</f>
        <v>6024.5902500000011</v>
      </c>
      <c r="U2045" s="2060"/>
      <c r="Z2045" s="1956"/>
      <c r="AA2045" s="1956"/>
      <c r="AG2045" s="1836"/>
      <c r="AH2045" s="1836"/>
      <c r="AI2045" s="1837"/>
      <c r="AJ2045" s="1960"/>
    </row>
    <row r="2046" spans="1:36" ht="21.95" customHeight="1" x14ac:dyDescent="0.2">
      <c r="B2046" s="2045"/>
      <c r="C2046" s="2046" t="str">
        <f>SNI!D1481</f>
        <v>Tenaga Kerja</v>
      </c>
      <c r="D2046" s="2047"/>
      <c r="E2046" s="2047"/>
      <c r="F2046" s="2048"/>
      <c r="G2046" s="2049"/>
      <c r="H2046" s="2050"/>
      <c r="I2046" s="2051"/>
      <c r="J2046" s="2051"/>
      <c r="K2046" s="2052"/>
      <c r="L2046" s="2053"/>
      <c r="M2046" s="2054"/>
      <c r="N2046" s="2055"/>
      <c r="O2046" s="2056"/>
      <c r="P2046" s="1969"/>
      <c r="Q2046" s="1953"/>
      <c r="R2046" s="1954"/>
      <c r="S2046" s="1954"/>
      <c r="T2046" s="1969"/>
      <c r="U2046" s="2060"/>
      <c r="Z2046" s="1956"/>
      <c r="AA2046" s="1956"/>
      <c r="AG2046" s="1836"/>
      <c r="AH2046" s="1836"/>
      <c r="AI2046" s="1837"/>
      <c r="AJ2046" s="1960"/>
    </row>
    <row r="2047" spans="1:36" ht="21.95" customHeight="1" x14ac:dyDescent="0.2">
      <c r="B2047" s="2045"/>
      <c r="C2047" s="2046"/>
      <c r="D2047" s="2047" t="str">
        <f>SNI!E1481</f>
        <v>Pekerja</v>
      </c>
      <c r="E2047" s="2047"/>
      <c r="F2047" s="2048"/>
      <c r="G2047" s="2049">
        <f>SNI!H1481</f>
        <v>0.1</v>
      </c>
      <c r="H2047" s="2050" t="str">
        <f>SNI!G1481</f>
        <v>OH</v>
      </c>
      <c r="I2047" s="2051" t="str">
        <f>SNI!M1481</f>
        <v>WNI</v>
      </c>
      <c r="J2047" s="2051"/>
      <c r="K2047" s="2052">
        <f>SNI!L1481</f>
        <v>1</v>
      </c>
      <c r="L2047" s="2053"/>
      <c r="M2047" s="2054"/>
      <c r="N2047" s="2055">
        <f>SNI!I1481</f>
        <v>88300</v>
      </c>
      <c r="O2047" s="2056"/>
      <c r="P2047" s="1969">
        <f t="shared" si="1396"/>
        <v>8830</v>
      </c>
      <c r="Q2047" s="1953"/>
      <c r="R2047" s="1954"/>
      <c r="S2047" s="1954">
        <f t="shared" si="1397"/>
        <v>8830</v>
      </c>
      <c r="T2047" s="1969">
        <f t="shared" si="1398"/>
        <v>0</v>
      </c>
      <c r="U2047" s="2060"/>
      <c r="Z2047" s="1956"/>
      <c r="AA2047" s="1956"/>
      <c r="AG2047" s="1836"/>
      <c r="AH2047" s="1836"/>
      <c r="AI2047" s="1837"/>
      <c r="AJ2047" s="1960"/>
    </row>
    <row r="2048" spans="1:36" ht="21.95" customHeight="1" x14ac:dyDescent="0.2">
      <c r="B2048" s="2045"/>
      <c r="C2048" s="2046"/>
      <c r="D2048" s="2047" t="str">
        <f>SNI!E1482</f>
        <v>Tukang listrik</v>
      </c>
      <c r="E2048" s="2047"/>
      <c r="F2048" s="2048"/>
      <c r="G2048" s="2049">
        <f>SNI!H1482</f>
        <v>0.2</v>
      </c>
      <c r="H2048" s="2050" t="str">
        <f>SNI!G1482</f>
        <v>OH</v>
      </c>
      <c r="I2048" s="2051" t="str">
        <f>SNI!M1482</f>
        <v>WNI</v>
      </c>
      <c r="J2048" s="2051"/>
      <c r="K2048" s="2052">
        <f>SNI!L1482</f>
        <v>1</v>
      </c>
      <c r="L2048" s="2053"/>
      <c r="M2048" s="2054"/>
      <c r="N2048" s="2055">
        <f>SNI!I1482</f>
        <v>90000</v>
      </c>
      <c r="O2048" s="2056"/>
      <c r="P2048" s="1969">
        <f t="shared" si="1396"/>
        <v>18000</v>
      </c>
      <c r="Q2048" s="1953"/>
      <c r="R2048" s="1954"/>
      <c r="S2048" s="1954">
        <f t="shared" si="1397"/>
        <v>18000</v>
      </c>
      <c r="T2048" s="1969">
        <f t="shared" si="1398"/>
        <v>0</v>
      </c>
      <c r="U2048" s="2060"/>
      <c r="Z2048" s="1956"/>
      <c r="AA2048" s="1956"/>
      <c r="AG2048" s="1836"/>
      <c r="AH2048" s="1836"/>
      <c r="AI2048" s="1837"/>
      <c r="AJ2048" s="1960"/>
    </row>
    <row r="2049" spans="1:36" ht="21.95" customHeight="1" x14ac:dyDescent="0.2">
      <c r="B2049" s="2045"/>
      <c r="C2049" s="2046"/>
      <c r="D2049" s="2047" t="str">
        <f>SNI!E1483</f>
        <v>Mandor</v>
      </c>
      <c r="E2049" s="2047"/>
      <c r="F2049" s="2048"/>
      <c r="G2049" s="2049">
        <f>SNI!H1483</f>
        <v>0.05</v>
      </c>
      <c r="H2049" s="2050" t="str">
        <f>SNI!G1483</f>
        <v>OH</v>
      </c>
      <c r="I2049" s="2051" t="str">
        <f>SNI!M1483</f>
        <v>WNI</v>
      </c>
      <c r="J2049" s="2051"/>
      <c r="K2049" s="2052">
        <f>SNI!L1483</f>
        <v>1</v>
      </c>
      <c r="L2049" s="2053"/>
      <c r="M2049" s="2054"/>
      <c r="N2049" s="2055">
        <f>SNI!I1483</f>
        <v>90000</v>
      </c>
      <c r="O2049" s="2056"/>
      <c r="P2049" s="1969">
        <f t="shared" si="1396"/>
        <v>4500</v>
      </c>
      <c r="Q2049" s="1953"/>
      <c r="R2049" s="1954"/>
      <c r="S2049" s="1954">
        <f t="shared" si="1397"/>
        <v>4500</v>
      </c>
      <c r="T2049" s="1969">
        <f t="shared" si="1398"/>
        <v>0</v>
      </c>
      <c r="U2049" s="2060"/>
      <c r="Z2049" s="1956"/>
      <c r="AA2049" s="1956"/>
      <c r="AG2049" s="1836"/>
      <c r="AH2049" s="1836"/>
      <c r="AI2049" s="1837"/>
      <c r="AJ2049" s="1960"/>
    </row>
    <row r="2050" spans="1:36" s="1957" customFormat="1" ht="21.95" customHeight="1" x14ac:dyDescent="0.2">
      <c r="A2050" s="1942"/>
      <c r="B2050" s="1970"/>
      <c r="C2050" s="1971"/>
      <c r="D2050" s="1972"/>
      <c r="E2050" s="1973"/>
      <c r="F2050" s="1974" t="s">
        <v>556</v>
      </c>
      <c r="G2050" s="1975">
        <f>B2042</f>
        <v>6</v>
      </c>
      <c r="H2050" s="1976"/>
      <c r="I2050" s="1977"/>
      <c r="J2050" s="1977"/>
      <c r="K2050" s="1978"/>
      <c r="L2050" s="1979"/>
      <c r="M2050" s="1980"/>
      <c r="N2050" s="1981"/>
      <c r="O2050" s="1982"/>
      <c r="P2050" s="1983">
        <f>SUM(P2044:P2049)</f>
        <v>124280.82001639344</v>
      </c>
      <c r="Q2050" s="1984"/>
      <c r="R2050" s="1985"/>
      <c r="S2050" s="1983">
        <f t="shared" ref="S2050" si="1399">SUM(S2044:S2049)</f>
        <v>110372.62320901638</v>
      </c>
      <c r="T2050" s="1983">
        <f t="shared" ref="T2050" si="1400">SUM(T2044:T2049)</f>
        <v>13908.196807377055</v>
      </c>
      <c r="U2050" s="1986"/>
      <c r="V2050" s="1848"/>
      <c r="W2050" s="1848"/>
      <c r="X2050" s="1848"/>
      <c r="Y2050" s="1848"/>
      <c r="Z2050" s="1956"/>
      <c r="AA2050" s="1956"/>
      <c r="AF2050" s="1958"/>
      <c r="AG2050" s="1958"/>
      <c r="AH2050" s="1958"/>
      <c r="AI2050" s="1959"/>
      <c r="AJ2050" s="1960"/>
    </row>
    <row r="2051" spans="1:36" ht="21.95" customHeight="1" x14ac:dyDescent="0.2">
      <c r="A2051" s="1833">
        <f>satpek!B94</f>
        <v>75</v>
      </c>
      <c r="B2051" s="1943">
        <f>B2042+1</f>
        <v>7</v>
      </c>
      <c r="C2051" s="1937"/>
      <c r="D2051" s="1944" t="str">
        <f>VLOOKUP($A2051,satpek!$B$20:$N$144,2,0)</f>
        <v>Memasang saklar ganda</v>
      </c>
      <c r="E2051" s="1944"/>
      <c r="F2051" s="2004"/>
      <c r="G2051" s="1945">
        <f>'[3]B.VOL RAB'!Q637</f>
        <v>28</v>
      </c>
      <c r="H2051" s="1946" t="str">
        <f>VLOOKUP($A2051,satpek!$B$20:$N$144,7,0)</f>
        <v>bh</v>
      </c>
      <c r="I2051" s="1947"/>
      <c r="J2051" s="1947"/>
      <c r="K2051" s="1948"/>
      <c r="L2051" s="1949"/>
      <c r="M2051" s="1950" t="str">
        <f>VLOOKUP($A2051,satpek!$B$20:$N$144,5,0)</f>
        <v>An. Dihitung</v>
      </c>
      <c r="N2051" s="1951">
        <f>VLOOKUP($A2051,satpek!$B$20:$N$144,6,0)</f>
        <v>49855.6</v>
      </c>
      <c r="O2051" s="1938"/>
      <c r="P2051" s="1952">
        <f t="shared" si="1351"/>
        <v>1395956.8</v>
      </c>
      <c r="Q2051" s="1953">
        <f>VLOOKUP($A2051,satpek!$B$20:$L$138,8,0)</f>
        <v>0.55736627379873072</v>
      </c>
      <c r="R2051" s="1954">
        <f>VLOOKUP($A2051,satpek!$B$20:$L$138,9,0)</f>
        <v>24591</v>
      </c>
      <c r="S2051" s="1954">
        <f>VLOOKUP($A2051,satpek!$B$20:$L$138,10,0)</f>
        <v>27787.83</v>
      </c>
      <c r="T2051" s="1952">
        <f t="shared" si="1352"/>
        <v>778059.24</v>
      </c>
      <c r="U2051" s="1955"/>
      <c r="X2051" s="1848">
        <f>P2058</f>
        <v>44120</v>
      </c>
      <c r="Y2051" s="1848">
        <f>S2058</f>
        <v>24591</v>
      </c>
      <c r="Z2051" s="1956">
        <v>28</v>
      </c>
      <c r="AA2051" s="1956">
        <f t="shared" si="1232"/>
        <v>0</v>
      </c>
      <c r="AB2051" s="1836" t="s">
        <v>372</v>
      </c>
      <c r="AG2051" s="1836"/>
      <c r="AH2051" s="1836"/>
      <c r="AI2051" s="1837">
        <v>49482.7</v>
      </c>
      <c r="AJ2051" s="1960">
        <f t="shared" si="1233"/>
        <v>-372.90000000000146</v>
      </c>
    </row>
    <row r="2052" spans="1:36" ht="21.95" customHeight="1" x14ac:dyDescent="0.2">
      <c r="B2052" s="2045"/>
      <c r="C2052" s="2046" t="str">
        <f>SNI!D1498</f>
        <v>Bahan</v>
      </c>
      <c r="D2052" s="2047"/>
      <c r="E2052" s="2047"/>
      <c r="F2052" s="2048"/>
      <c r="G2052" s="2049"/>
      <c r="H2052" s="2050"/>
      <c r="I2052" s="2051"/>
      <c r="J2052" s="2051"/>
      <c r="K2052" s="2052"/>
      <c r="L2052" s="2053"/>
      <c r="M2052" s="2054"/>
      <c r="N2052" s="2055"/>
      <c r="O2052" s="2056"/>
      <c r="P2052" s="2057"/>
      <c r="Q2052" s="2058"/>
      <c r="R2052" s="2059"/>
      <c r="S2052" s="2059"/>
      <c r="T2052" s="2057"/>
      <c r="U2052" s="2060"/>
      <c r="Z2052" s="1956"/>
      <c r="AA2052" s="1956"/>
      <c r="AG2052" s="1836"/>
      <c r="AH2052" s="1836"/>
      <c r="AI2052" s="1837"/>
      <c r="AJ2052" s="1960"/>
    </row>
    <row r="2053" spans="1:36" ht="21.95" customHeight="1" x14ac:dyDescent="0.2">
      <c r="B2053" s="2045"/>
      <c r="C2053" s="2046"/>
      <c r="D2053" s="2047" t="str">
        <f>SNI!E1498</f>
        <v>Saklar ganda</v>
      </c>
      <c r="E2053" s="2047"/>
      <c r="F2053" s="2048"/>
      <c r="G2053" s="2049">
        <f>SNI!H1498</f>
        <v>1</v>
      </c>
      <c r="H2053" s="2050" t="str">
        <f>SNI!G1498</f>
        <v>bh</v>
      </c>
      <c r="I2053" s="2051"/>
      <c r="J2053" s="2051"/>
      <c r="K2053" s="2052">
        <f>SNI!L1498</f>
        <v>0.28499999999999998</v>
      </c>
      <c r="L2053" s="2053"/>
      <c r="M2053" s="2054"/>
      <c r="N2053" s="2055">
        <f>SNI!I1498</f>
        <v>23600</v>
      </c>
      <c r="O2053" s="2056"/>
      <c r="P2053" s="1969">
        <f t="shared" ref="P2053" si="1401">N2053*G2053</f>
        <v>23600</v>
      </c>
      <c r="Q2053" s="1953"/>
      <c r="R2053" s="1954"/>
      <c r="S2053" s="1954">
        <f t="shared" ref="S2053" si="1402">P2053*K2053</f>
        <v>6725.9999999999991</v>
      </c>
      <c r="T2053" s="1969">
        <f t="shared" ref="T2053" si="1403">P2053-S2053</f>
        <v>16874</v>
      </c>
      <c r="U2053" s="2060"/>
      <c r="Z2053" s="1956"/>
      <c r="AA2053" s="1956"/>
      <c r="AG2053" s="1836"/>
      <c r="AH2053" s="1836"/>
      <c r="AI2053" s="1837"/>
      <c r="AJ2053" s="1960"/>
    </row>
    <row r="2054" spans="1:36" ht="21.95" customHeight="1" x14ac:dyDescent="0.2">
      <c r="B2054" s="2045"/>
      <c r="C2054" s="2046"/>
      <c r="D2054" s="2047" t="str">
        <f>SNI!E1499</f>
        <v>aksesoris 45%</v>
      </c>
      <c r="E2054" s="2047"/>
      <c r="F2054" s="2048"/>
      <c r="G2054" s="2049">
        <f>SNI!H1499</f>
        <v>1</v>
      </c>
      <c r="H2054" s="2050" t="str">
        <f>SNI!G1499</f>
        <v xml:space="preserve">ls </v>
      </c>
      <c r="I2054" s="2051"/>
      <c r="J2054" s="2051"/>
      <c r="K2054" s="2052">
        <f>SNI!L1499</f>
        <v>0.75</v>
      </c>
      <c r="L2054" s="2053"/>
      <c r="M2054" s="2054"/>
      <c r="N2054" s="2055">
        <f>SNI!I1499</f>
        <v>10620</v>
      </c>
      <c r="O2054" s="2056"/>
      <c r="P2054" s="1969">
        <f t="shared" ref="P2054:P2057" si="1404">N2054*G2054</f>
        <v>10620</v>
      </c>
      <c r="Q2054" s="1953"/>
      <c r="R2054" s="1954"/>
      <c r="S2054" s="1954">
        <f t="shared" ref="S2054:S2057" si="1405">P2054*K2054</f>
        <v>7965</v>
      </c>
      <c r="T2054" s="1969">
        <f t="shared" ref="T2054:T2057" si="1406">P2054-S2054</f>
        <v>2655</v>
      </c>
      <c r="U2054" s="2060"/>
      <c r="Z2054" s="1956"/>
      <c r="AA2054" s="1956"/>
      <c r="AG2054" s="1836"/>
      <c r="AH2054" s="1836"/>
      <c r="AI2054" s="1837"/>
      <c r="AJ2054" s="1960"/>
    </row>
    <row r="2055" spans="1:36" ht="21.95" customHeight="1" x14ac:dyDescent="0.2">
      <c r="B2055" s="2045"/>
      <c r="C2055" s="2046" t="str">
        <f>SNI!D1501</f>
        <v>Tenaga Kerja</v>
      </c>
      <c r="D2055" s="2047"/>
      <c r="E2055" s="2047"/>
      <c r="F2055" s="2048"/>
      <c r="G2055" s="2049"/>
      <c r="H2055" s="2050"/>
      <c r="I2055" s="2051"/>
      <c r="J2055" s="2051"/>
      <c r="K2055" s="2052"/>
      <c r="L2055" s="2053"/>
      <c r="M2055" s="2054"/>
      <c r="N2055" s="2055"/>
      <c r="O2055" s="2056"/>
      <c r="P2055" s="1969"/>
      <c r="Q2055" s="1953"/>
      <c r="R2055" s="1954"/>
      <c r="S2055" s="1954"/>
      <c r="T2055" s="1969"/>
      <c r="U2055" s="2060"/>
      <c r="Z2055" s="1956"/>
      <c r="AA2055" s="1956"/>
      <c r="AG2055" s="1836"/>
      <c r="AH2055" s="1836"/>
      <c r="AI2055" s="1837"/>
      <c r="AJ2055" s="1960"/>
    </row>
    <row r="2056" spans="1:36" ht="21.95" customHeight="1" x14ac:dyDescent="0.2">
      <c r="B2056" s="2045"/>
      <c r="C2056" s="2046"/>
      <c r="D2056" s="2047" t="str">
        <f>SNI!E1501</f>
        <v>Tukang listrik</v>
      </c>
      <c r="E2056" s="2047"/>
      <c r="F2056" s="2048"/>
      <c r="G2056" s="2049">
        <f>SNI!H1501</f>
        <v>0.1</v>
      </c>
      <c r="H2056" s="2050" t="str">
        <f>SNI!G1501</f>
        <v>OH</v>
      </c>
      <c r="I2056" s="2051" t="str">
        <f>SNI!M1501</f>
        <v>WNI</v>
      </c>
      <c r="J2056" s="2051"/>
      <c r="K2056" s="2052">
        <f>SNI!L1501</f>
        <v>1</v>
      </c>
      <c r="L2056" s="2053"/>
      <c r="M2056" s="2054"/>
      <c r="N2056" s="2055">
        <f>SNI!I1501</f>
        <v>90000</v>
      </c>
      <c r="O2056" s="2056"/>
      <c r="P2056" s="1969">
        <f t="shared" si="1404"/>
        <v>9000</v>
      </c>
      <c r="Q2056" s="1953"/>
      <c r="R2056" s="1954"/>
      <c r="S2056" s="1954">
        <f t="shared" si="1405"/>
        <v>9000</v>
      </c>
      <c r="T2056" s="1969">
        <f t="shared" si="1406"/>
        <v>0</v>
      </c>
      <c r="U2056" s="2060"/>
      <c r="Z2056" s="1956"/>
      <c r="AA2056" s="1956"/>
      <c r="AG2056" s="1836"/>
      <c r="AH2056" s="1836"/>
      <c r="AI2056" s="1837"/>
      <c r="AJ2056" s="1960"/>
    </row>
    <row r="2057" spans="1:36" ht="21.95" customHeight="1" x14ac:dyDescent="0.2">
      <c r="B2057" s="2045"/>
      <c r="C2057" s="2046"/>
      <c r="D2057" s="2047" t="str">
        <f>SNI!E1502</f>
        <v>Mandor</v>
      </c>
      <c r="E2057" s="2047"/>
      <c r="F2057" s="2048"/>
      <c r="G2057" s="2049">
        <f>SNI!H1502</f>
        <v>0.01</v>
      </c>
      <c r="H2057" s="2050" t="str">
        <f>SNI!G1502</f>
        <v>OH</v>
      </c>
      <c r="I2057" s="2051" t="str">
        <f>SNI!M1502</f>
        <v>WNI</v>
      </c>
      <c r="J2057" s="2051"/>
      <c r="K2057" s="2052">
        <f>SNI!L1502</f>
        <v>1</v>
      </c>
      <c r="L2057" s="2053"/>
      <c r="M2057" s="2054"/>
      <c r="N2057" s="2055">
        <f>SNI!I1502</f>
        <v>90000</v>
      </c>
      <c r="O2057" s="2056"/>
      <c r="P2057" s="1969">
        <f t="shared" si="1404"/>
        <v>900</v>
      </c>
      <c r="Q2057" s="1953"/>
      <c r="R2057" s="1954"/>
      <c r="S2057" s="1954">
        <f t="shared" si="1405"/>
        <v>900</v>
      </c>
      <c r="T2057" s="1969">
        <f t="shared" si="1406"/>
        <v>0</v>
      </c>
      <c r="U2057" s="2060"/>
      <c r="Z2057" s="1956"/>
      <c r="AA2057" s="1956"/>
      <c r="AG2057" s="1836"/>
      <c r="AH2057" s="1836"/>
      <c r="AI2057" s="1837"/>
      <c r="AJ2057" s="1960"/>
    </row>
    <row r="2058" spans="1:36" s="1957" customFormat="1" ht="21.95" customHeight="1" x14ac:dyDescent="0.2">
      <c r="A2058" s="1942"/>
      <c r="B2058" s="1970"/>
      <c r="C2058" s="1971"/>
      <c r="D2058" s="1972"/>
      <c r="E2058" s="1973"/>
      <c r="F2058" s="1974" t="s">
        <v>556</v>
      </c>
      <c r="G2058" s="1975">
        <f>B2051</f>
        <v>7</v>
      </c>
      <c r="H2058" s="1976"/>
      <c r="I2058" s="1977"/>
      <c r="J2058" s="1977"/>
      <c r="K2058" s="1978"/>
      <c r="L2058" s="1979"/>
      <c r="M2058" s="1980"/>
      <c r="N2058" s="1981"/>
      <c r="O2058" s="1982"/>
      <c r="P2058" s="1983">
        <f>SUM(P2052:P2057)</f>
        <v>44120</v>
      </c>
      <c r="Q2058" s="1984"/>
      <c r="R2058" s="1985"/>
      <c r="S2058" s="1983">
        <f t="shared" ref="S2058" si="1407">SUM(S2052:S2057)</f>
        <v>24591</v>
      </c>
      <c r="T2058" s="1983">
        <f t="shared" ref="T2058" si="1408">SUM(T2052:T2057)</f>
        <v>19529</v>
      </c>
      <c r="U2058" s="1986"/>
      <c r="V2058" s="1848"/>
      <c r="W2058" s="1848"/>
      <c r="X2058" s="1848"/>
      <c r="Y2058" s="1848"/>
      <c r="Z2058" s="1956"/>
      <c r="AA2058" s="1956"/>
      <c r="AF2058" s="1958"/>
      <c r="AG2058" s="1958"/>
      <c r="AH2058" s="1958"/>
      <c r="AI2058" s="1959"/>
      <c r="AJ2058" s="1960"/>
    </row>
    <row r="2059" spans="1:36" ht="21.95" customHeight="1" x14ac:dyDescent="0.2">
      <c r="A2059" s="1833">
        <f>satpek!B95</f>
        <v>76</v>
      </c>
      <c r="B2059" s="1943">
        <f>B2051+1</f>
        <v>8</v>
      </c>
      <c r="C2059" s="1937"/>
      <c r="D2059" s="1944" t="str">
        <f>VLOOKUP($A2059,satpek!$B$20:$N$144,2,0)</f>
        <v>Memasang saklar tunggal</v>
      </c>
      <c r="E2059" s="1944"/>
      <c r="F2059" s="2004"/>
      <c r="G2059" s="1945">
        <f>'[3]B.VOL RAB'!Q638</f>
        <v>12</v>
      </c>
      <c r="H2059" s="1946" t="str">
        <f>VLOOKUP($A2059,satpek!$B$20:$N$144,7,0)</f>
        <v>bh</v>
      </c>
      <c r="I2059" s="1947"/>
      <c r="J2059" s="1947"/>
      <c r="K2059" s="1948"/>
      <c r="L2059" s="1949"/>
      <c r="M2059" s="1950" t="str">
        <f>VLOOKUP($A2059,satpek!$B$20:$N$144,5,0)</f>
        <v>An. Dihitung</v>
      </c>
      <c r="N2059" s="1951">
        <f>VLOOKUP($A2059,satpek!$B$20:$N$144,6,0)</f>
        <v>41826.949999999997</v>
      </c>
      <c r="O2059" s="1938"/>
      <c r="P2059" s="1952">
        <f t="shared" si="1351"/>
        <v>501923.4</v>
      </c>
      <c r="Q2059" s="1953">
        <f>VLOOKUP($A2059,satpek!$B$20:$L$138,8,0)</f>
        <v>0.5819465081723626</v>
      </c>
      <c r="R2059" s="1954">
        <f>VLOOKUP($A2059,satpek!$B$20:$L$138,9,0)</f>
        <v>21540.75</v>
      </c>
      <c r="S2059" s="1954">
        <f>VLOOKUP($A2059,satpek!$B$20:$L$138,10,0)</f>
        <v>24341.047500000001</v>
      </c>
      <c r="T2059" s="1952">
        <f t="shared" si="1352"/>
        <v>292092.57</v>
      </c>
      <c r="U2059" s="1955"/>
      <c r="X2059" s="1848">
        <f>P2066</f>
        <v>37015</v>
      </c>
      <c r="Y2059" s="1848">
        <f>S2066</f>
        <v>21540.75</v>
      </c>
      <c r="Z2059" s="1956">
        <v>12</v>
      </c>
      <c r="AA2059" s="1956">
        <f t="shared" si="1232"/>
        <v>0</v>
      </c>
      <c r="AB2059" s="1836" t="s">
        <v>373</v>
      </c>
      <c r="AG2059" s="1836"/>
      <c r="AH2059" s="1836"/>
      <c r="AI2059" s="1837">
        <v>41454.050000000003</v>
      </c>
      <c r="AJ2059" s="1960">
        <f t="shared" si="1233"/>
        <v>-372.89999999999418</v>
      </c>
    </row>
    <row r="2060" spans="1:36" ht="21.95" customHeight="1" x14ac:dyDescent="0.2">
      <c r="B2060" s="2045"/>
      <c r="C2060" s="2046" t="str">
        <f>SNI!D1515</f>
        <v>Bahan</v>
      </c>
      <c r="D2060" s="2047"/>
      <c r="E2060" s="2047"/>
      <c r="F2060" s="2048"/>
      <c r="G2060" s="2049"/>
      <c r="H2060" s="2050"/>
      <c r="I2060" s="2051"/>
      <c r="J2060" s="2051"/>
      <c r="K2060" s="2052"/>
      <c r="L2060" s="2053"/>
      <c r="M2060" s="2054"/>
      <c r="N2060" s="2055"/>
      <c r="O2060" s="2056"/>
      <c r="P2060" s="2057"/>
      <c r="Q2060" s="2058"/>
      <c r="R2060" s="2059"/>
      <c r="S2060" s="2059"/>
      <c r="T2060" s="2057"/>
      <c r="U2060" s="2060"/>
      <c r="Z2060" s="1956"/>
      <c r="AA2060" s="1956"/>
      <c r="AG2060" s="1836"/>
      <c r="AH2060" s="1836"/>
      <c r="AI2060" s="1837"/>
      <c r="AJ2060" s="1960"/>
    </row>
    <row r="2061" spans="1:36" ht="21.95" customHeight="1" x14ac:dyDescent="0.2">
      <c r="B2061" s="2045"/>
      <c r="C2061" s="2046"/>
      <c r="D2061" s="2047" t="str">
        <f>SNI!E1515</f>
        <v>Saklar tunggal</v>
      </c>
      <c r="E2061" s="2047"/>
      <c r="F2061" s="2048"/>
      <c r="G2061" s="2049">
        <f>SNI!H1515</f>
        <v>1</v>
      </c>
      <c r="H2061" s="2050" t="str">
        <f>SNI!G1515</f>
        <v>bh</v>
      </c>
      <c r="I2061" s="2051"/>
      <c r="J2061" s="2051"/>
      <c r="K2061" s="2052">
        <f>SNI!L1515</f>
        <v>0.28499999999999998</v>
      </c>
      <c r="L2061" s="2053"/>
      <c r="M2061" s="2054"/>
      <c r="N2061" s="2055">
        <f>SNI!I1515</f>
        <v>18700</v>
      </c>
      <c r="O2061" s="2056"/>
      <c r="P2061" s="1969">
        <f t="shared" ref="P2061" si="1409">N2061*G2061</f>
        <v>18700</v>
      </c>
      <c r="Q2061" s="1953"/>
      <c r="R2061" s="1954"/>
      <c r="S2061" s="1954">
        <f t="shared" ref="S2061" si="1410">P2061*K2061</f>
        <v>5329.4999999999991</v>
      </c>
      <c r="T2061" s="1969">
        <f t="shared" ref="T2061" si="1411">P2061-S2061</f>
        <v>13370.5</v>
      </c>
      <c r="U2061" s="2060"/>
      <c r="Z2061" s="1956"/>
      <c r="AA2061" s="1956"/>
      <c r="AG2061" s="1836"/>
      <c r="AH2061" s="1836"/>
      <c r="AI2061" s="1837"/>
      <c r="AJ2061" s="1960"/>
    </row>
    <row r="2062" spans="1:36" ht="21.95" customHeight="1" x14ac:dyDescent="0.2">
      <c r="B2062" s="2045"/>
      <c r="C2062" s="2046"/>
      <c r="D2062" s="2047" t="str">
        <f>SNI!E1516</f>
        <v>aksesoris 45%</v>
      </c>
      <c r="E2062" s="2047"/>
      <c r="F2062" s="2048"/>
      <c r="G2062" s="2049">
        <f>SNI!H1516</f>
        <v>1</v>
      </c>
      <c r="H2062" s="2050" t="str">
        <f>SNI!G1516</f>
        <v xml:space="preserve">ls </v>
      </c>
      <c r="I2062" s="2051"/>
      <c r="J2062" s="2051"/>
      <c r="K2062" s="2052">
        <f>SNI!L1516</f>
        <v>0.75</v>
      </c>
      <c r="L2062" s="2053"/>
      <c r="M2062" s="2054"/>
      <c r="N2062" s="2055">
        <f>SNI!I1516</f>
        <v>8415</v>
      </c>
      <c r="O2062" s="2056"/>
      <c r="P2062" s="1969">
        <f t="shared" ref="P2062:P2065" si="1412">N2062*G2062</f>
        <v>8415</v>
      </c>
      <c r="Q2062" s="1953"/>
      <c r="R2062" s="1954"/>
      <c r="S2062" s="1954">
        <f t="shared" ref="S2062:S2065" si="1413">P2062*K2062</f>
        <v>6311.25</v>
      </c>
      <c r="T2062" s="1969">
        <f t="shared" ref="T2062:T2065" si="1414">P2062-S2062</f>
        <v>2103.75</v>
      </c>
      <c r="U2062" s="2060"/>
      <c r="Z2062" s="1956"/>
      <c r="AA2062" s="1956"/>
      <c r="AG2062" s="1836"/>
      <c r="AH2062" s="1836"/>
      <c r="AI2062" s="1837"/>
      <c r="AJ2062" s="1960"/>
    </row>
    <row r="2063" spans="1:36" ht="21.95" customHeight="1" x14ac:dyDescent="0.2">
      <c r="B2063" s="2045"/>
      <c r="C2063" s="2046" t="str">
        <f>SNI!D1518</f>
        <v>Tenaga Kerja</v>
      </c>
      <c r="D2063" s="2046"/>
      <c r="E2063" s="2047"/>
      <c r="F2063" s="2048"/>
      <c r="G2063" s="2049"/>
      <c r="H2063" s="2050"/>
      <c r="I2063" s="2051"/>
      <c r="J2063" s="2051"/>
      <c r="K2063" s="2052"/>
      <c r="L2063" s="2053"/>
      <c r="M2063" s="2054"/>
      <c r="N2063" s="2055"/>
      <c r="O2063" s="2056"/>
      <c r="P2063" s="1969"/>
      <c r="Q2063" s="1953"/>
      <c r="R2063" s="1954"/>
      <c r="S2063" s="1954"/>
      <c r="T2063" s="1969"/>
      <c r="U2063" s="2060"/>
      <c r="Z2063" s="1956"/>
      <c r="AA2063" s="1956"/>
      <c r="AG2063" s="1836"/>
      <c r="AH2063" s="1836"/>
      <c r="AI2063" s="1837"/>
      <c r="AJ2063" s="1960"/>
    </row>
    <row r="2064" spans="1:36" ht="21.95" customHeight="1" x14ac:dyDescent="0.2">
      <c r="B2064" s="2045"/>
      <c r="C2064" s="2046"/>
      <c r="D2064" s="2047" t="str">
        <f>SNI!E1518</f>
        <v>Tukang listrik</v>
      </c>
      <c r="E2064" s="2047"/>
      <c r="F2064" s="2048"/>
      <c r="G2064" s="2049">
        <f>SNI!H1518</f>
        <v>0.1</v>
      </c>
      <c r="H2064" s="2050" t="str">
        <f>SNI!G1518</f>
        <v>OH</v>
      </c>
      <c r="I2064" s="2142" t="s">
        <v>2012</v>
      </c>
      <c r="J2064" s="2051"/>
      <c r="K2064" s="2052">
        <f>SNI!L1518</f>
        <v>1</v>
      </c>
      <c r="L2064" s="2053"/>
      <c r="M2064" s="2054"/>
      <c r="N2064" s="2055">
        <f>SNI!I1518</f>
        <v>90000</v>
      </c>
      <c r="O2064" s="2056"/>
      <c r="P2064" s="1969">
        <f t="shared" si="1412"/>
        <v>9000</v>
      </c>
      <c r="Q2064" s="1953"/>
      <c r="R2064" s="1954"/>
      <c r="S2064" s="1954">
        <f t="shared" si="1413"/>
        <v>9000</v>
      </c>
      <c r="T2064" s="1969">
        <f t="shared" si="1414"/>
        <v>0</v>
      </c>
      <c r="U2064" s="2060"/>
      <c r="Z2064" s="1956"/>
      <c r="AA2064" s="1956"/>
      <c r="AG2064" s="1836"/>
      <c r="AH2064" s="1836"/>
      <c r="AI2064" s="1837"/>
      <c r="AJ2064" s="1960"/>
    </row>
    <row r="2065" spans="1:36" ht="21.95" customHeight="1" x14ac:dyDescent="0.2">
      <c r="B2065" s="2045"/>
      <c r="C2065" s="2046"/>
      <c r="D2065" s="2047" t="str">
        <f>SNI!E1519</f>
        <v>Mandor</v>
      </c>
      <c r="E2065" s="2047"/>
      <c r="F2065" s="2048"/>
      <c r="G2065" s="2049">
        <f>SNI!H1519</f>
        <v>0.01</v>
      </c>
      <c r="H2065" s="2050" t="str">
        <f>SNI!G1519</f>
        <v>OH</v>
      </c>
      <c r="I2065" s="2142" t="s">
        <v>2012</v>
      </c>
      <c r="J2065" s="2051"/>
      <c r="K2065" s="2052">
        <f>SNI!L1519</f>
        <v>1</v>
      </c>
      <c r="L2065" s="2053"/>
      <c r="M2065" s="2054"/>
      <c r="N2065" s="2055">
        <f>SNI!I1519</f>
        <v>90000</v>
      </c>
      <c r="O2065" s="2056"/>
      <c r="P2065" s="1969">
        <f t="shared" si="1412"/>
        <v>900</v>
      </c>
      <c r="Q2065" s="1953"/>
      <c r="R2065" s="1954"/>
      <c r="S2065" s="1954">
        <f t="shared" si="1413"/>
        <v>900</v>
      </c>
      <c r="T2065" s="1969">
        <f t="shared" si="1414"/>
        <v>0</v>
      </c>
      <c r="U2065" s="2060"/>
      <c r="Z2065" s="1956"/>
      <c r="AA2065" s="1956"/>
      <c r="AG2065" s="1836"/>
      <c r="AH2065" s="1836"/>
      <c r="AI2065" s="1837"/>
      <c r="AJ2065" s="1960"/>
    </row>
    <row r="2066" spans="1:36" s="1957" customFormat="1" ht="21.95" customHeight="1" x14ac:dyDescent="0.2">
      <c r="A2066" s="1942"/>
      <c r="B2066" s="1970"/>
      <c r="C2066" s="1971"/>
      <c r="D2066" s="1972"/>
      <c r="E2066" s="1973"/>
      <c r="F2066" s="1974" t="s">
        <v>556</v>
      </c>
      <c r="G2066" s="1975">
        <f>B2059</f>
        <v>8</v>
      </c>
      <c r="H2066" s="1976"/>
      <c r="I2066" s="1977"/>
      <c r="J2066" s="1977"/>
      <c r="K2066" s="1978"/>
      <c r="L2066" s="1979"/>
      <c r="M2066" s="1980"/>
      <c r="N2066" s="1981"/>
      <c r="O2066" s="1982"/>
      <c r="P2066" s="1983">
        <f>SUM(P2061:P2065)</f>
        <v>37015</v>
      </c>
      <c r="Q2066" s="1984"/>
      <c r="R2066" s="1985"/>
      <c r="S2066" s="1983">
        <f t="shared" ref="S2066:T2066" si="1415">SUM(S2061:S2065)</f>
        <v>21540.75</v>
      </c>
      <c r="T2066" s="1983">
        <f t="shared" si="1415"/>
        <v>15474.25</v>
      </c>
      <c r="U2066" s="1986"/>
      <c r="V2066" s="1848"/>
      <c r="W2066" s="1848"/>
      <c r="X2066" s="1848"/>
      <c r="Y2066" s="1848"/>
      <c r="Z2066" s="1956"/>
      <c r="AA2066" s="1956"/>
      <c r="AF2066" s="1958"/>
      <c r="AG2066" s="1958"/>
      <c r="AH2066" s="1958"/>
      <c r="AI2066" s="1959"/>
      <c r="AJ2066" s="1960"/>
    </row>
    <row r="2067" spans="1:36" ht="21.95" customHeight="1" x14ac:dyDescent="0.2">
      <c r="A2067" s="1833">
        <f>satpek!B96</f>
        <v>77</v>
      </c>
      <c r="B2067" s="1943">
        <f>B2059+1</f>
        <v>9</v>
      </c>
      <c r="C2067" s="1937"/>
      <c r="D2067" s="1944" t="str">
        <f>VLOOKUP($A2067,satpek!$B$20:$N$144,2,0)</f>
        <v>Memasang stop kontak</v>
      </c>
      <c r="E2067" s="1944"/>
      <c r="F2067" s="2004"/>
      <c r="G2067" s="1945">
        <f>'[3]B.VOL RAB'!Q639</f>
        <v>42</v>
      </c>
      <c r="H2067" s="1946" t="str">
        <f>VLOOKUP($A2067,satpek!$B$20:$N$144,7,0)</f>
        <v>bh</v>
      </c>
      <c r="I2067" s="1947"/>
      <c r="J2067" s="1947"/>
      <c r="K2067" s="1948"/>
      <c r="L2067" s="1949"/>
      <c r="M2067" s="1950" t="str">
        <f>VLOOKUP($A2067,satpek!$B$20:$N$144,5,0)</f>
        <v>An. Dihitung</v>
      </c>
      <c r="N2067" s="1951">
        <f>VLOOKUP($A2067,satpek!$B$20:$N$144,6,0)</f>
        <v>37730.699999999997</v>
      </c>
      <c r="O2067" s="1938"/>
      <c r="P2067" s="1952">
        <f t="shared" si="1351"/>
        <v>1584689.4</v>
      </c>
      <c r="Q2067" s="1953">
        <f>VLOOKUP($A2067,satpek!$B$20:$L$138,8,0)</f>
        <v>0.59851752021563343</v>
      </c>
      <c r="R2067" s="1954">
        <f>VLOOKUP($A2067,satpek!$B$20:$L$138,9,0)</f>
        <v>19984.5</v>
      </c>
      <c r="S2067" s="1954">
        <f>VLOOKUP($A2067,satpek!$B$20:$L$138,10,0)</f>
        <v>22582.485000000001</v>
      </c>
      <c r="T2067" s="1952">
        <f t="shared" si="1352"/>
        <v>948464.37</v>
      </c>
      <c r="U2067" s="1955"/>
      <c r="X2067" s="1848">
        <f>P2074</f>
        <v>33390</v>
      </c>
      <c r="Y2067" s="1848">
        <f>S2074</f>
        <v>19984.5</v>
      </c>
      <c r="Z2067" s="1956">
        <v>42</v>
      </c>
      <c r="AA2067" s="1956">
        <f t="shared" si="1232"/>
        <v>0</v>
      </c>
      <c r="AB2067" s="1836" t="s">
        <v>374</v>
      </c>
      <c r="AG2067" s="1836"/>
      <c r="AH2067" s="1836"/>
      <c r="AI2067" s="1837">
        <v>37357.800000000003</v>
      </c>
      <c r="AJ2067" s="1960">
        <f t="shared" si="1233"/>
        <v>-372.89999999999418</v>
      </c>
    </row>
    <row r="2068" spans="1:36" ht="21.95" customHeight="1" x14ac:dyDescent="0.2">
      <c r="B2068" s="2045"/>
      <c r="C2068" s="2046" t="str">
        <f>SNI!D1532</f>
        <v>Bahan</v>
      </c>
      <c r="D2068" s="2047"/>
      <c r="E2068" s="2047"/>
      <c r="F2068" s="2048"/>
      <c r="G2068" s="2049"/>
      <c r="H2068" s="2050"/>
      <c r="I2068" s="2051"/>
      <c r="J2068" s="2051"/>
      <c r="K2068" s="2052"/>
      <c r="L2068" s="2053"/>
      <c r="M2068" s="2054"/>
      <c r="N2068" s="2055"/>
      <c r="O2068" s="2056"/>
      <c r="P2068" s="2057"/>
      <c r="Q2068" s="2058"/>
      <c r="R2068" s="2059"/>
      <c r="S2068" s="2059"/>
      <c r="T2068" s="2057"/>
      <c r="U2068" s="2060"/>
      <c r="Z2068" s="1956"/>
      <c r="AA2068" s="1956"/>
      <c r="AG2068" s="1836"/>
      <c r="AH2068" s="1836"/>
      <c r="AI2068" s="1837"/>
      <c r="AJ2068" s="1960"/>
    </row>
    <row r="2069" spans="1:36" ht="21.95" customHeight="1" x14ac:dyDescent="0.2">
      <c r="B2069" s="2045"/>
      <c r="C2069" s="2046"/>
      <c r="D2069" s="2047" t="str">
        <f>SNI!E1532</f>
        <v>Stop kontak</v>
      </c>
      <c r="E2069" s="2047"/>
      <c r="F2069" s="2048"/>
      <c r="G2069" s="2049">
        <f>SNI!H1532</f>
        <v>1</v>
      </c>
      <c r="H2069" s="2050" t="str">
        <f>SNI!G1532</f>
        <v>bh</v>
      </c>
      <c r="I2069" s="2051"/>
      <c r="J2069" s="2051"/>
      <c r="K2069" s="2052">
        <f>SNI!L1532</f>
        <v>0.28499999999999998</v>
      </c>
      <c r="L2069" s="2053"/>
      <c r="M2069" s="2054"/>
      <c r="N2069" s="2055">
        <f>SNI!I1532</f>
        <v>16200</v>
      </c>
      <c r="O2069" s="2056"/>
      <c r="P2069" s="1969">
        <f t="shared" ref="P2069" si="1416">N2069*G2069</f>
        <v>16200</v>
      </c>
      <c r="Q2069" s="1953"/>
      <c r="R2069" s="1954"/>
      <c r="S2069" s="1954">
        <f t="shared" ref="S2069" si="1417">P2069*K2069</f>
        <v>4617</v>
      </c>
      <c r="T2069" s="1969">
        <f t="shared" ref="T2069" si="1418">P2069-S2069</f>
        <v>11583</v>
      </c>
      <c r="U2069" s="2060"/>
      <c r="Z2069" s="1956"/>
      <c r="AA2069" s="1956"/>
      <c r="AG2069" s="1836"/>
      <c r="AH2069" s="1836"/>
      <c r="AI2069" s="1837"/>
      <c r="AJ2069" s="1960"/>
    </row>
    <row r="2070" spans="1:36" ht="21.95" customHeight="1" x14ac:dyDescent="0.2">
      <c r="B2070" s="2045"/>
      <c r="C2070" s="2046"/>
      <c r="D2070" s="2047" t="str">
        <f>SNI!E1533</f>
        <v>aksesoris 45%</v>
      </c>
      <c r="E2070" s="2047"/>
      <c r="F2070" s="2048"/>
      <c r="G2070" s="2049">
        <f>SNI!H1533</f>
        <v>1</v>
      </c>
      <c r="H2070" s="2050" t="str">
        <f>SNI!G1533</f>
        <v xml:space="preserve">ls </v>
      </c>
      <c r="I2070" s="2051"/>
      <c r="J2070" s="2051"/>
      <c r="K2070" s="2052">
        <f>SNI!L1533</f>
        <v>0.75</v>
      </c>
      <c r="L2070" s="2053"/>
      <c r="M2070" s="2054"/>
      <c r="N2070" s="2055">
        <f>SNI!I1533</f>
        <v>7290</v>
      </c>
      <c r="O2070" s="2056"/>
      <c r="P2070" s="1969">
        <f t="shared" ref="P2070:P2073" si="1419">N2070*G2070</f>
        <v>7290</v>
      </c>
      <c r="Q2070" s="1953"/>
      <c r="R2070" s="1954"/>
      <c r="S2070" s="1954">
        <f t="shared" ref="S2070:S2073" si="1420">P2070*K2070</f>
        <v>5467.5</v>
      </c>
      <c r="T2070" s="1969">
        <f t="shared" ref="T2070:T2073" si="1421">P2070-S2070</f>
        <v>1822.5</v>
      </c>
      <c r="U2070" s="2060"/>
      <c r="Z2070" s="1956"/>
      <c r="AA2070" s="1956"/>
      <c r="AG2070" s="1836"/>
      <c r="AH2070" s="1836"/>
      <c r="AI2070" s="1837"/>
      <c r="AJ2070" s="1960"/>
    </row>
    <row r="2071" spans="1:36" ht="21.95" customHeight="1" x14ac:dyDescent="0.2">
      <c r="B2071" s="2045"/>
      <c r="C2071" s="2046" t="str">
        <f>SNI!D1535</f>
        <v>Tenaga Kerja</v>
      </c>
      <c r="D2071" s="2047"/>
      <c r="E2071" s="2047"/>
      <c r="F2071" s="2048"/>
      <c r="G2071" s="2049"/>
      <c r="H2071" s="2050"/>
      <c r="I2071" s="2051"/>
      <c r="J2071" s="2051"/>
      <c r="K2071" s="2052"/>
      <c r="L2071" s="2053"/>
      <c r="M2071" s="2054"/>
      <c r="N2071" s="2055"/>
      <c r="O2071" s="2056"/>
      <c r="P2071" s="1969"/>
      <c r="Q2071" s="1953"/>
      <c r="R2071" s="1954"/>
      <c r="S2071" s="1954"/>
      <c r="T2071" s="1969"/>
      <c r="U2071" s="2060"/>
      <c r="Z2071" s="1956"/>
      <c r="AA2071" s="1956"/>
      <c r="AG2071" s="1836"/>
      <c r="AH2071" s="1836"/>
      <c r="AI2071" s="1837"/>
      <c r="AJ2071" s="1960"/>
    </row>
    <row r="2072" spans="1:36" ht="21.95" customHeight="1" x14ac:dyDescent="0.2">
      <c r="B2072" s="2045"/>
      <c r="C2072" s="2046"/>
      <c r="D2072" s="2047" t="str">
        <f>SNI!E1535</f>
        <v>Tukang listrik</v>
      </c>
      <c r="E2072" s="2047"/>
      <c r="F2072" s="2048"/>
      <c r="G2072" s="2049">
        <f>SNI!H1535</f>
        <v>0.1</v>
      </c>
      <c r="H2072" s="2050" t="str">
        <f>SNI!G1535</f>
        <v>OH</v>
      </c>
      <c r="I2072" s="2051" t="str">
        <f>SNI!M1535</f>
        <v>WNI</v>
      </c>
      <c r="J2072" s="2051"/>
      <c r="K2072" s="2052">
        <f>SNI!L1535</f>
        <v>1</v>
      </c>
      <c r="L2072" s="2053"/>
      <c r="M2072" s="2054"/>
      <c r="N2072" s="2055">
        <f>SNI!I1535</f>
        <v>90000</v>
      </c>
      <c r="O2072" s="2056"/>
      <c r="P2072" s="1969">
        <f t="shared" si="1419"/>
        <v>9000</v>
      </c>
      <c r="Q2072" s="1953"/>
      <c r="R2072" s="1954"/>
      <c r="S2072" s="1954">
        <f t="shared" si="1420"/>
        <v>9000</v>
      </c>
      <c r="T2072" s="1969">
        <f t="shared" si="1421"/>
        <v>0</v>
      </c>
      <c r="U2072" s="2060"/>
      <c r="Z2072" s="1956"/>
      <c r="AA2072" s="1956"/>
      <c r="AG2072" s="1836"/>
      <c r="AH2072" s="1836"/>
      <c r="AI2072" s="1837"/>
      <c r="AJ2072" s="1960"/>
    </row>
    <row r="2073" spans="1:36" ht="21.95" customHeight="1" x14ac:dyDescent="0.2">
      <c r="B2073" s="2045"/>
      <c r="C2073" s="2046"/>
      <c r="D2073" s="2047" t="str">
        <f>SNI!E1536</f>
        <v>Mandor</v>
      </c>
      <c r="E2073" s="2047"/>
      <c r="F2073" s="2048"/>
      <c r="G2073" s="2049">
        <f>SNI!H1536</f>
        <v>0.01</v>
      </c>
      <c r="H2073" s="2050" t="str">
        <f>SNI!G1536</f>
        <v>OH</v>
      </c>
      <c r="I2073" s="2051" t="str">
        <f>SNI!M1536</f>
        <v>WNI</v>
      </c>
      <c r="J2073" s="2051"/>
      <c r="K2073" s="2052">
        <f>SNI!L1536</f>
        <v>1</v>
      </c>
      <c r="L2073" s="2053"/>
      <c r="M2073" s="2054"/>
      <c r="N2073" s="2055">
        <f>SNI!I1536</f>
        <v>90000</v>
      </c>
      <c r="O2073" s="2056"/>
      <c r="P2073" s="1969">
        <f t="shared" si="1419"/>
        <v>900</v>
      </c>
      <c r="Q2073" s="1953"/>
      <c r="R2073" s="1954"/>
      <c r="S2073" s="1954">
        <f t="shared" si="1420"/>
        <v>900</v>
      </c>
      <c r="T2073" s="1969">
        <f t="shared" si="1421"/>
        <v>0</v>
      </c>
      <c r="U2073" s="2060"/>
      <c r="Z2073" s="1956"/>
      <c r="AA2073" s="1956"/>
      <c r="AG2073" s="1836"/>
      <c r="AH2073" s="1836"/>
      <c r="AI2073" s="1837"/>
      <c r="AJ2073" s="1960"/>
    </row>
    <row r="2074" spans="1:36" s="1957" customFormat="1" ht="21.95" customHeight="1" x14ac:dyDescent="0.2">
      <c r="A2074" s="1942"/>
      <c r="B2074" s="1970"/>
      <c r="C2074" s="1971"/>
      <c r="D2074" s="1972"/>
      <c r="E2074" s="1973"/>
      <c r="F2074" s="1974" t="s">
        <v>556</v>
      </c>
      <c r="G2074" s="1975">
        <f>B2067</f>
        <v>9</v>
      </c>
      <c r="H2074" s="1976"/>
      <c r="I2074" s="1977"/>
      <c r="J2074" s="1977"/>
      <c r="K2074" s="1978"/>
      <c r="L2074" s="1979"/>
      <c r="M2074" s="1980"/>
      <c r="N2074" s="1981"/>
      <c r="O2074" s="1982"/>
      <c r="P2074" s="1983">
        <f>SUM(P2069:P2073)</f>
        <v>33390</v>
      </c>
      <c r="Q2074" s="1984"/>
      <c r="R2074" s="1985"/>
      <c r="S2074" s="1983">
        <f t="shared" ref="S2074" si="1422">SUM(S2069:S2073)</f>
        <v>19984.5</v>
      </c>
      <c r="T2074" s="1983">
        <f t="shared" ref="T2074" si="1423">SUM(T2069:T2073)</f>
        <v>13405.5</v>
      </c>
      <c r="U2074" s="1986"/>
      <c r="V2074" s="1848"/>
      <c r="W2074" s="1848"/>
      <c r="X2074" s="1848"/>
      <c r="Y2074" s="1848"/>
      <c r="Z2074" s="1956"/>
      <c r="AA2074" s="1956"/>
      <c r="AF2074" s="1958"/>
      <c r="AG2074" s="1958"/>
      <c r="AH2074" s="1958"/>
      <c r="AI2074" s="1959"/>
      <c r="AJ2074" s="1960"/>
    </row>
    <row r="2075" spans="1:36" ht="21.95" customHeight="1" x14ac:dyDescent="0.2">
      <c r="A2075" s="1833">
        <f>satpek!B97</f>
        <v>78</v>
      </c>
      <c r="B2075" s="1943">
        <f>B2067+1</f>
        <v>10</v>
      </c>
      <c r="C2075" s="1937"/>
      <c r="D2075" s="1944" t="str">
        <f>VLOOKUP($A2075,satpek!$B$20:$N$144,2,0)</f>
        <v xml:space="preserve">Memasang stop kontak AC </v>
      </c>
      <c r="E2075" s="1944"/>
      <c r="F2075" s="2004"/>
      <c r="G2075" s="1945">
        <f>'[3]B.VOL RAB'!Q640</f>
        <v>12</v>
      </c>
      <c r="H2075" s="1946" t="str">
        <f>VLOOKUP($A2075,satpek!$B$20:$N$144,7,0)</f>
        <v>bh</v>
      </c>
      <c r="I2075" s="1947"/>
      <c r="J2075" s="1947"/>
      <c r="K2075" s="1948"/>
      <c r="L2075" s="1949"/>
      <c r="M2075" s="1950" t="str">
        <f>VLOOKUP($A2075,satpek!$B$20:$N$144,5,0)</f>
        <v>An. Dihitung</v>
      </c>
      <c r="N2075" s="1951">
        <f>VLOOKUP($A2075,satpek!$B$20:$N$144,6,0)</f>
        <v>115836.3</v>
      </c>
      <c r="O2075" s="1938"/>
      <c r="P2075" s="1952">
        <f t="shared" si="1351"/>
        <v>1390035.6</v>
      </c>
      <c r="Q2075" s="1953">
        <f>VLOOKUP($A2075,satpek!$B$20:$L$138,8,0)</f>
        <v>0.46296458882060287</v>
      </c>
      <c r="R2075" s="1954">
        <f>VLOOKUP($A2075,satpek!$B$20:$L$138,9,0)</f>
        <v>47458.5</v>
      </c>
      <c r="S2075" s="1954">
        <f>VLOOKUP($A2075,satpek!$B$20:$L$138,10,0)</f>
        <v>53628.105000000003</v>
      </c>
      <c r="T2075" s="1952">
        <f t="shared" si="1352"/>
        <v>643537.26</v>
      </c>
      <c r="U2075" s="1955"/>
      <c r="X2075" s="1848">
        <f>P2082</f>
        <v>102510</v>
      </c>
      <c r="Y2075" s="1848">
        <f>S2082</f>
        <v>47458.5</v>
      </c>
      <c r="Z2075" s="1956">
        <v>12</v>
      </c>
      <c r="AA2075" s="1956">
        <f t="shared" si="1232"/>
        <v>0</v>
      </c>
      <c r="AB2075" s="1836" t="s">
        <v>1877</v>
      </c>
      <c r="AG2075" s="1836"/>
      <c r="AH2075" s="1836"/>
      <c r="AI2075" s="1837">
        <v>115463.4</v>
      </c>
      <c r="AJ2075" s="1960">
        <f t="shared" si="1233"/>
        <v>-372.90000000000873</v>
      </c>
    </row>
    <row r="2076" spans="1:36" ht="21.95" customHeight="1" x14ac:dyDescent="0.2">
      <c r="B2076" s="2045"/>
      <c r="C2076" s="2046" t="str">
        <f>SNI!D1549</f>
        <v>Bahan</v>
      </c>
      <c r="D2076" s="2047"/>
      <c r="E2076" s="2047"/>
      <c r="F2076" s="2048"/>
      <c r="G2076" s="2049"/>
      <c r="H2076" s="2050"/>
      <c r="I2076" s="2051"/>
      <c r="J2076" s="2051"/>
      <c r="K2076" s="2052"/>
      <c r="L2076" s="2053"/>
      <c r="M2076" s="2054"/>
      <c r="N2076" s="2055"/>
      <c r="O2076" s="2056"/>
      <c r="P2076" s="2057"/>
      <c r="Q2076" s="2058"/>
      <c r="R2076" s="2059"/>
      <c r="S2076" s="2059"/>
      <c r="T2076" s="2057"/>
      <c r="U2076" s="2060"/>
      <c r="Z2076" s="1956"/>
      <c r="AA2076" s="1956"/>
      <c r="AG2076" s="1836"/>
      <c r="AH2076" s="1836"/>
      <c r="AI2076" s="1837"/>
      <c r="AJ2076" s="1960"/>
    </row>
    <row r="2077" spans="1:36" ht="21.95" customHeight="1" x14ac:dyDescent="0.2">
      <c r="B2077" s="2045"/>
      <c r="C2077" s="2046"/>
      <c r="D2077" s="2047" t="str">
        <f>SNI!E1549</f>
        <v>Stop kontak AC</v>
      </c>
      <c r="E2077" s="2047"/>
      <c r="F2077" s="2048"/>
      <c r="G2077" s="2049">
        <f>SNI!H1549</f>
        <v>1</v>
      </c>
      <c r="H2077" s="2050" t="str">
        <f>SNI!G1549</f>
        <v>bh</v>
      </c>
      <c r="I2077" s="2051"/>
      <c r="J2077" s="2051"/>
      <c r="K2077" s="2052">
        <f>SNI!L1549</f>
        <v>0.28499999999999998</v>
      </c>
      <c r="L2077" s="2053"/>
      <c r="M2077" s="2054"/>
      <c r="N2077" s="2055">
        <f>SNI!I1549</f>
        <v>68600</v>
      </c>
      <c r="O2077" s="2056"/>
      <c r="P2077" s="1969">
        <f t="shared" ref="P2077" si="1424">N2077*G2077</f>
        <v>68600</v>
      </c>
      <c r="Q2077" s="1953"/>
      <c r="R2077" s="1954"/>
      <c r="S2077" s="1954">
        <f t="shared" ref="S2077" si="1425">P2077*K2077</f>
        <v>19551</v>
      </c>
      <c r="T2077" s="1969">
        <f t="shared" ref="T2077" si="1426">P2077-S2077</f>
        <v>49049</v>
      </c>
      <c r="U2077" s="2060"/>
      <c r="Z2077" s="1956"/>
      <c r="AA2077" s="1956"/>
      <c r="AG2077" s="1836"/>
      <c r="AH2077" s="1836"/>
      <c r="AI2077" s="1837"/>
      <c r="AJ2077" s="1960"/>
    </row>
    <row r="2078" spans="1:36" ht="21.95" customHeight="1" x14ac:dyDescent="0.2">
      <c r="B2078" s="2045"/>
      <c r="C2078" s="2046"/>
      <c r="D2078" s="2047" t="str">
        <f>SNI!E1550</f>
        <v>aksesoris 35%</v>
      </c>
      <c r="E2078" s="2047"/>
      <c r="F2078" s="2048"/>
      <c r="G2078" s="2049">
        <f>SNI!H1550</f>
        <v>1</v>
      </c>
      <c r="H2078" s="2050" t="str">
        <f>SNI!G1550</f>
        <v xml:space="preserve">ls </v>
      </c>
      <c r="I2078" s="2051"/>
      <c r="J2078" s="2051"/>
      <c r="K2078" s="2052">
        <f>SNI!L1550</f>
        <v>0.75</v>
      </c>
      <c r="L2078" s="2053"/>
      <c r="M2078" s="2054"/>
      <c r="N2078" s="2055">
        <f>SNI!I1550</f>
        <v>24010</v>
      </c>
      <c r="O2078" s="2056"/>
      <c r="P2078" s="1969">
        <f t="shared" ref="P2078:P2081" si="1427">N2078*G2078</f>
        <v>24010</v>
      </c>
      <c r="Q2078" s="1953"/>
      <c r="R2078" s="1954"/>
      <c r="S2078" s="1954">
        <f t="shared" ref="S2078:S2081" si="1428">P2078*K2078</f>
        <v>18007.5</v>
      </c>
      <c r="T2078" s="1969">
        <f t="shared" ref="T2078:T2081" si="1429">P2078-S2078</f>
        <v>6002.5</v>
      </c>
      <c r="U2078" s="2060"/>
      <c r="Z2078" s="1956"/>
      <c r="AA2078" s="1956"/>
      <c r="AG2078" s="1836"/>
      <c r="AH2078" s="1836"/>
      <c r="AI2078" s="1837"/>
      <c r="AJ2078" s="1960"/>
    </row>
    <row r="2079" spans="1:36" ht="21.95" customHeight="1" x14ac:dyDescent="0.2">
      <c r="B2079" s="2045"/>
      <c r="C2079" s="2046" t="str">
        <f>SNI!D1552</f>
        <v>Tenaga Kerja</v>
      </c>
      <c r="D2079" s="2047"/>
      <c r="E2079" s="2047"/>
      <c r="F2079" s="2048"/>
      <c r="G2079" s="2049"/>
      <c r="H2079" s="2050"/>
      <c r="I2079" s="2051"/>
      <c r="J2079" s="2051"/>
      <c r="K2079" s="2052"/>
      <c r="L2079" s="2053"/>
      <c r="M2079" s="2054"/>
      <c r="N2079" s="2055"/>
      <c r="O2079" s="2056"/>
      <c r="P2079" s="1969"/>
      <c r="Q2079" s="1953"/>
      <c r="R2079" s="1954"/>
      <c r="S2079" s="1954"/>
      <c r="T2079" s="1969"/>
      <c r="U2079" s="2060"/>
      <c r="Z2079" s="1956"/>
      <c r="AA2079" s="1956"/>
      <c r="AG2079" s="1836"/>
      <c r="AH2079" s="1836"/>
      <c r="AI2079" s="1837"/>
      <c r="AJ2079" s="1960"/>
    </row>
    <row r="2080" spans="1:36" ht="21.95" customHeight="1" x14ac:dyDescent="0.2">
      <c r="B2080" s="2045"/>
      <c r="C2080" s="2046"/>
      <c r="D2080" s="2047" t="str">
        <f>SNI!E1552</f>
        <v>Tukang listrik</v>
      </c>
      <c r="E2080" s="2047"/>
      <c r="F2080" s="2048"/>
      <c r="G2080" s="2049">
        <f>SNI!H1552</f>
        <v>0.1</v>
      </c>
      <c r="H2080" s="2050" t="str">
        <f>SNI!G1552</f>
        <v>OH</v>
      </c>
      <c r="I2080" s="2051" t="str">
        <f>SNI!M1552</f>
        <v>WNI</v>
      </c>
      <c r="J2080" s="2051"/>
      <c r="K2080" s="2052">
        <f>SNI!L1552</f>
        <v>1</v>
      </c>
      <c r="L2080" s="2053"/>
      <c r="M2080" s="2054"/>
      <c r="N2080" s="2055">
        <f>SNI!I1552</f>
        <v>90000</v>
      </c>
      <c r="O2080" s="2056"/>
      <c r="P2080" s="1969">
        <f t="shared" si="1427"/>
        <v>9000</v>
      </c>
      <c r="Q2080" s="1953"/>
      <c r="R2080" s="1954"/>
      <c r="S2080" s="1954">
        <f t="shared" si="1428"/>
        <v>9000</v>
      </c>
      <c r="T2080" s="1969">
        <f t="shared" si="1429"/>
        <v>0</v>
      </c>
      <c r="U2080" s="2060"/>
      <c r="Z2080" s="1956"/>
      <c r="AA2080" s="1956"/>
      <c r="AG2080" s="1836"/>
      <c r="AH2080" s="1836"/>
      <c r="AI2080" s="1837"/>
      <c r="AJ2080" s="1960"/>
    </row>
    <row r="2081" spans="1:36" ht="21.95" customHeight="1" x14ac:dyDescent="0.2">
      <c r="B2081" s="2045"/>
      <c r="C2081" s="2046"/>
      <c r="D2081" s="2047" t="str">
        <f>SNI!E1553</f>
        <v>Mandor</v>
      </c>
      <c r="E2081" s="2047"/>
      <c r="F2081" s="2048"/>
      <c r="G2081" s="2049">
        <f>SNI!H1553</f>
        <v>0.01</v>
      </c>
      <c r="H2081" s="2050" t="str">
        <f>SNI!G1553</f>
        <v>OH</v>
      </c>
      <c r="I2081" s="2051" t="str">
        <f>SNI!M1553</f>
        <v>WNI</v>
      </c>
      <c r="J2081" s="2051"/>
      <c r="K2081" s="2052">
        <f>SNI!L1553</f>
        <v>1</v>
      </c>
      <c r="L2081" s="2053"/>
      <c r="M2081" s="2054"/>
      <c r="N2081" s="2055">
        <f>SNI!I1553</f>
        <v>90000</v>
      </c>
      <c r="O2081" s="2056"/>
      <c r="P2081" s="1969">
        <f t="shared" si="1427"/>
        <v>900</v>
      </c>
      <c r="Q2081" s="1953"/>
      <c r="R2081" s="1954"/>
      <c r="S2081" s="1954">
        <f t="shared" si="1428"/>
        <v>900</v>
      </c>
      <c r="T2081" s="1969">
        <f t="shared" si="1429"/>
        <v>0</v>
      </c>
      <c r="U2081" s="2060"/>
      <c r="Z2081" s="1956"/>
      <c r="AA2081" s="1956"/>
      <c r="AG2081" s="1836"/>
      <c r="AH2081" s="1836"/>
      <c r="AI2081" s="1837"/>
      <c r="AJ2081" s="1960"/>
    </row>
    <row r="2082" spans="1:36" s="1957" customFormat="1" ht="21.95" customHeight="1" x14ac:dyDescent="0.2">
      <c r="A2082" s="1942"/>
      <c r="B2082" s="1970"/>
      <c r="C2082" s="1971"/>
      <c r="D2082" s="1972"/>
      <c r="E2082" s="1973"/>
      <c r="F2082" s="1974" t="s">
        <v>556</v>
      </c>
      <c r="G2082" s="1975">
        <f>B2075</f>
        <v>10</v>
      </c>
      <c r="H2082" s="1976"/>
      <c r="I2082" s="1977"/>
      <c r="J2082" s="1977"/>
      <c r="K2082" s="1978"/>
      <c r="L2082" s="1979"/>
      <c r="M2082" s="1980"/>
      <c r="N2082" s="1981"/>
      <c r="O2082" s="1982"/>
      <c r="P2082" s="1983">
        <f>SUM(P2077:P2081)</f>
        <v>102510</v>
      </c>
      <c r="Q2082" s="1984"/>
      <c r="R2082" s="1985"/>
      <c r="S2082" s="1983">
        <f t="shared" ref="S2082" si="1430">SUM(S2077:S2081)</f>
        <v>47458.5</v>
      </c>
      <c r="T2082" s="1983">
        <f t="shared" ref="T2082" si="1431">SUM(T2077:T2081)</f>
        <v>55051.5</v>
      </c>
      <c r="U2082" s="1986"/>
      <c r="V2082" s="1848"/>
      <c r="W2082" s="1848"/>
      <c r="X2082" s="1848"/>
      <c r="Y2082" s="1848"/>
      <c r="Z2082" s="1956"/>
      <c r="AA2082" s="1956"/>
      <c r="AF2082" s="1958"/>
      <c r="AG2082" s="1958"/>
      <c r="AH2082" s="1958"/>
      <c r="AI2082" s="1959"/>
      <c r="AJ2082" s="1960"/>
    </row>
    <row r="2083" spans="1:36" ht="21.95" customHeight="1" x14ac:dyDescent="0.2">
      <c r="A2083" s="1833">
        <f>satpek!$B$98</f>
        <v>79</v>
      </c>
      <c r="B2083" s="1943">
        <f>B2075+1</f>
        <v>11</v>
      </c>
      <c r="C2083" s="1937"/>
      <c r="D2083" s="1944" t="str">
        <f>VLOOKUP($A2083,satpek!$B$20:$N$144,2,0)</f>
        <v>Memasang stop kontak outlet Telephone</v>
      </c>
      <c r="E2083" s="1944"/>
      <c r="F2083" s="2004"/>
      <c r="G2083" s="1945">
        <f>'[3]B.VOL RAB'!Q641</f>
        <v>4</v>
      </c>
      <c r="H2083" s="1946" t="str">
        <f>VLOOKUP($A2083,satpek!$B$20:$N$144,7,0)</f>
        <v>bh</v>
      </c>
      <c r="I2083" s="1947"/>
      <c r="J2083" s="1947"/>
      <c r="K2083" s="1948"/>
      <c r="L2083" s="1949"/>
      <c r="M2083" s="1950" t="str">
        <f>VLOOKUP($A2083,satpek!$B$20:$N$144,5,0)</f>
        <v>An. Dihitung</v>
      </c>
      <c r="N2083" s="1951">
        <f>VLOOKUP($A2083,satpek!$B$20:$N$144,6,0)</f>
        <v>82122.75</v>
      </c>
      <c r="O2083" s="1938"/>
      <c r="P2083" s="1952">
        <f t="shared" si="1351"/>
        <v>328491</v>
      </c>
      <c r="Q2083" s="1953">
        <f>VLOOKUP($A2083,satpek!$B$20:$L$138,8,0)</f>
        <v>0.48653250773993806</v>
      </c>
      <c r="R2083" s="1954">
        <f>VLOOKUP($A2083,satpek!$B$20:$L$138,9,0)</f>
        <v>35358.75</v>
      </c>
      <c r="S2083" s="1954">
        <f>VLOOKUP($A2083,satpek!$B$20:$L$138,10,0)</f>
        <v>39955.387499999997</v>
      </c>
      <c r="T2083" s="1952">
        <f t="shared" si="1352"/>
        <v>159821.54999999999</v>
      </c>
      <c r="U2083" s="1955"/>
      <c r="X2083" s="1848">
        <f>P2090</f>
        <v>72675</v>
      </c>
      <c r="Y2083" s="1848">
        <f>S2090</f>
        <v>35358.75</v>
      </c>
      <c r="Z2083" s="1956">
        <v>4</v>
      </c>
      <c r="AA2083" s="1956">
        <f t="shared" si="1232"/>
        <v>0</v>
      </c>
      <c r="AB2083" s="1836" t="s">
        <v>1878</v>
      </c>
      <c r="AG2083" s="1836"/>
      <c r="AH2083" s="1836"/>
      <c r="AI2083" s="1837">
        <v>81749.850000000006</v>
      </c>
      <c r="AJ2083" s="1960">
        <f t="shared" si="1233"/>
        <v>-372.89999999999418</v>
      </c>
    </row>
    <row r="2084" spans="1:36" ht="21.95" customHeight="1" x14ac:dyDescent="0.2">
      <c r="B2084" s="2045"/>
      <c r="C2084" s="2046" t="str">
        <f>SNI!D1566</f>
        <v>Bahan</v>
      </c>
      <c r="D2084" s="2047"/>
      <c r="E2084" s="2047"/>
      <c r="F2084" s="2048"/>
      <c r="G2084" s="2049"/>
      <c r="H2084" s="2050"/>
      <c r="I2084" s="2051"/>
      <c r="J2084" s="2051"/>
      <c r="K2084" s="2052"/>
      <c r="L2084" s="2053"/>
      <c r="M2084" s="2054"/>
      <c r="N2084" s="2055"/>
      <c r="O2084" s="2056"/>
      <c r="P2084" s="2057"/>
      <c r="Q2084" s="2058"/>
      <c r="R2084" s="2059"/>
      <c r="S2084" s="2059"/>
      <c r="T2084" s="2057"/>
      <c r="U2084" s="2060"/>
      <c r="Z2084" s="1956"/>
      <c r="AA2084" s="1956"/>
      <c r="AG2084" s="1836"/>
      <c r="AH2084" s="1836"/>
      <c r="AI2084" s="1837"/>
      <c r="AJ2084" s="1960"/>
    </row>
    <row r="2085" spans="1:36" ht="21.95" customHeight="1" x14ac:dyDescent="0.2">
      <c r="B2085" s="2045"/>
      <c r="C2085" s="2046"/>
      <c r="D2085" s="2047" t="str">
        <f>SNI!E1566</f>
        <v>Stop kontak Telephone</v>
      </c>
      <c r="E2085" s="2047"/>
      <c r="F2085" s="2048"/>
      <c r="G2085" s="2049">
        <f>SNI!H1566</f>
        <v>1</v>
      </c>
      <c r="H2085" s="2050" t="str">
        <f>SNI!G1566</f>
        <v>bh</v>
      </c>
      <c r="I2085" s="2051"/>
      <c r="J2085" s="2051"/>
      <c r="K2085" s="2052">
        <f>SNI!L1566</f>
        <v>0.28499999999999998</v>
      </c>
      <c r="L2085" s="2053"/>
      <c r="M2085" s="2054"/>
      <c r="N2085" s="2055">
        <f>SNI!I1566</f>
        <v>46500</v>
      </c>
      <c r="O2085" s="2056"/>
      <c r="P2085" s="1969">
        <f t="shared" ref="P2085" si="1432">N2085*G2085</f>
        <v>46500</v>
      </c>
      <c r="Q2085" s="1953"/>
      <c r="R2085" s="1954"/>
      <c r="S2085" s="1954">
        <f t="shared" ref="S2085" si="1433">P2085*K2085</f>
        <v>13252.499999999998</v>
      </c>
      <c r="T2085" s="1969">
        <f t="shared" ref="T2085" si="1434">P2085-S2085</f>
        <v>33247.5</v>
      </c>
      <c r="U2085" s="2060"/>
      <c r="Z2085" s="1956"/>
      <c r="AA2085" s="1956"/>
      <c r="AG2085" s="1836"/>
      <c r="AH2085" s="1836"/>
      <c r="AI2085" s="1837"/>
      <c r="AJ2085" s="1960"/>
    </row>
    <row r="2086" spans="1:36" ht="21.95" customHeight="1" x14ac:dyDescent="0.2">
      <c r="B2086" s="2045"/>
      <c r="C2086" s="2046"/>
      <c r="D2086" s="2047" t="str">
        <f>SNI!E1567</f>
        <v>aksesoris 35%</v>
      </c>
      <c r="E2086" s="2047"/>
      <c r="F2086" s="2048"/>
      <c r="G2086" s="2049">
        <f>SNI!H1567</f>
        <v>1</v>
      </c>
      <c r="H2086" s="2050" t="str">
        <f>SNI!G1567</f>
        <v xml:space="preserve">ls </v>
      </c>
      <c r="I2086" s="2051"/>
      <c r="J2086" s="2051"/>
      <c r="K2086" s="2052">
        <f>SNI!L1567</f>
        <v>0.75</v>
      </c>
      <c r="L2086" s="2053"/>
      <c r="M2086" s="2054"/>
      <c r="N2086" s="2055">
        <f>SNI!I1567</f>
        <v>16274.999999999998</v>
      </c>
      <c r="O2086" s="2056"/>
      <c r="P2086" s="1969">
        <f t="shared" ref="P2086:P2089" si="1435">N2086*G2086</f>
        <v>16274.999999999998</v>
      </c>
      <c r="Q2086" s="1953"/>
      <c r="R2086" s="1954"/>
      <c r="S2086" s="1954">
        <f t="shared" ref="S2086:S2089" si="1436">P2086*K2086</f>
        <v>12206.249999999998</v>
      </c>
      <c r="T2086" s="1969">
        <f t="shared" ref="T2086:T2089" si="1437">P2086-S2086</f>
        <v>4068.75</v>
      </c>
      <c r="U2086" s="2060"/>
      <c r="Z2086" s="1956"/>
      <c r="AA2086" s="1956"/>
      <c r="AG2086" s="1836"/>
      <c r="AH2086" s="1836"/>
      <c r="AI2086" s="1837"/>
      <c r="AJ2086" s="1960"/>
    </row>
    <row r="2087" spans="1:36" ht="21.95" customHeight="1" x14ac:dyDescent="0.2">
      <c r="B2087" s="2045"/>
      <c r="C2087" s="2046" t="str">
        <f>SNI!D1569</f>
        <v>Tenaga Kerja</v>
      </c>
      <c r="D2087" s="2047"/>
      <c r="E2087" s="2047"/>
      <c r="F2087" s="2048"/>
      <c r="G2087" s="2049"/>
      <c r="H2087" s="2050"/>
      <c r="I2087" s="2051"/>
      <c r="J2087" s="2051"/>
      <c r="K2087" s="2052"/>
      <c r="L2087" s="2053"/>
      <c r="M2087" s="2054"/>
      <c r="N2087" s="2055"/>
      <c r="O2087" s="2056"/>
      <c r="P2087" s="1969"/>
      <c r="Q2087" s="1953"/>
      <c r="R2087" s="1954"/>
      <c r="S2087" s="1954"/>
      <c r="T2087" s="1969"/>
      <c r="U2087" s="2060"/>
      <c r="Z2087" s="1956"/>
      <c r="AA2087" s="1956"/>
      <c r="AG2087" s="1836"/>
      <c r="AH2087" s="1836"/>
      <c r="AI2087" s="1837"/>
      <c r="AJ2087" s="1960"/>
    </row>
    <row r="2088" spans="1:36" ht="21.95" customHeight="1" x14ac:dyDescent="0.2">
      <c r="B2088" s="2045"/>
      <c r="C2088" s="2046"/>
      <c r="D2088" s="2047" t="str">
        <f>SNI!E1569</f>
        <v>Tukang listrik</v>
      </c>
      <c r="E2088" s="2047"/>
      <c r="F2088" s="2048"/>
      <c r="G2088" s="2049">
        <f>SNI!H1569</f>
        <v>0.1</v>
      </c>
      <c r="H2088" s="2050" t="str">
        <f>SNI!G1569</f>
        <v>OH</v>
      </c>
      <c r="I2088" s="2051" t="str">
        <f>SNI!M1569</f>
        <v>WNI</v>
      </c>
      <c r="J2088" s="2051"/>
      <c r="K2088" s="2052">
        <f>SNI!L1569</f>
        <v>1</v>
      </c>
      <c r="L2088" s="2053"/>
      <c r="M2088" s="2054"/>
      <c r="N2088" s="2055">
        <f>SNI!I1569</f>
        <v>90000</v>
      </c>
      <c r="O2088" s="2056"/>
      <c r="P2088" s="1969">
        <f t="shared" si="1435"/>
        <v>9000</v>
      </c>
      <c r="Q2088" s="1953"/>
      <c r="R2088" s="1954"/>
      <c r="S2088" s="1954">
        <f t="shared" si="1436"/>
        <v>9000</v>
      </c>
      <c r="T2088" s="1969">
        <f t="shared" si="1437"/>
        <v>0</v>
      </c>
      <c r="U2088" s="2060"/>
      <c r="Z2088" s="1956"/>
      <c r="AA2088" s="1956"/>
      <c r="AG2088" s="1836"/>
      <c r="AH2088" s="1836"/>
      <c r="AI2088" s="1837"/>
      <c r="AJ2088" s="1960"/>
    </row>
    <row r="2089" spans="1:36" ht="21.95" customHeight="1" x14ac:dyDescent="0.2">
      <c r="B2089" s="2045"/>
      <c r="C2089" s="2046"/>
      <c r="D2089" s="2047" t="str">
        <f>SNI!E1570</f>
        <v>Mandor</v>
      </c>
      <c r="E2089" s="2047"/>
      <c r="F2089" s="2048"/>
      <c r="G2089" s="2049">
        <f>SNI!H1570</f>
        <v>0.01</v>
      </c>
      <c r="H2089" s="2050" t="str">
        <f>SNI!G1570</f>
        <v>OH</v>
      </c>
      <c r="I2089" s="2051" t="str">
        <f>SNI!M1570</f>
        <v>WNI</v>
      </c>
      <c r="J2089" s="2051"/>
      <c r="K2089" s="2052">
        <f>SNI!L1570</f>
        <v>1</v>
      </c>
      <c r="L2089" s="2053"/>
      <c r="M2089" s="2054"/>
      <c r="N2089" s="2055">
        <f>SNI!I1570</f>
        <v>90000</v>
      </c>
      <c r="O2089" s="2056"/>
      <c r="P2089" s="1969">
        <f t="shared" si="1435"/>
        <v>900</v>
      </c>
      <c r="Q2089" s="1953"/>
      <c r="R2089" s="1954"/>
      <c r="S2089" s="1954">
        <f t="shared" si="1436"/>
        <v>900</v>
      </c>
      <c r="T2089" s="1969">
        <f t="shared" si="1437"/>
        <v>0</v>
      </c>
      <c r="U2089" s="2060"/>
      <c r="Z2089" s="1956"/>
      <c r="AA2089" s="1956"/>
      <c r="AG2089" s="1836"/>
      <c r="AH2089" s="1836"/>
      <c r="AI2089" s="1837"/>
      <c r="AJ2089" s="1960"/>
    </row>
    <row r="2090" spans="1:36" s="1957" customFormat="1" ht="21.95" customHeight="1" x14ac:dyDescent="0.2">
      <c r="A2090" s="1942"/>
      <c r="B2090" s="1970"/>
      <c r="C2090" s="1971"/>
      <c r="D2090" s="1972"/>
      <c r="E2090" s="1973"/>
      <c r="F2090" s="1974" t="s">
        <v>556</v>
      </c>
      <c r="G2090" s="1975">
        <f>B2083</f>
        <v>11</v>
      </c>
      <c r="H2090" s="1976"/>
      <c r="I2090" s="1977"/>
      <c r="J2090" s="1977"/>
      <c r="K2090" s="1978"/>
      <c r="L2090" s="1979"/>
      <c r="M2090" s="1980"/>
      <c r="N2090" s="1981"/>
      <c r="O2090" s="1982"/>
      <c r="P2090" s="1983">
        <f>SUM(P2085:P2089)</f>
        <v>72675</v>
      </c>
      <c r="Q2090" s="1984"/>
      <c r="R2090" s="1985"/>
      <c r="S2090" s="1983">
        <f t="shared" ref="S2090" si="1438">SUM(S2085:S2089)</f>
        <v>35358.75</v>
      </c>
      <c r="T2090" s="1983">
        <f t="shared" ref="T2090" si="1439">SUM(T2085:T2089)</f>
        <v>37316.25</v>
      </c>
      <c r="U2090" s="1986"/>
      <c r="V2090" s="1848"/>
      <c r="W2090" s="1848"/>
      <c r="X2090" s="1848"/>
      <c r="Y2090" s="1848"/>
      <c r="Z2090" s="1956"/>
      <c r="AA2090" s="1956"/>
      <c r="AF2090" s="1958"/>
      <c r="AG2090" s="1958"/>
      <c r="AH2090" s="1958"/>
      <c r="AI2090" s="1959"/>
      <c r="AJ2090" s="1960"/>
    </row>
    <row r="2091" spans="1:36" ht="21.95" customHeight="1" x14ac:dyDescent="0.2">
      <c r="A2091" s="1833">
        <f>satpek!B99</f>
        <v>80</v>
      </c>
      <c r="B2091" s="1943">
        <f>B2083+1</f>
        <v>12</v>
      </c>
      <c r="C2091" s="1937"/>
      <c r="D2091" s="1944" t="str">
        <f>VLOOKUP($A2091,satpek!$B$20:$N$144,2,0)</f>
        <v>Memasang stop kontak outlet Data</v>
      </c>
      <c r="E2091" s="1944"/>
      <c r="F2091" s="2004"/>
      <c r="G2091" s="1945">
        <f>'[3]B.VOL RAB'!Q642</f>
        <v>8</v>
      </c>
      <c r="H2091" s="1946" t="str">
        <f>VLOOKUP($A2091,satpek!$B$20:$N$144,7,0)</f>
        <v>bh</v>
      </c>
      <c r="I2091" s="1947"/>
      <c r="J2091" s="1947"/>
      <c r="K2091" s="1948"/>
      <c r="L2091" s="1949"/>
      <c r="M2091" s="1950" t="str">
        <f>VLOOKUP($A2091,satpek!$B$20:$N$144,5,0)</f>
        <v>An. Dihitung</v>
      </c>
      <c r="N2091" s="1951">
        <f>VLOOKUP($A2091,satpek!$B$20:$N$144,6,0)</f>
        <v>136278</v>
      </c>
      <c r="O2091" s="1938"/>
      <c r="P2091" s="1952">
        <f t="shared" si="1351"/>
        <v>1090224</v>
      </c>
      <c r="Q2091" s="1953">
        <f>VLOOKUP($A2091,satpek!$B$20:$L$138,8,0)</f>
        <v>0.45435323383084575</v>
      </c>
      <c r="R2091" s="1954">
        <f>VLOOKUP($A2091,satpek!$B$20:$L$138,9,0)</f>
        <v>54795</v>
      </c>
      <c r="S2091" s="1954">
        <f>VLOOKUP($A2091,satpek!$B$20:$L$138,10,0)</f>
        <v>61918.35</v>
      </c>
      <c r="T2091" s="1952">
        <f t="shared" si="1352"/>
        <v>495346.8</v>
      </c>
      <c r="U2091" s="1955"/>
      <c r="X2091" s="1848">
        <f>P2098</f>
        <v>120600</v>
      </c>
      <c r="Y2091" s="1848">
        <f>S2098</f>
        <v>54794.999999999993</v>
      </c>
      <c r="Z2091" s="1956">
        <v>8</v>
      </c>
      <c r="AA2091" s="1956">
        <f t="shared" si="1232"/>
        <v>0</v>
      </c>
      <c r="AB2091" s="1836" t="s">
        <v>1879</v>
      </c>
      <c r="AG2091" s="1836"/>
      <c r="AH2091" s="1836"/>
      <c r="AI2091" s="1837">
        <v>135905.1</v>
      </c>
      <c r="AJ2091" s="1960">
        <f t="shared" si="1233"/>
        <v>-372.89999999999418</v>
      </c>
    </row>
    <row r="2092" spans="1:36" ht="21.95" customHeight="1" x14ac:dyDescent="0.2">
      <c r="B2092" s="2045"/>
      <c r="C2092" s="2046" t="str">
        <f>SNI!D1586</f>
        <v>Bahan</v>
      </c>
      <c r="D2092" s="2047"/>
      <c r="E2092" s="2047"/>
      <c r="F2092" s="2048"/>
      <c r="G2092" s="2049"/>
      <c r="H2092" s="2050"/>
      <c r="I2092" s="2051"/>
      <c r="J2092" s="2051"/>
      <c r="K2092" s="2052"/>
      <c r="L2092" s="2053"/>
      <c r="M2092" s="2054"/>
      <c r="N2092" s="2055"/>
      <c r="O2092" s="2056"/>
      <c r="P2092" s="2057"/>
      <c r="Q2092" s="2058"/>
      <c r="R2092" s="2059"/>
      <c r="S2092" s="2059"/>
      <c r="T2092" s="2057"/>
      <c r="U2092" s="2060"/>
      <c r="Z2092" s="1956"/>
      <c r="AA2092" s="1956"/>
      <c r="AG2092" s="1836"/>
      <c r="AH2092" s="1836"/>
      <c r="AI2092" s="1837"/>
      <c r="AJ2092" s="1960"/>
    </row>
    <row r="2093" spans="1:36" ht="21.95" customHeight="1" x14ac:dyDescent="0.2">
      <c r="B2093" s="2045"/>
      <c r="C2093" s="2046"/>
      <c r="D2093" s="2047" t="str">
        <f>SNI!E1586</f>
        <v>Stop kontak Data</v>
      </c>
      <c r="E2093" s="2047"/>
      <c r="F2093" s="2048"/>
      <c r="G2093" s="2049">
        <f>SNI!H1586</f>
        <v>1</v>
      </c>
      <c r="H2093" s="2050" t="str">
        <f>SNI!G1586</f>
        <v>bh</v>
      </c>
      <c r="I2093" s="2051"/>
      <c r="J2093" s="2051"/>
      <c r="K2093" s="2052">
        <f>SNI!L1586</f>
        <v>0.28499999999999998</v>
      </c>
      <c r="L2093" s="2053"/>
      <c r="M2093" s="2054"/>
      <c r="N2093" s="2055">
        <f>SNI!I1586</f>
        <v>82000</v>
      </c>
      <c r="O2093" s="2056"/>
      <c r="P2093" s="1969">
        <f t="shared" ref="P2093" si="1440">N2093*G2093</f>
        <v>82000</v>
      </c>
      <c r="Q2093" s="1953"/>
      <c r="R2093" s="1954"/>
      <c r="S2093" s="1954">
        <f t="shared" ref="S2093" si="1441">P2093*K2093</f>
        <v>23369.999999999996</v>
      </c>
      <c r="T2093" s="1969">
        <f t="shared" ref="T2093" si="1442">P2093-S2093</f>
        <v>58630</v>
      </c>
      <c r="U2093" s="2060"/>
      <c r="Z2093" s="1956"/>
      <c r="AA2093" s="1956"/>
      <c r="AG2093" s="1836"/>
      <c r="AH2093" s="1836"/>
      <c r="AI2093" s="1837"/>
      <c r="AJ2093" s="1960"/>
    </row>
    <row r="2094" spans="1:36" ht="21.95" customHeight="1" x14ac:dyDescent="0.2">
      <c r="B2094" s="2045"/>
      <c r="C2094" s="2046"/>
      <c r="D2094" s="2047" t="str">
        <f>SNI!E1587</f>
        <v>aksesoris 35%</v>
      </c>
      <c r="E2094" s="2047"/>
      <c r="F2094" s="2048"/>
      <c r="G2094" s="2049">
        <f>SNI!H1587</f>
        <v>1</v>
      </c>
      <c r="H2094" s="2050" t="str">
        <f>SNI!G1587</f>
        <v xml:space="preserve">ls </v>
      </c>
      <c r="I2094" s="2051"/>
      <c r="J2094" s="2051"/>
      <c r="K2094" s="2052">
        <f>SNI!L1587</f>
        <v>0.75</v>
      </c>
      <c r="L2094" s="2053"/>
      <c r="M2094" s="2054"/>
      <c r="N2094" s="2055">
        <f>SNI!I1587</f>
        <v>28699.999999999996</v>
      </c>
      <c r="O2094" s="2056"/>
      <c r="P2094" s="1969">
        <f t="shared" ref="P2094:P2097" si="1443">N2094*G2094</f>
        <v>28699.999999999996</v>
      </c>
      <c r="Q2094" s="1953"/>
      <c r="R2094" s="1954"/>
      <c r="S2094" s="1954">
        <f t="shared" ref="S2094:S2097" si="1444">P2094*K2094</f>
        <v>21524.999999999996</v>
      </c>
      <c r="T2094" s="1969">
        <f t="shared" ref="T2094:T2097" si="1445">P2094-S2094</f>
        <v>7175</v>
      </c>
      <c r="U2094" s="2060"/>
      <c r="Z2094" s="1956"/>
      <c r="AA2094" s="1956"/>
      <c r="AG2094" s="1836"/>
      <c r="AH2094" s="1836"/>
      <c r="AI2094" s="1837"/>
      <c r="AJ2094" s="1960"/>
    </row>
    <row r="2095" spans="1:36" ht="21.95" customHeight="1" x14ac:dyDescent="0.2">
      <c r="B2095" s="2045"/>
      <c r="C2095" s="2046" t="str">
        <f>SNI!D1589</f>
        <v>Tenaga Kerja</v>
      </c>
      <c r="D2095" s="2047"/>
      <c r="E2095" s="2047"/>
      <c r="F2095" s="2048"/>
      <c r="G2095" s="2049"/>
      <c r="H2095" s="2050"/>
      <c r="I2095" s="2051"/>
      <c r="J2095" s="2051"/>
      <c r="K2095" s="2052"/>
      <c r="L2095" s="2053"/>
      <c r="M2095" s="2054"/>
      <c r="N2095" s="2055"/>
      <c r="O2095" s="2056"/>
      <c r="P2095" s="1969"/>
      <c r="Q2095" s="1953"/>
      <c r="R2095" s="1954"/>
      <c r="S2095" s="1954"/>
      <c r="T2095" s="1969"/>
      <c r="U2095" s="2060"/>
      <c r="Z2095" s="1956"/>
      <c r="AA2095" s="1956"/>
      <c r="AG2095" s="1836"/>
      <c r="AH2095" s="1836"/>
      <c r="AI2095" s="1837"/>
      <c r="AJ2095" s="1960"/>
    </row>
    <row r="2096" spans="1:36" ht="21.95" customHeight="1" x14ac:dyDescent="0.2">
      <c r="B2096" s="2045"/>
      <c r="C2096" s="2046"/>
      <c r="D2096" s="2047" t="str">
        <f>SNI!E1589</f>
        <v>Tukang listrik</v>
      </c>
      <c r="E2096" s="2047"/>
      <c r="F2096" s="2048"/>
      <c r="G2096" s="2049">
        <f>SNI!H1589</f>
        <v>0.1</v>
      </c>
      <c r="H2096" s="2050" t="str">
        <f>SNI!G1589</f>
        <v>OH</v>
      </c>
      <c r="I2096" s="2051" t="str">
        <f>SNI!M1589</f>
        <v>WNI</v>
      </c>
      <c r="J2096" s="2051"/>
      <c r="K2096" s="2052">
        <f>SNI!L1589</f>
        <v>1</v>
      </c>
      <c r="L2096" s="2053"/>
      <c r="M2096" s="2054"/>
      <c r="N2096" s="2055">
        <f>SNI!I1589</f>
        <v>90000</v>
      </c>
      <c r="O2096" s="2056"/>
      <c r="P2096" s="1969">
        <f t="shared" si="1443"/>
        <v>9000</v>
      </c>
      <c r="Q2096" s="1953"/>
      <c r="R2096" s="1954"/>
      <c r="S2096" s="1954">
        <f t="shared" si="1444"/>
        <v>9000</v>
      </c>
      <c r="T2096" s="1969">
        <f t="shared" si="1445"/>
        <v>0</v>
      </c>
      <c r="U2096" s="2060"/>
      <c r="Z2096" s="1956"/>
      <c r="AA2096" s="1956"/>
      <c r="AG2096" s="1836"/>
      <c r="AH2096" s="1836"/>
      <c r="AI2096" s="1837"/>
      <c r="AJ2096" s="1960"/>
    </row>
    <row r="2097" spans="1:36" ht="21.95" customHeight="1" x14ac:dyDescent="0.2">
      <c r="B2097" s="2045"/>
      <c r="C2097" s="2046"/>
      <c r="D2097" s="2047" t="str">
        <f>SNI!E1590</f>
        <v>Mandor</v>
      </c>
      <c r="E2097" s="2047"/>
      <c r="F2097" s="2048"/>
      <c r="G2097" s="2049">
        <f>SNI!H1590</f>
        <v>0.01</v>
      </c>
      <c r="H2097" s="2050" t="str">
        <f>SNI!G1590</f>
        <v>OH</v>
      </c>
      <c r="I2097" s="2051" t="str">
        <f>SNI!M1590</f>
        <v>WNI</v>
      </c>
      <c r="J2097" s="2051"/>
      <c r="K2097" s="2052">
        <f>SNI!L1590</f>
        <v>1</v>
      </c>
      <c r="L2097" s="2053"/>
      <c r="M2097" s="2054"/>
      <c r="N2097" s="2055">
        <f>SNI!I1590</f>
        <v>90000</v>
      </c>
      <c r="O2097" s="2056"/>
      <c r="P2097" s="1969">
        <f t="shared" si="1443"/>
        <v>900</v>
      </c>
      <c r="Q2097" s="1953"/>
      <c r="R2097" s="1954"/>
      <c r="S2097" s="1954">
        <f t="shared" si="1444"/>
        <v>900</v>
      </c>
      <c r="T2097" s="1969">
        <f t="shared" si="1445"/>
        <v>0</v>
      </c>
      <c r="U2097" s="2060"/>
      <c r="Z2097" s="1956"/>
      <c r="AA2097" s="1956"/>
      <c r="AG2097" s="1836"/>
      <c r="AH2097" s="1836"/>
      <c r="AI2097" s="1837"/>
      <c r="AJ2097" s="1960"/>
    </row>
    <row r="2098" spans="1:36" s="1957" customFormat="1" ht="21.95" customHeight="1" x14ac:dyDescent="0.2">
      <c r="A2098" s="1942"/>
      <c r="B2098" s="1970"/>
      <c r="C2098" s="1971"/>
      <c r="D2098" s="1972"/>
      <c r="E2098" s="1973"/>
      <c r="F2098" s="1974" t="s">
        <v>556</v>
      </c>
      <c r="G2098" s="1975">
        <f>B2091</f>
        <v>12</v>
      </c>
      <c r="H2098" s="1976"/>
      <c r="I2098" s="1977"/>
      <c r="J2098" s="1977"/>
      <c r="K2098" s="1978"/>
      <c r="L2098" s="1979"/>
      <c r="M2098" s="1980"/>
      <c r="N2098" s="1981"/>
      <c r="O2098" s="1982"/>
      <c r="P2098" s="1983">
        <f>SUM(P2093:P2097)</f>
        <v>120600</v>
      </c>
      <c r="Q2098" s="1984"/>
      <c r="R2098" s="1985"/>
      <c r="S2098" s="1983">
        <f t="shared" ref="S2098" si="1446">SUM(S2093:S2097)</f>
        <v>54794.999999999993</v>
      </c>
      <c r="T2098" s="1983">
        <f t="shared" ref="T2098" si="1447">SUM(T2093:T2097)</f>
        <v>65805</v>
      </c>
      <c r="U2098" s="1986"/>
      <c r="V2098" s="1848"/>
      <c r="W2098" s="1848"/>
      <c r="X2098" s="1848"/>
      <c r="Y2098" s="1848"/>
      <c r="Z2098" s="1956"/>
      <c r="AA2098" s="1956"/>
      <c r="AF2098" s="1958"/>
      <c r="AG2098" s="1958"/>
      <c r="AH2098" s="1958"/>
      <c r="AI2098" s="1959"/>
      <c r="AJ2098" s="1960"/>
    </row>
    <row r="2099" spans="1:36" ht="21.95" customHeight="1" x14ac:dyDescent="0.2">
      <c r="A2099" s="1833">
        <f>satpek!B100</f>
        <v>81</v>
      </c>
      <c r="B2099" s="1943">
        <f>B2091+1</f>
        <v>13</v>
      </c>
      <c r="C2099" s="1937"/>
      <c r="D2099" s="1944" t="str">
        <f>VLOOKUP($A2099,satpek!$B$20:$N$144,2,0)</f>
        <v>Memasang downlight LED 10 watt tipe inbow</v>
      </c>
      <c r="E2099" s="1944"/>
      <c r="F2099" s="2004"/>
      <c r="G2099" s="1945">
        <f>'[3]B.VOL RAB'!Q643</f>
        <v>12</v>
      </c>
      <c r="H2099" s="1946" t="str">
        <f>VLOOKUP($A2099,satpek!$B$20:$N$144,7,0)</f>
        <v>ttk</v>
      </c>
      <c r="I2099" s="1947"/>
      <c r="J2099" s="1947"/>
      <c r="K2099" s="1948"/>
      <c r="L2099" s="1949"/>
      <c r="M2099" s="1950" t="str">
        <f>VLOOKUP($A2099,satpek!$B$20:$N$144,5,0)</f>
        <v>An. Dihitung</v>
      </c>
      <c r="N2099" s="1951">
        <f>VLOOKUP($A2099,satpek!$B$20:$N$144,6,0)</f>
        <v>124333.9</v>
      </c>
      <c r="O2099" s="1938"/>
      <c r="P2099" s="1952">
        <f t="shared" si="1351"/>
        <v>1492006.8</v>
      </c>
      <c r="Q2099" s="1953">
        <f>VLOOKUP($A2099,satpek!$B$20:$L$138,8,0)</f>
        <v>0.71568663091884033</v>
      </c>
      <c r="R2099" s="1954">
        <f>VLOOKUP($A2099,satpek!$B$20:$L$138,9,0)</f>
        <v>78747</v>
      </c>
      <c r="S2099" s="1954">
        <f>VLOOKUP($A2099,satpek!$B$20:$L$138,10,0)</f>
        <v>88984.11</v>
      </c>
      <c r="T2099" s="1952">
        <f t="shared" si="1352"/>
        <v>1067809.32</v>
      </c>
      <c r="U2099" s="1955"/>
      <c r="X2099" s="1848">
        <f>P2107</f>
        <v>110030</v>
      </c>
      <c r="Y2099" s="1848">
        <f>S2107</f>
        <v>78747</v>
      </c>
      <c r="Z2099" s="1956">
        <v>12</v>
      </c>
      <c r="AA2099" s="1956">
        <f t="shared" si="1232"/>
        <v>0</v>
      </c>
      <c r="AB2099" s="1836" t="s">
        <v>1880</v>
      </c>
      <c r="AG2099" s="1836"/>
      <c r="AH2099" s="1836"/>
      <c r="AI2099" s="1837">
        <v>123237.8</v>
      </c>
      <c r="AJ2099" s="1960">
        <f t="shared" si="1233"/>
        <v>-1096.0999999999913</v>
      </c>
    </row>
    <row r="2100" spans="1:36" ht="21.95" customHeight="1" x14ac:dyDescent="0.2">
      <c r="B2100" s="2045"/>
      <c r="C2100" s="2046" t="str">
        <f>SNI!D1606</f>
        <v>Bahan</v>
      </c>
      <c r="D2100" s="2047"/>
      <c r="E2100" s="2047"/>
      <c r="F2100" s="2048"/>
      <c r="G2100" s="2049"/>
      <c r="H2100" s="2050"/>
      <c r="I2100" s="2051"/>
      <c r="J2100" s="2051"/>
      <c r="K2100" s="2052"/>
      <c r="L2100" s="2053"/>
      <c r="M2100" s="2054"/>
      <c r="N2100" s="2055"/>
      <c r="O2100" s="2056"/>
      <c r="P2100" s="2057"/>
      <c r="Q2100" s="2058"/>
      <c r="R2100" s="2059"/>
      <c r="S2100" s="2059"/>
      <c r="T2100" s="2057"/>
      <c r="U2100" s="2060"/>
      <c r="Z2100" s="1956"/>
      <c r="AA2100" s="1956"/>
      <c r="AG2100" s="1836"/>
      <c r="AH2100" s="1836"/>
      <c r="AI2100" s="1837"/>
      <c r="AJ2100" s="1960"/>
    </row>
    <row r="2101" spans="1:36" ht="21.95" customHeight="1" x14ac:dyDescent="0.2">
      <c r="B2101" s="2045"/>
      <c r="C2101" s="2046"/>
      <c r="D2101" s="2047" t="str">
        <f>SNI!E1606</f>
        <v>Lampu LED 10 watt</v>
      </c>
      <c r="E2101" s="2047"/>
      <c r="F2101" s="2048"/>
      <c r="G2101" s="2049">
        <f>SNI!H1606</f>
        <v>1</v>
      </c>
      <c r="H2101" s="2050" t="str">
        <f>SNI!G1606</f>
        <v>bh</v>
      </c>
      <c r="I2101" s="2051"/>
      <c r="J2101" s="2051"/>
      <c r="K2101" s="2052">
        <f>SNI!L1606</f>
        <v>0.59060000000000001</v>
      </c>
      <c r="L2101" s="2053"/>
      <c r="M2101" s="2054"/>
      <c r="N2101" s="2055">
        <f>SNI!I1606</f>
        <v>70000</v>
      </c>
      <c r="O2101" s="2056"/>
      <c r="P2101" s="1969">
        <f t="shared" ref="P2101" si="1448">N2101*G2101</f>
        <v>70000</v>
      </c>
      <c r="Q2101" s="1953"/>
      <c r="R2101" s="1954"/>
      <c r="S2101" s="1954">
        <f t="shared" ref="S2101" si="1449">P2101*K2101</f>
        <v>41342</v>
      </c>
      <c r="T2101" s="1969">
        <f t="shared" ref="T2101" si="1450">P2101-S2101</f>
        <v>28658</v>
      </c>
      <c r="U2101" s="2060"/>
      <c r="Z2101" s="1956"/>
      <c r="AA2101" s="1956"/>
      <c r="AG2101" s="1836"/>
      <c r="AH2101" s="1836"/>
      <c r="AI2101" s="1837"/>
      <c r="AJ2101" s="1960"/>
    </row>
    <row r="2102" spans="1:36" ht="21.95" customHeight="1" x14ac:dyDescent="0.2">
      <c r="B2102" s="2045"/>
      <c r="C2102" s="2046"/>
      <c r="D2102" s="2047" t="str">
        <f>SNI!E1607</f>
        <v>aksesoris 15%</v>
      </c>
      <c r="E2102" s="2047"/>
      <c r="F2102" s="2048"/>
      <c r="G2102" s="2049">
        <f>SNI!H1607</f>
        <v>1</v>
      </c>
      <c r="H2102" s="2050" t="str">
        <f>SNI!G1607</f>
        <v xml:space="preserve">ls </v>
      </c>
      <c r="I2102" s="2051"/>
      <c r="J2102" s="2051"/>
      <c r="K2102" s="2052">
        <f>SNI!L1607</f>
        <v>0.75</v>
      </c>
      <c r="L2102" s="2053"/>
      <c r="M2102" s="2054"/>
      <c r="N2102" s="2055">
        <f>SNI!I1607</f>
        <v>10500</v>
      </c>
      <c r="O2102" s="2056"/>
      <c r="P2102" s="1969">
        <f t="shared" ref="P2102:P2106" si="1451">N2102*G2102</f>
        <v>10500</v>
      </c>
      <c r="Q2102" s="1953"/>
      <c r="R2102" s="1954"/>
      <c r="S2102" s="1954">
        <f t="shared" ref="S2102:S2106" si="1452">P2102*K2102</f>
        <v>7875</v>
      </c>
      <c r="T2102" s="1969">
        <f t="shared" ref="T2102:T2106" si="1453">P2102-S2102</f>
        <v>2625</v>
      </c>
      <c r="U2102" s="2060"/>
      <c r="Z2102" s="1956"/>
      <c r="AA2102" s="1956"/>
      <c r="AG2102" s="1836"/>
      <c r="AH2102" s="1836"/>
      <c r="AI2102" s="1837"/>
      <c r="AJ2102" s="1960"/>
    </row>
    <row r="2103" spans="1:36" ht="21.95" customHeight="1" x14ac:dyDescent="0.2">
      <c r="B2103" s="2045"/>
      <c r="C2103" s="2046" t="str">
        <f>SNI!D1609</f>
        <v>Tenaga Kerja</v>
      </c>
      <c r="D2103" s="2047"/>
      <c r="E2103" s="2047"/>
      <c r="F2103" s="2048"/>
      <c r="G2103" s="2049"/>
      <c r="H2103" s="2050"/>
      <c r="I2103" s="2051"/>
      <c r="J2103" s="2051"/>
      <c r="K2103" s="2052"/>
      <c r="L2103" s="2053"/>
      <c r="M2103" s="2054"/>
      <c r="N2103" s="2055"/>
      <c r="O2103" s="2056"/>
      <c r="P2103" s="1969"/>
      <c r="Q2103" s="1953"/>
      <c r="R2103" s="1954"/>
      <c r="S2103" s="1954"/>
      <c r="T2103" s="1969"/>
      <c r="U2103" s="2060"/>
      <c r="Z2103" s="1956"/>
      <c r="AA2103" s="1956"/>
      <c r="AG2103" s="1836"/>
      <c r="AH2103" s="1836"/>
      <c r="AI2103" s="1837"/>
      <c r="AJ2103" s="1960"/>
    </row>
    <row r="2104" spans="1:36" ht="21.95" customHeight="1" x14ac:dyDescent="0.2">
      <c r="B2104" s="2045"/>
      <c r="C2104" s="2046"/>
      <c r="D2104" s="2047" t="str">
        <f>SNI!E1609</f>
        <v>Pekerja</v>
      </c>
      <c r="E2104" s="2047"/>
      <c r="F2104" s="2048"/>
      <c r="G2104" s="2049">
        <f>SNI!H1609</f>
        <v>0.1</v>
      </c>
      <c r="H2104" s="2050" t="str">
        <f>SNI!G1609</f>
        <v>OH</v>
      </c>
      <c r="I2104" s="2051" t="str">
        <f>SNI!M1609</f>
        <v>WNI</v>
      </c>
      <c r="J2104" s="2051"/>
      <c r="K2104" s="2052">
        <f>SNI!L1609</f>
        <v>1</v>
      </c>
      <c r="L2104" s="2053"/>
      <c r="M2104" s="2054"/>
      <c r="N2104" s="2055">
        <f>SNI!I1609</f>
        <v>88300</v>
      </c>
      <c r="O2104" s="2056"/>
      <c r="P2104" s="1969">
        <f t="shared" si="1451"/>
        <v>8830</v>
      </c>
      <c r="Q2104" s="1953"/>
      <c r="R2104" s="1954"/>
      <c r="S2104" s="1954">
        <f t="shared" si="1452"/>
        <v>8830</v>
      </c>
      <c r="T2104" s="1969">
        <f t="shared" si="1453"/>
        <v>0</v>
      </c>
      <c r="U2104" s="2060"/>
      <c r="Z2104" s="1956"/>
      <c r="AA2104" s="1956"/>
      <c r="AG2104" s="1836"/>
      <c r="AH2104" s="1836"/>
      <c r="AI2104" s="1837"/>
      <c r="AJ2104" s="1960"/>
    </row>
    <row r="2105" spans="1:36" ht="21.95" customHeight="1" x14ac:dyDescent="0.2">
      <c r="B2105" s="2045"/>
      <c r="C2105" s="2046"/>
      <c r="D2105" s="2047" t="str">
        <f>SNI!E1610</f>
        <v>Tukang listrik</v>
      </c>
      <c r="E2105" s="2047"/>
      <c r="F2105" s="2048"/>
      <c r="G2105" s="2049">
        <f>SNI!H1610</f>
        <v>0.18</v>
      </c>
      <c r="H2105" s="2050" t="str">
        <f>SNI!G1610</f>
        <v>OH</v>
      </c>
      <c r="I2105" s="2051" t="str">
        <f>SNI!M1610</f>
        <v>WNI</v>
      </c>
      <c r="J2105" s="2051"/>
      <c r="K2105" s="2052">
        <f>SNI!L1610</f>
        <v>1</v>
      </c>
      <c r="L2105" s="2053"/>
      <c r="M2105" s="2054"/>
      <c r="N2105" s="2055">
        <f>SNI!I1610</f>
        <v>90000</v>
      </c>
      <c r="O2105" s="2056"/>
      <c r="P2105" s="1969">
        <f t="shared" si="1451"/>
        <v>16200</v>
      </c>
      <c r="Q2105" s="1953"/>
      <c r="R2105" s="1954"/>
      <c r="S2105" s="1954">
        <f t="shared" si="1452"/>
        <v>16200</v>
      </c>
      <c r="T2105" s="1969">
        <f t="shared" si="1453"/>
        <v>0</v>
      </c>
      <c r="U2105" s="2060"/>
      <c r="Z2105" s="1956"/>
      <c r="AA2105" s="1956"/>
      <c r="AG2105" s="1836"/>
      <c r="AH2105" s="1836"/>
      <c r="AI2105" s="1837"/>
      <c r="AJ2105" s="1960"/>
    </row>
    <row r="2106" spans="1:36" ht="21.95" customHeight="1" x14ac:dyDescent="0.2">
      <c r="B2106" s="2045"/>
      <c r="C2106" s="2046"/>
      <c r="D2106" s="2047" t="str">
        <f>SNI!E1611</f>
        <v>Mandor</v>
      </c>
      <c r="E2106" s="2047"/>
      <c r="F2106" s="2048"/>
      <c r="G2106" s="2049">
        <f>SNI!H1611</f>
        <v>0.05</v>
      </c>
      <c r="H2106" s="2050" t="str">
        <f>SNI!G1611</f>
        <v>OH</v>
      </c>
      <c r="I2106" s="2051" t="str">
        <f>SNI!M1611</f>
        <v>WNI</v>
      </c>
      <c r="J2106" s="2051"/>
      <c r="K2106" s="2052">
        <f>SNI!L1611</f>
        <v>1</v>
      </c>
      <c r="L2106" s="2053"/>
      <c r="M2106" s="2054"/>
      <c r="N2106" s="2055">
        <f>SNI!I1611</f>
        <v>90000</v>
      </c>
      <c r="O2106" s="2056"/>
      <c r="P2106" s="1969">
        <f t="shared" si="1451"/>
        <v>4500</v>
      </c>
      <c r="Q2106" s="1953"/>
      <c r="R2106" s="1954"/>
      <c r="S2106" s="1954">
        <f t="shared" si="1452"/>
        <v>4500</v>
      </c>
      <c r="T2106" s="1969">
        <f t="shared" si="1453"/>
        <v>0</v>
      </c>
      <c r="U2106" s="2060"/>
      <c r="Z2106" s="1956"/>
      <c r="AA2106" s="1956"/>
      <c r="AG2106" s="1836"/>
      <c r="AH2106" s="1836"/>
      <c r="AI2106" s="1837"/>
      <c r="AJ2106" s="1960"/>
    </row>
    <row r="2107" spans="1:36" s="1957" customFormat="1" ht="21.95" customHeight="1" x14ac:dyDescent="0.2">
      <c r="A2107" s="1942"/>
      <c r="B2107" s="1970"/>
      <c r="C2107" s="1971"/>
      <c r="D2107" s="1972"/>
      <c r="E2107" s="1973"/>
      <c r="F2107" s="1974" t="s">
        <v>556</v>
      </c>
      <c r="G2107" s="1975">
        <f>B2099</f>
        <v>13</v>
      </c>
      <c r="H2107" s="1976"/>
      <c r="I2107" s="1977"/>
      <c r="J2107" s="1977"/>
      <c r="K2107" s="1978"/>
      <c r="L2107" s="1979"/>
      <c r="M2107" s="1980"/>
      <c r="N2107" s="1981"/>
      <c r="O2107" s="1982"/>
      <c r="P2107" s="1983">
        <f>SUM(P2101:R2106)</f>
        <v>110030</v>
      </c>
      <c r="Q2107" s="1984"/>
      <c r="R2107" s="1985"/>
      <c r="S2107" s="1983">
        <f>SUM(S2101:S2106)</f>
        <v>78747</v>
      </c>
      <c r="T2107" s="1983">
        <f>SUM(T2101:T2106)</f>
        <v>31283</v>
      </c>
      <c r="U2107" s="1986"/>
      <c r="V2107" s="1848"/>
      <c r="W2107" s="1848"/>
      <c r="X2107" s="1848"/>
      <c r="Y2107" s="1848"/>
      <c r="Z2107" s="1956"/>
      <c r="AA2107" s="1956"/>
      <c r="AF2107" s="1958"/>
      <c r="AG2107" s="1958"/>
      <c r="AH2107" s="1958"/>
      <c r="AI2107" s="1959"/>
      <c r="AJ2107" s="1960"/>
    </row>
    <row r="2108" spans="1:36" ht="21.95" customHeight="1" x14ac:dyDescent="0.2">
      <c r="A2108" s="1833">
        <f>satpek!B101</f>
        <v>82</v>
      </c>
      <c r="B2108" s="1943">
        <f>B2099+1</f>
        <v>14</v>
      </c>
      <c r="C2108" s="1937"/>
      <c r="D2108" s="1944" t="str">
        <f>VLOOKUP($A2108,satpek!$B$20:$N$144,2,0)</f>
        <v>Memasang downlight LED 17 watt tipe inbow</v>
      </c>
      <c r="E2108" s="1944"/>
      <c r="F2108" s="2004"/>
      <c r="G2108" s="1945">
        <f>'[3]B.VOL RAB'!Q644</f>
        <v>116</v>
      </c>
      <c r="H2108" s="1946" t="str">
        <f>VLOOKUP($A2108,satpek!$B$20:$N$144,7,0)</f>
        <v>ttk</v>
      </c>
      <c r="I2108" s="1947"/>
      <c r="J2108" s="1947"/>
      <c r="K2108" s="1948"/>
      <c r="L2108" s="1949"/>
      <c r="M2108" s="1950" t="str">
        <f>VLOOKUP($A2108,satpek!$B$20:$N$144,5,0)</f>
        <v>An. Dihitung</v>
      </c>
      <c r="N2108" s="1951">
        <f>VLOOKUP($A2108,satpek!$B$20:$N$144,6,0)</f>
        <v>186709.9</v>
      </c>
      <c r="O2108" s="1938"/>
      <c r="P2108" s="1952">
        <f t="shared" si="1351"/>
        <v>21658348.399999999</v>
      </c>
      <c r="Q2108" s="1953">
        <f>VLOOKUP($A2108,satpek!$B$20:$L$138,8,0)</f>
        <v>0.68084367245657573</v>
      </c>
      <c r="R2108" s="1954">
        <f>VLOOKUP($A2108,satpek!$B$20:$L$138,9,0)</f>
        <v>112495.8</v>
      </c>
      <c r="S2108" s="1954">
        <f>VLOOKUP($A2108,satpek!$B$20:$L$138,10,0)</f>
        <v>127120.254</v>
      </c>
      <c r="T2108" s="1952">
        <f t="shared" si="1352"/>
        <v>14745949.464</v>
      </c>
      <c r="U2108" s="1955"/>
      <c r="X2108" s="1848">
        <f>P2116</f>
        <v>165230</v>
      </c>
      <c r="Y2108" s="1848">
        <f>S2116</f>
        <v>112495.8</v>
      </c>
      <c r="Z2108" s="1956">
        <v>116</v>
      </c>
      <c r="AA2108" s="1956">
        <f t="shared" ref="AA2108:AA2165" si="1454">Z2108-G2108</f>
        <v>0</v>
      </c>
      <c r="AB2108" s="1836" t="s">
        <v>1881</v>
      </c>
      <c r="AG2108" s="1836"/>
      <c r="AH2108" s="1836"/>
      <c r="AI2108" s="1837">
        <v>185613.8</v>
      </c>
      <c r="AJ2108" s="1960">
        <f t="shared" ref="AJ2108:AJ2142" si="1455">AI2108-N2108</f>
        <v>-1096.1000000000058</v>
      </c>
    </row>
    <row r="2109" spans="1:36" ht="21.95" customHeight="1" x14ac:dyDescent="0.2">
      <c r="B2109" s="2045"/>
      <c r="C2109" s="2046" t="str">
        <f>SNI!D1626</f>
        <v>Bahan</v>
      </c>
      <c r="D2109" s="2047"/>
      <c r="E2109" s="2047"/>
      <c r="F2109" s="2048"/>
      <c r="G2109" s="2049"/>
      <c r="H2109" s="2050"/>
      <c r="I2109" s="2051"/>
      <c r="J2109" s="2051"/>
      <c r="K2109" s="2052"/>
      <c r="L2109" s="2053"/>
      <c r="M2109" s="2054"/>
      <c r="N2109" s="2055"/>
      <c r="O2109" s="2056"/>
      <c r="P2109" s="2057"/>
      <c r="Q2109" s="2058"/>
      <c r="R2109" s="2059"/>
      <c r="S2109" s="2059"/>
      <c r="T2109" s="2057"/>
      <c r="U2109" s="2060"/>
      <c r="Z2109" s="1956"/>
      <c r="AA2109" s="1956"/>
      <c r="AG2109" s="1836"/>
      <c r="AH2109" s="1836"/>
      <c r="AI2109" s="1837"/>
      <c r="AJ2109" s="1960"/>
    </row>
    <row r="2110" spans="1:36" ht="21.95" customHeight="1" x14ac:dyDescent="0.2">
      <c r="B2110" s="2045"/>
      <c r="C2110" s="2046"/>
      <c r="D2110" s="2047" t="str">
        <f>SNI!E1626</f>
        <v>Lampu LED 17 watt</v>
      </c>
      <c r="E2110" s="2047"/>
      <c r="F2110" s="2048"/>
      <c r="G2110" s="2049">
        <f>SNI!H1626</f>
        <v>1</v>
      </c>
      <c r="H2110" s="2050" t="str">
        <f>SNI!G1626</f>
        <v>bh</v>
      </c>
      <c r="I2110" s="2051"/>
      <c r="J2110" s="2051"/>
      <c r="K2110" s="2052">
        <f>SNI!L1626</f>
        <v>0.59060000000000001</v>
      </c>
      <c r="L2110" s="2053"/>
      <c r="M2110" s="2054"/>
      <c r="N2110" s="2055">
        <f>SNI!I1626</f>
        <v>118000</v>
      </c>
      <c r="O2110" s="2056"/>
      <c r="P2110" s="1969">
        <f t="shared" ref="P2110" si="1456">N2110*G2110</f>
        <v>118000</v>
      </c>
      <c r="Q2110" s="1953"/>
      <c r="R2110" s="1954"/>
      <c r="S2110" s="1954">
        <f t="shared" ref="S2110" si="1457">P2110*K2110</f>
        <v>69690.8</v>
      </c>
      <c r="T2110" s="1969">
        <f t="shared" ref="T2110" si="1458">P2110-S2110</f>
        <v>48309.2</v>
      </c>
      <c r="U2110" s="2060"/>
      <c r="Z2110" s="1956"/>
      <c r="AA2110" s="1956"/>
      <c r="AG2110" s="1836"/>
      <c r="AH2110" s="1836"/>
      <c r="AI2110" s="1837"/>
      <c r="AJ2110" s="1960"/>
    </row>
    <row r="2111" spans="1:36" ht="21.95" customHeight="1" x14ac:dyDescent="0.2">
      <c r="B2111" s="2045"/>
      <c r="C2111" s="2046"/>
      <c r="D2111" s="2047" t="str">
        <f>SNI!E1627</f>
        <v>aksesoris 15%</v>
      </c>
      <c r="E2111" s="2047"/>
      <c r="F2111" s="2048"/>
      <c r="G2111" s="2049">
        <f>SNI!H1627</f>
        <v>1</v>
      </c>
      <c r="H2111" s="2050" t="str">
        <f>SNI!G1627</f>
        <v xml:space="preserve">ls </v>
      </c>
      <c r="I2111" s="2051"/>
      <c r="J2111" s="2051"/>
      <c r="K2111" s="2052">
        <f>SNI!L1627</f>
        <v>0.75</v>
      </c>
      <c r="L2111" s="2053"/>
      <c r="M2111" s="2054"/>
      <c r="N2111" s="2055">
        <f>SNI!I1627</f>
        <v>17700</v>
      </c>
      <c r="O2111" s="2056"/>
      <c r="P2111" s="1969">
        <f t="shared" ref="P2111:P2115" si="1459">N2111*G2111</f>
        <v>17700</v>
      </c>
      <c r="Q2111" s="1953"/>
      <c r="R2111" s="1954"/>
      <c r="S2111" s="1954">
        <f t="shared" ref="S2111:S2115" si="1460">P2111*K2111</f>
        <v>13275</v>
      </c>
      <c r="T2111" s="1969">
        <f t="shared" ref="T2111:T2115" si="1461">P2111-S2111</f>
        <v>4425</v>
      </c>
      <c r="U2111" s="2060"/>
      <c r="Z2111" s="1956"/>
      <c r="AA2111" s="1956"/>
      <c r="AG2111" s="1836"/>
      <c r="AH2111" s="1836"/>
      <c r="AI2111" s="1837"/>
      <c r="AJ2111" s="1960"/>
    </row>
    <row r="2112" spans="1:36" ht="21.95" customHeight="1" x14ac:dyDescent="0.2">
      <c r="B2112" s="2045"/>
      <c r="C2112" s="2046" t="str">
        <f>SNI!D1629</f>
        <v>Tenaga Kerja</v>
      </c>
      <c r="D2112" s="2047"/>
      <c r="E2112" s="2047"/>
      <c r="F2112" s="2048"/>
      <c r="G2112" s="2049"/>
      <c r="H2112" s="2050"/>
      <c r="I2112" s="2051"/>
      <c r="J2112" s="2051"/>
      <c r="K2112" s="2052"/>
      <c r="L2112" s="2053"/>
      <c r="M2112" s="2054"/>
      <c r="N2112" s="2055"/>
      <c r="O2112" s="2056"/>
      <c r="P2112" s="1969"/>
      <c r="Q2112" s="1953"/>
      <c r="R2112" s="1954"/>
      <c r="S2112" s="1954"/>
      <c r="T2112" s="1969"/>
      <c r="U2112" s="2060"/>
      <c r="Z2112" s="1956"/>
      <c r="AA2112" s="1956"/>
      <c r="AG2112" s="1836"/>
      <c r="AH2112" s="1836"/>
      <c r="AI2112" s="1837"/>
      <c r="AJ2112" s="1960"/>
    </row>
    <row r="2113" spans="1:36" ht="21.95" customHeight="1" x14ac:dyDescent="0.2">
      <c r="B2113" s="2045"/>
      <c r="C2113" s="2046"/>
      <c r="D2113" s="2047" t="str">
        <f>SNI!E1629</f>
        <v>Pekerja</v>
      </c>
      <c r="E2113" s="2047"/>
      <c r="F2113" s="2048"/>
      <c r="G2113" s="2049">
        <f>SNI!H1629</f>
        <v>0.1</v>
      </c>
      <c r="H2113" s="2050" t="str">
        <f>SNI!G1629</f>
        <v>OH</v>
      </c>
      <c r="I2113" s="2051" t="str">
        <f>SNI!M1629</f>
        <v>WNI</v>
      </c>
      <c r="J2113" s="2051"/>
      <c r="K2113" s="2052">
        <f>SNI!L1629</f>
        <v>1</v>
      </c>
      <c r="L2113" s="2053"/>
      <c r="M2113" s="2054"/>
      <c r="N2113" s="2055">
        <f>SNI!I1629</f>
        <v>88300</v>
      </c>
      <c r="O2113" s="2056"/>
      <c r="P2113" s="1969">
        <f t="shared" si="1459"/>
        <v>8830</v>
      </c>
      <c r="Q2113" s="1953"/>
      <c r="R2113" s="1954"/>
      <c r="S2113" s="1954">
        <f t="shared" si="1460"/>
        <v>8830</v>
      </c>
      <c r="T2113" s="1969">
        <f t="shared" si="1461"/>
        <v>0</v>
      </c>
      <c r="U2113" s="2060"/>
      <c r="Z2113" s="1956"/>
      <c r="AA2113" s="1956"/>
      <c r="AG2113" s="1836"/>
      <c r="AH2113" s="1836"/>
      <c r="AI2113" s="1837"/>
      <c r="AJ2113" s="1960"/>
    </row>
    <row r="2114" spans="1:36" ht="21.95" customHeight="1" x14ac:dyDescent="0.2">
      <c r="B2114" s="2045"/>
      <c r="C2114" s="2046"/>
      <c r="D2114" s="2047" t="str">
        <f>SNI!E1630</f>
        <v>Tukang listrik</v>
      </c>
      <c r="E2114" s="2047"/>
      <c r="F2114" s="2048"/>
      <c r="G2114" s="2049">
        <f>SNI!H1630</f>
        <v>0.18</v>
      </c>
      <c r="H2114" s="2050" t="str">
        <f>SNI!G1630</f>
        <v>OH</v>
      </c>
      <c r="I2114" s="2051" t="str">
        <f>SNI!M1630</f>
        <v>WNI</v>
      </c>
      <c r="J2114" s="2051"/>
      <c r="K2114" s="2052">
        <f>SNI!L1630</f>
        <v>1</v>
      </c>
      <c r="L2114" s="2053"/>
      <c r="M2114" s="2054"/>
      <c r="N2114" s="2055">
        <f>SNI!I1630</f>
        <v>90000</v>
      </c>
      <c r="O2114" s="2056"/>
      <c r="P2114" s="1969">
        <f t="shared" si="1459"/>
        <v>16200</v>
      </c>
      <c r="Q2114" s="1953"/>
      <c r="R2114" s="1954"/>
      <c r="S2114" s="1954">
        <f t="shared" si="1460"/>
        <v>16200</v>
      </c>
      <c r="T2114" s="1969">
        <f t="shared" si="1461"/>
        <v>0</v>
      </c>
      <c r="U2114" s="2060"/>
      <c r="Z2114" s="1956"/>
      <c r="AA2114" s="1956"/>
      <c r="AG2114" s="1836"/>
      <c r="AH2114" s="1836"/>
      <c r="AI2114" s="1837"/>
      <c r="AJ2114" s="1960"/>
    </row>
    <row r="2115" spans="1:36" ht="21.95" customHeight="1" x14ac:dyDescent="0.2">
      <c r="B2115" s="2045"/>
      <c r="C2115" s="2046"/>
      <c r="D2115" s="2047" t="str">
        <f>SNI!E1631</f>
        <v>Mandor</v>
      </c>
      <c r="E2115" s="2047"/>
      <c r="F2115" s="2048"/>
      <c r="G2115" s="2049">
        <f>SNI!H1631</f>
        <v>0.05</v>
      </c>
      <c r="H2115" s="2050" t="str">
        <f>SNI!G1631</f>
        <v>OH</v>
      </c>
      <c r="I2115" s="2051" t="str">
        <f>SNI!M1631</f>
        <v>WNI</v>
      </c>
      <c r="J2115" s="2051"/>
      <c r="K2115" s="2052">
        <f>SNI!L1631</f>
        <v>1</v>
      </c>
      <c r="L2115" s="2053"/>
      <c r="M2115" s="2054"/>
      <c r="N2115" s="2055">
        <f>SNI!I1631</f>
        <v>90000</v>
      </c>
      <c r="O2115" s="2056"/>
      <c r="P2115" s="1969">
        <f t="shared" si="1459"/>
        <v>4500</v>
      </c>
      <c r="Q2115" s="1953"/>
      <c r="R2115" s="1954"/>
      <c r="S2115" s="1954">
        <f t="shared" si="1460"/>
        <v>4500</v>
      </c>
      <c r="T2115" s="1969">
        <f t="shared" si="1461"/>
        <v>0</v>
      </c>
      <c r="U2115" s="2060"/>
      <c r="Z2115" s="1956"/>
      <c r="AA2115" s="1956"/>
      <c r="AG2115" s="1836"/>
      <c r="AH2115" s="1836"/>
      <c r="AI2115" s="1837"/>
      <c r="AJ2115" s="1960"/>
    </row>
    <row r="2116" spans="1:36" s="1957" customFormat="1" ht="21.95" customHeight="1" x14ac:dyDescent="0.2">
      <c r="A2116" s="1942"/>
      <c r="B2116" s="1970"/>
      <c r="C2116" s="1971"/>
      <c r="D2116" s="1972"/>
      <c r="E2116" s="1973"/>
      <c r="F2116" s="1974" t="s">
        <v>556</v>
      </c>
      <c r="G2116" s="1975">
        <f>B2108</f>
        <v>14</v>
      </c>
      <c r="H2116" s="1976"/>
      <c r="I2116" s="1977"/>
      <c r="J2116" s="1977"/>
      <c r="K2116" s="1978"/>
      <c r="L2116" s="1979"/>
      <c r="M2116" s="1980"/>
      <c r="N2116" s="1981"/>
      <c r="O2116" s="1982"/>
      <c r="P2116" s="1983">
        <f>SUM(P2110:R2115)</f>
        <v>165230</v>
      </c>
      <c r="Q2116" s="1984"/>
      <c r="R2116" s="1985"/>
      <c r="S2116" s="1983">
        <f>SUM(S2110:S2115)</f>
        <v>112495.8</v>
      </c>
      <c r="T2116" s="1983">
        <f>SUM(T2110:T2115)</f>
        <v>52734.2</v>
      </c>
      <c r="U2116" s="1986"/>
      <c r="V2116" s="1848"/>
      <c r="W2116" s="1848"/>
      <c r="X2116" s="1848"/>
      <c r="Y2116" s="1848"/>
      <c r="Z2116" s="1956"/>
      <c r="AA2116" s="1956"/>
      <c r="AF2116" s="1958"/>
      <c r="AG2116" s="1958"/>
      <c r="AH2116" s="1958"/>
      <c r="AI2116" s="1959"/>
      <c r="AJ2116" s="1960"/>
    </row>
    <row r="2117" spans="1:36" ht="21.95" customHeight="1" x14ac:dyDescent="0.2">
      <c r="A2117" s="1833">
        <f>satpek!B103</f>
        <v>84</v>
      </c>
      <c r="B2117" s="1943">
        <f>B2108+1</f>
        <v>15</v>
      </c>
      <c r="C2117" s="1937"/>
      <c r="D2117" s="1944" t="str">
        <f>VLOOKUP($A2117,satpek!$B$20:$N$144,2,0)</f>
        <v>Memasang kabel tray galvanis</v>
      </c>
      <c r="E2117" s="1944"/>
      <c r="F2117" s="2004"/>
      <c r="G2117" s="1945">
        <f>'[3]B.VOL RAB'!Q645</f>
        <v>55</v>
      </c>
      <c r="H2117" s="1946" t="str">
        <f>VLOOKUP($A2117,satpek!$B$20:$N$144,7,0)</f>
        <v>m'</v>
      </c>
      <c r="I2117" s="1947"/>
      <c r="J2117" s="1947"/>
      <c r="K2117" s="1948"/>
      <c r="L2117" s="1949"/>
      <c r="M2117" s="1950" t="str">
        <f>VLOOKUP($A2117,satpek!$B$20:$N$144,5,0)</f>
        <v>An. Dihitung</v>
      </c>
      <c r="N2117" s="1951">
        <f>VLOOKUP($A2117,satpek!$B$20:$N$144,6,0)</f>
        <v>274370.78000000003</v>
      </c>
      <c r="O2117" s="1938"/>
      <c r="P2117" s="1952">
        <f t="shared" si="1351"/>
        <v>15090392.9</v>
      </c>
      <c r="Q2117" s="1953">
        <f>VLOOKUP($A2117,satpek!$B$20:$L$138,8,0)</f>
        <v>0.80899051094289265</v>
      </c>
      <c r="R2117" s="1954">
        <f>VLOOKUP($A2117,satpek!$B$20:$L$138,9,0)</f>
        <v>196427.75</v>
      </c>
      <c r="S2117" s="1954">
        <f>VLOOKUP($A2117,satpek!$B$20:$L$138,10,0)</f>
        <v>221963.35750000001</v>
      </c>
      <c r="T2117" s="1952">
        <f t="shared" si="1352"/>
        <v>12207984.662500001</v>
      </c>
      <c r="U2117" s="1955"/>
      <c r="X2117" s="1848">
        <f>P2127</f>
        <v>242806</v>
      </c>
      <c r="Y2117" s="1848">
        <f>S2127</f>
        <v>196427.75</v>
      </c>
      <c r="Z2117" s="1956">
        <v>55</v>
      </c>
      <c r="AA2117" s="1956">
        <f t="shared" si="1454"/>
        <v>0</v>
      </c>
      <c r="AB2117" s="1836" t="s">
        <v>1883</v>
      </c>
      <c r="AG2117" s="1836"/>
      <c r="AH2117" s="1836"/>
      <c r="AI2117" s="1837">
        <v>286212.05</v>
      </c>
      <c r="AJ2117" s="1960">
        <f t="shared" si="1455"/>
        <v>11841.26999999996</v>
      </c>
    </row>
    <row r="2118" spans="1:36" ht="21.95" customHeight="1" x14ac:dyDescent="0.2">
      <c r="B2118" s="2045"/>
      <c r="C2118" s="2046" t="str">
        <f>SNI!D1667</f>
        <v>Bahan</v>
      </c>
      <c r="D2118" s="2047"/>
      <c r="E2118" s="2047"/>
      <c r="F2118" s="2048"/>
      <c r="G2118" s="2049"/>
      <c r="H2118" s="2050"/>
      <c r="I2118" s="2051"/>
      <c r="J2118" s="2051"/>
      <c r="K2118" s="2052"/>
      <c r="L2118" s="2053"/>
      <c r="M2118" s="2054"/>
      <c r="N2118" s="2055"/>
      <c r="O2118" s="2056"/>
      <c r="P2118" s="2057"/>
      <c r="Q2118" s="2058"/>
      <c r="R2118" s="2059"/>
      <c r="S2118" s="2059"/>
      <c r="T2118" s="2057"/>
      <c r="U2118" s="2060"/>
      <c r="Z2118" s="1956"/>
      <c r="AA2118" s="1956"/>
      <c r="AG2118" s="1836"/>
      <c r="AH2118" s="1836"/>
      <c r="AI2118" s="1837"/>
      <c r="AJ2118" s="1960"/>
    </row>
    <row r="2119" spans="1:36" ht="21.95" customHeight="1" x14ac:dyDescent="0.2">
      <c r="B2119" s="2045"/>
      <c r="C2119" s="2046"/>
      <c r="D2119" s="2047" t="str">
        <f>SNI!E1667</f>
        <v>longdrat m10</v>
      </c>
      <c r="E2119" s="2047"/>
      <c r="F2119" s="2048"/>
      <c r="G2119" s="2049">
        <f>SNI!H1667</f>
        <v>2</v>
      </c>
      <c r="H2119" s="2050" t="str">
        <f>SNI!G1667</f>
        <v>bh</v>
      </c>
      <c r="I2119" s="2051"/>
      <c r="J2119" s="2051"/>
      <c r="K2119" s="2052">
        <f>SNI!L1667</f>
        <v>0</v>
      </c>
      <c r="L2119" s="2053"/>
      <c r="M2119" s="2054"/>
      <c r="N2119" s="2055">
        <f>SNI!I1667</f>
        <v>10500</v>
      </c>
      <c r="O2119" s="2056"/>
      <c r="P2119" s="1969">
        <f t="shared" ref="P2119" si="1462">N2119*G2119</f>
        <v>21000</v>
      </c>
      <c r="Q2119" s="1953"/>
      <c r="R2119" s="1954"/>
      <c r="S2119" s="1954">
        <f t="shared" ref="S2119" si="1463">P2119*K2119</f>
        <v>0</v>
      </c>
      <c r="T2119" s="1969">
        <f t="shared" ref="T2119" si="1464">P2119-S2119</f>
        <v>21000</v>
      </c>
      <c r="U2119" s="2060"/>
      <c r="Z2119" s="1956"/>
      <c r="AA2119" s="1956"/>
      <c r="AG2119" s="1836"/>
      <c r="AH2119" s="1836"/>
      <c r="AI2119" s="1837"/>
      <c r="AJ2119" s="1960"/>
    </row>
    <row r="2120" spans="1:36" ht="21.95" customHeight="1" x14ac:dyDescent="0.2">
      <c r="B2120" s="2045"/>
      <c r="C2120" s="2046"/>
      <c r="D2120" s="2047" t="str">
        <f>SNI!E1668</f>
        <v>dynabolt</v>
      </c>
      <c r="E2120" s="2047"/>
      <c r="F2120" s="2048"/>
      <c r="G2120" s="2049">
        <f>SNI!H1668</f>
        <v>2</v>
      </c>
      <c r="H2120" s="2050" t="str">
        <f>SNI!G1668</f>
        <v>bh</v>
      </c>
      <c r="I2120" s="2051"/>
      <c r="J2120" s="2051"/>
      <c r="K2120" s="2052">
        <f>SNI!L1668</f>
        <v>0</v>
      </c>
      <c r="L2120" s="2053"/>
      <c r="M2120" s="2054"/>
      <c r="N2120" s="2055">
        <f>SNI!I1668</f>
        <v>570</v>
      </c>
      <c r="O2120" s="2056"/>
      <c r="P2120" s="1969">
        <f t="shared" ref="P2120:P2126" si="1465">N2120*G2120</f>
        <v>1140</v>
      </c>
      <c r="Q2120" s="1953"/>
      <c r="R2120" s="1954"/>
      <c r="S2120" s="1954">
        <f t="shared" ref="S2120:S2126" si="1466">P2120*K2120</f>
        <v>0</v>
      </c>
      <c r="T2120" s="1969">
        <f t="shared" ref="T2120:T2126" si="1467">P2120-S2120</f>
        <v>1140</v>
      </c>
      <c r="U2120" s="2060"/>
      <c r="Z2120" s="1956"/>
      <c r="AA2120" s="1956"/>
      <c r="AG2120" s="1836"/>
      <c r="AH2120" s="1836"/>
      <c r="AI2120" s="1837"/>
      <c r="AJ2120" s="1960"/>
    </row>
    <row r="2121" spans="1:36" ht="21.95" customHeight="1" x14ac:dyDescent="0.2">
      <c r="B2121" s="2045"/>
      <c r="C2121" s="2046"/>
      <c r="D2121" s="2047" t="str">
        <f>SNI!E1669</f>
        <v>kabel tray</v>
      </c>
      <c r="E2121" s="2047"/>
      <c r="F2121" s="2048"/>
      <c r="G2121" s="2049">
        <f>SNI!H1669</f>
        <v>1.1000000000000001</v>
      </c>
      <c r="H2121" s="2050" t="str">
        <f>SNI!G1669</f>
        <v>m'</v>
      </c>
      <c r="I2121" s="2051"/>
      <c r="J2121" s="2051"/>
      <c r="K2121" s="2052">
        <f>SNI!L1669</f>
        <v>0.88549999999999995</v>
      </c>
      <c r="L2121" s="2053"/>
      <c r="M2121" s="2054"/>
      <c r="N2121" s="2055">
        <f>SNI!I1669</f>
        <v>140000</v>
      </c>
      <c r="O2121" s="2056"/>
      <c r="P2121" s="1969">
        <f t="shared" si="1465"/>
        <v>154000</v>
      </c>
      <c r="Q2121" s="1953"/>
      <c r="R2121" s="1954"/>
      <c r="S2121" s="1954">
        <f t="shared" si="1466"/>
        <v>136367</v>
      </c>
      <c r="T2121" s="1969">
        <f t="shared" si="1467"/>
        <v>17633</v>
      </c>
      <c r="U2121" s="2060"/>
      <c r="Z2121" s="1956"/>
      <c r="AA2121" s="1956"/>
      <c r="AG2121" s="1836"/>
      <c r="AH2121" s="1836"/>
      <c r="AI2121" s="1837"/>
      <c r="AJ2121" s="1960"/>
    </row>
    <row r="2122" spans="1:36" ht="21.95" customHeight="1" x14ac:dyDescent="0.2">
      <c r="B2122" s="2045"/>
      <c r="C2122" s="2046"/>
      <c r="D2122" s="2047" t="str">
        <f>SNI!E1670</f>
        <v>aksesoris 15%</v>
      </c>
      <c r="E2122" s="2047"/>
      <c r="F2122" s="2048"/>
      <c r="G2122" s="2049">
        <f>SNI!H1670</f>
        <v>1</v>
      </c>
      <c r="H2122" s="2050" t="str">
        <f>SNI!G1670</f>
        <v xml:space="preserve">ls </v>
      </c>
      <c r="I2122" s="2051"/>
      <c r="J2122" s="2051"/>
      <c r="K2122" s="2052">
        <f>SNI!L1670</f>
        <v>0.75</v>
      </c>
      <c r="L2122" s="2053"/>
      <c r="M2122" s="2054"/>
      <c r="N2122" s="2055">
        <f>SNI!I1670</f>
        <v>26421</v>
      </c>
      <c r="O2122" s="2056"/>
      <c r="P2122" s="1969">
        <f t="shared" si="1465"/>
        <v>26421</v>
      </c>
      <c r="Q2122" s="1953"/>
      <c r="R2122" s="1954"/>
      <c r="S2122" s="1954">
        <f t="shared" si="1466"/>
        <v>19815.75</v>
      </c>
      <c r="T2122" s="1969">
        <f t="shared" si="1467"/>
        <v>6605.25</v>
      </c>
      <c r="U2122" s="2060"/>
      <c r="Z2122" s="1956"/>
      <c r="AA2122" s="1956"/>
      <c r="AG2122" s="1836"/>
      <c r="AH2122" s="1836"/>
      <c r="AI2122" s="1837"/>
      <c r="AJ2122" s="1960"/>
    </row>
    <row r="2123" spans="1:36" ht="21.95" customHeight="1" x14ac:dyDescent="0.2">
      <c r="B2123" s="2045"/>
      <c r="C2123" s="2046" t="str">
        <f>SNI!D1672</f>
        <v>Tenaga Kerja</v>
      </c>
      <c r="D2123" s="2047"/>
      <c r="E2123" s="2047"/>
      <c r="F2123" s="2048"/>
      <c r="G2123" s="2049"/>
      <c r="H2123" s="2050"/>
      <c r="I2123" s="2051"/>
      <c r="J2123" s="2051"/>
      <c r="K2123" s="2052"/>
      <c r="L2123" s="2053"/>
      <c r="M2123" s="2054"/>
      <c r="N2123" s="2055"/>
      <c r="O2123" s="2056"/>
      <c r="P2123" s="1969"/>
      <c r="Q2123" s="1953"/>
      <c r="R2123" s="1954"/>
      <c r="S2123" s="1954"/>
      <c r="T2123" s="1969"/>
      <c r="U2123" s="2060"/>
      <c r="Z2123" s="1956"/>
      <c r="AA2123" s="1956"/>
      <c r="AG2123" s="1836"/>
      <c r="AH2123" s="1836"/>
      <c r="AI2123" s="1837"/>
      <c r="AJ2123" s="1960"/>
    </row>
    <row r="2124" spans="1:36" ht="21.95" customHeight="1" x14ac:dyDescent="0.2">
      <c r="B2124" s="2045"/>
      <c r="C2124" s="2046"/>
      <c r="D2124" s="2047" t="str">
        <f>SNI!E1672</f>
        <v>Pekerja</v>
      </c>
      <c r="E2124" s="2047"/>
      <c r="F2124" s="2048"/>
      <c r="G2124" s="2049">
        <f>SNI!H1672</f>
        <v>0.15</v>
      </c>
      <c r="H2124" s="2050" t="str">
        <f>SNI!G1672</f>
        <v>OH</v>
      </c>
      <c r="I2124" s="2051" t="str">
        <f>SNI!M1672</f>
        <v>WNI</v>
      </c>
      <c r="J2124" s="2051"/>
      <c r="K2124" s="2052">
        <f>SNI!L1672</f>
        <v>1</v>
      </c>
      <c r="L2124" s="2053"/>
      <c r="M2124" s="2054"/>
      <c r="N2124" s="2055">
        <f>SNI!I1672</f>
        <v>88300</v>
      </c>
      <c r="O2124" s="2056"/>
      <c r="P2124" s="1969">
        <f t="shared" si="1465"/>
        <v>13245</v>
      </c>
      <c r="Q2124" s="1953"/>
      <c r="R2124" s="1954"/>
      <c r="S2124" s="1954">
        <f t="shared" si="1466"/>
        <v>13245</v>
      </c>
      <c r="T2124" s="1969">
        <f t="shared" si="1467"/>
        <v>0</v>
      </c>
      <c r="U2124" s="2060"/>
      <c r="Z2124" s="1956"/>
      <c r="AA2124" s="1956"/>
      <c r="AG2124" s="1836"/>
      <c r="AH2124" s="1836"/>
      <c r="AI2124" s="1837"/>
      <c r="AJ2124" s="1960"/>
    </row>
    <row r="2125" spans="1:36" ht="21.95" customHeight="1" x14ac:dyDescent="0.2">
      <c r="B2125" s="2045"/>
      <c r="C2125" s="2046"/>
      <c r="D2125" s="2047" t="str">
        <f>SNI!E1673</f>
        <v>Tukang listrik</v>
      </c>
      <c r="E2125" s="2047"/>
      <c r="F2125" s="2048"/>
      <c r="G2125" s="2049">
        <f>SNI!H1673</f>
        <v>0.25</v>
      </c>
      <c r="H2125" s="2050" t="str">
        <f>SNI!G1673</f>
        <v>OH</v>
      </c>
      <c r="I2125" s="2051" t="str">
        <f>SNI!M1673</f>
        <v>WNI</v>
      </c>
      <c r="J2125" s="2051"/>
      <c r="K2125" s="2052">
        <f>SNI!L1673</f>
        <v>1</v>
      </c>
      <c r="L2125" s="2053"/>
      <c r="M2125" s="2054"/>
      <c r="N2125" s="2055">
        <f>SNI!I1673</f>
        <v>90000</v>
      </c>
      <c r="O2125" s="2056"/>
      <c r="P2125" s="1969">
        <f t="shared" si="1465"/>
        <v>22500</v>
      </c>
      <c r="Q2125" s="1953"/>
      <c r="R2125" s="1954"/>
      <c r="S2125" s="1954">
        <f t="shared" si="1466"/>
        <v>22500</v>
      </c>
      <c r="T2125" s="1969">
        <f t="shared" si="1467"/>
        <v>0</v>
      </c>
      <c r="U2125" s="2060"/>
      <c r="Z2125" s="1956"/>
      <c r="AA2125" s="1956"/>
      <c r="AG2125" s="1836"/>
      <c r="AH2125" s="1836"/>
      <c r="AI2125" s="1837"/>
      <c r="AJ2125" s="1960"/>
    </row>
    <row r="2126" spans="1:36" ht="21.95" customHeight="1" x14ac:dyDescent="0.2">
      <c r="B2126" s="2045"/>
      <c r="C2126" s="2046"/>
      <c r="D2126" s="2047" t="str">
        <f>SNI!E1674</f>
        <v>Mandor</v>
      </c>
      <c r="E2126" s="2047"/>
      <c r="F2126" s="2048"/>
      <c r="G2126" s="2049">
        <f>SNI!H1674</f>
        <v>0.05</v>
      </c>
      <c r="H2126" s="2050" t="str">
        <f>SNI!G1674</f>
        <v>OH</v>
      </c>
      <c r="I2126" s="2051" t="str">
        <f>SNI!M1674</f>
        <v>WNI</v>
      </c>
      <c r="J2126" s="2051"/>
      <c r="K2126" s="2052">
        <f>SNI!L1674</f>
        <v>1</v>
      </c>
      <c r="L2126" s="2053"/>
      <c r="M2126" s="2054"/>
      <c r="N2126" s="2055">
        <f>SNI!I1674</f>
        <v>90000</v>
      </c>
      <c r="O2126" s="2056"/>
      <c r="P2126" s="1969">
        <f t="shared" si="1465"/>
        <v>4500</v>
      </c>
      <c r="Q2126" s="1953"/>
      <c r="R2126" s="1954"/>
      <c r="S2126" s="1954">
        <f t="shared" si="1466"/>
        <v>4500</v>
      </c>
      <c r="T2126" s="1969">
        <f t="shared" si="1467"/>
        <v>0</v>
      </c>
      <c r="U2126" s="2060"/>
      <c r="Z2126" s="1956"/>
      <c r="AA2126" s="1956"/>
      <c r="AG2126" s="1836"/>
      <c r="AH2126" s="1836"/>
      <c r="AI2126" s="1837"/>
      <c r="AJ2126" s="1960"/>
    </row>
    <row r="2127" spans="1:36" s="1957" customFormat="1" ht="21.95" customHeight="1" x14ac:dyDescent="0.2">
      <c r="A2127" s="1942"/>
      <c r="B2127" s="1970"/>
      <c r="C2127" s="1971"/>
      <c r="D2127" s="1972"/>
      <c r="E2127" s="1973"/>
      <c r="F2127" s="1974" t="s">
        <v>556</v>
      </c>
      <c r="G2127" s="1975">
        <f>B2117</f>
        <v>15</v>
      </c>
      <c r="H2127" s="1976"/>
      <c r="I2127" s="1977"/>
      <c r="J2127" s="1977"/>
      <c r="K2127" s="1978"/>
      <c r="L2127" s="1979"/>
      <c r="M2127" s="1980"/>
      <c r="N2127" s="1981"/>
      <c r="O2127" s="1982"/>
      <c r="P2127" s="1983">
        <f>SUM(P2118:P2126)</f>
        <v>242806</v>
      </c>
      <c r="Q2127" s="1984"/>
      <c r="R2127" s="1985"/>
      <c r="S2127" s="1983">
        <f t="shared" ref="S2127:T2127" si="1468">SUM(S2118:S2126)</f>
        <v>196427.75</v>
      </c>
      <c r="T2127" s="1983">
        <f t="shared" si="1468"/>
        <v>46378.25</v>
      </c>
      <c r="U2127" s="1986"/>
      <c r="V2127" s="1848"/>
      <c r="W2127" s="1848"/>
      <c r="X2127" s="1848"/>
      <c r="Y2127" s="1848"/>
      <c r="Z2127" s="1956"/>
      <c r="AA2127" s="1956"/>
      <c r="AF2127" s="1958"/>
      <c r="AG2127" s="1958"/>
      <c r="AH2127" s="1958"/>
      <c r="AI2127" s="1959"/>
      <c r="AJ2127" s="1960"/>
    </row>
    <row r="2128" spans="1:36" ht="21.95" customHeight="1" x14ac:dyDescent="0.2">
      <c r="A2128" s="1833">
        <f>satpek!B104</f>
        <v>85</v>
      </c>
      <c r="B2128" s="1943">
        <f>B2117+1</f>
        <v>16</v>
      </c>
      <c r="C2128" s="1937"/>
      <c r="D2128" s="1944" t="str">
        <f>VLOOKUP($A2128,satpek!$B$20:$N$144,2,0)</f>
        <v>Memasang Exhaust fan</v>
      </c>
      <c r="E2128" s="1944"/>
      <c r="F2128" s="2004"/>
      <c r="G2128" s="1945">
        <f>'[3]B.VOL RAB'!Q646</f>
        <v>9</v>
      </c>
      <c r="H2128" s="1946" t="str">
        <f>VLOOKUP($A2128,satpek!$B$20:$N$144,7,0)</f>
        <v>bh</v>
      </c>
      <c r="I2128" s="1947"/>
      <c r="J2128" s="1947"/>
      <c r="K2128" s="1948"/>
      <c r="L2128" s="1949"/>
      <c r="M2128" s="1950" t="str">
        <f>VLOOKUP($A2128,satpek!$B$20:$N$144,5,0)</f>
        <v>An. Dihitung</v>
      </c>
      <c r="N2128" s="1951">
        <f>VLOOKUP($A2128,satpek!$B$20:$N$144,6,0)</f>
        <v>556977</v>
      </c>
      <c r="O2128" s="1938"/>
      <c r="P2128" s="1952">
        <f t="shared" si="1351"/>
        <v>5012793</v>
      </c>
      <c r="Q2128" s="1953">
        <f>VLOOKUP($A2128,satpek!$B$20:$L$138,8,0)</f>
        <v>0.11594643944004869</v>
      </c>
      <c r="R2128" s="1954">
        <f>VLOOKUP($A2128,satpek!$B$20:$L$138,9,0)</f>
        <v>57150</v>
      </c>
      <c r="S2128" s="1954">
        <f>VLOOKUP($A2128,satpek!$B$20:$L$138,10,0)</f>
        <v>64579.5</v>
      </c>
      <c r="T2128" s="1952">
        <f t="shared" si="1352"/>
        <v>581215.5</v>
      </c>
      <c r="U2128" s="1955"/>
      <c r="X2128" s="1848">
        <f>P2135</f>
        <v>492900</v>
      </c>
      <c r="Y2128" s="1848">
        <f>S2135</f>
        <v>57150</v>
      </c>
      <c r="Z2128" s="1956">
        <v>9</v>
      </c>
      <c r="AA2128" s="1956">
        <f t="shared" si="1454"/>
        <v>0</v>
      </c>
      <c r="AB2128" s="1836" t="s">
        <v>1886</v>
      </c>
      <c r="AG2128" s="1836"/>
      <c r="AH2128" s="1836"/>
      <c r="AI2128" s="1837">
        <v>556604.1</v>
      </c>
      <c r="AJ2128" s="1960">
        <f t="shared" si="1455"/>
        <v>-372.90000000002328</v>
      </c>
    </row>
    <row r="2129" spans="1:36" ht="21.95" customHeight="1" x14ac:dyDescent="0.2">
      <c r="B2129" s="2045"/>
      <c r="C2129" s="2046" t="str">
        <f>SNI!D1689</f>
        <v>Bahan</v>
      </c>
      <c r="D2129" s="2047"/>
      <c r="E2129" s="2047"/>
      <c r="F2129" s="2048"/>
      <c r="G2129" s="2049"/>
      <c r="H2129" s="2050"/>
      <c r="I2129" s="2051"/>
      <c r="J2129" s="2051"/>
      <c r="K2129" s="2052"/>
      <c r="L2129" s="2053"/>
      <c r="M2129" s="2054"/>
      <c r="N2129" s="2055"/>
      <c r="O2129" s="2056"/>
      <c r="P2129" s="2057"/>
      <c r="Q2129" s="2058"/>
      <c r="R2129" s="2059"/>
      <c r="S2129" s="2059"/>
      <c r="T2129" s="2057"/>
      <c r="U2129" s="2060"/>
      <c r="Z2129" s="1956"/>
      <c r="AA2129" s="1956"/>
      <c r="AG2129" s="1836"/>
      <c r="AH2129" s="1836"/>
      <c r="AI2129" s="1837"/>
      <c r="AJ2129" s="1960"/>
    </row>
    <row r="2130" spans="1:36" ht="21.95" customHeight="1" x14ac:dyDescent="0.2">
      <c r="B2130" s="2045"/>
      <c r="C2130" s="2046"/>
      <c r="D2130" s="2047" t="str">
        <f>SNI!E1689</f>
        <v>Exhaustfan</v>
      </c>
      <c r="E2130" s="2047"/>
      <c r="F2130" s="2048"/>
      <c r="G2130" s="2049">
        <f>SNI!H1689</f>
        <v>1</v>
      </c>
      <c r="H2130" s="2050" t="str">
        <f>SNI!G1689</f>
        <v>bh</v>
      </c>
      <c r="I2130" s="2051"/>
      <c r="J2130" s="2051"/>
      <c r="K2130" s="2052">
        <f>SNI!L1689</f>
        <v>0</v>
      </c>
      <c r="L2130" s="2053"/>
      <c r="M2130" s="2054"/>
      <c r="N2130" s="2055">
        <f>SNI!I1689</f>
        <v>420000</v>
      </c>
      <c r="O2130" s="2056"/>
      <c r="P2130" s="1969">
        <f t="shared" ref="P2130:P2131" si="1469">N2130*G2130</f>
        <v>420000</v>
      </c>
      <c r="Q2130" s="1953"/>
      <c r="R2130" s="1954"/>
      <c r="S2130" s="1954">
        <f t="shared" ref="S2130:S2131" si="1470">P2130*K2130</f>
        <v>0</v>
      </c>
      <c r="T2130" s="1969">
        <f t="shared" ref="T2130:T2131" si="1471">P2130-S2130</f>
        <v>420000</v>
      </c>
      <c r="U2130" s="2060"/>
      <c r="Z2130" s="1956"/>
      <c r="AA2130" s="1956"/>
      <c r="AG2130" s="1836"/>
      <c r="AH2130" s="1836"/>
      <c r="AI2130" s="1837"/>
      <c r="AJ2130" s="1960"/>
    </row>
    <row r="2131" spans="1:36" ht="21.95" customHeight="1" x14ac:dyDescent="0.2">
      <c r="B2131" s="2045"/>
      <c r="C2131" s="2046"/>
      <c r="D2131" s="2047" t="str">
        <f>SNI!E1690</f>
        <v>aksesoris 15%</v>
      </c>
      <c r="E2131" s="2047"/>
      <c r="F2131" s="2048"/>
      <c r="G2131" s="2049">
        <f>SNI!H1690</f>
        <v>1</v>
      </c>
      <c r="H2131" s="2050" t="str">
        <f>SNI!G1690</f>
        <v xml:space="preserve">ls </v>
      </c>
      <c r="I2131" s="2051"/>
      <c r="J2131" s="2051"/>
      <c r="K2131" s="2052">
        <f>SNI!L1690</f>
        <v>0.75</v>
      </c>
      <c r="L2131" s="2053"/>
      <c r="M2131" s="2054"/>
      <c r="N2131" s="2055">
        <f>SNI!I1690</f>
        <v>63000</v>
      </c>
      <c r="O2131" s="2056"/>
      <c r="P2131" s="1969">
        <f t="shared" si="1469"/>
        <v>63000</v>
      </c>
      <c r="Q2131" s="1953"/>
      <c r="R2131" s="1954"/>
      <c r="S2131" s="1954">
        <f t="shared" si="1470"/>
        <v>47250</v>
      </c>
      <c r="T2131" s="1969">
        <f t="shared" si="1471"/>
        <v>15750</v>
      </c>
      <c r="U2131" s="2060"/>
      <c r="Z2131" s="1956"/>
      <c r="AA2131" s="1956"/>
      <c r="AG2131" s="1836"/>
      <c r="AH2131" s="1836"/>
      <c r="AI2131" s="1837"/>
      <c r="AJ2131" s="1960"/>
    </row>
    <row r="2132" spans="1:36" ht="21.95" customHeight="1" x14ac:dyDescent="0.2">
      <c r="B2132" s="2045"/>
      <c r="C2132" s="2046" t="str">
        <f>SNI!D1692</f>
        <v>Tenaga Kerja</v>
      </c>
      <c r="D2132" s="2047"/>
      <c r="E2132" s="2047"/>
      <c r="F2132" s="2048"/>
      <c r="G2132" s="2049"/>
      <c r="H2132" s="2050"/>
      <c r="I2132" s="2051"/>
      <c r="J2132" s="2051"/>
      <c r="K2132" s="2052"/>
      <c r="L2132" s="2053"/>
      <c r="M2132" s="2054"/>
      <c r="N2132" s="2055"/>
      <c r="O2132" s="2056"/>
      <c r="P2132" s="2057"/>
      <c r="Q2132" s="2058"/>
      <c r="R2132" s="2059"/>
      <c r="S2132" s="2059"/>
      <c r="T2132" s="2057"/>
      <c r="U2132" s="2060"/>
      <c r="Z2132" s="1956"/>
      <c r="AA2132" s="1956"/>
      <c r="AG2132" s="1836"/>
      <c r="AH2132" s="1836"/>
      <c r="AI2132" s="1837"/>
      <c r="AJ2132" s="1960"/>
    </row>
    <row r="2133" spans="1:36" ht="21.95" customHeight="1" x14ac:dyDescent="0.2">
      <c r="B2133" s="2045"/>
      <c r="C2133" s="2046"/>
      <c r="D2133" s="2047" t="str">
        <f>SNI!E1692</f>
        <v>Tukang listrik</v>
      </c>
      <c r="E2133" s="2047"/>
      <c r="F2133" s="2048"/>
      <c r="G2133" s="2049">
        <f>SNI!H1692</f>
        <v>0.1</v>
      </c>
      <c r="H2133" s="2050" t="str">
        <f>SNI!G1692</f>
        <v>OH</v>
      </c>
      <c r="I2133" s="2142" t="s">
        <v>2012</v>
      </c>
      <c r="J2133" s="2051"/>
      <c r="K2133" s="2052">
        <f>SNI!L1692</f>
        <v>1</v>
      </c>
      <c r="L2133" s="2053"/>
      <c r="M2133" s="2054"/>
      <c r="N2133" s="2055">
        <f>SNI!I1692</f>
        <v>90000</v>
      </c>
      <c r="O2133" s="2056"/>
      <c r="P2133" s="1969">
        <f t="shared" ref="P2133:P2134" si="1472">N2133*G2133</f>
        <v>9000</v>
      </c>
      <c r="Q2133" s="1953"/>
      <c r="R2133" s="1954"/>
      <c r="S2133" s="1954">
        <f t="shared" ref="S2133:S2134" si="1473">P2133*K2133</f>
        <v>9000</v>
      </c>
      <c r="T2133" s="1969">
        <f t="shared" ref="T2133:T2134" si="1474">P2133-S2133</f>
        <v>0</v>
      </c>
      <c r="U2133" s="2060"/>
      <c r="Z2133" s="1956"/>
      <c r="AA2133" s="1956"/>
      <c r="AG2133" s="1836"/>
      <c r="AH2133" s="1836"/>
      <c r="AI2133" s="1837"/>
      <c r="AJ2133" s="1960"/>
    </row>
    <row r="2134" spans="1:36" ht="21.95" customHeight="1" x14ac:dyDescent="0.2">
      <c r="B2134" s="2045"/>
      <c r="C2134" s="2046"/>
      <c r="D2134" s="2047" t="str">
        <f>SNI!E1693</f>
        <v>Mandor</v>
      </c>
      <c r="E2134" s="2047"/>
      <c r="F2134" s="2048"/>
      <c r="G2134" s="2049">
        <f>SNI!H1693</f>
        <v>0.01</v>
      </c>
      <c r="H2134" s="2050" t="str">
        <f>SNI!G1693</f>
        <v>OH</v>
      </c>
      <c r="I2134" s="2142" t="s">
        <v>2012</v>
      </c>
      <c r="J2134" s="2051"/>
      <c r="K2134" s="2052">
        <f>SNI!L1693</f>
        <v>1</v>
      </c>
      <c r="L2134" s="2053"/>
      <c r="M2134" s="2054"/>
      <c r="N2134" s="2055">
        <f>SNI!I1693</f>
        <v>90000</v>
      </c>
      <c r="O2134" s="2056"/>
      <c r="P2134" s="1969">
        <f t="shared" si="1472"/>
        <v>900</v>
      </c>
      <c r="Q2134" s="1953"/>
      <c r="R2134" s="1954"/>
      <c r="S2134" s="1954">
        <f t="shared" si="1473"/>
        <v>900</v>
      </c>
      <c r="T2134" s="1969">
        <f t="shared" si="1474"/>
        <v>0</v>
      </c>
      <c r="U2134" s="2060"/>
      <c r="Z2134" s="1956"/>
      <c r="AA2134" s="1956"/>
      <c r="AG2134" s="1836"/>
      <c r="AH2134" s="1836"/>
      <c r="AI2134" s="1837"/>
      <c r="AJ2134" s="1960"/>
    </row>
    <row r="2135" spans="1:36" s="1957" customFormat="1" ht="21.95" customHeight="1" x14ac:dyDescent="0.2">
      <c r="A2135" s="1942"/>
      <c r="B2135" s="1970"/>
      <c r="C2135" s="1971"/>
      <c r="D2135" s="1972"/>
      <c r="E2135" s="1973"/>
      <c r="F2135" s="1974" t="s">
        <v>556</v>
      </c>
      <c r="G2135" s="1975">
        <f>B2128</f>
        <v>16</v>
      </c>
      <c r="H2135" s="1976"/>
      <c r="I2135" s="1977"/>
      <c r="J2135" s="1977"/>
      <c r="K2135" s="1978"/>
      <c r="L2135" s="1979"/>
      <c r="M2135" s="1980"/>
      <c r="N2135" s="1981"/>
      <c r="O2135" s="1982"/>
      <c r="P2135" s="1983">
        <f>SUM(P2130:P2134)</f>
        <v>492900</v>
      </c>
      <c r="Q2135" s="1984"/>
      <c r="R2135" s="1985"/>
      <c r="S2135" s="1983">
        <f t="shared" ref="S2135:T2135" si="1475">SUM(S2130:S2134)</f>
        <v>57150</v>
      </c>
      <c r="T2135" s="1983">
        <f t="shared" si="1475"/>
        <v>435750</v>
      </c>
      <c r="U2135" s="1986"/>
      <c r="V2135" s="1848"/>
      <c r="W2135" s="1848"/>
      <c r="X2135" s="1848"/>
      <c r="Y2135" s="1848"/>
      <c r="Z2135" s="1956"/>
      <c r="AA2135" s="1956"/>
      <c r="AF2135" s="1958"/>
      <c r="AG2135" s="1958"/>
      <c r="AH2135" s="1958"/>
      <c r="AI2135" s="1959"/>
      <c r="AJ2135" s="1960"/>
    </row>
    <row r="2136" spans="1:36" ht="21.95" customHeight="1" x14ac:dyDescent="0.2">
      <c r="A2136" s="1833">
        <f>satpek!B129</f>
        <v>104</v>
      </c>
      <c r="B2136" s="1943">
        <f>B2128+1</f>
        <v>17</v>
      </c>
      <c r="C2136" s="1937"/>
      <c r="D2136" s="1944" t="str">
        <f>VLOOKUP($A2136,satpek!$B$20:$N$144,2,0)</f>
        <v>Memasang Unit AC 1 PK</v>
      </c>
      <c r="E2136" s="1944"/>
      <c r="F2136" s="2004"/>
      <c r="G2136" s="1945">
        <f>'[3]B.VOL RAB'!Q647</f>
        <v>12</v>
      </c>
      <c r="H2136" s="1946" t="str">
        <f>VLOOKUP($A2136,satpek!$B$20:$N$144,7,0)</f>
        <v>unit</v>
      </c>
      <c r="I2136" s="1947"/>
      <c r="J2136" s="1947"/>
      <c r="K2136" s="1948"/>
      <c r="L2136" s="1949"/>
      <c r="M2136" s="1950" t="str">
        <f>VLOOKUP($A2136,satpek!$B$20:$N$144,5,0)</f>
        <v>Daftar harga</v>
      </c>
      <c r="N2136" s="1951">
        <f>VLOOKUP($A2136,satpek!$B$20:$N$144,6,0)</f>
        <v>4950000</v>
      </c>
      <c r="O2136" s="1938"/>
      <c r="P2136" s="1952">
        <f t="shared" si="1351"/>
        <v>59400000</v>
      </c>
      <c r="Q2136" s="1953">
        <f>VLOOKUP($A2136,satpek!$B$20:$L$138,8,0)</f>
        <v>0.1082</v>
      </c>
      <c r="R2136" s="1954">
        <f>VLOOKUP($A2136,satpek!$B$20:$L$138,9,0)</f>
        <v>0</v>
      </c>
      <c r="S2136" s="1954">
        <f>VLOOKUP($A2136,satpek!$B$20:$L$138,10,0)</f>
        <v>535590</v>
      </c>
      <c r="T2136" s="1952">
        <f t="shared" si="1352"/>
        <v>6427080</v>
      </c>
      <c r="U2136" s="1955"/>
      <c r="X2136" s="1848">
        <f>P2137</f>
        <v>4950000</v>
      </c>
      <c r="Y2136" s="1848">
        <f>S2137</f>
        <v>535590</v>
      </c>
      <c r="Z2136" s="1956">
        <v>12</v>
      </c>
      <c r="AA2136" s="1956">
        <f t="shared" si="1454"/>
        <v>0</v>
      </c>
      <c r="AB2136" s="1836" t="s">
        <v>1884</v>
      </c>
      <c r="AG2136" s="1836"/>
      <c r="AH2136" s="1836"/>
      <c r="AI2136" s="1837">
        <v>4950000</v>
      </c>
      <c r="AJ2136" s="1960">
        <f t="shared" si="1455"/>
        <v>0</v>
      </c>
    </row>
    <row r="2137" spans="1:36" s="1957" customFormat="1" ht="21.95" customHeight="1" x14ac:dyDescent="0.2">
      <c r="A2137" s="1942"/>
      <c r="B2137" s="1970"/>
      <c r="C2137" s="1971"/>
      <c r="D2137" s="1972" t="str">
        <f>D2136</f>
        <v>Memasang Unit AC 1 PK</v>
      </c>
      <c r="E2137" s="1973"/>
      <c r="F2137" s="1974"/>
      <c r="G2137" s="1975">
        <f>G2136</f>
        <v>12</v>
      </c>
      <c r="H2137" s="1976" t="str">
        <f>H2136</f>
        <v>unit</v>
      </c>
      <c r="I2137" s="1977"/>
      <c r="J2137" s="1977"/>
      <c r="K2137" s="1978">
        <f>satpek!I129</f>
        <v>0.1082</v>
      </c>
      <c r="L2137" s="1979"/>
      <c r="M2137" s="1980"/>
      <c r="N2137" s="1981">
        <f>N2136</f>
        <v>4950000</v>
      </c>
      <c r="O2137" s="1982"/>
      <c r="P2137" s="1983">
        <f>N2137</f>
        <v>4950000</v>
      </c>
      <c r="Q2137" s="1984"/>
      <c r="R2137" s="1985"/>
      <c r="S2137" s="1983">
        <f>K2137*N2137</f>
        <v>535590</v>
      </c>
      <c r="T2137" s="1983">
        <f>N2137-S2137</f>
        <v>4414410</v>
      </c>
      <c r="U2137" s="1986"/>
      <c r="V2137" s="1848"/>
      <c r="W2137" s="1848"/>
      <c r="X2137" s="1848"/>
      <c r="Y2137" s="1848"/>
      <c r="Z2137" s="1956"/>
      <c r="AA2137" s="1956"/>
      <c r="AF2137" s="1958"/>
      <c r="AG2137" s="1958"/>
      <c r="AH2137" s="1958"/>
      <c r="AI2137" s="1959"/>
      <c r="AJ2137" s="1960"/>
    </row>
    <row r="2138" spans="1:36" ht="21.95" customHeight="1" x14ac:dyDescent="0.2">
      <c r="A2138" s="1833">
        <f>satpek!B116</f>
        <v>97</v>
      </c>
      <c r="B2138" s="1943">
        <f>B2136+1</f>
        <v>18</v>
      </c>
      <c r="C2138" s="1937"/>
      <c r="D2138" s="1944" t="str">
        <f>VLOOKUP($A2138,satpek!$B$20:$N$144,2,0)</f>
        <v>Panel uk 40x60x25 lengkap dengan asesoris 3 phase</v>
      </c>
      <c r="E2138" s="1944"/>
      <c r="F2138" s="2004"/>
      <c r="G2138" s="1945">
        <f>'[3]B.VOL RAB'!Q648</f>
        <v>1</v>
      </c>
      <c r="H2138" s="1946" t="str">
        <f>VLOOKUP($A2138,satpek!$B$20:$N$144,7,0)</f>
        <v>unit</v>
      </c>
      <c r="I2138" s="1947"/>
      <c r="J2138" s="1947"/>
      <c r="K2138" s="1948"/>
      <c r="L2138" s="1949"/>
      <c r="M2138" s="1950" t="str">
        <f>VLOOKUP($A2138,satpek!$B$20:$N$144,5,0)</f>
        <v>Daftar harga</v>
      </c>
      <c r="N2138" s="1951">
        <f>VLOOKUP($A2138,satpek!$B$20:$N$144,6,0)</f>
        <v>4500000</v>
      </c>
      <c r="O2138" s="1938"/>
      <c r="P2138" s="1952">
        <f t="shared" si="1351"/>
        <v>4500000</v>
      </c>
      <c r="Q2138" s="1953">
        <f>VLOOKUP($A2138,satpek!$B$20:$L$138,8,0)</f>
        <v>0.3</v>
      </c>
      <c r="R2138" s="1954">
        <f>VLOOKUP($A2138,satpek!$B$20:$L$138,9,0)</f>
        <v>0</v>
      </c>
      <c r="S2138" s="1954">
        <f>VLOOKUP($A2138,satpek!$B$20:$L$138,10,0)</f>
        <v>1350000</v>
      </c>
      <c r="T2138" s="1952">
        <f t="shared" si="1352"/>
        <v>1350000</v>
      </c>
      <c r="U2138" s="1955"/>
      <c r="X2138" s="1848">
        <f>P2139</f>
        <v>4500000</v>
      </c>
      <c r="Y2138" s="1848">
        <f>S2139</f>
        <v>1350000</v>
      </c>
      <c r="Z2138" s="1956">
        <v>1</v>
      </c>
      <c r="AA2138" s="1956">
        <f t="shared" si="1454"/>
        <v>0</v>
      </c>
      <c r="AB2138" s="1836" t="s">
        <v>1888</v>
      </c>
      <c r="AG2138" s="1836"/>
      <c r="AH2138" s="1836"/>
      <c r="AI2138" s="1837">
        <v>5000000</v>
      </c>
      <c r="AJ2138" s="1960">
        <f t="shared" si="1455"/>
        <v>500000</v>
      </c>
    </row>
    <row r="2139" spans="1:36" s="1957" customFormat="1" ht="21.95" customHeight="1" x14ac:dyDescent="0.2">
      <c r="A2139" s="1942"/>
      <c r="B2139" s="1970"/>
      <c r="C2139" s="1971"/>
      <c r="D2139" s="1972" t="str">
        <f>D2138</f>
        <v>Panel uk 40x60x25 lengkap dengan asesoris 3 phase</v>
      </c>
      <c r="E2139" s="1973"/>
      <c r="F2139" s="1974"/>
      <c r="G2139" s="1975">
        <f>G2138</f>
        <v>1</v>
      </c>
      <c r="H2139" s="1976" t="str">
        <f>H2138</f>
        <v>unit</v>
      </c>
      <c r="I2139" s="1977"/>
      <c r="J2139" s="1977"/>
      <c r="K2139" s="1978">
        <f>satpek!I116</f>
        <v>0.3</v>
      </c>
      <c r="L2139" s="1979"/>
      <c r="M2139" s="1980"/>
      <c r="N2139" s="1981">
        <f>N2138</f>
        <v>4500000</v>
      </c>
      <c r="O2139" s="1982"/>
      <c r="P2139" s="1983">
        <f>N2139</f>
        <v>4500000</v>
      </c>
      <c r="Q2139" s="1984"/>
      <c r="R2139" s="1985"/>
      <c r="S2139" s="1983">
        <f>K2139*N2139</f>
        <v>1350000</v>
      </c>
      <c r="T2139" s="1983">
        <f>N2139-S2139</f>
        <v>3150000</v>
      </c>
      <c r="U2139" s="1986"/>
      <c r="V2139" s="1848"/>
      <c r="W2139" s="1848"/>
      <c r="X2139" s="1848"/>
      <c r="Y2139" s="1848"/>
      <c r="Z2139" s="1956"/>
      <c r="AA2139" s="1956"/>
      <c r="AF2139" s="1958"/>
      <c r="AG2139" s="1958"/>
      <c r="AH2139" s="1958"/>
      <c r="AI2139" s="1959"/>
      <c r="AJ2139" s="1960"/>
    </row>
    <row r="2140" spans="1:36" ht="21.95" customHeight="1" x14ac:dyDescent="0.2">
      <c r="A2140" s="1833">
        <f>satpek!B130</f>
        <v>105</v>
      </c>
      <c r="B2140" s="1943">
        <f>B2138+1</f>
        <v>19</v>
      </c>
      <c r="C2140" s="1937"/>
      <c r="D2140" s="1944" t="str">
        <f>VLOOKUP($A2140,satpek!$B$20:$N$144,2,0)</f>
        <v>Pasang instalasi penangkal petir 1 split lengkap</v>
      </c>
      <c r="E2140" s="1944"/>
      <c r="F2140" s="2004"/>
      <c r="G2140" s="1945">
        <f>'[3]B.VOL RAB'!Q649</f>
        <v>1</v>
      </c>
      <c r="H2140" s="1946" t="str">
        <f>VLOOKUP($A2140,satpek!$B$20:$N$144,7,0)</f>
        <v>unit</v>
      </c>
      <c r="I2140" s="1947"/>
      <c r="J2140" s="1947"/>
      <c r="K2140" s="1948"/>
      <c r="L2140" s="1949"/>
      <c r="M2140" s="1950" t="str">
        <f>VLOOKUP($A2140,satpek!$B$20:$N$144,5,0)</f>
        <v>Daftar harga</v>
      </c>
      <c r="N2140" s="1951">
        <f>VLOOKUP($A2140,satpek!$B$20:$N$144,6,0)</f>
        <v>8200000</v>
      </c>
      <c r="O2140" s="1938"/>
      <c r="P2140" s="1952">
        <f t="shared" si="1351"/>
        <v>8200000</v>
      </c>
      <c r="Q2140" s="1953">
        <f>VLOOKUP($A2140,satpek!$B$20:$L$138,8,0)</f>
        <v>0.2</v>
      </c>
      <c r="R2140" s="1954">
        <f>VLOOKUP($A2140,satpek!$B$20:$L$138,9,0)</f>
        <v>0</v>
      </c>
      <c r="S2140" s="1954">
        <f>VLOOKUP($A2140,satpek!$B$20:$L$138,10,0)</f>
        <v>1640000</v>
      </c>
      <c r="T2140" s="1952">
        <f t="shared" si="1352"/>
        <v>1640000</v>
      </c>
      <c r="U2140" s="1955"/>
      <c r="X2140" s="1848">
        <f>P2141</f>
        <v>8200000</v>
      </c>
      <c r="Y2140" s="1848">
        <f>S2141</f>
        <v>1640000</v>
      </c>
      <c r="Z2140" s="1956">
        <v>1</v>
      </c>
      <c r="AA2140" s="1956">
        <f t="shared" si="1454"/>
        <v>0</v>
      </c>
      <c r="AB2140" s="1836" t="s">
        <v>1392</v>
      </c>
      <c r="AG2140" s="1836"/>
      <c r="AH2140" s="1836"/>
      <c r="AI2140" s="1837">
        <v>8600000</v>
      </c>
      <c r="AJ2140" s="1960">
        <f t="shared" si="1455"/>
        <v>400000</v>
      </c>
    </row>
    <row r="2141" spans="1:36" s="1957" customFormat="1" ht="21.95" customHeight="1" x14ac:dyDescent="0.2">
      <c r="A2141" s="1942"/>
      <c r="B2141" s="1970"/>
      <c r="C2141" s="1971"/>
      <c r="D2141" s="1972" t="str">
        <f>D2140</f>
        <v>Pasang instalasi penangkal petir 1 split lengkap</v>
      </c>
      <c r="E2141" s="1973"/>
      <c r="F2141" s="1974"/>
      <c r="G2141" s="1975">
        <f>G2140</f>
        <v>1</v>
      </c>
      <c r="H2141" s="1976" t="str">
        <f>H2140</f>
        <v>unit</v>
      </c>
      <c r="I2141" s="1977"/>
      <c r="J2141" s="1977"/>
      <c r="K2141" s="1978">
        <f>satpek!I130</f>
        <v>0.2</v>
      </c>
      <c r="L2141" s="1979"/>
      <c r="M2141" s="1980"/>
      <c r="N2141" s="1981">
        <f>N2140</f>
        <v>8200000</v>
      </c>
      <c r="O2141" s="1982"/>
      <c r="P2141" s="1983">
        <f>N2141</f>
        <v>8200000</v>
      </c>
      <c r="Q2141" s="1984"/>
      <c r="R2141" s="1985"/>
      <c r="S2141" s="1983">
        <f>K2141*N2141</f>
        <v>1640000</v>
      </c>
      <c r="T2141" s="1983">
        <f>N2141-S2141</f>
        <v>6560000</v>
      </c>
      <c r="U2141" s="1986"/>
      <c r="V2141" s="1848"/>
      <c r="W2141" s="1848"/>
      <c r="X2141" s="1848"/>
      <c r="Y2141" s="1848"/>
      <c r="Z2141" s="1956"/>
      <c r="AA2141" s="1956"/>
      <c r="AF2141" s="1958"/>
      <c r="AG2141" s="1958"/>
      <c r="AH2141" s="1958"/>
      <c r="AI2141" s="1959"/>
      <c r="AJ2141" s="1960"/>
    </row>
    <row r="2142" spans="1:36" ht="21.95" customHeight="1" x14ac:dyDescent="0.2">
      <c r="A2142" s="1833">
        <f>satpek!B131</f>
        <v>106</v>
      </c>
      <c r="B2142" s="1943">
        <f t="shared" ref="B2142" si="1476">B2140+1</f>
        <v>20</v>
      </c>
      <c r="C2142" s="2013"/>
      <c r="D2142" s="1944" t="str">
        <f>VLOOKUP($A2142,satpek!$B$20:$N$144,2,0)</f>
        <v>Testing &amp; Comissioning Instalasi Litrik</v>
      </c>
      <c r="E2142" s="2014"/>
      <c r="F2142" s="2015"/>
      <c r="G2142" s="2175">
        <f>'[3]B.VOL RAB'!Q650</f>
        <v>1</v>
      </c>
      <c r="H2142" s="1946" t="str">
        <f>VLOOKUP($A2142,satpek!$B$20:$N$144,7,0)</f>
        <v>lot</v>
      </c>
      <c r="I2142" s="1947"/>
      <c r="J2142" s="1947"/>
      <c r="K2142" s="1948"/>
      <c r="L2142" s="1949"/>
      <c r="M2142" s="1950" t="str">
        <f>VLOOKUP($A2142,satpek!$B$20:$N$144,5,0)</f>
        <v>Daftar harga</v>
      </c>
      <c r="N2142" s="1951">
        <f>VLOOKUP($A2142,satpek!$B$20:$N$144,6,0)</f>
        <v>3100000</v>
      </c>
      <c r="O2142" s="1938"/>
      <c r="P2142" s="1952">
        <f t="shared" si="1351"/>
        <v>3100000</v>
      </c>
      <c r="Q2142" s="1953">
        <f>VLOOKUP($A2142,satpek!$B$20:$L$138,8,0)</f>
        <v>0.75</v>
      </c>
      <c r="R2142" s="1954">
        <f>VLOOKUP($A2142,satpek!$B$20:$L$138,9,0)</f>
        <v>0</v>
      </c>
      <c r="S2142" s="1954">
        <f>VLOOKUP($A2142,satpek!$B$20:$L$138,10,0)</f>
        <v>2325000</v>
      </c>
      <c r="T2142" s="1952">
        <f t="shared" si="1352"/>
        <v>2325000</v>
      </c>
      <c r="U2142" s="1955"/>
      <c r="X2142" s="1848">
        <f>P2143</f>
        <v>3100000</v>
      </c>
      <c r="Y2142" s="1848">
        <f>S2143</f>
        <v>2325000</v>
      </c>
      <c r="Z2142" s="1956">
        <v>1</v>
      </c>
      <c r="AA2142" s="1956">
        <f t="shared" si="1454"/>
        <v>0</v>
      </c>
      <c r="AB2142" s="1836" t="s">
        <v>1889</v>
      </c>
      <c r="AC2142" s="1836">
        <v>0.01</v>
      </c>
      <c r="AE2142" s="2129">
        <f>SUM(P1822:P2138)</f>
        <v>359091731.10006559</v>
      </c>
      <c r="AF2142" s="1909">
        <f>AC2142*AE2142</f>
        <v>3590917.3110006559</v>
      </c>
      <c r="AG2142" s="1836"/>
      <c r="AH2142" s="1836"/>
      <c r="AI2142" s="1837">
        <v>3583839.5447</v>
      </c>
      <c r="AJ2142" s="1960">
        <f t="shared" si="1455"/>
        <v>483839.54469999997</v>
      </c>
    </row>
    <row r="2143" spans="1:36" s="1957" customFormat="1" ht="21.95" customHeight="1" x14ac:dyDescent="0.2">
      <c r="A2143" s="1942"/>
      <c r="B2143" s="1970"/>
      <c r="C2143" s="1971"/>
      <c r="D2143" s="1972" t="str">
        <f>D2142</f>
        <v>Testing &amp; Comissioning Instalasi Litrik</v>
      </c>
      <c r="E2143" s="1973"/>
      <c r="F2143" s="1974"/>
      <c r="G2143" s="1975">
        <f>G2142</f>
        <v>1</v>
      </c>
      <c r="H2143" s="1976" t="str">
        <f>H2142</f>
        <v>lot</v>
      </c>
      <c r="I2143" s="1977"/>
      <c r="J2143" s="1977"/>
      <c r="K2143" s="1978">
        <f>satpek!I131</f>
        <v>0.75</v>
      </c>
      <c r="L2143" s="1979"/>
      <c r="M2143" s="1980"/>
      <c r="N2143" s="1981">
        <f>N2142</f>
        <v>3100000</v>
      </c>
      <c r="O2143" s="1982"/>
      <c r="P2143" s="1983">
        <f>N2143</f>
        <v>3100000</v>
      </c>
      <c r="Q2143" s="1984"/>
      <c r="R2143" s="1985"/>
      <c r="S2143" s="1983">
        <f>K2143*N2143</f>
        <v>2325000</v>
      </c>
      <c r="T2143" s="1983">
        <f>N2143-S2143</f>
        <v>775000</v>
      </c>
      <c r="U2143" s="1986"/>
      <c r="V2143" s="1848"/>
      <c r="W2143" s="1848"/>
      <c r="X2143" s="1848"/>
      <c r="Y2143" s="1848"/>
      <c r="Z2143" s="1956"/>
      <c r="AA2143" s="1956"/>
      <c r="AF2143" s="1958"/>
      <c r="AG2143" s="1958"/>
      <c r="AH2143" s="1958"/>
      <c r="AI2143" s="1959"/>
      <c r="AJ2143" s="1960"/>
    </row>
    <row r="2144" spans="1:36" ht="21.95" customHeight="1" x14ac:dyDescent="0.2">
      <c r="B2144" s="2017"/>
      <c r="C2144" s="2018"/>
      <c r="D2144" s="2019"/>
      <c r="E2144" s="2019"/>
      <c r="F2144" s="2020"/>
      <c r="G2144" s="2021"/>
      <c r="H2144" s="2022"/>
      <c r="I2144" s="2023"/>
      <c r="J2144" s="2023"/>
      <c r="K2144" s="2024"/>
      <c r="L2144" s="2025"/>
      <c r="M2144" s="2025"/>
      <c r="N2144" s="2026" t="s">
        <v>358</v>
      </c>
      <c r="O2144" s="2027"/>
      <c r="P2144" s="2028" t="s">
        <v>1891</v>
      </c>
      <c r="Q2144" s="2029">
        <f>AVERAGE(Q1815:Q2142)</f>
        <v>0.60131922241035685</v>
      </c>
      <c r="R2144" s="2023"/>
      <c r="S2144" s="2023"/>
      <c r="T2144" s="2068">
        <f>SUM(T1814:T2142)</f>
        <v>208353575.3734391</v>
      </c>
      <c r="U2144" s="2031"/>
      <c r="V2144" s="1848">
        <f>[3]HPS!M318</f>
        <v>429967794.01000005</v>
      </c>
      <c r="W2144" s="1848" t="e">
        <f>#REF!-V2144</f>
        <v>#REF!</v>
      </c>
      <c r="Z2144" s="1956"/>
      <c r="AA2144" s="1956">
        <f t="shared" si="1454"/>
        <v>0</v>
      </c>
      <c r="AB2144" s="2174">
        <f>SUM(P1818:P2138)</f>
        <v>359093295.60006559</v>
      </c>
      <c r="AG2144" s="1836"/>
      <c r="AH2144" s="1836"/>
      <c r="AI2144" s="2176">
        <v>0.01</v>
      </c>
    </row>
    <row r="2145" spans="1:36" s="2157" customFormat="1" ht="21.95" customHeight="1" x14ac:dyDescent="0.2">
      <c r="A2145" s="1833"/>
      <c r="B2145" s="2177"/>
      <c r="C2145" s="2178"/>
      <c r="D2145" s="2179"/>
      <c r="E2145" s="2179"/>
      <c r="F2145" s="2179"/>
      <c r="G2145" s="2180"/>
      <c r="H2145" s="2181"/>
      <c r="I2145" s="2182"/>
      <c r="J2145" s="2182"/>
      <c r="K2145" s="2183"/>
      <c r="L2145" s="2181"/>
      <c r="M2145" s="3513" t="s">
        <v>1892</v>
      </c>
      <c r="N2145" s="3513"/>
      <c r="O2145" s="3513"/>
      <c r="P2145" s="3514"/>
      <c r="Q2145" s="2184"/>
      <c r="R2145" s="2184"/>
      <c r="S2145" s="2184"/>
      <c r="T2145" s="2185"/>
      <c r="U2145" s="2186"/>
      <c r="V2145" s="1848">
        <f>[3]HPS!M319</f>
        <v>5130852639.9899988</v>
      </c>
      <c r="W2145" s="1848" t="e">
        <f>#REF!-V2145</f>
        <v>#REF!</v>
      </c>
      <c r="X2145" s="1848"/>
      <c r="Y2145" s="1848"/>
      <c r="Z2145" s="1956"/>
      <c r="AA2145" s="1956">
        <f t="shared" si="1454"/>
        <v>0</v>
      </c>
      <c r="AB2145" s="2187"/>
      <c r="AE2145" s="2158"/>
      <c r="AF2145" s="2158"/>
      <c r="AG2145" s="2158"/>
      <c r="AH2145" s="2158"/>
      <c r="AI2145" s="1837">
        <f>AI2144*AB2144</f>
        <v>3590932.9560006559</v>
      </c>
    </row>
    <row r="2146" spans="1:36" s="1924" customFormat="1" ht="32.1" customHeight="1" x14ac:dyDescent="0.2">
      <c r="A2146" s="1911"/>
      <c r="B2146" s="2188" t="s">
        <v>547</v>
      </c>
      <c r="C2146" s="1913"/>
      <c r="D2146" s="2189" t="s">
        <v>1998</v>
      </c>
      <c r="E2146" s="1913"/>
      <c r="F2146" s="1915"/>
      <c r="G2146" s="1916"/>
      <c r="H2146" s="1913"/>
      <c r="I2146" s="1917"/>
      <c r="J2146" s="1917"/>
      <c r="K2146" s="2190"/>
      <c r="L2146" s="1918"/>
      <c r="M2146" s="1919"/>
      <c r="N2146" s="1916"/>
      <c r="O2146" s="1920"/>
      <c r="P2146" s="1915"/>
      <c r="Q2146" s="2191"/>
      <c r="R2146" s="2191"/>
      <c r="S2146" s="2191"/>
      <c r="T2146" s="2192"/>
      <c r="U2146" s="2193"/>
      <c r="V2146" s="1848"/>
      <c r="W2146" s="1848"/>
      <c r="X2146" s="1848"/>
      <c r="Y2146" s="1848"/>
      <c r="Z2146" s="1956"/>
      <c r="AA2146" s="1956">
        <f t="shared" si="1454"/>
        <v>0</v>
      </c>
      <c r="AF2146" s="1925"/>
      <c r="AG2146" s="1925"/>
      <c r="AH2146" s="1925"/>
      <c r="AI2146" s="1926"/>
    </row>
    <row r="2147" spans="1:36" s="2157" customFormat="1" ht="21.95" customHeight="1" x14ac:dyDescent="0.2">
      <c r="A2147" s="1833"/>
      <c r="B2147" s="2194" t="s">
        <v>1760</v>
      </c>
      <c r="C2147" s="2195"/>
      <c r="D2147" s="2196" t="s">
        <v>1893</v>
      </c>
      <c r="E2147" s="2197"/>
      <c r="F2147" s="2197"/>
      <c r="G2147" s="2198"/>
      <c r="H2147" s="2199"/>
      <c r="I2147" s="2200"/>
      <c r="J2147" s="2200"/>
      <c r="K2147" s="2201"/>
      <c r="L2147" s="2199"/>
      <c r="M2147" s="2202"/>
      <c r="N2147" s="2203"/>
      <c r="O2147" s="2204"/>
      <c r="P2147" s="2205"/>
      <c r="Q2147" s="2206"/>
      <c r="R2147" s="2206"/>
      <c r="S2147" s="2206"/>
      <c r="T2147" s="2207"/>
      <c r="U2147" s="2208"/>
      <c r="V2147" s="1848"/>
      <c r="W2147" s="1848"/>
      <c r="X2147" s="1848"/>
      <c r="Y2147" s="1848"/>
      <c r="Z2147" s="1956"/>
      <c r="AA2147" s="1956">
        <f t="shared" si="1454"/>
        <v>0</v>
      </c>
      <c r="AB2147" s="2187" t="s">
        <v>1893</v>
      </c>
      <c r="AE2147" s="2158"/>
      <c r="AF2147" s="2158"/>
      <c r="AG2147" s="2158"/>
      <c r="AH2147" s="2158"/>
      <c r="AI2147" s="1837"/>
    </row>
    <row r="2148" spans="1:36" s="1957" customFormat="1" ht="21.95" customHeight="1" x14ac:dyDescent="0.2">
      <c r="A2148" s="1942">
        <f>satpek!B105</f>
        <v>86</v>
      </c>
      <c r="B2148" s="2209">
        <v>1</v>
      </c>
      <c r="C2148" s="2210"/>
      <c r="D2148" s="1944" t="str">
        <f>VLOOKUP($A2148,satpek!$B$20:$N$144,2,0)</f>
        <v>Memasang paving tb. 8 cm, K.250, polos</v>
      </c>
      <c r="E2148" s="2211"/>
      <c r="F2148" s="2212"/>
      <c r="G2148" s="2213">
        <v>852</v>
      </c>
      <c r="H2148" s="1946" t="str">
        <f>VLOOKUP($A2148,satpek!$B$20:$N$144,7,0)</f>
        <v>m2</v>
      </c>
      <c r="I2148" s="1947"/>
      <c r="J2148" s="1947"/>
      <c r="K2148" s="1948"/>
      <c r="L2148" s="1949"/>
      <c r="M2148" s="1950" t="str">
        <f>VLOOKUP($A2148,satpek!$B$20:$N$144,5,0)</f>
        <v>An. Dihitung</v>
      </c>
      <c r="N2148" s="1951">
        <f>VLOOKUP($A2148,satpek!$B$20:$N$144,6,0)</f>
        <v>206637.45</v>
      </c>
      <c r="O2148" s="1938"/>
      <c r="P2148" s="1952">
        <f t="shared" ref="P2148:P2158" si="1477">ROUND((G2148*N2148),2)</f>
        <v>176055107.40000001</v>
      </c>
      <c r="Q2148" s="1953">
        <f>VLOOKUP($A2148,satpek!$B$20:$L$138,8,0)</f>
        <v>1</v>
      </c>
      <c r="R2148" s="1954">
        <f>VLOOKUP($A2148,satpek!$B$20:$L$138,9,0)</f>
        <v>182865</v>
      </c>
      <c r="S2148" s="1954">
        <f>VLOOKUP($A2148,satpek!$B$20:$L$138,10,0)</f>
        <v>206637.45</v>
      </c>
      <c r="T2148" s="1952">
        <f>S2148*G2148</f>
        <v>176055107.40000001</v>
      </c>
      <c r="U2148" s="1955"/>
      <c r="V2148" s="1848">
        <f>47*4.2</f>
        <v>197.4</v>
      </c>
      <c r="W2148" s="1848"/>
      <c r="X2148" s="1848">
        <f>P2157</f>
        <v>182865</v>
      </c>
      <c r="Y2148" s="1848">
        <f>S2157</f>
        <v>182865</v>
      </c>
      <c r="Z2148" s="1956">
        <v>856</v>
      </c>
      <c r="AA2148" s="1956">
        <f t="shared" si="1454"/>
        <v>4</v>
      </c>
      <c r="AB2148" s="1957" t="s">
        <v>234</v>
      </c>
      <c r="AI2148" s="2109">
        <v>204546.95</v>
      </c>
      <c r="AJ2148" s="1960">
        <f>AI2148-N2148</f>
        <v>-2090.5</v>
      </c>
    </row>
    <row r="2149" spans="1:36" s="1957" customFormat="1" ht="21.95" customHeight="1" x14ac:dyDescent="0.2">
      <c r="A2149" s="1942"/>
      <c r="B2149" s="2214"/>
      <c r="C2149" s="2215" t="str">
        <f>SNI!D1706</f>
        <v>Bahan</v>
      </c>
      <c r="D2149" s="2216"/>
      <c r="E2149" s="2217"/>
      <c r="F2149" s="2218"/>
      <c r="G2149" s="2219"/>
      <c r="H2149" s="2220"/>
      <c r="I2149" s="2142"/>
      <c r="J2149" s="2142"/>
      <c r="K2149" s="2221"/>
      <c r="L2149" s="2222"/>
      <c r="M2149" s="2223"/>
      <c r="N2149" s="2224"/>
      <c r="O2149" s="2225"/>
      <c r="P2149" s="2226"/>
      <c r="Q2149" s="2227"/>
      <c r="R2149" s="2228"/>
      <c r="S2149" s="2228"/>
      <c r="T2149" s="2226"/>
      <c r="U2149" s="2229"/>
      <c r="V2149" s="1848"/>
      <c r="W2149" s="1848"/>
      <c r="X2149" s="1848"/>
      <c r="Y2149" s="1848"/>
      <c r="Z2149" s="1956"/>
      <c r="AA2149" s="1956"/>
      <c r="AI2149" s="2109"/>
      <c r="AJ2149" s="1960"/>
    </row>
    <row r="2150" spans="1:36" s="1957" customFormat="1" ht="21.95" customHeight="1" x14ac:dyDescent="0.2">
      <c r="A2150" s="1942"/>
      <c r="B2150" s="2214"/>
      <c r="C2150" s="2215"/>
      <c r="D2150" s="2230" t="str">
        <f>SNI!E1706</f>
        <v>Paving tebal 8 cm</v>
      </c>
      <c r="E2150" s="2217"/>
      <c r="F2150" s="2218"/>
      <c r="G2150" s="2219">
        <f>SNI!H1706</f>
        <v>1</v>
      </c>
      <c r="H2150" s="2231" t="str">
        <f>SNI!G1706</f>
        <v>m2</v>
      </c>
      <c r="I2150" s="2142"/>
      <c r="J2150" s="2142"/>
      <c r="K2150" s="2221">
        <f>SNI!L1706</f>
        <v>1</v>
      </c>
      <c r="L2150" s="2222"/>
      <c r="M2150" s="2223"/>
      <c r="N2150" s="2224">
        <f>SNI!I1706</f>
        <v>128000</v>
      </c>
      <c r="O2150" s="2225"/>
      <c r="P2150" s="1969">
        <f t="shared" ref="P2150" si="1478">N2150*G2150</f>
        <v>128000</v>
      </c>
      <c r="Q2150" s="1953"/>
      <c r="R2150" s="1954"/>
      <c r="S2150" s="1954">
        <f t="shared" ref="S2150" si="1479">P2150*K2150</f>
        <v>128000</v>
      </c>
      <c r="T2150" s="1969">
        <f t="shared" ref="T2150" si="1480">P2150-S2150</f>
        <v>0</v>
      </c>
      <c r="U2150" s="2229"/>
      <c r="V2150" s="1848"/>
      <c r="W2150" s="1848"/>
      <c r="X2150" s="1848"/>
      <c r="Y2150" s="1848"/>
      <c r="Z2150" s="1956"/>
      <c r="AA2150" s="1956"/>
      <c r="AI2150" s="2109"/>
      <c r="AJ2150" s="1960"/>
    </row>
    <row r="2151" spans="1:36" s="1957" customFormat="1" ht="21.95" customHeight="1" x14ac:dyDescent="0.2">
      <c r="A2151" s="1942"/>
      <c r="B2151" s="2214"/>
      <c r="C2151" s="2215"/>
      <c r="D2151" s="2230" t="str">
        <f>SNI!E1707</f>
        <v>Pasir Pasang</v>
      </c>
      <c r="E2151" s="2217"/>
      <c r="F2151" s="2218"/>
      <c r="G2151" s="2219">
        <f>SNI!H1707</f>
        <v>0.08</v>
      </c>
      <c r="H2151" s="2231" t="str">
        <f>SNI!G1707</f>
        <v>m3</v>
      </c>
      <c r="I2151" s="2142"/>
      <c r="J2151" s="2142"/>
      <c r="K2151" s="2221">
        <f>SNI!L1707</f>
        <v>1</v>
      </c>
      <c r="L2151" s="2222"/>
      <c r="M2151" s="2223"/>
      <c r="N2151" s="2224">
        <f>SNI!I1707</f>
        <v>260000</v>
      </c>
      <c r="O2151" s="2225"/>
      <c r="P2151" s="1969">
        <f t="shared" ref="P2151:P2156" si="1481">N2151*G2151</f>
        <v>20800</v>
      </c>
      <c r="Q2151" s="1953"/>
      <c r="R2151" s="1954"/>
      <c r="S2151" s="1954">
        <f t="shared" ref="S2151:S2156" si="1482">P2151*K2151</f>
        <v>20800</v>
      </c>
      <c r="T2151" s="1969">
        <f t="shared" ref="T2151:T2156" si="1483">P2151-S2151</f>
        <v>0</v>
      </c>
      <c r="U2151" s="2229"/>
      <c r="V2151" s="1848"/>
      <c r="W2151" s="1848"/>
      <c r="X2151" s="1848"/>
      <c r="Y2151" s="1848"/>
      <c r="Z2151" s="1956"/>
      <c r="AA2151" s="1956"/>
      <c r="AI2151" s="2109"/>
      <c r="AJ2151" s="1960"/>
    </row>
    <row r="2152" spans="1:36" s="1957" customFormat="1" ht="21.95" customHeight="1" x14ac:dyDescent="0.2">
      <c r="A2152" s="1942"/>
      <c r="B2152" s="2214"/>
      <c r="C2152" s="2215" t="str">
        <f>SNI!D1709</f>
        <v>Tenaga Kerja</v>
      </c>
      <c r="D2152" s="2230"/>
      <c r="E2152" s="2217"/>
      <c r="F2152" s="2218"/>
      <c r="G2152" s="2219"/>
      <c r="H2152" s="2231"/>
      <c r="I2152" s="2142"/>
      <c r="J2152" s="2142"/>
      <c r="K2152" s="2221"/>
      <c r="L2152" s="2222"/>
      <c r="M2152" s="2223"/>
      <c r="N2152" s="2224"/>
      <c r="O2152" s="2225"/>
      <c r="P2152" s="1969"/>
      <c r="Q2152" s="1953"/>
      <c r="R2152" s="1954"/>
      <c r="S2152" s="1954"/>
      <c r="T2152" s="1969"/>
      <c r="U2152" s="2229"/>
      <c r="V2152" s="1848"/>
      <c r="W2152" s="1848"/>
      <c r="X2152" s="1848"/>
      <c r="Y2152" s="1848"/>
      <c r="Z2152" s="1956"/>
      <c r="AA2152" s="1956"/>
      <c r="AI2152" s="2109"/>
      <c r="AJ2152" s="1960"/>
    </row>
    <row r="2153" spans="1:36" s="1957" customFormat="1" ht="21.95" customHeight="1" x14ac:dyDescent="0.2">
      <c r="A2153" s="1942"/>
      <c r="B2153" s="2214"/>
      <c r="C2153" s="2215"/>
      <c r="D2153" s="2230" t="str">
        <f>SNI!E1709</f>
        <v>Pekerja</v>
      </c>
      <c r="E2153" s="2217"/>
      <c r="F2153" s="2218"/>
      <c r="G2153" s="2219">
        <f>SNI!H1709</f>
        <v>0.15</v>
      </c>
      <c r="H2153" s="2231" t="str">
        <f>SNI!G1709</f>
        <v>OH</v>
      </c>
      <c r="I2153" s="2142" t="s">
        <v>2012</v>
      </c>
      <c r="J2153" s="2142"/>
      <c r="K2153" s="2221">
        <f>SNI!L1709</f>
        <v>1</v>
      </c>
      <c r="L2153" s="2222"/>
      <c r="M2153" s="2223"/>
      <c r="N2153" s="2224">
        <f>SNI!I1709</f>
        <v>88300</v>
      </c>
      <c r="O2153" s="2225"/>
      <c r="P2153" s="1969">
        <f t="shared" si="1481"/>
        <v>13245</v>
      </c>
      <c r="Q2153" s="1953"/>
      <c r="R2153" s="1954"/>
      <c r="S2153" s="1954">
        <f t="shared" si="1482"/>
        <v>13245</v>
      </c>
      <c r="T2153" s="1969">
        <f t="shared" si="1483"/>
        <v>0</v>
      </c>
      <c r="U2153" s="2229"/>
      <c r="V2153" s="1848"/>
      <c r="W2153" s="1848"/>
      <c r="X2153" s="1848"/>
      <c r="Y2153" s="1848"/>
      <c r="Z2153" s="1956"/>
      <c r="AA2153" s="1956"/>
      <c r="AI2153" s="2109"/>
      <c r="AJ2153" s="1960"/>
    </row>
    <row r="2154" spans="1:36" s="1957" customFormat="1" ht="21.95" customHeight="1" x14ac:dyDescent="0.2">
      <c r="A2154" s="1942"/>
      <c r="B2154" s="2214"/>
      <c r="C2154" s="2215"/>
      <c r="D2154" s="2230" t="str">
        <f>SNI!E1710</f>
        <v>Tukang batu</v>
      </c>
      <c r="E2154" s="2217"/>
      <c r="F2154" s="2218"/>
      <c r="G2154" s="2219">
        <f>SNI!H1710</f>
        <v>0.2</v>
      </c>
      <c r="H2154" s="2231" t="str">
        <f>SNI!G1710</f>
        <v>OH</v>
      </c>
      <c r="I2154" s="2142" t="s">
        <v>2012</v>
      </c>
      <c r="J2154" s="2142"/>
      <c r="K2154" s="2221">
        <f>SNI!L1710</f>
        <v>1</v>
      </c>
      <c r="L2154" s="2222"/>
      <c r="M2154" s="2223"/>
      <c r="N2154" s="2224">
        <f>SNI!I1710</f>
        <v>90000</v>
      </c>
      <c r="O2154" s="2225"/>
      <c r="P2154" s="1969">
        <f t="shared" si="1481"/>
        <v>18000</v>
      </c>
      <c r="Q2154" s="1953"/>
      <c r="R2154" s="1954"/>
      <c r="S2154" s="1954">
        <f t="shared" si="1482"/>
        <v>18000</v>
      </c>
      <c r="T2154" s="1969">
        <f t="shared" si="1483"/>
        <v>0</v>
      </c>
      <c r="U2154" s="2229"/>
      <c r="V2154" s="1848"/>
      <c r="W2154" s="1848"/>
      <c r="X2154" s="1848"/>
      <c r="Y2154" s="1848"/>
      <c r="Z2154" s="1956"/>
      <c r="AA2154" s="1956"/>
      <c r="AI2154" s="2109"/>
      <c r="AJ2154" s="1960"/>
    </row>
    <row r="2155" spans="1:36" s="1957" customFormat="1" ht="21.95" customHeight="1" x14ac:dyDescent="0.2">
      <c r="A2155" s="1942"/>
      <c r="B2155" s="2214"/>
      <c r="C2155" s="2215"/>
      <c r="D2155" s="2230" t="str">
        <f>SNI!E1711</f>
        <v>Kep.Tukang</v>
      </c>
      <c r="E2155" s="2217"/>
      <c r="F2155" s="2218"/>
      <c r="G2155" s="2219">
        <f>SNI!H1711</f>
        <v>0.02</v>
      </c>
      <c r="H2155" s="2231" t="str">
        <f>SNI!G1711</f>
        <v>OH</v>
      </c>
      <c r="I2155" s="2142" t="s">
        <v>2012</v>
      </c>
      <c r="J2155" s="2142"/>
      <c r="K2155" s="2221">
        <f>SNI!L1711</f>
        <v>1</v>
      </c>
      <c r="L2155" s="2222"/>
      <c r="M2155" s="2223"/>
      <c r="N2155" s="2224">
        <f>SNI!I1711</f>
        <v>96000</v>
      </c>
      <c r="O2155" s="2225"/>
      <c r="P2155" s="1969">
        <f t="shared" si="1481"/>
        <v>1920</v>
      </c>
      <c r="Q2155" s="1953"/>
      <c r="R2155" s="1954"/>
      <c r="S2155" s="1954">
        <f t="shared" si="1482"/>
        <v>1920</v>
      </c>
      <c r="T2155" s="1969">
        <f t="shared" si="1483"/>
        <v>0</v>
      </c>
      <c r="U2155" s="2229"/>
      <c r="V2155" s="1848"/>
      <c r="W2155" s="1848"/>
      <c r="X2155" s="1848"/>
      <c r="Y2155" s="1848"/>
      <c r="Z2155" s="1956"/>
      <c r="AA2155" s="1956"/>
      <c r="AI2155" s="2109"/>
      <c r="AJ2155" s="1960"/>
    </row>
    <row r="2156" spans="1:36" s="1957" customFormat="1" ht="21.95" customHeight="1" x14ac:dyDescent="0.2">
      <c r="A2156" s="1942"/>
      <c r="B2156" s="2214"/>
      <c r="C2156" s="2215"/>
      <c r="D2156" s="2230" t="str">
        <f>SNI!E1712</f>
        <v>Mandor</v>
      </c>
      <c r="E2156" s="2217"/>
      <c r="F2156" s="2218"/>
      <c r="G2156" s="2219">
        <f>SNI!H1712</f>
        <v>0.01</v>
      </c>
      <c r="H2156" s="2231" t="str">
        <f>SNI!G1712</f>
        <v>OH</v>
      </c>
      <c r="I2156" s="2142" t="s">
        <v>2012</v>
      </c>
      <c r="J2156" s="2142"/>
      <c r="K2156" s="2221">
        <f>SNI!L1712</f>
        <v>1</v>
      </c>
      <c r="L2156" s="2222"/>
      <c r="M2156" s="2223"/>
      <c r="N2156" s="2224">
        <f>SNI!I1712</f>
        <v>90000</v>
      </c>
      <c r="O2156" s="2225"/>
      <c r="P2156" s="1969">
        <f t="shared" si="1481"/>
        <v>900</v>
      </c>
      <c r="Q2156" s="1953"/>
      <c r="R2156" s="1954"/>
      <c r="S2156" s="1954">
        <f t="shared" si="1482"/>
        <v>900</v>
      </c>
      <c r="T2156" s="1969">
        <f t="shared" si="1483"/>
        <v>0</v>
      </c>
      <c r="U2156" s="2229"/>
      <c r="V2156" s="1848"/>
      <c r="W2156" s="1848"/>
      <c r="X2156" s="1848"/>
      <c r="Y2156" s="1848"/>
      <c r="Z2156" s="1956"/>
      <c r="AA2156" s="1956"/>
      <c r="AI2156" s="2109"/>
      <c r="AJ2156" s="1960"/>
    </row>
    <row r="2157" spans="1:36" s="1957" customFormat="1" ht="21.95" customHeight="1" x14ac:dyDescent="0.2">
      <c r="A2157" s="1942"/>
      <c r="B2157" s="1970"/>
      <c r="C2157" s="1971"/>
      <c r="D2157" s="1972"/>
      <c r="E2157" s="1973"/>
      <c r="F2157" s="1974" t="s">
        <v>556</v>
      </c>
      <c r="G2157" s="1975">
        <f>B2148</f>
        <v>1</v>
      </c>
      <c r="H2157" s="1976"/>
      <c r="I2157" s="1977"/>
      <c r="J2157" s="1977"/>
      <c r="K2157" s="1978"/>
      <c r="L2157" s="1979"/>
      <c r="M2157" s="1980"/>
      <c r="N2157" s="1981"/>
      <c r="O2157" s="1982"/>
      <c r="P2157" s="1983">
        <f>SUM(P2150:P2156)</f>
        <v>182865</v>
      </c>
      <c r="Q2157" s="1984"/>
      <c r="R2157" s="1985"/>
      <c r="S2157" s="1983">
        <f t="shared" ref="S2157:T2157" si="1484">SUM(S2150:S2156)</f>
        <v>182865</v>
      </c>
      <c r="T2157" s="1983">
        <f t="shared" si="1484"/>
        <v>0</v>
      </c>
      <c r="U2157" s="1986"/>
      <c r="V2157" s="1848"/>
      <c r="W2157" s="1848"/>
      <c r="X2157" s="1848"/>
      <c r="Y2157" s="1848"/>
      <c r="Z2157" s="1956"/>
      <c r="AA2157" s="1956"/>
      <c r="AF2157" s="1958"/>
      <c r="AG2157" s="1958"/>
      <c r="AH2157" s="1958"/>
      <c r="AI2157" s="1959"/>
      <c r="AJ2157" s="1960"/>
    </row>
    <row r="2158" spans="1:36" s="1957" customFormat="1" ht="21.95" customHeight="1" x14ac:dyDescent="0.2">
      <c r="A2158" s="1942">
        <f>satpek!B29</f>
        <v>10</v>
      </c>
      <c r="B2158" s="2214">
        <v>2</v>
      </c>
      <c r="C2158" s="2215"/>
      <c r="D2158" s="2008" t="str">
        <f>VLOOKUP($A2158,satpek!$B$20:$N$144,2,0)</f>
        <v>Mengurug pasir urug</v>
      </c>
      <c r="E2158" s="2217"/>
      <c r="F2158" s="2218"/>
      <c r="G2158" s="2219">
        <f>G2148*0.07</f>
        <v>59.640000000000008</v>
      </c>
      <c r="H2158" s="2232" t="str">
        <f>VLOOKUP($A2158,satpek!$B$20:$N$144,7,0)</f>
        <v>m3</v>
      </c>
      <c r="I2158" s="2233"/>
      <c r="J2158" s="2233"/>
      <c r="K2158" s="2234"/>
      <c r="L2158" s="2235"/>
      <c r="M2158" s="2236" t="str">
        <f>VLOOKUP($A2158,satpek!$B$20:$N$144,5,0)</f>
        <v>A.2.3.1.11.</v>
      </c>
      <c r="N2158" s="2237">
        <f>VLOOKUP($A2158,satpek!$B$20:$N$144,6,0)</f>
        <v>251978.7</v>
      </c>
      <c r="O2158" s="2238"/>
      <c r="P2158" s="2239">
        <f t="shared" si="1477"/>
        <v>15028009.67</v>
      </c>
      <c r="Q2158" s="2240">
        <f>VLOOKUP($A2158,satpek!$B$20:$L$138,8,0)</f>
        <v>1</v>
      </c>
      <c r="R2158" s="2241">
        <f>VLOOKUP($A2158,satpek!$B$20:$L$138,9,0)</f>
        <v>222990</v>
      </c>
      <c r="S2158" s="2241">
        <f>VLOOKUP($A2158,satpek!$B$20:$L$138,10,0)</f>
        <v>251978.7</v>
      </c>
      <c r="T2158" s="2239">
        <f>S2158*G2158</f>
        <v>15028009.668000003</v>
      </c>
      <c r="U2158" s="2242"/>
      <c r="V2158" s="1848"/>
      <c r="W2158" s="1848"/>
      <c r="X2158" s="1848">
        <f>P2164</f>
        <v>222990</v>
      </c>
      <c r="Y2158" s="1848">
        <f>S2164</f>
        <v>222990</v>
      </c>
      <c r="Z2158" s="1956">
        <v>59.920000000000009</v>
      </c>
      <c r="AA2158" s="1956">
        <f t="shared" si="1454"/>
        <v>0.28000000000000114</v>
      </c>
      <c r="AB2158" s="1957" t="s">
        <v>467</v>
      </c>
      <c r="AI2158" s="2109">
        <v>237435.6</v>
      </c>
      <c r="AJ2158" s="1960">
        <f>AI2158-N2158</f>
        <v>-14543.100000000006</v>
      </c>
    </row>
    <row r="2159" spans="1:36" s="1957" customFormat="1" ht="21.95" customHeight="1" x14ac:dyDescent="0.2">
      <c r="A2159" s="1942"/>
      <c r="B2159" s="2214"/>
      <c r="C2159" s="2215" t="str">
        <f>SNI!D175</f>
        <v>Bahan</v>
      </c>
      <c r="D2159" s="2230"/>
      <c r="E2159" s="2217"/>
      <c r="F2159" s="2218"/>
      <c r="G2159" s="2219"/>
      <c r="H2159" s="2231"/>
      <c r="I2159" s="2142"/>
      <c r="J2159" s="2142"/>
      <c r="K2159" s="2221"/>
      <c r="L2159" s="2222"/>
      <c r="M2159" s="2223"/>
      <c r="N2159" s="2224"/>
      <c r="O2159" s="2225"/>
      <c r="P2159" s="1969"/>
      <c r="Q2159" s="1953"/>
      <c r="R2159" s="1954"/>
      <c r="S2159" s="1954"/>
      <c r="T2159" s="1969"/>
      <c r="U2159" s="2229"/>
      <c r="V2159" s="1848"/>
      <c r="W2159" s="1848"/>
      <c r="X2159" s="1848"/>
      <c r="Y2159" s="1848"/>
      <c r="Z2159" s="1956"/>
      <c r="AA2159" s="1956"/>
      <c r="AI2159" s="2109"/>
      <c r="AJ2159" s="1960"/>
    </row>
    <row r="2160" spans="1:36" s="1957" customFormat="1" ht="21.95" customHeight="1" x14ac:dyDescent="0.2">
      <c r="A2160" s="1942"/>
      <c r="B2160" s="2214"/>
      <c r="C2160" s="2215"/>
      <c r="D2160" s="2230" t="str">
        <f>SNI!E175</f>
        <v>Pasir Urug</v>
      </c>
      <c r="E2160" s="2217"/>
      <c r="F2160" s="2218"/>
      <c r="G2160" s="2219">
        <f>SNI!H175</f>
        <v>1.2</v>
      </c>
      <c r="H2160" s="2231" t="str">
        <f>SNI!G175</f>
        <v>m3</v>
      </c>
      <c r="I2160" s="2142"/>
      <c r="J2160" s="2142"/>
      <c r="K2160" s="2221">
        <f>SNI!L175</f>
        <v>1</v>
      </c>
      <c r="L2160" s="2222"/>
      <c r="M2160" s="2223"/>
      <c r="N2160" s="2224">
        <f>SNI!I175</f>
        <v>163000</v>
      </c>
      <c r="O2160" s="2225"/>
      <c r="P2160" s="1969">
        <f t="shared" ref="P2160" si="1485">N2160*G2160</f>
        <v>195600</v>
      </c>
      <c r="Q2160" s="1953"/>
      <c r="R2160" s="1954"/>
      <c r="S2160" s="1954">
        <f t="shared" ref="S2160" si="1486">P2160*K2160</f>
        <v>195600</v>
      </c>
      <c r="T2160" s="1969">
        <f t="shared" ref="T2160" si="1487">P2160-S2160</f>
        <v>0</v>
      </c>
      <c r="U2160" s="2229"/>
      <c r="V2160" s="1848"/>
      <c r="W2160" s="1848"/>
      <c r="X2160" s="1848"/>
      <c r="Y2160" s="1848"/>
      <c r="Z2160" s="1956"/>
      <c r="AA2160" s="1956"/>
      <c r="AI2160" s="2109"/>
      <c r="AJ2160" s="1960"/>
    </row>
    <row r="2161" spans="1:36" s="1957" customFormat="1" ht="21.95" customHeight="1" x14ac:dyDescent="0.2">
      <c r="A2161" s="1942"/>
      <c r="B2161" s="2214"/>
      <c r="C2161" s="2215" t="str">
        <f>SNI!D177</f>
        <v>Tenaga Kerja</v>
      </c>
      <c r="D2161" s="2230"/>
      <c r="E2161" s="2217"/>
      <c r="F2161" s="2218"/>
      <c r="G2161" s="2219"/>
      <c r="H2161" s="2231"/>
      <c r="I2161" s="2142"/>
      <c r="J2161" s="2142"/>
      <c r="K2161" s="2221"/>
      <c r="L2161" s="2222"/>
      <c r="M2161" s="2223"/>
      <c r="N2161" s="2224"/>
      <c r="O2161" s="2225"/>
      <c r="P2161" s="1969"/>
      <c r="Q2161" s="1953"/>
      <c r="R2161" s="1954"/>
      <c r="S2161" s="1954"/>
      <c r="T2161" s="1969"/>
      <c r="U2161" s="2229"/>
      <c r="V2161" s="1848"/>
      <c r="W2161" s="1848"/>
      <c r="X2161" s="1848"/>
      <c r="Y2161" s="1848"/>
      <c r="Z2161" s="1956"/>
      <c r="AA2161" s="1956"/>
      <c r="AI2161" s="2109"/>
      <c r="AJ2161" s="1960"/>
    </row>
    <row r="2162" spans="1:36" s="1957" customFormat="1" ht="21.95" customHeight="1" x14ac:dyDescent="0.2">
      <c r="A2162" s="1942"/>
      <c r="B2162" s="2214"/>
      <c r="C2162" s="2215"/>
      <c r="D2162" s="2230" t="str">
        <f>SNI!E177</f>
        <v>Pekerja</v>
      </c>
      <c r="E2162" s="2217"/>
      <c r="F2162" s="2218"/>
      <c r="G2162" s="2219">
        <f>SNI!H177</f>
        <v>0.3</v>
      </c>
      <c r="H2162" s="2231" t="str">
        <f>SNI!G177</f>
        <v>OH</v>
      </c>
      <c r="I2162" s="2142" t="str">
        <f>SNI!M177</f>
        <v>WNI</v>
      </c>
      <c r="J2162" s="2142"/>
      <c r="K2162" s="2221">
        <f>SNI!L177</f>
        <v>1</v>
      </c>
      <c r="L2162" s="2222"/>
      <c r="M2162" s="2223"/>
      <c r="N2162" s="2224">
        <f>SNI!I177</f>
        <v>88300</v>
      </c>
      <c r="O2162" s="2225"/>
      <c r="P2162" s="1969">
        <f t="shared" ref="P2162:P2163" si="1488">N2162*G2162</f>
        <v>26490</v>
      </c>
      <c r="Q2162" s="1953"/>
      <c r="R2162" s="1954"/>
      <c r="S2162" s="1954">
        <f t="shared" ref="S2162:S2163" si="1489">P2162*K2162</f>
        <v>26490</v>
      </c>
      <c r="T2162" s="1969">
        <f t="shared" ref="T2162:T2163" si="1490">P2162-S2162</f>
        <v>0</v>
      </c>
      <c r="U2162" s="2229"/>
      <c r="V2162" s="1848"/>
      <c r="W2162" s="1848"/>
      <c r="X2162" s="1848"/>
      <c r="Y2162" s="1848"/>
      <c r="Z2162" s="1956"/>
      <c r="AA2162" s="1956"/>
      <c r="AI2162" s="2109"/>
      <c r="AJ2162" s="1960"/>
    </row>
    <row r="2163" spans="1:36" s="1957" customFormat="1" ht="21.95" customHeight="1" x14ac:dyDescent="0.2">
      <c r="A2163" s="1942"/>
      <c r="B2163" s="2214"/>
      <c r="C2163" s="2215"/>
      <c r="D2163" s="2230" t="str">
        <f>SNI!E178</f>
        <v>Mandor</v>
      </c>
      <c r="E2163" s="2217"/>
      <c r="F2163" s="2218"/>
      <c r="G2163" s="2219">
        <f>SNI!H178</f>
        <v>0.01</v>
      </c>
      <c r="H2163" s="2231" t="str">
        <f>SNI!G178</f>
        <v>OH</v>
      </c>
      <c r="I2163" s="2142" t="str">
        <f>SNI!M178</f>
        <v>WNI</v>
      </c>
      <c r="J2163" s="2142"/>
      <c r="K2163" s="2221">
        <f>SNI!L178</f>
        <v>1</v>
      </c>
      <c r="L2163" s="2222"/>
      <c r="M2163" s="2223"/>
      <c r="N2163" s="2224">
        <f>SNI!I178</f>
        <v>90000</v>
      </c>
      <c r="O2163" s="2225"/>
      <c r="P2163" s="1969">
        <f t="shared" si="1488"/>
        <v>900</v>
      </c>
      <c r="Q2163" s="1953"/>
      <c r="R2163" s="1954"/>
      <c r="S2163" s="1954">
        <f t="shared" si="1489"/>
        <v>900</v>
      </c>
      <c r="T2163" s="1969">
        <f t="shared" si="1490"/>
        <v>0</v>
      </c>
      <c r="U2163" s="2229"/>
      <c r="V2163" s="1848"/>
      <c r="W2163" s="1848"/>
      <c r="X2163" s="1848"/>
      <c r="Y2163" s="1848"/>
      <c r="Z2163" s="1956"/>
      <c r="AA2163" s="1956"/>
      <c r="AI2163" s="2109"/>
      <c r="AJ2163" s="1960"/>
    </row>
    <row r="2164" spans="1:36" s="1957" customFormat="1" ht="21.95" customHeight="1" x14ac:dyDescent="0.2">
      <c r="A2164" s="1942"/>
      <c r="B2164" s="1970"/>
      <c r="C2164" s="1971"/>
      <c r="D2164" s="1972"/>
      <c r="E2164" s="1973"/>
      <c r="F2164" s="1974" t="s">
        <v>556</v>
      </c>
      <c r="G2164" s="1975">
        <f>B2158</f>
        <v>2</v>
      </c>
      <c r="H2164" s="1976"/>
      <c r="I2164" s="1977"/>
      <c r="J2164" s="1977"/>
      <c r="K2164" s="1978"/>
      <c r="L2164" s="1979"/>
      <c r="M2164" s="1980"/>
      <c r="N2164" s="1981"/>
      <c r="O2164" s="1982"/>
      <c r="P2164" s="1983">
        <f>SUM(P2160:P2163)</f>
        <v>222990</v>
      </c>
      <c r="Q2164" s="1984"/>
      <c r="R2164" s="1985"/>
      <c r="S2164" s="1983">
        <f t="shared" ref="S2164:T2164" si="1491">SUM(S2160:S2163)</f>
        <v>222990</v>
      </c>
      <c r="T2164" s="1983">
        <f t="shared" si="1491"/>
        <v>0</v>
      </c>
      <c r="U2164" s="1986"/>
      <c r="V2164" s="1848"/>
      <c r="W2164" s="1848"/>
      <c r="X2164" s="1848"/>
      <c r="Y2164" s="1848"/>
      <c r="Z2164" s="1956"/>
      <c r="AA2164" s="1956"/>
      <c r="AF2164" s="1958"/>
      <c r="AG2164" s="1958"/>
      <c r="AH2164" s="1958"/>
      <c r="AI2164" s="1959"/>
      <c r="AJ2164" s="1960"/>
    </row>
    <row r="2165" spans="1:36" s="1957" customFormat="1" ht="21.95" customHeight="1" x14ac:dyDescent="0.2">
      <c r="A2165" s="1942"/>
      <c r="B2165" s="2243"/>
      <c r="C2165" s="2244"/>
      <c r="D2165" s="2245"/>
      <c r="E2165" s="2246"/>
      <c r="F2165" s="2245"/>
      <c r="G2165" s="2247"/>
      <c r="H2165" s="2246"/>
      <c r="I2165" s="2248"/>
      <c r="J2165" s="2248"/>
      <c r="K2165" s="2249"/>
      <c r="L2165" s="2246"/>
      <c r="M2165" s="2250"/>
      <c r="N2165" s="2251"/>
      <c r="O2165" s="2244"/>
      <c r="P2165" s="2252"/>
      <c r="Q2165" s="2253">
        <f>AVERAGE(Q2147:Q2158)</f>
        <v>1</v>
      </c>
      <c r="R2165" s="2254"/>
      <c r="S2165" s="2254"/>
      <c r="T2165" s="2255">
        <f>SUM(T2148:T2158)</f>
        <v>191083117.06800002</v>
      </c>
      <c r="U2165" s="2256"/>
      <c r="V2165" s="1848"/>
      <c r="W2165" s="1848"/>
      <c r="X2165" s="1848"/>
      <c r="Y2165" s="1848"/>
      <c r="Z2165" s="1956"/>
      <c r="AA2165" s="1956">
        <f t="shared" si="1454"/>
        <v>0</v>
      </c>
      <c r="AI2165" s="2109"/>
    </row>
    <row r="2166" spans="1:36" s="1957" customFormat="1" ht="21.95" customHeight="1" x14ac:dyDescent="0.2">
      <c r="A2166" s="1942"/>
      <c r="B2166" s="2257"/>
      <c r="C2166" s="2258"/>
      <c r="D2166" s="2259"/>
      <c r="E2166" s="2259"/>
      <c r="F2166" s="2260"/>
      <c r="G2166" s="2261"/>
      <c r="H2166" s="2259"/>
      <c r="I2166" s="2262"/>
      <c r="J2166" s="2262"/>
      <c r="K2166" s="2263"/>
      <c r="L2166" s="2259"/>
      <c r="M2166" s="3515" t="s">
        <v>1894</v>
      </c>
      <c r="N2166" s="3515"/>
      <c r="O2166" s="3515"/>
      <c r="P2166" s="3516"/>
      <c r="Q2166" s="2264">
        <f>AVERAGE(Q14:Q2165)</f>
        <v>0.68717627733183306</v>
      </c>
      <c r="R2166" s="2265"/>
      <c r="S2166" s="2265"/>
      <c r="T2166" s="2266">
        <f>SUM(T14:T2165)/2</f>
        <v>3427661717.370821</v>
      </c>
      <c r="U2166" s="2267"/>
      <c r="V2166" s="1848">
        <f>[3]HPS!$M$324</f>
        <v>143537669.85800001</v>
      </c>
      <c r="W2166" s="1848" t="e">
        <f>#REF!-V2166</f>
        <v>#REF!</v>
      </c>
      <c r="X2166" s="1848"/>
      <c r="Y2166" s="1848"/>
      <c r="Z2166" s="1956"/>
      <c r="AA2166" s="1956"/>
      <c r="AB2166" s="2268">
        <f>Rekap!Q48</f>
        <v>1175000</v>
      </c>
      <c r="AI2166" s="2109"/>
    </row>
    <row r="2167" spans="1:36" s="2157" customFormat="1" ht="21.95" customHeight="1" x14ac:dyDescent="0.2">
      <c r="A2167" s="1833"/>
      <c r="B2167" s="2269"/>
      <c r="C2167" s="2270"/>
      <c r="D2167" s="2271"/>
      <c r="E2167" s="2271"/>
      <c r="F2167" s="2271"/>
      <c r="G2167" s="2272"/>
      <c r="H2167" s="2273"/>
      <c r="I2167" s="2274"/>
      <c r="J2167" s="2274"/>
      <c r="K2167" s="2275"/>
      <c r="L2167" s="2273"/>
      <c r="M2167" s="2276"/>
      <c r="N2167" s="2277"/>
      <c r="O2167" s="2276"/>
      <c r="P2167" s="2278" t="s">
        <v>2021</v>
      </c>
      <c r="Q2167" s="2279"/>
      <c r="R2167" s="2279"/>
      <c r="S2167" s="2279"/>
      <c r="T2167" s="2280"/>
      <c r="U2167" s="2281"/>
      <c r="V2167" s="1848"/>
      <c r="W2167" s="1848"/>
      <c r="X2167" s="1848"/>
      <c r="Y2167" s="1848"/>
      <c r="Z2167" s="1956"/>
      <c r="AA2167" s="1956"/>
      <c r="AB2167" s="2187"/>
      <c r="AE2167" s="2158"/>
      <c r="AF2167" s="2158"/>
      <c r="AG2167" s="2158"/>
      <c r="AH2167" s="2158"/>
      <c r="AI2167" s="1837"/>
    </row>
    <row r="2168" spans="1:36" s="2293" customFormat="1" ht="21.95" customHeight="1" x14ac:dyDescent="0.2">
      <c r="A2168" s="2130"/>
      <c r="B2168" s="2282"/>
      <c r="C2168" s="2283"/>
      <c r="D2168" s="2284"/>
      <c r="E2168" s="2284"/>
      <c r="F2168" s="2285"/>
      <c r="G2168" s="2286"/>
      <c r="H2168" s="2287"/>
      <c r="I2168" s="2288"/>
      <c r="J2168" s="2288"/>
      <c r="K2168" s="2120"/>
      <c r="L2168" s="2289"/>
      <c r="M2168" s="2290"/>
      <c r="N2168" s="2291"/>
      <c r="O2168" s="2292"/>
      <c r="P2168" s="2290" t="s">
        <v>1646</v>
      </c>
      <c r="Q2168" s="2184"/>
      <c r="R2168" s="2184"/>
      <c r="S2168" s="2184"/>
      <c r="T2168" s="2184"/>
      <c r="U2168" s="2186"/>
      <c r="V2168" s="2125"/>
      <c r="W2168" s="2125"/>
      <c r="X2168" s="2125"/>
      <c r="Y2168" s="2125"/>
      <c r="Z2168" s="2125"/>
      <c r="AA2168" s="2125"/>
      <c r="AB2168" s="2187"/>
      <c r="AE2168" s="2158"/>
      <c r="AF2168" s="2158"/>
      <c r="AG2168" s="2158"/>
      <c r="AH2168" s="2158"/>
      <c r="AI2168" s="1910"/>
    </row>
    <row r="2169" spans="1:36" s="2293" customFormat="1" ht="21.95" customHeight="1" x14ac:dyDescent="0.2">
      <c r="A2169" s="2130"/>
      <c r="B2169" s="2282"/>
      <c r="C2169" s="2283"/>
      <c r="D2169" s="2284"/>
      <c r="E2169" s="2284"/>
      <c r="F2169" s="2285"/>
      <c r="G2169" s="2286"/>
      <c r="H2169" s="2287"/>
      <c r="I2169" s="2288"/>
      <c r="J2169" s="2288"/>
      <c r="K2169" s="2120"/>
      <c r="L2169" s="2289"/>
      <c r="M2169" s="2290"/>
      <c r="N2169" s="2291"/>
      <c r="O2169" s="2292"/>
      <c r="P2169" s="2290" t="s">
        <v>360</v>
      </c>
      <c r="Q2169" s="2184"/>
      <c r="R2169" s="2184"/>
      <c r="S2169" s="2184"/>
      <c r="T2169" s="2184"/>
      <c r="U2169" s="2186"/>
      <c r="V2169" s="2125"/>
      <c r="W2169" s="2125"/>
      <c r="X2169" s="2125"/>
      <c r="Y2169" s="2125"/>
      <c r="Z2169" s="2125"/>
      <c r="AA2169" s="2125"/>
      <c r="AB2169" s="2187"/>
      <c r="AE2169" s="2158"/>
      <c r="AF2169" s="2158"/>
      <c r="AG2169" s="2158"/>
      <c r="AH2169" s="2158"/>
      <c r="AI2169" s="1910"/>
    </row>
    <row r="2170" spans="1:36" s="2293" customFormat="1" ht="21.95" customHeight="1" x14ac:dyDescent="0.2">
      <c r="A2170" s="2130"/>
      <c r="B2170" s="2294"/>
      <c r="C2170" s="2295"/>
      <c r="D2170" s="2296"/>
      <c r="E2170" s="2296"/>
      <c r="F2170" s="2297"/>
      <c r="G2170" s="2298"/>
      <c r="H2170" s="2299"/>
      <c r="I2170" s="2300"/>
      <c r="J2170" s="2300"/>
      <c r="K2170" s="2301"/>
      <c r="L2170" s="2302"/>
      <c r="M2170" s="2303"/>
      <c r="N2170" s="2304"/>
      <c r="O2170" s="2305"/>
      <c r="P2170" s="2303" t="s">
        <v>359</v>
      </c>
      <c r="Q2170" s="2206"/>
      <c r="R2170" s="2206"/>
      <c r="S2170" s="2206"/>
      <c r="T2170" s="2206"/>
      <c r="U2170" s="2208"/>
      <c r="V2170" s="2125"/>
      <c r="W2170" s="2125"/>
      <c r="X2170" s="2125"/>
      <c r="Y2170" s="2125"/>
      <c r="Z2170" s="2125"/>
      <c r="AA2170" s="2125"/>
      <c r="AB2170" s="2187"/>
      <c r="AE2170" s="2158"/>
      <c r="AF2170" s="2158"/>
      <c r="AG2170" s="2158"/>
      <c r="AH2170" s="2158"/>
      <c r="AI2170" s="1910"/>
    </row>
    <row r="2171" spans="1:36" ht="21.95" customHeight="1" thickBot="1" x14ac:dyDescent="0.25">
      <c r="B2171" s="2306"/>
      <c r="C2171" s="2307"/>
      <c r="D2171" s="2308"/>
      <c r="E2171" s="2308"/>
      <c r="F2171" s="2309"/>
      <c r="G2171" s="2310"/>
      <c r="H2171" s="2308"/>
      <c r="I2171" s="2311"/>
      <c r="J2171" s="2311"/>
      <c r="K2171" s="2312"/>
      <c r="L2171" s="2313"/>
      <c r="M2171" s="2314"/>
      <c r="N2171" s="2315"/>
      <c r="O2171" s="2316"/>
      <c r="P2171" s="2317"/>
      <c r="Q2171" s="2318"/>
      <c r="R2171" s="2318"/>
      <c r="S2171" s="2318"/>
      <c r="T2171" s="2319"/>
      <c r="U2171" s="2320"/>
      <c r="AG2171" s="1836"/>
      <c r="AH2171" s="1836"/>
      <c r="AI2171" s="1837"/>
    </row>
    <row r="2172" spans="1:36" ht="21.95" customHeight="1" thickTop="1" x14ac:dyDescent="0.2">
      <c r="B2172" s="2321"/>
      <c r="F2172" s="1847"/>
      <c r="G2172" s="2322"/>
      <c r="P2172" s="1847"/>
      <c r="Q2172" s="1847"/>
      <c r="R2172" s="1847"/>
      <c r="S2172" s="1847"/>
      <c r="T2172" s="1847"/>
      <c r="U2172" s="1847"/>
      <c r="AF2172" s="1836"/>
      <c r="AG2172" s="1836"/>
      <c r="AH2172" s="1836"/>
      <c r="AI2172" s="1837"/>
    </row>
    <row r="2173" spans="1:36" x14ac:dyDescent="0.2">
      <c r="F2173" s="1847"/>
      <c r="G2173" s="2322"/>
      <c r="P2173" s="1847"/>
      <c r="Q2173" s="1847"/>
      <c r="R2173" s="1847"/>
      <c r="S2173" s="1847"/>
      <c r="T2173" s="1847"/>
      <c r="U2173" s="1847"/>
      <c r="AF2173" s="1836"/>
      <c r="AG2173" s="1836"/>
      <c r="AH2173" s="1836"/>
      <c r="AI2173" s="1837"/>
    </row>
    <row r="2174" spans="1:36" ht="18.75" x14ac:dyDescent="0.2">
      <c r="Q2174" s="2323"/>
      <c r="R2174" s="2323"/>
      <c r="S2174" s="2323"/>
      <c r="T2174" s="2323"/>
      <c r="U2174" s="2323"/>
      <c r="AF2174" s="1836"/>
      <c r="AG2174" s="1836"/>
      <c r="AH2174" s="1836"/>
      <c r="AI2174" s="1837"/>
    </row>
    <row r="2180" spans="1:35" x14ac:dyDescent="0.2">
      <c r="B2180" s="1836"/>
      <c r="G2180" s="1836"/>
      <c r="M2180" s="1836"/>
      <c r="AF2180" s="1836"/>
      <c r="AG2180" s="1836"/>
      <c r="AH2180" s="1836"/>
      <c r="AI2180" s="1837"/>
    </row>
    <row r="2181" spans="1:35" x14ac:dyDescent="0.2">
      <c r="A2181" s="1836"/>
      <c r="B2181" s="1836"/>
      <c r="G2181" s="1836"/>
      <c r="M2181" s="1836"/>
      <c r="AF2181" s="1836"/>
      <c r="AG2181" s="1836"/>
      <c r="AH2181" s="1836"/>
      <c r="AI2181" s="1837"/>
    </row>
    <row r="2182" spans="1:35" x14ac:dyDescent="0.2">
      <c r="A2182" s="1836"/>
      <c r="B2182" s="1836"/>
      <c r="G2182" s="1836"/>
      <c r="M2182" s="1836"/>
      <c r="AF2182" s="1836"/>
      <c r="AG2182" s="1836"/>
      <c r="AH2182" s="1836"/>
      <c r="AI2182" s="1837"/>
    </row>
    <row r="2183" spans="1:35" x14ac:dyDescent="0.2">
      <c r="A2183" s="1836"/>
      <c r="B2183" s="1836"/>
      <c r="G2183" s="1836"/>
      <c r="M2183" s="1836"/>
      <c r="AF2183" s="1836"/>
      <c r="AG2183" s="1836"/>
      <c r="AH2183" s="1836"/>
      <c r="AI2183" s="1837"/>
    </row>
    <row r="2184" spans="1:35" x14ac:dyDescent="0.2">
      <c r="A2184" s="1836"/>
      <c r="B2184" s="1836"/>
      <c r="G2184" s="1836"/>
      <c r="M2184" s="1836"/>
      <c r="AF2184" s="1836"/>
      <c r="AG2184" s="1836"/>
      <c r="AH2184" s="1836"/>
      <c r="AI2184" s="1837"/>
    </row>
    <row r="2185" spans="1:35" x14ac:dyDescent="0.2">
      <c r="A2185" s="1836"/>
      <c r="B2185" s="1836"/>
      <c r="G2185" s="1836"/>
      <c r="M2185" s="1836"/>
      <c r="AF2185" s="1836"/>
      <c r="AG2185" s="1836"/>
      <c r="AH2185" s="1836"/>
      <c r="AI2185" s="1837"/>
    </row>
    <row r="2186" spans="1:35" x14ac:dyDescent="0.2">
      <c r="A2186" s="1836"/>
      <c r="B2186" s="1836"/>
      <c r="G2186" s="1836"/>
      <c r="M2186" s="1836"/>
      <c r="AF2186" s="1836"/>
      <c r="AG2186" s="1836"/>
      <c r="AH2186" s="1836"/>
      <c r="AI2186" s="1837"/>
    </row>
    <row r="2187" spans="1:35" x14ac:dyDescent="0.2">
      <c r="A2187" s="1836"/>
      <c r="B2187" s="1836"/>
      <c r="G2187" s="1836"/>
      <c r="M2187" s="1836"/>
      <c r="P2187" s="2322"/>
      <c r="AF2187" s="1836"/>
      <c r="AG2187" s="1836"/>
      <c r="AH2187" s="1836"/>
      <c r="AI2187" s="1837"/>
    </row>
    <row r="2188" spans="1:35" x14ac:dyDescent="0.2">
      <c r="A2188" s="1836"/>
      <c r="B2188" s="1836"/>
      <c r="G2188" s="1836"/>
      <c r="M2188" s="1836"/>
      <c r="P2188" s="1847"/>
      <c r="AF2188" s="1836"/>
      <c r="AG2188" s="1836"/>
      <c r="AH2188" s="1836"/>
      <c r="AI2188" s="1837"/>
    </row>
    <row r="2189" spans="1:35" x14ac:dyDescent="0.2">
      <c r="A2189" s="1836"/>
      <c r="B2189" s="1836"/>
      <c r="G2189" s="1836"/>
      <c r="M2189" s="1836"/>
      <c r="P2189" s="1847"/>
      <c r="AF2189" s="1836"/>
      <c r="AG2189" s="1836"/>
      <c r="AH2189" s="1836"/>
      <c r="AI2189" s="1837"/>
    </row>
  </sheetData>
  <mergeCells count="5">
    <mergeCell ref="B1:P1"/>
    <mergeCell ref="B2:P2"/>
    <mergeCell ref="M2145:P2145"/>
    <mergeCell ref="M2166:P2166"/>
    <mergeCell ref="S9:T9"/>
  </mergeCell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45"/>
  <sheetViews>
    <sheetView topLeftCell="A4" zoomScale="70" zoomScaleNormal="70" workbookViewId="0">
      <selection activeCell="J17" sqref="J17"/>
    </sheetView>
  </sheetViews>
  <sheetFormatPr defaultColWidth="12.5703125" defaultRowHeight="15.75" x14ac:dyDescent="0.2"/>
  <cols>
    <col min="1" max="1" width="8.28515625" style="1462" customWidth="1"/>
    <col min="2" max="2" width="5.7109375" style="1475" customWidth="1"/>
    <col min="3" max="3" width="2.7109375" style="1465" customWidth="1"/>
    <col min="4" max="4" width="35.7109375" style="1465" customWidth="1"/>
    <col min="5" max="5" width="6.42578125" style="1465" customWidth="1"/>
    <col min="6" max="6" width="14.85546875" style="1465" customWidth="1"/>
    <col min="7" max="7" width="14.7109375" style="1475" customWidth="1"/>
    <col min="8" max="8" width="7.7109375" style="1465" customWidth="1"/>
    <col min="9" max="9" width="18" style="1475" customWidth="1"/>
    <col min="10" max="10" width="20.7109375" style="1465" customWidth="1"/>
    <col min="11" max="11" width="4.7109375" style="1465" customWidth="1"/>
    <col min="12" max="12" width="20.7109375" style="1465" customWidth="1"/>
    <col min="13" max="13" width="24.42578125" style="1465" customWidth="1"/>
    <col min="14" max="14" width="10.7109375" style="1465" customWidth="1"/>
    <col min="15" max="15" width="14.85546875" style="1465" hidden="1" customWidth="1"/>
    <col min="16" max="16" width="14.85546875" style="1465" customWidth="1"/>
    <col min="17" max="17" width="20.28515625" style="1465" hidden="1" customWidth="1"/>
    <col min="18" max="19" width="22.7109375" style="1465" customWidth="1"/>
    <col min="20" max="20" width="14.42578125" style="1477" customWidth="1"/>
    <col min="21" max="21" width="22.85546875" style="1477" hidden="1" customWidth="1"/>
    <col min="22" max="23" width="22.85546875" style="1477" customWidth="1"/>
    <col min="24" max="24" width="34.5703125" style="1465" customWidth="1"/>
    <col min="25" max="25" width="19.140625" style="1465" hidden="1" customWidth="1"/>
    <col min="26" max="26" width="17.7109375" style="1465" hidden="1" customWidth="1"/>
    <col min="27" max="27" width="16.7109375" style="1465" hidden="1" customWidth="1"/>
    <col min="28" max="28" width="18" style="726" hidden="1" customWidth="1"/>
    <col min="29" max="29" width="1.7109375" style="726" hidden="1" customWidth="1"/>
    <col min="30" max="30" width="19.42578125" style="726" hidden="1" customWidth="1"/>
    <col min="31" max="31" width="21.28515625" style="879" customWidth="1"/>
    <col min="32" max="32" width="17.28515625" style="1465" customWidth="1"/>
    <col min="33" max="16384" width="12.5703125" style="1465"/>
  </cols>
  <sheetData>
    <row r="1" spans="1:31" ht="26.25" x14ac:dyDescent="0.2">
      <c r="B1" s="3530" t="s">
        <v>1752</v>
      </c>
      <c r="C1" s="3530"/>
      <c r="D1" s="3530"/>
      <c r="E1" s="3530"/>
      <c r="F1" s="3530"/>
      <c r="G1" s="3530"/>
      <c r="H1" s="3530"/>
      <c r="I1" s="3530"/>
      <c r="J1" s="3530"/>
      <c r="K1" s="3530"/>
      <c r="L1" s="3530"/>
      <c r="M1" s="3530"/>
      <c r="N1" s="1463"/>
      <c r="O1" s="1463"/>
      <c r="P1" s="1463"/>
      <c r="Q1" s="1463"/>
      <c r="R1" s="1463"/>
      <c r="S1" s="1463"/>
      <c r="T1" s="1464"/>
      <c r="U1" s="1464"/>
      <c r="V1" s="1464"/>
      <c r="W1" s="1464"/>
      <c r="AB1" s="1465"/>
      <c r="AC1" s="1465"/>
      <c r="AD1" s="1465"/>
      <c r="AE1" s="1466"/>
    </row>
    <row r="2" spans="1:31" ht="21" x14ac:dyDescent="0.2">
      <c r="B2" s="3531"/>
      <c r="C2" s="3531"/>
      <c r="D2" s="3531"/>
      <c r="E2" s="3531"/>
      <c r="F2" s="3531"/>
      <c r="G2" s="3531"/>
      <c r="H2" s="3531"/>
      <c r="I2" s="3531"/>
      <c r="J2" s="3531"/>
      <c r="K2" s="3531"/>
      <c r="L2" s="3531"/>
      <c r="M2" s="3531"/>
      <c r="N2" s="1467"/>
      <c r="O2" s="1467"/>
      <c r="P2" s="1467"/>
      <c r="Q2" s="1467"/>
      <c r="R2" s="1467"/>
      <c r="S2" s="1467"/>
      <c r="T2" s="1464"/>
      <c r="U2" s="1464"/>
      <c r="V2" s="1464"/>
      <c r="W2" s="1464"/>
      <c r="AB2" s="1465"/>
      <c r="AC2" s="1465"/>
      <c r="AD2" s="1465"/>
      <c r="AE2" s="1466"/>
    </row>
    <row r="3" spans="1:31" ht="18.75" x14ac:dyDescent="0.2">
      <c r="A3" s="1468"/>
      <c r="B3" s="1469"/>
      <c r="D3" s="1470" t="s">
        <v>342</v>
      </c>
      <c r="E3" s="1471" t="s">
        <v>341</v>
      </c>
      <c r="F3" s="1472" t="s">
        <v>1895</v>
      </c>
      <c r="G3" s="1473"/>
      <c r="H3" s="1473"/>
      <c r="I3" s="1473"/>
      <c r="J3" s="1473"/>
      <c r="K3" s="1469"/>
      <c r="L3" s="1469"/>
      <c r="M3" s="1469"/>
      <c r="N3" s="1469"/>
      <c r="O3" s="1469"/>
      <c r="P3" s="1469"/>
      <c r="Q3" s="1469"/>
      <c r="R3" s="1469"/>
      <c r="S3" s="1469"/>
      <c r="T3" s="1474"/>
      <c r="U3" s="1474"/>
      <c r="V3" s="1474"/>
      <c r="W3" s="1474"/>
      <c r="AB3" s="1465"/>
      <c r="AC3" s="1465"/>
      <c r="AD3" s="1465"/>
      <c r="AE3" s="1466"/>
    </row>
    <row r="4" spans="1:31" ht="18.75" x14ac:dyDescent="0.2">
      <c r="D4" s="1470" t="s">
        <v>1131</v>
      </c>
      <c r="E4" s="1471" t="s">
        <v>341</v>
      </c>
      <c r="F4" s="1470" t="str">
        <f>F3</f>
        <v>PEMBANGUNAN GEDUNG KANTOR DINAS PERTANIAN, PANGAN DAN PERIKANAN KARANGANYAR</v>
      </c>
      <c r="L4" s="1476"/>
      <c r="AB4" s="1465"/>
      <c r="AC4" s="1465"/>
      <c r="AD4" s="1465"/>
      <c r="AE4" s="1466"/>
    </row>
    <row r="5" spans="1:31" ht="18.75" x14ac:dyDescent="0.2">
      <c r="D5" s="1470" t="s">
        <v>343</v>
      </c>
      <c r="E5" s="1471" t="s">
        <v>341</v>
      </c>
      <c r="F5" s="1470" t="s">
        <v>345</v>
      </c>
      <c r="I5" s="1478"/>
      <c r="AB5" s="1465"/>
      <c r="AC5" s="1465"/>
      <c r="AD5" s="1465"/>
      <c r="AE5" s="1466"/>
    </row>
    <row r="6" spans="1:31" ht="18.75" x14ac:dyDescent="0.2">
      <c r="D6" s="1470" t="s">
        <v>344</v>
      </c>
      <c r="E6" s="1471" t="s">
        <v>341</v>
      </c>
      <c r="F6" s="1470" t="s">
        <v>345</v>
      </c>
      <c r="AB6" s="1465"/>
      <c r="AC6" s="1465"/>
      <c r="AD6" s="1465"/>
      <c r="AE6" s="1466"/>
    </row>
    <row r="7" spans="1:31" ht="18.75" x14ac:dyDescent="0.2">
      <c r="D7" s="1479" t="s">
        <v>346</v>
      </c>
      <c r="E7" s="1471" t="s">
        <v>341</v>
      </c>
      <c r="F7" s="1480" t="s">
        <v>1753</v>
      </c>
      <c r="J7" s="1476"/>
      <c r="AB7" s="1465"/>
      <c r="AC7" s="1465"/>
      <c r="AD7" s="1465"/>
      <c r="AE7" s="1466"/>
    </row>
    <row r="8" spans="1:31" ht="16.5" thickBot="1" x14ac:dyDescent="0.25">
      <c r="AB8" s="1465"/>
      <c r="AC8" s="1465"/>
      <c r="AD8" s="1465"/>
      <c r="AE8" s="1466"/>
    </row>
    <row r="9" spans="1:31" ht="19.5" thickTop="1" x14ac:dyDescent="0.2">
      <c r="B9" s="1481"/>
      <c r="C9" s="1482"/>
      <c r="D9" s="1483"/>
      <c r="E9" s="1483"/>
      <c r="F9" s="1484"/>
      <c r="G9" s="1485"/>
      <c r="H9" s="1484"/>
      <c r="I9" s="1486"/>
      <c r="J9" s="1484"/>
      <c r="K9" s="1483"/>
      <c r="L9" s="1484"/>
      <c r="M9" s="1487"/>
      <c r="N9" s="1488"/>
      <c r="O9" s="1486"/>
      <c r="P9" s="1486"/>
      <c r="Q9" s="1486"/>
      <c r="R9" s="1486"/>
      <c r="S9" s="1489"/>
      <c r="AB9" s="1465"/>
      <c r="AC9" s="1465"/>
      <c r="AD9" s="1465"/>
      <c r="AE9" s="1466"/>
    </row>
    <row r="10" spans="1:31" ht="18.75" x14ac:dyDescent="0.2">
      <c r="B10" s="1490" t="s">
        <v>423</v>
      </c>
      <c r="C10" s="1491" t="s">
        <v>1754</v>
      </c>
      <c r="D10" s="1491"/>
      <c r="E10" s="1491"/>
      <c r="F10" s="1492"/>
      <c r="G10" s="1471" t="s">
        <v>1755</v>
      </c>
      <c r="H10" s="1492" t="s">
        <v>1756</v>
      </c>
      <c r="I10" s="1493" t="s">
        <v>1757</v>
      </c>
      <c r="J10" s="1493" t="s">
        <v>347</v>
      </c>
      <c r="K10" s="1479"/>
      <c r="L10" s="1493" t="s">
        <v>284</v>
      </c>
      <c r="M10" s="1494" t="s">
        <v>347</v>
      </c>
      <c r="N10" s="1495" t="s">
        <v>2010</v>
      </c>
      <c r="O10" s="1493" t="s">
        <v>2019</v>
      </c>
      <c r="P10" s="1493" t="s">
        <v>2019</v>
      </c>
      <c r="Q10" s="1493" t="s">
        <v>2015</v>
      </c>
      <c r="R10" s="1493" t="s">
        <v>2015</v>
      </c>
      <c r="S10" s="1496" t="s">
        <v>2017</v>
      </c>
      <c r="AB10" s="1465"/>
      <c r="AC10" s="1465"/>
      <c r="AD10" s="1465"/>
      <c r="AE10" s="1466"/>
    </row>
    <row r="11" spans="1:31" ht="18.75" x14ac:dyDescent="0.2">
      <c r="B11" s="1490"/>
      <c r="C11" s="1491"/>
      <c r="D11" s="1491"/>
      <c r="E11" s="1491"/>
      <c r="F11" s="1492"/>
      <c r="G11" s="1471"/>
      <c r="H11" s="1492"/>
      <c r="I11" s="1493"/>
      <c r="J11" s="1493" t="s">
        <v>1758</v>
      </c>
      <c r="K11" s="1491"/>
      <c r="L11" s="1492" t="s">
        <v>347</v>
      </c>
      <c r="M11" s="1494" t="s">
        <v>448</v>
      </c>
      <c r="N11" s="1495"/>
      <c r="O11" s="1493" t="str">
        <f>N10</f>
        <v>TKDN</v>
      </c>
      <c r="P11" s="1493" t="str">
        <f>O11</f>
        <v>TKDN</v>
      </c>
      <c r="Q11" s="1493" t="s">
        <v>2016</v>
      </c>
      <c r="R11" s="1493" t="s">
        <v>2016</v>
      </c>
      <c r="S11" s="1496"/>
      <c r="AB11" s="1465"/>
      <c r="AC11" s="1465"/>
      <c r="AD11" s="1465"/>
      <c r="AE11" s="1466"/>
    </row>
    <row r="12" spans="1:31" ht="18.75" x14ac:dyDescent="0.2">
      <c r="B12" s="1497"/>
      <c r="C12" s="1498"/>
      <c r="D12" s="1498"/>
      <c r="E12" s="1498"/>
      <c r="F12" s="1499"/>
      <c r="G12" s="1500" t="s">
        <v>278</v>
      </c>
      <c r="H12" s="1499"/>
      <c r="I12" s="1501"/>
      <c r="J12" s="1501" t="s">
        <v>348</v>
      </c>
      <c r="K12" s="1502"/>
      <c r="L12" s="1503" t="s">
        <v>348</v>
      </c>
      <c r="M12" s="1504" t="s">
        <v>348</v>
      </c>
      <c r="N12" s="1505"/>
      <c r="O12" s="1501"/>
      <c r="P12" s="1506" t="s">
        <v>2020</v>
      </c>
      <c r="Q12" s="1501"/>
      <c r="R12" s="1501" t="str">
        <f>P12</f>
        <v>+ Profid</v>
      </c>
      <c r="S12" s="1507"/>
      <c r="AB12" s="1465"/>
      <c r="AC12" s="1465"/>
      <c r="AD12" s="1465"/>
      <c r="AE12" s="1466"/>
    </row>
    <row r="13" spans="1:31" ht="19.5" thickBot="1" x14ac:dyDescent="0.25">
      <c r="B13" s="1508" t="s">
        <v>349</v>
      </c>
      <c r="C13" s="1509"/>
      <c r="D13" s="1510"/>
      <c r="E13" s="1511" t="s">
        <v>228</v>
      </c>
      <c r="F13" s="1512"/>
      <c r="G13" s="1513" t="s">
        <v>350</v>
      </c>
      <c r="H13" s="1509"/>
      <c r="I13" s="1514" t="s">
        <v>351</v>
      </c>
      <c r="J13" s="1514" t="s">
        <v>352</v>
      </c>
      <c r="K13" s="1515" t="s">
        <v>353</v>
      </c>
      <c r="L13" s="1515"/>
      <c r="M13" s="1516" t="s">
        <v>354</v>
      </c>
      <c r="N13" s="1517"/>
      <c r="O13" s="1518"/>
      <c r="P13" s="1518"/>
      <c r="Q13" s="1519"/>
      <c r="R13" s="1520"/>
      <c r="S13" s="1521"/>
      <c r="AB13" s="1465"/>
      <c r="AC13" s="1465"/>
      <c r="AD13" s="1465"/>
      <c r="AE13" s="1466"/>
    </row>
    <row r="14" spans="1:31" ht="16.5" thickTop="1" x14ac:dyDescent="0.2">
      <c r="B14" s="1522"/>
      <c r="C14" s="1523"/>
      <c r="D14" s="1524"/>
      <c r="E14" s="1524"/>
      <c r="F14" s="1525"/>
      <c r="G14" s="1526"/>
      <c r="H14" s="1524"/>
      <c r="I14" s="1527"/>
      <c r="J14" s="1527"/>
      <c r="K14" s="1523"/>
      <c r="L14" s="1525"/>
      <c r="M14" s="1526"/>
      <c r="N14" s="1528"/>
      <c r="O14" s="1529"/>
      <c r="P14" s="1529"/>
      <c r="Q14" s="1527"/>
      <c r="R14" s="1530"/>
      <c r="S14" s="1531"/>
    </row>
    <row r="15" spans="1:31" s="1546" customFormat="1" ht="21" x14ac:dyDescent="0.2">
      <c r="A15" s="1532"/>
      <c r="B15" s="1533" t="s">
        <v>542</v>
      </c>
      <c r="C15" s="1534"/>
      <c r="D15" s="1535" t="s">
        <v>1759</v>
      </c>
      <c r="E15" s="1534"/>
      <c r="F15" s="1536"/>
      <c r="G15" s="1537"/>
      <c r="H15" s="1534"/>
      <c r="I15" s="1538"/>
      <c r="J15" s="1537"/>
      <c r="K15" s="1539"/>
      <c r="L15" s="1536"/>
      <c r="M15" s="1540"/>
      <c r="N15" s="1541"/>
      <c r="O15" s="1542"/>
      <c r="P15" s="1542"/>
      <c r="Q15" s="1543"/>
      <c r="R15" s="1544"/>
      <c r="S15" s="1545"/>
      <c r="T15" s="1477"/>
      <c r="U15" s="1477"/>
      <c r="V15" s="1477"/>
      <c r="W15" s="1477"/>
      <c r="AB15" s="1547"/>
      <c r="AC15" s="1547"/>
      <c r="AD15" s="1547"/>
      <c r="AE15" s="1548"/>
    </row>
    <row r="16" spans="1:31" ht="18.75" x14ac:dyDescent="0.2">
      <c r="B16" s="1549" t="s">
        <v>1760</v>
      </c>
      <c r="C16" s="1550"/>
      <c r="D16" s="1551" t="s">
        <v>355</v>
      </c>
      <c r="E16" s="1552"/>
      <c r="F16" s="1553"/>
      <c r="G16" s="1554"/>
      <c r="H16" s="1555"/>
      <c r="I16" s="1556"/>
      <c r="J16" s="1557"/>
      <c r="K16" s="1558"/>
      <c r="L16" s="1559"/>
      <c r="M16" s="1560"/>
      <c r="N16" s="1561"/>
      <c r="O16" s="1562"/>
      <c r="P16" s="1562"/>
      <c r="Q16" s="1563"/>
      <c r="R16" s="1564"/>
      <c r="S16" s="1565"/>
    </row>
    <row r="17" spans="1:32" s="1576" customFormat="1" ht="21.95" customHeight="1" x14ac:dyDescent="0.2">
      <c r="A17" s="1566">
        <f>satpek!B20</f>
        <v>1</v>
      </c>
      <c r="B17" s="1567">
        <v>1</v>
      </c>
      <c r="C17" s="1557"/>
      <c r="D17" s="1568" t="str">
        <f>VLOOKUP($A17,satpek!$B$20:$N$144,2,0)</f>
        <v>Administrasi dan dokumentasi</v>
      </c>
      <c r="E17" s="1552"/>
      <c r="F17" s="1553"/>
      <c r="G17" s="1453">
        <v>1</v>
      </c>
      <c r="H17" s="788" t="str">
        <f>VLOOKUP($A17,satpek!$B$20:$N$144,7,0)</f>
        <v>ls</v>
      </c>
      <c r="I17" s="1569" t="str">
        <f>VLOOKUP($A17,satpek!$B$20:$N$144,5,0)</f>
        <v>An. Dihitung</v>
      </c>
      <c r="J17" s="1570">
        <f>VLOOKUP($A17,satpek!$B$20:$L$138,6,0)</f>
        <v>287076.5</v>
      </c>
      <c r="K17" s="1558"/>
      <c r="L17" s="1571">
        <f t="shared" ref="L17:L22" si="0">ROUND((G17*J17),2)</f>
        <v>287076.5</v>
      </c>
      <c r="M17" s="1560"/>
      <c r="N17" s="1572">
        <f>VLOOKUP($A17,satpek!$B$20:$L$138,8,0)</f>
        <v>0.58185101358000391</v>
      </c>
      <c r="O17" s="1573">
        <f>VLOOKUP($A17,satpek!$B$20:$L$138,9,0)</f>
        <v>147819.25</v>
      </c>
      <c r="P17" s="1573">
        <f>VLOOKUP($A17,satpek!$B$20:$L$138,10,0)</f>
        <v>167035.7525</v>
      </c>
      <c r="Q17" s="1571">
        <f>O17*G17</f>
        <v>147819.25</v>
      </c>
      <c r="R17" s="1571">
        <f>P17*G17</f>
        <v>167035.7525</v>
      </c>
      <c r="S17" s="1574">
        <f>L17-R17</f>
        <v>120040.7475</v>
      </c>
      <c r="T17" s="1477"/>
      <c r="U17" s="1477"/>
      <c r="V17" s="1575">
        <v>1</v>
      </c>
      <c r="W17" s="1575">
        <f>V17-G17</f>
        <v>0</v>
      </c>
      <c r="X17" s="1576" t="s">
        <v>366</v>
      </c>
      <c r="AB17" s="1577"/>
      <c r="AC17" s="1577"/>
      <c r="AD17" s="1577"/>
      <c r="AE17" s="1578">
        <v>283912.5</v>
      </c>
      <c r="AF17" s="1579">
        <f>AE17-J17</f>
        <v>-3164</v>
      </c>
    </row>
    <row r="18" spans="1:32" s="1576" customFormat="1" ht="21.95" customHeight="1" x14ac:dyDescent="0.2">
      <c r="A18" s="1566">
        <f>satpek!B21</f>
        <v>2</v>
      </c>
      <c r="B18" s="1567">
        <f>B17+1</f>
        <v>2</v>
      </c>
      <c r="C18" s="1557"/>
      <c r="D18" s="1568" t="str">
        <f>VLOOKUP($A18,satpek!$B$20:$N$144,2,0)</f>
        <v>Air dan listrik kerja</v>
      </c>
      <c r="E18" s="1568"/>
      <c r="F18" s="1580"/>
      <c r="G18" s="1453">
        <f>'[3]B.VOL RAB'!Q15</f>
        <v>1</v>
      </c>
      <c r="H18" s="788" t="str">
        <f>VLOOKUP($A18,satpek!$B$20:$N$144,7,0)</f>
        <v>ls</v>
      </c>
      <c r="I18" s="1569" t="str">
        <f>VLOOKUP($A18,satpek!$B$20:$N$144,5,0)</f>
        <v>An. Dihitung</v>
      </c>
      <c r="J18" s="1570">
        <f>VLOOKUP($A18,satpek!$B$20:$N$144,6,0)</f>
        <v>10379502</v>
      </c>
      <c r="K18" s="1558"/>
      <c r="L18" s="1571">
        <f t="shared" si="0"/>
        <v>10379502</v>
      </c>
      <c r="M18" s="1560"/>
      <c r="N18" s="1572">
        <f>VLOOKUP($A18,satpek!$B$20:$L$138,8,0)</f>
        <v>0.45130315500685869</v>
      </c>
      <c r="O18" s="1573">
        <f>VLOOKUP($A18,satpek!$B$20:$L$138,9,0)</f>
        <v>4145400</v>
      </c>
      <c r="P18" s="1573">
        <f>VLOOKUP($A18,satpek!$B$20:$L$138,10,0)</f>
        <v>4684302</v>
      </c>
      <c r="Q18" s="1571">
        <f t="shared" ref="Q18:Q22" si="1">O18*G18</f>
        <v>4145400</v>
      </c>
      <c r="R18" s="1571">
        <f t="shared" ref="R18:R22" si="2">P18*G18</f>
        <v>4684302</v>
      </c>
      <c r="S18" s="1574">
        <f t="shared" ref="S18:S22" si="3">L18-R18</f>
        <v>5695200</v>
      </c>
      <c r="T18" s="1477"/>
      <c r="U18" s="1477"/>
      <c r="V18" s="1575">
        <v>1</v>
      </c>
      <c r="W18" s="1575">
        <f t="shared" ref="W18:W81" si="4">V18-G18</f>
        <v>0</v>
      </c>
      <c r="X18" s="1576" t="s">
        <v>1897</v>
      </c>
      <c r="AB18" s="1577"/>
      <c r="AC18" s="1577"/>
      <c r="AD18" s="1577"/>
      <c r="AE18" s="1578">
        <v>11022585</v>
      </c>
      <c r="AF18" s="1579">
        <f t="shared" ref="AF18:AF81" si="5">AE18-J18</f>
        <v>643083</v>
      </c>
    </row>
    <row r="19" spans="1:32" ht="21.95" customHeight="1" x14ac:dyDescent="0.2">
      <c r="A19" s="1462">
        <f>satpek!B23</f>
        <v>4</v>
      </c>
      <c r="B19" s="1567">
        <f>B18+1</f>
        <v>3</v>
      </c>
      <c r="C19" s="1557"/>
      <c r="D19" s="1568" t="str">
        <f>VLOOKUP($A19,satpek!$B$20:$N$144,2,0)</f>
        <v xml:space="preserve">Pengukuran dan pemasangan bouwplank  </v>
      </c>
      <c r="E19" s="1568"/>
      <c r="F19" s="1580"/>
      <c r="G19" s="1453">
        <f>'[3]B.VOL RAB'!Q17</f>
        <v>205.8</v>
      </c>
      <c r="H19" s="788" t="str">
        <f>VLOOKUP($A19,satpek!$B$20:$N$144,7,0)</f>
        <v>m'</v>
      </c>
      <c r="I19" s="1569" t="str">
        <f>VLOOKUP($A19,satpek!$B$20:$N$144,5,0)</f>
        <v>A.2.2.1.4.</v>
      </c>
      <c r="J19" s="1570">
        <f>VLOOKUP($A19,satpek!$B$20:$N$144,6,0)</f>
        <v>59589.42</v>
      </c>
      <c r="K19" s="1558"/>
      <c r="L19" s="1571">
        <f t="shared" si="0"/>
        <v>12263502.640000001</v>
      </c>
      <c r="M19" s="1560"/>
      <c r="N19" s="1572">
        <f>VLOOKUP($A19,satpek!$B$20:$L$138,8,0)</f>
        <v>0.99355254674403615</v>
      </c>
      <c r="O19" s="1573">
        <f>VLOOKUP($A19,satpek!$B$20:$L$138,9,0)</f>
        <v>52394</v>
      </c>
      <c r="P19" s="1573">
        <f>VLOOKUP($A19,satpek!$B$20:$L$138,10,0)</f>
        <v>59205.22</v>
      </c>
      <c r="Q19" s="1571">
        <f t="shared" si="1"/>
        <v>10782685.200000001</v>
      </c>
      <c r="R19" s="1571">
        <f t="shared" si="2"/>
        <v>12184434.276000001</v>
      </c>
      <c r="S19" s="1574">
        <f t="shared" si="3"/>
        <v>79068.36400000006</v>
      </c>
      <c r="V19" s="1575">
        <v>205.8</v>
      </c>
      <c r="W19" s="1575">
        <f t="shared" si="4"/>
        <v>0</v>
      </c>
      <c r="X19" s="1465" t="s">
        <v>1903</v>
      </c>
      <c r="AE19" s="879">
        <v>59256.07</v>
      </c>
      <c r="AF19" s="1579">
        <f t="shared" si="5"/>
        <v>-333.34999999999854</v>
      </c>
    </row>
    <row r="20" spans="1:32" ht="21.95" customHeight="1" x14ac:dyDescent="0.2">
      <c r="A20" s="1462">
        <f>satpek!B22</f>
        <v>3</v>
      </c>
      <c r="B20" s="1567">
        <f>B19+1</f>
        <v>4</v>
      </c>
      <c r="C20" s="1557"/>
      <c r="D20" s="1568" t="str">
        <f>VLOOKUP($A20,satpek!$B$20:$N$144,2,0)</f>
        <v>Pembersihan lapangan dan perataan</v>
      </c>
      <c r="E20" s="1568"/>
      <c r="F20" s="1580"/>
      <c r="G20" s="1453">
        <f>'[3]B.VOL RAB'!Q20</f>
        <v>767.55000000000007</v>
      </c>
      <c r="H20" s="788" t="str">
        <f>VLOOKUP($A20,satpek!$B$20:$N$144,7,0)</f>
        <v>m2</v>
      </c>
      <c r="I20" s="1569" t="str">
        <f>VLOOKUP($A20,satpek!$B$20:$N$144,5,0)</f>
        <v>A.2.2.1.9.</v>
      </c>
      <c r="J20" s="1570">
        <f>VLOOKUP($A20,satpek!$B$20:$N$144,6,0)</f>
        <v>15062.9</v>
      </c>
      <c r="K20" s="1558"/>
      <c r="L20" s="1571">
        <f t="shared" si="0"/>
        <v>11561528.9</v>
      </c>
      <c r="M20" s="1560"/>
      <c r="N20" s="1572">
        <f>VLOOKUP($A20,satpek!$B$20:$L$138,8,0)</f>
        <v>1</v>
      </c>
      <c r="O20" s="1573">
        <f>VLOOKUP($A20,satpek!$B$20:$L$138,9,0)</f>
        <v>13330</v>
      </c>
      <c r="P20" s="1573">
        <f>VLOOKUP($A20,satpek!$B$20:$L$138,10,0)</f>
        <v>15062.9</v>
      </c>
      <c r="Q20" s="1571">
        <f t="shared" si="1"/>
        <v>10231441.5</v>
      </c>
      <c r="R20" s="1571">
        <f t="shared" si="2"/>
        <v>11561528.895000001</v>
      </c>
      <c r="S20" s="1574">
        <f t="shared" si="3"/>
        <v>4.9999989569187164E-3</v>
      </c>
      <c r="V20" s="1575">
        <v>767.55000000000007</v>
      </c>
      <c r="W20" s="1575">
        <f t="shared" si="4"/>
        <v>0</v>
      </c>
      <c r="X20" s="1465" t="s">
        <v>742</v>
      </c>
      <c r="AE20" s="879">
        <v>14577</v>
      </c>
      <c r="AF20" s="1579">
        <f t="shared" si="5"/>
        <v>-485.89999999999964</v>
      </c>
    </row>
    <row r="21" spans="1:32" ht="21.95" customHeight="1" x14ac:dyDescent="0.2">
      <c r="A21" s="1462">
        <f>satpek!B107</f>
        <v>88</v>
      </c>
      <c r="B21" s="1567">
        <f>B20+1</f>
        <v>5</v>
      </c>
      <c r="C21" s="1557"/>
      <c r="D21" s="1568" t="str">
        <f>VLOOKUP($A21,satpek!$B$20:$N$144,2,0)</f>
        <v>Penyelenggaraan K3</v>
      </c>
      <c r="E21" s="1568"/>
      <c r="F21" s="1580"/>
      <c r="G21" s="1453">
        <f>'[3]B.VOL RAB'!Q22</f>
        <v>1</v>
      </c>
      <c r="H21" s="788" t="str">
        <f>VLOOKUP($A21,satpek!$B$20:$N$144,7,0)</f>
        <v>ls</v>
      </c>
      <c r="I21" s="1569" t="str">
        <f>VLOOKUP($A21,satpek!$B$20:$N$144,5,0)</f>
        <v>Dihitung</v>
      </c>
      <c r="J21" s="1570">
        <f>VLOOKUP($A21,satpek!$B$20:$N$144,6,0)</f>
        <v>8258800</v>
      </c>
      <c r="K21" s="1558"/>
      <c r="L21" s="1571">
        <f t="shared" si="0"/>
        <v>8258800</v>
      </c>
      <c r="M21" s="1560"/>
      <c r="N21" s="1572">
        <f>VLOOKUP($A21,satpek!$B$20:$L$138,8,0)</f>
        <v>0.46616941928609484</v>
      </c>
      <c r="O21" s="1573">
        <f>VLOOKUP($A21,satpek!$B$20:$L$138,9,0)</f>
        <v>0</v>
      </c>
      <c r="P21" s="1573">
        <f>VLOOKUP($A21,satpek!$B$20:$L$138,10,0)</f>
        <v>3850000</v>
      </c>
      <c r="Q21" s="1571">
        <f t="shared" si="1"/>
        <v>0</v>
      </c>
      <c r="R21" s="1571">
        <f t="shared" si="2"/>
        <v>3850000</v>
      </c>
      <c r="S21" s="1574">
        <f t="shared" si="3"/>
        <v>4408800</v>
      </c>
      <c r="V21" s="1575">
        <v>1</v>
      </c>
      <c r="W21" s="1575">
        <f t="shared" si="4"/>
        <v>0</v>
      </c>
      <c r="X21" s="1465" t="s">
        <v>1395</v>
      </c>
      <c r="AE21" s="879">
        <v>8772500</v>
      </c>
      <c r="AF21" s="1579">
        <f t="shared" si="5"/>
        <v>513700</v>
      </c>
    </row>
    <row r="22" spans="1:32" ht="21.95" customHeight="1" x14ac:dyDescent="0.2">
      <c r="A22" s="1462">
        <f>satpek!B108</f>
        <v>89</v>
      </c>
      <c r="B22" s="1581">
        <f>B21+1</f>
        <v>6</v>
      </c>
      <c r="C22" s="1582"/>
      <c r="D22" s="1583" t="str">
        <f>VLOOKUP(A22,[3]Rekap!$B$12:$K$769,3)</f>
        <v>Pasang kusen pintu dan jendela kayu bangkiray</v>
      </c>
      <c r="E22" s="1583"/>
      <c r="F22" s="1584"/>
      <c r="G22" s="1585">
        <f>'[3]B.VOL RAB'!Q23</f>
        <v>1</v>
      </c>
      <c r="H22" s="788" t="str">
        <f>VLOOKUP($A22,satpek!$B$20:$N$144,7,0)</f>
        <v>ls</v>
      </c>
      <c r="I22" s="1569" t="str">
        <f>VLOOKUP($A22,satpek!$B$20:$N$144,5,0)</f>
        <v>Daftar harga</v>
      </c>
      <c r="J22" s="1570">
        <f>VLOOKUP($A22,satpek!$B$20:$N$144,6,0)</f>
        <v>350000</v>
      </c>
      <c r="K22" s="1558"/>
      <c r="L22" s="1571">
        <f t="shared" si="0"/>
        <v>350000</v>
      </c>
      <c r="M22" s="1586"/>
      <c r="N22" s="1572">
        <f>VLOOKUP($A22,satpek!$B$20:$L$138,8,0)</f>
        <v>0.2</v>
      </c>
      <c r="O22" s="1573">
        <f>VLOOKUP($A22,satpek!$B$20:$L$138,9,0)</f>
        <v>0</v>
      </c>
      <c r="P22" s="1573">
        <f>VLOOKUP($A22,satpek!$B$20:$L$138,10,0)</f>
        <v>70000</v>
      </c>
      <c r="Q22" s="1571">
        <f t="shared" si="1"/>
        <v>0</v>
      </c>
      <c r="R22" s="1571">
        <f t="shared" si="2"/>
        <v>70000</v>
      </c>
      <c r="S22" s="1574">
        <f t="shared" si="3"/>
        <v>280000</v>
      </c>
      <c r="V22" s="1575">
        <v>1</v>
      </c>
      <c r="W22" s="1575">
        <f t="shared" si="4"/>
        <v>0</v>
      </c>
      <c r="X22" s="1465" t="s">
        <v>427</v>
      </c>
      <c r="AE22" s="879">
        <v>350000</v>
      </c>
      <c r="AF22" s="1579">
        <f t="shared" si="5"/>
        <v>0</v>
      </c>
    </row>
    <row r="23" spans="1:32" ht="21.95" customHeight="1" x14ac:dyDescent="0.2">
      <c r="B23" s="1587"/>
      <c r="C23" s="1588"/>
      <c r="D23" s="1589"/>
      <c r="E23" s="1589"/>
      <c r="F23" s="1590"/>
      <c r="G23" s="807"/>
      <c r="H23" s="1591"/>
      <c r="I23" s="1592"/>
      <c r="J23" s="1593"/>
      <c r="K23" s="1594"/>
      <c r="L23" s="1595" t="s">
        <v>1761</v>
      </c>
      <c r="M23" s="1596">
        <f>SUM(L17:L23)</f>
        <v>43100410.039999999</v>
      </c>
      <c r="N23" s="1597"/>
      <c r="O23" s="1598"/>
      <c r="P23" s="1598"/>
      <c r="Q23" s="1599"/>
      <c r="R23" s="1600"/>
      <c r="S23" s="1601"/>
      <c r="T23" s="1477">
        <f>[3]HPS!M26</f>
        <v>43812473.060000002</v>
      </c>
      <c r="U23" s="1477">
        <f>M23-T23</f>
        <v>-712063.02000000328</v>
      </c>
      <c r="V23" s="1575"/>
      <c r="W23" s="1575">
        <f t="shared" si="4"/>
        <v>0</v>
      </c>
      <c r="AF23" s="1579">
        <f t="shared" si="5"/>
        <v>0</v>
      </c>
    </row>
    <row r="24" spans="1:32" ht="21.95" customHeight="1" x14ac:dyDescent="0.2">
      <c r="B24" s="1602" t="s">
        <v>1762</v>
      </c>
      <c r="C24" s="1603"/>
      <c r="D24" s="1604" t="s">
        <v>356</v>
      </c>
      <c r="E24" s="1605"/>
      <c r="F24" s="1606"/>
      <c r="G24" s="1607"/>
      <c r="H24" s="1608"/>
      <c r="I24" s="1609"/>
      <c r="J24" s="1610"/>
      <c r="K24" s="1611"/>
      <c r="L24" s="1612"/>
      <c r="M24" s="1610"/>
      <c r="N24" s="1613"/>
      <c r="O24" s="1614"/>
      <c r="P24" s="1614"/>
      <c r="Q24" s="1609"/>
      <c r="R24" s="1615"/>
      <c r="S24" s="1616"/>
      <c r="V24" s="1575"/>
      <c r="W24" s="1575">
        <f t="shared" si="4"/>
        <v>0</v>
      </c>
      <c r="X24" s="1465" t="s">
        <v>356</v>
      </c>
      <c r="AF24" s="1579">
        <f t="shared" si="5"/>
        <v>0</v>
      </c>
    </row>
    <row r="25" spans="1:32" ht="21.95" customHeight="1" x14ac:dyDescent="0.2">
      <c r="A25" s="1462">
        <f>satpek!B24</f>
        <v>5</v>
      </c>
      <c r="B25" s="1567">
        <v>1</v>
      </c>
      <c r="C25" s="1557"/>
      <c r="D25" s="1568" t="str">
        <f>VLOOKUP($A25,satpek!$B$20:$N$144,2,0)</f>
        <v xml:space="preserve">Menggali tanah biasa sedalam 1 m' </v>
      </c>
      <c r="E25" s="1568"/>
      <c r="F25" s="1580"/>
      <c r="G25" s="1453">
        <f>'[3]B.VOL RAB'!Q26</f>
        <v>125.12000000000002</v>
      </c>
      <c r="H25" s="788" t="str">
        <f>VLOOKUP($A25,satpek!$B$20:$N$144,7,0)</f>
        <v>m3</v>
      </c>
      <c r="I25" s="1569" t="str">
        <f>VLOOKUP($A25,satpek!$B$20:$N$144,5,0)</f>
        <v>A.2.3.1.1.</v>
      </c>
      <c r="J25" s="1570">
        <f>VLOOKUP($A25,satpek!$B$20:$N$144,6,0)</f>
        <v>77376.75</v>
      </c>
      <c r="K25" s="1558"/>
      <c r="L25" s="1571">
        <f t="shared" ref="L25:L29" si="6">ROUND((G25*J25),2)</f>
        <v>9681378.9600000009</v>
      </c>
      <c r="M25" s="1617"/>
      <c r="N25" s="1572">
        <f>VLOOKUP($A25,satpek!$B$20:$L$138,8,0)</f>
        <v>1</v>
      </c>
      <c r="O25" s="1573">
        <f>VLOOKUP($A25,satpek!$B$20:$L$138,9,0)</f>
        <v>68475</v>
      </c>
      <c r="P25" s="1573">
        <f>VLOOKUP($A25,satpek!$B$20:$L$138,10,0)</f>
        <v>77376.75</v>
      </c>
      <c r="Q25" s="1571">
        <f t="shared" ref="Q25:Q29" si="7">O25*G25</f>
        <v>8567592.0000000019</v>
      </c>
      <c r="R25" s="1571">
        <f t="shared" ref="R25:R29" si="8">P25*G25</f>
        <v>9681378.9600000009</v>
      </c>
      <c r="S25" s="1574">
        <f t="shared" ref="S25:S29" si="9">L25-R25</f>
        <v>0</v>
      </c>
      <c r="V25" s="1575">
        <v>125.12000000000002</v>
      </c>
      <c r="W25" s="1575">
        <f t="shared" si="4"/>
        <v>0</v>
      </c>
      <c r="X25" s="1465" t="s">
        <v>701</v>
      </c>
      <c r="AE25" s="879">
        <v>74919</v>
      </c>
      <c r="AF25" s="1579">
        <f t="shared" si="5"/>
        <v>-2457.75</v>
      </c>
    </row>
    <row r="26" spans="1:32" ht="21.95" customHeight="1" x14ac:dyDescent="0.2">
      <c r="A26" s="1462">
        <f>satpek!B25</f>
        <v>6</v>
      </c>
      <c r="B26" s="1567">
        <f>B25+1</f>
        <v>2</v>
      </c>
      <c r="C26" s="1557"/>
      <c r="D26" s="1568" t="str">
        <f>VLOOKUP($A26,satpek!$B$20:$N$144,2,0)</f>
        <v>Menggali tanah biasa sedalam 2 m'</v>
      </c>
      <c r="E26" s="1568"/>
      <c r="F26" s="1580"/>
      <c r="G26" s="1453">
        <f>'[3]B.VOL RAB'!Q30</f>
        <v>415</v>
      </c>
      <c r="H26" s="788" t="str">
        <f>VLOOKUP($A26,satpek!$B$20:$N$144,7,0)</f>
        <v>m3</v>
      </c>
      <c r="I26" s="1569" t="str">
        <f>VLOOKUP($A26,satpek!$B$20:$N$144,5,0)</f>
        <v>A.2.3.1.2.</v>
      </c>
      <c r="J26" s="1570">
        <f>VLOOKUP($A26,satpek!$B$20:$N$144,6,0)</f>
        <v>94377.600000000006</v>
      </c>
      <c r="K26" s="1558"/>
      <c r="L26" s="1571">
        <f t="shared" si="6"/>
        <v>39166704</v>
      </c>
      <c r="M26" s="1617"/>
      <c r="N26" s="1572">
        <f>VLOOKUP($A26,satpek!$B$20:$L$138,8,0)</f>
        <v>1</v>
      </c>
      <c r="O26" s="1573">
        <f>VLOOKUP($A26,satpek!$B$20:$L$138,9,0)</f>
        <v>83520</v>
      </c>
      <c r="P26" s="1573">
        <f>VLOOKUP($A26,satpek!$B$20:$L$138,10,0)</f>
        <v>94377.600000000006</v>
      </c>
      <c r="Q26" s="1571">
        <f t="shared" si="7"/>
        <v>34660800</v>
      </c>
      <c r="R26" s="1571">
        <f t="shared" si="8"/>
        <v>39166704</v>
      </c>
      <c r="S26" s="1574">
        <f t="shared" si="9"/>
        <v>0</v>
      </c>
      <c r="V26" s="1575">
        <v>415</v>
      </c>
      <c r="W26" s="1575">
        <f t="shared" si="4"/>
        <v>0</v>
      </c>
      <c r="X26" s="1465" t="s">
        <v>745</v>
      </c>
      <c r="AE26" s="879">
        <v>91377.45</v>
      </c>
      <c r="AF26" s="1579">
        <f t="shared" si="5"/>
        <v>-3000.1500000000087</v>
      </c>
    </row>
    <row r="27" spans="1:32" ht="21.95" customHeight="1" x14ac:dyDescent="0.2">
      <c r="A27" s="1462">
        <f>satpek!B26</f>
        <v>7</v>
      </c>
      <c r="B27" s="1567">
        <f>B26+1</f>
        <v>3</v>
      </c>
      <c r="C27" s="1557"/>
      <c r="D27" s="1568" t="str">
        <f>VLOOKUP($A27,satpek!$B$20:$N$144,2,0)</f>
        <v>Pengurugan kembali galian tanah</v>
      </c>
      <c r="E27" s="1568"/>
      <c r="F27" s="1580"/>
      <c r="G27" s="1453">
        <f>'[3]B.VOL RAB'!Q33</f>
        <v>162.036</v>
      </c>
      <c r="H27" s="788" t="str">
        <f>VLOOKUP($A27,satpek!$B$20:$N$144,7,0)</f>
        <v>m3</v>
      </c>
      <c r="I27" s="1569" t="str">
        <f>VLOOKUP($A27,satpek!$B$20:$N$144,5,0)</f>
        <v>A.2.3.1.9.</v>
      </c>
      <c r="J27" s="1570">
        <f>VLOOKUP($A27,satpek!$B$20:$N$144,6,0)</f>
        <v>54974.5</v>
      </c>
      <c r="K27" s="1558"/>
      <c r="L27" s="1571">
        <f t="shared" si="6"/>
        <v>8907848.0800000001</v>
      </c>
      <c r="M27" s="1617"/>
      <c r="N27" s="1572">
        <f>VLOOKUP($A27,satpek!$B$20:$L$138,8,0)</f>
        <v>1</v>
      </c>
      <c r="O27" s="1573">
        <f>VLOOKUP($A27,satpek!$B$20:$L$138,9,0)</f>
        <v>48650</v>
      </c>
      <c r="P27" s="1573">
        <f>VLOOKUP($A27,satpek!$B$20:$L$138,10,0)</f>
        <v>54974.5</v>
      </c>
      <c r="Q27" s="1571">
        <f t="shared" si="7"/>
        <v>7883051.4000000004</v>
      </c>
      <c r="R27" s="1571">
        <f t="shared" si="8"/>
        <v>8907848.0820000004</v>
      </c>
      <c r="S27" s="1574">
        <f>L27-R27</f>
        <v>-2.0000003278255463E-3</v>
      </c>
      <c r="V27" s="1575">
        <v>162.036</v>
      </c>
      <c r="W27" s="1575">
        <f t="shared" si="4"/>
        <v>0</v>
      </c>
      <c r="X27" s="1465" t="s">
        <v>1067</v>
      </c>
      <c r="AE27" s="879">
        <v>53223</v>
      </c>
      <c r="AF27" s="1579">
        <f t="shared" si="5"/>
        <v>-1751.5</v>
      </c>
    </row>
    <row r="28" spans="1:32" ht="21.95" customHeight="1" x14ac:dyDescent="0.2">
      <c r="A28" s="1462">
        <f>satpek!B28</f>
        <v>9</v>
      </c>
      <c r="B28" s="1567">
        <f>B27+1</f>
        <v>4</v>
      </c>
      <c r="C28" s="1557"/>
      <c r="D28" s="1568" t="s">
        <v>1999</v>
      </c>
      <c r="E28" s="1568"/>
      <c r="F28" s="1580"/>
      <c r="G28" s="1453">
        <f>'[3]B.VOL RAB'!Q35</f>
        <v>631.13400000000001</v>
      </c>
      <c r="H28" s="788" t="str">
        <f>VLOOKUP($A28,satpek!$B$20:$N$144,7,0)</f>
        <v>m3</v>
      </c>
      <c r="I28" s="1569" t="str">
        <f>VLOOKUP($A28,satpek!$B$20:$N$144,5,0)</f>
        <v>An. Dihitung</v>
      </c>
      <c r="J28" s="1570">
        <f>VLOOKUP($A28,satpek!$B$20:$N$144,6,0)+satpek!G27</f>
        <v>148301.20000000001</v>
      </c>
      <c r="K28" s="1558"/>
      <c r="L28" s="1571">
        <f t="shared" si="6"/>
        <v>93597929.560000002</v>
      </c>
      <c r="M28" s="1617"/>
      <c r="N28" s="1572">
        <f>VLOOKUP($A28,satpek!$B$20:$L$138,8,0)</f>
        <v>1</v>
      </c>
      <c r="O28" s="1573">
        <f>VLOOKUP($A28,satpek!$B$20:$L$138,9,0)</f>
        <v>82590</v>
      </c>
      <c r="P28" s="1573">
        <f>VLOOKUP($A28,satpek!$B$20:$L$138,10,0)</f>
        <v>93326.7</v>
      </c>
      <c r="Q28" s="1571">
        <f t="shared" si="7"/>
        <v>52125357.060000002</v>
      </c>
      <c r="R28" s="1571">
        <f t="shared" si="8"/>
        <v>58901653.477799997</v>
      </c>
      <c r="S28" s="1574">
        <f t="shared" si="9"/>
        <v>34696276.082200006</v>
      </c>
      <c r="V28" s="1575">
        <v>559.54500000000007</v>
      </c>
      <c r="W28" s="1575">
        <f t="shared" si="4"/>
        <v>-71.588999999999942</v>
      </c>
      <c r="X28" s="1618" t="s">
        <v>1763</v>
      </c>
      <c r="AE28" s="879">
        <v>93699.6</v>
      </c>
      <c r="AF28" s="1579">
        <f t="shared" si="5"/>
        <v>-54601.600000000006</v>
      </c>
    </row>
    <row r="29" spans="1:32" ht="21.95" customHeight="1" x14ac:dyDescent="0.2">
      <c r="A29" s="1462">
        <f>satpek!B29</f>
        <v>10</v>
      </c>
      <c r="B29" s="1567">
        <f>B28+1</f>
        <v>5</v>
      </c>
      <c r="C29" s="1557"/>
      <c r="D29" s="1568" t="str">
        <f>VLOOKUP($A29,satpek!$B$20:$N$144,2,0)</f>
        <v>Mengurug pasir urug</v>
      </c>
      <c r="E29" s="1568"/>
      <c r="F29" s="1580"/>
      <c r="G29" s="1585">
        <f>'[3]B.VOL RAB'!Q36</f>
        <v>26.52</v>
      </c>
      <c r="H29" s="788" t="str">
        <f>VLOOKUP($A29,satpek!$B$20:$N$144,7,0)</f>
        <v>m3</v>
      </c>
      <c r="I29" s="1569" t="str">
        <f>VLOOKUP($A29,satpek!$B$20:$N$144,5,0)</f>
        <v>A.2.3.1.11.</v>
      </c>
      <c r="J29" s="1570">
        <f>VLOOKUP($A29,satpek!$B$20:$N$144,6,0)</f>
        <v>251978.7</v>
      </c>
      <c r="K29" s="1558"/>
      <c r="L29" s="1571">
        <f t="shared" si="6"/>
        <v>6682475.1200000001</v>
      </c>
      <c r="M29" s="1617"/>
      <c r="N29" s="1572">
        <f>VLOOKUP($A29,satpek!$B$20:$L$138,8,0)</f>
        <v>1</v>
      </c>
      <c r="O29" s="1573">
        <f>VLOOKUP($A29,satpek!$B$20:$L$138,9,0)</f>
        <v>222990</v>
      </c>
      <c r="P29" s="1573">
        <f>VLOOKUP($A29,satpek!$B$20:$L$138,10,0)</f>
        <v>251978.7</v>
      </c>
      <c r="Q29" s="1571">
        <f t="shared" si="7"/>
        <v>5913694.7999999998</v>
      </c>
      <c r="R29" s="1571">
        <f t="shared" si="8"/>
        <v>6682475.1239999998</v>
      </c>
      <c r="S29" s="1574">
        <f t="shared" si="9"/>
        <v>-3.9999997243285179E-3</v>
      </c>
      <c r="V29" s="1575">
        <v>26.52</v>
      </c>
      <c r="W29" s="1575">
        <f t="shared" si="4"/>
        <v>0</v>
      </c>
      <c r="X29" s="1465" t="s">
        <v>467</v>
      </c>
      <c r="AE29" s="879">
        <v>250995.6</v>
      </c>
      <c r="AF29" s="1579">
        <f t="shared" si="5"/>
        <v>-983.10000000000582</v>
      </c>
    </row>
    <row r="30" spans="1:32" ht="21.95" customHeight="1" x14ac:dyDescent="0.2">
      <c r="B30" s="1587"/>
      <c r="C30" s="1588"/>
      <c r="D30" s="1589"/>
      <c r="E30" s="1589"/>
      <c r="F30" s="1590"/>
      <c r="G30" s="807"/>
      <c r="H30" s="1591"/>
      <c r="I30" s="1592"/>
      <c r="J30" s="1593"/>
      <c r="K30" s="1594"/>
      <c r="L30" s="1595" t="s">
        <v>1764</v>
      </c>
      <c r="M30" s="1596">
        <f>SUM(L25:L30)</f>
        <v>158036335.72</v>
      </c>
      <c r="N30" s="1597"/>
      <c r="O30" s="1598"/>
      <c r="P30" s="1598"/>
      <c r="Q30" s="1599"/>
      <c r="R30" s="1600"/>
      <c r="S30" s="1601"/>
      <c r="T30" s="1477">
        <f>[3]HPS!M33</f>
        <v>114157019.97</v>
      </c>
      <c r="U30" s="1477">
        <f>M30-T30</f>
        <v>43879315.75</v>
      </c>
      <c r="V30" s="1575"/>
      <c r="W30" s="1575">
        <f t="shared" si="4"/>
        <v>0</v>
      </c>
      <c r="X30" s="1466"/>
      <c r="AB30" s="1465"/>
      <c r="AC30" s="1465"/>
      <c r="AD30" s="1465"/>
      <c r="AE30" s="1466"/>
      <c r="AF30" s="1579">
        <f t="shared" si="5"/>
        <v>0</v>
      </c>
    </row>
    <row r="31" spans="1:32" ht="21.95" customHeight="1" x14ac:dyDescent="0.2">
      <c r="B31" s="1602" t="s">
        <v>1765</v>
      </c>
      <c r="C31" s="1550"/>
      <c r="D31" s="1551" t="s">
        <v>259</v>
      </c>
      <c r="E31" s="1552"/>
      <c r="F31" s="1553"/>
      <c r="G31" s="1453"/>
      <c r="H31" s="1555"/>
      <c r="I31" s="1556"/>
      <c r="J31" s="1570"/>
      <c r="K31" s="1619"/>
      <c r="L31" s="1620"/>
      <c r="M31" s="1617"/>
      <c r="N31" s="1561"/>
      <c r="O31" s="1562"/>
      <c r="P31" s="1562"/>
      <c r="Q31" s="1563"/>
      <c r="R31" s="1564"/>
      <c r="S31" s="1565"/>
      <c r="V31" s="1575"/>
      <c r="W31" s="1575">
        <f t="shared" si="4"/>
        <v>0</v>
      </c>
      <c r="X31" s="1465" t="s">
        <v>259</v>
      </c>
      <c r="AB31" s="1465"/>
      <c r="AC31" s="1465"/>
      <c r="AD31" s="1465"/>
      <c r="AE31" s="1466"/>
      <c r="AF31" s="1579">
        <f t="shared" si="5"/>
        <v>0</v>
      </c>
    </row>
    <row r="32" spans="1:32" ht="21.95" customHeight="1" x14ac:dyDescent="0.2">
      <c r="A32" s="1462">
        <f>satpek!B32</f>
        <v>13</v>
      </c>
      <c r="B32" s="1567">
        <v>1</v>
      </c>
      <c r="C32" s="1557"/>
      <c r="D32" s="1568" t="str">
        <f>VLOOKUP($A32,satpek!$B$20:$N$144,2,0)</f>
        <v>Memasang batu kosong ( anstamping )</v>
      </c>
      <c r="E32" s="1568"/>
      <c r="F32" s="1580"/>
      <c r="G32" s="1453">
        <f>'[3]B.VOL RAB'!Q42</f>
        <v>9.9200000000000017</v>
      </c>
      <c r="H32" s="788" t="str">
        <f>VLOOKUP($A32,satpek!$B$20:$N$144,7,0)</f>
        <v>m3</v>
      </c>
      <c r="I32" s="1569" t="str">
        <f>VLOOKUP($A32,satpek!$B$20:$N$144,5,0)</f>
        <v>A.3.2.1.9.</v>
      </c>
      <c r="J32" s="1570">
        <f>VLOOKUP($A32,satpek!$B$20:$N$144,6,0)</f>
        <v>571377.72</v>
      </c>
      <c r="K32" s="1558"/>
      <c r="L32" s="1571">
        <f t="shared" ref="L32:L34" si="10">ROUND((G32*J32),2)</f>
        <v>5668066.9800000004</v>
      </c>
      <c r="M32" s="1617"/>
      <c r="N32" s="1572">
        <f>VLOOKUP($A32,satpek!$B$20:$L$138,8,0)</f>
        <v>1</v>
      </c>
      <c r="O32" s="1573">
        <f>VLOOKUP($A32,satpek!$B$20:$L$138,9,0)</f>
        <v>505644</v>
      </c>
      <c r="P32" s="1573">
        <f>VLOOKUP($A32,satpek!$B$20:$L$138,10,0)</f>
        <v>571377.72</v>
      </c>
      <c r="Q32" s="1571">
        <f t="shared" ref="Q32:Q34" si="11">O32*G32</f>
        <v>5015988.4800000004</v>
      </c>
      <c r="R32" s="1571">
        <f t="shared" ref="R32:R34" si="12">P32*G32</f>
        <v>5668066.982400001</v>
      </c>
      <c r="S32" s="1574">
        <f t="shared" ref="S32:S34" si="13">L32-R32</f>
        <v>-2.4000005796551704E-3</v>
      </c>
      <c r="V32" s="1575">
        <v>9.9200000000000017</v>
      </c>
      <c r="W32" s="1575">
        <f t="shared" si="4"/>
        <v>0</v>
      </c>
      <c r="X32" s="1465" t="s">
        <v>1904</v>
      </c>
      <c r="AB32" s="1465"/>
      <c r="AC32" s="1465"/>
      <c r="AD32" s="1465"/>
      <c r="AE32" s="1466">
        <v>582913.89</v>
      </c>
      <c r="AF32" s="1579">
        <f t="shared" si="5"/>
        <v>11536.170000000042</v>
      </c>
    </row>
    <row r="33" spans="1:32" ht="21.95" customHeight="1" x14ac:dyDescent="0.2">
      <c r="A33" s="1462">
        <f>satpek!B30</f>
        <v>11</v>
      </c>
      <c r="B33" s="1567">
        <f>B32+1</f>
        <v>2</v>
      </c>
      <c r="C33" s="1557"/>
      <c r="D33" s="1568" t="str">
        <f>VLOOKUP($A33,satpek!$B$20:$N$144,2,0)</f>
        <v>Memasang pondasi batu belah, campuran 1 PC : 6 PP</v>
      </c>
      <c r="E33" s="1568"/>
      <c r="F33" s="1580"/>
      <c r="G33" s="1453">
        <f>'[3]B.VOL RAB'!Q43</f>
        <v>44.044000000000004</v>
      </c>
      <c r="H33" s="788" t="str">
        <f>VLOOKUP($A33,satpek!$B$20:$N$144,7,0)</f>
        <v>m3</v>
      </c>
      <c r="I33" s="1569" t="str">
        <f>VLOOKUP($A33,satpek!$B$20:$N$144,5,0)</f>
        <v>A.3.2.1.4.</v>
      </c>
      <c r="J33" s="1570">
        <f>VLOOKUP($A33,satpek!$B$20:$N$144,6,0)</f>
        <v>931300.8</v>
      </c>
      <c r="K33" s="1558"/>
      <c r="L33" s="1571">
        <f t="shared" si="10"/>
        <v>41018212.439999998</v>
      </c>
      <c r="M33" s="1617"/>
      <c r="N33" s="1572">
        <f>VLOOKUP($A33,satpek!$B$20:$L$138,8,0)</f>
        <v>0.97468520675596981</v>
      </c>
      <c r="O33" s="1573">
        <f>VLOOKUP($A33,satpek!$B$20:$L$138,9,0)</f>
        <v>803296.56</v>
      </c>
      <c r="P33" s="1573">
        <f>VLOOKUP($A33,satpek!$B$20:$L$138,10,0)</f>
        <v>907725.1128</v>
      </c>
      <c r="Q33" s="1571">
        <f t="shared" si="11"/>
        <v>35380393.688640006</v>
      </c>
      <c r="R33" s="1571">
        <f t="shared" si="12"/>
        <v>39979844.868163206</v>
      </c>
      <c r="S33" s="1574">
        <f t="shared" si="13"/>
        <v>1038367.5718367919</v>
      </c>
      <c r="V33" s="1575">
        <v>44.044000000000004</v>
      </c>
      <c r="W33" s="1575">
        <f t="shared" si="4"/>
        <v>0</v>
      </c>
      <c r="X33" s="1465" t="s">
        <v>663</v>
      </c>
      <c r="AB33" s="1465"/>
      <c r="AC33" s="1465"/>
      <c r="AD33" s="1465"/>
      <c r="AE33" s="1466">
        <v>864060.15</v>
      </c>
      <c r="AF33" s="1579">
        <f t="shared" si="5"/>
        <v>-67240.650000000023</v>
      </c>
    </row>
    <row r="34" spans="1:32" ht="21.95" customHeight="1" x14ac:dyDescent="0.2">
      <c r="A34" s="1462">
        <f>satpek!B33</f>
        <v>14</v>
      </c>
      <c r="B34" s="1567">
        <f>B33+1</f>
        <v>3</v>
      </c>
      <c r="C34" s="1557"/>
      <c r="D34" s="1568" t="s">
        <v>1766</v>
      </c>
      <c r="E34" s="1568"/>
      <c r="F34" s="1580"/>
      <c r="G34" s="1585">
        <f>'[3]B.VOL RAB'!Q45</f>
        <v>7.68</v>
      </c>
      <c r="H34" s="788" t="str">
        <f>VLOOKUP($A34,satpek!$B$20:$N$144,7,0)</f>
        <v>m2</v>
      </c>
      <c r="I34" s="1569" t="str">
        <f>VLOOKUP($A34,satpek!$B$20:$N$144,5,0)</f>
        <v>A.4.4.1.4.</v>
      </c>
      <c r="J34" s="1570">
        <f>VLOOKUP($A34,satpek!$B$20:$N$144,6,0)</f>
        <v>272058.8</v>
      </c>
      <c r="K34" s="1558"/>
      <c r="L34" s="1571">
        <f t="shared" si="10"/>
        <v>2089411.58</v>
      </c>
      <c r="M34" s="1617"/>
      <c r="N34" s="1572">
        <f>VLOOKUP($A34,satpek!$B$20:$L$138,8,0)</f>
        <v>0.98355746801794319</v>
      </c>
      <c r="O34" s="1573">
        <f>VLOOKUP($A34,satpek!$B$20:$L$138,9,0)</f>
        <v>236801.296</v>
      </c>
      <c r="P34" s="1573">
        <f>VLOOKUP($A34,satpek!$B$20:$L$138,10,0)</f>
        <v>267585.46448000002</v>
      </c>
      <c r="Q34" s="1571">
        <f t="shared" si="11"/>
        <v>1818633.95328</v>
      </c>
      <c r="R34" s="1571">
        <f t="shared" si="12"/>
        <v>2055056.3672064</v>
      </c>
      <c r="S34" s="1574">
        <f t="shared" si="13"/>
        <v>34355.212793600047</v>
      </c>
      <c r="V34" s="1575">
        <v>7.68</v>
      </c>
      <c r="W34" s="1575">
        <f t="shared" si="4"/>
        <v>0</v>
      </c>
      <c r="X34" s="1465" t="s">
        <v>1766</v>
      </c>
      <c r="AB34" s="1465"/>
      <c r="AC34" s="1465"/>
      <c r="AD34" s="1465"/>
      <c r="AE34" s="1466">
        <v>248520.9</v>
      </c>
      <c r="AF34" s="1579">
        <f t="shared" si="5"/>
        <v>-23537.899999999994</v>
      </c>
    </row>
    <row r="35" spans="1:32" ht="21.95" customHeight="1" x14ac:dyDescent="0.2">
      <c r="B35" s="1587"/>
      <c r="C35" s="1588"/>
      <c r="D35" s="1589"/>
      <c r="E35" s="1589"/>
      <c r="F35" s="1590"/>
      <c r="G35" s="807"/>
      <c r="H35" s="1591"/>
      <c r="I35" s="1592"/>
      <c r="J35" s="1593"/>
      <c r="K35" s="1594"/>
      <c r="L35" s="1595" t="s">
        <v>1767</v>
      </c>
      <c r="M35" s="1596">
        <f>SUM(L32:L35)</f>
        <v>48775691</v>
      </c>
      <c r="N35" s="1597"/>
      <c r="O35" s="1598"/>
      <c r="P35" s="1598"/>
      <c r="Q35" s="1599"/>
      <c r="R35" s="1600"/>
      <c r="S35" s="1601"/>
      <c r="T35" s="1477">
        <f>[3]HPS!M38</f>
        <v>45747811.549999997</v>
      </c>
      <c r="U35" s="1477">
        <f>M35-T35</f>
        <v>3027879.450000003</v>
      </c>
      <c r="V35" s="1575"/>
      <c r="W35" s="1575">
        <f t="shared" si="4"/>
        <v>0</v>
      </c>
      <c r="X35" s="1621"/>
      <c r="AB35" s="1465"/>
      <c r="AC35" s="1465"/>
      <c r="AD35" s="1465"/>
      <c r="AE35" s="1466"/>
      <c r="AF35" s="1579">
        <f t="shared" si="5"/>
        <v>0</v>
      </c>
    </row>
    <row r="36" spans="1:32" ht="21.95" customHeight="1" x14ac:dyDescent="0.2">
      <c r="B36" s="1549" t="s">
        <v>1768</v>
      </c>
      <c r="C36" s="1603"/>
      <c r="D36" s="1604" t="s">
        <v>269</v>
      </c>
      <c r="E36" s="1622"/>
      <c r="F36" s="1623"/>
      <c r="G36" s="1453"/>
      <c r="H36" s="1624"/>
      <c r="I36" s="1625"/>
      <c r="J36" s="1626"/>
      <c r="K36" s="1627"/>
      <c r="L36" s="1628"/>
      <c r="M36" s="1626"/>
      <c r="N36" s="1629"/>
      <c r="O36" s="1630"/>
      <c r="P36" s="1630"/>
      <c r="Q36" s="1625"/>
      <c r="R36" s="1631"/>
      <c r="S36" s="1632"/>
      <c r="V36" s="1575"/>
      <c r="W36" s="1575">
        <f t="shared" si="4"/>
        <v>0</v>
      </c>
      <c r="X36" s="1465" t="s">
        <v>269</v>
      </c>
      <c r="AB36" s="1465"/>
      <c r="AC36" s="1465"/>
      <c r="AD36" s="1465"/>
      <c r="AE36" s="1466"/>
      <c r="AF36" s="1579">
        <f t="shared" si="5"/>
        <v>0</v>
      </c>
    </row>
    <row r="37" spans="1:32" ht="21.95" customHeight="1" x14ac:dyDescent="0.2">
      <c r="B37" s="1549"/>
      <c r="C37" s="1603"/>
      <c r="D37" s="1604" t="s">
        <v>1769</v>
      </c>
      <c r="E37" s="1622"/>
      <c r="F37" s="1623"/>
      <c r="G37" s="1453"/>
      <c r="H37" s="1624"/>
      <c r="I37" s="1625"/>
      <c r="J37" s="1626"/>
      <c r="K37" s="1627"/>
      <c r="L37" s="1628"/>
      <c r="M37" s="1626"/>
      <c r="N37" s="1629"/>
      <c r="O37" s="1630"/>
      <c r="P37" s="1630"/>
      <c r="Q37" s="1625"/>
      <c r="R37" s="1631"/>
      <c r="S37" s="1632"/>
      <c r="V37" s="1575"/>
      <c r="W37" s="1575">
        <f t="shared" si="4"/>
        <v>0</v>
      </c>
      <c r="X37" s="1465" t="s">
        <v>1769</v>
      </c>
      <c r="AB37" s="1465"/>
      <c r="AC37" s="1465"/>
      <c r="AD37" s="1465"/>
      <c r="AE37" s="1466"/>
      <c r="AF37" s="1579">
        <f t="shared" si="5"/>
        <v>0</v>
      </c>
    </row>
    <row r="38" spans="1:32" ht="21.95" customHeight="1" x14ac:dyDescent="0.2">
      <c r="B38" s="1549"/>
      <c r="C38" s="1550"/>
      <c r="D38" s="1633" t="s">
        <v>1770</v>
      </c>
      <c r="E38" s="1634"/>
      <c r="F38" s="1635"/>
      <c r="G38" s="1453"/>
      <c r="H38" s="1636"/>
      <c r="I38" s="1637"/>
      <c r="J38" s="1638"/>
      <c r="K38" s="1639"/>
      <c r="L38" s="1640"/>
      <c r="M38" s="1641"/>
      <c r="N38" s="1642"/>
      <c r="O38" s="1643"/>
      <c r="P38" s="1643"/>
      <c r="Q38" s="1644"/>
      <c r="R38" s="1645"/>
      <c r="S38" s="1646"/>
      <c r="V38" s="1575"/>
      <c r="W38" s="1575">
        <f t="shared" si="4"/>
        <v>0</v>
      </c>
      <c r="X38" s="1465" t="s">
        <v>1770</v>
      </c>
      <c r="AB38" s="1465"/>
      <c r="AC38" s="1465"/>
      <c r="AD38" s="1465"/>
      <c r="AE38" s="1466"/>
      <c r="AF38" s="1579">
        <f t="shared" si="5"/>
        <v>0</v>
      </c>
    </row>
    <row r="39" spans="1:32" ht="21.95" customHeight="1" x14ac:dyDescent="0.2">
      <c r="A39" s="1462">
        <f>satpek!B39</f>
        <v>20</v>
      </c>
      <c r="B39" s="1567">
        <v>1</v>
      </c>
      <c r="C39" s="1557"/>
      <c r="D39" s="1568" t="s">
        <v>1771</v>
      </c>
      <c r="E39" s="1568"/>
      <c r="F39" s="1580"/>
      <c r="G39" s="1453">
        <f>'[3]B.VOL RAB'!Q52</f>
        <v>8.2999999999999989</v>
      </c>
      <c r="H39" s="788" t="str">
        <f>VLOOKUP($A39,satpek!$B$20:$N$144,7,0)</f>
        <v>m3</v>
      </c>
      <c r="I39" s="1569" t="str">
        <f>VLOOKUP($A39,satpek!$B$20:$N$144,5,0)</f>
        <v>A.4.1.1.1.</v>
      </c>
      <c r="J39" s="1570">
        <f>VLOOKUP($A39,satpek!$B$20:$N$144,6,0)</f>
        <v>958085.99</v>
      </c>
      <c r="K39" s="1558"/>
      <c r="L39" s="1571">
        <f t="shared" ref="L39" si="14">ROUND((G39*J39),2)</f>
        <v>7952113.7199999997</v>
      </c>
      <c r="M39" s="1617"/>
      <c r="N39" s="1572">
        <f>VLOOKUP($A39,satpek!$B$20:$L$138,8,0)</f>
        <v>0.94805174525042479</v>
      </c>
      <c r="O39" s="1573">
        <f>VLOOKUP($A39,satpek!$B$20:$L$138,9,0)</f>
        <v>803818.67</v>
      </c>
      <c r="P39" s="1573">
        <f>VLOOKUP($A39,satpek!$B$20:$L$138,10,0)</f>
        <v>908315.09710000001</v>
      </c>
      <c r="Q39" s="1571">
        <f t="shared" ref="Q39" si="15">O39*G39</f>
        <v>6671694.9609999992</v>
      </c>
      <c r="R39" s="1571">
        <f>P39*G39</f>
        <v>7539015.3059299989</v>
      </c>
      <c r="S39" s="1574">
        <f t="shared" ref="S39" si="16">L39-R39</f>
        <v>413098.41407000087</v>
      </c>
      <c r="V39" s="1575">
        <v>8.2999999999999989</v>
      </c>
      <c r="W39" s="1575">
        <f t="shared" si="4"/>
        <v>0</v>
      </c>
      <c r="X39" s="1465" t="s">
        <v>1771</v>
      </c>
      <c r="AB39" s="1465"/>
      <c r="AC39" s="1465"/>
      <c r="AD39" s="1465"/>
      <c r="AE39" s="1466">
        <v>969189.7</v>
      </c>
      <c r="AF39" s="1579">
        <f t="shared" si="5"/>
        <v>11103.709999999963</v>
      </c>
    </row>
    <row r="40" spans="1:32" ht="21.95" customHeight="1" x14ac:dyDescent="0.2">
      <c r="B40" s="1567"/>
      <c r="C40" s="1557"/>
      <c r="D40" s="1633" t="s">
        <v>1772</v>
      </c>
      <c r="E40" s="1568"/>
      <c r="F40" s="1580"/>
      <c r="G40" s="1453"/>
      <c r="H40" s="1647"/>
      <c r="I40" s="1569"/>
      <c r="J40" s="1570"/>
      <c r="K40" s="1457"/>
      <c r="L40" s="1571"/>
      <c r="M40" s="1617"/>
      <c r="N40" s="1648"/>
      <c r="O40" s="1649"/>
      <c r="P40" s="1649"/>
      <c r="Q40" s="1650"/>
      <c r="R40" s="1651"/>
      <c r="S40" s="1652"/>
      <c r="V40" s="1575"/>
      <c r="W40" s="1575">
        <f t="shared" si="4"/>
        <v>0</v>
      </c>
      <c r="X40" s="1465" t="s">
        <v>1772</v>
      </c>
      <c r="AB40" s="1465"/>
      <c r="AC40" s="1465"/>
      <c r="AD40" s="1465"/>
      <c r="AE40" s="1466"/>
      <c r="AF40" s="1579">
        <f t="shared" si="5"/>
        <v>0</v>
      </c>
    </row>
    <row r="41" spans="1:32" ht="21.95" customHeight="1" x14ac:dyDescent="0.2">
      <c r="A41" s="1462">
        <f>satpek!$B$40</f>
        <v>21</v>
      </c>
      <c r="B41" s="1567">
        <v>1</v>
      </c>
      <c r="C41" s="1557"/>
      <c r="D41" s="1568" t="str">
        <f>VLOOKUP($A41,satpek!$B$20:$N$144,2,0)</f>
        <v>Membuat beton mutu f'c = 21,7 Mpa - K 250</v>
      </c>
      <c r="E41" s="1568"/>
      <c r="F41" s="1580"/>
      <c r="G41" s="1453">
        <f>'[3]B.VOL RAB'!Q56</f>
        <v>41.471999999999994</v>
      </c>
      <c r="H41" s="788" t="str">
        <f>VLOOKUP($A41,satpek!$B$20:$N$144,7,0)</f>
        <v>m3</v>
      </c>
      <c r="I41" s="1569" t="str">
        <f>VLOOKUP($A41,satpek!$B$20:$N$144,5,0)</f>
        <v>A.4.1.1.8.</v>
      </c>
      <c r="J41" s="1570">
        <f>VLOOKUP($A41,satpek!$B$20:$N$144,6,0)</f>
        <v>1115753.29</v>
      </c>
      <c r="K41" s="1558"/>
      <c r="L41" s="1571">
        <f t="shared" ref="L41:L43" si="17">ROUND((G41*J41),2)</f>
        <v>46272520.439999998</v>
      </c>
      <c r="M41" s="1617"/>
      <c r="N41" s="1572">
        <f>VLOOKUP($A41,satpek!$B$20:$L$138,8,0)</f>
        <v>0.93065078521121514</v>
      </c>
      <c r="O41" s="1573">
        <f>VLOOKUP($A41,satpek!$B$20:$L$138,9,0)</f>
        <v>918917.40999999992</v>
      </c>
      <c r="P41" s="1573">
        <f>VLOOKUP($A41,satpek!$B$20:$L$138,10,0)</f>
        <v>1038376.6732999999</v>
      </c>
      <c r="Q41" s="1571">
        <f t="shared" ref="Q41:Q43" si="18">O41*G41</f>
        <v>38109342.827519991</v>
      </c>
      <c r="R41" s="1571">
        <f t="shared" ref="R41:R43" si="19">P41*G41</f>
        <v>43063557.395097591</v>
      </c>
      <c r="S41" s="1574">
        <f t="shared" ref="S41:S43" si="20">L41-R41</f>
        <v>3208963.0449024066</v>
      </c>
      <c r="V41" s="1575">
        <v>41.471999999999994</v>
      </c>
      <c r="W41" s="1575">
        <f t="shared" si="4"/>
        <v>0</v>
      </c>
      <c r="X41" s="1465" t="s">
        <v>1905</v>
      </c>
      <c r="AB41" s="1465"/>
      <c r="AC41" s="1465"/>
      <c r="AD41" s="1465"/>
      <c r="AE41" s="1466">
        <v>1191397.42</v>
      </c>
      <c r="AF41" s="1579">
        <f t="shared" si="5"/>
        <v>75644.129999999888</v>
      </c>
    </row>
    <row r="42" spans="1:32" ht="21.95" customHeight="1" x14ac:dyDescent="0.2">
      <c r="A42" s="1462">
        <f>satpek!$B$41</f>
        <v>22</v>
      </c>
      <c r="B42" s="1567">
        <f>B41+1</f>
        <v>2</v>
      </c>
      <c r="C42" s="1557"/>
      <c r="D42" s="1568" t="str">
        <f>VLOOKUP($A42,satpek!$B$20:$N$144,2,0)</f>
        <v>Pembesian 1 kg dengan besi polos atau besi ulir</v>
      </c>
      <c r="E42" s="1568"/>
      <c r="F42" s="1580"/>
      <c r="G42" s="1453">
        <f>'[3]B.VOL RAB'!Q58</f>
        <v>3622.2814623302602</v>
      </c>
      <c r="H42" s="788" t="str">
        <f>VLOOKUP($A42,satpek!$B$20:$N$144,7,0)</f>
        <v>kg</v>
      </c>
      <c r="I42" s="1569" t="str">
        <f>VLOOKUP($A42,satpek!$B$20:$N$144,5,0)</f>
        <v>A.4.1.1.17.</v>
      </c>
      <c r="J42" s="1570">
        <f>VLOOKUP($A42,satpek!$B$20:$N$144,6,0)</f>
        <v>15603.94</v>
      </c>
      <c r="K42" s="1558"/>
      <c r="L42" s="1571">
        <f t="shared" si="17"/>
        <v>56521862.600000001</v>
      </c>
      <c r="M42" s="1617"/>
      <c r="N42" s="1572">
        <f>VLOOKUP($A42,satpek!$B$20:$L$138,8,0)</f>
        <v>0.46415793062521393</v>
      </c>
      <c r="O42" s="1573">
        <f>VLOOKUP($A42,satpek!$B$20:$L$138,9,0)</f>
        <v>7242.692500000001</v>
      </c>
      <c r="P42" s="1573">
        <f>VLOOKUP($A42,satpek!$B$20:$L$138,10,0)</f>
        <v>8184.2425250000015</v>
      </c>
      <c r="Q42" s="1571">
        <f t="shared" si="18"/>
        <v>26235070.780108411</v>
      </c>
      <c r="R42" s="1571">
        <f t="shared" si="19"/>
        <v>29645629.981522508</v>
      </c>
      <c r="S42" s="1574">
        <f t="shared" si="20"/>
        <v>26876232.618477494</v>
      </c>
      <c r="V42" s="1575">
        <v>3622.2814623302602</v>
      </c>
      <c r="W42" s="1575">
        <f t="shared" si="4"/>
        <v>0</v>
      </c>
      <c r="X42" s="1465" t="s">
        <v>420</v>
      </c>
      <c r="AB42" s="1465"/>
      <c r="AC42" s="1465"/>
      <c r="AD42" s="1465"/>
      <c r="AE42" s="1466">
        <v>15438.06</v>
      </c>
      <c r="AF42" s="1579">
        <f t="shared" si="5"/>
        <v>-165.88000000000102</v>
      </c>
    </row>
    <row r="43" spans="1:32" ht="21.95" customHeight="1" x14ac:dyDescent="0.2">
      <c r="A43" s="1462">
        <f>satpek!$B$42</f>
        <v>23</v>
      </c>
      <c r="B43" s="1567">
        <f>B42+1</f>
        <v>3</v>
      </c>
      <c r="C43" s="1557"/>
      <c r="D43" s="1568" t="str">
        <f>VLOOKUP($A43,satpek!$B$20:$N$144,2,0)</f>
        <v>Memasang bekisting untuk pondasi ( 2x pakai )</v>
      </c>
      <c r="E43" s="1568"/>
      <c r="F43" s="1580"/>
      <c r="G43" s="1453">
        <f>'[3]B.VOL RAB'!Q61</f>
        <v>138.24</v>
      </c>
      <c r="H43" s="788" t="str">
        <f>VLOOKUP($A43,satpek!$B$20:$N$144,7,0)</f>
        <v>m2</v>
      </c>
      <c r="I43" s="1569" t="str">
        <f>VLOOKUP($A43,satpek!$B$20:$N$144,5,0)</f>
        <v>A.4.1.1.20.</v>
      </c>
      <c r="J43" s="1570">
        <f>VLOOKUP($A43,satpek!$B$20:$N$144,6,0)</f>
        <v>115782.06</v>
      </c>
      <c r="K43" s="1558"/>
      <c r="L43" s="1571">
        <f t="shared" si="17"/>
        <v>16005711.970000001</v>
      </c>
      <c r="M43" s="1617"/>
      <c r="N43" s="1572">
        <f>VLOOKUP($A43,satpek!$B$20:$L$138,8,0)</f>
        <v>0.94349124553493002</v>
      </c>
      <c r="O43" s="1573">
        <f>VLOOKUP($A43,satpek!$B$20:$L$138,9,0)</f>
        <v>96672</v>
      </c>
      <c r="P43" s="1573">
        <f>VLOOKUP($A43,satpek!$B$20:$L$138,10,0)</f>
        <v>109239.36</v>
      </c>
      <c r="Q43" s="1571">
        <f t="shared" si="18"/>
        <v>13363937.280000001</v>
      </c>
      <c r="R43" s="1571">
        <f t="shared" si="19"/>
        <v>15101249.126400001</v>
      </c>
      <c r="S43" s="1574">
        <f t="shared" si="20"/>
        <v>904462.84359999932</v>
      </c>
      <c r="V43" s="1575">
        <v>138.24</v>
      </c>
      <c r="W43" s="1575">
        <f t="shared" si="4"/>
        <v>0</v>
      </c>
      <c r="X43" s="1465" t="s">
        <v>1906</v>
      </c>
      <c r="AB43" s="1465"/>
      <c r="AC43" s="1465"/>
      <c r="AD43" s="1465"/>
      <c r="AE43" s="1466">
        <v>114048.64</v>
      </c>
      <c r="AF43" s="1579">
        <f t="shared" si="5"/>
        <v>-1733.4199999999983</v>
      </c>
    </row>
    <row r="44" spans="1:32" ht="21.95" customHeight="1" x14ac:dyDescent="0.2">
      <c r="B44" s="1567"/>
      <c r="C44" s="1557"/>
      <c r="D44" s="1633" t="s">
        <v>1773</v>
      </c>
      <c r="E44" s="1568"/>
      <c r="F44" s="1580"/>
      <c r="G44" s="1453"/>
      <c r="H44" s="1647"/>
      <c r="I44" s="1569"/>
      <c r="J44" s="1570"/>
      <c r="K44" s="1457"/>
      <c r="L44" s="1571"/>
      <c r="M44" s="1617"/>
      <c r="N44" s="1648"/>
      <c r="O44" s="1649"/>
      <c r="P44" s="1649"/>
      <c r="Q44" s="1650"/>
      <c r="R44" s="1651"/>
      <c r="S44" s="1652"/>
      <c r="V44" s="1575"/>
      <c r="W44" s="1575">
        <f t="shared" si="4"/>
        <v>0</v>
      </c>
      <c r="X44" s="1465" t="s">
        <v>1773</v>
      </c>
      <c r="AB44" s="1465"/>
      <c r="AC44" s="1465"/>
      <c r="AD44" s="1465"/>
      <c r="AE44" s="1466"/>
      <c r="AF44" s="1579">
        <f t="shared" si="5"/>
        <v>0</v>
      </c>
    </row>
    <row r="45" spans="1:32" ht="21.95" customHeight="1" x14ac:dyDescent="0.2">
      <c r="A45" s="1462">
        <f>satpek!$B$40</f>
        <v>21</v>
      </c>
      <c r="B45" s="1567">
        <v>1</v>
      </c>
      <c r="C45" s="1557"/>
      <c r="D45" s="1568" t="str">
        <f>VLOOKUP($A45,satpek!$B$20:$N$144,2,0)</f>
        <v>Membuat beton mutu f'c = 21,7 Mpa - K 250</v>
      </c>
      <c r="E45" s="1568"/>
      <c r="F45" s="1580"/>
      <c r="G45" s="1453">
        <f>'[3]B.VOL RAB'!Q65</f>
        <v>0.76800000000000013</v>
      </c>
      <c r="H45" s="788" t="str">
        <f>VLOOKUP($A45,satpek!$B$20:$N$144,7,0)</f>
        <v>m3</v>
      </c>
      <c r="I45" s="1569" t="str">
        <f>VLOOKUP($A45,satpek!$B$20:$N$144,5,0)</f>
        <v>A.4.1.1.8.</v>
      </c>
      <c r="J45" s="1570">
        <f>VLOOKUP($A45,satpek!$B$20:$N$144,6,0)</f>
        <v>1115753.29</v>
      </c>
      <c r="K45" s="1558"/>
      <c r="L45" s="1571">
        <f t="shared" ref="L45:L46" si="21">ROUND((G45*J45),2)</f>
        <v>856898.53</v>
      </c>
      <c r="M45" s="1617"/>
      <c r="N45" s="1572">
        <f>VLOOKUP($A45,satpek!$B$20:$L$138,8,0)</f>
        <v>0.93065078521121514</v>
      </c>
      <c r="O45" s="1573">
        <f>VLOOKUP($A45,satpek!$B$20:$L$138,9,0)</f>
        <v>918917.40999999992</v>
      </c>
      <c r="P45" s="1573">
        <f>VLOOKUP($A45,satpek!$B$20:$L$138,10,0)</f>
        <v>1038376.6732999999</v>
      </c>
      <c r="Q45" s="1571">
        <f t="shared" ref="Q45:Q47" si="22">O45*G45</f>
        <v>705728.57088000001</v>
      </c>
      <c r="R45" s="1571">
        <f t="shared" ref="R45:R47" si="23">P45*G45</f>
        <v>797473.28509440005</v>
      </c>
      <c r="S45" s="1574">
        <f t="shared" ref="S45:S47" si="24">L45-R45</f>
        <v>59425.244905599975</v>
      </c>
      <c r="V45" s="1575">
        <v>0.76800000000000013</v>
      </c>
      <c r="W45" s="1575">
        <f t="shared" si="4"/>
        <v>0</v>
      </c>
      <c r="X45" s="1465" t="s">
        <v>1905</v>
      </c>
      <c r="AB45" s="1465"/>
      <c r="AC45" s="1465"/>
      <c r="AD45" s="1465"/>
      <c r="AE45" s="1466">
        <v>1191397.42</v>
      </c>
      <c r="AF45" s="1579">
        <f t="shared" si="5"/>
        <v>75644.129999999888</v>
      </c>
    </row>
    <row r="46" spans="1:32" ht="21.95" customHeight="1" x14ac:dyDescent="0.2">
      <c r="A46" s="1462">
        <f>satpek!$B$41</f>
        <v>22</v>
      </c>
      <c r="B46" s="1567">
        <f>B45+1</f>
        <v>2</v>
      </c>
      <c r="C46" s="1557"/>
      <c r="D46" s="1568" t="str">
        <f>VLOOKUP($A46,satpek!$B$20:$N$144,2,0)</f>
        <v>Pembesian 1 kg dengan besi polos atau besi ulir</v>
      </c>
      <c r="E46" s="1568"/>
      <c r="F46" s="1580"/>
      <c r="G46" s="1453">
        <f>'[3]B.VOL RAB'!Q67</f>
        <v>73.353172532374217</v>
      </c>
      <c r="H46" s="788" t="str">
        <f>VLOOKUP($A46,satpek!$B$20:$N$144,7,0)</f>
        <v>kg</v>
      </c>
      <c r="I46" s="1569" t="str">
        <f>VLOOKUP($A46,satpek!$B$20:$N$144,5,0)</f>
        <v>A.4.1.1.17.</v>
      </c>
      <c r="J46" s="1570">
        <f>VLOOKUP($A46,satpek!$B$20:$N$144,6,0)</f>
        <v>15603.94</v>
      </c>
      <c r="K46" s="1558"/>
      <c r="L46" s="1571">
        <f t="shared" si="21"/>
        <v>1144598.5</v>
      </c>
      <c r="M46" s="1617"/>
      <c r="N46" s="1572">
        <f>VLOOKUP($A46,satpek!$B$20:$L$138,8,0)</f>
        <v>0.46415793062521393</v>
      </c>
      <c r="O46" s="1573">
        <f>VLOOKUP($A46,satpek!$B$20:$L$138,9,0)</f>
        <v>7242.692500000001</v>
      </c>
      <c r="P46" s="1573">
        <f>VLOOKUP($A46,satpek!$B$20:$L$138,10,0)</f>
        <v>8184.2425250000015</v>
      </c>
      <c r="Q46" s="1571">
        <f t="shared" si="22"/>
        <v>531274.47255143279</v>
      </c>
      <c r="R46" s="1571">
        <f t="shared" si="23"/>
        <v>600340.15398311906</v>
      </c>
      <c r="S46" s="1574">
        <f t="shared" si="24"/>
        <v>544258.34601688094</v>
      </c>
      <c r="V46" s="1575">
        <v>73.353172532374217</v>
      </c>
      <c r="W46" s="1575">
        <f t="shared" si="4"/>
        <v>0</v>
      </c>
      <c r="X46" s="1465" t="s">
        <v>420</v>
      </c>
      <c r="AB46" s="1465"/>
      <c r="AC46" s="1465"/>
      <c r="AD46" s="1465"/>
      <c r="AE46" s="1466">
        <v>15438.06</v>
      </c>
      <c r="AF46" s="1579">
        <f t="shared" si="5"/>
        <v>-165.88000000000102</v>
      </c>
    </row>
    <row r="47" spans="1:32" ht="21.95" customHeight="1" x14ac:dyDescent="0.2">
      <c r="A47" s="1462">
        <f>satpek!$B$42</f>
        <v>23</v>
      </c>
      <c r="B47" s="1567">
        <f>B46+1</f>
        <v>3</v>
      </c>
      <c r="C47" s="1557"/>
      <c r="D47" s="1568" t="str">
        <f>VLOOKUP($A47,satpek!$B$20:$N$144,2,0)</f>
        <v>Memasang bekisting untuk pondasi ( 2x pakai )</v>
      </c>
      <c r="E47" s="1568"/>
      <c r="F47" s="1580"/>
      <c r="G47" s="1453">
        <f>'[3]B.VOL RAB'!Q70</f>
        <v>3.84</v>
      </c>
      <c r="H47" s="1647" t="str">
        <f>VLOOKUP(A47,[3]Rekap!$B$12:$K$773,10)</f>
        <v>m3</v>
      </c>
      <c r="I47" s="1569" t="str">
        <f>VLOOKUP(A47,[3]Rekap!$B$12:$K$769,4)</f>
        <v>A.3.2.1.1.</v>
      </c>
      <c r="J47" s="1570">
        <f>J43</f>
        <v>115782.06</v>
      </c>
      <c r="K47" s="1457"/>
      <c r="L47" s="1571">
        <f>ROUND((G47*J47),2)</f>
        <v>444603.11</v>
      </c>
      <c r="M47" s="1617"/>
      <c r="N47" s="1572">
        <f>VLOOKUP($A47,satpek!$B$20:$L$138,8,0)</f>
        <v>0.94349124553493002</v>
      </c>
      <c r="O47" s="1573">
        <f>VLOOKUP($A47,satpek!$B$20:$L$138,9,0)</f>
        <v>96672</v>
      </c>
      <c r="P47" s="1573">
        <f>VLOOKUP($A47,satpek!$B$20:$L$138,10,0)</f>
        <v>109239.36</v>
      </c>
      <c r="Q47" s="1571">
        <f t="shared" si="22"/>
        <v>371220.47999999998</v>
      </c>
      <c r="R47" s="1571">
        <f t="shared" si="23"/>
        <v>419479.14240000001</v>
      </c>
      <c r="S47" s="1574">
        <f t="shared" si="24"/>
        <v>25123.967599999974</v>
      </c>
      <c r="V47" s="1575">
        <v>3.84</v>
      </c>
      <c r="W47" s="1575">
        <f t="shared" si="4"/>
        <v>0</v>
      </c>
      <c r="X47" s="1465" t="s">
        <v>1906</v>
      </c>
      <c r="AB47" s="1465"/>
      <c r="AC47" s="1465"/>
      <c r="AD47" s="1465"/>
      <c r="AE47" s="1466">
        <v>114048.64</v>
      </c>
      <c r="AF47" s="1579">
        <f t="shared" si="5"/>
        <v>-1733.4199999999983</v>
      </c>
    </row>
    <row r="48" spans="1:32" ht="21.95" customHeight="1" x14ac:dyDescent="0.2">
      <c r="B48" s="1653"/>
      <c r="C48" s="1654"/>
      <c r="D48" s="1633" t="s">
        <v>1774</v>
      </c>
      <c r="E48" s="1552"/>
      <c r="F48" s="1553"/>
      <c r="G48" s="1453"/>
      <c r="H48" s="1555"/>
      <c r="I48" s="1556"/>
      <c r="J48" s="1570"/>
      <c r="K48" s="1619"/>
      <c r="L48" s="1620"/>
      <c r="M48" s="1617"/>
      <c r="N48" s="1561"/>
      <c r="O48" s="1562"/>
      <c r="P48" s="1562"/>
      <c r="Q48" s="1563"/>
      <c r="R48" s="1564"/>
      <c r="S48" s="1565"/>
      <c r="V48" s="1575"/>
      <c r="W48" s="1575">
        <f t="shared" si="4"/>
        <v>0</v>
      </c>
      <c r="X48" s="1465" t="s">
        <v>1774</v>
      </c>
      <c r="AB48" s="1465"/>
      <c r="AC48" s="1465"/>
      <c r="AD48" s="1465"/>
      <c r="AE48" s="1466"/>
      <c r="AF48" s="1579">
        <f t="shared" si="5"/>
        <v>0</v>
      </c>
    </row>
    <row r="49" spans="1:32" ht="21.95" customHeight="1" x14ac:dyDescent="0.2">
      <c r="B49" s="1653"/>
      <c r="C49" s="1654"/>
      <c r="D49" s="1633" t="s">
        <v>1775</v>
      </c>
      <c r="E49" s="1552"/>
      <c r="F49" s="1553"/>
      <c r="G49" s="1453"/>
      <c r="H49" s="1555"/>
      <c r="I49" s="1556"/>
      <c r="J49" s="1570"/>
      <c r="K49" s="1619"/>
      <c r="L49" s="1620"/>
      <c r="M49" s="1617"/>
      <c r="N49" s="1561"/>
      <c r="O49" s="1562"/>
      <c r="P49" s="1562"/>
      <c r="Q49" s="1563"/>
      <c r="R49" s="1564"/>
      <c r="S49" s="1565"/>
      <c r="V49" s="1575"/>
      <c r="W49" s="1575">
        <f t="shared" si="4"/>
        <v>0</v>
      </c>
      <c r="X49" s="1465" t="s">
        <v>1775</v>
      </c>
      <c r="AB49" s="1465"/>
      <c r="AC49" s="1465"/>
      <c r="AD49" s="1465"/>
      <c r="AE49" s="1466"/>
      <c r="AF49" s="1579">
        <f t="shared" si="5"/>
        <v>0</v>
      </c>
    </row>
    <row r="50" spans="1:32" ht="21.95" customHeight="1" x14ac:dyDescent="0.2">
      <c r="A50" s="1462">
        <f>satpek!$B$40</f>
        <v>21</v>
      </c>
      <c r="B50" s="1567">
        <v>1</v>
      </c>
      <c r="C50" s="1557"/>
      <c r="D50" s="1568" t="str">
        <f>VLOOKUP($A50,satpek!$B$20:$N$144,2,0)</f>
        <v>Membuat beton mutu f'c = 21,7 Mpa - K 250</v>
      </c>
      <c r="E50" s="1568"/>
      <c r="F50" s="1580"/>
      <c r="G50" s="1453">
        <f>'[3]B.VOL RAB'!Q75</f>
        <v>24.736000000000008</v>
      </c>
      <c r="H50" s="788" t="str">
        <f>VLOOKUP($A50,satpek!$B$20:$N$144,7,0)</f>
        <v>m3</v>
      </c>
      <c r="I50" s="1569" t="str">
        <f>VLOOKUP($A50,satpek!$B$20:$N$144,5,0)</f>
        <v>A.4.1.1.8.</v>
      </c>
      <c r="J50" s="1570">
        <f>VLOOKUP($A50,satpek!$B$20:$N$144,6,0)</f>
        <v>1115753.29</v>
      </c>
      <c r="K50" s="1558"/>
      <c r="L50" s="1571">
        <f t="shared" ref="L50:L52" si="25">ROUND((G50*J50),2)</f>
        <v>27599273.379999999</v>
      </c>
      <c r="M50" s="1617"/>
      <c r="N50" s="1572">
        <f>VLOOKUP($A50,satpek!$B$20:$L$138,8,0)</f>
        <v>0.93065078521121514</v>
      </c>
      <c r="O50" s="1573">
        <f>VLOOKUP($A50,satpek!$B$20:$L$138,9,0)</f>
        <v>918917.40999999992</v>
      </c>
      <c r="P50" s="1573">
        <f>VLOOKUP($A50,satpek!$B$20:$L$138,10,0)</f>
        <v>1038376.6732999999</v>
      </c>
      <c r="Q50" s="1571">
        <f t="shared" ref="Q50:Q52" si="26">O50*G50</f>
        <v>22730341.053760003</v>
      </c>
      <c r="R50" s="1571">
        <f t="shared" ref="R50:R52" si="27">P50*G50</f>
        <v>25685285.390748806</v>
      </c>
      <c r="S50" s="1574">
        <f t="shared" ref="S50:S52" si="28">L50-R50</f>
        <v>1913987.9892511927</v>
      </c>
      <c r="V50" s="1575">
        <v>24.736000000000008</v>
      </c>
      <c r="W50" s="1575">
        <f t="shared" si="4"/>
        <v>0</v>
      </c>
      <c r="X50" s="1465" t="s">
        <v>1905</v>
      </c>
      <c r="AB50" s="1465"/>
      <c r="AC50" s="1465"/>
      <c r="AD50" s="1465"/>
      <c r="AE50" s="1466">
        <v>1191397.42</v>
      </c>
      <c r="AF50" s="1579">
        <f t="shared" si="5"/>
        <v>75644.129999999888</v>
      </c>
    </row>
    <row r="51" spans="1:32" ht="21.95" customHeight="1" x14ac:dyDescent="0.2">
      <c r="A51" s="1462">
        <f>satpek!$B$41</f>
        <v>22</v>
      </c>
      <c r="B51" s="1567">
        <f>B50+1</f>
        <v>2</v>
      </c>
      <c r="C51" s="1557"/>
      <c r="D51" s="1568" t="str">
        <f>VLOOKUP($A51,satpek!$B$20:$N$144,2,0)</f>
        <v>Pembesian 1 kg dengan besi polos atau besi ulir</v>
      </c>
      <c r="E51" s="1568"/>
      <c r="F51" s="1580"/>
      <c r="G51" s="1453">
        <f>'[3]B.VOL RAB'!Q77</f>
        <v>4504.2409055814333</v>
      </c>
      <c r="H51" s="788" t="str">
        <f>VLOOKUP($A51,satpek!$B$20:$N$144,7,0)</f>
        <v>kg</v>
      </c>
      <c r="I51" s="1569" t="str">
        <f>VLOOKUP($A51,satpek!$B$20:$N$144,5,0)</f>
        <v>A.4.1.1.17.</v>
      </c>
      <c r="J51" s="1570">
        <f>VLOOKUP($A51,satpek!$B$20:$N$144,6,0)</f>
        <v>15603.94</v>
      </c>
      <c r="K51" s="1558"/>
      <c r="L51" s="1571">
        <f t="shared" si="25"/>
        <v>70283904.840000004</v>
      </c>
      <c r="M51" s="1617"/>
      <c r="N51" s="1572">
        <f>VLOOKUP($A51,satpek!$B$20:$L$138,8,0)</f>
        <v>0.46415793062521393</v>
      </c>
      <c r="O51" s="1573">
        <f>VLOOKUP($A51,satpek!$B$20:$L$138,9,0)</f>
        <v>7242.692500000001</v>
      </c>
      <c r="P51" s="1573">
        <f>VLOOKUP($A51,satpek!$B$20:$L$138,10,0)</f>
        <v>8184.2425250000015</v>
      </c>
      <c r="Q51" s="1571">
        <f t="shared" si="26"/>
        <v>32622831.825047858</v>
      </c>
      <c r="R51" s="1571">
        <f t="shared" si="27"/>
        <v>36863799.962304085</v>
      </c>
      <c r="S51" s="1574">
        <f t="shared" si="28"/>
        <v>33420104.877695918</v>
      </c>
      <c r="V51" s="1575">
        <v>4504.2409055814333</v>
      </c>
      <c r="W51" s="1575">
        <f t="shared" si="4"/>
        <v>0</v>
      </c>
      <c r="X51" s="1465" t="s">
        <v>420</v>
      </c>
      <c r="AB51" s="1465"/>
      <c r="AC51" s="1465"/>
      <c r="AD51" s="1465"/>
      <c r="AE51" s="1466">
        <v>15438.06</v>
      </c>
      <c r="AF51" s="1579">
        <f t="shared" si="5"/>
        <v>-165.88000000000102</v>
      </c>
    </row>
    <row r="52" spans="1:32" ht="21.95" customHeight="1" x14ac:dyDescent="0.2">
      <c r="A52" s="1462">
        <f>satpek!$B$43</f>
        <v>24</v>
      </c>
      <c r="B52" s="1567">
        <f>B51+1</f>
        <v>3</v>
      </c>
      <c r="C52" s="1557"/>
      <c r="D52" s="1568" t="str">
        <f>VLOOKUP($A52,satpek!$B$20:$N$144,2,0)</f>
        <v>Memasang bekisting untuk sloof (2 kali pakai)</v>
      </c>
      <c r="E52" s="1568"/>
      <c r="F52" s="1580"/>
      <c r="G52" s="1453">
        <f>'[3]B.VOL RAB'!Q81</f>
        <v>247.36000000000004</v>
      </c>
      <c r="H52" s="788" t="str">
        <f>VLOOKUP($A52,satpek!$B$20:$N$144,7,0)</f>
        <v>m2</v>
      </c>
      <c r="I52" s="1569" t="str">
        <f>VLOOKUP($A52,satpek!$B$20:$N$144,5,0)</f>
        <v>A.4.1.1.21.</v>
      </c>
      <c r="J52" s="1570">
        <f>VLOOKUP($A52,satpek!$B$20:$N$144,6,0)</f>
        <v>118889.56</v>
      </c>
      <c r="K52" s="1558"/>
      <c r="L52" s="1571">
        <f t="shared" si="25"/>
        <v>29408521.559999999</v>
      </c>
      <c r="M52" s="1617"/>
      <c r="N52" s="1572">
        <f>VLOOKUP($A52,satpek!$B$20:$L$138,8,0)</f>
        <v>0.94496825457172184</v>
      </c>
      <c r="O52" s="1573">
        <f>VLOOKUP($A52,satpek!$B$20:$L$138,9,0)</f>
        <v>99422</v>
      </c>
      <c r="P52" s="1573">
        <f>VLOOKUP($A52,satpek!$B$20:$L$138,10,0)</f>
        <v>112346.86</v>
      </c>
      <c r="Q52" s="1571">
        <f t="shared" si="26"/>
        <v>24593025.920000006</v>
      </c>
      <c r="R52" s="1571">
        <f t="shared" si="27"/>
        <v>27790119.289600004</v>
      </c>
      <c r="S52" s="1574">
        <f t="shared" si="28"/>
        <v>1618402.2703999951</v>
      </c>
      <c r="V52" s="1575">
        <v>247.36000000000004</v>
      </c>
      <c r="W52" s="1575">
        <f t="shared" si="4"/>
        <v>0</v>
      </c>
      <c r="X52" s="1465" t="s">
        <v>1907</v>
      </c>
      <c r="AB52" s="1465"/>
      <c r="AC52" s="1465"/>
      <c r="AD52" s="1465"/>
      <c r="AE52" s="1466">
        <v>117156.14</v>
      </c>
      <c r="AF52" s="1579">
        <f t="shared" si="5"/>
        <v>-1733.4199999999983</v>
      </c>
    </row>
    <row r="53" spans="1:32" ht="21.95" customHeight="1" x14ac:dyDescent="0.2">
      <c r="B53" s="1653"/>
      <c r="C53" s="1654"/>
      <c r="D53" s="1633" t="s">
        <v>1776</v>
      </c>
      <c r="E53" s="1552"/>
      <c r="F53" s="1553"/>
      <c r="G53" s="1453"/>
      <c r="H53" s="1555"/>
      <c r="I53" s="1556"/>
      <c r="J53" s="1570"/>
      <c r="K53" s="1619"/>
      <c r="L53" s="1620"/>
      <c r="M53" s="1617"/>
      <c r="N53" s="1561"/>
      <c r="O53" s="1562"/>
      <c r="P53" s="1562"/>
      <c r="Q53" s="1563"/>
      <c r="R53" s="1564"/>
      <c r="S53" s="1565"/>
      <c r="V53" s="1575"/>
      <c r="W53" s="1575">
        <f t="shared" si="4"/>
        <v>0</v>
      </c>
      <c r="X53" s="1465" t="s">
        <v>1776</v>
      </c>
      <c r="AB53" s="1465"/>
      <c r="AC53" s="1465"/>
      <c r="AD53" s="1465"/>
      <c r="AE53" s="1466"/>
      <c r="AF53" s="1579">
        <f t="shared" si="5"/>
        <v>0</v>
      </c>
    </row>
    <row r="54" spans="1:32" ht="21.95" customHeight="1" x14ac:dyDescent="0.2">
      <c r="A54" s="1462">
        <f>satpek!$B$40</f>
        <v>21</v>
      </c>
      <c r="B54" s="1567">
        <v>1</v>
      </c>
      <c r="C54" s="1557"/>
      <c r="D54" s="1568" t="str">
        <f>VLOOKUP($A54,satpek!$B$20:$N$144,2,0)</f>
        <v>Membuat beton mutu f'c = 21,7 Mpa - K 250</v>
      </c>
      <c r="E54" s="1568"/>
      <c r="F54" s="1580"/>
      <c r="G54" s="1453">
        <f>'[3]B.VOL RAB'!Q85</f>
        <v>13.343999999999998</v>
      </c>
      <c r="H54" s="788" t="str">
        <f>VLOOKUP($A54,satpek!$B$20:$N$144,7,0)</f>
        <v>m3</v>
      </c>
      <c r="I54" s="1569" t="str">
        <f>VLOOKUP($A54,satpek!$B$20:$N$144,5,0)</f>
        <v>A.4.1.1.8.</v>
      </c>
      <c r="J54" s="1570">
        <f>VLOOKUP($A54,satpek!$B$20:$N$144,6,0)</f>
        <v>1115753.29</v>
      </c>
      <c r="K54" s="1558"/>
      <c r="L54" s="1571">
        <f t="shared" ref="L54:L56" si="29">ROUND((G54*J54),2)</f>
        <v>14888611.9</v>
      </c>
      <c r="M54" s="1617"/>
      <c r="N54" s="1572">
        <f>VLOOKUP($A54,satpek!$B$20:$L$138,8,0)</f>
        <v>0.93065078521121514</v>
      </c>
      <c r="O54" s="1573">
        <f>VLOOKUP($A54,satpek!$B$20:$L$138,9,0)</f>
        <v>918917.40999999992</v>
      </c>
      <c r="P54" s="1573">
        <f>VLOOKUP($A54,satpek!$B$20:$L$138,10,0)</f>
        <v>1038376.6732999999</v>
      </c>
      <c r="Q54" s="1571">
        <f t="shared" ref="Q54:Q56" si="30">O54*G54</f>
        <v>12262033.919039996</v>
      </c>
      <c r="R54" s="1571">
        <f t="shared" ref="R54:R56" si="31">P54*G54</f>
        <v>13856098.328515196</v>
      </c>
      <c r="S54" s="1574">
        <f t="shared" ref="S54:S56" si="32">L54-R54</f>
        <v>1032513.5714848042</v>
      </c>
      <c r="V54" s="1575">
        <v>13.343999999999998</v>
      </c>
      <c r="W54" s="1575">
        <f t="shared" si="4"/>
        <v>0</v>
      </c>
      <c r="X54" s="1465" t="s">
        <v>1905</v>
      </c>
      <c r="AB54" s="1465"/>
      <c r="AC54" s="1465"/>
      <c r="AD54" s="1465"/>
      <c r="AE54" s="1466">
        <v>1191397.42</v>
      </c>
      <c r="AF54" s="1579">
        <f t="shared" si="5"/>
        <v>75644.129999999888</v>
      </c>
    </row>
    <row r="55" spans="1:32" ht="21.95" customHeight="1" x14ac:dyDescent="0.2">
      <c r="A55" s="1462">
        <f>satpek!$B$41</f>
        <v>22</v>
      </c>
      <c r="B55" s="1567">
        <f>B54+1</f>
        <v>2</v>
      </c>
      <c r="C55" s="1557"/>
      <c r="D55" s="1568" t="str">
        <f>VLOOKUP($A55,satpek!$B$20:$N$144,2,0)</f>
        <v>Pembesian 1 kg dengan besi polos atau besi ulir</v>
      </c>
      <c r="E55" s="1568"/>
      <c r="F55" s="1580"/>
      <c r="G55" s="1453">
        <f>'[3]B.VOL RAB'!Q87</f>
        <v>2070.8000451047028</v>
      </c>
      <c r="H55" s="788" t="str">
        <f>VLOOKUP($A55,satpek!$B$20:$N$144,7,0)</f>
        <v>kg</v>
      </c>
      <c r="I55" s="1569" t="str">
        <f>VLOOKUP($A55,satpek!$B$20:$N$144,5,0)</f>
        <v>A.4.1.1.17.</v>
      </c>
      <c r="J55" s="1570">
        <f>VLOOKUP($A55,satpek!$B$20:$N$144,6,0)</f>
        <v>15603.94</v>
      </c>
      <c r="K55" s="1558"/>
      <c r="L55" s="1571">
        <f t="shared" si="29"/>
        <v>32312639.66</v>
      </c>
      <c r="M55" s="1617"/>
      <c r="N55" s="1572">
        <f>VLOOKUP($A55,satpek!$B$20:$L$138,8,0)</f>
        <v>0.46415793062521393</v>
      </c>
      <c r="O55" s="1573">
        <f>VLOOKUP($A55,satpek!$B$20:$L$138,9,0)</f>
        <v>7242.692500000001</v>
      </c>
      <c r="P55" s="1573">
        <f>VLOOKUP($A55,satpek!$B$20:$L$138,10,0)</f>
        <v>8184.2425250000015</v>
      </c>
      <c r="Q55" s="1571">
        <f t="shared" si="30"/>
        <v>14998167.955679495</v>
      </c>
      <c r="R55" s="1571">
        <f t="shared" si="31"/>
        <v>16947929.78991783</v>
      </c>
      <c r="S55" s="1574">
        <f t="shared" si="32"/>
        <v>15364709.87008217</v>
      </c>
      <c r="V55" s="1575">
        <v>2070.8000451047028</v>
      </c>
      <c r="W55" s="1575">
        <f t="shared" si="4"/>
        <v>0</v>
      </c>
      <c r="X55" s="1465" t="s">
        <v>420</v>
      </c>
      <c r="AB55" s="1465"/>
      <c r="AC55" s="1465"/>
      <c r="AD55" s="1465"/>
      <c r="AE55" s="1466">
        <v>15438.06</v>
      </c>
      <c r="AF55" s="1579">
        <f t="shared" si="5"/>
        <v>-165.88000000000102</v>
      </c>
    </row>
    <row r="56" spans="1:32" ht="21.95" customHeight="1" x14ac:dyDescent="0.2">
      <c r="A56" s="1462">
        <f>satpek!$B$43</f>
        <v>24</v>
      </c>
      <c r="B56" s="1567">
        <f>B55+1</f>
        <v>3</v>
      </c>
      <c r="C56" s="1557"/>
      <c r="D56" s="1568" t="str">
        <f>VLOOKUP($A56,satpek!$B$20:$N$144,2,0)</f>
        <v>Memasang bekisting untuk sloof (2 kali pakai)</v>
      </c>
      <c r="E56" s="1568"/>
      <c r="F56" s="1580"/>
      <c r="G56" s="1453">
        <f>'[3]B.VOL RAB'!Q90</f>
        <v>133.43999999999997</v>
      </c>
      <c r="H56" s="788" t="str">
        <f>VLOOKUP($A56,satpek!$B$20:$N$144,7,0)</f>
        <v>m2</v>
      </c>
      <c r="I56" s="1569" t="str">
        <f>VLOOKUP($A56,satpek!$B$20:$N$144,5,0)</f>
        <v>A.4.1.1.21.</v>
      </c>
      <c r="J56" s="1570">
        <f>VLOOKUP($A56,satpek!$B$20:$N$144,6,0)</f>
        <v>118889.56</v>
      </c>
      <c r="K56" s="1558"/>
      <c r="L56" s="1571">
        <f t="shared" si="29"/>
        <v>15864622.890000001</v>
      </c>
      <c r="M56" s="1617"/>
      <c r="N56" s="1572">
        <f>VLOOKUP($A56,satpek!$B$20:$L$138,8,0)</f>
        <v>0.94496825457172184</v>
      </c>
      <c r="O56" s="1573">
        <f>VLOOKUP($A56,satpek!$B$20:$L$138,9,0)</f>
        <v>99422</v>
      </c>
      <c r="P56" s="1573">
        <f>VLOOKUP($A56,satpek!$B$20:$L$138,10,0)</f>
        <v>112346.86</v>
      </c>
      <c r="Q56" s="1571">
        <f t="shared" si="30"/>
        <v>13266871.679999998</v>
      </c>
      <c r="R56" s="1571">
        <f t="shared" si="31"/>
        <v>14991564.998399997</v>
      </c>
      <c r="S56" s="1574">
        <f t="shared" si="32"/>
        <v>873057.89160000347</v>
      </c>
      <c r="V56" s="1575">
        <v>133.43999999999997</v>
      </c>
      <c r="W56" s="1575">
        <f t="shared" si="4"/>
        <v>0</v>
      </c>
      <c r="X56" s="1465" t="s">
        <v>1907</v>
      </c>
      <c r="AB56" s="1465"/>
      <c r="AC56" s="1465"/>
      <c r="AD56" s="1465"/>
      <c r="AE56" s="1466">
        <v>117156.14</v>
      </c>
      <c r="AF56" s="1579">
        <f t="shared" si="5"/>
        <v>-1733.4199999999983</v>
      </c>
    </row>
    <row r="57" spans="1:32" ht="21.95" customHeight="1" x14ac:dyDescent="0.2">
      <c r="B57" s="1653"/>
      <c r="C57" s="1654"/>
      <c r="D57" s="1633" t="s">
        <v>1777</v>
      </c>
      <c r="E57" s="1552"/>
      <c r="F57" s="1553"/>
      <c r="G57" s="1453"/>
      <c r="H57" s="1555"/>
      <c r="I57" s="1556"/>
      <c r="J57" s="1570"/>
      <c r="K57" s="1619"/>
      <c r="L57" s="1620"/>
      <c r="M57" s="1617"/>
      <c r="N57" s="1561"/>
      <c r="O57" s="1562"/>
      <c r="P57" s="1562"/>
      <c r="Q57" s="1563"/>
      <c r="R57" s="1564"/>
      <c r="S57" s="1565"/>
      <c r="V57" s="1575"/>
      <c r="W57" s="1575">
        <f t="shared" si="4"/>
        <v>0</v>
      </c>
      <c r="X57" s="1465" t="s">
        <v>1777</v>
      </c>
      <c r="AB57" s="1465"/>
      <c r="AC57" s="1465"/>
      <c r="AD57" s="1465"/>
      <c r="AE57" s="1466"/>
      <c r="AF57" s="1579">
        <f t="shared" si="5"/>
        <v>0</v>
      </c>
    </row>
    <row r="58" spans="1:32" ht="21.95" customHeight="1" x14ac:dyDescent="0.2">
      <c r="A58" s="1462">
        <f>satpek!$B$40</f>
        <v>21</v>
      </c>
      <c r="B58" s="1567">
        <v>1</v>
      </c>
      <c r="C58" s="1557"/>
      <c r="D58" s="1568" t="str">
        <f>VLOOKUP($A58,satpek!$B$20:$N$144,2,0)</f>
        <v>Membuat beton mutu f'c = 21,7 Mpa - K 250</v>
      </c>
      <c r="E58" s="1568"/>
      <c r="F58" s="1580"/>
      <c r="G58" s="1453">
        <f>'[3]B.VOL RAB'!Q93</f>
        <v>2.4750000000000001</v>
      </c>
      <c r="H58" s="788" t="str">
        <f>VLOOKUP($A58,satpek!$B$20:$N$144,7,0)</f>
        <v>m3</v>
      </c>
      <c r="I58" s="1569" t="str">
        <f>VLOOKUP($A58,satpek!$B$20:$N$144,5,0)</f>
        <v>A.4.1.1.8.</v>
      </c>
      <c r="J58" s="1570">
        <f>VLOOKUP($A58,satpek!$B$20:$N$144,6,0)</f>
        <v>1115753.29</v>
      </c>
      <c r="K58" s="1558"/>
      <c r="L58" s="1571">
        <f t="shared" ref="L58:L60" si="33">ROUND((G58*J58),2)</f>
        <v>2761489.39</v>
      </c>
      <c r="M58" s="1617"/>
      <c r="N58" s="1572">
        <f>VLOOKUP($A58,satpek!$B$20:$L$138,8,0)</f>
        <v>0.93065078521121514</v>
      </c>
      <c r="O58" s="1573">
        <f>VLOOKUP($A58,satpek!$B$20:$L$138,9,0)</f>
        <v>918917.40999999992</v>
      </c>
      <c r="P58" s="1573">
        <f>VLOOKUP($A58,satpek!$B$20:$L$138,10,0)</f>
        <v>1038376.6732999999</v>
      </c>
      <c r="Q58" s="1571">
        <f t="shared" ref="Q58:Q60" si="34">O58*G58</f>
        <v>2274320.5897499998</v>
      </c>
      <c r="R58" s="1571">
        <f t="shared" ref="R58:R60" si="35">P58*G58</f>
        <v>2569982.2664174996</v>
      </c>
      <c r="S58" s="1574">
        <f t="shared" ref="S58:S60" si="36">L58-R58</f>
        <v>191507.1235825005</v>
      </c>
      <c r="V58" s="1575">
        <v>2.4750000000000001</v>
      </c>
      <c r="W58" s="1575">
        <f t="shared" si="4"/>
        <v>0</v>
      </c>
      <c r="X58" s="1465" t="s">
        <v>1905</v>
      </c>
      <c r="AB58" s="1465"/>
      <c r="AC58" s="1465"/>
      <c r="AD58" s="1465"/>
      <c r="AE58" s="1466">
        <v>1191397.42</v>
      </c>
      <c r="AF58" s="1579">
        <f t="shared" si="5"/>
        <v>75644.129999999888</v>
      </c>
    </row>
    <row r="59" spans="1:32" ht="21.95" customHeight="1" x14ac:dyDescent="0.2">
      <c r="A59" s="1462">
        <f>satpek!$B$41</f>
        <v>22</v>
      </c>
      <c r="B59" s="1567">
        <f>B58+1</f>
        <v>2</v>
      </c>
      <c r="C59" s="1557"/>
      <c r="D59" s="1568" t="str">
        <f>VLOOKUP($A59,satpek!$B$20:$N$144,2,0)</f>
        <v>Pembesian 1 kg dengan besi polos atau besi ulir</v>
      </c>
      <c r="E59" s="1568"/>
      <c r="F59" s="1580"/>
      <c r="G59" s="1453">
        <f>'[3]B.VOL RAB'!Q95</f>
        <v>547.33738272710912</v>
      </c>
      <c r="H59" s="788" t="str">
        <f>VLOOKUP($A59,satpek!$B$20:$N$144,7,0)</f>
        <v>kg</v>
      </c>
      <c r="I59" s="1569" t="str">
        <f>VLOOKUP($A59,satpek!$B$20:$N$144,5,0)</f>
        <v>A.4.1.1.17.</v>
      </c>
      <c r="J59" s="1570">
        <f>VLOOKUP($A59,satpek!$B$20:$N$144,6,0)</f>
        <v>15603.94</v>
      </c>
      <c r="K59" s="1558"/>
      <c r="L59" s="1571">
        <f t="shared" si="33"/>
        <v>8540619.6799999997</v>
      </c>
      <c r="M59" s="1617"/>
      <c r="N59" s="1572">
        <f>VLOOKUP($A59,satpek!$B$20:$L$138,8,0)</f>
        <v>0.46415793062521393</v>
      </c>
      <c r="O59" s="1573">
        <f>VLOOKUP($A59,satpek!$B$20:$L$138,9,0)</f>
        <v>7242.692500000001</v>
      </c>
      <c r="P59" s="1573">
        <f>VLOOKUP($A59,satpek!$B$20:$L$138,10,0)</f>
        <v>8184.2425250000015</v>
      </c>
      <c r="Q59" s="1571">
        <f t="shared" si="34"/>
        <v>3964196.3568472634</v>
      </c>
      <c r="R59" s="1571">
        <f t="shared" si="35"/>
        <v>4479541.8832374075</v>
      </c>
      <c r="S59" s="1574">
        <f t="shared" si="36"/>
        <v>4061077.7967625922</v>
      </c>
      <c r="V59" s="1575">
        <v>547.33738272710912</v>
      </c>
      <c r="W59" s="1575">
        <f t="shared" si="4"/>
        <v>0</v>
      </c>
      <c r="X59" s="1465" t="s">
        <v>420</v>
      </c>
      <c r="AB59" s="1465"/>
      <c r="AC59" s="1465"/>
      <c r="AD59" s="1465"/>
      <c r="AE59" s="1466">
        <v>15438.06</v>
      </c>
      <c r="AF59" s="1579">
        <f t="shared" si="5"/>
        <v>-165.88000000000102</v>
      </c>
    </row>
    <row r="60" spans="1:32" ht="21.95" customHeight="1" x14ac:dyDescent="0.2">
      <c r="A60" s="1462">
        <f>satpek!$B$43</f>
        <v>24</v>
      </c>
      <c r="B60" s="1567">
        <f>B59+1</f>
        <v>3</v>
      </c>
      <c r="C60" s="1557"/>
      <c r="D60" s="1568" t="str">
        <f>VLOOKUP($A60,satpek!$B$20:$N$144,2,0)</f>
        <v>Memasang bekisting untuk sloof (2 kali pakai)</v>
      </c>
      <c r="E60" s="1568"/>
      <c r="F60" s="1580"/>
      <c r="G60" s="1453">
        <f>'[3]B.VOL RAB'!Q97</f>
        <v>33</v>
      </c>
      <c r="H60" s="788" t="str">
        <f>VLOOKUP($A60,satpek!$B$20:$N$144,7,0)</f>
        <v>m2</v>
      </c>
      <c r="I60" s="1569" t="str">
        <f>VLOOKUP($A60,satpek!$B$20:$N$144,5,0)</f>
        <v>A.4.1.1.21.</v>
      </c>
      <c r="J60" s="1570">
        <f>VLOOKUP($A60,satpek!$B$20:$N$144,6,0)</f>
        <v>118889.56</v>
      </c>
      <c r="K60" s="1558"/>
      <c r="L60" s="1571">
        <f t="shared" si="33"/>
        <v>3923355.48</v>
      </c>
      <c r="M60" s="1617"/>
      <c r="N60" s="1572">
        <f>VLOOKUP($A60,satpek!$B$20:$L$138,8,0)</f>
        <v>0.94496825457172184</v>
      </c>
      <c r="O60" s="1573">
        <f>VLOOKUP($A60,satpek!$B$20:$L$138,9,0)</f>
        <v>99422</v>
      </c>
      <c r="P60" s="1573">
        <f>VLOOKUP($A60,satpek!$B$20:$L$138,10,0)</f>
        <v>112346.86</v>
      </c>
      <c r="Q60" s="1571">
        <f t="shared" si="34"/>
        <v>3280926</v>
      </c>
      <c r="R60" s="1571">
        <f t="shared" si="35"/>
        <v>3707446.38</v>
      </c>
      <c r="S60" s="1574">
        <f t="shared" si="36"/>
        <v>215909.10000000009</v>
      </c>
      <c r="V60" s="1575">
        <v>33</v>
      </c>
      <c r="W60" s="1575">
        <f t="shared" si="4"/>
        <v>0</v>
      </c>
      <c r="X60" s="1465" t="s">
        <v>1907</v>
      </c>
      <c r="AB60" s="1465"/>
      <c r="AC60" s="1465"/>
      <c r="AD60" s="1465"/>
      <c r="AE60" s="1466">
        <v>117156.14</v>
      </c>
      <c r="AF60" s="1579">
        <f t="shared" si="5"/>
        <v>-1733.4199999999983</v>
      </c>
    </row>
    <row r="61" spans="1:32" ht="21.95" customHeight="1" x14ac:dyDescent="0.2">
      <c r="B61" s="1653"/>
      <c r="C61" s="1654"/>
      <c r="D61" s="1633" t="s">
        <v>1778</v>
      </c>
      <c r="E61" s="1552"/>
      <c r="F61" s="1553"/>
      <c r="G61" s="1453"/>
      <c r="H61" s="1555"/>
      <c r="I61" s="1556"/>
      <c r="J61" s="1570"/>
      <c r="K61" s="1619"/>
      <c r="L61" s="1620"/>
      <c r="M61" s="1617"/>
      <c r="N61" s="1561"/>
      <c r="O61" s="1562"/>
      <c r="P61" s="1562"/>
      <c r="Q61" s="1563"/>
      <c r="R61" s="1564"/>
      <c r="S61" s="1565"/>
      <c r="V61" s="1575"/>
      <c r="W61" s="1575">
        <f t="shared" si="4"/>
        <v>0</v>
      </c>
      <c r="X61" s="1465" t="s">
        <v>1778</v>
      </c>
      <c r="AB61" s="1465"/>
      <c r="AC61" s="1465"/>
      <c r="AD61" s="1465"/>
      <c r="AE61" s="1466"/>
      <c r="AF61" s="1579">
        <f t="shared" si="5"/>
        <v>0</v>
      </c>
    </row>
    <row r="62" spans="1:32" ht="21.95" customHeight="1" x14ac:dyDescent="0.2">
      <c r="B62" s="1653"/>
      <c r="C62" s="1654"/>
      <c r="D62" s="1633" t="s">
        <v>1779</v>
      </c>
      <c r="E62" s="1552"/>
      <c r="F62" s="1553"/>
      <c r="G62" s="1453"/>
      <c r="H62" s="1555"/>
      <c r="I62" s="1556"/>
      <c r="J62" s="1570"/>
      <c r="K62" s="1619"/>
      <c r="L62" s="1620"/>
      <c r="M62" s="1617"/>
      <c r="N62" s="1561"/>
      <c r="O62" s="1562"/>
      <c r="P62" s="1562"/>
      <c r="Q62" s="1563"/>
      <c r="R62" s="1564"/>
      <c r="S62" s="1565"/>
      <c r="V62" s="1575"/>
      <c r="W62" s="1575">
        <f t="shared" si="4"/>
        <v>0</v>
      </c>
      <c r="X62" s="1465" t="s">
        <v>1779</v>
      </c>
      <c r="AB62" s="1465"/>
      <c r="AC62" s="1465"/>
      <c r="AD62" s="1465"/>
      <c r="AE62" s="1466"/>
      <c r="AF62" s="1579">
        <f t="shared" si="5"/>
        <v>0</v>
      </c>
    </row>
    <row r="63" spans="1:32" ht="21.95" customHeight="1" x14ac:dyDescent="0.2">
      <c r="A63" s="1462">
        <f>satpek!$B$40</f>
        <v>21</v>
      </c>
      <c r="B63" s="1567">
        <v>1</v>
      </c>
      <c r="C63" s="1557"/>
      <c r="D63" s="1568" t="str">
        <f>VLOOKUP($A63,satpek!$B$20:$N$144,2,0)</f>
        <v>Membuat beton mutu f'c = 21,7 Mpa - K 250</v>
      </c>
      <c r="E63" s="1568"/>
      <c r="F63" s="1580"/>
      <c r="G63" s="1453">
        <f>'[3]B.VOL RAB'!Q102</f>
        <v>14.400000000000002</v>
      </c>
      <c r="H63" s="788" t="str">
        <f>VLOOKUP($A63,satpek!$B$20:$N$144,7,0)</f>
        <v>m3</v>
      </c>
      <c r="I63" s="1569" t="str">
        <f>VLOOKUP($A63,satpek!$B$20:$N$144,5,0)</f>
        <v>A.4.1.1.8.</v>
      </c>
      <c r="J63" s="1570">
        <f>VLOOKUP($A63,satpek!$B$20:$N$144,6,0)</f>
        <v>1115753.29</v>
      </c>
      <c r="K63" s="1558"/>
      <c r="L63" s="1571">
        <f t="shared" ref="L63:L65" si="37">ROUND((G63*J63),2)</f>
        <v>16066847.380000001</v>
      </c>
      <c r="M63" s="1617"/>
      <c r="N63" s="1572">
        <f>VLOOKUP($A63,satpek!$B$20:$L$138,8,0)</f>
        <v>0.93065078521121514</v>
      </c>
      <c r="O63" s="1573">
        <f>VLOOKUP($A63,satpek!$B$20:$L$138,9,0)</f>
        <v>918917.40999999992</v>
      </c>
      <c r="P63" s="1573">
        <f>VLOOKUP($A63,satpek!$B$20:$L$138,10,0)</f>
        <v>1038376.6732999999</v>
      </c>
      <c r="Q63" s="1571">
        <f t="shared" ref="Q63:Q65" si="38">O63*G63</f>
        <v>13232410.704</v>
      </c>
      <c r="R63" s="1571">
        <f t="shared" ref="R63:R65" si="39">P63*G63</f>
        <v>14952624.095520001</v>
      </c>
      <c r="S63" s="1574">
        <f t="shared" ref="S63:S65" si="40">L63-R63</f>
        <v>1114223.2844799999</v>
      </c>
      <c r="V63" s="1575">
        <v>16.2</v>
      </c>
      <c r="W63" s="1575">
        <f t="shared" si="4"/>
        <v>1.7999999999999972</v>
      </c>
      <c r="X63" s="1465" t="s">
        <v>1905</v>
      </c>
      <c r="AB63" s="1465"/>
      <c r="AC63" s="1465"/>
      <c r="AD63" s="1465"/>
      <c r="AE63" s="1466">
        <v>1191397.42</v>
      </c>
      <c r="AF63" s="1579">
        <f t="shared" si="5"/>
        <v>75644.129999999888</v>
      </c>
    </row>
    <row r="64" spans="1:32" ht="21.95" customHeight="1" x14ac:dyDescent="0.2">
      <c r="A64" s="1462">
        <f>satpek!$B$41</f>
        <v>22</v>
      </c>
      <c r="B64" s="1567">
        <f>B63+1</f>
        <v>2</v>
      </c>
      <c r="C64" s="1557"/>
      <c r="D64" s="1568" t="str">
        <f>VLOOKUP($A64,satpek!$B$20:$N$144,2,0)</f>
        <v>Pembesian 1 kg dengan besi polos atau besi ulir</v>
      </c>
      <c r="E64" s="1568"/>
      <c r="F64" s="1580"/>
      <c r="G64" s="1453">
        <f>'[3]B.VOL RAB'!Q104</f>
        <v>1991.5889437187145</v>
      </c>
      <c r="H64" s="788" t="str">
        <f>VLOOKUP($A64,satpek!$B$20:$N$144,7,0)</f>
        <v>kg</v>
      </c>
      <c r="I64" s="1569" t="str">
        <f>VLOOKUP($A64,satpek!$B$20:$N$144,5,0)</f>
        <v>A.4.1.1.17.</v>
      </c>
      <c r="J64" s="1570">
        <f>VLOOKUP($A64,satpek!$B$20:$N$144,6,0)</f>
        <v>15603.94</v>
      </c>
      <c r="K64" s="1558"/>
      <c r="L64" s="1571">
        <f t="shared" si="37"/>
        <v>31076634.379999999</v>
      </c>
      <c r="M64" s="1617"/>
      <c r="N64" s="1572">
        <f>VLOOKUP($A64,satpek!$B$20:$L$138,8,0)</f>
        <v>0.46415793062521393</v>
      </c>
      <c r="O64" s="1573">
        <f>VLOOKUP($A64,satpek!$B$20:$L$138,9,0)</f>
        <v>7242.692500000001</v>
      </c>
      <c r="P64" s="1573">
        <f>VLOOKUP($A64,satpek!$B$20:$L$138,10,0)</f>
        <v>8184.2425250000015</v>
      </c>
      <c r="Q64" s="1571">
        <f t="shared" si="38"/>
        <v>14424466.305754459</v>
      </c>
      <c r="R64" s="1571">
        <f t="shared" si="39"/>
        <v>16299646.925502539</v>
      </c>
      <c r="S64" s="1574">
        <f t="shared" si="40"/>
        <v>14776987.45449746</v>
      </c>
      <c r="V64" s="1575">
        <v>2046.154983775577</v>
      </c>
      <c r="W64" s="1575">
        <f t="shared" si="4"/>
        <v>54.566040056862448</v>
      </c>
      <c r="X64" s="1465" t="s">
        <v>420</v>
      </c>
      <c r="AB64" s="1465"/>
      <c r="AC64" s="1465"/>
      <c r="AD64" s="1465"/>
      <c r="AE64" s="1466">
        <v>15438.06</v>
      </c>
      <c r="AF64" s="1579">
        <f t="shared" si="5"/>
        <v>-165.88000000000102</v>
      </c>
    </row>
    <row r="65" spans="1:32" ht="21.95" customHeight="1" x14ac:dyDescent="0.2">
      <c r="A65" s="1462">
        <f>satpek!$B$44</f>
        <v>25</v>
      </c>
      <c r="B65" s="1567">
        <f>B64+1</f>
        <v>3</v>
      </c>
      <c r="C65" s="1557"/>
      <c r="D65" s="1568" t="str">
        <f>VLOOKUP($A65,satpek!$B$20:$N$144,2,0)</f>
        <v>Memasang bekisting untuk kolom (2 kali pakai)</v>
      </c>
      <c r="E65" s="1568"/>
      <c r="F65" s="1580"/>
      <c r="G65" s="1453">
        <f>'[3]B.VOL RAB'!Q106</f>
        <v>57.600000000000009</v>
      </c>
      <c r="H65" s="788" t="str">
        <f>VLOOKUP($A65,satpek!$B$20:$N$144,7,0)</f>
        <v>m2</v>
      </c>
      <c r="I65" s="1569" t="str">
        <f>VLOOKUP($A65,satpek!$B$20:$N$144,5,0)</f>
        <v>A.4.1.1.22.</v>
      </c>
      <c r="J65" s="1570">
        <f>VLOOKUP($A65,satpek!$B$20:$N$144,6,0)</f>
        <v>192050.28</v>
      </c>
      <c r="K65" s="1558"/>
      <c r="L65" s="1571">
        <f t="shared" si="37"/>
        <v>11062096.130000001</v>
      </c>
      <c r="M65" s="1617"/>
      <c r="N65" s="1572">
        <f>VLOOKUP($A65,satpek!$B$20:$L$138,8,0)</f>
        <v>0.82830850337734474</v>
      </c>
      <c r="O65" s="1573">
        <f>VLOOKUP($A65,satpek!$B$20:$L$138,9,0)</f>
        <v>140776</v>
      </c>
      <c r="P65" s="1573">
        <f>VLOOKUP($A65,satpek!$B$20:$L$138,10,0)</f>
        <v>159076.88</v>
      </c>
      <c r="Q65" s="1571">
        <f t="shared" si="38"/>
        <v>8108697.6000000015</v>
      </c>
      <c r="R65" s="1571">
        <f t="shared" si="39"/>
        <v>9162828.2880000025</v>
      </c>
      <c r="S65" s="1574">
        <f t="shared" si="40"/>
        <v>1899267.8419999983</v>
      </c>
      <c r="V65" s="1575">
        <v>64.8</v>
      </c>
      <c r="W65" s="1575">
        <f t="shared" si="4"/>
        <v>7.1999999999999886</v>
      </c>
      <c r="X65" s="1465" t="s">
        <v>1908</v>
      </c>
      <c r="AB65" s="1465"/>
      <c r="AC65" s="1465"/>
      <c r="AD65" s="1465"/>
      <c r="AE65" s="1466">
        <v>193211.91999999998</v>
      </c>
      <c r="AF65" s="1579">
        <f t="shared" si="5"/>
        <v>1161.6399999999849</v>
      </c>
    </row>
    <row r="66" spans="1:32" ht="21.95" customHeight="1" x14ac:dyDescent="0.2">
      <c r="B66" s="1653"/>
      <c r="C66" s="1654"/>
      <c r="D66" s="1633" t="s">
        <v>1780</v>
      </c>
      <c r="E66" s="1552"/>
      <c r="F66" s="1553"/>
      <c r="G66" s="1453"/>
      <c r="H66" s="1555"/>
      <c r="I66" s="1556"/>
      <c r="J66" s="1570"/>
      <c r="K66" s="1619"/>
      <c r="L66" s="1620"/>
      <c r="M66" s="1617"/>
      <c r="N66" s="1561"/>
      <c r="O66" s="1562"/>
      <c r="P66" s="1562"/>
      <c r="Q66" s="1563"/>
      <c r="R66" s="1564"/>
      <c r="S66" s="1565"/>
      <c r="V66" s="1575"/>
      <c r="W66" s="1575">
        <f t="shared" si="4"/>
        <v>0</v>
      </c>
      <c r="X66" s="1465" t="s">
        <v>1780</v>
      </c>
      <c r="AB66" s="1465"/>
      <c r="AC66" s="1465"/>
      <c r="AD66" s="1465"/>
      <c r="AE66" s="1466"/>
      <c r="AF66" s="1579">
        <f t="shared" si="5"/>
        <v>0</v>
      </c>
    </row>
    <row r="67" spans="1:32" ht="21.95" customHeight="1" x14ac:dyDescent="0.2">
      <c r="A67" s="1462">
        <f>satpek!$B$40</f>
        <v>21</v>
      </c>
      <c r="B67" s="1567">
        <v>1</v>
      </c>
      <c r="C67" s="1557"/>
      <c r="D67" s="1568" t="str">
        <f>VLOOKUP($A67,satpek!$B$20:$N$144,2,0)</f>
        <v>Membuat beton mutu f'c = 21,7 Mpa - K 250</v>
      </c>
      <c r="E67" s="1568"/>
      <c r="F67" s="1580"/>
      <c r="G67" s="1453">
        <f>'[3]B.VOL RAB'!Q110</f>
        <v>38.400000000000006</v>
      </c>
      <c r="H67" s="788" t="str">
        <f>VLOOKUP($A67,satpek!$B$20:$N$144,7,0)</f>
        <v>m3</v>
      </c>
      <c r="I67" s="1569" t="str">
        <f>VLOOKUP($A67,satpek!$B$20:$N$144,5,0)</f>
        <v>A.4.1.1.8.</v>
      </c>
      <c r="J67" s="1570">
        <f>VLOOKUP($A67,satpek!$B$20:$N$144,6,0)</f>
        <v>1115753.29</v>
      </c>
      <c r="K67" s="1558"/>
      <c r="L67" s="1571">
        <f t="shared" ref="L67:L69" si="41">ROUND((G67*J67),2)</f>
        <v>42844926.340000004</v>
      </c>
      <c r="M67" s="1617"/>
      <c r="N67" s="1572">
        <f>VLOOKUP($A67,satpek!$B$20:$L$138,8,0)</f>
        <v>0.93065078521121514</v>
      </c>
      <c r="O67" s="1573">
        <f>VLOOKUP($A67,satpek!$B$20:$L$138,9,0)</f>
        <v>918917.40999999992</v>
      </c>
      <c r="P67" s="1573">
        <f>VLOOKUP($A67,satpek!$B$20:$L$138,10,0)</f>
        <v>1038376.6732999999</v>
      </c>
      <c r="Q67" s="1571">
        <f t="shared" ref="Q67:Q69" si="42">O67*G67</f>
        <v>35286428.544</v>
      </c>
      <c r="R67" s="1571">
        <f t="shared" ref="R67:R69" si="43">P67*G67</f>
        <v>39873664.254720002</v>
      </c>
      <c r="S67" s="1574">
        <f t="shared" ref="S67:S69" si="44">L67-R67</f>
        <v>2971262.0852800012</v>
      </c>
      <c r="V67" s="1575">
        <v>41.04</v>
      </c>
      <c r="W67" s="1575">
        <f t="shared" si="4"/>
        <v>2.6399999999999935</v>
      </c>
      <c r="X67" s="1465" t="s">
        <v>1905</v>
      </c>
      <c r="AB67" s="1465"/>
      <c r="AC67" s="1465"/>
      <c r="AD67" s="1465"/>
      <c r="AE67" s="1466">
        <v>1191397.42</v>
      </c>
      <c r="AF67" s="1579">
        <f t="shared" si="5"/>
        <v>75644.129999999888</v>
      </c>
    </row>
    <row r="68" spans="1:32" ht="21.95" customHeight="1" x14ac:dyDescent="0.2">
      <c r="A68" s="1462">
        <f>satpek!$B$41</f>
        <v>22</v>
      </c>
      <c r="B68" s="1567">
        <f>B67+1</f>
        <v>2</v>
      </c>
      <c r="C68" s="1557"/>
      <c r="D68" s="1568" t="str">
        <f>VLOOKUP($A68,satpek!$B$20:$N$144,2,0)</f>
        <v>Pembesian 1 kg dengan besi polos atau besi ulir</v>
      </c>
      <c r="E68" s="1568"/>
      <c r="F68" s="1580"/>
      <c r="G68" s="1453">
        <f>'[3]B.VOL RAB'!Q112</f>
        <v>5309.0542372417713</v>
      </c>
      <c r="H68" s="788" t="str">
        <f>VLOOKUP($A68,satpek!$B$20:$N$144,7,0)</f>
        <v>kg</v>
      </c>
      <c r="I68" s="1569" t="str">
        <f>VLOOKUP($A68,satpek!$B$20:$N$144,5,0)</f>
        <v>A.4.1.1.17.</v>
      </c>
      <c r="J68" s="1570">
        <f>VLOOKUP($A68,satpek!$B$20:$N$144,6,0)</f>
        <v>15603.94</v>
      </c>
      <c r="K68" s="1558"/>
      <c r="L68" s="1571">
        <f t="shared" si="41"/>
        <v>82842163.769999996</v>
      </c>
      <c r="M68" s="1617"/>
      <c r="N68" s="1572">
        <f>VLOOKUP($A68,satpek!$B$20:$L$138,8,0)</f>
        <v>0.46415793062521393</v>
      </c>
      <c r="O68" s="1573">
        <f>VLOOKUP($A68,satpek!$B$20:$L$138,9,0)</f>
        <v>7242.692500000001</v>
      </c>
      <c r="P68" s="1573">
        <f>VLOOKUP($A68,satpek!$B$20:$L$138,10,0)</f>
        <v>8184.2425250000015</v>
      </c>
      <c r="Q68" s="1571">
        <f t="shared" si="42"/>
        <v>38451847.306164205</v>
      </c>
      <c r="R68" s="1571">
        <f t="shared" si="43"/>
        <v>43450587.455965549</v>
      </c>
      <c r="S68" s="1574">
        <f t="shared" si="44"/>
        <v>39391576.314034447</v>
      </c>
      <c r="V68" s="1575">
        <v>5668.791571739398</v>
      </c>
      <c r="W68" s="1575">
        <f t="shared" si="4"/>
        <v>359.73733449762676</v>
      </c>
      <c r="X68" s="1465" t="s">
        <v>420</v>
      </c>
      <c r="AB68" s="1465"/>
      <c r="AC68" s="1465"/>
      <c r="AD68" s="1465"/>
      <c r="AE68" s="1466">
        <v>15438.06</v>
      </c>
      <c r="AF68" s="1579">
        <f t="shared" si="5"/>
        <v>-165.88000000000102</v>
      </c>
    </row>
    <row r="69" spans="1:32" ht="21.95" customHeight="1" x14ac:dyDescent="0.2">
      <c r="A69" s="1462">
        <f>satpek!$B$44</f>
        <v>25</v>
      </c>
      <c r="B69" s="1567">
        <f>B68+1</f>
        <v>3</v>
      </c>
      <c r="C69" s="1557"/>
      <c r="D69" s="1568" t="str">
        <f>VLOOKUP($A69,satpek!$B$20:$N$144,2,0)</f>
        <v>Memasang bekisting untuk kolom (2 kali pakai)</v>
      </c>
      <c r="E69" s="1568"/>
      <c r="F69" s="1580"/>
      <c r="G69" s="1453">
        <f>'[3]B.VOL RAB'!Q115</f>
        <v>153.60000000000002</v>
      </c>
      <c r="H69" s="788" t="str">
        <f>VLOOKUP($A69,satpek!$B$20:$N$144,7,0)</f>
        <v>m2</v>
      </c>
      <c r="I69" s="1569" t="str">
        <f>VLOOKUP($A69,satpek!$B$20:$N$144,5,0)</f>
        <v>A.4.1.1.22.</v>
      </c>
      <c r="J69" s="1570">
        <f>VLOOKUP($A69,satpek!$B$20:$N$144,6,0)</f>
        <v>192050.28</v>
      </c>
      <c r="K69" s="1558"/>
      <c r="L69" s="1571">
        <f t="shared" si="41"/>
        <v>29498923.010000002</v>
      </c>
      <c r="M69" s="1617"/>
      <c r="N69" s="1572">
        <f>VLOOKUP($A69,satpek!$B$20:$L$138,8,0)</f>
        <v>0.82830850337734474</v>
      </c>
      <c r="O69" s="1573">
        <f>VLOOKUP($A69,satpek!$B$20:$L$138,9,0)</f>
        <v>140776</v>
      </c>
      <c r="P69" s="1573">
        <f>VLOOKUP($A69,satpek!$B$20:$L$138,10,0)</f>
        <v>159076.88</v>
      </c>
      <c r="Q69" s="1571">
        <f t="shared" si="42"/>
        <v>21623193.600000001</v>
      </c>
      <c r="R69" s="1571">
        <f t="shared" si="43"/>
        <v>24434208.768000003</v>
      </c>
      <c r="S69" s="1574">
        <f t="shared" si="44"/>
        <v>5064714.2419999987</v>
      </c>
      <c r="V69" s="1575">
        <v>164.16</v>
      </c>
      <c r="W69" s="1575">
        <f t="shared" si="4"/>
        <v>10.559999999999974</v>
      </c>
      <c r="X69" s="1465" t="s">
        <v>1908</v>
      </c>
      <c r="AB69" s="1465"/>
      <c r="AC69" s="1465"/>
      <c r="AD69" s="1465"/>
      <c r="AE69" s="1466">
        <v>193211.91999999998</v>
      </c>
      <c r="AF69" s="1579">
        <f t="shared" si="5"/>
        <v>1161.6399999999849</v>
      </c>
    </row>
    <row r="70" spans="1:32" ht="21.95" customHeight="1" x14ac:dyDescent="0.2">
      <c r="B70" s="1653"/>
      <c r="C70" s="1654"/>
      <c r="D70" s="1633" t="s">
        <v>1781</v>
      </c>
      <c r="E70" s="1552"/>
      <c r="F70" s="1553"/>
      <c r="G70" s="1453"/>
      <c r="H70" s="1555"/>
      <c r="I70" s="1556"/>
      <c r="J70" s="1570"/>
      <c r="K70" s="1619"/>
      <c r="L70" s="1620"/>
      <c r="M70" s="1617"/>
      <c r="N70" s="1561"/>
      <c r="O70" s="1562"/>
      <c r="P70" s="1562"/>
      <c r="Q70" s="1563"/>
      <c r="R70" s="1564"/>
      <c r="S70" s="1565"/>
      <c r="V70" s="1575"/>
      <c r="W70" s="1575">
        <f t="shared" si="4"/>
        <v>0</v>
      </c>
      <c r="X70" s="1465" t="s">
        <v>1781</v>
      </c>
      <c r="AB70" s="1465"/>
      <c r="AC70" s="1465"/>
      <c r="AD70" s="1465"/>
      <c r="AE70" s="1466"/>
      <c r="AF70" s="1579">
        <f t="shared" si="5"/>
        <v>0</v>
      </c>
    </row>
    <row r="71" spans="1:32" ht="21.95" customHeight="1" x14ac:dyDescent="0.2">
      <c r="A71" s="1462">
        <f>satpek!$B$40</f>
        <v>21</v>
      </c>
      <c r="B71" s="1567">
        <v>1</v>
      </c>
      <c r="C71" s="1557"/>
      <c r="D71" s="1568" t="str">
        <f>VLOOKUP($A71,satpek!$B$20:$N$144,2,0)</f>
        <v>Membuat beton mutu f'c = 21,7 Mpa - K 250</v>
      </c>
      <c r="E71" s="1568"/>
      <c r="F71" s="1580"/>
      <c r="G71" s="1453">
        <f>'[3]B.VOL RAB'!Q118</f>
        <v>1.44</v>
      </c>
      <c r="H71" s="788" t="str">
        <f>VLOOKUP($A71,satpek!$B$20:$N$144,7,0)</f>
        <v>m3</v>
      </c>
      <c r="I71" s="1569" t="str">
        <f>VLOOKUP($A71,satpek!$B$20:$N$144,5,0)</f>
        <v>A.4.1.1.8.</v>
      </c>
      <c r="J71" s="1570">
        <f>VLOOKUP($A71,satpek!$B$20:$N$144,6,0)</f>
        <v>1115753.29</v>
      </c>
      <c r="K71" s="1558"/>
      <c r="L71" s="1571">
        <f t="shared" ref="L71:L73" si="45">ROUND((G71*J71),2)</f>
        <v>1606684.74</v>
      </c>
      <c r="M71" s="1617"/>
      <c r="N71" s="1572">
        <f>VLOOKUP($A71,satpek!$B$20:$L$138,8,0)</f>
        <v>0.93065078521121514</v>
      </c>
      <c r="O71" s="1573">
        <f>VLOOKUP($A71,satpek!$B$20:$L$138,9,0)</f>
        <v>918917.40999999992</v>
      </c>
      <c r="P71" s="1573">
        <f>VLOOKUP($A71,satpek!$B$20:$L$138,10,0)</f>
        <v>1038376.6732999999</v>
      </c>
      <c r="Q71" s="1571">
        <f t="shared" ref="Q71:Q73" si="46">O71*G71</f>
        <v>1323241.0703999999</v>
      </c>
      <c r="R71" s="1571">
        <f t="shared" ref="R71:R73" si="47">P71*G71</f>
        <v>1495262.4095519998</v>
      </c>
      <c r="S71" s="1574">
        <f t="shared" ref="S71:S73" si="48">L71-R71</f>
        <v>111422.33044800023</v>
      </c>
      <c r="V71" s="1575">
        <v>1.3679999999999999</v>
      </c>
      <c r="W71" s="1575">
        <f t="shared" si="4"/>
        <v>-7.2000000000000064E-2</v>
      </c>
      <c r="X71" s="1465" t="s">
        <v>1905</v>
      </c>
      <c r="AB71" s="1465"/>
      <c r="AC71" s="1465"/>
      <c r="AD71" s="1465"/>
      <c r="AE71" s="1466">
        <v>1191397.42</v>
      </c>
      <c r="AF71" s="1579">
        <f t="shared" si="5"/>
        <v>75644.129999999888</v>
      </c>
    </row>
    <row r="72" spans="1:32" ht="21.95" customHeight="1" x14ac:dyDescent="0.2">
      <c r="A72" s="1462">
        <f>satpek!$B$41</f>
        <v>22</v>
      </c>
      <c r="B72" s="1567">
        <f>B71+1</f>
        <v>2</v>
      </c>
      <c r="C72" s="1557"/>
      <c r="D72" s="1568" t="str">
        <f>VLOOKUP($A72,satpek!$B$20:$N$144,2,0)</f>
        <v>Pembesian 1 kg dengan besi polos atau besi ulir</v>
      </c>
      <c r="E72" s="1568"/>
      <c r="F72" s="1580"/>
      <c r="G72" s="1453">
        <f>'[3]B.VOL RAB'!Q120</f>
        <v>173.56765340332495</v>
      </c>
      <c r="H72" s="788" t="str">
        <f>VLOOKUP($A72,satpek!$B$20:$N$144,7,0)</f>
        <v>kg</v>
      </c>
      <c r="I72" s="1569" t="str">
        <f>VLOOKUP($A72,satpek!$B$20:$N$144,5,0)</f>
        <v>A.4.1.1.17.</v>
      </c>
      <c r="J72" s="1570">
        <f>VLOOKUP($A72,satpek!$B$20:$N$144,6,0)</f>
        <v>15603.94</v>
      </c>
      <c r="K72" s="1558"/>
      <c r="L72" s="1571">
        <f t="shared" si="45"/>
        <v>2708339.25</v>
      </c>
      <c r="M72" s="1617"/>
      <c r="N72" s="1572">
        <f>VLOOKUP($A72,satpek!$B$20:$L$138,8,0)</f>
        <v>0.46415793062521393</v>
      </c>
      <c r="O72" s="1573">
        <f>VLOOKUP($A72,satpek!$B$20:$L$138,9,0)</f>
        <v>7242.692500000001</v>
      </c>
      <c r="P72" s="1573">
        <f>VLOOKUP($A72,satpek!$B$20:$L$138,10,0)</f>
        <v>8184.2425250000015</v>
      </c>
      <c r="Q72" s="1571">
        <f t="shared" si="46"/>
        <v>1257097.1415468613</v>
      </c>
      <c r="R72" s="1571">
        <f t="shared" si="47"/>
        <v>1420519.7699479533</v>
      </c>
      <c r="S72" s="1574">
        <f t="shared" si="48"/>
        <v>1287819.4800520467</v>
      </c>
      <c r="V72" s="1575">
        <v>164.92626298665471</v>
      </c>
      <c r="W72" s="1575">
        <f t="shared" si="4"/>
        <v>-8.641390416670248</v>
      </c>
      <c r="X72" s="1465" t="s">
        <v>420</v>
      </c>
      <c r="AB72" s="1465"/>
      <c r="AC72" s="1465"/>
      <c r="AD72" s="1465"/>
      <c r="AE72" s="1466">
        <v>15438.06</v>
      </c>
      <c r="AF72" s="1579">
        <f t="shared" si="5"/>
        <v>-165.88000000000102</v>
      </c>
    </row>
    <row r="73" spans="1:32" ht="21.95" customHeight="1" x14ac:dyDescent="0.2">
      <c r="A73" s="1462">
        <f>satpek!$B$44</f>
        <v>25</v>
      </c>
      <c r="B73" s="1567">
        <f>B72+1</f>
        <v>3</v>
      </c>
      <c r="C73" s="1557"/>
      <c r="D73" s="1568" t="str">
        <f>VLOOKUP($A73,satpek!$B$20:$N$144,2,0)</f>
        <v>Memasang bekisting untuk kolom (2 kali pakai)</v>
      </c>
      <c r="E73" s="1568"/>
      <c r="F73" s="1580"/>
      <c r="G73" s="1453">
        <f>'[3]B.VOL RAB'!Q122</f>
        <v>9.6</v>
      </c>
      <c r="H73" s="788" t="str">
        <f>VLOOKUP($A73,satpek!$B$20:$N$144,7,0)</f>
        <v>m2</v>
      </c>
      <c r="I73" s="1569" t="str">
        <f>VLOOKUP($A73,satpek!$B$20:$N$144,5,0)</f>
        <v>A.4.1.1.22.</v>
      </c>
      <c r="J73" s="1570">
        <f>VLOOKUP($A73,satpek!$B$20:$N$144,6,0)</f>
        <v>192050.28</v>
      </c>
      <c r="K73" s="1558"/>
      <c r="L73" s="1571">
        <f t="shared" si="45"/>
        <v>1843682.69</v>
      </c>
      <c r="M73" s="1617"/>
      <c r="N73" s="1572">
        <f>VLOOKUP($A73,satpek!$B$20:$L$138,8,0)</f>
        <v>0.82830850337734474</v>
      </c>
      <c r="O73" s="1573">
        <f>VLOOKUP($A73,satpek!$B$20:$L$138,9,0)</f>
        <v>140776</v>
      </c>
      <c r="P73" s="1573">
        <f>VLOOKUP($A73,satpek!$B$20:$L$138,10,0)</f>
        <v>159076.88</v>
      </c>
      <c r="Q73" s="1571">
        <f t="shared" si="46"/>
        <v>1351449.5999999999</v>
      </c>
      <c r="R73" s="1571">
        <f t="shared" si="47"/>
        <v>1527138.048</v>
      </c>
      <c r="S73" s="1574">
        <f t="shared" si="48"/>
        <v>316544.64199999999</v>
      </c>
      <c r="V73" s="1575">
        <v>9.1199999999999992</v>
      </c>
      <c r="W73" s="1575">
        <f t="shared" si="4"/>
        <v>-0.48000000000000043</v>
      </c>
      <c r="X73" s="1465" t="s">
        <v>1908</v>
      </c>
      <c r="AB73" s="1465"/>
      <c r="AC73" s="1465"/>
      <c r="AD73" s="1465"/>
      <c r="AE73" s="1466">
        <v>193211.91999999998</v>
      </c>
      <c r="AF73" s="1579">
        <f t="shared" si="5"/>
        <v>1161.6399999999849</v>
      </c>
    </row>
    <row r="74" spans="1:32" ht="21.95" customHeight="1" x14ac:dyDescent="0.2">
      <c r="B74" s="1653"/>
      <c r="C74" s="1654"/>
      <c r="D74" s="1633" t="s">
        <v>1782</v>
      </c>
      <c r="E74" s="1552"/>
      <c r="F74" s="1553"/>
      <c r="G74" s="1655"/>
      <c r="H74" s="1555"/>
      <c r="I74" s="1556"/>
      <c r="J74" s="1570"/>
      <c r="K74" s="1619"/>
      <c r="L74" s="1620"/>
      <c r="M74" s="1617"/>
      <c r="N74" s="1561"/>
      <c r="O74" s="1562"/>
      <c r="P74" s="1562"/>
      <c r="Q74" s="1563"/>
      <c r="R74" s="1564"/>
      <c r="S74" s="1565"/>
      <c r="V74" s="1575"/>
      <c r="W74" s="1575">
        <f t="shared" si="4"/>
        <v>0</v>
      </c>
      <c r="X74" s="1465" t="s">
        <v>1782</v>
      </c>
      <c r="AB74" s="1465"/>
      <c r="AC74" s="1465"/>
      <c r="AD74" s="1465"/>
      <c r="AE74" s="1466"/>
      <c r="AF74" s="1579">
        <f t="shared" si="5"/>
        <v>0</v>
      </c>
    </row>
    <row r="75" spans="1:32" ht="21.95" customHeight="1" x14ac:dyDescent="0.2">
      <c r="A75" s="1462">
        <f>satpek!$B$47</f>
        <v>28</v>
      </c>
      <c r="B75" s="1567">
        <v>1</v>
      </c>
      <c r="C75" s="1557"/>
      <c r="D75" s="1568" t="str">
        <f>VLOOKUP($A75,satpek!$B$20:$N$144,2,0)</f>
        <v>Membuat kolom praktis beton bertulang 11/11 cm</v>
      </c>
      <c r="E75" s="1568"/>
      <c r="F75" s="1580"/>
      <c r="G75" s="1453">
        <f>'[3]B.VOL RAB'!Q126</f>
        <v>212.79999999999998</v>
      </c>
      <c r="H75" s="788" t="str">
        <f>VLOOKUP($A75,satpek!$B$20:$N$144,7,0)</f>
        <v>m'</v>
      </c>
      <c r="I75" s="1569" t="str">
        <f>VLOOKUP($A75,satpek!$B$20:$N$144,5,0)</f>
        <v>A.4.1.1.35.</v>
      </c>
      <c r="J75" s="1570">
        <f>VLOOKUP($A75,satpek!$B$20:$N$144,6,0)</f>
        <v>112610.15</v>
      </c>
      <c r="K75" s="1558"/>
      <c r="L75" s="1571">
        <f t="shared" ref="L75:L76" si="49">ROUND((G75*J75),2)</f>
        <v>23963439.920000002</v>
      </c>
      <c r="M75" s="1617"/>
      <c r="N75" s="1572">
        <f>VLOOKUP($A75,satpek!$B$20:$L$138,8,0)</f>
        <v>0.69870322613014901</v>
      </c>
      <c r="O75" s="1573">
        <f>VLOOKUP($A75,satpek!$B$20:$L$138,9,0)</f>
        <v>69629.27</v>
      </c>
      <c r="P75" s="1573">
        <f>VLOOKUP($A75,satpek!$B$20:$L$138,10,0)</f>
        <v>78681.075100000002</v>
      </c>
      <c r="Q75" s="1571">
        <f t="shared" ref="Q75:Q76" si="50">O75*G75</f>
        <v>14817108.655999999</v>
      </c>
      <c r="R75" s="1571">
        <f t="shared" ref="R75:R76" si="51">P75*G75</f>
        <v>16743332.78128</v>
      </c>
      <c r="S75" s="1574">
        <f t="shared" ref="S75:S76" si="52">L75-R75</f>
        <v>7220107.138720002</v>
      </c>
      <c r="V75" s="1575">
        <v>212.79999999999998</v>
      </c>
      <c r="W75" s="1575">
        <f t="shared" si="4"/>
        <v>0</v>
      </c>
      <c r="X75" s="1465" t="s">
        <v>229</v>
      </c>
      <c r="AB75" s="1465"/>
      <c r="AC75" s="1465"/>
      <c r="AD75" s="1465"/>
      <c r="AE75" s="1466">
        <v>111027.02</v>
      </c>
      <c r="AF75" s="1579">
        <f t="shared" si="5"/>
        <v>-1583.1299999999901</v>
      </c>
    </row>
    <row r="76" spans="1:32" ht="21.95" customHeight="1" x14ac:dyDescent="0.2">
      <c r="A76" s="1462">
        <f>satpek!$B$48</f>
        <v>29</v>
      </c>
      <c r="B76" s="1567">
        <f>B75+1</f>
        <v>2</v>
      </c>
      <c r="C76" s="1557"/>
      <c r="D76" s="1568" t="s">
        <v>1783</v>
      </c>
      <c r="E76" s="1568"/>
      <c r="F76" s="1580"/>
      <c r="G76" s="1453">
        <f>'[3]B.VOL RAB'!Q127</f>
        <v>132</v>
      </c>
      <c r="H76" s="788" t="str">
        <f>VLOOKUP($A76,satpek!$B$20:$N$144,7,0)</f>
        <v>m'</v>
      </c>
      <c r="I76" s="1569" t="str">
        <f>VLOOKUP($A76,satpek!$B$20:$N$144,5,0)</f>
        <v>A.4.1.1.36.</v>
      </c>
      <c r="J76" s="1570">
        <f>VLOOKUP($A76,satpek!$B$20:$N$144,6,0)</f>
        <v>109402.19</v>
      </c>
      <c r="K76" s="1558"/>
      <c r="L76" s="1571">
        <f t="shared" si="49"/>
        <v>14441089.08</v>
      </c>
      <c r="M76" s="1617"/>
      <c r="N76" s="1572">
        <f>VLOOKUP($A76,satpek!$B$20:$L$138,8,0)</f>
        <v>0.75420720314079981</v>
      </c>
      <c r="O76" s="1573">
        <f>VLOOKUP($A76,satpek!$B$20:$L$138,9,0)</f>
        <v>73019.399999999994</v>
      </c>
      <c r="P76" s="1573">
        <f>VLOOKUP($A76,satpek!$B$20:$L$138,10,0)</f>
        <v>82511.921999999991</v>
      </c>
      <c r="Q76" s="1571">
        <f t="shared" si="50"/>
        <v>9638560.7999999989</v>
      </c>
      <c r="R76" s="1571">
        <f t="shared" si="51"/>
        <v>10891573.703999998</v>
      </c>
      <c r="S76" s="1574">
        <f t="shared" si="52"/>
        <v>3549515.376000002</v>
      </c>
      <c r="V76" s="1575">
        <v>132</v>
      </c>
      <c r="W76" s="1575">
        <f t="shared" si="4"/>
        <v>0</v>
      </c>
      <c r="X76" s="1465" t="s">
        <v>1783</v>
      </c>
      <c r="AB76" s="1465"/>
      <c r="AC76" s="1465"/>
      <c r="AD76" s="1465"/>
      <c r="AE76" s="1466">
        <v>106967.5</v>
      </c>
      <c r="AF76" s="1579">
        <f t="shared" si="5"/>
        <v>-2434.6900000000023</v>
      </c>
    </row>
    <row r="77" spans="1:32" ht="21.95" customHeight="1" x14ac:dyDescent="0.2">
      <c r="B77" s="1653"/>
      <c r="C77" s="1654"/>
      <c r="D77" s="1633" t="s">
        <v>1784</v>
      </c>
      <c r="E77" s="1552"/>
      <c r="F77" s="1553"/>
      <c r="G77" s="1453"/>
      <c r="H77" s="1555"/>
      <c r="I77" s="1556"/>
      <c r="J77" s="1570"/>
      <c r="K77" s="1619"/>
      <c r="L77" s="1620"/>
      <c r="M77" s="1617"/>
      <c r="N77" s="1561"/>
      <c r="O77" s="1562"/>
      <c r="P77" s="1562"/>
      <c r="Q77" s="1563"/>
      <c r="R77" s="1564"/>
      <c r="S77" s="1565"/>
      <c r="V77" s="1575"/>
      <c r="W77" s="1575">
        <f t="shared" si="4"/>
        <v>0</v>
      </c>
      <c r="X77" s="1465" t="s">
        <v>1784</v>
      </c>
      <c r="AB77" s="1465"/>
      <c r="AC77" s="1465"/>
      <c r="AD77" s="1465"/>
      <c r="AE77" s="1466"/>
      <c r="AF77" s="1579">
        <f t="shared" si="5"/>
        <v>0</v>
      </c>
    </row>
    <row r="78" spans="1:32" ht="21.95" customHeight="1" x14ac:dyDescent="0.2">
      <c r="A78" s="1462">
        <f>satpek!$B$40</f>
        <v>21</v>
      </c>
      <c r="B78" s="1567">
        <v>1</v>
      </c>
      <c r="C78" s="1557"/>
      <c r="D78" s="1568" t="str">
        <f>VLOOKUP($A78,satpek!$B$20:$N$144,2,0)</f>
        <v>Membuat beton mutu f'c = 21,7 Mpa - K 250</v>
      </c>
      <c r="E78" s="1568"/>
      <c r="F78" s="1580"/>
      <c r="G78" s="1453">
        <f>'[3]B.VOL RAB'!Q130</f>
        <v>0.128</v>
      </c>
      <c r="H78" s="788" t="str">
        <f>VLOOKUP($A78,satpek!$B$20:$N$144,7,0)</f>
        <v>m3</v>
      </c>
      <c r="I78" s="1569" t="str">
        <f>VLOOKUP($A78,satpek!$B$20:$N$144,5,0)</f>
        <v>A.4.1.1.8.</v>
      </c>
      <c r="J78" s="1570">
        <f>VLOOKUP($A78,satpek!$B$20:$N$144,6,0)</f>
        <v>1115753.29</v>
      </c>
      <c r="K78" s="1558"/>
      <c r="L78" s="1571">
        <f t="shared" ref="L78:L80" si="53">ROUND((G78*J78),2)</f>
        <v>142816.42000000001</v>
      </c>
      <c r="M78" s="1617"/>
      <c r="N78" s="1572">
        <f>VLOOKUP($A78,satpek!$B$20:$L$138,8,0)</f>
        <v>0.93065078521121514</v>
      </c>
      <c r="O78" s="1573">
        <f>VLOOKUP($A78,satpek!$B$20:$L$138,9,0)</f>
        <v>918917.40999999992</v>
      </c>
      <c r="P78" s="1573">
        <f>VLOOKUP($A78,satpek!$B$20:$L$138,10,0)</f>
        <v>1038376.6732999999</v>
      </c>
      <c r="Q78" s="1571">
        <f t="shared" ref="Q78:Q80" si="54">O78*G78</f>
        <v>117621.42847999999</v>
      </c>
      <c r="R78" s="1571">
        <f t="shared" ref="R78:R80" si="55">P78*G78</f>
        <v>132912.2141824</v>
      </c>
      <c r="S78" s="1574">
        <f t="shared" ref="S78:S80" si="56">L78-R78</f>
        <v>9904.2058176000137</v>
      </c>
      <c r="V78" s="1575">
        <v>0.128</v>
      </c>
      <c r="W78" s="1575">
        <f t="shared" si="4"/>
        <v>0</v>
      </c>
      <c r="X78" s="1465" t="s">
        <v>1905</v>
      </c>
      <c r="AB78" s="1465"/>
      <c r="AC78" s="1465"/>
      <c r="AD78" s="1465"/>
      <c r="AE78" s="1466">
        <v>1191397.42</v>
      </c>
      <c r="AF78" s="1579">
        <f t="shared" si="5"/>
        <v>75644.129999999888</v>
      </c>
    </row>
    <row r="79" spans="1:32" ht="21.95" customHeight="1" x14ac:dyDescent="0.2">
      <c r="A79" s="1462">
        <f>satpek!$B$41</f>
        <v>22</v>
      </c>
      <c r="B79" s="1567">
        <f>B78+1</f>
        <v>2</v>
      </c>
      <c r="C79" s="1557"/>
      <c r="D79" s="1568" t="str">
        <f>VLOOKUP($A79,satpek!$B$20:$N$144,2,0)</f>
        <v>Pembesian 1 kg dengan besi polos atau besi ulir</v>
      </c>
      <c r="E79" s="1568"/>
      <c r="F79" s="1580"/>
      <c r="G79" s="1453">
        <f>'[3]B.VOL RAB'!Q132</f>
        <v>11.632337419335084</v>
      </c>
      <c r="H79" s="788" t="str">
        <f>VLOOKUP($A79,satpek!$B$20:$N$144,7,0)</f>
        <v>kg</v>
      </c>
      <c r="I79" s="1569" t="str">
        <f>VLOOKUP($A79,satpek!$B$20:$N$144,5,0)</f>
        <v>A.4.1.1.17.</v>
      </c>
      <c r="J79" s="1570">
        <f>VLOOKUP($A79,satpek!$B$20:$N$144,6,0)</f>
        <v>15603.94</v>
      </c>
      <c r="K79" s="1558"/>
      <c r="L79" s="1571">
        <f t="shared" si="53"/>
        <v>181510.3</v>
      </c>
      <c r="M79" s="1617"/>
      <c r="N79" s="1572">
        <f>VLOOKUP($A79,satpek!$B$20:$L$138,8,0)</f>
        <v>0.46415793062521393</v>
      </c>
      <c r="O79" s="1573">
        <f>VLOOKUP($A79,satpek!$B$20:$L$138,9,0)</f>
        <v>7242.692500000001</v>
      </c>
      <c r="P79" s="1573">
        <f>VLOOKUP($A79,satpek!$B$20:$L$138,10,0)</f>
        <v>8184.2425250000015</v>
      </c>
      <c r="Q79" s="1571">
        <f t="shared" si="54"/>
        <v>84249.44298448757</v>
      </c>
      <c r="R79" s="1571">
        <f t="shared" si="55"/>
        <v>95201.870572470973</v>
      </c>
      <c r="S79" s="1574">
        <f t="shared" si="56"/>
        <v>86308.429427529016</v>
      </c>
      <c r="V79" s="1575">
        <v>11.632337419335084</v>
      </c>
      <c r="W79" s="1575">
        <f t="shared" si="4"/>
        <v>0</v>
      </c>
      <c r="X79" s="1465" t="s">
        <v>420</v>
      </c>
      <c r="AB79" s="1465"/>
      <c r="AC79" s="1465"/>
      <c r="AD79" s="1465"/>
      <c r="AE79" s="1466">
        <v>15438.06</v>
      </c>
      <c r="AF79" s="1579">
        <f t="shared" si="5"/>
        <v>-165.88000000000102</v>
      </c>
    </row>
    <row r="80" spans="1:32" ht="21.95" customHeight="1" x14ac:dyDescent="0.2">
      <c r="A80" s="1462">
        <f>satpek!B46</f>
        <v>27</v>
      </c>
      <c r="B80" s="1567">
        <f>B79+1</f>
        <v>3</v>
      </c>
      <c r="C80" s="1557"/>
      <c r="D80" s="1568" t="s">
        <v>1785</v>
      </c>
      <c r="E80" s="1568"/>
      <c r="F80" s="1580"/>
      <c r="G80" s="1453">
        <f>'[3]B.VOL RAB'!Q134</f>
        <v>2.048</v>
      </c>
      <c r="H80" s="788" t="str">
        <f>VLOOKUP($A80,satpek!$B$20:$N$144,7,0)</f>
        <v>m2</v>
      </c>
      <c r="I80" s="1569" t="str">
        <f>VLOOKUP($A80,satpek!$B$20:$N$144,5,0)</f>
        <v>A.4.1.1.24</v>
      </c>
      <c r="J80" s="1570">
        <f>VLOOKUP($A80,satpek!$B$20:$N$144,6,0)*0.25</f>
        <v>60725.07</v>
      </c>
      <c r="K80" s="1558"/>
      <c r="L80" s="1571">
        <f t="shared" si="53"/>
        <v>124364.94</v>
      </c>
      <c r="M80" s="1617"/>
      <c r="N80" s="1572">
        <f>VLOOKUP($A80,satpek!$B$20:$L$138,8,0)</f>
        <v>0.76655687675617334</v>
      </c>
      <c r="O80" s="1573">
        <f>VLOOKUP($A80,satpek!$B$20:$L$138,9,0)</f>
        <v>164776</v>
      </c>
      <c r="P80" s="1573">
        <f>VLOOKUP($A80,satpek!$B$20:$L$138,10,0)</f>
        <v>186196.88</v>
      </c>
      <c r="Q80" s="1571">
        <f t="shared" si="54"/>
        <v>337461.24800000002</v>
      </c>
      <c r="R80" s="1571">
        <f t="shared" si="55"/>
        <v>381331.21024000004</v>
      </c>
      <c r="S80" s="1574">
        <f t="shared" si="56"/>
        <v>-256966.27024000004</v>
      </c>
      <c r="V80" s="1575">
        <v>2.048</v>
      </c>
      <c r="W80" s="1575">
        <f t="shared" si="4"/>
        <v>0</v>
      </c>
      <c r="X80" s="1465" t="s">
        <v>1785</v>
      </c>
      <c r="AB80" s="1465"/>
      <c r="AC80" s="1465"/>
      <c r="AD80" s="1465"/>
      <c r="AE80" s="1466">
        <v>59938.45</v>
      </c>
      <c r="AF80" s="1579">
        <f t="shared" si="5"/>
        <v>-786.62000000000262</v>
      </c>
    </row>
    <row r="81" spans="1:32" ht="21.95" customHeight="1" x14ac:dyDescent="0.2">
      <c r="B81" s="1567"/>
      <c r="C81" s="1557"/>
      <c r="D81" s="1656"/>
      <c r="E81" s="1568"/>
      <c r="F81" s="1580"/>
      <c r="G81" s="1453"/>
      <c r="H81" s="1647"/>
      <c r="I81" s="1569"/>
      <c r="J81" s="1570"/>
      <c r="K81" s="1457"/>
      <c r="L81" s="1571"/>
      <c r="M81" s="1617"/>
      <c r="N81" s="1648"/>
      <c r="O81" s="1649"/>
      <c r="P81" s="1649"/>
      <c r="Q81" s="1650"/>
      <c r="R81" s="1651"/>
      <c r="S81" s="1652"/>
      <c r="V81" s="1575"/>
      <c r="W81" s="1575">
        <f t="shared" si="4"/>
        <v>0</v>
      </c>
      <c r="AB81" s="1465"/>
      <c r="AC81" s="1465"/>
      <c r="AD81" s="1465"/>
      <c r="AE81" s="1466"/>
      <c r="AF81" s="1579">
        <f t="shared" si="5"/>
        <v>0</v>
      </c>
    </row>
    <row r="82" spans="1:32" ht="21.95" customHeight="1" x14ac:dyDescent="0.2">
      <c r="B82" s="1567"/>
      <c r="C82" s="1557"/>
      <c r="D82" s="1604" t="s">
        <v>1786</v>
      </c>
      <c r="E82" s="1568"/>
      <c r="F82" s="1580"/>
      <c r="G82" s="1453"/>
      <c r="H82" s="1647"/>
      <c r="I82" s="1569"/>
      <c r="J82" s="1570"/>
      <c r="K82" s="1457"/>
      <c r="L82" s="1571"/>
      <c r="M82" s="1617"/>
      <c r="N82" s="1648"/>
      <c r="O82" s="1649"/>
      <c r="P82" s="1649"/>
      <c r="Q82" s="1650"/>
      <c r="R82" s="1651"/>
      <c r="S82" s="1652"/>
      <c r="V82" s="1575"/>
      <c r="W82" s="1575">
        <f t="shared" ref="W82:W145" si="57">V82-G82</f>
        <v>0</v>
      </c>
      <c r="X82" s="1465" t="s">
        <v>1786</v>
      </c>
      <c r="AB82" s="1465"/>
      <c r="AC82" s="1465"/>
      <c r="AD82" s="1465"/>
      <c r="AE82" s="1466"/>
      <c r="AF82" s="1579">
        <f t="shared" ref="AF82:AF145" si="58">AE82-J82</f>
        <v>0</v>
      </c>
    </row>
    <row r="83" spans="1:32" ht="21.95" customHeight="1" x14ac:dyDescent="0.2">
      <c r="B83" s="1653"/>
      <c r="C83" s="1654"/>
      <c r="D83" s="1633" t="s">
        <v>1787</v>
      </c>
      <c r="E83" s="1552"/>
      <c r="F83" s="1553"/>
      <c r="G83" s="1453"/>
      <c r="H83" s="1555"/>
      <c r="I83" s="1556"/>
      <c r="J83" s="1570"/>
      <c r="K83" s="1619"/>
      <c r="L83" s="1620"/>
      <c r="M83" s="1617"/>
      <c r="N83" s="1561"/>
      <c r="O83" s="1562"/>
      <c r="P83" s="1562"/>
      <c r="Q83" s="1563"/>
      <c r="R83" s="1564"/>
      <c r="S83" s="1565"/>
      <c r="V83" s="1575"/>
      <c r="W83" s="1575">
        <f t="shared" si="57"/>
        <v>0</v>
      </c>
      <c r="X83" s="1465" t="s">
        <v>1787</v>
      </c>
      <c r="AB83" s="1465"/>
      <c r="AC83" s="1465"/>
      <c r="AD83" s="1465"/>
      <c r="AE83" s="1466"/>
      <c r="AF83" s="1579">
        <f t="shared" si="58"/>
        <v>0</v>
      </c>
    </row>
    <row r="84" spans="1:32" ht="21.95" customHeight="1" x14ac:dyDescent="0.2">
      <c r="B84" s="1653"/>
      <c r="C84" s="1654"/>
      <c r="D84" s="1633" t="s">
        <v>2001</v>
      </c>
      <c r="E84" s="1552"/>
      <c r="F84" s="1553"/>
      <c r="G84" s="1453"/>
      <c r="H84" s="1555"/>
      <c r="I84" s="1556"/>
      <c r="J84" s="1570"/>
      <c r="K84" s="1619"/>
      <c r="L84" s="1620"/>
      <c r="M84" s="1617"/>
      <c r="N84" s="1561"/>
      <c r="O84" s="1562"/>
      <c r="P84" s="1562"/>
      <c r="Q84" s="1563"/>
      <c r="R84" s="1564"/>
      <c r="S84" s="1565"/>
      <c r="V84" s="1575"/>
      <c r="W84" s="1575">
        <f t="shared" si="57"/>
        <v>0</v>
      </c>
      <c r="X84" s="1465" t="s">
        <v>1788</v>
      </c>
      <c r="AB84" s="1465"/>
      <c r="AC84" s="1465"/>
      <c r="AD84" s="1465"/>
      <c r="AE84" s="1466"/>
      <c r="AF84" s="1579">
        <f t="shared" si="58"/>
        <v>0</v>
      </c>
    </row>
    <row r="85" spans="1:32" ht="21.95" customHeight="1" x14ac:dyDescent="0.2">
      <c r="A85" s="1462">
        <f>satpek!$B$40</f>
        <v>21</v>
      </c>
      <c r="B85" s="1567">
        <v>1</v>
      </c>
      <c r="C85" s="1557"/>
      <c r="D85" s="1568" t="str">
        <f>VLOOKUP($A85,satpek!$B$20:$N$144,2,0)</f>
        <v>Membuat beton mutu f'c = 21,7 Mpa - K 250</v>
      </c>
      <c r="E85" s="1568"/>
      <c r="F85" s="1580"/>
      <c r="G85" s="1453">
        <f>'[3]B.VOL RAB'!Q140</f>
        <v>35.824499999999993</v>
      </c>
      <c r="H85" s="788" t="str">
        <f>VLOOKUP($A85,satpek!$B$20:$N$144,7,0)</f>
        <v>m3</v>
      </c>
      <c r="I85" s="1569" t="str">
        <f>VLOOKUP($A85,satpek!$B$20:$N$144,5,0)</f>
        <v>A.4.1.1.8.</v>
      </c>
      <c r="J85" s="1570">
        <f>VLOOKUP($A85,satpek!$B$20:$N$144,6,0)</f>
        <v>1115753.29</v>
      </c>
      <c r="K85" s="1558"/>
      <c r="L85" s="1571">
        <f t="shared" ref="L85:L87" si="59">ROUND((G85*J85),2)</f>
        <v>39971303.740000002</v>
      </c>
      <c r="M85" s="1617"/>
      <c r="N85" s="1572">
        <f>VLOOKUP($A85,satpek!$B$20:$L$138,8,0)</f>
        <v>0.93065078521121514</v>
      </c>
      <c r="O85" s="1573">
        <f>VLOOKUP($A85,satpek!$B$20:$L$138,9,0)</f>
        <v>918917.40999999992</v>
      </c>
      <c r="P85" s="1573">
        <f>VLOOKUP($A85,satpek!$B$20:$L$138,10,0)</f>
        <v>1038376.6732999999</v>
      </c>
      <c r="Q85" s="1571">
        <f t="shared" ref="Q85:Q87" si="60">O85*G85</f>
        <v>32919756.754544992</v>
      </c>
      <c r="R85" s="1571">
        <f t="shared" ref="R85:R87" si="61">P85*G85</f>
        <v>37199325.132635839</v>
      </c>
      <c r="S85" s="1574">
        <f t="shared" ref="S85:S87" si="62">L85-R85</f>
        <v>2771978.6073641628</v>
      </c>
      <c r="V85" s="1575">
        <v>35.824499999999993</v>
      </c>
      <c r="W85" s="1575">
        <f t="shared" si="57"/>
        <v>0</v>
      </c>
      <c r="X85" s="1465" t="s">
        <v>1905</v>
      </c>
      <c r="AB85" s="1465"/>
      <c r="AC85" s="1465"/>
      <c r="AD85" s="1465"/>
      <c r="AE85" s="1466">
        <v>1191397.42</v>
      </c>
      <c r="AF85" s="1579">
        <f t="shared" si="58"/>
        <v>75644.129999999888</v>
      </c>
    </row>
    <row r="86" spans="1:32" ht="21.95" customHeight="1" x14ac:dyDescent="0.2">
      <c r="A86" s="1462">
        <f>satpek!$B$41</f>
        <v>22</v>
      </c>
      <c r="B86" s="1567">
        <f>B85+1</f>
        <v>2</v>
      </c>
      <c r="C86" s="1557"/>
      <c r="D86" s="1568" t="str">
        <f>VLOOKUP($A86,satpek!$B$20:$N$144,2,0)</f>
        <v>Pembesian 1 kg dengan besi polos atau besi ulir</v>
      </c>
      <c r="E86" s="1568"/>
      <c r="F86" s="1580"/>
      <c r="G86" s="1453">
        <f>'[3]B.VOL RAB'!Q142</f>
        <v>9036.6563445005468</v>
      </c>
      <c r="H86" s="788" t="str">
        <f>VLOOKUP($A86,satpek!$B$20:$N$144,7,0)</f>
        <v>kg</v>
      </c>
      <c r="I86" s="1569" t="str">
        <f>VLOOKUP($A86,satpek!$B$20:$N$144,5,0)</f>
        <v>A.4.1.1.17.</v>
      </c>
      <c r="J86" s="1570">
        <f>VLOOKUP($A86,satpek!$B$20:$N$144,6,0)</f>
        <v>15603.94</v>
      </c>
      <c r="K86" s="1558"/>
      <c r="L86" s="1571">
        <f t="shared" si="59"/>
        <v>141007443.40000001</v>
      </c>
      <c r="M86" s="1617"/>
      <c r="N86" s="1572">
        <f>VLOOKUP($A86,satpek!$B$20:$L$138,8,0)</f>
        <v>0.46415793062521393</v>
      </c>
      <c r="O86" s="1573">
        <f>VLOOKUP($A86,satpek!$B$20:$L$138,9,0)</f>
        <v>7242.692500000001</v>
      </c>
      <c r="P86" s="1573">
        <f>VLOOKUP($A86,satpek!$B$20:$L$138,10,0)</f>
        <v>8184.2425250000015</v>
      </c>
      <c r="Q86" s="1571">
        <f t="shared" si="60"/>
        <v>65449723.131391533</v>
      </c>
      <c r="R86" s="1571">
        <f t="shared" si="61"/>
        <v>73958187.138472438</v>
      </c>
      <c r="S86" s="1574">
        <f t="shared" si="62"/>
        <v>67049256.261527568</v>
      </c>
      <c r="V86" s="1575">
        <v>7846.2752208014263</v>
      </c>
      <c r="W86" s="1575">
        <f t="shared" si="57"/>
        <v>-1190.3811236991205</v>
      </c>
      <c r="X86" s="1465" t="s">
        <v>420</v>
      </c>
      <c r="AB86" s="1465"/>
      <c r="AC86" s="1465"/>
      <c r="AD86" s="1465"/>
      <c r="AE86" s="1466">
        <v>15438.06</v>
      </c>
      <c r="AF86" s="1579">
        <f t="shared" si="58"/>
        <v>-165.88000000000102</v>
      </c>
    </row>
    <row r="87" spans="1:32" ht="21.95" customHeight="1" x14ac:dyDescent="0.2">
      <c r="A87" s="1462">
        <f>satpek!$B$45</f>
        <v>26</v>
      </c>
      <c r="B87" s="1567">
        <f>B86+1</f>
        <v>3</v>
      </c>
      <c r="C87" s="1557"/>
      <c r="D87" s="1568" t="str">
        <f>VLOOKUP($A87,satpek!$B$20:$N$144,2,0)</f>
        <v>Memasang bekisting untuk balok (2x pakai)</v>
      </c>
      <c r="E87" s="1568"/>
      <c r="F87" s="1580"/>
      <c r="G87" s="1453">
        <f>'[3]B.VOL RAB'!Q144</f>
        <v>471.37499999999989</v>
      </c>
      <c r="H87" s="788" t="str">
        <f>VLOOKUP($A87,satpek!$B$20:$N$144,7,0)</f>
        <v>m2</v>
      </c>
      <c r="I87" s="1569" t="str">
        <f>VLOOKUP($A87,satpek!$B$20:$N$144,5,0)</f>
        <v>A.4.1.1.23.</v>
      </c>
      <c r="J87" s="1570">
        <f>VLOOKUP($A87,satpek!$B$20:$N$144,6,0)</f>
        <v>194762.28</v>
      </c>
      <c r="K87" s="1558"/>
      <c r="L87" s="1571">
        <f t="shared" si="59"/>
        <v>91806069.739999995</v>
      </c>
      <c r="M87" s="1617"/>
      <c r="N87" s="1572">
        <f>VLOOKUP($A87,satpek!$B$20:$L$138,8,0)</f>
        <v>0.83069925038873027</v>
      </c>
      <c r="O87" s="1573">
        <f>VLOOKUP($A87,satpek!$B$20:$L$138,9,0)</f>
        <v>143176</v>
      </c>
      <c r="P87" s="1573">
        <f>VLOOKUP($A87,satpek!$B$20:$L$138,10,0)</f>
        <v>161788.88</v>
      </c>
      <c r="Q87" s="1571">
        <f t="shared" si="60"/>
        <v>67489586.999999985</v>
      </c>
      <c r="R87" s="1571">
        <f t="shared" si="61"/>
        <v>76263233.309999987</v>
      </c>
      <c r="S87" s="1574">
        <f t="shared" si="62"/>
        <v>15542836.430000007</v>
      </c>
      <c r="V87" s="1575">
        <v>471.37499999999989</v>
      </c>
      <c r="W87" s="1575">
        <f t="shared" si="57"/>
        <v>0</v>
      </c>
      <c r="X87" s="1465" t="s">
        <v>1909</v>
      </c>
      <c r="AB87" s="1465"/>
      <c r="AC87" s="1465"/>
      <c r="AD87" s="1465"/>
      <c r="AE87" s="1466">
        <v>195923.91999999998</v>
      </c>
      <c r="AF87" s="1579">
        <f t="shared" si="58"/>
        <v>1161.6399999999849</v>
      </c>
    </row>
    <row r="88" spans="1:32" ht="21.95" customHeight="1" x14ac:dyDescent="0.2">
      <c r="B88" s="1653"/>
      <c r="C88" s="1654"/>
      <c r="D88" s="1633" t="s">
        <v>2002</v>
      </c>
      <c r="E88" s="1552"/>
      <c r="F88" s="1553"/>
      <c r="G88" s="1453"/>
      <c r="H88" s="1555"/>
      <c r="I88" s="1556"/>
      <c r="J88" s="1570"/>
      <c r="K88" s="1619"/>
      <c r="L88" s="1620"/>
      <c r="M88" s="1617"/>
      <c r="N88" s="1561"/>
      <c r="O88" s="1562"/>
      <c r="P88" s="1562"/>
      <c r="Q88" s="1563"/>
      <c r="R88" s="1564"/>
      <c r="S88" s="1565"/>
      <c r="V88" s="1575"/>
      <c r="W88" s="1575">
        <f t="shared" si="57"/>
        <v>0</v>
      </c>
      <c r="X88" s="1465" t="s">
        <v>1789</v>
      </c>
      <c r="AB88" s="1465"/>
      <c r="AC88" s="1465"/>
      <c r="AD88" s="1465"/>
      <c r="AE88" s="1466"/>
      <c r="AF88" s="1579">
        <f t="shared" si="58"/>
        <v>0</v>
      </c>
    </row>
    <row r="89" spans="1:32" ht="21.95" customHeight="1" x14ac:dyDescent="0.2">
      <c r="A89" s="1462">
        <f>satpek!$B$40</f>
        <v>21</v>
      </c>
      <c r="B89" s="1567">
        <v>1</v>
      </c>
      <c r="C89" s="1557"/>
      <c r="D89" s="1568" t="str">
        <f>VLOOKUP($A89,satpek!$B$20:$N$144,2,0)</f>
        <v>Membuat beton mutu f'c = 21,7 Mpa - K 250</v>
      </c>
      <c r="E89" s="1568"/>
      <c r="F89" s="1580"/>
      <c r="G89" s="1453">
        <f>'[3]B.VOL RAB'!Q148</f>
        <v>14.512000000000004</v>
      </c>
      <c r="H89" s="788" t="str">
        <f>VLOOKUP($A89,satpek!$B$20:$N$144,7,0)</f>
        <v>m3</v>
      </c>
      <c r="I89" s="1569" t="str">
        <f>VLOOKUP($A89,satpek!$B$20:$N$144,5,0)</f>
        <v>A.4.1.1.8.</v>
      </c>
      <c r="J89" s="1570">
        <f>VLOOKUP($A89,satpek!$B$20:$N$144,6,0)</f>
        <v>1115753.29</v>
      </c>
      <c r="K89" s="1558"/>
      <c r="L89" s="1571">
        <f t="shared" ref="L89:L91" si="63">ROUND((G89*J89),2)</f>
        <v>16191811.74</v>
      </c>
      <c r="M89" s="1617"/>
      <c r="N89" s="1572">
        <f>VLOOKUP($A89,satpek!$B$20:$L$138,8,0)</f>
        <v>0.93065078521121514</v>
      </c>
      <c r="O89" s="1573">
        <f>VLOOKUP($A89,satpek!$B$20:$L$138,9,0)</f>
        <v>918917.40999999992</v>
      </c>
      <c r="P89" s="1573">
        <f>VLOOKUP($A89,satpek!$B$20:$L$138,10,0)</f>
        <v>1038376.6732999999</v>
      </c>
      <c r="Q89" s="1571">
        <f t="shared" ref="Q89:Q91" si="64">O89*G89</f>
        <v>13335329.453920003</v>
      </c>
      <c r="R89" s="1571">
        <f t="shared" ref="R89:R91" si="65">P89*G89</f>
        <v>15068922.282929603</v>
      </c>
      <c r="S89" s="1574">
        <f t="shared" ref="S89:S91" si="66">L89-R89</f>
        <v>1122889.4570703972</v>
      </c>
      <c r="V89" s="1575">
        <v>14.512000000000004</v>
      </c>
      <c r="W89" s="1575">
        <f t="shared" si="57"/>
        <v>0</v>
      </c>
      <c r="X89" s="1465" t="s">
        <v>1905</v>
      </c>
      <c r="AB89" s="1465"/>
      <c r="AC89" s="1465"/>
      <c r="AD89" s="1465"/>
      <c r="AE89" s="1466">
        <v>1191397.42</v>
      </c>
      <c r="AF89" s="1579">
        <f t="shared" si="58"/>
        <v>75644.129999999888</v>
      </c>
    </row>
    <row r="90" spans="1:32" ht="21.95" customHeight="1" x14ac:dyDescent="0.2">
      <c r="A90" s="1462">
        <f>satpek!$B$41</f>
        <v>22</v>
      </c>
      <c r="B90" s="1567">
        <f>B89+1</f>
        <v>2</v>
      </c>
      <c r="C90" s="1557"/>
      <c r="D90" s="1568" t="str">
        <f>VLOOKUP($A90,satpek!$B$20:$N$144,2,0)</f>
        <v>Pembesian 1 kg dengan besi polos atau besi ulir</v>
      </c>
      <c r="E90" s="1568"/>
      <c r="F90" s="1580"/>
      <c r="G90" s="1453">
        <f>'[3]B.VOL RAB'!Q150</f>
        <v>2074.4589900004985</v>
      </c>
      <c r="H90" s="788" t="str">
        <f>VLOOKUP($A90,satpek!$B$20:$N$144,7,0)</f>
        <v>kg</v>
      </c>
      <c r="I90" s="1569" t="str">
        <f>VLOOKUP($A90,satpek!$B$20:$N$144,5,0)</f>
        <v>A.4.1.1.17.</v>
      </c>
      <c r="J90" s="1570">
        <f>VLOOKUP($A90,satpek!$B$20:$N$144,6,0)</f>
        <v>15603.94</v>
      </c>
      <c r="K90" s="1558"/>
      <c r="L90" s="1571">
        <f t="shared" si="63"/>
        <v>32369733.609999999</v>
      </c>
      <c r="M90" s="1617"/>
      <c r="N90" s="1572">
        <f>VLOOKUP($A90,satpek!$B$20:$L$138,8,0)</f>
        <v>0.46415793062521393</v>
      </c>
      <c r="O90" s="1573">
        <f>VLOOKUP($A90,satpek!$B$20:$L$138,9,0)</f>
        <v>7242.692500000001</v>
      </c>
      <c r="P90" s="1573">
        <f>VLOOKUP($A90,satpek!$B$20:$L$138,10,0)</f>
        <v>8184.2425250000015</v>
      </c>
      <c r="Q90" s="1571">
        <f t="shared" si="64"/>
        <v>15024668.568434188</v>
      </c>
      <c r="R90" s="1571">
        <f t="shared" si="65"/>
        <v>16977875.482330631</v>
      </c>
      <c r="S90" s="1574">
        <f t="shared" si="66"/>
        <v>15391858.127669368</v>
      </c>
      <c r="V90" s="1575">
        <v>1696.4400838251379</v>
      </c>
      <c r="W90" s="1575">
        <f t="shared" si="57"/>
        <v>-378.0189061753606</v>
      </c>
      <c r="X90" s="1465" t="s">
        <v>420</v>
      </c>
      <c r="AB90" s="1465"/>
      <c r="AC90" s="1465"/>
      <c r="AD90" s="1465"/>
      <c r="AE90" s="1466">
        <v>15438.06</v>
      </c>
      <c r="AF90" s="1579">
        <f t="shared" si="58"/>
        <v>-165.88000000000102</v>
      </c>
    </row>
    <row r="91" spans="1:32" ht="21.95" customHeight="1" x14ac:dyDescent="0.2">
      <c r="A91" s="1462">
        <f>satpek!$B$45</f>
        <v>26</v>
      </c>
      <c r="B91" s="1567">
        <f>B90+1</f>
        <v>3</v>
      </c>
      <c r="C91" s="1557"/>
      <c r="D91" s="1568" t="str">
        <f>VLOOKUP($A91,satpek!$B$20:$N$144,2,0)</f>
        <v>Memasang bekisting untuk balok (2x pakai)</v>
      </c>
      <c r="E91" s="1568"/>
      <c r="F91" s="1580"/>
      <c r="G91" s="1453">
        <f>'[3]B.VOL RAB'!Q152</f>
        <v>181.4</v>
      </c>
      <c r="H91" s="788" t="str">
        <f>VLOOKUP($A91,satpek!$B$20:$N$144,7,0)</f>
        <v>m2</v>
      </c>
      <c r="I91" s="1569" t="str">
        <f>VLOOKUP($A91,satpek!$B$20:$N$144,5,0)</f>
        <v>A.4.1.1.23.</v>
      </c>
      <c r="J91" s="1570">
        <f>VLOOKUP($A91,satpek!$B$20:$N$144,6,0)</f>
        <v>194762.28</v>
      </c>
      <c r="K91" s="1558"/>
      <c r="L91" s="1571">
        <f t="shared" si="63"/>
        <v>35329877.590000004</v>
      </c>
      <c r="M91" s="1617"/>
      <c r="N91" s="1572">
        <f>VLOOKUP($A91,satpek!$B$20:$L$138,8,0)</f>
        <v>0.83069925038873027</v>
      </c>
      <c r="O91" s="1573">
        <f>VLOOKUP($A91,satpek!$B$20:$L$138,9,0)</f>
        <v>143176</v>
      </c>
      <c r="P91" s="1573">
        <f>VLOOKUP($A91,satpek!$B$20:$L$138,10,0)</f>
        <v>161788.88</v>
      </c>
      <c r="Q91" s="1571">
        <f t="shared" si="64"/>
        <v>25972126.400000002</v>
      </c>
      <c r="R91" s="1571">
        <f t="shared" si="65"/>
        <v>29348502.832000002</v>
      </c>
      <c r="S91" s="1574">
        <f t="shared" si="66"/>
        <v>5981374.7580000013</v>
      </c>
      <c r="V91" s="1575">
        <v>181.4</v>
      </c>
      <c r="W91" s="1575">
        <f t="shared" si="57"/>
        <v>0</v>
      </c>
      <c r="X91" s="1465" t="s">
        <v>1909</v>
      </c>
      <c r="AB91" s="1465"/>
      <c r="AC91" s="1465"/>
      <c r="AD91" s="1465"/>
      <c r="AE91" s="1466">
        <v>195923.91999999998</v>
      </c>
      <c r="AF91" s="1579">
        <f t="shared" si="58"/>
        <v>1161.6399999999849</v>
      </c>
    </row>
    <row r="92" spans="1:32" ht="21.95" customHeight="1" x14ac:dyDescent="0.2">
      <c r="B92" s="1653"/>
      <c r="C92" s="1654"/>
      <c r="D92" s="1633" t="s">
        <v>1790</v>
      </c>
      <c r="E92" s="1552"/>
      <c r="F92" s="1553"/>
      <c r="G92" s="1453"/>
      <c r="H92" s="1555"/>
      <c r="I92" s="1556"/>
      <c r="J92" s="1570"/>
      <c r="K92" s="1619"/>
      <c r="L92" s="1620"/>
      <c r="M92" s="1617"/>
      <c r="N92" s="1561"/>
      <c r="O92" s="1562"/>
      <c r="P92" s="1562"/>
      <c r="Q92" s="1563"/>
      <c r="R92" s="1564"/>
      <c r="S92" s="1565"/>
      <c r="V92" s="1575"/>
      <c r="W92" s="1575">
        <f t="shared" si="57"/>
        <v>0</v>
      </c>
      <c r="X92" s="1465" t="s">
        <v>1790</v>
      </c>
      <c r="AB92" s="1465"/>
      <c r="AC92" s="1465"/>
      <c r="AD92" s="1465"/>
      <c r="AE92" s="1466"/>
      <c r="AF92" s="1579">
        <f t="shared" si="58"/>
        <v>0</v>
      </c>
    </row>
    <row r="93" spans="1:32" ht="21.95" customHeight="1" x14ac:dyDescent="0.2">
      <c r="A93" s="1462">
        <f>satpek!$B$40</f>
        <v>21</v>
      </c>
      <c r="B93" s="1567">
        <v>1</v>
      </c>
      <c r="C93" s="1557"/>
      <c r="D93" s="1568" t="str">
        <f>VLOOKUP($A93,satpek!$B$20:$N$144,2,0)</f>
        <v>Membuat beton mutu f'c = 21,7 Mpa - K 250</v>
      </c>
      <c r="E93" s="1568"/>
      <c r="F93" s="1580"/>
      <c r="G93" s="1453">
        <f>'[3]B.VOL RAB'!Q156</f>
        <v>10.17</v>
      </c>
      <c r="H93" s="788" t="str">
        <f>VLOOKUP($A93,satpek!$B$20:$N$144,7,0)</f>
        <v>m3</v>
      </c>
      <c r="I93" s="1569" t="str">
        <f>VLOOKUP($A93,satpek!$B$20:$N$144,5,0)</f>
        <v>A.4.1.1.8.</v>
      </c>
      <c r="J93" s="1570">
        <f>VLOOKUP($A93,satpek!$B$20:$N$144,6,0)</f>
        <v>1115753.29</v>
      </c>
      <c r="K93" s="1558"/>
      <c r="L93" s="1571">
        <f t="shared" ref="L93:L95" si="67">ROUND((G93*J93),2)</f>
        <v>11347210.960000001</v>
      </c>
      <c r="M93" s="1617"/>
      <c r="N93" s="1572">
        <f>VLOOKUP($A93,satpek!$B$20:$L$138,8,0)</f>
        <v>0.93065078521121514</v>
      </c>
      <c r="O93" s="1573">
        <f>VLOOKUP($A93,satpek!$B$20:$L$138,9,0)</f>
        <v>918917.40999999992</v>
      </c>
      <c r="P93" s="1573">
        <f>VLOOKUP($A93,satpek!$B$20:$L$138,10,0)</f>
        <v>1038376.6732999999</v>
      </c>
      <c r="Q93" s="1571">
        <f t="shared" ref="Q93:Q95" si="68">O93*G93</f>
        <v>9345390.0596999992</v>
      </c>
      <c r="R93" s="1571">
        <f t="shared" ref="R93:R95" si="69">P93*G93</f>
        <v>10560290.767460998</v>
      </c>
      <c r="S93" s="1574">
        <f t="shared" ref="S93:S95" si="70">L93-R93</f>
        <v>786920.19253900275</v>
      </c>
      <c r="V93" s="1575">
        <v>8.4749999999999996</v>
      </c>
      <c r="W93" s="1575">
        <f t="shared" si="57"/>
        <v>-1.6950000000000003</v>
      </c>
      <c r="X93" s="1465" t="s">
        <v>1905</v>
      </c>
      <c r="AB93" s="1465"/>
      <c r="AC93" s="1465"/>
      <c r="AD93" s="1465"/>
      <c r="AE93" s="1466">
        <v>1191397.42</v>
      </c>
      <c r="AF93" s="1579">
        <f t="shared" si="58"/>
        <v>75644.129999999888</v>
      </c>
    </row>
    <row r="94" spans="1:32" ht="21.95" customHeight="1" x14ac:dyDescent="0.2">
      <c r="A94" s="1462">
        <f>satpek!$B$41</f>
        <v>22</v>
      </c>
      <c r="B94" s="1567">
        <f>B93+1</f>
        <v>2</v>
      </c>
      <c r="C94" s="1557"/>
      <c r="D94" s="1568" t="str">
        <f>VLOOKUP($A94,satpek!$B$20:$N$144,2,0)</f>
        <v>Pembesian 1 kg dengan besi polos atau besi ulir</v>
      </c>
      <c r="E94" s="1568"/>
      <c r="F94" s="1580"/>
      <c r="G94" s="1453">
        <f>'[3]B.VOL RAB'!Q158</f>
        <v>2361.0873008388248</v>
      </c>
      <c r="H94" s="788" t="str">
        <f>VLOOKUP($A94,satpek!$B$20:$N$144,7,0)</f>
        <v>kg</v>
      </c>
      <c r="I94" s="1569" t="str">
        <f>VLOOKUP($A94,satpek!$B$20:$N$144,5,0)</f>
        <v>A.4.1.1.17.</v>
      </c>
      <c r="J94" s="1570">
        <f>VLOOKUP($A94,satpek!$B$20:$N$144,6,0)</f>
        <v>15603.94</v>
      </c>
      <c r="K94" s="1558"/>
      <c r="L94" s="1571">
        <f t="shared" si="67"/>
        <v>36842264.579999998</v>
      </c>
      <c r="M94" s="1617"/>
      <c r="N94" s="1572">
        <f>VLOOKUP($A94,satpek!$B$20:$L$138,8,0)</f>
        <v>0.46415793062521393</v>
      </c>
      <c r="O94" s="1573">
        <f>VLOOKUP($A94,satpek!$B$20:$L$138,9,0)</f>
        <v>7242.692500000001</v>
      </c>
      <c r="P94" s="1573">
        <f>VLOOKUP($A94,satpek!$B$20:$L$138,10,0)</f>
        <v>8184.2425250000015</v>
      </c>
      <c r="Q94" s="1571">
        <f t="shared" si="68"/>
        <v>17100629.285630602</v>
      </c>
      <c r="R94" s="1571">
        <f t="shared" si="69"/>
        <v>19323711.092762582</v>
      </c>
      <c r="S94" s="1574">
        <f t="shared" si="70"/>
        <v>17518553.487237416</v>
      </c>
      <c r="V94" s="1575">
        <v>3206.3224789193041</v>
      </c>
      <c r="W94" s="1575">
        <f t="shared" si="57"/>
        <v>845.23517808047927</v>
      </c>
      <c r="X94" s="1465" t="s">
        <v>420</v>
      </c>
      <c r="AB94" s="1465"/>
      <c r="AC94" s="1465"/>
      <c r="AD94" s="1465"/>
      <c r="AE94" s="1466">
        <v>15438.06</v>
      </c>
      <c r="AF94" s="1579">
        <f t="shared" si="58"/>
        <v>-165.88000000000102</v>
      </c>
    </row>
    <row r="95" spans="1:32" ht="21.95" customHeight="1" x14ac:dyDescent="0.2">
      <c r="A95" s="1462">
        <f>satpek!$B$45</f>
        <v>26</v>
      </c>
      <c r="B95" s="1567">
        <f>B94+1</f>
        <v>3</v>
      </c>
      <c r="C95" s="1557"/>
      <c r="D95" s="1568" t="str">
        <f>VLOOKUP($A95,satpek!$B$20:$N$144,2,0)</f>
        <v>Memasang bekisting untuk balok (2x pakai)</v>
      </c>
      <c r="E95" s="1568"/>
      <c r="F95" s="1580"/>
      <c r="G95" s="1453">
        <f>'[3]B.VOL RAB'!Q160</f>
        <v>135.6</v>
      </c>
      <c r="H95" s="788" t="str">
        <f>VLOOKUP($A95,satpek!$B$20:$N$144,7,0)</f>
        <v>m2</v>
      </c>
      <c r="I95" s="1569" t="str">
        <f>VLOOKUP($A95,satpek!$B$20:$N$144,5,0)</f>
        <v>A.4.1.1.23.</v>
      </c>
      <c r="J95" s="1570">
        <f>VLOOKUP($A95,satpek!$B$20:$N$144,6,0)</f>
        <v>194762.28</v>
      </c>
      <c r="K95" s="1558"/>
      <c r="L95" s="1571">
        <f t="shared" si="67"/>
        <v>26409765.170000002</v>
      </c>
      <c r="M95" s="1617"/>
      <c r="N95" s="1572">
        <f>VLOOKUP($A95,satpek!$B$20:$L$138,8,0)</f>
        <v>0.83069925038873027</v>
      </c>
      <c r="O95" s="1573">
        <f>VLOOKUP($A95,satpek!$B$20:$L$138,9,0)</f>
        <v>143176</v>
      </c>
      <c r="P95" s="1573">
        <f>VLOOKUP($A95,satpek!$B$20:$L$138,10,0)</f>
        <v>161788.88</v>
      </c>
      <c r="Q95" s="1571">
        <f t="shared" si="68"/>
        <v>19414665.599999998</v>
      </c>
      <c r="R95" s="1571">
        <f t="shared" si="69"/>
        <v>21938572.127999999</v>
      </c>
      <c r="S95" s="1574">
        <f t="shared" si="70"/>
        <v>4471193.0420000032</v>
      </c>
      <c r="V95" s="1575">
        <v>113</v>
      </c>
      <c r="W95" s="1575">
        <f t="shared" si="57"/>
        <v>-22.599999999999994</v>
      </c>
      <c r="X95" s="1465" t="s">
        <v>1909</v>
      </c>
      <c r="AB95" s="1465"/>
      <c r="AC95" s="1465"/>
      <c r="AD95" s="1465"/>
      <c r="AE95" s="1466">
        <v>195923.91999999998</v>
      </c>
      <c r="AF95" s="1579">
        <f t="shared" si="58"/>
        <v>1161.6399999999849</v>
      </c>
    </row>
    <row r="96" spans="1:32" ht="21.95" customHeight="1" x14ac:dyDescent="0.2">
      <c r="B96" s="1653"/>
      <c r="C96" s="1654"/>
      <c r="D96" s="1633" t="s">
        <v>1791</v>
      </c>
      <c r="E96" s="1552"/>
      <c r="F96" s="1553"/>
      <c r="G96" s="1453"/>
      <c r="H96" s="1555"/>
      <c r="I96" s="1556"/>
      <c r="J96" s="1570"/>
      <c r="K96" s="1619"/>
      <c r="L96" s="1620"/>
      <c r="M96" s="1617"/>
      <c r="N96" s="1561"/>
      <c r="O96" s="1562"/>
      <c r="P96" s="1562"/>
      <c r="Q96" s="1563"/>
      <c r="R96" s="1564"/>
      <c r="S96" s="1565"/>
      <c r="V96" s="1575"/>
      <c r="W96" s="1575">
        <f t="shared" si="57"/>
        <v>0</v>
      </c>
      <c r="X96" s="1465" t="s">
        <v>1791</v>
      </c>
      <c r="AB96" s="1465"/>
      <c r="AC96" s="1465"/>
      <c r="AD96" s="1465"/>
      <c r="AE96" s="1466"/>
      <c r="AF96" s="1579">
        <f t="shared" si="58"/>
        <v>0</v>
      </c>
    </row>
    <row r="97" spans="1:32" ht="21.95" customHeight="1" x14ac:dyDescent="0.2">
      <c r="A97" s="1462">
        <f>satpek!$B$40</f>
        <v>21</v>
      </c>
      <c r="B97" s="1567">
        <v>1</v>
      </c>
      <c r="C97" s="1557"/>
      <c r="D97" s="1568" t="str">
        <f>VLOOKUP($A97,satpek!$B$20:$N$144,2,0)</f>
        <v>Membuat beton mutu f'c = 21,7 Mpa - K 250</v>
      </c>
      <c r="E97" s="1568"/>
      <c r="F97" s="1580"/>
      <c r="G97" s="1453">
        <f>'[3]B.VOL RAB'!Q164</f>
        <v>2.88</v>
      </c>
      <c r="H97" s="788" t="str">
        <f>VLOOKUP($A97,satpek!$B$20:$N$144,7,0)</f>
        <v>m3</v>
      </c>
      <c r="I97" s="1569" t="str">
        <f>VLOOKUP($A97,satpek!$B$20:$N$144,5,0)</f>
        <v>A.4.1.1.8.</v>
      </c>
      <c r="J97" s="1570">
        <f>VLOOKUP($A97,satpek!$B$20:$N$144,6,0)</f>
        <v>1115753.29</v>
      </c>
      <c r="K97" s="1558"/>
      <c r="L97" s="1571">
        <f t="shared" ref="L97:L99" si="71">ROUND((G97*J97),2)</f>
        <v>3213369.48</v>
      </c>
      <c r="M97" s="1617"/>
      <c r="N97" s="1572">
        <f>VLOOKUP($A97,satpek!$B$20:$L$138,8,0)</f>
        <v>0.93065078521121514</v>
      </c>
      <c r="O97" s="1573">
        <f>VLOOKUP($A97,satpek!$B$20:$L$138,9,0)</f>
        <v>918917.40999999992</v>
      </c>
      <c r="P97" s="1573">
        <f>VLOOKUP($A97,satpek!$B$20:$L$138,10,0)</f>
        <v>1038376.6732999999</v>
      </c>
      <c r="Q97" s="1571">
        <f t="shared" ref="Q97:Q99" si="72">O97*G97</f>
        <v>2646482.1407999997</v>
      </c>
      <c r="R97" s="1571">
        <f t="shared" ref="R97:R99" si="73">P97*G97</f>
        <v>2990524.8191039995</v>
      </c>
      <c r="S97" s="1574">
        <f t="shared" ref="S97:S99" si="74">L97-R97</f>
        <v>222844.66089600045</v>
      </c>
      <c r="V97" s="1575">
        <v>2.88</v>
      </c>
      <c r="W97" s="1575">
        <f t="shared" si="57"/>
        <v>0</v>
      </c>
      <c r="X97" s="1465" t="s">
        <v>1905</v>
      </c>
      <c r="AB97" s="1465"/>
      <c r="AC97" s="1465"/>
      <c r="AD97" s="1465"/>
      <c r="AE97" s="1466">
        <v>1191397.42</v>
      </c>
      <c r="AF97" s="1579">
        <f t="shared" si="58"/>
        <v>75644.129999999888</v>
      </c>
    </row>
    <row r="98" spans="1:32" ht="21.95" customHeight="1" x14ac:dyDescent="0.2">
      <c r="A98" s="1462">
        <f>satpek!$B$41</f>
        <v>22</v>
      </c>
      <c r="B98" s="1567">
        <f>B97+1</f>
        <v>2</v>
      </c>
      <c r="C98" s="1557"/>
      <c r="D98" s="1568" t="str">
        <f>VLOOKUP($A98,satpek!$B$20:$N$144,2,0)</f>
        <v>Pembesian 1 kg dengan besi polos atau besi ulir</v>
      </c>
      <c r="E98" s="1568"/>
      <c r="F98" s="1580"/>
      <c r="G98" s="1453">
        <f>'[3]B.VOL RAB'!Q166</f>
        <v>607.11686437667709</v>
      </c>
      <c r="H98" s="788" t="str">
        <f>VLOOKUP($A98,satpek!$B$20:$N$144,7,0)</f>
        <v>kg</v>
      </c>
      <c r="I98" s="1569" t="str">
        <f>VLOOKUP($A98,satpek!$B$20:$N$144,5,0)</f>
        <v>A.4.1.1.17.</v>
      </c>
      <c r="J98" s="1570">
        <f>VLOOKUP($A98,satpek!$B$20:$N$144,6,0)</f>
        <v>15603.94</v>
      </c>
      <c r="K98" s="1558"/>
      <c r="L98" s="1571">
        <f t="shared" si="71"/>
        <v>9473415.1199999992</v>
      </c>
      <c r="M98" s="1617"/>
      <c r="N98" s="1572">
        <f>VLOOKUP($A98,satpek!$B$20:$L$138,8,0)</f>
        <v>0.46415793062521393</v>
      </c>
      <c r="O98" s="1573">
        <f>VLOOKUP($A98,satpek!$B$20:$L$138,9,0)</f>
        <v>7242.692500000001</v>
      </c>
      <c r="P98" s="1573">
        <f>VLOOKUP($A98,satpek!$B$20:$L$138,10,0)</f>
        <v>8184.2425250000015</v>
      </c>
      <c r="Q98" s="1571">
        <f t="shared" si="72"/>
        <v>4397160.7602444766</v>
      </c>
      <c r="R98" s="1571">
        <f t="shared" si="73"/>
        <v>4968791.6590762595</v>
      </c>
      <c r="S98" s="1574">
        <f t="shared" si="74"/>
        <v>4504623.4609237397</v>
      </c>
      <c r="V98" s="1575">
        <v>507.08981092343959</v>
      </c>
      <c r="W98" s="1575">
        <f t="shared" si="57"/>
        <v>-100.0270534532375</v>
      </c>
      <c r="X98" s="1465" t="s">
        <v>420</v>
      </c>
      <c r="AB98" s="1465"/>
      <c r="AC98" s="1465"/>
      <c r="AD98" s="1465"/>
      <c r="AE98" s="1466">
        <v>15438.06</v>
      </c>
      <c r="AF98" s="1579">
        <f t="shared" si="58"/>
        <v>-165.88000000000102</v>
      </c>
    </row>
    <row r="99" spans="1:32" ht="21.95" customHeight="1" x14ac:dyDescent="0.2">
      <c r="A99" s="1462">
        <f>satpek!$B$45</f>
        <v>26</v>
      </c>
      <c r="B99" s="1567">
        <f>B98+1</f>
        <v>3</v>
      </c>
      <c r="C99" s="1557"/>
      <c r="D99" s="1568" t="str">
        <f>VLOOKUP($A99,satpek!$B$20:$N$144,2,0)</f>
        <v>Memasang bekisting untuk balok (2x pakai)</v>
      </c>
      <c r="E99" s="1568"/>
      <c r="F99" s="1580"/>
      <c r="G99" s="1453">
        <f>'[3]B.VOL RAB'!Q168</f>
        <v>38.4</v>
      </c>
      <c r="H99" s="788" t="str">
        <f>VLOOKUP($A99,satpek!$B$20:$N$144,7,0)</f>
        <v>m2</v>
      </c>
      <c r="I99" s="1569" t="str">
        <f>VLOOKUP($A99,satpek!$B$20:$N$144,5,0)</f>
        <v>A.4.1.1.23.</v>
      </c>
      <c r="J99" s="1570">
        <f>VLOOKUP($A99,satpek!$B$20:$N$144,6,0)</f>
        <v>194762.28</v>
      </c>
      <c r="K99" s="1558"/>
      <c r="L99" s="1571">
        <f t="shared" si="71"/>
        <v>7478871.5499999998</v>
      </c>
      <c r="M99" s="1617"/>
      <c r="N99" s="1572">
        <f>VLOOKUP($A99,satpek!$B$20:$L$138,8,0)</f>
        <v>0.83069925038873027</v>
      </c>
      <c r="O99" s="1573">
        <f>VLOOKUP($A99,satpek!$B$20:$L$138,9,0)</f>
        <v>143176</v>
      </c>
      <c r="P99" s="1573">
        <f>VLOOKUP($A99,satpek!$B$20:$L$138,10,0)</f>
        <v>161788.88</v>
      </c>
      <c r="Q99" s="1571">
        <f t="shared" si="72"/>
        <v>5497958.3999999994</v>
      </c>
      <c r="R99" s="1571">
        <f t="shared" si="73"/>
        <v>6212692.9919999996</v>
      </c>
      <c r="S99" s="1574">
        <f t="shared" si="74"/>
        <v>1266178.5580000002</v>
      </c>
      <c r="V99" s="1575">
        <v>38.4</v>
      </c>
      <c r="W99" s="1575">
        <f t="shared" si="57"/>
        <v>0</v>
      </c>
      <c r="X99" s="1465" t="s">
        <v>1909</v>
      </c>
      <c r="AB99" s="1465"/>
      <c r="AC99" s="1465"/>
      <c r="AD99" s="1465"/>
      <c r="AE99" s="1466">
        <v>195923.91999999998</v>
      </c>
      <c r="AF99" s="1579">
        <f t="shared" si="58"/>
        <v>1161.6399999999849</v>
      </c>
    </row>
    <row r="100" spans="1:32" ht="21.95" customHeight="1" x14ac:dyDescent="0.2">
      <c r="B100" s="1653"/>
      <c r="C100" s="1654"/>
      <c r="D100" s="1633" t="s">
        <v>1792</v>
      </c>
      <c r="E100" s="1552"/>
      <c r="F100" s="1553"/>
      <c r="G100" s="1453"/>
      <c r="H100" s="1555"/>
      <c r="I100" s="1556"/>
      <c r="J100" s="1570"/>
      <c r="K100" s="1619"/>
      <c r="L100" s="1620"/>
      <c r="M100" s="1617"/>
      <c r="N100" s="1561"/>
      <c r="O100" s="1562"/>
      <c r="P100" s="1562"/>
      <c r="Q100" s="1563"/>
      <c r="R100" s="1564"/>
      <c r="S100" s="1565"/>
      <c r="V100" s="1575"/>
      <c r="W100" s="1575">
        <f t="shared" si="57"/>
        <v>0</v>
      </c>
      <c r="X100" s="1465" t="s">
        <v>1792</v>
      </c>
      <c r="AB100" s="1465"/>
      <c r="AC100" s="1465"/>
      <c r="AD100" s="1465"/>
      <c r="AE100" s="1466"/>
      <c r="AF100" s="1579">
        <f t="shared" si="58"/>
        <v>0</v>
      </c>
    </row>
    <row r="101" spans="1:32" ht="21.95" customHeight="1" x14ac:dyDescent="0.2">
      <c r="A101" s="1462">
        <f>satpek!$B$40</f>
        <v>21</v>
      </c>
      <c r="B101" s="1567">
        <v>1</v>
      </c>
      <c r="C101" s="1557"/>
      <c r="D101" s="1568" t="str">
        <f>VLOOKUP($A101,satpek!$B$20:$N$144,2,0)</f>
        <v>Membuat beton mutu f'c = 21,7 Mpa - K 250</v>
      </c>
      <c r="E101" s="1568"/>
      <c r="F101" s="1580"/>
      <c r="G101" s="1453">
        <f>'[3]B.VOL RAB'!Q172</f>
        <v>5.7059999999999986</v>
      </c>
      <c r="H101" s="788" t="str">
        <f>VLOOKUP($A101,satpek!$B$20:$N$144,7,0)</f>
        <v>m3</v>
      </c>
      <c r="I101" s="1569" t="str">
        <f>VLOOKUP($A101,satpek!$B$20:$N$144,5,0)</f>
        <v>A.4.1.1.8.</v>
      </c>
      <c r="J101" s="1570">
        <f>VLOOKUP($A101,satpek!$B$20:$N$144,6,0)</f>
        <v>1115753.29</v>
      </c>
      <c r="K101" s="1558"/>
      <c r="L101" s="1571">
        <f t="shared" ref="L101:L103" si="75">ROUND((G101*J101),2)</f>
        <v>6366488.2699999996</v>
      </c>
      <c r="M101" s="1617"/>
      <c r="N101" s="1572">
        <f>VLOOKUP($A101,satpek!$B$20:$L$138,8,0)</f>
        <v>0.93065078521121514</v>
      </c>
      <c r="O101" s="1573">
        <f>VLOOKUP($A101,satpek!$B$20:$L$138,9,0)</f>
        <v>918917.40999999992</v>
      </c>
      <c r="P101" s="1573">
        <f>VLOOKUP($A101,satpek!$B$20:$L$138,10,0)</f>
        <v>1038376.6732999999</v>
      </c>
      <c r="Q101" s="1571">
        <f t="shared" ref="Q101:Q103" si="76">O101*G101</f>
        <v>5243342.7414599983</v>
      </c>
      <c r="R101" s="1571">
        <f t="shared" ref="R101:R103" si="77">P101*G101</f>
        <v>5924977.2978497976</v>
      </c>
      <c r="S101" s="1574">
        <f t="shared" ref="S101:S103" si="78">L101-R101</f>
        <v>441510.97215020191</v>
      </c>
      <c r="V101" s="1575">
        <v>5.7059999999999986</v>
      </c>
      <c r="W101" s="1575">
        <f t="shared" si="57"/>
        <v>0</v>
      </c>
      <c r="X101" s="1465" t="s">
        <v>1905</v>
      </c>
      <c r="AB101" s="1465"/>
      <c r="AC101" s="1465"/>
      <c r="AD101" s="1465"/>
      <c r="AE101" s="1466">
        <v>1191397.42</v>
      </c>
      <c r="AF101" s="1579">
        <f t="shared" si="58"/>
        <v>75644.129999999888</v>
      </c>
    </row>
    <row r="102" spans="1:32" ht="21.95" customHeight="1" x14ac:dyDescent="0.2">
      <c r="A102" s="1462">
        <f>satpek!$B$41</f>
        <v>22</v>
      </c>
      <c r="B102" s="1567">
        <f>B101+1</f>
        <v>2</v>
      </c>
      <c r="C102" s="1557"/>
      <c r="D102" s="1568" t="str">
        <f>VLOOKUP($A102,satpek!$B$20:$N$144,2,0)</f>
        <v>Pembesian 1 kg dengan besi polos atau besi ulir</v>
      </c>
      <c r="E102" s="1568"/>
      <c r="F102" s="1580"/>
      <c r="G102" s="1453">
        <f>'[3]B.VOL RAB'!Q174</f>
        <v>1272.2671760379098</v>
      </c>
      <c r="H102" s="788" t="str">
        <f>VLOOKUP($A102,satpek!$B$20:$N$144,7,0)</f>
        <v>kg</v>
      </c>
      <c r="I102" s="1569" t="str">
        <f>VLOOKUP($A102,satpek!$B$20:$N$144,5,0)</f>
        <v>A.4.1.1.17.</v>
      </c>
      <c r="J102" s="1570">
        <f>VLOOKUP($A102,satpek!$B$20:$N$144,6,0)</f>
        <v>15603.94</v>
      </c>
      <c r="K102" s="1558"/>
      <c r="L102" s="1571">
        <f t="shared" si="75"/>
        <v>19852380.68</v>
      </c>
      <c r="M102" s="1617"/>
      <c r="N102" s="1572">
        <f>VLOOKUP($A102,satpek!$B$20:$L$138,8,0)</f>
        <v>0.46415793062521393</v>
      </c>
      <c r="O102" s="1573">
        <f>VLOOKUP($A102,satpek!$B$20:$L$138,9,0)</f>
        <v>7242.692500000001</v>
      </c>
      <c r="P102" s="1573">
        <f>VLOOKUP($A102,satpek!$B$20:$L$138,10,0)</f>
        <v>8184.2425250000015</v>
      </c>
      <c r="Q102" s="1571">
        <f t="shared" si="76"/>
        <v>9214639.9338859506</v>
      </c>
      <c r="R102" s="1571">
        <f t="shared" si="77"/>
        <v>10412543.125291124</v>
      </c>
      <c r="S102" s="1574">
        <f t="shared" si="78"/>
        <v>9439837.5547088757</v>
      </c>
      <c r="V102" s="1575">
        <v>1272.2671760379098</v>
      </c>
      <c r="W102" s="1575">
        <f t="shared" si="57"/>
        <v>0</v>
      </c>
      <c r="X102" s="1465" t="s">
        <v>420</v>
      </c>
      <c r="AB102" s="1465"/>
      <c r="AC102" s="1465"/>
      <c r="AD102" s="1465"/>
      <c r="AE102" s="1466">
        <v>15438.06</v>
      </c>
      <c r="AF102" s="1579">
        <f t="shared" si="58"/>
        <v>-165.88000000000102</v>
      </c>
    </row>
    <row r="103" spans="1:32" ht="21.95" customHeight="1" x14ac:dyDescent="0.2">
      <c r="A103" s="1462">
        <f>satpek!$B$45</f>
        <v>26</v>
      </c>
      <c r="B103" s="1567">
        <f>B102+1</f>
        <v>3</v>
      </c>
      <c r="C103" s="1557"/>
      <c r="D103" s="1568" t="str">
        <f>VLOOKUP($A103,satpek!$B$20:$N$144,2,0)</f>
        <v>Memasang bekisting untuk balok (2x pakai)</v>
      </c>
      <c r="E103" s="1568"/>
      <c r="F103" s="1580"/>
      <c r="G103" s="1453">
        <f>'[3]B.VOL RAB'!Q176</f>
        <v>95.09999999999998</v>
      </c>
      <c r="H103" s="788" t="str">
        <f>VLOOKUP($A103,satpek!$B$20:$N$144,7,0)</f>
        <v>m2</v>
      </c>
      <c r="I103" s="1569" t="str">
        <f>VLOOKUP($A103,satpek!$B$20:$N$144,5,0)</f>
        <v>A.4.1.1.23.</v>
      </c>
      <c r="J103" s="1570">
        <f>VLOOKUP($A103,satpek!$B$20:$N$144,6,0)</f>
        <v>194762.28</v>
      </c>
      <c r="K103" s="1558"/>
      <c r="L103" s="1571">
        <f t="shared" si="75"/>
        <v>18521892.829999998</v>
      </c>
      <c r="M103" s="1617"/>
      <c r="N103" s="1572">
        <f>VLOOKUP($A103,satpek!$B$20:$L$138,8,0)</f>
        <v>0.83069925038873027</v>
      </c>
      <c r="O103" s="1573">
        <f>VLOOKUP($A103,satpek!$B$20:$L$138,9,0)</f>
        <v>143176</v>
      </c>
      <c r="P103" s="1573">
        <f>VLOOKUP($A103,satpek!$B$20:$L$138,10,0)</f>
        <v>161788.88</v>
      </c>
      <c r="Q103" s="1571">
        <f t="shared" si="76"/>
        <v>13616037.599999998</v>
      </c>
      <c r="R103" s="1571">
        <f t="shared" si="77"/>
        <v>15386122.487999998</v>
      </c>
      <c r="S103" s="1574">
        <f t="shared" si="78"/>
        <v>3135770.3420000002</v>
      </c>
      <c r="V103" s="1575">
        <v>95.09999999999998</v>
      </c>
      <c r="W103" s="1575">
        <f t="shared" si="57"/>
        <v>0</v>
      </c>
      <c r="X103" s="1465" t="s">
        <v>1909</v>
      </c>
      <c r="AB103" s="1465"/>
      <c r="AC103" s="1465"/>
      <c r="AD103" s="1465"/>
      <c r="AE103" s="1466">
        <v>195923.91999999998</v>
      </c>
      <c r="AF103" s="1579">
        <f t="shared" si="58"/>
        <v>1161.6399999999849</v>
      </c>
    </row>
    <row r="104" spans="1:32" ht="21.95" customHeight="1" x14ac:dyDescent="0.2">
      <c r="B104" s="1567"/>
      <c r="C104" s="1557"/>
      <c r="D104" s="1568"/>
      <c r="E104" s="1568"/>
      <c r="F104" s="1580"/>
      <c r="G104" s="1453"/>
      <c r="H104" s="1647"/>
      <c r="I104" s="1569"/>
      <c r="J104" s="1570"/>
      <c r="K104" s="1457"/>
      <c r="L104" s="1571"/>
      <c r="M104" s="1617"/>
      <c r="N104" s="1648"/>
      <c r="O104" s="1649"/>
      <c r="P104" s="1649"/>
      <c r="Q104" s="1650"/>
      <c r="R104" s="1651"/>
      <c r="S104" s="1652"/>
      <c r="V104" s="1575"/>
      <c r="W104" s="1575">
        <f t="shared" si="57"/>
        <v>0</v>
      </c>
      <c r="AB104" s="1465"/>
      <c r="AC104" s="1465"/>
      <c r="AD104" s="1465"/>
      <c r="AE104" s="1466"/>
      <c r="AF104" s="1579">
        <f t="shared" si="58"/>
        <v>0</v>
      </c>
    </row>
    <row r="105" spans="1:32" ht="21.95" customHeight="1" x14ac:dyDescent="0.2">
      <c r="B105" s="1653"/>
      <c r="C105" s="1654"/>
      <c r="D105" s="1633" t="s">
        <v>1793</v>
      </c>
      <c r="E105" s="1552"/>
      <c r="F105" s="1553"/>
      <c r="G105" s="1453"/>
      <c r="H105" s="1555"/>
      <c r="I105" s="1556"/>
      <c r="J105" s="1570"/>
      <c r="K105" s="1619"/>
      <c r="L105" s="1620"/>
      <c r="M105" s="1617"/>
      <c r="N105" s="1561"/>
      <c r="O105" s="1562"/>
      <c r="P105" s="1562"/>
      <c r="Q105" s="1563"/>
      <c r="R105" s="1564"/>
      <c r="S105" s="1565"/>
      <c r="V105" s="1575"/>
      <c r="W105" s="1575">
        <f t="shared" si="57"/>
        <v>0</v>
      </c>
      <c r="X105" s="1465" t="s">
        <v>1793</v>
      </c>
      <c r="AB105" s="1465"/>
      <c r="AC105" s="1465"/>
      <c r="AD105" s="1465"/>
      <c r="AE105" s="1466"/>
      <c r="AF105" s="1579">
        <f t="shared" si="58"/>
        <v>0</v>
      </c>
    </row>
    <row r="106" spans="1:32" ht="21.95" customHeight="1" x14ac:dyDescent="0.2">
      <c r="B106" s="1653"/>
      <c r="C106" s="1654"/>
      <c r="D106" s="1633" t="s">
        <v>1794</v>
      </c>
      <c r="E106" s="1552"/>
      <c r="F106" s="1553"/>
      <c r="G106" s="1453"/>
      <c r="H106" s="1555"/>
      <c r="I106" s="1556"/>
      <c r="J106" s="1570"/>
      <c r="K106" s="1619"/>
      <c r="L106" s="1620"/>
      <c r="M106" s="1617"/>
      <c r="N106" s="1561"/>
      <c r="O106" s="1562"/>
      <c r="P106" s="1562"/>
      <c r="Q106" s="1563"/>
      <c r="R106" s="1564"/>
      <c r="S106" s="1565"/>
      <c r="V106" s="1575"/>
      <c r="W106" s="1575">
        <f t="shared" si="57"/>
        <v>0</v>
      </c>
      <c r="X106" s="1465" t="s">
        <v>1794</v>
      </c>
      <c r="AB106" s="1465"/>
      <c r="AC106" s="1465"/>
      <c r="AD106" s="1465"/>
      <c r="AE106" s="1466"/>
      <c r="AF106" s="1579">
        <f t="shared" si="58"/>
        <v>0</v>
      </c>
    </row>
    <row r="107" spans="1:32" ht="21.95" customHeight="1" x14ac:dyDescent="0.2">
      <c r="A107" s="1462">
        <f>satpek!$B$40</f>
        <v>21</v>
      </c>
      <c r="B107" s="1567">
        <v>1</v>
      </c>
      <c r="C107" s="1557"/>
      <c r="D107" s="1568" t="str">
        <f>VLOOKUP($A107,satpek!$B$20:$N$144,2,0)</f>
        <v>Membuat beton mutu f'c = 21,7 Mpa - K 250</v>
      </c>
      <c r="E107" s="1568"/>
      <c r="F107" s="1580"/>
      <c r="G107" s="1453">
        <f>'[3]B.VOL RAB'!Q181</f>
        <v>74.461199999999977</v>
      </c>
      <c r="H107" s="788" t="str">
        <f>VLOOKUP($A107,satpek!$B$20:$N$144,7,0)</f>
        <v>m3</v>
      </c>
      <c r="I107" s="1569" t="str">
        <f>VLOOKUP($A107,satpek!$B$20:$N$144,5,0)</f>
        <v>A.4.1.1.8.</v>
      </c>
      <c r="J107" s="1570">
        <f>VLOOKUP($A107,satpek!$B$20:$N$144,6,0)</f>
        <v>1115753.29</v>
      </c>
      <c r="K107" s="1558"/>
      <c r="L107" s="1571">
        <f t="shared" ref="L107:L109" si="79">ROUND((G107*J107),2)</f>
        <v>83080328.879999995</v>
      </c>
      <c r="M107" s="1617"/>
      <c r="N107" s="1572">
        <f>VLOOKUP($A107,satpek!$B$20:$L$138,8,0)</f>
        <v>0.93065078521121514</v>
      </c>
      <c r="O107" s="1573">
        <f>VLOOKUP($A107,satpek!$B$20:$L$138,9,0)</f>
        <v>918917.40999999992</v>
      </c>
      <c r="P107" s="1573">
        <f>VLOOKUP($A107,satpek!$B$20:$L$138,10,0)</f>
        <v>1038376.6732999999</v>
      </c>
      <c r="Q107" s="1571">
        <f t="shared" ref="Q107:Q109" si="80">O107*G107</f>
        <v>68423693.049491972</v>
      </c>
      <c r="R107" s="1571">
        <f t="shared" ref="R107:R109" si="81">P107*G107</f>
        <v>77318773.145925924</v>
      </c>
      <c r="S107" s="1574">
        <f t="shared" ref="S107:S109" si="82">L107-R107</f>
        <v>5761555.734074071</v>
      </c>
      <c r="V107" s="1575">
        <v>74.461199999999977</v>
      </c>
      <c r="W107" s="1575">
        <f t="shared" si="57"/>
        <v>0</v>
      </c>
      <c r="X107" s="1465" t="s">
        <v>1905</v>
      </c>
      <c r="AB107" s="1465"/>
      <c r="AC107" s="1465"/>
      <c r="AD107" s="1465"/>
      <c r="AE107" s="1466">
        <v>1191397.42</v>
      </c>
      <c r="AF107" s="1579">
        <f t="shared" si="58"/>
        <v>75644.129999999888</v>
      </c>
    </row>
    <row r="108" spans="1:32" ht="21.95" customHeight="1" x14ac:dyDescent="0.2">
      <c r="A108" s="1462">
        <f>satpek!$B$41</f>
        <v>22</v>
      </c>
      <c r="B108" s="1567">
        <f>B107+1</f>
        <v>2</v>
      </c>
      <c r="C108" s="1557"/>
      <c r="D108" s="1568" t="str">
        <f>VLOOKUP($A108,satpek!$B$20:$N$144,2,0)</f>
        <v>Pembesian 1 kg dengan besi polos atau besi ulir</v>
      </c>
      <c r="E108" s="1568"/>
      <c r="F108" s="1580"/>
      <c r="G108" s="1453">
        <f>'[3]B.VOL RAB'!Q183</f>
        <v>6158.315468184197</v>
      </c>
      <c r="H108" s="788" t="str">
        <f>VLOOKUP($A108,satpek!$B$20:$N$144,7,0)</f>
        <v>kg</v>
      </c>
      <c r="I108" s="1569" t="str">
        <f>VLOOKUP($A108,satpek!$B$20:$N$144,5,0)</f>
        <v>A.4.1.1.17.</v>
      </c>
      <c r="J108" s="1570">
        <f>VLOOKUP($A108,satpek!$B$20:$N$144,6,0)</f>
        <v>15603.94</v>
      </c>
      <c r="K108" s="1558"/>
      <c r="L108" s="1571">
        <f t="shared" si="79"/>
        <v>96093985.069999993</v>
      </c>
      <c r="M108" s="1617"/>
      <c r="N108" s="1572">
        <f>VLOOKUP($A108,satpek!$B$20:$L$138,8,0)</f>
        <v>0.46415793062521393</v>
      </c>
      <c r="O108" s="1573">
        <f>VLOOKUP($A108,satpek!$B$20:$L$138,9,0)</f>
        <v>7242.692500000001</v>
      </c>
      <c r="P108" s="1573">
        <f>VLOOKUP($A108,satpek!$B$20:$L$138,10,0)</f>
        <v>8184.2425250000015</v>
      </c>
      <c r="Q108" s="1571">
        <f t="shared" si="80"/>
        <v>44602785.254051678</v>
      </c>
      <c r="R108" s="1571">
        <f t="shared" si="81"/>
        <v>50401147.3370784</v>
      </c>
      <c r="S108" s="1574">
        <f t="shared" si="82"/>
        <v>45692837.732921593</v>
      </c>
      <c r="V108" s="1575">
        <v>6158.315468184197</v>
      </c>
      <c r="W108" s="1575">
        <f t="shared" si="57"/>
        <v>0</v>
      </c>
      <c r="X108" s="1465" t="s">
        <v>420</v>
      </c>
      <c r="AB108" s="1465"/>
      <c r="AC108" s="1465"/>
      <c r="AD108" s="1465"/>
      <c r="AE108" s="1466">
        <v>15438.06</v>
      </c>
      <c r="AF108" s="1579">
        <f t="shared" si="58"/>
        <v>-165.88000000000102</v>
      </c>
    </row>
    <row r="109" spans="1:32" ht="21.95" customHeight="1" x14ac:dyDescent="0.2">
      <c r="A109" s="1462">
        <f>satpek!B46</f>
        <v>27</v>
      </c>
      <c r="B109" s="1567">
        <f>B108+1</f>
        <v>3</v>
      </c>
      <c r="C109" s="1557"/>
      <c r="D109" s="1568" t="str">
        <f>VLOOKUP($A109,satpek!$B$20:$N$144,2,0)</f>
        <v>Memasang bekisting untuk lantai (2x pakai)</v>
      </c>
      <c r="E109" s="1568"/>
      <c r="F109" s="1580"/>
      <c r="G109" s="1453">
        <f>'[3]B.VOL RAB'!Q187</f>
        <v>732.87119999999982</v>
      </c>
      <c r="H109" s="788" t="str">
        <f>VLOOKUP($A109,satpek!$B$20:$N$144,7,0)</f>
        <v>m2</v>
      </c>
      <c r="I109" s="1569" t="str">
        <f>VLOOKUP($A109,satpek!$B$20:$N$144,5,0)</f>
        <v>A.4.1.1.24</v>
      </c>
      <c r="J109" s="1570">
        <f>VLOOKUP($A109,satpek!$B$20:$N$144,6,0)</f>
        <v>242900.28</v>
      </c>
      <c r="K109" s="1558"/>
      <c r="L109" s="1571">
        <f t="shared" si="79"/>
        <v>178014619.68000001</v>
      </c>
      <c r="M109" s="1617"/>
      <c r="N109" s="1572">
        <f>VLOOKUP($A109,satpek!$B$20:$L$138,8,0)</f>
        <v>0.76655687675617334</v>
      </c>
      <c r="O109" s="1573">
        <f>VLOOKUP($A109,satpek!$B$20:$L$138,9,0)</f>
        <v>164776</v>
      </c>
      <c r="P109" s="1573">
        <f>VLOOKUP($A109,satpek!$B$20:$L$138,10,0)</f>
        <v>186196.88</v>
      </c>
      <c r="Q109" s="1571">
        <f t="shared" si="80"/>
        <v>120759584.85119997</v>
      </c>
      <c r="R109" s="1571">
        <f t="shared" si="81"/>
        <v>136458330.88185596</v>
      </c>
      <c r="S109" s="1574">
        <f t="shared" si="82"/>
        <v>41556288.798144042</v>
      </c>
      <c r="V109" s="1575">
        <v>732.87119999999982</v>
      </c>
      <c r="W109" s="1575">
        <f t="shared" si="57"/>
        <v>0</v>
      </c>
      <c r="X109" s="1465" t="s">
        <v>1910</v>
      </c>
      <c r="AB109" s="1465"/>
      <c r="AC109" s="1465"/>
      <c r="AD109" s="1465"/>
      <c r="AE109" s="1466">
        <v>220331.91999999998</v>
      </c>
      <c r="AF109" s="1579">
        <f t="shared" si="58"/>
        <v>-22568.360000000015</v>
      </c>
    </row>
    <row r="110" spans="1:32" ht="21.95" customHeight="1" x14ac:dyDescent="0.2">
      <c r="B110" s="1653"/>
      <c r="C110" s="1654"/>
      <c r="D110" s="1633" t="s">
        <v>1795</v>
      </c>
      <c r="E110" s="1552"/>
      <c r="F110" s="1553"/>
      <c r="G110" s="1453"/>
      <c r="H110" s="1555"/>
      <c r="I110" s="1556"/>
      <c r="J110" s="1570"/>
      <c r="K110" s="1619"/>
      <c r="L110" s="1620"/>
      <c r="M110" s="1617"/>
      <c r="N110" s="1561"/>
      <c r="O110" s="1562"/>
      <c r="P110" s="1562"/>
      <c r="Q110" s="1563"/>
      <c r="R110" s="1564"/>
      <c r="S110" s="1565"/>
      <c r="V110" s="1575"/>
      <c r="W110" s="1575">
        <f t="shared" si="57"/>
        <v>0</v>
      </c>
      <c r="X110" s="1465" t="s">
        <v>1795</v>
      </c>
      <c r="AB110" s="1465"/>
      <c r="AC110" s="1465"/>
      <c r="AD110" s="1465"/>
      <c r="AE110" s="1466"/>
      <c r="AF110" s="1579">
        <f t="shared" si="58"/>
        <v>0</v>
      </c>
    </row>
    <row r="111" spans="1:32" ht="21.95" customHeight="1" x14ac:dyDescent="0.2">
      <c r="A111" s="1462">
        <f>satpek!$B$40</f>
        <v>21</v>
      </c>
      <c r="B111" s="1567">
        <v>1</v>
      </c>
      <c r="C111" s="1557"/>
      <c r="D111" s="1568" t="str">
        <f>VLOOKUP($A111,satpek!$B$20:$N$144,2,0)</f>
        <v>Membuat beton mutu f'c = 21,7 Mpa - K 250</v>
      </c>
      <c r="E111" s="1568"/>
      <c r="F111" s="1580"/>
      <c r="G111" s="1453">
        <f>'[3]B.VOL RAB'!Q191</f>
        <v>1.7711999999999999</v>
      </c>
      <c r="H111" s="788" t="str">
        <f>VLOOKUP($A111,satpek!$B$20:$N$144,7,0)</f>
        <v>m3</v>
      </c>
      <c r="I111" s="1569" t="str">
        <f>VLOOKUP($A111,satpek!$B$20:$N$144,5,0)</f>
        <v>A.4.1.1.8.</v>
      </c>
      <c r="J111" s="1570">
        <f>VLOOKUP($A111,satpek!$B$20:$N$144,6,0)</f>
        <v>1115753.29</v>
      </c>
      <c r="K111" s="1558"/>
      <c r="L111" s="1571">
        <f t="shared" ref="L111:L113" si="83">ROUND((G111*J111),2)</f>
        <v>1976222.23</v>
      </c>
      <c r="M111" s="1617"/>
      <c r="N111" s="1572">
        <f>VLOOKUP($A111,satpek!$B$20:$L$138,8,0)</f>
        <v>0.93065078521121514</v>
      </c>
      <c r="O111" s="1573">
        <f>VLOOKUP($A111,satpek!$B$20:$L$138,9,0)</f>
        <v>918917.40999999992</v>
      </c>
      <c r="P111" s="1573">
        <f>VLOOKUP($A111,satpek!$B$20:$L$138,10,0)</f>
        <v>1038376.6732999999</v>
      </c>
      <c r="Q111" s="1571">
        <f t="shared" ref="Q111:Q113" si="84">O111*G111</f>
        <v>1627586.5165919997</v>
      </c>
      <c r="R111" s="1571">
        <f t="shared" ref="R111:R113" si="85">P111*G111</f>
        <v>1839172.7637489596</v>
      </c>
      <c r="S111" s="1574">
        <f t="shared" ref="S111:S113" si="86">L111-R111</f>
        <v>137049.46625104034</v>
      </c>
      <c r="V111" s="1575">
        <v>1.7711999999999999</v>
      </c>
      <c r="W111" s="1575">
        <f t="shared" si="57"/>
        <v>0</v>
      </c>
      <c r="X111" s="1465" t="s">
        <v>1905</v>
      </c>
      <c r="AB111" s="1465"/>
      <c r="AC111" s="1465"/>
      <c r="AD111" s="1465"/>
      <c r="AE111" s="1466">
        <v>1191397.42</v>
      </c>
      <c r="AF111" s="1579">
        <f t="shared" si="58"/>
        <v>75644.129999999888</v>
      </c>
    </row>
    <row r="112" spans="1:32" ht="21.95" customHeight="1" x14ac:dyDescent="0.2">
      <c r="A112" s="1462">
        <f>satpek!$B$41</f>
        <v>22</v>
      </c>
      <c r="B112" s="1567">
        <f>B111+1</f>
        <v>2</v>
      </c>
      <c r="C112" s="1557"/>
      <c r="D112" s="1568" t="str">
        <f>VLOOKUP($A112,satpek!$B$20:$N$144,2,0)</f>
        <v>Pembesian 1 kg dengan besi polos atau besi ulir</v>
      </c>
      <c r="E112" s="1568"/>
      <c r="F112" s="1580"/>
      <c r="G112" s="1453">
        <f>'[3]B.VOL RAB'!Q194</f>
        <v>210.41193788536071</v>
      </c>
      <c r="H112" s="788" t="str">
        <f>VLOOKUP($A112,satpek!$B$20:$N$144,7,0)</f>
        <v>kg</v>
      </c>
      <c r="I112" s="1569" t="str">
        <f>VLOOKUP($A112,satpek!$B$20:$N$144,5,0)</f>
        <v>A.4.1.1.17.</v>
      </c>
      <c r="J112" s="1570">
        <f>VLOOKUP($A112,satpek!$B$20:$N$144,6,0)</f>
        <v>15603.94</v>
      </c>
      <c r="K112" s="1558"/>
      <c r="L112" s="1571">
        <f t="shared" si="83"/>
        <v>3283255.25</v>
      </c>
      <c r="M112" s="1617"/>
      <c r="N112" s="1572">
        <f>VLOOKUP($A112,satpek!$B$20:$L$138,8,0)</f>
        <v>0.46415793062521393</v>
      </c>
      <c r="O112" s="1573">
        <f>VLOOKUP($A112,satpek!$B$20:$L$138,9,0)</f>
        <v>7242.692500000001</v>
      </c>
      <c r="P112" s="1573">
        <f>VLOOKUP($A112,satpek!$B$20:$L$138,10,0)</f>
        <v>8184.2425250000015</v>
      </c>
      <c r="Q112" s="1571">
        <f t="shared" si="84"/>
        <v>1523948.9644327681</v>
      </c>
      <c r="R112" s="1571">
        <f t="shared" si="85"/>
        <v>1722062.329809028</v>
      </c>
      <c r="S112" s="1574">
        <f t="shared" si="86"/>
        <v>1561192.920190972</v>
      </c>
      <c r="V112" s="1575">
        <v>210.41193788536071</v>
      </c>
      <c r="W112" s="1575">
        <f t="shared" si="57"/>
        <v>0</v>
      </c>
      <c r="X112" s="1465" t="s">
        <v>420</v>
      </c>
      <c r="AB112" s="1465"/>
      <c r="AC112" s="1465"/>
      <c r="AD112" s="1465"/>
      <c r="AE112" s="1466">
        <v>15438.06</v>
      </c>
      <c r="AF112" s="1579">
        <f t="shared" si="58"/>
        <v>-165.88000000000102</v>
      </c>
    </row>
    <row r="113" spans="1:32" ht="21.95" customHeight="1" x14ac:dyDescent="0.2">
      <c r="A113" s="1462">
        <f>satpek!$B$46</f>
        <v>27</v>
      </c>
      <c r="B113" s="1567">
        <f>B112+1</f>
        <v>3</v>
      </c>
      <c r="C113" s="1557"/>
      <c r="D113" s="1568" t="str">
        <f>VLOOKUP($A113,satpek!$B$20:$N$144,2,0)</f>
        <v>Memasang bekisting untuk lantai (2x pakai)</v>
      </c>
      <c r="E113" s="1568"/>
      <c r="F113" s="1580"/>
      <c r="G113" s="1453">
        <f>'[3]B.VOL RAB'!Q197</f>
        <v>18.216000000000001</v>
      </c>
      <c r="H113" s="788" t="str">
        <f>VLOOKUP($A113,satpek!$B$20:$N$144,7,0)</f>
        <v>m2</v>
      </c>
      <c r="I113" s="1569" t="str">
        <f>VLOOKUP($A113,satpek!$B$20:$N$144,5,0)</f>
        <v>A.4.1.1.24</v>
      </c>
      <c r="J113" s="1570">
        <f>VLOOKUP($A113,satpek!$B$20:$N$144,6,0)</f>
        <v>242900.28</v>
      </c>
      <c r="K113" s="1558"/>
      <c r="L113" s="1571">
        <f t="shared" si="83"/>
        <v>4424671.5</v>
      </c>
      <c r="M113" s="1617"/>
      <c r="N113" s="1572">
        <f>VLOOKUP($A113,satpek!$B$20:$L$138,8,0)</f>
        <v>0.76655687675617334</v>
      </c>
      <c r="O113" s="1573">
        <f>VLOOKUP($A113,satpek!$B$20:$L$138,9,0)</f>
        <v>164776</v>
      </c>
      <c r="P113" s="1573">
        <f>VLOOKUP($A113,satpek!$B$20:$L$138,10,0)</f>
        <v>186196.88</v>
      </c>
      <c r="Q113" s="1571">
        <f t="shared" si="84"/>
        <v>3001559.6160000004</v>
      </c>
      <c r="R113" s="1571">
        <f t="shared" si="85"/>
        <v>3391762.3660800001</v>
      </c>
      <c r="S113" s="1574">
        <f t="shared" si="86"/>
        <v>1032909.1339199999</v>
      </c>
      <c r="V113" s="1575">
        <v>18.216000000000001</v>
      </c>
      <c r="W113" s="1575">
        <f t="shared" si="57"/>
        <v>0</v>
      </c>
      <c r="X113" s="1465" t="s">
        <v>1910</v>
      </c>
      <c r="AB113" s="1465"/>
      <c r="AC113" s="1465"/>
      <c r="AD113" s="1465"/>
      <c r="AE113" s="1466">
        <v>220331.91999999998</v>
      </c>
      <c r="AF113" s="1579">
        <f t="shared" si="58"/>
        <v>-22568.360000000015</v>
      </c>
    </row>
    <row r="114" spans="1:32" ht="21.95" customHeight="1" x14ac:dyDescent="0.2">
      <c r="B114" s="1653"/>
      <c r="C114" s="1654"/>
      <c r="D114" s="1633" t="s">
        <v>1796</v>
      </c>
      <c r="E114" s="1552"/>
      <c r="F114" s="1553"/>
      <c r="G114" s="1453"/>
      <c r="H114" s="1555"/>
      <c r="I114" s="1556"/>
      <c r="J114" s="1570"/>
      <c r="K114" s="1619"/>
      <c r="L114" s="1620"/>
      <c r="M114" s="1617"/>
      <c r="N114" s="1561"/>
      <c r="O114" s="1562"/>
      <c r="P114" s="1562"/>
      <c r="Q114" s="1563"/>
      <c r="R114" s="1564"/>
      <c r="S114" s="1565"/>
      <c r="V114" s="1575"/>
      <c r="W114" s="1575">
        <f t="shared" si="57"/>
        <v>0</v>
      </c>
      <c r="X114" s="1465" t="s">
        <v>1796</v>
      </c>
      <c r="AB114" s="1465"/>
      <c r="AC114" s="1465"/>
      <c r="AD114" s="1465"/>
      <c r="AE114" s="1466"/>
      <c r="AF114" s="1579">
        <f t="shared" si="58"/>
        <v>0</v>
      </c>
    </row>
    <row r="115" spans="1:32" ht="21.95" customHeight="1" x14ac:dyDescent="0.2">
      <c r="A115" s="1462">
        <f>satpek!$B$40</f>
        <v>21</v>
      </c>
      <c r="B115" s="1567">
        <v>1</v>
      </c>
      <c r="C115" s="1557"/>
      <c r="D115" s="1568" t="str">
        <f>VLOOKUP($A115,satpek!$B$20:$N$144,2,0)</f>
        <v>Membuat beton mutu f'c = 21,7 Mpa - K 250</v>
      </c>
      <c r="E115" s="1568"/>
      <c r="F115" s="1580"/>
      <c r="G115" s="1453">
        <f>'[3]B.VOL RAB'!Q201</f>
        <v>9.516</v>
      </c>
      <c r="H115" s="788" t="str">
        <f>VLOOKUP($A115,satpek!$B$20:$N$144,7,0)</f>
        <v>m3</v>
      </c>
      <c r="I115" s="1569" t="str">
        <f>VLOOKUP($A115,satpek!$B$20:$N$144,5,0)</f>
        <v>A.4.1.1.8.</v>
      </c>
      <c r="J115" s="1570">
        <f>VLOOKUP($A115,satpek!$B$20:$N$144,6,0)</f>
        <v>1115753.29</v>
      </c>
      <c r="K115" s="1558"/>
      <c r="L115" s="1571">
        <f t="shared" ref="L115:L117" si="87">ROUND((G115*J115),2)</f>
        <v>10617508.310000001</v>
      </c>
      <c r="M115" s="1617"/>
      <c r="N115" s="1572">
        <f>VLOOKUP($A115,satpek!$B$20:$L$138,8,0)</f>
        <v>0.93065078521121514</v>
      </c>
      <c r="O115" s="1573">
        <f>VLOOKUP($A115,satpek!$B$20:$L$138,9,0)</f>
        <v>918917.40999999992</v>
      </c>
      <c r="P115" s="1573">
        <f>VLOOKUP($A115,satpek!$B$20:$L$138,10,0)</f>
        <v>1038376.6732999999</v>
      </c>
      <c r="Q115" s="1571">
        <f t="shared" ref="Q115:Q117" si="88">O115*G115</f>
        <v>8744418.0735599995</v>
      </c>
      <c r="R115" s="1571">
        <f t="shared" ref="R115:R117" si="89">P115*G115</f>
        <v>9881192.423122799</v>
      </c>
      <c r="S115" s="1574">
        <f t="shared" ref="S115:S117" si="90">L115-R115</f>
        <v>736315.8868772015</v>
      </c>
      <c r="V115" s="1575">
        <v>9.516</v>
      </c>
      <c r="W115" s="1575">
        <f t="shared" si="57"/>
        <v>0</v>
      </c>
      <c r="X115" s="1465" t="s">
        <v>1905</v>
      </c>
      <c r="AB115" s="1465"/>
      <c r="AC115" s="1465"/>
      <c r="AD115" s="1465"/>
      <c r="AE115" s="1466">
        <v>1191397.42</v>
      </c>
      <c r="AF115" s="1579">
        <f t="shared" si="58"/>
        <v>75644.129999999888</v>
      </c>
    </row>
    <row r="116" spans="1:32" ht="21.95" customHeight="1" x14ac:dyDescent="0.2">
      <c r="A116" s="1462">
        <f>satpek!$B$41</f>
        <v>22</v>
      </c>
      <c r="B116" s="1567">
        <f>B115+1</f>
        <v>2</v>
      </c>
      <c r="C116" s="1557"/>
      <c r="D116" s="1568" t="str">
        <f>VLOOKUP($A116,satpek!$B$20:$N$144,2,0)</f>
        <v>Pembesian 1 kg dengan besi polos atau besi ulir</v>
      </c>
      <c r="E116" s="1568"/>
      <c r="F116" s="1580"/>
      <c r="G116" s="1453">
        <f>'[3]B.VOL RAB'!Q203</f>
        <v>1212.5413331559116</v>
      </c>
      <c r="H116" s="788" t="str">
        <f>VLOOKUP($A116,satpek!$B$20:$N$144,7,0)</f>
        <v>kg</v>
      </c>
      <c r="I116" s="1569" t="str">
        <f>VLOOKUP($A116,satpek!$B$20:$N$144,5,0)</f>
        <v>A.4.1.1.17.</v>
      </c>
      <c r="J116" s="1570">
        <f>VLOOKUP($A116,satpek!$B$20:$N$144,6,0)</f>
        <v>15603.94</v>
      </c>
      <c r="K116" s="1558"/>
      <c r="L116" s="1571">
        <f t="shared" si="87"/>
        <v>18920422.210000001</v>
      </c>
      <c r="M116" s="1617"/>
      <c r="N116" s="1572">
        <f>VLOOKUP($A116,satpek!$B$20:$L$138,8,0)</f>
        <v>0.46415793062521393</v>
      </c>
      <c r="O116" s="1573">
        <f>VLOOKUP($A116,satpek!$B$20:$L$138,9,0)</f>
        <v>7242.692500000001</v>
      </c>
      <c r="P116" s="1573">
        <f>VLOOKUP($A116,satpek!$B$20:$L$138,10,0)</f>
        <v>8184.2425250000015</v>
      </c>
      <c r="Q116" s="1571">
        <f t="shared" si="88"/>
        <v>8782064.0195883233</v>
      </c>
      <c r="R116" s="1571">
        <f t="shared" si="89"/>
        <v>9923732.3421348054</v>
      </c>
      <c r="S116" s="1574">
        <f t="shared" si="90"/>
        <v>8996689.8678651955</v>
      </c>
      <c r="V116" s="1575">
        <v>1212.5413331559116</v>
      </c>
      <c r="W116" s="1575">
        <f t="shared" si="57"/>
        <v>0</v>
      </c>
      <c r="X116" s="1465" t="s">
        <v>420</v>
      </c>
      <c r="AB116" s="1465"/>
      <c r="AC116" s="1465"/>
      <c r="AD116" s="1465"/>
      <c r="AE116" s="1466">
        <v>15438.06</v>
      </c>
      <c r="AF116" s="1579">
        <f t="shared" si="58"/>
        <v>-165.88000000000102</v>
      </c>
    </row>
    <row r="117" spans="1:32" ht="21.95" customHeight="1" x14ac:dyDescent="0.2">
      <c r="A117" s="1462">
        <f>satpek!$B$46</f>
        <v>27</v>
      </c>
      <c r="B117" s="1567">
        <f>B116+1</f>
        <v>3</v>
      </c>
      <c r="C117" s="1557"/>
      <c r="D117" s="1568" t="str">
        <f>VLOOKUP($A117,satpek!$B$20:$N$144,2,0)</f>
        <v>Memasang bekisting untuk lantai (2x pakai)</v>
      </c>
      <c r="E117" s="1568"/>
      <c r="F117" s="1580"/>
      <c r="G117" s="1453">
        <f>'[3]B.VOL RAB'!Q207</f>
        <v>108.73599999999999</v>
      </c>
      <c r="H117" s="788" t="str">
        <f>VLOOKUP($A117,satpek!$B$20:$N$144,7,0)</f>
        <v>m2</v>
      </c>
      <c r="I117" s="1569" t="str">
        <f>VLOOKUP($A117,satpek!$B$20:$N$144,5,0)</f>
        <v>A.4.1.1.24</v>
      </c>
      <c r="J117" s="1570">
        <f>VLOOKUP($A117,satpek!$B$20:$N$144,6,0)</f>
        <v>242900.28</v>
      </c>
      <c r="K117" s="1558"/>
      <c r="L117" s="1571">
        <f t="shared" si="87"/>
        <v>26412004.850000001</v>
      </c>
      <c r="M117" s="1617"/>
      <c r="N117" s="1572">
        <f>VLOOKUP($A117,satpek!$B$20:$L$138,8,0)</f>
        <v>0.76655687675617334</v>
      </c>
      <c r="O117" s="1573">
        <f>VLOOKUP($A117,satpek!$B$20:$L$138,9,0)</f>
        <v>164776</v>
      </c>
      <c r="P117" s="1573">
        <f>VLOOKUP($A117,satpek!$B$20:$L$138,10,0)</f>
        <v>186196.88</v>
      </c>
      <c r="Q117" s="1571">
        <f t="shared" si="88"/>
        <v>17917083.136</v>
      </c>
      <c r="R117" s="1571">
        <f t="shared" si="89"/>
        <v>20246303.94368</v>
      </c>
      <c r="S117" s="1574">
        <f t="shared" si="90"/>
        <v>6165700.9063200019</v>
      </c>
      <c r="V117" s="1575">
        <v>108.73599999999999</v>
      </c>
      <c r="W117" s="1575">
        <f t="shared" si="57"/>
        <v>0</v>
      </c>
      <c r="X117" s="1465" t="s">
        <v>1910</v>
      </c>
      <c r="AB117" s="1465"/>
      <c r="AC117" s="1465"/>
      <c r="AD117" s="1465"/>
      <c r="AE117" s="1466">
        <v>220331.91999999998</v>
      </c>
      <c r="AF117" s="1579">
        <f t="shared" si="58"/>
        <v>-22568.360000000015</v>
      </c>
    </row>
    <row r="118" spans="1:32" ht="21.95" customHeight="1" x14ac:dyDescent="0.2">
      <c r="B118" s="1653"/>
      <c r="C118" s="1654"/>
      <c r="D118" s="1633" t="s">
        <v>1797</v>
      </c>
      <c r="E118" s="1552"/>
      <c r="F118" s="1553"/>
      <c r="G118" s="1453"/>
      <c r="H118" s="1555"/>
      <c r="I118" s="1556"/>
      <c r="J118" s="1570"/>
      <c r="K118" s="1619"/>
      <c r="L118" s="1620"/>
      <c r="M118" s="1617"/>
      <c r="N118" s="1561"/>
      <c r="O118" s="1562"/>
      <c r="P118" s="1562"/>
      <c r="Q118" s="1563"/>
      <c r="R118" s="1564"/>
      <c r="S118" s="1565"/>
      <c r="V118" s="1575"/>
      <c r="W118" s="1575">
        <f t="shared" si="57"/>
        <v>0</v>
      </c>
      <c r="X118" s="1465" t="s">
        <v>1797</v>
      </c>
      <c r="AB118" s="1465"/>
      <c r="AC118" s="1465"/>
      <c r="AD118" s="1465"/>
      <c r="AE118" s="1466"/>
      <c r="AF118" s="1579">
        <f t="shared" si="58"/>
        <v>0</v>
      </c>
    </row>
    <row r="119" spans="1:32" ht="21.95" customHeight="1" x14ac:dyDescent="0.2">
      <c r="A119" s="1462">
        <f>satpek!$B$40</f>
        <v>21</v>
      </c>
      <c r="B119" s="1567">
        <v>1</v>
      </c>
      <c r="C119" s="1557"/>
      <c r="D119" s="1568" t="str">
        <f>VLOOKUP($A119,satpek!$B$20:$N$144,2,0)</f>
        <v>Membuat beton mutu f'c = 21,7 Mpa - K 250</v>
      </c>
      <c r="E119" s="1568"/>
      <c r="F119" s="1580"/>
      <c r="G119" s="1453">
        <f>'[3]B.VOL RAB'!Q210</f>
        <v>9.3940000000000001</v>
      </c>
      <c r="H119" s="788" t="str">
        <f>VLOOKUP($A119,satpek!$B$20:$N$144,7,0)</f>
        <v>m3</v>
      </c>
      <c r="I119" s="1569" t="str">
        <f>VLOOKUP($A119,satpek!$B$20:$N$144,5,0)</f>
        <v>A.4.1.1.8.</v>
      </c>
      <c r="J119" s="1570">
        <f>VLOOKUP($A119,satpek!$B$20:$N$144,6,0)</f>
        <v>1115753.29</v>
      </c>
      <c r="K119" s="1558"/>
      <c r="L119" s="1571">
        <f t="shared" ref="L119:L121" si="91">ROUND((G119*J119),2)</f>
        <v>10481386.41</v>
      </c>
      <c r="M119" s="1617"/>
      <c r="N119" s="1572">
        <f>VLOOKUP($A119,satpek!$B$20:$L$138,8,0)</f>
        <v>0.93065078521121514</v>
      </c>
      <c r="O119" s="1573">
        <f>VLOOKUP($A119,satpek!$B$20:$L$138,9,0)</f>
        <v>918917.40999999992</v>
      </c>
      <c r="P119" s="1573">
        <f>VLOOKUP($A119,satpek!$B$20:$L$138,10,0)</f>
        <v>1038376.6732999999</v>
      </c>
      <c r="Q119" s="1571">
        <f t="shared" ref="Q119:Q121" si="92">O119*G119</f>
        <v>8632310.1495399997</v>
      </c>
      <c r="R119" s="1571">
        <f t="shared" ref="R119:R121" si="93">P119*G119</f>
        <v>9754510.4689801987</v>
      </c>
      <c r="S119" s="1574">
        <f t="shared" ref="S119:S121" si="94">L119-R119</f>
        <v>726875.94101980142</v>
      </c>
      <c r="V119" s="1575">
        <v>9.3940000000000001</v>
      </c>
      <c r="W119" s="1575">
        <f t="shared" si="57"/>
        <v>0</v>
      </c>
      <c r="X119" s="1465" t="s">
        <v>1905</v>
      </c>
      <c r="AB119" s="1465"/>
      <c r="AC119" s="1465"/>
      <c r="AD119" s="1465"/>
      <c r="AE119" s="1466">
        <v>1191397.42</v>
      </c>
      <c r="AF119" s="1579">
        <f t="shared" si="58"/>
        <v>75644.129999999888</v>
      </c>
    </row>
    <row r="120" spans="1:32" ht="21.95" customHeight="1" x14ac:dyDescent="0.2">
      <c r="A120" s="1462">
        <f>satpek!$B$41</f>
        <v>22</v>
      </c>
      <c r="B120" s="1567">
        <f>B119+1</f>
        <v>2</v>
      </c>
      <c r="C120" s="1557"/>
      <c r="D120" s="1568" t="str">
        <f>VLOOKUP($A120,satpek!$B$20:$N$144,2,0)</f>
        <v>Pembesian 1 kg dengan besi polos atau besi ulir</v>
      </c>
      <c r="E120" s="1568"/>
      <c r="F120" s="1580"/>
      <c r="G120" s="1453">
        <f>'[3]B.VOL RAB'!Q212</f>
        <v>595.16096804676351</v>
      </c>
      <c r="H120" s="788" t="str">
        <f>VLOOKUP($A120,satpek!$B$20:$N$144,7,0)</f>
        <v>kg</v>
      </c>
      <c r="I120" s="1569" t="str">
        <f>VLOOKUP($A120,satpek!$B$20:$N$144,5,0)</f>
        <v>A.4.1.1.17.</v>
      </c>
      <c r="J120" s="1570">
        <f>VLOOKUP($A120,satpek!$B$20:$N$144,6,0)</f>
        <v>15603.94</v>
      </c>
      <c r="K120" s="1558"/>
      <c r="L120" s="1571">
        <f t="shared" si="91"/>
        <v>9286856.0399999991</v>
      </c>
      <c r="M120" s="1617"/>
      <c r="N120" s="1572">
        <f>VLOOKUP($A120,satpek!$B$20:$L$138,8,0)</f>
        <v>0.46415793062521393</v>
      </c>
      <c r="O120" s="1573">
        <f>VLOOKUP($A120,satpek!$B$20:$L$138,9,0)</f>
        <v>7242.692500000001</v>
      </c>
      <c r="P120" s="1573">
        <f>VLOOKUP($A120,satpek!$B$20:$L$138,10,0)</f>
        <v>8184.2425250000015</v>
      </c>
      <c r="Q120" s="1571">
        <f t="shared" si="92"/>
        <v>4310567.8795650341</v>
      </c>
      <c r="R120" s="1571">
        <f t="shared" si="93"/>
        <v>4870941.7039084891</v>
      </c>
      <c r="S120" s="1574">
        <f t="shared" si="94"/>
        <v>4415914.33609151</v>
      </c>
      <c r="V120" s="1575">
        <v>595.16096804676351</v>
      </c>
      <c r="W120" s="1575">
        <f t="shared" si="57"/>
        <v>0</v>
      </c>
      <c r="X120" s="1465" t="s">
        <v>420</v>
      </c>
      <c r="AB120" s="1465"/>
      <c r="AC120" s="1465"/>
      <c r="AD120" s="1465"/>
      <c r="AE120" s="1466">
        <v>15438.06</v>
      </c>
      <c r="AF120" s="1579">
        <f t="shared" si="58"/>
        <v>-165.88000000000102</v>
      </c>
    </row>
    <row r="121" spans="1:32" ht="21.95" customHeight="1" x14ac:dyDescent="0.2">
      <c r="A121" s="1462">
        <f>satpek!$B$46</f>
        <v>27</v>
      </c>
      <c r="B121" s="1567">
        <f>B120+1</f>
        <v>3</v>
      </c>
      <c r="C121" s="1557"/>
      <c r="D121" s="1568" t="str">
        <f>VLOOKUP($A121,satpek!$B$20:$N$144,2,0)</f>
        <v>Memasang bekisting untuk lantai (2x pakai)</v>
      </c>
      <c r="E121" s="1568"/>
      <c r="F121" s="1580"/>
      <c r="G121" s="1453">
        <f>'[3]B.VOL RAB'!Q214</f>
        <v>285.63399999999996</v>
      </c>
      <c r="H121" s="788" t="str">
        <f>VLOOKUP($A121,satpek!$B$20:$N$144,7,0)</f>
        <v>m2</v>
      </c>
      <c r="I121" s="1569" t="str">
        <f>VLOOKUP($A121,satpek!$B$20:$N$144,5,0)</f>
        <v>A.4.1.1.24</v>
      </c>
      <c r="J121" s="1570">
        <f>VLOOKUP($A121,satpek!$B$20:$N$144,6,0)</f>
        <v>242900.28</v>
      </c>
      <c r="K121" s="1558"/>
      <c r="L121" s="1571">
        <f t="shared" si="91"/>
        <v>69380578.579999998</v>
      </c>
      <c r="M121" s="1617"/>
      <c r="N121" s="1572">
        <f>VLOOKUP($A121,satpek!$B$20:$L$138,8,0)</f>
        <v>0.76655687675617334</v>
      </c>
      <c r="O121" s="1573">
        <f>VLOOKUP($A121,satpek!$B$20:$L$138,9,0)</f>
        <v>164776</v>
      </c>
      <c r="P121" s="1573">
        <f>VLOOKUP($A121,satpek!$B$20:$L$138,10,0)</f>
        <v>186196.88</v>
      </c>
      <c r="Q121" s="1571">
        <f t="shared" si="92"/>
        <v>47065627.98399999</v>
      </c>
      <c r="R121" s="1571">
        <f t="shared" si="93"/>
        <v>53184159.621919997</v>
      </c>
      <c r="S121" s="1574">
        <f t="shared" si="94"/>
        <v>16196418.958080001</v>
      </c>
      <c r="V121" s="1575">
        <v>285.63399999999996</v>
      </c>
      <c r="W121" s="1575">
        <f t="shared" si="57"/>
        <v>0</v>
      </c>
      <c r="X121" s="1465" t="s">
        <v>1910</v>
      </c>
      <c r="AB121" s="1465"/>
      <c r="AC121" s="1465"/>
      <c r="AD121" s="1465"/>
      <c r="AE121" s="1466">
        <v>195923.91999999998</v>
      </c>
      <c r="AF121" s="1579">
        <f t="shared" si="58"/>
        <v>-46976.360000000015</v>
      </c>
    </row>
    <row r="122" spans="1:32" ht="21.95" customHeight="1" x14ac:dyDescent="0.2">
      <c r="B122" s="1567"/>
      <c r="C122" s="1557"/>
      <c r="D122" s="1568"/>
      <c r="E122" s="1568"/>
      <c r="F122" s="1580"/>
      <c r="G122" s="1453"/>
      <c r="H122" s="1647"/>
      <c r="I122" s="1569"/>
      <c r="J122" s="1570"/>
      <c r="K122" s="1457"/>
      <c r="L122" s="1571"/>
      <c r="M122" s="1617"/>
      <c r="N122" s="1648"/>
      <c r="O122" s="1649"/>
      <c r="P122" s="1649"/>
      <c r="Q122" s="1650"/>
      <c r="R122" s="1651"/>
      <c r="S122" s="1652"/>
      <c r="V122" s="1575"/>
      <c r="W122" s="1575">
        <f t="shared" si="57"/>
        <v>0</v>
      </c>
      <c r="AB122" s="1465"/>
      <c r="AC122" s="1465"/>
      <c r="AD122" s="1465"/>
      <c r="AE122" s="1466"/>
      <c r="AF122" s="1579">
        <f t="shared" si="58"/>
        <v>0</v>
      </c>
    </row>
    <row r="123" spans="1:32" ht="21.95" customHeight="1" x14ac:dyDescent="0.2">
      <c r="B123" s="1653"/>
      <c r="C123" s="1654"/>
      <c r="D123" s="1633" t="s">
        <v>1778</v>
      </c>
      <c r="E123" s="1552"/>
      <c r="F123" s="1553"/>
      <c r="G123" s="1453"/>
      <c r="H123" s="1555"/>
      <c r="I123" s="1556"/>
      <c r="J123" s="1570"/>
      <c r="K123" s="1619"/>
      <c r="L123" s="1620"/>
      <c r="M123" s="1617"/>
      <c r="N123" s="1561"/>
      <c r="O123" s="1562"/>
      <c r="P123" s="1562"/>
      <c r="Q123" s="1563"/>
      <c r="R123" s="1564"/>
      <c r="S123" s="1565"/>
      <c r="V123" s="1575"/>
      <c r="W123" s="1575">
        <f t="shared" si="57"/>
        <v>0</v>
      </c>
      <c r="X123" s="1465" t="s">
        <v>1778</v>
      </c>
      <c r="AB123" s="1465"/>
      <c r="AC123" s="1465"/>
      <c r="AD123" s="1465"/>
      <c r="AE123" s="1466"/>
      <c r="AF123" s="1579">
        <f t="shared" si="58"/>
        <v>0</v>
      </c>
    </row>
    <row r="124" spans="1:32" ht="21.95" customHeight="1" x14ac:dyDescent="0.2">
      <c r="B124" s="1653"/>
      <c r="C124" s="1654"/>
      <c r="D124" s="1633" t="s">
        <v>1798</v>
      </c>
      <c r="E124" s="1552"/>
      <c r="F124" s="1553"/>
      <c r="G124" s="1453"/>
      <c r="H124" s="1555"/>
      <c r="I124" s="1556"/>
      <c r="J124" s="1570"/>
      <c r="K124" s="1619"/>
      <c r="L124" s="1620"/>
      <c r="M124" s="1617"/>
      <c r="N124" s="1561"/>
      <c r="O124" s="1562"/>
      <c r="P124" s="1562"/>
      <c r="Q124" s="1563"/>
      <c r="R124" s="1564"/>
      <c r="S124" s="1565"/>
      <c r="V124" s="1575"/>
      <c r="W124" s="1575">
        <f t="shared" si="57"/>
        <v>0</v>
      </c>
      <c r="X124" s="1465" t="s">
        <v>1798</v>
      </c>
      <c r="AB124" s="1465"/>
      <c r="AC124" s="1465"/>
      <c r="AD124" s="1465"/>
      <c r="AE124" s="1466"/>
      <c r="AF124" s="1579">
        <f t="shared" si="58"/>
        <v>0</v>
      </c>
    </row>
    <row r="125" spans="1:32" ht="21.95" customHeight="1" x14ac:dyDescent="0.2">
      <c r="A125" s="1462">
        <f>satpek!$B$40</f>
        <v>21</v>
      </c>
      <c r="B125" s="1567">
        <v>1</v>
      </c>
      <c r="C125" s="1557"/>
      <c r="D125" s="1568" t="str">
        <f>VLOOKUP($A125,satpek!$B$20:$N$144,2,0)</f>
        <v>Membuat beton mutu f'c = 21,7 Mpa - K 250</v>
      </c>
      <c r="E125" s="1568"/>
      <c r="F125" s="1580"/>
      <c r="G125" s="1453">
        <f>'[3]B.VOL RAB'!Q219</f>
        <v>11.52</v>
      </c>
      <c r="H125" s="788" t="str">
        <f>VLOOKUP($A125,satpek!$B$20:$N$144,7,0)</f>
        <v>m3</v>
      </c>
      <c r="I125" s="1569" t="str">
        <f>VLOOKUP($A125,satpek!$B$20:$N$144,5,0)</f>
        <v>A.4.1.1.8.</v>
      </c>
      <c r="J125" s="1570">
        <f>VLOOKUP($A125,satpek!$B$20:$N$144,6,0)</f>
        <v>1115753.29</v>
      </c>
      <c r="K125" s="1558"/>
      <c r="L125" s="1571">
        <f t="shared" ref="L125:L127" si="95">ROUND((G125*J125),2)</f>
        <v>12853477.9</v>
      </c>
      <c r="M125" s="1617"/>
      <c r="N125" s="1572">
        <f>VLOOKUP($A125,satpek!$B$20:$L$138,8,0)</f>
        <v>0.93065078521121514</v>
      </c>
      <c r="O125" s="1573">
        <f>VLOOKUP($A125,satpek!$B$20:$L$138,9,0)</f>
        <v>918917.40999999992</v>
      </c>
      <c r="P125" s="1573">
        <f>VLOOKUP($A125,satpek!$B$20:$L$138,10,0)</f>
        <v>1038376.6732999999</v>
      </c>
      <c r="Q125" s="1571">
        <f t="shared" ref="Q125:Q127" si="96">O125*G125</f>
        <v>10585928.563199999</v>
      </c>
      <c r="R125" s="1571">
        <f t="shared" ref="R125:R127" si="97">P125*G125</f>
        <v>11962099.276415998</v>
      </c>
      <c r="S125" s="1574">
        <f t="shared" ref="S125:S127" si="98">L125-R125</f>
        <v>891378.62358400226</v>
      </c>
      <c r="V125" s="1575">
        <v>14.591999999999999</v>
      </c>
      <c r="W125" s="1575">
        <f t="shared" si="57"/>
        <v>3.0719999999999992</v>
      </c>
      <c r="X125" s="1465" t="s">
        <v>1905</v>
      </c>
      <c r="AB125" s="1465"/>
      <c r="AC125" s="1465"/>
      <c r="AD125" s="1465"/>
      <c r="AE125" s="1466">
        <v>1191397.42</v>
      </c>
      <c r="AF125" s="1579">
        <f t="shared" si="58"/>
        <v>75644.129999999888</v>
      </c>
    </row>
    <row r="126" spans="1:32" ht="21.95" customHeight="1" x14ac:dyDescent="0.2">
      <c r="A126" s="1462">
        <f>satpek!$B$41</f>
        <v>22</v>
      </c>
      <c r="B126" s="1567">
        <f>B125+1</f>
        <v>2</v>
      </c>
      <c r="C126" s="1557"/>
      <c r="D126" s="1568" t="str">
        <f>VLOOKUP($A126,satpek!$B$20:$N$144,2,0)</f>
        <v>Pembesian 1 kg dengan besi polos atau besi ulir</v>
      </c>
      <c r="E126" s="1568"/>
      <c r="F126" s="1580"/>
      <c r="G126" s="1453">
        <f>'[3]B.VOL RAB'!Q221</f>
        <v>1930.3790949339673</v>
      </c>
      <c r="H126" s="788" t="str">
        <f>VLOOKUP($A126,satpek!$B$20:$N$144,7,0)</f>
        <v>kg</v>
      </c>
      <c r="I126" s="1569" t="str">
        <f>VLOOKUP($A126,satpek!$B$20:$N$144,5,0)</f>
        <v>A.4.1.1.17.</v>
      </c>
      <c r="J126" s="1570">
        <f>VLOOKUP($A126,satpek!$B$20:$N$144,6,0)</f>
        <v>15603.94</v>
      </c>
      <c r="K126" s="1558"/>
      <c r="L126" s="1571">
        <f t="shared" si="95"/>
        <v>30121519.57</v>
      </c>
      <c r="M126" s="1617"/>
      <c r="N126" s="1572">
        <f>VLOOKUP($A126,satpek!$B$20:$L$138,8,0)</f>
        <v>0.46415793062521393</v>
      </c>
      <c r="O126" s="1573">
        <f>VLOOKUP($A126,satpek!$B$20:$L$138,9,0)</f>
        <v>7242.692500000001</v>
      </c>
      <c r="P126" s="1573">
        <f>VLOOKUP($A126,satpek!$B$20:$L$138,10,0)</f>
        <v>8184.2425250000015</v>
      </c>
      <c r="Q126" s="1571">
        <f t="shared" si="96"/>
        <v>13981142.193035034</v>
      </c>
      <c r="R126" s="1571">
        <f t="shared" si="97"/>
        <v>15798690.678129589</v>
      </c>
      <c r="S126" s="1574">
        <f t="shared" si="98"/>
        <v>14322828.891870411</v>
      </c>
      <c r="V126" s="1575">
        <v>2444.9166795612718</v>
      </c>
      <c r="W126" s="1575">
        <f t="shared" si="57"/>
        <v>514.53758462730457</v>
      </c>
      <c r="X126" s="1465" t="s">
        <v>420</v>
      </c>
      <c r="AB126" s="1465"/>
      <c r="AC126" s="1465"/>
      <c r="AD126" s="1465"/>
      <c r="AE126" s="1466">
        <v>15556.71</v>
      </c>
      <c r="AF126" s="1579">
        <f t="shared" si="58"/>
        <v>-47.230000000001382</v>
      </c>
    </row>
    <row r="127" spans="1:32" ht="21.95" customHeight="1" x14ac:dyDescent="0.2">
      <c r="A127" s="1462">
        <f>satpek!$B$44</f>
        <v>25</v>
      </c>
      <c r="B127" s="1567">
        <f>B126+1</f>
        <v>3</v>
      </c>
      <c r="C127" s="1557"/>
      <c r="D127" s="1568" t="str">
        <f>VLOOKUP(A127,[3]Rekap!$B$12:$K$769,3)</f>
        <v>Memasang pondasi batu belah, campuran 1 PC : 5 PP</v>
      </c>
      <c r="E127" s="1568"/>
      <c r="F127" s="1580"/>
      <c r="G127" s="1453">
        <f>'[3]B.VOL RAB'!Q224</f>
        <v>57.599999999999994</v>
      </c>
      <c r="H127" s="788" t="str">
        <f>VLOOKUP($A127,satpek!$B$20:$N$144,7,0)</f>
        <v>m2</v>
      </c>
      <c r="I127" s="1569" t="str">
        <f>VLOOKUP($A127,satpek!$B$20:$N$144,5,0)</f>
        <v>A.4.1.1.22.</v>
      </c>
      <c r="J127" s="1570">
        <f>VLOOKUP($A127,satpek!$B$20:$N$144,6,0)</f>
        <v>192050.28</v>
      </c>
      <c r="K127" s="1558"/>
      <c r="L127" s="1571">
        <f t="shared" si="95"/>
        <v>11062096.130000001</v>
      </c>
      <c r="M127" s="1617"/>
      <c r="N127" s="1572">
        <f>VLOOKUP($A127,satpek!$B$20:$L$138,8,0)</f>
        <v>0.82830850337734474</v>
      </c>
      <c r="O127" s="1573">
        <f>VLOOKUP($A127,satpek!$B$20:$L$138,9,0)</f>
        <v>140776</v>
      </c>
      <c r="P127" s="1573">
        <f>VLOOKUP($A127,satpek!$B$20:$L$138,10,0)</f>
        <v>159076.88</v>
      </c>
      <c r="Q127" s="1571">
        <f t="shared" si="96"/>
        <v>8108697.5999999996</v>
      </c>
      <c r="R127" s="1571">
        <f t="shared" si="97"/>
        <v>9162828.2879999988</v>
      </c>
      <c r="S127" s="1574">
        <f t="shared" si="98"/>
        <v>1899267.842000002</v>
      </c>
      <c r="V127" s="1575">
        <v>72.959999999999994</v>
      </c>
      <c r="W127" s="1575">
        <f t="shared" si="57"/>
        <v>15.36</v>
      </c>
      <c r="X127" s="1465" t="s">
        <v>1908</v>
      </c>
      <c r="AB127" s="1465"/>
      <c r="AC127" s="1465"/>
      <c r="AD127" s="1465"/>
      <c r="AE127" s="1466">
        <v>193211.91999999998</v>
      </c>
      <c r="AF127" s="1579">
        <f t="shared" si="58"/>
        <v>1161.6399999999849</v>
      </c>
    </row>
    <row r="128" spans="1:32" ht="21.95" customHeight="1" x14ac:dyDescent="0.2">
      <c r="B128" s="1567"/>
      <c r="C128" s="1557"/>
      <c r="D128" s="1568"/>
      <c r="E128" s="1568"/>
      <c r="F128" s="1580"/>
      <c r="G128" s="1453"/>
      <c r="H128" s="1647"/>
      <c r="I128" s="1569"/>
      <c r="J128" s="1570"/>
      <c r="K128" s="1457"/>
      <c r="L128" s="1571"/>
      <c r="M128" s="1617"/>
      <c r="N128" s="1648"/>
      <c r="O128" s="1649"/>
      <c r="P128" s="1649"/>
      <c r="Q128" s="1650"/>
      <c r="R128" s="1651"/>
      <c r="S128" s="1652"/>
      <c r="V128" s="1575"/>
      <c r="W128" s="1575">
        <f t="shared" si="57"/>
        <v>0</v>
      </c>
      <c r="AB128" s="1465"/>
      <c r="AC128" s="1465"/>
      <c r="AD128" s="1465"/>
      <c r="AE128" s="1466"/>
      <c r="AF128" s="1579">
        <f t="shared" si="58"/>
        <v>0</v>
      </c>
    </row>
    <row r="129" spans="1:32" ht="21.95" customHeight="1" x14ac:dyDescent="0.2">
      <c r="B129" s="1653"/>
      <c r="C129" s="1654"/>
      <c r="D129" s="1633" t="s">
        <v>1782</v>
      </c>
      <c r="E129" s="1552"/>
      <c r="F129" s="1553"/>
      <c r="G129" s="1655"/>
      <c r="H129" s="1555"/>
      <c r="I129" s="1556"/>
      <c r="J129" s="1570"/>
      <c r="K129" s="1619"/>
      <c r="L129" s="1620"/>
      <c r="M129" s="1617"/>
      <c r="N129" s="1561"/>
      <c r="O129" s="1562"/>
      <c r="P129" s="1562"/>
      <c r="Q129" s="1563"/>
      <c r="R129" s="1564"/>
      <c r="S129" s="1565"/>
      <c r="V129" s="1575"/>
      <c r="W129" s="1575">
        <f t="shared" si="57"/>
        <v>0</v>
      </c>
      <c r="X129" s="1465" t="s">
        <v>1782</v>
      </c>
      <c r="AB129" s="1465"/>
      <c r="AC129" s="1465"/>
      <c r="AD129" s="1465"/>
      <c r="AE129" s="1466"/>
      <c r="AF129" s="1579">
        <f t="shared" si="58"/>
        <v>0</v>
      </c>
    </row>
    <row r="130" spans="1:32" ht="21.95" customHeight="1" x14ac:dyDescent="0.2">
      <c r="A130" s="1462">
        <f>satpek!$B$47</f>
        <v>28</v>
      </c>
      <c r="B130" s="1567">
        <v>1</v>
      </c>
      <c r="C130" s="1557"/>
      <c r="D130" s="1568" t="str">
        <f>VLOOKUP($A130,satpek!$B$20:$N$144,2,0)</f>
        <v>Membuat kolom praktis beton bertulang 11/11 cm</v>
      </c>
      <c r="E130" s="1568"/>
      <c r="F130" s="1580"/>
      <c r="G130" s="1453">
        <f>'[3]B.VOL RAB'!Q228</f>
        <v>152</v>
      </c>
      <c r="H130" s="788" t="str">
        <f>VLOOKUP($A130,satpek!$B$20:$N$144,7,0)</f>
        <v>m'</v>
      </c>
      <c r="I130" s="1569" t="str">
        <f>VLOOKUP($A130,satpek!$B$20:$N$144,5,0)</f>
        <v>A.4.1.1.35.</v>
      </c>
      <c r="J130" s="1570">
        <f>VLOOKUP($A130,satpek!$B$20:$N$144,6,0)</f>
        <v>112610.15</v>
      </c>
      <c r="K130" s="1558"/>
      <c r="L130" s="1571">
        <f t="shared" ref="L130:L131" si="99">ROUND((G130*J130),2)</f>
        <v>17116742.800000001</v>
      </c>
      <c r="M130" s="1617"/>
      <c r="N130" s="1572">
        <f>VLOOKUP($A130,satpek!$B$20:$L$138,8,0)</f>
        <v>0.69870322613014901</v>
      </c>
      <c r="O130" s="1573">
        <f>VLOOKUP($A130,satpek!$B$20:$L$138,9,0)</f>
        <v>69629.27</v>
      </c>
      <c r="P130" s="1573">
        <f>VLOOKUP($A130,satpek!$B$20:$L$138,10,0)</f>
        <v>78681.075100000002</v>
      </c>
      <c r="Q130" s="1571">
        <f t="shared" ref="Q130:Q131" si="100">O130*G130</f>
        <v>10583649.040000001</v>
      </c>
      <c r="R130" s="1571">
        <f t="shared" ref="R130:R131" si="101">P130*G130</f>
        <v>11959523.415200001</v>
      </c>
      <c r="S130" s="1574">
        <f t="shared" ref="S130:S131" si="102">L130-R130</f>
        <v>5157219.3848000001</v>
      </c>
      <c r="V130" s="1575">
        <v>152</v>
      </c>
      <c r="W130" s="1575">
        <f t="shared" si="57"/>
        <v>0</v>
      </c>
      <c r="X130" s="1465" t="s">
        <v>229</v>
      </c>
      <c r="AB130" s="1465"/>
      <c r="AC130" s="1465"/>
      <c r="AD130" s="1465"/>
      <c r="AE130" s="1466">
        <v>111027.02</v>
      </c>
      <c r="AF130" s="1579">
        <f t="shared" si="58"/>
        <v>-1583.1299999999901</v>
      </c>
    </row>
    <row r="131" spans="1:32" ht="21.95" customHeight="1" x14ac:dyDescent="0.2">
      <c r="A131" s="1462">
        <f>satpek!$B$48</f>
        <v>29</v>
      </c>
      <c r="B131" s="1567">
        <f>B130+1</f>
        <v>2</v>
      </c>
      <c r="C131" s="1557"/>
      <c r="D131" s="1568" t="s">
        <v>1783</v>
      </c>
      <c r="E131" s="1568"/>
      <c r="F131" s="1580"/>
      <c r="G131" s="1585">
        <f>'[3]B.VOL RAB'!Q229</f>
        <v>132</v>
      </c>
      <c r="H131" s="788" t="str">
        <f>VLOOKUP($A131,satpek!$B$20:$N$144,7,0)</f>
        <v>m'</v>
      </c>
      <c r="I131" s="1569" t="str">
        <f>VLOOKUP($A131,satpek!$B$20:$N$144,5,0)</f>
        <v>A.4.1.1.36.</v>
      </c>
      <c r="J131" s="1570">
        <f>VLOOKUP($A131,satpek!$B$20:$N$144,6,0)</f>
        <v>109402.19</v>
      </c>
      <c r="K131" s="1558"/>
      <c r="L131" s="1571">
        <f t="shared" si="99"/>
        <v>14441089.08</v>
      </c>
      <c r="M131" s="1617"/>
      <c r="N131" s="1572">
        <f>VLOOKUP($A131,satpek!$B$20:$L$138,8,0)</f>
        <v>0.75420720314079981</v>
      </c>
      <c r="O131" s="1573">
        <f>VLOOKUP($A131,satpek!$B$20:$L$138,9,0)</f>
        <v>73019.399999999994</v>
      </c>
      <c r="P131" s="1573">
        <f>VLOOKUP($A131,satpek!$B$20:$L$138,10,0)</f>
        <v>82511.921999999991</v>
      </c>
      <c r="Q131" s="1571">
        <f t="shared" si="100"/>
        <v>9638560.7999999989</v>
      </c>
      <c r="R131" s="1571">
        <f t="shared" si="101"/>
        <v>10891573.703999998</v>
      </c>
      <c r="S131" s="1574">
        <f t="shared" si="102"/>
        <v>3549515.376000002</v>
      </c>
      <c r="V131" s="1575">
        <v>132</v>
      </c>
      <c r="W131" s="1575">
        <f t="shared" si="57"/>
        <v>0</v>
      </c>
      <c r="X131" s="1465" t="s">
        <v>1783</v>
      </c>
      <c r="AB131" s="1465"/>
      <c r="AC131" s="1465"/>
      <c r="AD131" s="1465"/>
      <c r="AE131" s="1466">
        <v>106967.5</v>
      </c>
      <c r="AF131" s="1579">
        <f t="shared" si="58"/>
        <v>-2434.6900000000023</v>
      </c>
    </row>
    <row r="132" spans="1:32" ht="21.95" customHeight="1" x14ac:dyDescent="0.2">
      <c r="B132" s="1587"/>
      <c r="C132" s="1588"/>
      <c r="D132" s="1589"/>
      <c r="E132" s="1589"/>
      <c r="F132" s="1590"/>
      <c r="G132" s="807"/>
      <c r="H132" s="1591"/>
      <c r="I132" s="1592"/>
      <c r="J132" s="1593"/>
      <c r="K132" s="1594"/>
      <c r="L132" s="1595" t="s">
        <v>1799</v>
      </c>
      <c r="M132" s="1596">
        <f>SUM(L39:L132)</f>
        <v>1686933528.95</v>
      </c>
      <c r="N132" s="1597"/>
      <c r="O132" s="1598"/>
      <c r="P132" s="1598"/>
      <c r="Q132" s="1599"/>
      <c r="R132" s="1600"/>
      <c r="S132" s="1601"/>
      <c r="T132" s="1477">
        <f>[3]HPS!M135</f>
        <v>1670051823.0199993</v>
      </c>
      <c r="U132" s="1477">
        <f>M132-T132</f>
        <v>16881705.930000782</v>
      </c>
      <c r="V132" s="1575"/>
      <c r="W132" s="1575">
        <f t="shared" si="57"/>
        <v>0</v>
      </c>
      <c r="X132" s="1621"/>
      <c r="AB132" s="1465"/>
      <c r="AC132" s="1465"/>
      <c r="AD132" s="1465"/>
      <c r="AE132" s="1466"/>
      <c r="AF132" s="1579">
        <f t="shared" si="58"/>
        <v>0</v>
      </c>
    </row>
    <row r="133" spans="1:32" ht="21.95" customHeight="1" x14ac:dyDescent="0.2">
      <c r="B133" s="1657"/>
      <c r="C133" s="1658"/>
      <c r="D133" s="1658"/>
      <c r="E133" s="1658"/>
      <c r="F133" s="1659"/>
      <c r="G133" s="1607"/>
      <c r="H133" s="1608"/>
      <c r="I133" s="1609"/>
      <c r="J133" s="1610"/>
      <c r="K133" s="1660"/>
      <c r="L133" s="1661"/>
      <c r="M133" s="1662"/>
      <c r="N133" s="1613"/>
      <c r="O133" s="1614"/>
      <c r="P133" s="1614"/>
      <c r="Q133" s="1609"/>
      <c r="R133" s="1615"/>
      <c r="S133" s="1616"/>
      <c r="V133" s="1575"/>
      <c r="W133" s="1575">
        <f t="shared" si="57"/>
        <v>0</v>
      </c>
      <c r="X133" s="1621"/>
      <c r="AB133" s="1465"/>
      <c r="AC133" s="1465"/>
      <c r="AD133" s="1465"/>
      <c r="AE133" s="1466"/>
      <c r="AF133" s="1579">
        <f t="shared" si="58"/>
        <v>0</v>
      </c>
    </row>
    <row r="134" spans="1:32" ht="21.95" customHeight="1" x14ac:dyDescent="0.2">
      <c r="B134" s="1602" t="s">
        <v>1800</v>
      </c>
      <c r="C134" s="1550"/>
      <c r="D134" s="1551" t="s">
        <v>1801</v>
      </c>
      <c r="E134" s="1552"/>
      <c r="F134" s="1553"/>
      <c r="G134" s="1453"/>
      <c r="H134" s="1555"/>
      <c r="I134" s="1556"/>
      <c r="J134" s="1570"/>
      <c r="K134" s="1639"/>
      <c r="L134" s="1640"/>
      <c r="M134" s="1641"/>
      <c r="N134" s="1561"/>
      <c r="O134" s="1562"/>
      <c r="P134" s="1562"/>
      <c r="Q134" s="1563"/>
      <c r="R134" s="1564"/>
      <c r="S134" s="1565"/>
      <c r="V134" s="1575"/>
      <c r="W134" s="1575">
        <f t="shared" si="57"/>
        <v>0</v>
      </c>
      <c r="X134" s="1465" t="s">
        <v>1801</v>
      </c>
      <c r="AB134" s="1465"/>
      <c r="AC134" s="1465"/>
      <c r="AD134" s="1465"/>
      <c r="AE134" s="1466"/>
      <c r="AF134" s="1579">
        <f t="shared" si="58"/>
        <v>0</v>
      </c>
    </row>
    <row r="135" spans="1:32" ht="21.95" customHeight="1" x14ac:dyDescent="0.2">
      <c r="B135" s="1602"/>
      <c r="C135" s="1550"/>
      <c r="D135" s="1551" t="s">
        <v>1769</v>
      </c>
      <c r="E135" s="1552"/>
      <c r="F135" s="1553"/>
      <c r="G135" s="1453"/>
      <c r="H135" s="1555"/>
      <c r="I135" s="1556"/>
      <c r="J135" s="1570"/>
      <c r="K135" s="1639"/>
      <c r="L135" s="1640"/>
      <c r="M135" s="1641"/>
      <c r="N135" s="1561"/>
      <c r="O135" s="1562"/>
      <c r="P135" s="1562"/>
      <c r="Q135" s="1563"/>
      <c r="R135" s="1564"/>
      <c r="S135" s="1565"/>
      <c r="V135" s="1575"/>
      <c r="W135" s="1575">
        <f t="shared" si="57"/>
        <v>0</v>
      </c>
      <c r="X135" s="1465" t="s">
        <v>1769</v>
      </c>
      <c r="AB135" s="1465"/>
      <c r="AC135" s="1465"/>
      <c r="AD135" s="1465"/>
      <c r="AE135" s="1466"/>
      <c r="AF135" s="1579">
        <f t="shared" si="58"/>
        <v>0</v>
      </c>
    </row>
    <row r="136" spans="1:32" ht="21.95" customHeight="1" x14ac:dyDescent="0.2">
      <c r="A136" s="1462">
        <f>satpek!$B$34</f>
        <v>15</v>
      </c>
      <c r="B136" s="1567">
        <v>1</v>
      </c>
      <c r="C136" s="1557"/>
      <c r="D136" s="1568" t="str">
        <f>VLOOKUP($A136,satpek!$B$20:$N$144,2,0)</f>
        <v>Membuat dinding bt. merah t: 1/2bata, camp 1PC:8PP</v>
      </c>
      <c r="E136" s="1568"/>
      <c r="F136" s="1580"/>
      <c r="G136" s="1453">
        <f>'[3]B.VOL RAB'!Q233</f>
        <v>549.26</v>
      </c>
      <c r="H136" s="788" t="str">
        <f>VLOOKUP($A136,satpek!$B$20:$N$144,7,0)</f>
        <v>m2</v>
      </c>
      <c r="I136" s="1569" t="str">
        <f>VLOOKUP($A136,satpek!$B$20:$N$144,5,0)</f>
        <v>A.4.4.1.12.</v>
      </c>
      <c r="J136" s="1570">
        <f>VLOOKUP($A136,satpek!$B$20:$N$144,6,0)</f>
        <v>129498</v>
      </c>
      <c r="K136" s="1558"/>
      <c r="L136" s="1571">
        <f t="shared" ref="L136:L140" si="103">ROUND((G136*J136),2)</f>
        <v>71128071.480000004</v>
      </c>
      <c r="M136" s="1641"/>
      <c r="N136" s="1572">
        <f>VLOOKUP($A136,satpek!$B$20:$L$138,8,0)</f>
        <v>0.98988586387434552</v>
      </c>
      <c r="O136" s="1573">
        <f>VLOOKUP($A136,satpek!$B$20:$L$138,9,0)</f>
        <v>113440.92</v>
      </c>
      <c r="P136" s="1573">
        <f>VLOOKUP($A136,satpek!$B$20:$L$138,10,0)</f>
        <v>128188.2396</v>
      </c>
      <c r="Q136" s="1571">
        <f t="shared" ref="Q136:Q140" si="104">O136*G136</f>
        <v>62308559.7192</v>
      </c>
      <c r="R136" s="1571">
        <f t="shared" ref="R136:R140" si="105">P136*G136</f>
        <v>70408672.482695997</v>
      </c>
      <c r="S136" s="1574">
        <f t="shared" ref="S136:S140" si="106">L136-R136</f>
        <v>719398.99730400741</v>
      </c>
      <c r="V136" s="1575">
        <v>549.26</v>
      </c>
      <c r="W136" s="1575">
        <f t="shared" si="57"/>
        <v>0</v>
      </c>
      <c r="X136" s="1465" t="s">
        <v>666</v>
      </c>
      <c r="AB136" s="1465"/>
      <c r="AC136" s="1465"/>
      <c r="AD136" s="1465"/>
      <c r="AE136" s="1466">
        <v>119970.97</v>
      </c>
      <c r="AF136" s="1579">
        <f t="shared" si="58"/>
        <v>-9527.0299999999988</v>
      </c>
    </row>
    <row r="137" spans="1:32" ht="21.95" customHeight="1" x14ac:dyDescent="0.2">
      <c r="A137" s="1462">
        <f>satpek!$B$58</f>
        <v>39</v>
      </c>
      <c r="B137" s="1663">
        <f>B136+1</f>
        <v>2</v>
      </c>
      <c r="C137" s="1557"/>
      <c r="D137" s="1568" t="str">
        <f>VLOOKUP($A137,satpek!$B$20:$N$144,2,0)</f>
        <v>Membuat dinding partisi gypsum 9mm double</v>
      </c>
      <c r="E137" s="1568"/>
      <c r="F137" s="1580"/>
      <c r="G137" s="1453">
        <f>'[3]B.VOL RAB'!Q262</f>
        <v>247.13599999999997</v>
      </c>
      <c r="H137" s="788" t="str">
        <f>VLOOKUP($A137,satpek!$B$20:$N$144,7,0)</f>
        <v>m2</v>
      </c>
      <c r="I137" s="1569" t="str">
        <f>VLOOKUP($A137,satpek!$B$20:$N$144,5,0)</f>
        <v>A.4.2.1.20.</v>
      </c>
      <c r="J137" s="1570">
        <f>VLOOKUP($A137,satpek!$B$20:$N$144,6,0)</f>
        <v>210845.94</v>
      </c>
      <c r="K137" s="1558"/>
      <c r="L137" s="1571">
        <f t="shared" si="103"/>
        <v>52107622.229999997</v>
      </c>
      <c r="M137" s="1617"/>
      <c r="N137" s="1572">
        <f>VLOOKUP($A137,satpek!$B$20:$L$138,8,0)</f>
        <v>0.45788799844557021</v>
      </c>
      <c r="O137" s="1573">
        <f>VLOOKUP($A137,satpek!$B$20:$L$138,9,0)</f>
        <v>85437.014844999998</v>
      </c>
      <c r="P137" s="1573">
        <f>VLOOKUP($A137,satpek!$B$20:$L$138,10,0)</f>
        <v>96543.826774849993</v>
      </c>
      <c r="Q137" s="1571">
        <f t="shared" si="104"/>
        <v>21114562.100733917</v>
      </c>
      <c r="R137" s="1571">
        <f t="shared" si="105"/>
        <v>23859455.173829325</v>
      </c>
      <c r="S137" s="1574">
        <f t="shared" si="106"/>
        <v>28248167.056170672</v>
      </c>
      <c r="V137" s="1575">
        <v>247.13599999999997</v>
      </c>
      <c r="W137" s="1575">
        <f t="shared" si="57"/>
        <v>0</v>
      </c>
      <c r="X137" s="1465" t="s">
        <v>1911</v>
      </c>
      <c r="AB137" s="1465"/>
      <c r="AC137" s="1465"/>
      <c r="AD137" s="1465"/>
      <c r="AE137" s="1466">
        <v>203748.41000000003</v>
      </c>
      <c r="AF137" s="1579">
        <f t="shared" si="58"/>
        <v>-7097.5299999999697</v>
      </c>
    </row>
    <row r="138" spans="1:32" ht="21.95" customHeight="1" x14ac:dyDescent="0.2">
      <c r="A138" s="1462">
        <f>satpek!$B$36</f>
        <v>17</v>
      </c>
      <c r="B138" s="1663">
        <f>B137+1</f>
        <v>3</v>
      </c>
      <c r="C138" s="1557"/>
      <c r="D138" s="1568" t="str">
        <f>VLOOKUP($A138,satpek!$B$20:$N$144,2,0)</f>
        <v>Memasang plesteran 1 PC : 6 PP, tebal 15 mm</v>
      </c>
      <c r="E138" s="1568"/>
      <c r="F138" s="1580"/>
      <c r="G138" s="1453">
        <f>'[3]B.VOL RAB'!Q280</f>
        <v>1098.52</v>
      </c>
      <c r="H138" s="788" t="str">
        <f>VLOOKUP($A138,satpek!$B$20:$N$144,7,0)</f>
        <v>m2</v>
      </c>
      <c r="I138" s="1569" t="str">
        <f>VLOOKUP($A138,satpek!$B$20:$N$144,5,0)</f>
        <v>A.4.4.2.6.</v>
      </c>
      <c r="J138" s="1570">
        <f>VLOOKUP($A138,satpek!$B$20:$N$144,6,0)</f>
        <v>62262.1</v>
      </c>
      <c r="K138" s="1558"/>
      <c r="L138" s="1571">
        <f t="shared" si="103"/>
        <v>68396162.090000004</v>
      </c>
      <c r="M138" s="1641"/>
      <c r="N138" s="1572">
        <f>VLOOKUP($A138,satpek!$B$20:$L$138,8,0)</f>
        <v>0.9857083021169093</v>
      </c>
      <c r="O138" s="1573">
        <f>VLOOKUP($A138,satpek!$B$20:$L$138,9,0)</f>
        <v>54311.738880000004</v>
      </c>
      <c r="P138" s="1573">
        <f>VLOOKUP($A138,satpek!$B$20:$L$138,10,0)</f>
        <v>61372.264934400009</v>
      </c>
      <c r="Q138" s="1571">
        <f t="shared" si="104"/>
        <v>59662531.394457601</v>
      </c>
      <c r="R138" s="1571">
        <f t="shared" si="105"/>
        <v>67418660.475737095</v>
      </c>
      <c r="S138" s="1574">
        <f t="shared" si="106"/>
        <v>977501.6142629087</v>
      </c>
      <c r="V138" s="1575">
        <v>1098.52</v>
      </c>
      <c r="W138" s="1575">
        <f t="shared" si="57"/>
        <v>0</v>
      </c>
      <c r="X138" s="1465" t="s">
        <v>469</v>
      </c>
      <c r="AB138" s="1465"/>
      <c r="AC138" s="1465"/>
      <c r="AD138" s="1465"/>
      <c r="AE138" s="1466">
        <v>59838.25</v>
      </c>
      <c r="AF138" s="1579">
        <f t="shared" si="58"/>
        <v>-2423.8499999999985</v>
      </c>
    </row>
    <row r="139" spans="1:32" ht="21.95" customHeight="1" x14ac:dyDescent="0.2">
      <c r="A139" s="1462">
        <f>satpek!$B$109</f>
        <v>90</v>
      </c>
      <c r="B139" s="1663">
        <f>B138+1</f>
        <v>4</v>
      </c>
      <c r="C139" s="1557"/>
      <c r="D139" s="1568" t="str">
        <f>VLOOKUP($A139,satpek!$B$20:$N$144,2,0)</f>
        <v>Sponengan</v>
      </c>
      <c r="E139" s="1568"/>
      <c r="F139" s="1580"/>
      <c r="G139" s="1453">
        <f>'[3]B.VOL RAB'!Q281</f>
        <v>1206.2</v>
      </c>
      <c r="H139" s="788" t="str">
        <f>VLOOKUP($A139,satpek!$B$20:$N$144,7,0)</f>
        <v>m'</v>
      </c>
      <c r="I139" s="1569" t="str">
        <f>VLOOKUP($A139,satpek!$B$20:$N$144,5,0)</f>
        <v>Harga Satuan</v>
      </c>
      <c r="J139" s="1570">
        <f>VLOOKUP($A139,satpek!$B$20:$N$144,6,0)</f>
        <v>15000</v>
      </c>
      <c r="K139" s="1558"/>
      <c r="L139" s="1571">
        <f t="shared" si="103"/>
        <v>18093000</v>
      </c>
      <c r="M139" s="1617"/>
      <c r="N139" s="1572">
        <f>VLOOKUP($A139,satpek!$B$20:$L$138,8,0)</f>
        <v>0.5</v>
      </c>
      <c r="O139" s="1573">
        <f>VLOOKUP($A139,satpek!$B$20:$L$138,9,0)</f>
        <v>0</v>
      </c>
      <c r="P139" s="1573">
        <f>VLOOKUP($A139,satpek!$B$20:$L$138,10,0)</f>
        <v>7500</v>
      </c>
      <c r="Q139" s="1571">
        <f t="shared" si="104"/>
        <v>0</v>
      </c>
      <c r="R139" s="1571">
        <f t="shared" si="105"/>
        <v>9046500</v>
      </c>
      <c r="S139" s="1574">
        <f t="shared" si="106"/>
        <v>9046500</v>
      </c>
      <c r="V139" s="1575">
        <v>1206.2</v>
      </c>
      <c r="W139" s="1575">
        <f t="shared" si="57"/>
        <v>0</v>
      </c>
      <c r="X139" s="1465" t="s">
        <v>585</v>
      </c>
      <c r="AB139" s="1465"/>
      <c r="AC139" s="1465"/>
      <c r="AD139" s="1465"/>
      <c r="AE139" s="1466">
        <v>15000</v>
      </c>
      <c r="AF139" s="1579">
        <f t="shared" si="58"/>
        <v>0</v>
      </c>
    </row>
    <row r="140" spans="1:32" ht="21.95" customHeight="1" x14ac:dyDescent="0.2">
      <c r="A140" s="1462">
        <f>satpek!$B$37</f>
        <v>18</v>
      </c>
      <c r="B140" s="1663">
        <f>B139+1</f>
        <v>5</v>
      </c>
      <c r="C140" s="1557"/>
      <c r="D140" s="1568" t="str">
        <f>VLOOKUP($A140,satpek!$B$20:$N$144,2,0)</f>
        <v>Memasang acian</v>
      </c>
      <c r="E140" s="1568"/>
      <c r="F140" s="1580"/>
      <c r="G140" s="1453">
        <f>'[3]B.VOL RAB'!Q284</f>
        <v>1098.52</v>
      </c>
      <c r="H140" s="788" t="str">
        <f>VLOOKUP($A140,satpek!$B$20:$N$144,7,0)</f>
        <v>m2</v>
      </c>
      <c r="I140" s="1569" t="str">
        <f>VLOOKUP($A140,satpek!$B$20:$N$144,5,0)</f>
        <v>A.4.4.2.27.</v>
      </c>
      <c r="J140" s="1570">
        <f>VLOOKUP($A140,satpek!$B$20:$N$144,6,0)</f>
        <v>36634.6</v>
      </c>
      <c r="K140" s="1558"/>
      <c r="L140" s="1571">
        <f t="shared" si="103"/>
        <v>40243840.789999999</v>
      </c>
      <c r="M140" s="1617"/>
      <c r="N140" s="1572">
        <f>VLOOKUP($A140,satpek!$B$20:$L$138,8,0)</f>
        <v>0.98212399753238744</v>
      </c>
      <c r="O140" s="1573">
        <f>VLOOKUP($A140,satpek!$B$20:$L$138,9,0)</f>
        <v>31840.46</v>
      </c>
      <c r="P140" s="1573">
        <f>VLOOKUP($A140,satpek!$B$20:$L$138,10,0)</f>
        <v>35979.719799999999</v>
      </c>
      <c r="Q140" s="1571">
        <f t="shared" si="104"/>
        <v>34977382.119199999</v>
      </c>
      <c r="R140" s="1571">
        <f t="shared" si="105"/>
        <v>39524441.794695996</v>
      </c>
      <c r="S140" s="1574">
        <f t="shared" si="106"/>
        <v>719398.99530400336</v>
      </c>
      <c r="V140" s="1575">
        <v>1098.52</v>
      </c>
      <c r="W140" s="1575">
        <f t="shared" si="57"/>
        <v>0</v>
      </c>
      <c r="X140" s="1465" t="s">
        <v>470</v>
      </c>
      <c r="AB140" s="1465"/>
      <c r="AC140" s="1465"/>
      <c r="AD140" s="1465"/>
      <c r="AE140" s="1466">
        <v>35628.9</v>
      </c>
      <c r="AF140" s="1579">
        <f t="shared" si="58"/>
        <v>-1005.6999999999971</v>
      </c>
    </row>
    <row r="141" spans="1:32" ht="21.95" customHeight="1" x14ac:dyDescent="0.2">
      <c r="B141" s="1664"/>
      <c r="C141" s="1557"/>
      <c r="D141" s="1568"/>
      <c r="E141" s="1568"/>
      <c r="F141" s="1580"/>
      <c r="G141" s="1453"/>
      <c r="H141" s="1647"/>
      <c r="I141" s="1569"/>
      <c r="J141" s="1570"/>
      <c r="K141" s="1665"/>
      <c r="L141" s="1571"/>
      <c r="M141" s="1617"/>
      <c r="N141" s="1648"/>
      <c r="O141" s="1649"/>
      <c r="P141" s="1649"/>
      <c r="Q141" s="1650"/>
      <c r="R141" s="1651"/>
      <c r="S141" s="1652"/>
      <c r="V141" s="1575"/>
      <c r="W141" s="1575">
        <f t="shared" si="57"/>
        <v>0</v>
      </c>
      <c r="AB141" s="1465"/>
      <c r="AC141" s="1465"/>
      <c r="AD141" s="1465"/>
      <c r="AE141" s="1466"/>
      <c r="AF141" s="1579">
        <f t="shared" si="58"/>
        <v>0</v>
      </c>
    </row>
    <row r="142" spans="1:32" ht="21.95" customHeight="1" x14ac:dyDescent="0.2">
      <c r="B142" s="1602"/>
      <c r="C142" s="1550"/>
      <c r="D142" s="1551" t="s">
        <v>1786</v>
      </c>
      <c r="E142" s="1552"/>
      <c r="F142" s="1553"/>
      <c r="G142" s="1453"/>
      <c r="H142" s="1647"/>
      <c r="I142" s="1569"/>
      <c r="J142" s="1570"/>
      <c r="K142" s="1665"/>
      <c r="L142" s="1571"/>
      <c r="M142" s="1641"/>
      <c r="N142" s="1648"/>
      <c r="O142" s="1649"/>
      <c r="P142" s="1649"/>
      <c r="Q142" s="1650"/>
      <c r="R142" s="1651"/>
      <c r="S142" s="1652"/>
      <c r="V142" s="1575"/>
      <c r="W142" s="1575">
        <f t="shared" si="57"/>
        <v>0</v>
      </c>
      <c r="X142" s="1465" t="s">
        <v>1786</v>
      </c>
      <c r="AF142" s="1579">
        <f t="shared" si="58"/>
        <v>0</v>
      </c>
    </row>
    <row r="143" spans="1:32" ht="21.95" customHeight="1" x14ac:dyDescent="0.2">
      <c r="A143" s="1462">
        <f>satpek!$B$34</f>
        <v>15</v>
      </c>
      <c r="B143" s="1567">
        <v>1</v>
      </c>
      <c r="C143" s="1557"/>
      <c r="D143" s="1568" t="str">
        <f>VLOOKUP($A143,satpek!$B$20:$N$144,2,0)</f>
        <v>Membuat dinding bt. merah t: 1/2bata, camp 1PC:8PP</v>
      </c>
      <c r="E143" s="1568"/>
      <c r="F143" s="1580"/>
      <c r="G143" s="1453">
        <f>'[3]B.VOL RAB'!Q288</f>
        <v>407.23250000000002</v>
      </c>
      <c r="H143" s="788" t="str">
        <f>VLOOKUP($A143,satpek!$B$20:$N$144,7,0)</f>
        <v>m2</v>
      </c>
      <c r="I143" s="1569" t="str">
        <f>VLOOKUP($A143,satpek!$B$20:$N$144,5,0)</f>
        <v>A.4.4.1.12.</v>
      </c>
      <c r="J143" s="1570">
        <f>VLOOKUP($A143,satpek!$B$20:$N$144,6,0)</f>
        <v>129498</v>
      </c>
      <c r="K143" s="1558"/>
      <c r="L143" s="1571">
        <f t="shared" ref="L143:L147" si="107">ROUND((G143*J143),2)</f>
        <v>52735794.289999999</v>
      </c>
      <c r="M143" s="1641"/>
      <c r="N143" s="1572">
        <f>VLOOKUP($A143,satpek!$B$20:$L$138,8,0)</f>
        <v>0.98988586387434552</v>
      </c>
      <c r="O143" s="1573">
        <f>VLOOKUP($A143,satpek!$B$20:$L$138,9,0)</f>
        <v>113440.92</v>
      </c>
      <c r="P143" s="1573">
        <f>VLOOKUP($A143,satpek!$B$20:$L$138,10,0)</f>
        <v>128188.2396</v>
      </c>
      <c r="Q143" s="1571">
        <f t="shared" ref="Q143:Q147" si="108">O143*G143</f>
        <v>46196829.453900002</v>
      </c>
      <c r="R143" s="1571">
        <f t="shared" ref="R143:R147" si="109">P143*G143</f>
        <v>52202417.282907002</v>
      </c>
      <c r="S143" s="1574">
        <f t="shared" ref="S143:S147" si="110">L143-R143</f>
        <v>533377.00709299743</v>
      </c>
      <c r="V143" s="1575">
        <v>407.23250000000002</v>
      </c>
      <c r="W143" s="1575">
        <f t="shared" si="57"/>
        <v>0</v>
      </c>
      <c r="X143" s="1465" t="s">
        <v>666</v>
      </c>
      <c r="AE143" s="879">
        <v>119970.97</v>
      </c>
      <c r="AF143" s="1579">
        <f t="shared" si="58"/>
        <v>-9527.0299999999988</v>
      </c>
    </row>
    <row r="144" spans="1:32" ht="21.95" customHeight="1" x14ac:dyDescent="0.2">
      <c r="A144" s="1462">
        <f>satpek!$B$58</f>
        <v>39</v>
      </c>
      <c r="B144" s="1663">
        <f>B143+1</f>
        <v>2</v>
      </c>
      <c r="C144" s="1557"/>
      <c r="D144" s="1568" t="str">
        <f>VLOOKUP($A144,satpek!$B$20:$N$144,2,0)</f>
        <v>Membuat dinding partisi gypsum 9mm double</v>
      </c>
      <c r="E144" s="1568"/>
      <c r="F144" s="1580"/>
      <c r="G144" s="1453">
        <f>'[3]B.VOL RAB'!Q313</f>
        <v>236.99750000000009</v>
      </c>
      <c r="H144" s="788" t="str">
        <f>VLOOKUP($A144,satpek!$B$20:$N$144,7,0)</f>
        <v>m2</v>
      </c>
      <c r="I144" s="1569" t="str">
        <f>VLOOKUP($A144,satpek!$B$20:$N$144,5,0)</f>
        <v>A.4.2.1.20.</v>
      </c>
      <c r="J144" s="1570">
        <f>VLOOKUP($A144,satpek!$B$20:$N$144,6,0)</f>
        <v>210845.94</v>
      </c>
      <c r="K144" s="1558"/>
      <c r="L144" s="1571">
        <f t="shared" si="107"/>
        <v>49969960.670000002</v>
      </c>
      <c r="M144" s="1617"/>
      <c r="N144" s="1572">
        <f>VLOOKUP($A144,satpek!$B$20:$L$138,8,0)</f>
        <v>0.45788799844557021</v>
      </c>
      <c r="O144" s="1573">
        <f>VLOOKUP($A144,satpek!$B$20:$L$138,9,0)</f>
        <v>85437.014844999998</v>
      </c>
      <c r="P144" s="1573">
        <f>VLOOKUP($A144,satpek!$B$20:$L$138,10,0)</f>
        <v>96543.826774849993</v>
      </c>
      <c r="Q144" s="1571">
        <f t="shared" si="108"/>
        <v>20248358.925727893</v>
      </c>
      <c r="R144" s="1571">
        <f t="shared" si="109"/>
        <v>22880645.586072519</v>
      </c>
      <c r="S144" s="1574">
        <f t="shared" si="110"/>
        <v>27089315.083927482</v>
      </c>
      <c r="V144" s="1575">
        <v>236.99750000000009</v>
      </c>
      <c r="W144" s="1575">
        <f t="shared" si="57"/>
        <v>0</v>
      </c>
      <c r="X144" s="1465" t="s">
        <v>1911</v>
      </c>
      <c r="AE144" s="879">
        <v>203748.41000000003</v>
      </c>
      <c r="AF144" s="1579">
        <f t="shared" si="58"/>
        <v>-7097.5299999999697</v>
      </c>
    </row>
    <row r="145" spans="1:32" ht="21.95" customHeight="1" x14ac:dyDescent="0.2">
      <c r="A145" s="1462">
        <f>satpek!$B$36</f>
        <v>17</v>
      </c>
      <c r="B145" s="1663">
        <f>B144+1</f>
        <v>3</v>
      </c>
      <c r="C145" s="1557"/>
      <c r="D145" s="1568" t="str">
        <f>VLOOKUP($A145,satpek!$B$20:$N$144,2,0)</f>
        <v>Memasang plesteran 1 PC : 6 PP, tebal 15 mm</v>
      </c>
      <c r="E145" s="1568"/>
      <c r="F145" s="1580"/>
      <c r="G145" s="1453">
        <f>'[3]B.VOL RAB'!Q330</f>
        <v>814.46500000000003</v>
      </c>
      <c r="H145" s="788" t="str">
        <f>VLOOKUP($A145,satpek!$B$20:$N$144,7,0)</f>
        <v>m2</v>
      </c>
      <c r="I145" s="1569" t="str">
        <f>VLOOKUP($A145,satpek!$B$20:$N$144,5,0)</f>
        <v>A.4.4.2.6.</v>
      </c>
      <c r="J145" s="1570">
        <f>VLOOKUP($A145,satpek!$B$20:$N$144,6,0)</f>
        <v>62262.1</v>
      </c>
      <c r="K145" s="1558"/>
      <c r="L145" s="1571">
        <f t="shared" si="107"/>
        <v>50710301.280000001</v>
      </c>
      <c r="M145" s="1641"/>
      <c r="N145" s="1572">
        <f>VLOOKUP($A145,satpek!$B$20:$L$138,8,0)</f>
        <v>0.9857083021169093</v>
      </c>
      <c r="O145" s="1573">
        <f>VLOOKUP($A145,satpek!$B$20:$L$138,9,0)</f>
        <v>54311.738880000004</v>
      </c>
      <c r="P145" s="1573">
        <f>VLOOKUP($A145,satpek!$B$20:$L$138,10,0)</f>
        <v>61372.264934400009</v>
      </c>
      <c r="Q145" s="1571">
        <f t="shared" si="108"/>
        <v>44235010.406899206</v>
      </c>
      <c r="R145" s="1571">
        <f t="shared" si="109"/>
        <v>49985561.759796105</v>
      </c>
      <c r="S145" s="1574">
        <f t="shared" si="110"/>
        <v>724739.52020389587</v>
      </c>
      <c r="V145" s="1575">
        <v>814.46500000000003</v>
      </c>
      <c r="W145" s="1575">
        <f t="shared" si="57"/>
        <v>0</v>
      </c>
      <c r="X145" s="1465" t="s">
        <v>469</v>
      </c>
      <c r="AE145" s="879">
        <v>59838.25</v>
      </c>
      <c r="AF145" s="1579">
        <f t="shared" si="58"/>
        <v>-2423.8499999999985</v>
      </c>
    </row>
    <row r="146" spans="1:32" ht="21.95" customHeight="1" x14ac:dyDescent="0.2">
      <c r="A146" s="1462">
        <f>satpek!$B$109</f>
        <v>90</v>
      </c>
      <c r="B146" s="1663">
        <f>B145+1</f>
        <v>4</v>
      </c>
      <c r="C146" s="1557"/>
      <c r="D146" s="1568" t="str">
        <f>VLOOKUP($A146,satpek!$B$20:$N$144,2,0)</f>
        <v>Sponengan</v>
      </c>
      <c r="E146" s="1568"/>
      <c r="F146" s="1580"/>
      <c r="G146" s="1453">
        <f>'[3]B.VOL RAB'!Q331</f>
        <v>1006.24</v>
      </c>
      <c r="H146" s="788" t="str">
        <f>VLOOKUP($A146,satpek!$B$20:$N$144,7,0)</f>
        <v>m'</v>
      </c>
      <c r="I146" s="1569" t="str">
        <f>VLOOKUP($A146,satpek!$B$20:$N$144,5,0)</f>
        <v>Harga Satuan</v>
      </c>
      <c r="J146" s="1570">
        <f>VLOOKUP($A146,satpek!$B$20:$N$144,6,0)</f>
        <v>15000</v>
      </c>
      <c r="K146" s="1558"/>
      <c r="L146" s="1571">
        <f t="shared" si="107"/>
        <v>15093600</v>
      </c>
      <c r="M146" s="1617"/>
      <c r="N146" s="1572">
        <f>VLOOKUP($A146,satpek!$B$20:$L$138,8,0)</f>
        <v>0.5</v>
      </c>
      <c r="O146" s="1573">
        <f>VLOOKUP($A146,satpek!$B$20:$L$138,9,0)</f>
        <v>0</v>
      </c>
      <c r="P146" s="1573">
        <f>VLOOKUP($A146,satpek!$B$20:$L$138,10,0)</f>
        <v>7500</v>
      </c>
      <c r="Q146" s="1571">
        <f t="shared" si="108"/>
        <v>0</v>
      </c>
      <c r="R146" s="1571">
        <f t="shared" si="109"/>
        <v>7546800</v>
      </c>
      <c r="S146" s="1574">
        <f t="shared" si="110"/>
        <v>7546800</v>
      </c>
      <c r="V146" s="1575">
        <v>1006.24</v>
      </c>
      <c r="W146" s="1575">
        <f t="shared" ref="W146:W209" si="111">V146-G146</f>
        <v>0</v>
      </c>
      <c r="X146" s="1465" t="s">
        <v>585</v>
      </c>
      <c r="AE146" s="879">
        <v>15000</v>
      </c>
      <c r="AF146" s="1579">
        <f t="shared" ref="AF146:AF209" si="112">AE146-J146</f>
        <v>0</v>
      </c>
    </row>
    <row r="147" spans="1:32" ht="21.95" customHeight="1" x14ac:dyDescent="0.2">
      <c r="A147" s="1462">
        <f>satpek!$B$37</f>
        <v>18</v>
      </c>
      <c r="B147" s="1663">
        <f>B146+1</f>
        <v>5</v>
      </c>
      <c r="C147" s="1557"/>
      <c r="D147" s="1568" t="str">
        <f>VLOOKUP($A147,satpek!$B$20:$N$144,2,0)</f>
        <v>Memasang acian</v>
      </c>
      <c r="E147" s="1568"/>
      <c r="F147" s="1580"/>
      <c r="G147" s="1453">
        <f>'[3]B.VOL RAB'!Q334</f>
        <v>754.95699999999999</v>
      </c>
      <c r="H147" s="788" t="str">
        <f>VLOOKUP($A147,satpek!$B$20:$N$144,7,0)</f>
        <v>m2</v>
      </c>
      <c r="I147" s="1569" t="str">
        <f>VLOOKUP($A147,satpek!$B$20:$N$144,5,0)</f>
        <v>A.4.4.2.27.</v>
      </c>
      <c r="J147" s="1570">
        <f>VLOOKUP($A147,satpek!$B$20:$N$144,6,0)</f>
        <v>36634.6</v>
      </c>
      <c r="K147" s="1558"/>
      <c r="L147" s="1571">
        <f t="shared" si="107"/>
        <v>27657547.710000001</v>
      </c>
      <c r="M147" s="1617"/>
      <c r="N147" s="1572">
        <f>VLOOKUP($A147,satpek!$B$20:$L$138,8,0)</f>
        <v>0.98212399753238744</v>
      </c>
      <c r="O147" s="1573">
        <f>VLOOKUP($A147,satpek!$B$20:$L$138,9,0)</f>
        <v>31840.46</v>
      </c>
      <c r="P147" s="1573">
        <f>VLOOKUP($A147,satpek!$B$20:$L$138,10,0)</f>
        <v>35979.719799999999</v>
      </c>
      <c r="Q147" s="1571">
        <f t="shared" si="108"/>
        <v>24038178.160220001</v>
      </c>
      <c r="R147" s="1571">
        <f t="shared" si="109"/>
        <v>27163141.321048599</v>
      </c>
      <c r="S147" s="1574">
        <f t="shared" si="110"/>
        <v>494406.38895140216</v>
      </c>
      <c r="V147" s="1575">
        <v>754.95699999999999</v>
      </c>
      <c r="W147" s="1575">
        <f t="shared" si="111"/>
        <v>0</v>
      </c>
      <c r="X147" s="1465" t="s">
        <v>470</v>
      </c>
      <c r="AE147" s="879">
        <v>35628.9</v>
      </c>
      <c r="AF147" s="1579">
        <f t="shared" si="112"/>
        <v>-1005.6999999999971</v>
      </c>
    </row>
    <row r="148" spans="1:32" ht="21.95" customHeight="1" x14ac:dyDescent="0.2">
      <c r="B148" s="1587"/>
      <c r="C148" s="1588"/>
      <c r="D148" s="1589"/>
      <c r="E148" s="1589"/>
      <c r="F148" s="1590"/>
      <c r="G148" s="807"/>
      <c r="H148" s="1591"/>
      <c r="I148" s="1592"/>
      <c r="J148" s="1593"/>
      <c r="K148" s="1594"/>
      <c r="L148" s="1595" t="s">
        <v>1802</v>
      </c>
      <c r="M148" s="1596">
        <f>SUM(L136:L148)</f>
        <v>446135900.54000002</v>
      </c>
      <c r="N148" s="1597"/>
      <c r="O148" s="1598"/>
      <c r="P148" s="1598"/>
      <c r="Q148" s="1599"/>
      <c r="R148" s="1600"/>
      <c r="S148" s="1601"/>
      <c r="T148" s="1477">
        <f>[3]HPS!M151</f>
        <v>427086385.24000001</v>
      </c>
      <c r="U148" s="1477">
        <f>M148-T148</f>
        <v>19049515.300000012</v>
      </c>
      <c r="V148" s="1575"/>
      <c r="W148" s="1575">
        <f t="shared" si="111"/>
        <v>0</v>
      </c>
      <c r="AF148" s="1579">
        <f t="shared" si="112"/>
        <v>0</v>
      </c>
    </row>
    <row r="149" spans="1:32" ht="21.95" customHeight="1" x14ac:dyDescent="0.2">
      <c r="B149" s="1549" t="s">
        <v>1803</v>
      </c>
      <c r="C149" s="1550"/>
      <c r="D149" s="1551" t="s">
        <v>1804</v>
      </c>
      <c r="E149" s="1552"/>
      <c r="F149" s="1553"/>
      <c r="G149" s="1453"/>
      <c r="H149" s="1555"/>
      <c r="I149" s="1556"/>
      <c r="J149" s="1570"/>
      <c r="K149" s="1639"/>
      <c r="L149" s="1640"/>
      <c r="M149" s="1641"/>
      <c r="N149" s="1561"/>
      <c r="O149" s="1562"/>
      <c r="P149" s="1562"/>
      <c r="Q149" s="1563"/>
      <c r="R149" s="1564"/>
      <c r="S149" s="1565"/>
      <c r="V149" s="1575">
        <f>Rekap!Q48</f>
        <v>1175000</v>
      </c>
      <c r="W149" s="1575">
        <f t="shared" si="111"/>
        <v>1175000</v>
      </c>
      <c r="X149" s="1465" t="s">
        <v>1804</v>
      </c>
      <c r="AB149" s="1465"/>
      <c r="AC149" s="1465"/>
      <c r="AD149" s="1465"/>
      <c r="AE149" s="1466"/>
      <c r="AF149" s="1579">
        <f t="shared" si="112"/>
        <v>0</v>
      </c>
    </row>
    <row r="150" spans="1:32" ht="21.95" customHeight="1" x14ac:dyDescent="0.2">
      <c r="B150" s="1549"/>
      <c r="C150" s="1550"/>
      <c r="D150" s="1551" t="s">
        <v>1769</v>
      </c>
      <c r="E150" s="1552"/>
      <c r="F150" s="1553"/>
      <c r="G150" s="1453"/>
      <c r="H150" s="1555"/>
      <c r="I150" s="1556"/>
      <c r="J150" s="1570"/>
      <c r="K150" s="1639"/>
      <c r="L150" s="1640"/>
      <c r="M150" s="1626"/>
      <c r="N150" s="1561"/>
      <c r="O150" s="1562"/>
      <c r="P150" s="1562"/>
      <c r="Q150" s="1563"/>
      <c r="R150" s="1564"/>
      <c r="S150" s="1565"/>
      <c r="V150" s="1575"/>
      <c r="W150" s="1575">
        <f t="shared" si="111"/>
        <v>0</v>
      </c>
      <c r="X150" s="1465" t="s">
        <v>1769</v>
      </c>
      <c r="AB150" s="1465"/>
      <c r="AC150" s="1465"/>
      <c r="AD150" s="1465"/>
      <c r="AE150" s="1466"/>
      <c r="AF150" s="1579">
        <f t="shared" si="112"/>
        <v>0</v>
      </c>
    </row>
    <row r="151" spans="1:32" s="1576" customFormat="1" ht="21.95" customHeight="1" x14ac:dyDescent="0.2">
      <c r="A151" s="1566">
        <f>satpek!$B$39</f>
        <v>20</v>
      </c>
      <c r="B151" s="1567">
        <v>1</v>
      </c>
      <c r="C151" s="1552"/>
      <c r="D151" s="1568" t="s">
        <v>1805</v>
      </c>
      <c r="E151" s="1552"/>
      <c r="F151" s="1553"/>
      <c r="G151" s="1453">
        <f>'[3]B.VOL RAB'!Q340</f>
        <v>67.116</v>
      </c>
      <c r="H151" s="788" t="str">
        <f>VLOOKUP($A151,satpek!$B$20:$N$144,7,0)</f>
        <v>m3</v>
      </c>
      <c r="I151" s="1569" t="str">
        <f>VLOOKUP($A151,satpek!$B$20:$N$144,5,0)</f>
        <v>A.4.1.1.1.</v>
      </c>
      <c r="J151" s="1570">
        <f>VLOOKUP($A151,satpek!$B$20:$N$144,6,0)</f>
        <v>958085.99</v>
      </c>
      <c r="K151" s="1558"/>
      <c r="L151" s="1571">
        <f t="shared" ref="L151:L159" si="113">ROUND((G151*J151),2)</f>
        <v>64302899.299999997</v>
      </c>
      <c r="M151" s="1610"/>
      <c r="N151" s="1572">
        <f>VLOOKUP($A151,satpek!$B$20:$L$138,8,0)</f>
        <v>0.94805174525042479</v>
      </c>
      <c r="O151" s="1573">
        <f>VLOOKUP($A151,satpek!$B$20:$L$138,9,0)</f>
        <v>803818.67</v>
      </c>
      <c r="P151" s="1573">
        <f>VLOOKUP($A151,satpek!$B$20:$L$138,10,0)</f>
        <v>908315.09710000001</v>
      </c>
      <c r="Q151" s="1571">
        <f t="shared" ref="Q151:Q159" si="114">O151*G151</f>
        <v>53949093.855720006</v>
      </c>
      <c r="R151" s="1571">
        <f t="shared" ref="R151:R159" si="115">P151*G151</f>
        <v>60962476.0569636</v>
      </c>
      <c r="S151" s="1574">
        <f t="shared" ref="S151:S159" si="116">L151-R151</f>
        <v>3340423.2430363968</v>
      </c>
      <c r="T151" s="1477"/>
      <c r="U151" s="1477"/>
      <c r="V151" s="1575">
        <v>67.116</v>
      </c>
      <c r="W151" s="1575">
        <f t="shared" si="111"/>
        <v>0</v>
      </c>
      <c r="X151" s="1576" t="s">
        <v>1805</v>
      </c>
      <c r="AE151" s="1666">
        <v>969189.7</v>
      </c>
      <c r="AF151" s="1579">
        <f t="shared" si="112"/>
        <v>11103.709999999963</v>
      </c>
    </row>
    <row r="152" spans="1:32" ht="21.95" customHeight="1" x14ac:dyDescent="0.2">
      <c r="A152" s="1462">
        <f>satpek!$B$62</f>
        <v>43</v>
      </c>
      <c r="B152" s="1567">
        <f>B151+1</f>
        <v>2</v>
      </c>
      <c r="C152" s="1557"/>
      <c r="D152" s="1568" t="s">
        <v>1806</v>
      </c>
      <c r="E152" s="1568"/>
      <c r="F152" s="1580"/>
      <c r="G152" s="1453">
        <f>'[3]B.VOL RAB'!Q341</f>
        <v>742.51</v>
      </c>
      <c r="H152" s="788" t="str">
        <f>VLOOKUP($A152,satpek!$B$20:$N$144,7,0)</f>
        <v>m2</v>
      </c>
      <c r="I152" s="1569" t="str">
        <f>VLOOKUP($A152,satpek!$B$20:$N$144,5,0)</f>
        <v>An. Dihitung</v>
      </c>
      <c r="J152" s="1570">
        <f>VLOOKUP($A152,satpek!$B$20:$N$144,6,0)</f>
        <v>245041.63</v>
      </c>
      <c r="K152" s="1558"/>
      <c r="L152" s="1571">
        <f t="shared" si="113"/>
        <v>181945860.69</v>
      </c>
      <c r="M152" s="1626"/>
      <c r="N152" s="1572">
        <f>VLOOKUP($A152,satpek!$B$20:$L$138,8,0)</f>
        <v>0.81409874983283448</v>
      </c>
      <c r="O152" s="1573">
        <f>VLOOKUP($A152,satpek!$B$20:$L$138,9,0)</f>
        <v>176538.128</v>
      </c>
      <c r="P152" s="1573">
        <f>VLOOKUP($A152,satpek!$B$20:$L$138,10,0)</f>
        <v>199488.08463999999</v>
      </c>
      <c r="Q152" s="1571">
        <f t="shared" si="114"/>
        <v>131081325.42128</v>
      </c>
      <c r="R152" s="1571">
        <f t="shared" si="115"/>
        <v>148121897.72604638</v>
      </c>
      <c r="S152" s="1574">
        <f t="shared" si="116"/>
        <v>33823962.963953614</v>
      </c>
      <c r="V152" s="1575">
        <v>742.51</v>
      </c>
      <c r="W152" s="1575">
        <f t="shared" si="111"/>
        <v>0</v>
      </c>
      <c r="X152" s="1465" t="s">
        <v>1806</v>
      </c>
      <c r="AB152" s="1465"/>
      <c r="AC152" s="1465"/>
      <c r="AD152" s="1465"/>
      <c r="AE152" s="1466">
        <v>197097.99</v>
      </c>
      <c r="AF152" s="1579">
        <f t="shared" si="112"/>
        <v>-47943.640000000014</v>
      </c>
    </row>
    <row r="153" spans="1:32" ht="21.95" customHeight="1" x14ac:dyDescent="0.2">
      <c r="A153" s="1462">
        <f>satpek!$B$63</f>
        <v>44</v>
      </c>
      <c r="B153" s="1567">
        <f t="shared" ref="B153:B159" si="117">B152+1</f>
        <v>3</v>
      </c>
      <c r="C153" s="1557"/>
      <c r="D153" s="1568" t="s">
        <v>1807</v>
      </c>
      <c r="E153" s="1568"/>
      <c r="F153" s="1580"/>
      <c r="G153" s="1453">
        <f>'[3]B.VOL RAB'!Q348</f>
        <v>80.600000000000009</v>
      </c>
      <c r="H153" s="788" t="str">
        <f>VLOOKUP($A153,satpek!$B$20:$N$144,7,0)</f>
        <v>m2</v>
      </c>
      <c r="I153" s="1569" t="str">
        <f>VLOOKUP($A153,satpek!$B$20:$N$144,5,0)</f>
        <v>An. Dihitung</v>
      </c>
      <c r="J153" s="1570">
        <f>VLOOKUP($A153,satpek!$B$20:$N$144,6,0)</f>
        <v>301541.63</v>
      </c>
      <c r="K153" s="1558"/>
      <c r="L153" s="1571">
        <f t="shared" si="113"/>
        <v>24304255.379999999</v>
      </c>
      <c r="M153" s="1626"/>
      <c r="N153" s="1572">
        <f>VLOOKUP($A153,satpek!$B$20:$L$138,8,0)</f>
        <v>0.79200800446691222</v>
      </c>
      <c r="O153" s="1573">
        <f>VLOOKUP($A153,satpek!$B$20:$L$138,9,0)</f>
        <v>211348.128</v>
      </c>
      <c r="P153" s="1573">
        <f>VLOOKUP($A153,satpek!$B$20:$L$138,10,0)</f>
        <v>238823.38464</v>
      </c>
      <c r="Q153" s="1571">
        <f t="shared" si="114"/>
        <v>17034659.116800003</v>
      </c>
      <c r="R153" s="1571">
        <f t="shared" si="115"/>
        <v>19249164.801984001</v>
      </c>
      <c r="S153" s="1574">
        <f t="shared" si="116"/>
        <v>5055090.578015998</v>
      </c>
      <c r="V153" s="1575">
        <v>80.600000000000009</v>
      </c>
      <c r="W153" s="1575">
        <f t="shared" si="111"/>
        <v>0</v>
      </c>
      <c r="X153" s="1465" t="s">
        <v>1807</v>
      </c>
      <c r="AB153" s="1465"/>
      <c r="AC153" s="1465"/>
      <c r="AD153" s="1465"/>
      <c r="AE153" s="1466">
        <v>230387.79</v>
      </c>
      <c r="AF153" s="1579">
        <f t="shared" si="112"/>
        <v>-71153.84</v>
      </c>
    </row>
    <row r="154" spans="1:32" ht="21.95" customHeight="1" x14ac:dyDescent="0.2">
      <c r="A154" s="1462">
        <f>satpek!$B$64</f>
        <v>45</v>
      </c>
      <c r="B154" s="1567">
        <f t="shared" si="117"/>
        <v>4</v>
      </c>
      <c r="C154" s="1557"/>
      <c r="D154" s="1568" t="str">
        <f>VLOOKUP($A154,satpek!$B$20:$N$144,2,0)</f>
        <v>Memasang dinding Homogenius tile  uk. (30x60) cm</v>
      </c>
      <c r="E154" s="1568"/>
      <c r="F154" s="1580"/>
      <c r="G154" s="1453">
        <f>'[3]B.VOL RAB'!Q353</f>
        <v>67.824000000000012</v>
      </c>
      <c r="H154" s="788" t="str">
        <f>VLOOKUP($A154,satpek!$B$20:$N$144,7,0)</f>
        <v>m2</v>
      </c>
      <c r="I154" s="1569" t="str">
        <f>VLOOKUP($A154,satpek!$B$20:$N$144,5,0)</f>
        <v>An. Dihitung</v>
      </c>
      <c r="J154" s="1570">
        <f>VLOOKUP($A154,satpek!$B$20:$N$144,6,0)</f>
        <v>281318.25</v>
      </c>
      <c r="K154" s="1558"/>
      <c r="L154" s="1571">
        <f t="shared" si="113"/>
        <v>19080128.989999998</v>
      </c>
      <c r="M154" s="1626"/>
      <c r="N154" s="1572">
        <f>VLOOKUP($A154,satpek!$B$20:$L$138,8,0)</f>
        <v>0.85772412757045269</v>
      </c>
      <c r="O154" s="1573">
        <f>VLOOKUP($A154,satpek!$B$20:$L$138,9,0)</f>
        <v>213534.024</v>
      </c>
      <c r="P154" s="1573">
        <f>VLOOKUP($A154,satpek!$B$20:$L$138,10,0)</f>
        <v>241293.44712</v>
      </c>
      <c r="Q154" s="1571">
        <f t="shared" si="114"/>
        <v>14482731.643776003</v>
      </c>
      <c r="R154" s="1571">
        <f t="shared" si="115"/>
        <v>16365486.757466882</v>
      </c>
      <c r="S154" s="1574">
        <f t="shared" si="116"/>
        <v>2714642.2325331159</v>
      </c>
      <c r="V154" s="1575">
        <v>67.824000000000012</v>
      </c>
      <c r="W154" s="1575">
        <f t="shared" si="111"/>
        <v>0</v>
      </c>
      <c r="X154" s="1465" t="s">
        <v>1808</v>
      </c>
      <c r="AB154" s="1465"/>
      <c r="AC154" s="1465"/>
      <c r="AD154" s="1465"/>
      <c r="AE154" s="1466">
        <v>228382.94</v>
      </c>
      <c r="AF154" s="1579">
        <f t="shared" si="112"/>
        <v>-52935.31</v>
      </c>
    </row>
    <row r="155" spans="1:32" ht="21.95" customHeight="1" x14ac:dyDescent="0.2">
      <c r="A155" s="1462">
        <f>satpek!$B$61</f>
        <v>42</v>
      </c>
      <c r="B155" s="1567">
        <f t="shared" si="117"/>
        <v>5</v>
      </c>
      <c r="C155" s="1557"/>
      <c r="D155" s="1568" t="str">
        <f>VLOOKUP($A155,satpek!$B$20:$N$144,2,0)</f>
        <v>Pasang batu andesit</v>
      </c>
      <c r="E155" s="1568"/>
      <c r="F155" s="1580"/>
      <c r="G155" s="1453">
        <f>T155</f>
        <v>45.2029</v>
      </c>
      <c r="H155" s="788" t="str">
        <f>VLOOKUP($A155,satpek!$B$20:$N$144,7,0)</f>
        <v>m2</v>
      </c>
      <c r="I155" s="1569" t="str">
        <f>VLOOKUP($A155,satpek!$B$20:$N$144,5,0)</f>
        <v>A.4.4.3.58b.</v>
      </c>
      <c r="J155" s="1570">
        <f>VLOOKUP($A155,satpek!$B$20:$N$144,6,0)</f>
        <v>362752.6</v>
      </c>
      <c r="K155" s="1558"/>
      <c r="L155" s="1571">
        <f t="shared" si="113"/>
        <v>16397469.5</v>
      </c>
      <c r="M155" s="1626"/>
      <c r="N155" s="1572">
        <f>VLOOKUP($A155,satpek!$B$20:$L$138,8,0)</f>
        <v>0.99347311693975449</v>
      </c>
      <c r="O155" s="1573">
        <f>VLOOKUP($A155,satpek!$B$20:$L$138,9,0)</f>
        <v>318924.74</v>
      </c>
      <c r="P155" s="1573">
        <f>VLOOKUP($A155,satpek!$B$20:$L$138,10,0)</f>
        <v>360384.95620000002</v>
      </c>
      <c r="Q155" s="1571">
        <f t="shared" si="114"/>
        <v>14416323.129745999</v>
      </c>
      <c r="R155" s="1571">
        <f t="shared" si="115"/>
        <v>16290445.13661298</v>
      </c>
      <c r="S155" s="1574">
        <f t="shared" si="116"/>
        <v>107024.3633870203</v>
      </c>
      <c r="T155" s="1477">
        <f>23.791*1.9</f>
        <v>45.2029</v>
      </c>
      <c r="V155" s="1575">
        <v>41.8</v>
      </c>
      <c r="W155" s="1575">
        <f t="shared" si="111"/>
        <v>-3.4029000000000025</v>
      </c>
      <c r="X155" s="1465" t="s">
        <v>1912</v>
      </c>
      <c r="AB155" s="1465"/>
      <c r="AC155" s="1465"/>
      <c r="AD155" s="1465"/>
      <c r="AE155" s="1466">
        <v>358046.15</v>
      </c>
      <c r="AF155" s="1579">
        <f t="shared" si="112"/>
        <v>-4706.4499999999534</v>
      </c>
    </row>
    <row r="156" spans="1:32" ht="21.95" customHeight="1" x14ac:dyDescent="0.2">
      <c r="A156" s="1462">
        <f>satpek!$B$105</f>
        <v>86</v>
      </c>
      <c r="B156" s="1567">
        <f t="shared" si="117"/>
        <v>6</v>
      </c>
      <c r="C156" s="1557"/>
      <c r="D156" s="1568" t="str">
        <f>VLOOKUP($A156,satpek!$B$20:$N$144,2,0)</f>
        <v>Memasang paving tb. 8 cm, K.250, polos</v>
      </c>
      <c r="E156" s="1568"/>
      <c r="F156" s="1580"/>
      <c r="G156" s="1453">
        <f>'[3]B.VOL RAB'!Q359</f>
        <v>183.52999999999997</v>
      </c>
      <c r="H156" s="788" t="str">
        <f>VLOOKUP($A156,satpek!$B$20:$N$144,7,0)</f>
        <v>m2</v>
      </c>
      <c r="I156" s="1569" t="str">
        <f>VLOOKUP($A156,satpek!$B$20:$N$144,5,0)</f>
        <v>An. Dihitung</v>
      </c>
      <c r="J156" s="1570">
        <f>VLOOKUP($A156,satpek!$B$20:$N$144,6,0)</f>
        <v>206637.45</v>
      </c>
      <c r="K156" s="1558"/>
      <c r="L156" s="1571">
        <f t="shared" si="113"/>
        <v>37924171.200000003</v>
      </c>
      <c r="M156" s="1626"/>
      <c r="N156" s="1572">
        <f>VLOOKUP($A156,satpek!$B$20:$L$138,8,0)</f>
        <v>1</v>
      </c>
      <c r="O156" s="1573">
        <f>VLOOKUP($A156,satpek!$B$20:$L$138,9,0)</f>
        <v>182865</v>
      </c>
      <c r="P156" s="1573">
        <f>VLOOKUP($A156,satpek!$B$20:$L$138,10,0)</f>
        <v>206637.45</v>
      </c>
      <c r="Q156" s="1571">
        <f t="shared" si="114"/>
        <v>33561213.449999996</v>
      </c>
      <c r="R156" s="1571">
        <f t="shared" si="115"/>
        <v>37924171.1985</v>
      </c>
      <c r="S156" s="1574">
        <f t="shared" si="116"/>
        <v>1.5000030398368835E-3</v>
      </c>
      <c r="T156" s="1477">
        <f>Rekap!Q48</f>
        <v>1175000</v>
      </c>
      <c r="V156" s="1575">
        <v>183.52999999999997</v>
      </c>
      <c r="W156" s="1575">
        <f t="shared" si="111"/>
        <v>0</v>
      </c>
      <c r="X156" s="1465" t="s">
        <v>234</v>
      </c>
      <c r="AB156" s="1465"/>
      <c r="AC156" s="1465"/>
      <c r="AD156" s="1465"/>
      <c r="AE156" s="1466">
        <v>199348.95</v>
      </c>
      <c r="AF156" s="1579">
        <f t="shared" si="112"/>
        <v>-7288.5</v>
      </c>
    </row>
    <row r="157" spans="1:32" ht="21.95" customHeight="1" x14ac:dyDescent="0.2">
      <c r="A157" s="1462">
        <f>satpek!$B$60</f>
        <v>41</v>
      </c>
      <c r="B157" s="1567">
        <f t="shared" si="117"/>
        <v>7</v>
      </c>
      <c r="C157" s="1557"/>
      <c r="D157" s="1568" t="str">
        <f>VLOOKUP($A157,satpek!$B$20:$N$144,2,0)</f>
        <v xml:space="preserve">Memasang lantai keramik unpolish ukuran 30/30 cm </v>
      </c>
      <c r="E157" s="1568"/>
      <c r="F157" s="1580"/>
      <c r="G157" s="1453">
        <f>'[3]B.VOL RAB'!Q361</f>
        <v>18.840000000000003</v>
      </c>
      <c r="H157" s="788" t="str">
        <f>VLOOKUP($A157,satpek!$B$20:$N$144,7,0)</f>
        <v>m2</v>
      </c>
      <c r="I157" s="1569" t="str">
        <f>VLOOKUP($A157,satpek!$B$20:$N$144,5,0)</f>
        <v>A.4.4.3.35.</v>
      </c>
      <c r="J157" s="1570">
        <f>VLOOKUP($A157,satpek!$B$20:$N$144,6,0)</f>
        <v>186829.68</v>
      </c>
      <c r="K157" s="1558"/>
      <c r="L157" s="1571">
        <f t="shared" si="113"/>
        <v>3519871.17</v>
      </c>
      <c r="M157" s="1626"/>
      <c r="N157" s="1572">
        <f>VLOOKUP($A157,satpek!$B$20:$L$138,8,0)</f>
        <v>0.83020878695504929</v>
      </c>
      <c r="O157" s="1573">
        <f>VLOOKUP($A157,satpek!$B$20:$L$138,9,0)</f>
        <v>137263.40000000002</v>
      </c>
      <c r="P157" s="1573">
        <f>VLOOKUP($A157,satpek!$B$20:$L$138,10,0)</f>
        <v>155107.64200000002</v>
      </c>
      <c r="Q157" s="1571">
        <f t="shared" si="114"/>
        <v>2586042.4560000007</v>
      </c>
      <c r="R157" s="1571">
        <f t="shared" si="115"/>
        <v>2922227.9752800008</v>
      </c>
      <c r="S157" s="1574">
        <f t="shared" si="116"/>
        <v>597643.1947199991</v>
      </c>
      <c r="V157" s="1575">
        <v>18.840000000000003</v>
      </c>
      <c r="W157" s="1575">
        <f t="shared" si="111"/>
        <v>0</v>
      </c>
      <c r="X157" s="1585" t="s">
        <v>1809</v>
      </c>
      <c r="AB157" s="1465"/>
      <c r="AC157" s="1465"/>
      <c r="AD157" s="1465"/>
      <c r="AE157" s="1466">
        <v>176741.04</v>
      </c>
      <c r="AF157" s="1579">
        <f t="shared" si="112"/>
        <v>-10088.639999999985</v>
      </c>
    </row>
    <row r="158" spans="1:32" ht="21.95" customHeight="1" x14ac:dyDescent="0.2">
      <c r="A158" s="1462">
        <f>satpek!$B$59</f>
        <v>40</v>
      </c>
      <c r="B158" s="1567">
        <f t="shared" si="117"/>
        <v>8</v>
      </c>
      <c r="C158" s="1557"/>
      <c r="D158" s="1568" t="str">
        <f>VLOOKUP($A158,satpek!$B$20:$N$144,2,0)</f>
        <v>Memasang plint lantai Homogenius tile uk. (10 x 60) cm</v>
      </c>
      <c r="E158" s="1568"/>
      <c r="F158" s="1580"/>
      <c r="G158" s="1453">
        <f>'[3]B.VOL RAB'!Q365</f>
        <v>614.89999999999964</v>
      </c>
      <c r="H158" s="788" t="str">
        <f>VLOOKUP($A158,satpek!$B$20:$N$144,7,0)</f>
        <v>m'</v>
      </c>
      <c r="I158" s="1569" t="str">
        <f>VLOOKUP($A158,satpek!$B$20:$N$144,5,0)</f>
        <v>A.4.4.3.28.a.</v>
      </c>
      <c r="J158" s="1570">
        <f>VLOOKUP($A158,satpek!$B$20:$N$144,6,0)</f>
        <v>38068.57</v>
      </c>
      <c r="K158" s="1558"/>
      <c r="L158" s="1571">
        <f t="shared" si="113"/>
        <v>23408363.690000001</v>
      </c>
      <c r="M158" s="1626"/>
      <c r="N158" s="1572">
        <f>VLOOKUP($A158,satpek!$B$20:$L$138,8,0)</f>
        <v>0.83654205230193834</v>
      </c>
      <c r="O158" s="1573">
        <f>VLOOKUP($A158,satpek!$B$20:$L$138,9,0)</f>
        <v>28182.265200000002</v>
      </c>
      <c r="P158" s="1573">
        <f>VLOOKUP($A158,satpek!$B$20:$L$138,10,0)</f>
        <v>31845.959676000002</v>
      </c>
      <c r="Q158" s="1571">
        <f t="shared" si="114"/>
        <v>17329274.871479992</v>
      </c>
      <c r="R158" s="1571">
        <f t="shared" si="115"/>
        <v>19582080.604772389</v>
      </c>
      <c r="S158" s="1574">
        <f t="shared" si="116"/>
        <v>3826283.0852276124</v>
      </c>
      <c r="V158" s="1575">
        <v>614.89999999999964</v>
      </c>
      <c r="W158" s="1575">
        <f t="shared" si="111"/>
        <v>0</v>
      </c>
      <c r="X158" s="1465" t="s">
        <v>1810</v>
      </c>
      <c r="AB158" s="1465"/>
      <c r="AC158" s="1465"/>
      <c r="AD158" s="1465"/>
      <c r="AE158" s="1466">
        <v>72758.44</v>
      </c>
      <c r="AF158" s="1579">
        <f t="shared" si="112"/>
        <v>34689.870000000003</v>
      </c>
    </row>
    <row r="159" spans="1:32" ht="21.95" customHeight="1" x14ac:dyDescent="0.2">
      <c r="A159" s="1462">
        <f>satpek!$B$65</f>
        <v>46</v>
      </c>
      <c r="B159" s="1567">
        <f t="shared" si="117"/>
        <v>9</v>
      </c>
      <c r="C159" s="1557"/>
      <c r="D159" s="1568" t="s">
        <v>1811</v>
      </c>
      <c r="E159" s="1568"/>
      <c r="F159" s="1580"/>
      <c r="G159" s="1453">
        <f>'[3]B.VOL RAB'!Q368</f>
        <v>175.4</v>
      </c>
      <c r="H159" s="788" t="str">
        <f>VLOOKUP($A159,satpek!$B$20:$N$144,7,0)</f>
        <v>m'</v>
      </c>
      <c r="I159" s="1569" t="str">
        <f>VLOOKUP($A159,satpek!$B$20:$N$144,5,0)</f>
        <v>An. Dihitung</v>
      </c>
      <c r="J159" s="1570">
        <f>VLOOKUP($A159,satpek!$B$20:$N$144,6,0)</f>
        <v>65535.37</v>
      </c>
      <c r="K159" s="1558"/>
      <c r="L159" s="1571">
        <f t="shared" si="113"/>
        <v>11494903.9</v>
      </c>
      <c r="M159" s="1626"/>
      <c r="N159" s="1572">
        <f>VLOOKUP($A159,satpek!$B$20:$L$138,8,0)</f>
        <v>0.7887839071382633</v>
      </c>
      <c r="O159" s="1573">
        <f>VLOOKUP($A159,satpek!$B$20:$L$138,9,0)</f>
        <v>45746.232600000003</v>
      </c>
      <c r="P159" s="1573">
        <f>VLOOKUP($A159,satpek!$B$20:$L$138,10,0)</f>
        <v>51693.242838000006</v>
      </c>
      <c r="Q159" s="1571">
        <f t="shared" si="114"/>
        <v>8023889.1980400011</v>
      </c>
      <c r="R159" s="1571">
        <f t="shared" si="115"/>
        <v>9066994.7937852014</v>
      </c>
      <c r="S159" s="1574">
        <f t="shared" si="116"/>
        <v>2427909.106214799</v>
      </c>
      <c r="V159" s="1575">
        <v>175.4</v>
      </c>
      <c r="W159" s="1575">
        <f t="shared" si="111"/>
        <v>0</v>
      </c>
      <c r="X159" s="1465" t="s">
        <v>1811</v>
      </c>
      <c r="AB159" s="1465"/>
      <c r="AC159" s="1465"/>
      <c r="AD159" s="1465"/>
      <c r="AE159" s="1466">
        <v>65393.1</v>
      </c>
      <c r="AF159" s="1579">
        <f t="shared" si="112"/>
        <v>-142.27000000000407</v>
      </c>
    </row>
    <row r="160" spans="1:32" ht="21.95" customHeight="1" x14ac:dyDescent="0.2">
      <c r="B160" s="1549"/>
      <c r="C160" s="1550"/>
      <c r="D160" s="1551" t="s">
        <v>1786</v>
      </c>
      <c r="E160" s="1552"/>
      <c r="F160" s="1553"/>
      <c r="G160" s="1453"/>
      <c r="H160" s="1555"/>
      <c r="I160" s="1556"/>
      <c r="J160" s="1570"/>
      <c r="K160" s="1639"/>
      <c r="L160" s="1640"/>
      <c r="M160" s="1626"/>
      <c r="N160" s="1561"/>
      <c r="O160" s="1562"/>
      <c r="P160" s="1562"/>
      <c r="Q160" s="1563"/>
      <c r="R160" s="1564"/>
      <c r="S160" s="1565"/>
      <c r="V160" s="1575"/>
      <c r="W160" s="1575">
        <f t="shared" si="111"/>
        <v>0</v>
      </c>
      <c r="X160" s="1465" t="s">
        <v>1786</v>
      </c>
      <c r="AB160" s="1465"/>
      <c r="AC160" s="1465"/>
      <c r="AD160" s="1465"/>
      <c r="AE160" s="1466"/>
      <c r="AF160" s="1579">
        <f t="shared" si="112"/>
        <v>0</v>
      </c>
    </row>
    <row r="161" spans="1:32" s="1576" customFormat="1" ht="21.95" customHeight="1" x14ac:dyDescent="0.2">
      <c r="A161" s="1566">
        <f>satpek!$B$39</f>
        <v>20</v>
      </c>
      <c r="B161" s="1567">
        <v>1</v>
      </c>
      <c r="C161" s="1552"/>
      <c r="D161" s="1568" t="str">
        <f>D151</f>
        <v>Membuat lantai kerja beton mutu f'c = 7,4 Mpa, T : 8 cm</v>
      </c>
      <c r="E161" s="1552"/>
      <c r="F161" s="1553"/>
      <c r="G161" s="1453">
        <f>'[3]B.VOL RAB'!Q374</f>
        <v>61.06</v>
      </c>
      <c r="H161" s="788" t="str">
        <f>VLOOKUP($A161,satpek!$B$20:$N$144,7,0)</f>
        <v>m3</v>
      </c>
      <c r="I161" s="1569" t="str">
        <f>VLOOKUP($A161,satpek!$B$20:$N$144,5,0)</f>
        <v>A.4.1.1.1.</v>
      </c>
      <c r="J161" s="1570">
        <f>VLOOKUP($A161,satpek!$B$20:$N$144,6,0)</f>
        <v>958085.99</v>
      </c>
      <c r="K161" s="1558"/>
      <c r="L161" s="1571">
        <f t="shared" ref="L161:L165" si="118">ROUND((G161*J161),2)</f>
        <v>58500730.549999997</v>
      </c>
      <c r="M161" s="1610"/>
      <c r="N161" s="1572">
        <f>VLOOKUP($A161,satpek!$B$20:$L$138,8,0)</f>
        <v>0.94805174525042479</v>
      </c>
      <c r="O161" s="1573">
        <f>VLOOKUP($A161,satpek!$B$20:$L$138,9,0)</f>
        <v>803818.67</v>
      </c>
      <c r="P161" s="1573">
        <f>VLOOKUP($A161,satpek!$B$20:$L$138,10,0)</f>
        <v>908315.09710000001</v>
      </c>
      <c r="Q161" s="1571">
        <f t="shared" ref="Q161:Q165" si="119">O161*G161</f>
        <v>49081167.990200005</v>
      </c>
      <c r="R161" s="1571">
        <f t="shared" ref="R161:R165" si="120">P161*G161</f>
        <v>55461719.828926004</v>
      </c>
      <c r="S161" s="1574">
        <f t="shared" ref="S161:S165" si="121">L161-R161</f>
        <v>3039010.7210739926</v>
      </c>
      <c r="T161" s="1477"/>
      <c r="U161" s="1477"/>
      <c r="V161" s="1575">
        <v>61.06</v>
      </c>
      <c r="W161" s="1575">
        <f t="shared" si="111"/>
        <v>0</v>
      </c>
      <c r="X161" s="1576" t="s">
        <v>1805</v>
      </c>
      <c r="AE161" s="1666">
        <v>969189.7</v>
      </c>
      <c r="AF161" s="1579">
        <f t="shared" si="112"/>
        <v>11103.709999999963</v>
      </c>
    </row>
    <row r="162" spans="1:32" ht="21.95" customHeight="1" x14ac:dyDescent="0.2">
      <c r="A162" s="1462">
        <f>satpek!$B$62</f>
        <v>43</v>
      </c>
      <c r="B162" s="1567">
        <f>B161+1</f>
        <v>2</v>
      </c>
      <c r="C162" s="1557"/>
      <c r="D162" s="1568" t="s">
        <v>1806</v>
      </c>
      <c r="E162" s="1568"/>
      <c r="F162" s="1580"/>
      <c r="G162" s="1453">
        <f>'[3]B.VOL RAB'!Q375</f>
        <v>724.55499999999995</v>
      </c>
      <c r="H162" s="788" t="str">
        <f>VLOOKUP($A162,satpek!$B$20:$N$144,7,0)</f>
        <v>m2</v>
      </c>
      <c r="I162" s="1569" t="str">
        <f>VLOOKUP($A162,satpek!$B$20:$N$144,5,0)</f>
        <v>An. Dihitung</v>
      </c>
      <c r="J162" s="1570">
        <f>VLOOKUP($A162,satpek!$B$20:$N$144,6,0)</f>
        <v>245041.63</v>
      </c>
      <c r="K162" s="1558"/>
      <c r="L162" s="1571">
        <f t="shared" si="118"/>
        <v>177546138.22</v>
      </c>
      <c r="M162" s="1626"/>
      <c r="N162" s="1572">
        <f>VLOOKUP($A162,satpek!$B$20:$L$138,8,0)</f>
        <v>0.81409874983283448</v>
      </c>
      <c r="O162" s="1573">
        <f>VLOOKUP($A162,satpek!$B$20:$L$138,9,0)</f>
        <v>176538.128</v>
      </c>
      <c r="P162" s="1573">
        <f>VLOOKUP($A162,satpek!$B$20:$L$138,10,0)</f>
        <v>199488.08463999999</v>
      </c>
      <c r="Q162" s="1571">
        <f t="shared" si="119"/>
        <v>127911583.33303998</v>
      </c>
      <c r="R162" s="1571">
        <f t="shared" si="120"/>
        <v>144540089.16633517</v>
      </c>
      <c r="S162" s="1574">
        <f t="shared" si="121"/>
        <v>33006049.053664833</v>
      </c>
      <c r="V162" s="1575">
        <v>724.55499999999995</v>
      </c>
      <c r="W162" s="1575">
        <f t="shared" si="111"/>
        <v>0</v>
      </c>
      <c r="X162" s="1465" t="s">
        <v>1806</v>
      </c>
      <c r="AB162" s="1465"/>
      <c r="AC162" s="1465"/>
      <c r="AD162" s="1465"/>
      <c r="AE162" s="1466">
        <v>197097.99</v>
      </c>
      <c r="AF162" s="1579">
        <f t="shared" si="112"/>
        <v>-47943.640000000014</v>
      </c>
    </row>
    <row r="163" spans="1:32" ht="21.95" customHeight="1" x14ac:dyDescent="0.2">
      <c r="A163" s="1462">
        <f>satpek!$B$64</f>
        <v>45</v>
      </c>
      <c r="B163" s="1567">
        <f>B162+1</f>
        <v>3</v>
      </c>
      <c r="C163" s="1557"/>
      <c r="D163" s="1568" t="str">
        <f>VLOOKUP($A163,satpek!$B$20:$N$144,2,0)</f>
        <v>Memasang dinding Homogenius tile  uk. (30x60) cm</v>
      </c>
      <c r="E163" s="1568"/>
      <c r="F163" s="1580"/>
      <c r="G163" s="1453">
        <f>'[3]B.VOL RAB'!Q381</f>
        <v>59.508000000000017</v>
      </c>
      <c r="H163" s="788" t="str">
        <f>VLOOKUP($A163,satpek!$B$20:$N$144,7,0)</f>
        <v>m2</v>
      </c>
      <c r="I163" s="1569" t="str">
        <f>VLOOKUP($A163,satpek!$B$20:$N$144,5,0)</f>
        <v>An. Dihitung</v>
      </c>
      <c r="J163" s="1570">
        <f>VLOOKUP($A163,satpek!$B$20:$N$144,6,0)</f>
        <v>281318.25</v>
      </c>
      <c r="K163" s="1558"/>
      <c r="L163" s="1571">
        <f t="shared" si="118"/>
        <v>16740686.42</v>
      </c>
      <c r="M163" s="1626"/>
      <c r="N163" s="1572">
        <f>VLOOKUP($A163,satpek!$B$20:$L$138,8,0)</f>
        <v>0.85772412757045269</v>
      </c>
      <c r="O163" s="1573">
        <f>VLOOKUP($A163,satpek!$B$20:$L$138,9,0)</f>
        <v>213534.024</v>
      </c>
      <c r="P163" s="1573">
        <f>VLOOKUP($A163,satpek!$B$20:$L$138,10,0)</f>
        <v>241293.44712</v>
      </c>
      <c r="Q163" s="1571">
        <f t="shared" si="119"/>
        <v>12706982.700192004</v>
      </c>
      <c r="R163" s="1571">
        <f t="shared" si="120"/>
        <v>14358890.451216964</v>
      </c>
      <c r="S163" s="1574">
        <f t="shared" si="121"/>
        <v>2381795.9687830359</v>
      </c>
      <c r="V163" s="1575">
        <v>59.508000000000017</v>
      </c>
      <c r="W163" s="1575">
        <f t="shared" si="111"/>
        <v>0</v>
      </c>
      <c r="X163" s="1465" t="s">
        <v>1808</v>
      </c>
      <c r="AB163" s="1465"/>
      <c r="AC163" s="1465"/>
      <c r="AD163" s="1465"/>
      <c r="AE163" s="1466">
        <v>228382.94</v>
      </c>
      <c r="AF163" s="1579">
        <f t="shared" si="112"/>
        <v>-52935.31</v>
      </c>
    </row>
    <row r="164" spans="1:32" ht="21.95" customHeight="1" x14ac:dyDescent="0.2">
      <c r="A164" s="1462">
        <f>satpek!$B$60</f>
        <v>41</v>
      </c>
      <c r="B164" s="1567">
        <f>B163+1</f>
        <v>4</v>
      </c>
      <c r="C164" s="1557"/>
      <c r="D164" s="1568" t="str">
        <f>VLOOKUP($A164,satpek!$B$20:$N$144,2,0)</f>
        <v xml:space="preserve">Memasang lantai keramik unpolish ukuran 30/30 cm </v>
      </c>
      <c r="E164" s="1568"/>
      <c r="F164" s="1580"/>
      <c r="G164" s="1453">
        <f>'[3]B.VOL RAB'!Q386</f>
        <v>16.53</v>
      </c>
      <c r="H164" s="788" t="str">
        <f>VLOOKUP($A164,satpek!$B$20:$N$144,7,0)</f>
        <v>m2</v>
      </c>
      <c r="I164" s="1569" t="str">
        <f>VLOOKUP($A164,satpek!$B$20:$N$144,5,0)</f>
        <v>A.4.4.3.35.</v>
      </c>
      <c r="J164" s="1570">
        <f>VLOOKUP($A164,satpek!$B$20:$N$144,6,0)</f>
        <v>186829.68</v>
      </c>
      <c r="K164" s="1558"/>
      <c r="L164" s="1571">
        <f t="shared" si="118"/>
        <v>3088294.61</v>
      </c>
      <c r="M164" s="1626"/>
      <c r="N164" s="1572">
        <f>VLOOKUP($A164,satpek!$B$20:$L$138,8,0)</f>
        <v>0.83020878695504929</v>
      </c>
      <c r="O164" s="1573">
        <f>VLOOKUP($A164,satpek!$B$20:$L$138,9,0)</f>
        <v>137263.40000000002</v>
      </c>
      <c r="P164" s="1573">
        <f>VLOOKUP($A164,satpek!$B$20:$L$138,10,0)</f>
        <v>155107.64200000002</v>
      </c>
      <c r="Q164" s="1571">
        <f t="shared" si="119"/>
        <v>2268964.0020000003</v>
      </c>
      <c r="R164" s="1571">
        <f t="shared" si="120"/>
        <v>2563929.3222600007</v>
      </c>
      <c r="S164" s="1574">
        <f t="shared" si="121"/>
        <v>524365.28773999913</v>
      </c>
      <c r="V164" s="1575">
        <v>16.53</v>
      </c>
      <c r="W164" s="1575">
        <f t="shared" si="111"/>
        <v>0</v>
      </c>
      <c r="X164" s="1465" t="s">
        <v>1809</v>
      </c>
      <c r="AB164" s="1465"/>
      <c r="AC164" s="1465"/>
      <c r="AD164" s="1465"/>
      <c r="AE164" s="1466">
        <v>176741.04</v>
      </c>
      <c r="AF164" s="1579">
        <f t="shared" si="112"/>
        <v>-10088.639999999985</v>
      </c>
    </row>
    <row r="165" spans="1:32" ht="21.95" customHeight="1" x14ac:dyDescent="0.2">
      <c r="A165" s="1462">
        <f>satpek!$B$59</f>
        <v>40</v>
      </c>
      <c r="B165" s="1567">
        <f>B164+1</f>
        <v>5</v>
      </c>
      <c r="C165" s="1557"/>
      <c r="D165" s="1568" t="str">
        <f>VLOOKUP($A165,satpek!$B$20:$N$144,2,0)</f>
        <v>Memasang plint lantai Homogenius tile uk. (10 x 60) cm</v>
      </c>
      <c r="E165" s="1568"/>
      <c r="F165" s="1580"/>
      <c r="G165" s="1453">
        <f>'[3]B.VOL RAB'!Q390</f>
        <v>643.69999999999959</v>
      </c>
      <c r="H165" s="788" t="str">
        <f>VLOOKUP($A165,satpek!$B$20:$N$144,7,0)</f>
        <v>m'</v>
      </c>
      <c r="I165" s="1569" t="str">
        <f>VLOOKUP($A165,satpek!$B$20:$N$144,5,0)</f>
        <v>A.4.4.3.28.a.</v>
      </c>
      <c r="J165" s="1570">
        <f>VLOOKUP($A165,satpek!$B$20:$N$144,6,0)</f>
        <v>38068.57</v>
      </c>
      <c r="K165" s="1558"/>
      <c r="L165" s="1571">
        <f t="shared" si="118"/>
        <v>24504738.510000002</v>
      </c>
      <c r="M165" s="1626"/>
      <c r="N165" s="1572">
        <f>VLOOKUP($A165,satpek!$B$20:$L$138,8,0)</f>
        <v>0.83654205230193834</v>
      </c>
      <c r="O165" s="1573">
        <f>VLOOKUP($A165,satpek!$B$20:$L$138,9,0)</f>
        <v>28182.265200000002</v>
      </c>
      <c r="P165" s="1573">
        <f>VLOOKUP($A165,satpek!$B$20:$L$138,10,0)</f>
        <v>31845.959676000002</v>
      </c>
      <c r="Q165" s="1571">
        <f t="shared" si="119"/>
        <v>18140924.109239988</v>
      </c>
      <c r="R165" s="1571">
        <f t="shared" si="120"/>
        <v>20499244.243441187</v>
      </c>
      <c r="S165" s="1574">
        <f t="shared" si="121"/>
        <v>4005494.2665588148</v>
      </c>
      <c r="V165" s="1575">
        <v>643.69999999999959</v>
      </c>
      <c r="W165" s="1575">
        <f t="shared" si="111"/>
        <v>0</v>
      </c>
      <c r="X165" s="1465" t="s">
        <v>1810</v>
      </c>
      <c r="AB165" s="1465"/>
      <c r="AC165" s="1465"/>
      <c r="AD165" s="1465"/>
      <c r="AE165" s="1466">
        <v>72758.44</v>
      </c>
      <c r="AF165" s="1579">
        <f t="shared" si="112"/>
        <v>34689.870000000003</v>
      </c>
    </row>
    <row r="166" spans="1:32" ht="21.95" customHeight="1" x14ac:dyDescent="0.2">
      <c r="B166" s="1587"/>
      <c r="C166" s="1588"/>
      <c r="D166" s="1589"/>
      <c r="E166" s="1589"/>
      <c r="F166" s="1590"/>
      <c r="G166" s="807"/>
      <c r="H166" s="1591"/>
      <c r="I166" s="1592"/>
      <c r="J166" s="1593"/>
      <c r="K166" s="1594"/>
      <c r="L166" s="1595" t="s">
        <v>1812</v>
      </c>
      <c r="M166" s="1596">
        <f>SUM(L151:L166)</f>
        <v>662758512.13</v>
      </c>
      <c r="N166" s="1597"/>
      <c r="O166" s="1598"/>
      <c r="P166" s="1598"/>
      <c r="Q166" s="1599"/>
      <c r="R166" s="1600"/>
      <c r="S166" s="1601"/>
      <c r="T166" s="1477">
        <f>[3]HPS!M169</f>
        <v>677806837.46000004</v>
      </c>
      <c r="U166" s="1477">
        <f>M166-T166</f>
        <v>-15048325.330000043</v>
      </c>
      <c r="V166" s="1575"/>
      <c r="W166" s="1575">
        <f t="shared" si="111"/>
        <v>0</v>
      </c>
      <c r="X166" s="1667"/>
      <c r="AB166" s="1465"/>
      <c r="AC166" s="1465"/>
      <c r="AD166" s="1465"/>
      <c r="AE166" s="1466"/>
      <c r="AF166" s="1579">
        <f t="shared" si="112"/>
        <v>0</v>
      </c>
    </row>
    <row r="167" spans="1:32" ht="21.95" customHeight="1" x14ac:dyDescent="0.2">
      <c r="B167" s="1549" t="s">
        <v>1813</v>
      </c>
      <c r="C167" s="1550"/>
      <c r="D167" s="1551" t="s">
        <v>1814</v>
      </c>
      <c r="E167" s="1552"/>
      <c r="F167" s="1553"/>
      <c r="G167" s="1453"/>
      <c r="H167" s="1555"/>
      <c r="I167" s="1556"/>
      <c r="J167" s="1570"/>
      <c r="K167" s="1619"/>
      <c r="L167" s="1620"/>
      <c r="M167" s="1617"/>
      <c r="N167" s="1561"/>
      <c r="O167" s="1562"/>
      <c r="P167" s="1562"/>
      <c r="Q167" s="1563"/>
      <c r="R167" s="1564"/>
      <c r="S167" s="1565"/>
      <c r="V167" s="1575"/>
      <c r="W167" s="1575">
        <f t="shared" si="111"/>
        <v>0</v>
      </c>
      <c r="X167" s="1465" t="s">
        <v>1814</v>
      </c>
      <c r="AB167" s="1465"/>
      <c r="AC167" s="1465"/>
      <c r="AD167" s="1465"/>
      <c r="AE167" s="1466"/>
      <c r="AF167" s="1579">
        <f t="shared" si="112"/>
        <v>0</v>
      </c>
    </row>
    <row r="168" spans="1:32" ht="21.95" customHeight="1" x14ac:dyDescent="0.2">
      <c r="B168" s="1549"/>
      <c r="C168" s="1550"/>
      <c r="D168" s="1551" t="s">
        <v>1769</v>
      </c>
      <c r="E168" s="1552"/>
      <c r="F168" s="1553"/>
      <c r="G168" s="1453"/>
      <c r="H168" s="1555"/>
      <c r="I168" s="1556"/>
      <c r="J168" s="1570"/>
      <c r="K168" s="1619"/>
      <c r="L168" s="1620"/>
      <c r="M168" s="1617"/>
      <c r="N168" s="1561"/>
      <c r="O168" s="1562"/>
      <c r="P168" s="1562"/>
      <c r="Q168" s="1563"/>
      <c r="R168" s="1564"/>
      <c r="S168" s="1565"/>
      <c r="V168" s="1575"/>
      <c r="W168" s="1575">
        <f t="shared" si="111"/>
        <v>0</v>
      </c>
      <c r="X168" s="1465" t="s">
        <v>1769</v>
      </c>
      <c r="AB168" s="1465"/>
      <c r="AC168" s="1465"/>
      <c r="AD168" s="1465"/>
      <c r="AE168" s="1466"/>
      <c r="AF168" s="1579">
        <f t="shared" si="112"/>
        <v>0</v>
      </c>
    </row>
    <row r="169" spans="1:32" ht="21.95" customHeight="1" x14ac:dyDescent="0.2">
      <c r="A169" s="1462">
        <f>satpek!$B$53</f>
        <v>34</v>
      </c>
      <c r="B169" s="1567">
        <v>1</v>
      </c>
      <c r="C169" s="1557"/>
      <c r="D169" s="1568" t="str">
        <f>VLOOKUP($A169,satpek!$B$20:$N$144,2,0)</f>
        <v>Memasang rk. plafond besi hollow uk. (60x80) cm</v>
      </c>
      <c r="E169" s="1568"/>
      <c r="F169" s="1580"/>
      <c r="G169" s="1453">
        <f>'[3]B.VOL RAB'!Q395</f>
        <v>785.32499999999993</v>
      </c>
      <c r="H169" s="788" t="str">
        <f>VLOOKUP($A169,satpek!$B$20:$N$144,7,0)</f>
        <v>m2</v>
      </c>
      <c r="I169" s="1569" t="str">
        <f>VLOOKUP($A169,satpek!$B$20:$N$144,5,0)</f>
        <v>A.4.2.1.20.</v>
      </c>
      <c r="J169" s="1570">
        <f>VLOOKUP($A169,satpek!$B$20:$N$144,6,0)</f>
        <v>98134.85</v>
      </c>
      <c r="K169" s="1558"/>
      <c r="L169" s="1571">
        <f t="shared" ref="L169:L170" si="122">ROUND((G169*J169),2)</f>
        <v>77067751.079999998</v>
      </c>
      <c r="M169" s="1617"/>
      <c r="N169" s="1572">
        <f>VLOOKUP($A169,satpek!$B$20:$L$138,8,0)</f>
        <v>0.71051931602279927</v>
      </c>
      <c r="O169" s="1573">
        <f>VLOOKUP($A169,satpek!$B$20:$L$138,9,0)</f>
        <v>61705.05</v>
      </c>
      <c r="P169" s="1573">
        <f>VLOOKUP($A169,satpek!$B$20:$L$138,10,0)</f>
        <v>69726.7065</v>
      </c>
      <c r="Q169" s="1571">
        <f t="shared" ref="Q169:Q173" si="123">O169*G169</f>
        <v>48458518.391249999</v>
      </c>
      <c r="R169" s="1571">
        <f t="shared" ref="R169:R173" si="124">P169*G169</f>
        <v>54758125.782112494</v>
      </c>
      <c r="S169" s="1574">
        <f t="shared" ref="S169:S173" si="125">L169-R169</f>
        <v>22309625.297887504</v>
      </c>
      <c r="V169" s="1575">
        <v>785.32499999999993</v>
      </c>
      <c r="W169" s="1575">
        <f t="shared" si="111"/>
        <v>0</v>
      </c>
      <c r="X169" s="1618" t="s">
        <v>783</v>
      </c>
      <c r="AB169" s="1465"/>
      <c r="AC169" s="1465"/>
      <c r="AD169" s="1465"/>
      <c r="AE169" s="1466">
        <v>96452.28</v>
      </c>
      <c r="AF169" s="1579">
        <f t="shared" si="112"/>
        <v>-1682.570000000007</v>
      </c>
    </row>
    <row r="170" spans="1:32" ht="21.95" customHeight="1" x14ac:dyDescent="0.2">
      <c r="A170" s="1462">
        <f>satpek!$B$49</f>
        <v>30</v>
      </c>
      <c r="B170" s="1567">
        <f>B169+1</f>
        <v>2</v>
      </c>
      <c r="C170" s="1557"/>
      <c r="D170" s="1568" t="str">
        <f>VLOOKUP($A170,satpek!$B$20:$N$144,2,0)</f>
        <v>Memasang langit-langit gypsum board uk. (120x240), tb. 9 mm.</v>
      </c>
      <c r="E170" s="1568"/>
      <c r="F170" s="1580"/>
      <c r="G170" s="1453">
        <f>'[3]B.VOL RAB'!Q399</f>
        <v>753.75</v>
      </c>
      <c r="H170" s="788" t="str">
        <f>VLOOKUP($A170,satpek!$B$20:$N$144,7,0)</f>
        <v>m2</v>
      </c>
      <c r="I170" s="1569" t="str">
        <f>VLOOKUP($A170,satpek!$B$20:$N$144,5,0)</f>
        <v>A.4.5.1.7.</v>
      </c>
      <c r="J170" s="1570">
        <f>VLOOKUP($A170,satpek!$B$20:$N$144,6,0)</f>
        <v>54047.9</v>
      </c>
      <c r="K170" s="1558"/>
      <c r="L170" s="1571">
        <f t="shared" si="122"/>
        <v>40738604.630000003</v>
      </c>
      <c r="M170" s="1617"/>
      <c r="N170" s="1572">
        <f>VLOOKUP($A170,satpek!$B$20:$L$138,8,0)</f>
        <v>0.47799105164122929</v>
      </c>
      <c r="O170" s="1573">
        <f>VLOOKUP($A170,satpek!$B$20:$L$138,9,0)</f>
        <v>22862.311999999998</v>
      </c>
      <c r="P170" s="1573">
        <f>VLOOKUP($A170,satpek!$B$20:$L$138,10,0)</f>
        <v>25834.412559999997</v>
      </c>
      <c r="Q170" s="1571">
        <f t="shared" si="123"/>
        <v>17232467.669999998</v>
      </c>
      <c r="R170" s="1571">
        <f t="shared" si="124"/>
        <v>19472688.467099998</v>
      </c>
      <c r="S170" s="1574">
        <f t="shared" si="125"/>
        <v>21265916.162900005</v>
      </c>
      <c r="V170" s="1575">
        <v>753.75</v>
      </c>
      <c r="W170" s="1575">
        <f t="shared" si="111"/>
        <v>0</v>
      </c>
      <c r="X170" s="1465" t="s">
        <v>786</v>
      </c>
      <c r="AB170" s="1465"/>
      <c r="AC170" s="1465"/>
      <c r="AD170" s="1465"/>
      <c r="AE170" s="1466">
        <v>54466.229999999996</v>
      </c>
      <c r="AF170" s="1579">
        <f t="shared" si="112"/>
        <v>418.32999999999447</v>
      </c>
    </row>
    <row r="171" spans="1:32" ht="21.95" customHeight="1" x14ac:dyDescent="0.2">
      <c r="A171" s="1462">
        <f>satpek!$B$50</f>
        <v>31</v>
      </c>
      <c r="B171" s="1567">
        <f t="shared" ref="B171:B173" si="126">B170+1</f>
        <v>3</v>
      </c>
      <c r="C171" s="1557"/>
      <c r="D171" s="1568" t="str">
        <f>VLOOKUP($A171,satpek!$B$20:$N$144,2,0)</f>
        <v>Memasang plafond PVC</v>
      </c>
      <c r="E171" s="1568"/>
      <c r="F171" s="1580"/>
      <c r="G171" s="1453">
        <f>'[3]B.VOL RAB'!Q405</f>
        <v>39.9</v>
      </c>
      <c r="H171" s="788" t="str">
        <f>VLOOKUP($A171,satpek!$B$20:$N$144,7,0)</f>
        <v>m2</v>
      </c>
      <c r="I171" s="1569" t="str">
        <f>VLOOKUP($A171,satpek!$B$20:$N$144,5,0)</f>
        <v>An.Dihitung</v>
      </c>
      <c r="J171" s="1570">
        <f>VLOOKUP($A171,satpek!$B$20:$N$144,6,0)</f>
        <v>167579</v>
      </c>
      <c r="K171" s="1558"/>
      <c r="L171" s="1571">
        <f>ROUND((G171*J171),2)</f>
        <v>6686402.0999999996</v>
      </c>
      <c r="M171" s="1617"/>
      <c r="N171" s="1572">
        <f>VLOOKUP($A171,satpek!$B$20:$L$138,8,0)</f>
        <v>0.65594032366824007</v>
      </c>
      <c r="O171" s="1573">
        <f>VLOOKUP($A171,satpek!$B$20:$L$138,9,0)</f>
        <v>97275.95</v>
      </c>
      <c r="P171" s="1573">
        <f>VLOOKUP($A171,satpek!$B$20:$L$138,10,0)</f>
        <v>109921.8235</v>
      </c>
      <c r="Q171" s="1571">
        <f t="shared" si="123"/>
        <v>3881310.4049999998</v>
      </c>
      <c r="R171" s="1571">
        <f t="shared" si="124"/>
        <v>4385880.75765</v>
      </c>
      <c r="S171" s="1574">
        <f t="shared" si="125"/>
        <v>2300521.3423499996</v>
      </c>
      <c r="V171" s="1575">
        <v>39.9</v>
      </c>
      <c r="W171" s="1575">
        <f t="shared" si="111"/>
        <v>0</v>
      </c>
      <c r="X171" s="1465" t="s">
        <v>1815</v>
      </c>
      <c r="AB171" s="1465"/>
      <c r="AC171" s="1465"/>
      <c r="AD171" s="1465"/>
      <c r="AE171" s="1466">
        <v>167245.65</v>
      </c>
      <c r="AF171" s="1579">
        <f t="shared" si="112"/>
        <v>-333.35000000000582</v>
      </c>
    </row>
    <row r="172" spans="1:32" ht="21.95" customHeight="1" x14ac:dyDescent="0.2">
      <c r="A172" s="1462">
        <f>satpek!$B$51</f>
        <v>32</v>
      </c>
      <c r="B172" s="1567">
        <f t="shared" si="126"/>
        <v>4</v>
      </c>
      <c r="C172" s="1557"/>
      <c r="D172" s="1568" t="str">
        <f>VLOOKUP($A172,satpek!$B$20:$N$144,2,0)</f>
        <v>Memasang list plafond gypsum profil</v>
      </c>
      <c r="E172" s="1568"/>
      <c r="F172" s="1580"/>
      <c r="G172" s="1453">
        <f>'[3]B.VOL RAB'!Q407</f>
        <v>459.6999999999997</v>
      </c>
      <c r="H172" s="788" t="str">
        <f>VLOOKUP($A172,satpek!$B$20:$N$144,7,0)</f>
        <v>m'</v>
      </c>
      <c r="I172" s="1569" t="str">
        <f>VLOOKUP($A172,satpek!$B$20:$N$144,5,0)</f>
        <v>An.Dihitung</v>
      </c>
      <c r="J172" s="1570">
        <f>VLOOKUP($A172,satpek!$B$20:$N$144,6,0)</f>
        <v>30469.32</v>
      </c>
      <c r="K172" s="1558"/>
      <c r="L172" s="1571">
        <f>ROUND((G172*J172),2)</f>
        <v>14006746.4</v>
      </c>
      <c r="M172" s="1617"/>
      <c r="N172" s="1572">
        <f>VLOOKUP($A172,satpek!$B$20:$L$138,8,0)</f>
        <v>0.58238985313751668</v>
      </c>
      <c r="O172" s="1573">
        <f>VLOOKUP($A172,satpek!$B$20:$L$138,9,0)</f>
        <v>15703.56</v>
      </c>
      <c r="P172" s="1573">
        <f>VLOOKUP($A172,satpek!$B$20:$L$138,10,0)</f>
        <v>17745.022799999999</v>
      </c>
      <c r="Q172" s="1571">
        <f t="shared" si="123"/>
        <v>7218926.531999995</v>
      </c>
      <c r="R172" s="1571">
        <f t="shared" si="124"/>
        <v>8157386.9811599944</v>
      </c>
      <c r="S172" s="1574">
        <f t="shared" si="125"/>
        <v>5849359.418840006</v>
      </c>
      <c r="V172" s="1575">
        <v>459.6999999999997</v>
      </c>
      <c r="W172" s="1575">
        <f t="shared" si="111"/>
        <v>0</v>
      </c>
      <c r="X172" s="1465" t="s">
        <v>667</v>
      </c>
      <c r="AB172" s="1465"/>
      <c r="AC172" s="1465"/>
      <c r="AD172" s="1465"/>
      <c r="AE172" s="1466">
        <v>30387.96</v>
      </c>
      <c r="AF172" s="1579">
        <f t="shared" si="112"/>
        <v>-81.360000000000582</v>
      </c>
    </row>
    <row r="173" spans="1:32" ht="21.95" customHeight="1" x14ac:dyDescent="0.2">
      <c r="A173" s="1462">
        <f>satpek!$B$52</f>
        <v>33</v>
      </c>
      <c r="B173" s="1567">
        <f t="shared" si="126"/>
        <v>5</v>
      </c>
      <c r="C173" s="1557"/>
      <c r="D173" s="1568" t="str">
        <f>VLOOKUP($A173,satpek!$B$20:$N$144,2,0)</f>
        <v>Memasang list plafond PVC</v>
      </c>
      <c r="E173" s="1568"/>
      <c r="F173" s="1580"/>
      <c r="G173" s="1453">
        <f>'[3]B.VOL RAB'!Q409</f>
        <v>25.4</v>
      </c>
      <c r="H173" s="788" t="str">
        <f>VLOOKUP($A173,satpek!$B$20:$N$144,7,0)</f>
        <v>m'</v>
      </c>
      <c r="I173" s="1569" t="str">
        <f>VLOOKUP($A173,satpek!$B$20:$N$144,5,0)</f>
        <v>An.Dihitung</v>
      </c>
      <c r="J173" s="1570">
        <f>VLOOKUP($A173,satpek!$B$20:$N$144,6,0)</f>
        <v>39690.120000000003</v>
      </c>
      <c r="K173" s="1558"/>
      <c r="L173" s="1571">
        <f>ROUND((G173*J173),2)</f>
        <v>1008129.05</v>
      </c>
      <c r="M173" s="1617"/>
      <c r="N173" s="1572">
        <f>VLOOKUP($A173,satpek!$B$20:$L$138,8,0)</f>
        <v>0.74739921421250433</v>
      </c>
      <c r="O173" s="1573">
        <f>VLOOKUP($A173,satpek!$B$20:$L$138,9,0)</f>
        <v>26251.65</v>
      </c>
      <c r="P173" s="1573">
        <f>VLOOKUP($A173,satpek!$B$20:$L$138,10,0)</f>
        <v>29664.364500000003</v>
      </c>
      <c r="Q173" s="1571">
        <f t="shared" si="123"/>
        <v>666791.91</v>
      </c>
      <c r="R173" s="1571">
        <f t="shared" si="124"/>
        <v>753474.85830000008</v>
      </c>
      <c r="S173" s="1574">
        <f t="shared" si="125"/>
        <v>254654.19169999997</v>
      </c>
      <c r="V173" s="1575">
        <v>25.4</v>
      </c>
      <c r="W173" s="1575">
        <f t="shared" si="111"/>
        <v>0</v>
      </c>
      <c r="X173" s="1465" t="s">
        <v>1816</v>
      </c>
      <c r="AB173" s="1465"/>
      <c r="AC173" s="1465"/>
      <c r="AD173" s="1465"/>
      <c r="AE173" s="1466">
        <v>39490.11</v>
      </c>
      <c r="AF173" s="1579">
        <f t="shared" si="112"/>
        <v>-200.01000000000204</v>
      </c>
    </row>
    <row r="174" spans="1:32" ht="21.95" customHeight="1" x14ac:dyDescent="0.2">
      <c r="B174" s="1549"/>
      <c r="C174" s="1550"/>
      <c r="D174" s="1551" t="s">
        <v>1786</v>
      </c>
      <c r="E174" s="1552"/>
      <c r="F174" s="1553"/>
      <c r="G174" s="1453"/>
      <c r="H174" s="1555"/>
      <c r="I174" s="1556"/>
      <c r="J174" s="1570"/>
      <c r="K174" s="1619"/>
      <c r="L174" s="1620"/>
      <c r="M174" s="1617"/>
      <c r="N174" s="1561"/>
      <c r="O174" s="1562"/>
      <c r="P174" s="1562"/>
      <c r="Q174" s="1563"/>
      <c r="R174" s="1564"/>
      <c r="S174" s="1565"/>
      <c r="V174" s="1575"/>
      <c r="W174" s="1575">
        <f t="shared" si="111"/>
        <v>0</v>
      </c>
      <c r="X174" s="1465" t="s">
        <v>1786</v>
      </c>
      <c r="AF174" s="1579">
        <f t="shared" si="112"/>
        <v>0</v>
      </c>
    </row>
    <row r="175" spans="1:32" ht="21.95" customHeight="1" x14ac:dyDescent="0.2">
      <c r="A175" s="1462">
        <f>satpek!$B$53</f>
        <v>34</v>
      </c>
      <c r="B175" s="1567">
        <v>1</v>
      </c>
      <c r="C175" s="1557"/>
      <c r="D175" s="1568" t="str">
        <f>VLOOKUP($A175,satpek!$B$20:$N$144,2,0)</f>
        <v>Memasang rk. plafond besi hollow uk. (60x80) cm</v>
      </c>
      <c r="E175" s="1568"/>
      <c r="F175" s="1580"/>
      <c r="G175" s="1453">
        <f>'[3]B.VOL RAB'!Q412</f>
        <v>831.65</v>
      </c>
      <c r="H175" s="788" t="str">
        <f>VLOOKUP($A175,satpek!$B$20:$N$144,7,0)</f>
        <v>m2</v>
      </c>
      <c r="I175" s="1569" t="str">
        <f>VLOOKUP($A175,satpek!$B$20:$N$144,5,0)</f>
        <v>A.4.2.1.20.</v>
      </c>
      <c r="J175" s="1570">
        <f>VLOOKUP($A175,satpek!$B$20:$N$144,6,0)</f>
        <v>98134.85</v>
      </c>
      <c r="K175" s="1558"/>
      <c r="L175" s="1571">
        <f t="shared" ref="L175:L179" si="127">ROUND((G175*J175),2)</f>
        <v>81613848</v>
      </c>
      <c r="M175" s="1617"/>
      <c r="N175" s="1572">
        <f>VLOOKUP($A175,satpek!$B$20:$L$138,8,0)</f>
        <v>0.71051931602279927</v>
      </c>
      <c r="O175" s="1573">
        <f>VLOOKUP($A175,satpek!$B$20:$L$138,9,0)</f>
        <v>61705.05</v>
      </c>
      <c r="P175" s="1573">
        <f>VLOOKUP($A175,satpek!$B$20:$L$138,10,0)</f>
        <v>69726.7065</v>
      </c>
      <c r="Q175" s="1571">
        <f t="shared" ref="Q175:Q179" si="128">O175*G175</f>
        <v>51317004.832500003</v>
      </c>
      <c r="R175" s="1571">
        <f t="shared" ref="R175:R179" si="129">P175*G175</f>
        <v>57988215.460725002</v>
      </c>
      <c r="S175" s="1574">
        <f t="shared" ref="S175:S179" si="130">L175-R175</f>
        <v>23625632.539274998</v>
      </c>
      <c r="V175" s="1575">
        <v>831.65</v>
      </c>
      <c r="W175" s="1575">
        <f t="shared" si="111"/>
        <v>0</v>
      </c>
      <c r="X175" s="1465" t="s">
        <v>783</v>
      </c>
      <c r="AE175" s="879">
        <v>96452.28</v>
      </c>
      <c r="AF175" s="1579">
        <f t="shared" si="112"/>
        <v>-1682.570000000007</v>
      </c>
    </row>
    <row r="176" spans="1:32" ht="21.95" customHeight="1" x14ac:dyDescent="0.2">
      <c r="A176" s="1462">
        <f>satpek!$B$49</f>
        <v>30</v>
      </c>
      <c r="B176" s="1567">
        <f>B175+1</f>
        <v>2</v>
      </c>
      <c r="C176" s="1557"/>
      <c r="D176" s="1568" t="str">
        <f>VLOOKUP($A176,satpek!$B$20:$N$144,2,0)</f>
        <v>Memasang langit-langit gypsum board uk. (120x240), tb. 9 mm.</v>
      </c>
      <c r="E176" s="1568"/>
      <c r="F176" s="1580"/>
      <c r="G176" s="1453">
        <f>'[3]B.VOL RAB'!Q415</f>
        <v>829.65</v>
      </c>
      <c r="H176" s="788" t="str">
        <f>VLOOKUP($A176,satpek!$B$20:$N$144,7,0)</f>
        <v>m2</v>
      </c>
      <c r="I176" s="1569" t="str">
        <f>VLOOKUP($A176,satpek!$B$20:$N$144,5,0)</f>
        <v>A.4.5.1.7.</v>
      </c>
      <c r="J176" s="1570">
        <f>VLOOKUP($A176,satpek!$B$20:$N$144,6,0)</f>
        <v>54047.9</v>
      </c>
      <c r="K176" s="1558"/>
      <c r="L176" s="1571">
        <f t="shared" si="127"/>
        <v>44840840.240000002</v>
      </c>
      <c r="M176" s="1617"/>
      <c r="N176" s="1572">
        <f>VLOOKUP($A176,satpek!$B$20:$L$138,8,0)</f>
        <v>0.47799105164122929</v>
      </c>
      <c r="O176" s="1573">
        <f>VLOOKUP($A176,satpek!$B$20:$L$138,9,0)</f>
        <v>22862.311999999998</v>
      </c>
      <c r="P176" s="1573">
        <f>VLOOKUP($A176,satpek!$B$20:$L$138,10,0)</f>
        <v>25834.412559999997</v>
      </c>
      <c r="Q176" s="1571">
        <f t="shared" si="128"/>
        <v>18967717.150799997</v>
      </c>
      <c r="R176" s="1571">
        <f t="shared" si="129"/>
        <v>21433520.380403996</v>
      </c>
      <c r="S176" s="1574">
        <f t="shared" si="130"/>
        <v>23407319.859596007</v>
      </c>
      <c r="V176" s="1575">
        <v>829.65</v>
      </c>
      <c r="W176" s="1575">
        <f t="shared" si="111"/>
        <v>0</v>
      </c>
      <c r="X176" s="1465" t="s">
        <v>786</v>
      </c>
      <c r="AE176" s="879">
        <v>54466.229999999996</v>
      </c>
      <c r="AF176" s="1579">
        <f t="shared" si="112"/>
        <v>418.32999999999447</v>
      </c>
    </row>
    <row r="177" spans="1:32" ht="21.95" customHeight="1" x14ac:dyDescent="0.2">
      <c r="A177" s="1462">
        <f>satpek!$B$51</f>
        <v>32</v>
      </c>
      <c r="B177" s="1567">
        <f>B176+1</f>
        <v>3</v>
      </c>
      <c r="C177" s="1557"/>
      <c r="D177" s="1568" t="str">
        <f>VLOOKUP($A177,satpek!$B$20:$N$144,2,0)</f>
        <v>Memasang list plafond gypsum profil</v>
      </c>
      <c r="E177" s="1568"/>
      <c r="F177" s="1580"/>
      <c r="G177" s="1453">
        <f>'[3]B.VOL RAB'!Q419</f>
        <v>427.89999999999981</v>
      </c>
      <c r="H177" s="788" t="str">
        <f>VLOOKUP($A177,satpek!$B$20:$N$144,7,0)</f>
        <v>m'</v>
      </c>
      <c r="I177" s="1569" t="str">
        <f>VLOOKUP($A177,satpek!$B$20:$N$144,5,0)</f>
        <v>An.Dihitung</v>
      </c>
      <c r="J177" s="1570">
        <f>VLOOKUP($A177,satpek!$B$20:$N$144,6,0)</f>
        <v>30469.32</v>
      </c>
      <c r="K177" s="1558"/>
      <c r="L177" s="1571">
        <f t="shared" si="127"/>
        <v>13037822.029999999</v>
      </c>
      <c r="M177" s="1617"/>
      <c r="N177" s="1572">
        <f>VLOOKUP($A177,satpek!$B$20:$L$138,8,0)</f>
        <v>0.58238985313751668</v>
      </c>
      <c r="O177" s="1573">
        <f>VLOOKUP($A177,satpek!$B$20:$L$138,9,0)</f>
        <v>15703.56</v>
      </c>
      <c r="P177" s="1573">
        <f>VLOOKUP($A177,satpek!$B$20:$L$138,10,0)</f>
        <v>17745.022799999999</v>
      </c>
      <c r="Q177" s="1571">
        <f t="shared" si="128"/>
        <v>6719553.3239999963</v>
      </c>
      <c r="R177" s="1571">
        <f t="shared" si="129"/>
        <v>7593095.2561199963</v>
      </c>
      <c r="S177" s="1574">
        <f t="shared" si="130"/>
        <v>5444726.773880003</v>
      </c>
      <c r="V177" s="1575">
        <v>427.89999999999981</v>
      </c>
      <c r="W177" s="1575">
        <f t="shared" si="111"/>
        <v>0</v>
      </c>
      <c r="X177" s="1465" t="s">
        <v>667</v>
      </c>
      <c r="AE177" s="879">
        <v>30387.96</v>
      </c>
      <c r="AF177" s="1579">
        <f t="shared" si="112"/>
        <v>-81.360000000000582</v>
      </c>
    </row>
    <row r="178" spans="1:32" ht="21.95" customHeight="1" x14ac:dyDescent="0.2">
      <c r="A178" s="1462">
        <f>satpek!$B$50</f>
        <v>31</v>
      </c>
      <c r="B178" s="1567">
        <f t="shared" ref="B178:B179" si="131">B177+1</f>
        <v>4</v>
      </c>
      <c r="C178" s="1557"/>
      <c r="D178" s="1568" t="str">
        <f>VLOOKUP($A178,satpek!$B$20:$N$144,2,0)</f>
        <v>Memasang plafond PVC</v>
      </c>
      <c r="E178" s="1568"/>
      <c r="F178" s="1580"/>
      <c r="G178" s="1453">
        <f>'[3]B.VOL RAB'!Q420</f>
        <v>68.399999999999991</v>
      </c>
      <c r="H178" s="788" t="str">
        <f>VLOOKUP($A178,satpek!$B$20:$N$144,7,0)</f>
        <v>m2</v>
      </c>
      <c r="I178" s="1569" t="str">
        <f>VLOOKUP($A178,satpek!$B$20:$N$144,5,0)</f>
        <v>An.Dihitung</v>
      </c>
      <c r="J178" s="1570">
        <f>VLOOKUP($A178,satpek!$B$20:$N$144,6,0)</f>
        <v>167579</v>
      </c>
      <c r="K178" s="1558"/>
      <c r="L178" s="1571">
        <f t="shared" si="127"/>
        <v>11462403.6</v>
      </c>
      <c r="M178" s="1617"/>
      <c r="N178" s="1572">
        <f>VLOOKUP($A178,satpek!$B$20:$L$138,8,0)</f>
        <v>0.65594032366824007</v>
      </c>
      <c r="O178" s="1573">
        <f>VLOOKUP($A178,satpek!$B$20:$L$138,9,0)</f>
        <v>97275.95</v>
      </c>
      <c r="P178" s="1573">
        <f>VLOOKUP($A178,satpek!$B$20:$L$138,10,0)</f>
        <v>109921.8235</v>
      </c>
      <c r="Q178" s="1571">
        <f t="shared" si="128"/>
        <v>6653674.9799999986</v>
      </c>
      <c r="R178" s="1571">
        <f t="shared" si="129"/>
        <v>7518652.7273999993</v>
      </c>
      <c r="S178" s="1574">
        <f t="shared" si="130"/>
        <v>3943750.8726000004</v>
      </c>
      <c r="V178" s="1575">
        <v>68.399999999999991</v>
      </c>
      <c r="W178" s="1575">
        <f t="shared" si="111"/>
        <v>0</v>
      </c>
      <c r="X178" s="1465" t="s">
        <v>1815</v>
      </c>
      <c r="AB178" s="1465"/>
      <c r="AC178" s="1465"/>
      <c r="AD178" s="1465"/>
      <c r="AE178" s="1466">
        <v>167245.65</v>
      </c>
      <c r="AF178" s="1579">
        <f t="shared" si="112"/>
        <v>-333.35000000000582</v>
      </c>
    </row>
    <row r="179" spans="1:32" ht="21.95" customHeight="1" x14ac:dyDescent="0.2">
      <c r="A179" s="1462">
        <f>satpek!$B$52</f>
        <v>33</v>
      </c>
      <c r="B179" s="1567">
        <f t="shared" si="131"/>
        <v>5</v>
      </c>
      <c r="C179" s="1557"/>
      <c r="D179" s="1568" t="str">
        <f>VLOOKUP($A179,satpek!$B$20:$N$144,2,0)</f>
        <v>Memasang list plafond PVC</v>
      </c>
      <c r="E179" s="1568"/>
      <c r="F179" s="1580"/>
      <c r="G179" s="1453">
        <f>'[3]B.VOL RAB'!Q432</f>
        <v>117.80000000000001</v>
      </c>
      <c r="H179" s="788" t="str">
        <f>VLOOKUP($A179,satpek!$B$20:$N$144,7,0)</f>
        <v>m'</v>
      </c>
      <c r="I179" s="1569" t="str">
        <f>VLOOKUP($A179,satpek!$B$20:$N$144,5,0)</f>
        <v>An.Dihitung</v>
      </c>
      <c r="J179" s="1570">
        <f>VLOOKUP($A179,satpek!$B$20:$N$144,6,0)</f>
        <v>39690.120000000003</v>
      </c>
      <c r="K179" s="1558"/>
      <c r="L179" s="1571">
        <f t="shared" si="127"/>
        <v>4675496.1399999997</v>
      </c>
      <c r="M179" s="1617"/>
      <c r="N179" s="1572">
        <f>VLOOKUP($A179,satpek!$B$20:$L$138,8,0)</f>
        <v>0.74739921421250433</v>
      </c>
      <c r="O179" s="1573">
        <f>VLOOKUP($A179,satpek!$B$20:$L$138,9,0)</f>
        <v>26251.65</v>
      </c>
      <c r="P179" s="1573">
        <f>VLOOKUP($A179,satpek!$B$20:$L$138,10,0)</f>
        <v>29664.364500000003</v>
      </c>
      <c r="Q179" s="1571">
        <f t="shared" si="128"/>
        <v>3092444.3700000006</v>
      </c>
      <c r="R179" s="1571">
        <f t="shared" si="129"/>
        <v>3494462.1381000006</v>
      </c>
      <c r="S179" s="1574">
        <f t="shared" si="130"/>
        <v>1181034.0018999991</v>
      </c>
      <c r="V179" s="1575">
        <v>117.80000000000001</v>
      </c>
      <c r="W179" s="1575">
        <f t="shared" si="111"/>
        <v>0</v>
      </c>
      <c r="X179" s="1465" t="s">
        <v>1816</v>
      </c>
      <c r="AB179" s="1465"/>
      <c r="AC179" s="1465"/>
      <c r="AD179" s="1465"/>
      <c r="AE179" s="1466">
        <v>39490.11</v>
      </c>
      <c r="AF179" s="1579">
        <f t="shared" si="112"/>
        <v>-200.01000000000204</v>
      </c>
    </row>
    <row r="180" spans="1:32" ht="21.95" customHeight="1" x14ac:dyDescent="0.2">
      <c r="B180" s="1587"/>
      <c r="C180" s="1588"/>
      <c r="D180" s="1589"/>
      <c r="E180" s="1589"/>
      <c r="F180" s="1590"/>
      <c r="G180" s="807"/>
      <c r="H180" s="1591"/>
      <c r="I180" s="1592"/>
      <c r="J180" s="1593"/>
      <c r="K180" s="1594"/>
      <c r="L180" s="1595" t="s">
        <v>1817</v>
      </c>
      <c r="M180" s="1596">
        <f>SUM(L169:L180)</f>
        <v>295138043.27000004</v>
      </c>
      <c r="N180" s="1597"/>
      <c r="O180" s="1598"/>
      <c r="P180" s="1598"/>
      <c r="Q180" s="1599"/>
      <c r="R180" s="1600"/>
      <c r="S180" s="1601"/>
      <c r="T180" s="1477">
        <f>[3]HPS!M183</f>
        <v>292942794.96999997</v>
      </c>
      <c r="U180" s="1477">
        <f>M180-T180</f>
        <v>2195248.3000000715</v>
      </c>
      <c r="V180" s="1575"/>
      <c r="W180" s="1575">
        <f t="shared" si="111"/>
        <v>0</v>
      </c>
      <c r="AF180" s="1579">
        <f t="shared" si="112"/>
        <v>0</v>
      </c>
    </row>
    <row r="181" spans="1:32" ht="21.95" customHeight="1" x14ac:dyDescent="0.2">
      <c r="B181" s="1549" t="s">
        <v>1818</v>
      </c>
      <c r="C181" s="1603"/>
      <c r="D181" s="1604" t="s">
        <v>1819</v>
      </c>
      <c r="E181" s="1622"/>
      <c r="F181" s="1623"/>
      <c r="G181" s="1453"/>
      <c r="H181" s="1624"/>
      <c r="I181" s="1625"/>
      <c r="J181" s="1626"/>
      <c r="K181" s="1627"/>
      <c r="L181" s="1628"/>
      <c r="M181" s="1626"/>
      <c r="N181" s="1629"/>
      <c r="O181" s="1630"/>
      <c r="P181" s="1630"/>
      <c r="Q181" s="1625"/>
      <c r="R181" s="1631"/>
      <c r="S181" s="1632"/>
      <c r="V181" s="1575"/>
      <c r="W181" s="1575">
        <f t="shared" si="111"/>
        <v>0</v>
      </c>
      <c r="X181" s="1465" t="s">
        <v>1819</v>
      </c>
      <c r="Y181" s="1668" t="e">
        <f>X181/1.35</f>
        <v>#VALUE!</v>
      </c>
      <c r="AF181" s="1579">
        <f t="shared" si="112"/>
        <v>0</v>
      </c>
    </row>
    <row r="182" spans="1:32" s="725" customFormat="1" ht="21.95" customHeight="1" x14ac:dyDescent="0.2">
      <c r="A182" s="1669">
        <f>satpek!B113</f>
        <v>94</v>
      </c>
      <c r="B182" s="1670">
        <f>B180+1</f>
        <v>1</v>
      </c>
      <c r="C182" s="1671"/>
      <c r="D182" s="1568" t="str">
        <f>VLOOKUP($A182,satpek!$B$20:$N$144,2,0)</f>
        <v>Pas. rangka atap baja ringan</v>
      </c>
      <c r="E182" s="1672"/>
      <c r="F182" s="1673"/>
      <c r="G182" s="1453">
        <f>T183</f>
        <v>974.54500000000007</v>
      </c>
      <c r="H182" s="788" t="str">
        <f>VLOOKUP($A182,satpek!$B$20:$N$144,7,0)</f>
        <v>m2</v>
      </c>
      <c r="I182" s="1569" t="str">
        <f>VLOOKUP($A182,satpek!$B$20:$N$144,5,0)</f>
        <v>Daftar harga</v>
      </c>
      <c r="J182" s="1570">
        <f>VLOOKUP($A182,satpek!$B$20:$N$144,6,0)</f>
        <v>310000</v>
      </c>
      <c r="K182" s="1558"/>
      <c r="L182" s="1571">
        <f t="shared" ref="L182:L186" si="132">ROUND((G182*J182),2)</f>
        <v>302108950</v>
      </c>
      <c r="M182" s="1617"/>
      <c r="N182" s="1572">
        <f>VLOOKUP($A182,satpek!$B$20:$L$138,8,0)</f>
        <v>0.60189999999999999</v>
      </c>
      <c r="O182" s="1573">
        <f>VLOOKUP($A182,satpek!$B$20:$L$138,9,0)</f>
        <v>0</v>
      </c>
      <c r="P182" s="1573">
        <f>VLOOKUP($A182,satpek!$B$20:$L$138,10,0)</f>
        <v>186589</v>
      </c>
      <c r="Q182" s="1571">
        <f t="shared" ref="Q182:Q186" si="133">O182*G182</f>
        <v>0</v>
      </c>
      <c r="R182" s="1571">
        <f t="shared" ref="R182:R186" si="134">P182*G182</f>
        <v>181839377.00500003</v>
      </c>
      <c r="S182" s="1574">
        <f t="shared" ref="S182:S186" si="135">L182-R182</f>
        <v>120269572.99499997</v>
      </c>
      <c r="T182" s="1674">
        <v>934.5</v>
      </c>
      <c r="U182" s="1674"/>
      <c r="V182" s="1577">
        <v>974.54500000000007</v>
      </c>
      <c r="W182" s="1575">
        <f t="shared" si="111"/>
        <v>0</v>
      </c>
      <c r="X182" s="725" t="s">
        <v>1820</v>
      </c>
      <c r="AB182" s="726"/>
      <c r="AC182" s="726"/>
      <c r="AD182" s="726"/>
      <c r="AE182" s="879">
        <v>275000</v>
      </c>
      <c r="AF182" s="794">
        <f t="shared" si="112"/>
        <v>-35000</v>
      </c>
    </row>
    <row r="183" spans="1:32" ht="21.95" customHeight="1" x14ac:dyDescent="0.2">
      <c r="A183" s="1462">
        <f>satpek!B66</f>
        <v>47</v>
      </c>
      <c r="B183" s="1567">
        <v>2</v>
      </c>
      <c r="C183" s="1557"/>
      <c r="D183" s="1568" t="str">
        <f>VLOOKUP($A183,satpek!$B$20:$N$144,2,0)</f>
        <v>Memasang penutup atap galvalum pasir</v>
      </c>
      <c r="E183" s="1568"/>
      <c r="F183" s="1580"/>
      <c r="G183" s="1453">
        <f>G182</f>
        <v>974.54500000000007</v>
      </c>
      <c r="H183" s="788" t="str">
        <f>VLOOKUP($A183,satpek!$B$20:$N$144,7,0)</f>
        <v>m2</v>
      </c>
      <c r="I183" s="1569" t="str">
        <f>VLOOKUP($A183,satpek!$B$20:$N$144,5,0)</f>
        <v>An. Dihitung</v>
      </c>
      <c r="J183" s="1570">
        <f>VLOOKUP($A183,satpek!$B$20:$N$144,6,0)</f>
        <v>108751.2</v>
      </c>
      <c r="K183" s="1558"/>
      <c r="L183" s="1571">
        <f t="shared" si="132"/>
        <v>105982938.2</v>
      </c>
      <c r="M183" s="1617"/>
      <c r="N183" s="1572">
        <f>VLOOKUP($A183,satpek!$B$20:$L$138,8,0)</f>
        <v>0.57070756442227766</v>
      </c>
      <c r="O183" s="1573">
        <f>VLOOKUP($A183,satpek!$B$20:$L$138,9,0)</f>
        <v>54924.896000000001</v>
      </c>
      <c r="P183" s="1573">
        <f>VLOOKUP($A183,satpek!$B$20:$L$138,10,0)</f>
        <v>62065.13248</v>
      </c>
      <c r="Q183" s="1571">
        <f t="shared" si="133"/>
        <v>53526782.772320002</v>
      </c>
      <c r="R183" s="1571">
        <f t="shared" si="134"/>
        <v>60485264.532721601</v>
      </c>
      <c r="S183" s="1574">
        <f t="shared" si="135"/>
        <v>45497673.667278402</v>
      </c>
      <c r="T183" s="1477">
        <f>37.7*23.5*1.1</f>
        <v>974.54500000000007</v>
      </c>
      <c r="V183" s="1575">
        <v>974.54500000000007</v>
      </c>
      <c r="W183" s="1575">
        <f t="shared" si="111"/>
        <v>0</v>
      </c>
      <c r="X183" s="1465" t="s">
        <v>1821</v>
      </c>
      <c r="Y183" s="1618" t="e">
        <f>Y181-J183</f>
        <v>#VALUE!</v>
      </c>
      <c r="AE183" s="879">
        <v>108284.51</v>
      </c>
      <c r="AF183" s="1579">
        <f t="shared" si="112"/>
        <v>-466.69000000000233</v>
      </c>
    </row>
    <row r="184" spans="1:32" ht="21.95" customHeight="1" x14ac:dyDescent="0.2">
      <c r="A184" s="1462">
        <f>satpek!B67</f>
        <v>48</v>
      </c>
      <c r="B184" s="1567">
        <f>B183+1</f>
        <v>3</v>
      </c>
      <c r="C184" s="1557"/>
      <c r="D184" s="1568" t="str">
        <f>VLOOKUP($A184,satpek!$B$20:$N$144,2,0)</f>
        <v>Pasang bubungan galvalum pasir</v>
      </c>
      <c r="E184" s="1568"/>
      <c r="F184" s="1580"/>
      <c r="G184" s="1453">
        <f>'[3]B.VOL RAB'!Q430</f>
        <v>74.400000000000006</v>
      </c>
      <c r="H184" s="788" t="str">
        <f>VLOOKUP($A184,satpek!$B$20:$N$144,7,0)</f>
        <v>m'</v>
      </c>
      <c r="I184" s="1569" t="str">
        <f>VLOOKUP($A184,satpek!$B$20:$N$144,5,0)</f>
        <v>A.4.5.2.39a.</v>
      </c>
      <c r="J184" s="1570">
        <f>VLOOKUP($A184,satpek!$B$20:$N$144,6,0)</f>
        <v>66180.710000000006</v>
      </c>
      <c r="K184" s="1558"/>
      <c r="L184" s="1571">
        <f t="shared" si="132"/>
        <v>4923844.82</v>
      </c>
      <c r="M184" s="1617"/>
      <c r="N184" s="1572">
        <f>VLOOKUP($A184,satpek!$B$20:$L$138,8,0)</f>
        <v>0.67431317977700755</v>
      </c>
      <c r="O184" s="1573">
        <f>VLOOKUP($A184,satpek!$B$20:$L$138,9,0)</f>
        <v>39492.5</v>
      </c>
      <c r="P184" s="1573">
        <f>VLOOKUP($A184,satpek!$B$20:$L$138,10,0)</f>
        <v>44626.525000000001</v>
      </c>
      <c r="Q184" s="1571">
        <f t="shared" si="133"/>
        <v>2938242</v>
      </c>
      <c r="R184" s="1571">
        <f t="shared" si="134"/>
        <v>3320213.4600000004</v>
      </c>
      <c r="S184" s="1574">
        <f t="shared" si="135"/>
        <v>1603631.3599999999</v>
      </c>
      <c r="V184" s="1575">
        <v>74.400000000000006</v>
      </c>
      <c r="W184" s="1575">
        <f t="shared" si="111"/>
        <v>0</v>
      </c>
      <c r="X184" s="1465" t="s">
        <v>1822</v>
      </c>
      <c r="AE184" s="879">
        <v>65685.77</v>
      </c>
      <c r="AF184" s="1579">
        <f t="shared" si="112"/>
        <v>-494.94000000000233</v>
      </c>
    </row>
    <row r="185" spans="1:32" ht="21.95" customHeight="1" x14ac:dyDescent="0.2">
      <c r="A185" s="1462">
        <f>satpek!B68</f>
        <v>49</v>
      </c>
      <c r="B185" s="1567">
        <f>B184+1</f>
        <v>4</v>
      </c>
      <c r="C185" s="1557"/>
      <c r="D185" s="1568" t="str">
        <f>VLOOKUP($A185,satpek!$B$20:$N$144,2,0)</f>
        <v>Pasang aluminium foil/sisalation</v>
      </c>
      <c r="E185" s="1568"/>
      <c r="F185" s="1580"/>
      <c r="G185" s="1453">
        <f>G183</f>
        <v>974.54500000000007</v>
      </c>
      <c r="H185" s="788" t="str">
        <f>VLOOKUP($A185,satpek!$B$20:$N$144,7,0)</f>
        <v>m2</v>
      </c>
      <c r="I185" s="1569" t="str">
        <f>VLOOKUP($A185,satpek!$B$20:$N$144,5,0)</f>
        <v>A.4.5.2.43.</v>
      </c>
      <c r="J185" s="1570">
        <f>VLOOKUP($A185,satpek!$B$20:$N$144,6,0)</f>
        <v>38843.75</v>
      </c>
      <c r="K185" s="1558"/>
      <c r="L185" s="1571">
        <f t="shared" si="132"/>
        <v>37854982.340000004</v>
      </c>
      <c r="M185" s="1617"/>
      <c r="N185" s="1572">
        <f>VLOOKUP($A185,satpek!$B$20:$L$138,8,0)</f>
        <v>0.55403636363636366</v>
      </c>
      <c r="O185" s="1573">
        <f>VLOOKUP($A185,satpek!$B$20:$L$138,9,0)</f>
        <v>19045</v>
      </c>
      <c r="P185" s="1573">
        <f>VLOOKUP($A185,satpek!$B$20:$L$138,10,0)</f>
        <v>21520.85</v>
      </c>
      <c r="Q185" s="1571">
        <f t="shared" si="133"/>
        <v>18560209.525000002</v>
      </c>
      <c r="R185" s="1571">
        <f t="shared" si="134"/>
        <v>20973036.763250001</v>
      </c>
      <c r="S185" s="1574">
        <f t="shared" si="135"/>
        <v>16881945.576750003</v>
      </c>
      <c r="V185" s="1575">
        <v>974.54500000000007</v>
      </c>
      <c r="W185" s="1575">
        <f t="shared" si="111"/>
        <v>0</v>
      </c>
      <c r="X185" s="1465" t="s">
        <v>1913</v>
      </c>
      <c r="AE185" s="879">
        <v>31138.28</v>
      </c>
      <c r="AF185" s="1579">
        <f t="shared" si="112"/>
        <v>-7705.4700000000012</v>
      </c>
    </row>
    <row r="186" spans="1:32" ht="21.95" customHeight="1" x14ac:dyDescent="0.2">
      <c r="A186" s="1462">
        <f>satpek!B38</f>
        <v>19</v>
      </c>
      <c r="B186" s="1567">
        <f>B185+1</f>
        <v>5</v>
      </c>
      <c r="C186" s="1557"/>
      <c r="D186" s="1568" t="str">
        <f>VLOOKUP($A186,satpek!$B$20:$N$144,2,0)</f>
        <v>Memasang lisplank woodplank</v>
      </c>
      <c r="E186" s="1568"/>
      <c r="F186" s="1580"/>
      <c r="G186" s="1453">
        <f>'[3]B.VOL RAB'!Q432</f>
        <v>117.80000000000001</v>
      </c>
      <c r="H186" s="788" t="str">
        <f>VLOOKUP($A186,satpek!$B$20:$N$144,7,0)</f>
        <v>m'</v>
      </c>
      <c r="I186" s="1569" t="str">
        <f>VLOOKUP($A186,satpek!$B$20:$N$144,5,0)</f>
        <v>An. Dihitung</v>
      </c>
      <c r="J186" s="1570">
        <f>VLOOKUP($A186,satpek!$B$20:$N$144,6,0)</f>
        <v>68139</v>
      </c>
      <c r="K186" s="1558"/>
      <c r="L186" s="1571">
        <f t="shared" si="132"/>
        <v>8026774.2000000002</v>
      </c>
      <c r="M186" s="1617"/>
      <c r="N186" s="1572">
        <f>VLOOKUP($A186,satpek!$B$20:$L$138,8,0)</f>
        <v>0.69652404643449417</v>
      </c>
      <c r="O186" s="1573">
        <f>VLOOKUP($A186,satpek!$B$20:$L$138,9,0)</f>
        <v>42000.4</v>
      </c>
      <c r="P186" s="1573">
        <f>VLOOKUP($A186,satpek!$B$20:$L$138,10,0)</f>
        <v>47460.452000000005</v>
      </c>
      <c r="Q186" s="1571">
        <f t="shared" si="133"/>
        <v>4947647.120000001</v>
      </c>
      <c r="R186" s="1571">
        <f t="shared" si="134"/>
        <v>5590841.245600001</v>
      </c>
      <c r="S186" s="1574">
        <f t="shared" si="135"/>
        <v>2435932.9543999992</v>
      </c>
      <c r="V186" s="1575">
        <v>117.80000000000001</v>
      </c>
      <c r="W186" s="1575">
        <f t="shared" si="111"/>
        <v>0</v>
      </c>
      <c r="X186" s="1465" t="s">
        <v>472</v>
      </c>
      <c r="AE186" s="879">
        <v>66110.649999999994</v>
      </c>
      <c r="AF186" s="1579">
        <f t="shared" si="112"/>
        <v>-2028.3500000000058</v>
      </c>
    </row>
    <row r="187" spans="1:32" ht="21.95" customHeight="1" x14ac:dyDescent="0.2">
      <c r="B187" s="1587"/>
      <c r="C187" s="1588"/>
      <c r="D187" s="1589"/>
      <c r="E187" s="1589"/>
      <c r="F187" s="1590"/>
      <c r="G187" s="807"/>
      <c r="H187" s="1591"/>
      <c r="I187" s="1592"/>
      <c r="J187" s="1593"/>
      <c r="K187" s="1594"/>
      <c r="L187" s="1595" t="s">
        <v>1823</v>
      </c>
      <c r="M187" s="1596">
        <f>SUM(L182:L187)</f>
        <v>458897489.56</v>
      </c>
      <c r="N187" s="1597"/>
      <c r="O187" s="1598"/>
      <c r="P187" s="1598"/>
      <c r="Q187" s="1599"/>
      <c r="R187" s="1600"/>
      <c r="S187" s="1601"/>
      <c r="T187" s="1477">
        <f>[3]HPS!M190</f>
        <v>551859626.79000008</v>
      </c>
      <c r="U187" s="1477">
        <f>M187-T187</f>
        <v>-92962137.230000079</v>
      </c>
      <c r="V187" s="1575"/>
      <c r="W187" s="1575">
        <f t="shared" si="111"/>
        <v>0</v>
      </c>
      <c r="X187" s="1618"/>
      <c r="AF187" s="1579">
        <f t="shared" si="112"/>
        <v>0</v>
      </c>
    </row>
    <row r="188" spans="1:32" ht="21.95" customHeight="1" x14ac:dyDescent="0.2">
      <c r="B188" s="1602" t="s">
        <v>1824</v>
      </c>
      <c r="C188" s="1550"/>
      <c r="D188" s="1551" t="s">
        <v>1620</v>
      </c>
      <c r="E188" s="1634"/>
      <c r="F188" s="1635"/>
      <c r="G188" s="1453"/>
      <c r="H188" s="1636"/>
      <c r="I188" s="1637"/>
      <c r="J188" s="1638"/>
      <c r="K188" s="1639"/>
      <c r="L188" s="1640"/>
      <c r="M188" s="1641"/>
      <c r="N188" s="1642"/>
      <c r="O188" s="1643"/>
      <c r="P188" s="1643"/>
      <c r="Q188" s="1644"/>
      <c r="R188" s="1645"/>
      <c r="S188" s="1646"/>
      <c r="V188" s="1575"/>
      <c r="W188" s="1575">
        <f t="shared" si="111"/>
        <v>0</v>
      </c>
      <c r="X188" s="1465" t="s">
        <v>1620</v>
      </c>
      <c r="AF188" s="1579">
        <f t="shared" si="112"/>
        <v>0</v>
      </c>
    </row>
    <row r="189" spans="1:32" ht="21.95" customHeight="1" x14ac:dyDescent="0.2">
      <c r="B189" s="1602"/>
      <c r="C189" s="1550"/>
      <c r="D189" s="1551" t="s">
        <v>1769</v>
      </c>
      <c r="E189" s="1634"/>
      <c r="F189" s="1635"/>
      <c r="G189" s="1453"/>
      <c r="H189" s="1636"/>
      <c r="I189" s="1637"/>
      <c r="J189" s="1638"/>
      <c r="K189" s="1639"/>
      <c r="L189" s="1640"/>
      <c r="M189" s="1641"/>
      <c r="N189" s="1642"/>
      <c r="O189" s="1643"/>
      <c r="P189" s="1643"/>
      <c r="Q189" s="1644"/>
      <c r="R189" s="1645"/>
      <c r="S189" s="1646"/>
      <c r="V189" s="1575"/>
      <c r="W189" s="1575">
        <f t="shared" si="111"/>
        <v>0</v>
      </c>
      <c r="X189" s="1465" t="s">
        <v>1769</v>
      </c>
      <c r="AF189" s="1579">
        <f t="shared" si="112"/>
        <v>0</v>
      </c>
    </row>
    <row r="190" spans="1:32" ht="21.95" customHeight="1" x14ac:dyDescent="0.2">
      <c r="B190" s="1602"/>
      <c r="C190" s="1550"/>
      <c r="D190" s="1568" t="s">
        <v>1825</v>
      </c>
      <c r="E190" s="1634"/>
      <c r="F190" s="1635"/>
      <c r="G190" s="1453"/>
      <c r="H190" s="1636"/>
      <c r="I190" s="1637"/>
      <c r="J190" s="1638"/>
      <c r="K190" s="1639"/>
      <c r="L190" s="1640"/>
      <c r="M190" s="1641"/>
      <c r="N190" s="1642"/>
      <c r="O190" s="1643"/>
      <c r="P190" s="1643"/>
      <c r="Q190" s="1644"/>
      <c r="R190" s="1645"/>
      <c r="S190" s="1646"/>
      <c r="V190" s="1575"/>
      <c r="W190" s="1575">
        <f t="shared" si="111"/>
        <v>0</v>
      </c>
      <c r="X190" s="1465" t="s">
        <v>1825</v>
      </c>
      <c r="AF190" s="1579">
        <f t="shared" si="112"/>
        <v>0</v>
      </c>
    </row>
    <row r="191" spans="1:32" ht="21.95" customHeight="1" x14ac:dyDescent="0.2">
      <c r="A191" s="1462">
        <f>satpek!B114</f>
        <v>95</v>
      </c>
      <c r="B191" s="1657">
        <v>1</v>
      </c>
      <c r="C191" s="1550"/>
      <c r="D191" s="1568" t="str">
        <f>VLOOKUP($A191,satpek!$B$20:$N$144,2,0)</f>
        <v>Pintu utama kaca tempered 12 mm</v>
      </c>
      <c r="E191" s="1634"/>
      <c r="F191" s="1635"/>
      <c r="G191" s="1453">
        <v>1</v>
      </c>
      <c r="H191" s="788" t="str">
        <f>VLOOKUP($A191,satpek!$B$20:$N$144,7,0)</f>
        <v>unit</v>
      </c>
      <c r="I191" s="1569" t="str">
        <f>VLOOKUP($A191,satpek!$B$20:$N$144,5,0)</f>
        <v>Daftar harga</v>
      </c>
      <c r="J191" s="1570">
        <f>VLOOKUP($A191,satpek!$B$20:$N$144,6,0)</f>
        <v>16000000</v>
      </c>
      <c r="K191" s="1558"/>
      <c r="L191" s="1571">
        <f t="shared" ref="L191:L197" si="136">ROUND((G191*J191),2)</f>
        <v>16000000</v>
      </c>
      <c r="M191" s="1641"/>
      <c r="N191" s="1572">
        <f>VLOOKUP($A191,satpek!$B$20:$L$138,8,0)</f>
        <v>0.25</v>
      </c>
      <c r="O191" s="1573">
        <f>VLOOKUP($A191,satpek!$B$20:$L$138,9,0)</f>
        <v>0</v>
      </c>
      <c r="P191" s="1573">
        <f>VLOOKUP($A191,satpek!$B$20:$L$138,10,0)</f>
        <v>4000000</v>
      </c>
      <c r="Q191" s="1571">
        <f t="shared" ref="Q191:Q197" si="137">O191*G191</f>
        <v>0</v>
      </c>
      <c r="R191" s="1571">
        <f t="shared" ref="R191:R197" si="138">P191*G191</f>
        <v>4000000</v>
      </c>
      <c r="S191" s="1574">
        <f t="shared" ref="S191:S197" si="139">L191-R191</f>
        <v>12000000</v>
      </c>
      <c r="V191" s="1575">
        <v>1</v>
      </c>
      <c r="W191" s="1575">
        <f t="shared" si="111"/>
        <v>0</v>
      </c>
      <c r="X191" s="1465" t="s">
        <v>1826</v>
      </c>
      <c r="AE191" s="879">
        <v>17000000</v>
      </c>
      <c r="AF191" s="1579">
        <f t="shared" si="112"/>
        <v>1000000</v>
      </c>
    </row>
    <row r="192" spans="1:32" ht="21.95" customHeight="1" x14ac:dyDescent="0.2">
      <c r="A192" s="1462">
        <f>satpek!B118</f>
        <v>99</v>
      </c>
      <c r="B192" s="1657">
        <f>B191+1</f>
        <v>2</v>
      </c>
      <c r="C192" s="1550"/>
      <c r="D192" s="1568" t="str">
        <f>VLOOKUP($A192,satpek!$B$20:$N$144,2,0)</f>
        <v>doorcloser tanam</v>
      </c>
      <c r="E192" s="1634"/>
      <c r="F192" s="1635"/>
      <c r="G192" s="1453">
        <v>2</v>
      </c>
      <c r="H192" s="788" t="str">
        <f>VLOOKUP($A192,satpek!$B$20:$N$144,7,0)</f>
        <v>bh</v>
      </c>
      <c r="I192" s="1569" t="str">
        <f>VLOOKUP($A192,satpek!$B$20:$N$144,5,0)</f>
        <v>Daftar harga</v>
      </c>
      <c r="J192" s="1570">
        <f>VLOOKUP($A192,satpek!$B$20:$N$144,6,0)</f>
        <v>850000</v>
      </c>
      <c r="K192" s="1558"/>
      <c r="L192" s="1571">
        <f t="shared" si="136"/>
        <v>1700000</v>
      </c>
      <c r="M192" s="1641"/>
      <c r="N192" s="1572">
        <f>VLOOKUP($A192,satpek!$B$20:$L$138,8,0)</f>
        <v>0.5</v>
      </c>
      <c r="O192" s="1573">
        <f>VLOOKUP($A192,satpek!$B$20:$L$138,9,0)</f>
        <v>0</v>
      </c>
      <c r="P192" s="1573">
        <f>VLOOKUP($A192,satpek!$B$20:$L$138,10,0)</f>
        <v>425000</v>
      </c>
      <c r="Q192" s="1571">
        <f t="shared" si="137"/>
        <v>0</v>
      </c>
      <c r="R192" s="1571">
        <f t="shared" si="138"/>
        <v>850000</v>
      </c>
      <c r="S192" s="1574">
        <f t="shared" si="139"/>
        <v>850000</v>
      </c>
      <c r="V192" s="1575">
        <v>2</v>
      </c>
      <c r="W192" s="1575">
        <f t="shared" si="111"/>
        <v>0</v>
      </c>
      <c r="X192" s="1465" t="s">
        <v>1827</v>
      </c>
      <c r="AE192" s="879">
        <v>850000</v>
      </c>
      <c r="AF192" s="1579">
        <f t="shared" si="112"/>
        <v>0</v>
      </c>
    </row>
    <row r="193" spans="1:32" ht="21.95" customHeight="1" x14ac:dyDescent="0.2">
      <c r="A193" s="1462">
        <f>satpek!$B$54</f>
        <v>35</v>
      </c>
      <c r="B193" s="1657">
        <f t="shared" ref="B193:B197" si="140">B192+1</f>
        <v>3</v>
      </c>
      <c r="C193" s="1557"/>
      <c r="D193" s="1568" t="str">
        <f>VLOOKUP($A193,satpek!$B$20:$N$144,2,0)</f>
        <v xml:space="preserve">Memasang kusen pintu/jendela alluminium </v>
      </c>
      <c r="E193" s="1568"/>
      <c r="F193" s="1580"/>
      <c r="G193" s="1453">
        <f>'[3]B.VOL RAB'!Q437</f>
        <v>560.6</v>
      </c>
      <c r="H193" s="788" t="str">
        <f>VLOOKUP($A193,satpek!$B$20:$N$144,7,0)</f>
        <v>m'</v>
      </c>
      <c r="I193" s="1569" t="str">
        <f>VLOOKUP($A193,satpek!$B$20:$N$144,5,0)</f>
        <v>A.4.2.1.11.</v>
      </c>
      <c r="J193" s="1570">
        <f>VLOOKUP($A193,satpek!$B$20:$N$144,6,0)</f>
        <v>152243.43000000002</v>
      </c>
      <c r="K193" s="1558"/>
      <c r="L193" s="1571">
        <f t="shared" si="136"/>
        <v>85347666.859999999</v>
      </c>
      <c r="M193" s="1617"/>
      <c r="N193" s="1572">
        <f>VLOOKUP($A193,satpek!$B$20:$L$138,8,0)</f>
        <v>0.52703841126649331</v>
      </c>
      <c r="O193" s="1573">
        <f>VLOOKUP($A193,satpek!$B$20:$L$138,9,0)</f>
        <v>71007.199999999997</v>
      </c>
      <c r="P193" s="1573">
        <f>VLOOKUP($A193,satpek!$B$20:$L$138,10,0)</f>
        <v>80238.135999999999</v>
      </c>
      <c r="Q193" s="1571">
        <f t="shared" si="137"/>
        <v>39806636.32</v>
      </c>
      <c r="R193" s="1571">
        <f t="shared" si="138"/>
        <v>44981499.041600004</v>
      </c>
      <c r="S193" s="1574">
        <f t="shared" si="139"/>
        <v>40366167.818399996</v>
      </c>
      <c r="V193" s="1575">
        <v>560.6</v>
      </c>
      <c r="W193" s="1575">
        <f t="shared" si="111"/>
        <v>0</v>
      </c>
      <c r="X193" s="1465" t="s">
        <v>1080</v>
      </c>
      <c r="AE193" s="879">
        <v>139049.89000000001</v>
      </c>
      <c r="AF193" s="1579">
        <f t="shared" si="112"/>
        <v>-13193.540000000008</v>
      </c>
    </row>
    <row r="194" spans="1:32" ht="21.95" customHeight="1" x14ac:dyDescent="0.2">
      <c r="A194" s="1462">
        <f>satpek!$B$56</f>
        <v>37</v>
      </c>
      <c r="B194" s="1657">
        <f t="shared" si="140"/>
        <v>4</v>
      </c>
      <c r="C194" s="1557"/>
      <c r="D194" s="1568" t="str">
        <f>VLOOKUP($A194,satpek!$B$20:$N$144,2,0)</f>
        <v>Memasang pintu kaca es rangka alluminium</v>
      </c>
      <c r="E194" s="1568"/>
      <c r="F194" s="1580"/>
      <c r="G194" s="1453">
        <f>'[3]B.VOL RAB'!Q438</f>
        <v>21.84</v>
      </c>
      <c r="H194" s="788" t="str">
        <f>VLOOKUP($A194,satpek!$B$20:$N$144,7,0)</f>
        <v>m2</v>
      </c>
      <c r="I194" s="1569" t="str">
        <f>VLOOKUP($A194,satpek!$B$20:$N$144,5,0)</f>
        <v>An. Dihitung</v>
      </c>
      <c r="J194" s="1570">
        <f>VLOOKUP($A194,satpek!$B$20:$N$144,6,0)</f>
        <v>853707.66</v>
      </c>
      <c r="K194" s="1558"/>
      <c r="L194" s="1571">
        <f t="shared" si="136"/>
        <v>18644975.289999999</v>
      </c>
      <c r="M194" s="1617"/>
      <c r="N194" s="1572">
        <f>VLOOKUP($A194,satpek!$B$20:$L$138,8,0)</f>
        <v>0.47846365322798945</v>
      </c>
      <c r="O194" s="1573">
        <f>VLOOKUP($A194,satpek!$B$20:$L$138,9,0)</f>
        <v>361476.18000000005</v>
      </c>
      <c r="P194" s="1573">
        <f>VLOOKUP($A194,satpek!$B$20:$L$138,10,0)</f>
        <v>408468.08340000006</v>
      </c>
      <c r="Q194" s="1571">
        <f t="shared" si="137"/>
        <v>7894639.7712000012</v>
      </c>
      <c r="R194" s="1571">
        <f t="shared" si="138"/>
        <v>8920942.9414560013</v>
      </c>
      <c r="S194" s="1574">
        <f t="shared" si="139"/>
        <v>9724032.3485439979</v>
      </c>
      <c r="V194" s="1575">
        <v>21.84</v>
      </c>
      <c r="W194" s="1575">
        <f t="shared" si="111"/>
        <v>0</v>
      </c>
      <c r="X194" s="1465" t="s">
        <v>1828</v>
      </c>
      <c r="AE194" s="879">
        <v>850784.35</v>
      </c>
      <c r="AF194" s="1579">
        <f t="shared" si="112"/>
        <v>-2923.3100000000559</v>
      </c>
    </row>
    <row r="195" spans="1:32" ht="21.95" customHeight="1" x14ac:dyDescent="0.2">
      <c r="A195" s="1462">
        <f>satpek!$B$55</f>
        <v>36</v>
      </c>
      <c r="B195" s="1657">
        <f t="shared" si="140"/>
        <v>5</v>
      </c>
      <c r="C195" s="1557"/>
      <c r="D195" s="1568" t="str">
        <f>VLOOKUP($A195,satpek!$B$20:$N$144,2,0)</f>
        <v>Memasang pintu alluminium strip</v>
      </c>
      <c r="E195" s="1568"/>
      <c r="F195" s="1580"/>
      <c r="G195" s="1453">
        <f>'[3]B.VOL RAB'!Q439</f>
        <v>16.695000000000004</v>
      </c>
      <c r="H195" s="788" t="str">
        <f>VLOOKUP($A195,satpek!$B$20:$N$144,7,0)</f>
        <v>m2</v>
      </c>
      <c r="I195" s="1569" t="str">
        <f>VLOOKUP($A195,satpek!$B$20:$N$144,5,0)</f>
        <v>A.4.2.1.12.</v>
      </c>
      <c r="J195" s="1570">
        <f>VLOOKUP($A195,satpek!$B$20:$N$144,6,0)</f>
        <v>765224.14</v>
      </c>
      <c r="K195" s="1558"/>
      <c r="L195" s="1571">
        <f t="shared" si="136"/>
        <v>12775417.02</v>
      </c>
      <c r="M195" s="1617"/>
      <c r="N195" s="1572">
        <f>VLOOKUP($A195,satpek!$B$20:$L$138,8,0)</f>
        <v>0.53012493548703865</v>
      </c>
      <c r="O195" s="1573">
        <f>VLOOKUP($A195,satpek!$B$20:$L$138,9,0)</f>
        <v>358995.04</v>
      </c>
      <c r="P195" s="1573">
        <f>VLOOKUP($A195,satpek!$B$20:$L$138,10,0)</f>
        <v>405664.39519999997</v>
      </c>
      <c r="Q195" s="1571">
        <f t="shared" si="137"/>
        <v>5993422.1928000012</v>
      </c>
      <c r="R195" s="1571">
        <f t="shared" si="138"/>
        <v>6772567.0778640015</v>
      </c>
      <c r="S195" s="1574">
        <f t="shared" si="139"/>
        <v>6002849.942135998</v>
      </c>
      <c r="V195" s="1575">
        <v>16.695000000000004</v>
      </c>
      <c r="W195" s="1575">
        <f t="shared" si="111"/>
        <v>0</v>
      </c>
      <c r="X195" s="1465" t="s">
        <v>1829</v>
      </c>
      <c r="AE195" s="879">
        <v>759680.81</v>
      </c>
      <c r="AF195" s="1579">
        <f t="shared" si="112"/>
        <v>-5543.3299999999581</v>
      </c>
    </row>
    <row r="196" spans="1:32" ht="21.95" customHeight="1" x14ac:dyDescent="0.2">
      <c r="A196" s="1462">
        <f>satpek!$B$57</f>
        <v>38</v>
      </c>
      <c r="B196" s="1657">
        <f t="shared" si="140"/>
        <v>6</v>
      </c>
      <c r="C196" s="1557"/>
      <c r="D196" s="1568" t="str">
        <f>VLOOKUP($A196,satpek!$B$20:$N$144,2,0)</f>
        <v>Memasang jendela &amp; boven kaca rangka aluminium</v>
      </c>
      <c r="E196" s="1568"/>
      <c r="F196" s="1580"/>
      <c r="G196" s="1453">
        <f>'[3]B.VOL RAB'!Q440</f>
        <v>112.04</v>
      </c>
      <c r="H196" s="788" t="str">
        <f>VLOOKUP($A196,satpek!$B$20:$N$144,7,0)</f>
        <v>m2</v>
      </c>
      <c r="I196" s="1569" t="str">
        <f>VLOOKUP($A196,satpek!$B$20:$N$144,5,0)</f>
        <v>An. Dihitung</v>
      </c>
      <c r="J196" s="1570">
        <f>VLOOKUP($A196,satpek!$B$20:$N$144,6,0)</f>
        <v>845503.86</v>
      </c>
      <c r="K196" s="1558"/>
      <c r="L196" s="1571">
        <f t="shared" si="136"/>
        <v>94730252.469999999</v>
      </c>
      <c r="M196" s="1617"/>
      <c r="N196" s="1572">
        <f>VLOOKUP($A196,satpek!$B$20:$L$138,8,0)</f>
        <v>0.47806680668534629</v>
      </c>
      <c r="O196" s="1573">
        <f>VLOOKUP($A196,satpek!$B$20:$L$138,9,0)</f>
        <v>357705.60000000003</v>
      </c>
      <c r="P196" s="1573">
        <f>VLOOKUP($A196,satpek!$B$20:$L$138,10,0)</f>
        <v>404207.32800000004</v>
      </c>
      <c r="Q196" s="1571">
        <f t="shared" si="137"/>
        <v>40077335.424000002</v>
      </c>
      <c r="R196" s="1571">
        <f t="shared" si="138"/>
        <v>45287389.029120006</v>
      </c>
      <c r="S196" s="1574">
        <f t="shared" si="139"/>
        <v>49442863.440879993</v>
      </c>
      <c r="V196" s="1575">
        <v>112.04</v>
      </c>
      <c r="W196" s="1575">
        <f t="shared" si="111"/>
        <v>0</v>
      </c>
      <c r="X196" s="1465" t="s">
        <v>1633</v>
      </c>
      <c r="AE196" s="879">
        <v>856253.55</v>
      </c>
      <c r="AF196" s="1579">
        <f t="shared" si="112"/>
        <v>10749.690000000061</v>
      </c>
    </row>
    <row r="197" spans="1:32" ht="21.95" customHeight="1" x14ac:dyDescent="0.2">
      <c r="A197" s="1462">
        <f>satpek!$B$83</f>
        <v>64</v>
      </c>
      <c r="B197" s="1657">
        <f t="shared" si="140"/>
        <v>7</v>
      </c>
      <c r="C197" s="1557"/>
      <c r="D197" s="1568" t="str">
        <f>VLOOKUP($A197,satpek!$B$20:$N$144,2,0)</f>
        <v>Pasang kaca mati tebal 5 mm</v>
      </c>
      <c r="E197" s="1568"/>
      <c r="F197" s="1580"/>
      <c r="G197" s="1453">
        <f>'[3]B.VOL RAB'!Q441</f>
        <v>23.64</v>
      </c>
      <c r="H197" s="788" t="str">
        <f>VLOOKUP($A197,satpek!$B$20:$N$144,7,0)</f>
        <v>m2</v>
      </c>
      <c r="I197" s="1569" t="str">
        <f>VLOOKUP($A197,satpek!$B$20:$N$144,5,0)</f>
        <v>A.4.6.2.17.</v>
      </c>
      <c r="J197" s="1570">
        <f>VLOOKUP($A197,satpek!$B$20:$N$144,6,0)</f>
        <v>170445.25</v>
      </c>
      <c r="K197" s="1558"/>
      <c r="L197" s="1571">
        <f t="shared" si="136"/>
        <v>4029325.71</v>
      </c>
      <c r="M197" s="1617"/>
      <c r="N197" s="1572">
        <f>VLOOKUP($A197,satpek!$B$20:$L$138,8,0)</f>
        <v>0.61858343305499663</v>
      </c>
      <c r="O197" s="1573">
        <f>VLOOKUP($A197,satpek!$B$20:$L$138,9,0)</f>
        <v>93304.960000000006</v>
      </c>
      <c r="P197" s="1573">
        <f>VLOOKUP($A197,satpek!$B$20:$L$138,10,0)</f>
        <v>105434.6048</v>
      </c>
      <c r="Q197" s="1571">
        <f t="shared" si="137"/>
        <v>2205729.2544</v>
      </c>
      <c r="R197" s="1571">
        <f t="shared" si="138"/>
        <v>2492474.0574719999</v>
      </c>
      <c r="S197" s="1574">
        <f t="shared" si="139"/>
        <v>1536851.6525280001</v>
      </c>
      <c r="V197" s="1575">
        <v>23.64</v>
      </c>
      <c r="W197" s="1575">
        <f t="shared" si="111"/>
        <v>0</v>
      </c>
      <c r="X197" s="1465" t="s">
        <v>1830</v>
      </c>
      <c r="AE197" s="879">
        <v>170734.07</v>
      </c>
      <c r="AF197" s="1579">
        <f t="shared" si="112"/>
        <v>288.82000000000698</v>
      </c>
    </row>
    <row r="198" spans="1:32" ht="21.95" customHeight="1" x14ac:dyDescent="0.2">
      <c r="B198" s="1602"/>
      <c r="C198" s="1550"/>
      <c r="D198" s="1551" t="s">
        <v>1786</v>
      </c>
      <c r="E198" s="1634"/>
      <c r="F198" s="1635"/>
      <c r="G198" s="1453"/>
      <c r="H198" s="1636"/>
      <c r="I198" s="1637"/>
      <c r="J198" s="1638"/>
      <c r="K198" s="1639"/>
      <c r="L198" s="1640"/>
      <c r="M198" s="1641"/>
      <c r="N198" s="1642"/>
      <c r="O198" s="1643"/>
      <c r="P198" s="1643"/>
      <c r="Q198" s="1644"/>
      <c r="R198" s="1645"/>
      <c r="S198" s="1646"/>
      <c r="V198" s="1575"/>
      <c r="W198" s="1575">
        <f t="shared" si="111"/>
        <v>0</v>
      </c>
      <c r="X198" s="1465" t="s">
        <v>1786</v>
      </c>
      <c r="AF198" s="1579">
        <f t="shared" si="112"/>
        <v>0</v>
      </c>
    </row>
    <row r="199" spans="1:32" ht="21.95" customHeight="1" x14ac:dyDescent="0.2">
      <c r="B199" s="1602"/>
      <c r="C199" s="1550"/>
      <c r="D199" s="1568" t="s">
        <v>1825</v>
      </c>
      <c r="E199" s="1634"/>
      <c r="F199" s="1635"/>
      <c r="G199" s="1453"/>
      <c r="H199" s="1636"/>
      <c r="I199" s="1637"/>
      <c r="J199" s="1638"/>
      <c r="K199" s="1639"/>
      <c r="L199" s="1640"/>
      <c r="M199" s="1641"/>
      <c r="N199" s="1642"/>
      <c r="O199" s="1643"/>
      <c r="P199" s="1643"/>
      <c r="Q199" s="1644"/>
      <c r="R199" s="1645"/>
      <c r="S199" s="1646"/>
      <c r="V199" s="1575"/>
      <c r="W199" s="1575">
        <f t="shared" si="111"/>
        <v>0</v>
      </c>
      <c r="X199" s="1465" t="s">
        <v>1825</v>
      </c>
      <c r="AF199" s="1579">
        <f t="shared" si="112"/>
        <v>0</v>
      </c>
    </row>
    <row r="200" spans="1:32" ht="21.95" customHeight="1" x14ac:dyDescent="0.2">
      <c r="A200" s="1462">
        <f>satpek!$B$54</f>
        <v>35</v>
      </c>
      <c r="B200" s="1567">
        <f>B199+1</f>
        <v>1</v>
      </c>
      <c r="C200" s="1557"/>
      <c r="D200" s="1568" t="str">
        <f>VLOOKUP($A200,satpek!$B$20:$N$144,2,0)</f>
        <v xml:space="preserve">Memasang kusen pintu/jendela alluminium </v>
      </c>
      <c r="E200" s="1568"/>
      <c r="F200" s="1580"/>
      <c r="G200" s="1453">
        <f>'[3]B.VOL RAB'!Q474</f>
        <v>576.6</v>
      </c>
      <c r="H200" s="788" t="str">
        <f>VLOOKUP($A200,satpek!$B$20:$N$144,7,0)</f>
        <v>m'</v>
      </c>
      <c r="I200" s="1569" t="str">
        <f>VLOOKUP($A200,satpek!$B$20:$N$144,5,0)</f>
        <v>A.4.2.1.11.</v>
      </c>
      <c r="J200" s="1570">
        <f>VLOOKUP($A200,satpek!$B$20:$N$144,6,0)</f>
        <v>152243.43000000002</v>
      </c>
      <c r="K200" s="1558"/>
      <c r="L200" s="1571">
        <f t="shared" ref="L200:L204" si="141">ROUND((G200*J200),2)</f>
        <v>87783561.739999995</v>
      </c>
      <c r="M200" s="1617"/>
      <c r="N200" s="1572">
        <f>VLOOKUP($A200,satpek!$B$20:$L$138,8,0)</f>
        <v>0.52703841126649331</v>
      </c>
      <c r="O200" s="1573">
        <f>VLOOKUP($A200,satpek!$B$20:$L$138,9,0)</f>
        <v>71007.199999999997</v>
      </c>
      <c r="P200" s="1573">
        <f>VLOOKUP($A200,satpek!$B$20:$L$138,10,0)</f>
        <v>80238.135999999999</v>
      </c>
      <c r="Q200" s="1571">
        <f t="shared" ref="Q200:Q204" si="142">O200*G200</f>
        <v>40942751.520000003</v>
      </c>
      <c r="R200" s="1571">
        <f t="shared" ref="R200:R204" si="143">P200*G200</f>
        <v>46265309.217600003</v>
      </c>
      <c r="S200" s="1574">
        <f t="shared" ref="S200:S204" si="144">L200-R200</f>
        <v>41518252.522399992</v>
      </c>
      <c r="V200" s="1575">
        <v>576.6</v>
      </c>
      <c r="W200" s="1575">
        <f t="shared" si="111"/>
        <v>0</v>
      </c>
      <c r="X200" s="1465" t="s">
        <v>1080</v>
      </c>
      <c r="AE200" s="879">
        <v>139049.89000000001</v>
      </c>
      <c r="AF200" s="1579">
        <f t="shared" si="112"/>
        <v>-13193.540000000008</v>
      </c>
    </row>
    <row r="201" spans="1:32" ht="21.95" customHeight="1" x14ac:dyDescent="0.2">
      <c r="A201" s="1462">
        <f>satpek!$B$56</f>
        <v>37</v>
      </c>
      <c r="B201" s="1567">
        <f>B200+1</f>
        <v>2</v>
      </c>
      <c r="C201" s="1557"/>
      <c r="D201" s="1568" t="str">
        <f>VLOOKUP($A201,satpek!$B$20:$N$144,2,0)</f>
        <v>Memasang pintu kaca es rangka alluminium</v>
      </c>
      <c r="E201" s="1568"/>
      <c r="F201" s="1580"/>
      <c r="G201" s="1453">
        <f>'[3]B.VOL RAB'!Q475</f>
        <v>48.1</v>
      </c>
      <c r="H201" s="788" t="str">
        <f>VLOOKUP($A201,satpek!$B$20:$N$144,7,0)</f>
        <v>m2</v>
      </c>
      <c r="I201" s="1569" t="str">
        <f>VLOOKUP($A201,satpek!$B$20:$N$144,5,0)</f>
        <v>An. Dihitung</v>
      </c>
      <c r="J201" s="1570">
        <f>VLOOKUP($A201,satpek!$B$20:$N$144,6,0)</f>
        <v>853707.66</v>
      </c>
      <c r="K201" s="1558"/>
      <c r="L201" s="1571">
        <f t="shared" si="141"/>
        <v>41063338.450000003</v>
      </c>
      <c r="M201" s="1617"/>
      <c r="N201" s="1572">
        <f>VLOOKUP($A201,satpek!$B$20:$L$138,8,0)</f>
        <v>0.47846365322798945</v>
      </c>
      <c r="O201" s="1573">
        <f>VLOOKUP($A201,satpek!$B$20:$L$138,9,0)</f>
        <v>361476.18000000005</v>
      </c>
      <c r="P201" s="1573">
        <f>VLOOKUP($A201,satpek!$B$20:$L$138,10,0)</f>
        <v>408468.08340000006</v>
      </c>
      <c r="Q201" s="1571">
        <f t="shared" si="142"/>
        <v>17387004.258000001</v>
      </c>
      <c r="R201" s="1571">
        <f t="shared" si="143"/>
        <v>19647314.811540004</v>
      </c>
      <c r="S201" s="1574">
        <f t="shared" si="144"/>
        <v>21416023.638459999</v>
      </c>
      <c r="V201" s="1575">
        <v>48.1</v>
      </c>
      <c r="W201" s="1575">
        <f t="shared" si="111"/>
        <v>0</v>
      </c>
      <c r="X201" s="1465" t="s">
        <v>1828</v>
      </c>
      <c r="AE201" s="879">
        <v>850784.35</v>
      </c>
      <c r="AF201" s="1579">
        <f t="shared" si="112"/>
        <v>-2923.3100000000559</v>
      </c>
    </row>
    <row r="202" spans="1:32" ht="21.95" customHeight="1" x14ac:dyDescent="0.2">
      <c r="A202" s="1462">
        <f>satpek!$B$55</f>
        <v>36</v>
      </c>
      <c r="B202" s="1567">
        <f>B201+1</f>
        <v>3</v>
      </c>
      <c r="C202" s="1557"/>
      <c r="D202" s="1568" t="str">
        <f>VLOOKUP($A202,satpek!$B$20:$N$144,2,0)</f>
        <v>Memasang pintu alluminium strip</v>
      </c>
      <c r="E202" s="1568"/>
      <c r="F202" s="1580"/>
      <c r="G202" s="1453">
        <f>'[3]B.VOL RAB'!Q476</f>
        <v>14.840000000000003</v>
      </c>
      <c r="H202" s="788" t="str">
        <f>VLOOKUP($A202,satpek!$B$20:$N$144,7,0)</f>
        <v>m2</v>
      </c>
      <c r="I202" s="1569" t="str">
        <f>VLOOKUP($A202,satpek!$B$20:$N$144,5,0)</f>
        <v>A.4.2.1.12.</v>
      </c>
      <c r="J202" s="1570">
        <f>VLOOKUP($A202,satpek!$B$20:$N$144,6,0)</f>
        <v>765224.14</v>
      </c>
      <c r="K202" s="1558"/>
      <c r="L202" s="1571">
        <f t="shared" si="141"/>
        <v>11355926.24</v>
      </c>
      <c r="M202" s="1617"/>
      <c r="N202" s="1572">
        <f>VLOOKUP($A202,satpek!$B$20:$L$138,8,0)</f>
        <v>0.53012493548703865</v>
      </c>
      <c r="O202" s="1573">
        <f>VLOOKUP($A202,satpek!$B$20:$L$138,9,0)</f>
        <v>358995.04</v>
      </c>
      <c r="P202" s="1573">
        <f>VLOOKUP($A202,satpek!$B$20:$L$138,10,0)</f>
        <v>405664.39519999997</v>
      </c>
      <c r="Q202" s="1571">
        <f t="shared" si="142"/>
        <v>5327486.393600001</v>
      </c>
      <c r="R202" s="1571">
        <f t="shared" si="143"/>
        <v>6020059.624768001</v>
      </c>
      <c r="S202" s="1574">
        <f t="shared" si="144"/>
        <v>5335866.6152319992</v>
      </c>
      <c r="V202" s="1575">
        <v>14.840000000000003</v>
      </c>
      <c r="W202" s="1575">
        <f t="shared" si="111"/>
        <v>0</v>
      </c>
      <c r="X202" s="1465" t="s">
        <v>1829</v>
      </c>
      <c r="AE202" s="879">
        <v>759680.81</v>
      </c>
      <c r="AF202" s="1579">
        <f t="shared" si="112"/>
        <v>-5543.3299999999581</v>
      </c>
    </row>
    <row r="203" spans="1:32" ht="21.95" customHeight="1" x14ac:dyDescent="0.2">
      <c r="A203" s="1462">
        <f>satpek!$B$57</f>
        <v>38</v>
      </c>
      <c r="B203" s="1567">
        <f>B202+1</f>
        <v>4</v>
      </c>
      <c r="C203" s="1557"/>
      <c r="D203" s="1568" t="str">
        <f>VLOOKUP($A203,satpek!$B$20:$N$144,2,0)</f>
        <v>Memasang jendela &amp; boven kaca rangka aluminium</v>
      </c>
      <c r="E203" s="1568"/>
      <c r="F203" s="1580"/>
      <c r="G203" s="1453">
        <f>'[3]B.VOL RAB'!Q477</f>
        <v>104.04</v>
      </c>
      <c r="H203" s="788" t="str">
        <f>VLOOKUP($A203,satpek!$B$20:$N$144,7,0)</f>
        <v>m2</v>
      </c>
      <c r="I203" s="1569" t="str">
        <f>VLOOKUP($A203,satpek!$B$20:$N$144,5,0)</f>
        <v>An. Dihitung</v>
      </c>
      <c r="J203" s="1570">
        <f>VLOOKUP($A203,satpek!$B$20:$N$144,6,0)</f>
        <v>845503.86</v>
      </c>
      <c r="K203" s="1558"/>
      <c r="L203" s="1571">
        <f t="shared" si="141"/>
        <v>87966221.590000004</v>
      </c>
      <c r="M203" s="1617"/>
      <c r="N203" s="1572">
        <f>VLOOKUP($A203,satpek!$B$20:$L$138,8,0)</f>
        <v>0.47806680668534629</v>
      </c>
      <c r="O203" s="1573">
        <f>VLOOKUP($A203,satpek!$B$20:$L$138,9,0)</f>
        <v>357705.60000000003</v>
      </c>
      <c r="P203" s="1573">
        <f>VLOOKUP($A203,satpek!$B$20:$L$138,10,0)</f>
        <v>404207.32800000004</v>
      </c>
      <c r="Q203" s="1571">
        <f t="shared" si="142"/>
        <v>37215690.624000005</v>
      </c>
      <c r="R203" s="1571">
        <f t="shared" si="143"/>
        <v>42053730.405120008</v>
      </c>
      <c r="S203" s="1574">
        <f t="shared" si="144"/>
        <v>45912491.184879996</v>
      </c>
      <c r="V203" s="1575">
        <v>104.04</v>
      </c>
      <c r="W203" s="1575">
        <f t="shared" si="111"/>
        <v>0</v>
      </c>
      <c r="X203" s="1465" t="s">
        <v>1633</v>
      </c>
      <c r="AE203" s="879">
        <v>856253.55</v>
      </c>
      <c r="AF203" s="1579">
        <f t="shared" si="112"/>
        <v>10749.690000000061</v>
      </c>
    </row>
    <row r="204" spans="1:32" ht="21.95" customHeight="1" x14ac:dyDescent="0.2">
      <c r="A204" s="1462">
        <f>satpek!$B$83</f>
        <v>64</v>
      </c>
      <c r="B204" s="1581">
        <f>B203+1</f>
        <v>5</v>
      </c>
      <c r="C204" s="1582"/>
      <c r="D204" s="1568" t="str">
        <f>VLOOKUP($A204,satpek!$B$20:$N$144,2,0)</f>
        <v>Pasang kaca mati tebal 5 mm</v>
      </c>
      <c r="E204" s="1583"/>
      <c r="F204" s="1584"/>
      <c r="G204" s="1675">
        <f>'[3]B.VOL RAB'!Q478</f>
        <v>23.88</v>
      </c>
      <c r="H204" s="788" t="str">
        <f>VLOOKUP($A204,satpek!$B$20:$N$144,7,0)</f>
        <v>m2</v>
      </c>
      <c r="I204" s="1569" t="str">
        <f>VLOOKUP($A204,satpek!$B$20:$N$144,5,0)</f>
        <v>A.4.6.2.17.</v>
      </c>
      <c r="J204" s="1570">
        <f>VLOOKUP($A204,satpek!$B$20:$N$144,6,0)</f>
        <v>170445.25</v>
      </c>
      <c r="K204" s="1558"/>
      <c r="L204" s="1571">
        <f t="shared" si="141"/>
        <v>4070232.57</v>
      </c>
      <c r="M204" s="1676"/>
      <c r="N204" s="1572">
        <f>VLOOKUP($A204,satpek!$B$20:$L$138,8,0)</f>
        <v>0.61858343305499663</v>
      </c>
      <c r="O204" s="1573">
        <f>VLOOKUP($A204,satpek!$B$20:$L$138,9,0)</f>
        <v>93304.960000000006</v>
      </c>
      <c r="P204" s="1573">
        <f>VLOOKUP($A204,satpek!$B$20:$L$138,10,0)</f>
        <v>105434.6048</v>
      </c>
      <c r="Q204" s="1571">
        <f t="shared" si="142"/>
        <v>2228122.4448000002</v>
      </c>
      <c r="R204" s="1571">
        <f t="shared" si="143"/>
        <v>2517778.3626239998</v>
      </c>
      <c r="S204" s="1574">
        <f t="shared" si="144"/>
        <v>1552454.207376</v>
      </c>
      <c r="V204" s="1575">
        <v>23.88</v>
      </c>
      <c r="W204" s="1575">
        <f t="shared" si="111"/>
        <v>0</v>
      </c>
      <c r="X204" s="1465" t="s">
        <v>1830</v>
      </c>
      <c r="AE204" s="879">
        <v>170734.07</v>
      </c>
      <c r="AF204" s="1579">
        <f t="shared" si="112"/>
        <v>288.82000000000698</v>
      </c>
    </row>
    <row r="205" spans="1:32" ht="21.95" customHeight="1" x14ac:dyDescent="0.2">
      <c r="B205" s="1587"/>
      <c r="C205" s="1588"/>
      <c r="D205" s="1589"/>
      <c r="E205" s="1589"/>
      <c r="F205" s="1590"/>
      <c r="G205" s="807"/>
      <c r="H205" s="1591"/>
      <c r="I205" s="1592"/>
      <c r="J205" s="1593"/>
      <c r="K205" s="1594"/>
      <c r="L205" s="1595" t="s">
        <v>1831</v>
      </c>
      <c r="M205" s="1596">
        <f>SUM(L191:L204)</f>
        <v>465466917.94</v>
      </c>
      <c r="N205" s="1597"/>
      <c r="O205" s="1598"/>
      <c r="P205" s="1598"/>
      <c r="Q205" s="1599"/>
      <c r="R205" s="1600"/>
      <c r="S205" s="1601"/>
      <c r="T205" s="1477">
        <f>[3]HPS!M208</f>
        <v>453420476.76000005</v>
      </c>
      <c r="U205" s="1477">
        <f>M205-T205</f>
        <v>12046441.179999948</v>
      </c>
      <c r="V205" s="1575"/>
      <c r="W205" s="1575">
        <f t="shared" si="111"/>
        <v>0</v>
      </c>
      <c r="Y205" s="1677"/>
      <c r="Z205" s="1677"/>
      <c r="AC205" s="1465"/>
      <c r="AD205" s="1465"/>
      <c r="AF205" s="1579">
        <f t="shared" si="112"/>
        <v>0</v>
      </c>
    </row>
    <row r="206" spans="1:32" ht="21.95" customHeight="1" x14ac:dyDescent="0.2">
      <c r="B206" s="1549" t="s">
        <v>1832</v>
      </c>
      <c r="C206" s="1603"/>
      <c r="D206" s="1604" t="s">
        <v>763</v>
      </c>
      <c r="E206" s="1605"/>
      <c r="F206" s="1606"/>
      <c r="G206" s="1453"/>
      <c r="H206" s="1608"/>
      <c r="I206" s="1609"/>
      <c r="J206" s="1610"/>
      <c r="K206" s="1611"/>
      <c r="L206" s="1612"/>
      <c r="M206" s="1610"/>
      <c r="N206" s="1613"/>
      <c r="O206" s="1614"/>
      <c r="P206" s="1614"/>
      <c r="Q206" s="1609"/>
      <c r="R206" s="1615"/>
      <c r="S206" s="1616"/>
      <c r="V206" s="1575"/>
      <c r="W206" s="1575">
        <f t="shared" si="111"/>
        <v>0</v>
      </c>
      <c r="X206" s="1465" t="s">
        <v>763</v>
      </c>
      <c r="Y206" s="1677"/>
      <c r="Z206" s="1677"/>
      <c r="AC206" s="1465"/>
      <c r="AD206" s="1465"/>
      <c r="AE206" s="1466"/>
      <c r="AF206" s="1579">
        <f t="shared" si="112"/>
        <v>0</v>
      </c>
    </row>
    <row r="207" spans="1:32" ht="21.95" customHeight="1" x14ac:dyDescent="0.2">
      <c r="B207" s="1549"/>
      <c r="C207" s="1603"/>
      <c r="D207" s="1604" t="s">
        <v>1769</v>
      </c>
      <c r="E207" s="1605"/>
      <c r="F207" s="1606"/>
      <c r="G207" s="1453"/>
      <c r="H207" s="1608"/>
      <c r="I207" s="1609"/>
      <c r="J207" s="1610"/>
      <c r="K207" s="1611"/>
      <c r="L207" s="1612"/>
      <c r="M207" s="1610"/>
      <c r="N207" s="1613"/>
      <c r="O207" s="1614"/>
      <c r="P207" s="1614"/>
      <c r="Q207" s="1609"/>
      <c r="R207" s="1615"/>
      <c r="S207" s="1616"/>
      <c r="V207" s="1575"/>
      <c r="W207" s="1575">
        <f t="shared" si="111"/>
        <v>0</v>
      </c>
      <c r="X207" s="1465" t="s">
        <v>1769</v>
      </c>
      <c r="Y207" s="1677"/>
      <c r="Z207" s="1677"/>
      <c r="AC207" s="1465"/>
      <c r="AD207" s="1465"/>
      <c r="AE207" s="1466"/>
      <c r="AF207" s="1579">
        <f t="shared" si="112"/>
        <v>0</v>
      </c>
    </row>
    <row r="208" spans="1:32" ht="21.95" customHeight="1" x14ac:dyDescent="0.2">
      <c r="A208" s="1462">
        <f>satpek!$B$84</f>
        <v>65</v>
      </c>
      <c r="B208" s="1567">
        <v>1</v>
      </c>
      <c r="C208" s="1557"/>
      <c r="D208" s="1568" t="str">
        <f>VLOOKUP($A208,satpek!$B$20:$N$144,2,0)</f>
        <v>Pengecatan dinding dalam (cat interior)</v>
      </c>
      <c r="E208" s="1568"/>
      <c r="F208" s="1580"/>
      <c r="G208" s="1453">
        <f>'[3]B.VOL RAB'!Q509</f>
        <v>1114.2919999999999</v>
      </c>
      <c r="H208" s="788" t="str">
        <f>VLOOKUP($A208,satpek!$B$20:$N$144,7,0)</f>
        <v>m2</v>
      </c>
      <c r="I208" s="1569" t="str">
        <f>VLOOKUP($A208,satpek!$B$20:$N$144,5,0)</f>
        <v>A.4.7.1.10.</v>
      </c>
      <c r="J208" s="1570">
        <f>VLOOKUP($A208,satpek!$B$20:$N$144,6,0)</f>
        <v>23041.599999999999</v>
      </c>
      <c r="K208" s="1558"/>
      <c r="L208" s="1571">
        <f t="shared" ref="L208:L210" si="145">ROUND((G208*J208),2)</f>
        <v>25675070.550000001</v>
      </c>
      <c r="M208" s="1617"/>
      <c r="N208" s="1572">
        <f>VLOOKUP($A208,satpek!$B$20:$L$138,8,0)</f>
        <v>0.52513015673735219</v>
      </c>
      <c r="O208" s="1573">
        <f>VLOOKUP($A208,satpek!$B$20:$L$138,9,0)</f>
        <v>10707.824000000001</v>
      </c>
      <c r="P208" s="1573">
        <f>VLOOKUP($A208,satpek!$B$20:$L$138,10,0)</f>
        <v>12099.841120000001</v>
      </c>
      <c r="Q208" s="1571">
        <f t="shared" ref="Q208:Q210" si="146">O208*G208</f>
        <v>11931642.620608</v>
      </c>
      <c r="R208" s="1571">
        <f t="shared" ref="R208:R210" si="147">P208*G208</f>
        <v>13482756.16128704</v>
      </c>
      <c r="S208" s="1574">
        <f t="shared" ref="S208:S210" si="148">L208-R208</f>
        <v>12192314.388712961</v>
      </c>
      <c r="V208" s="1575">
        <v>1114.2919999999999</v>
      </c>
      <c r="W208" s="1575">
        <f t="shared" si="111"/>
        <v>0</v>
      </c>
      <c r="X208" s="1465" t="s">
        <v>1833</v>
      </c>
      <c r="Y208" s="1677"/>
      <c r="Z208" s="1677"/>
      <c r="AC208" s="1465"/>
      <c r="AD208" s="1465"/>
      <c r="AE208" s="1466">
        <v>31297.379999999997</v>
      </c>
      <c r="AF208" s="1579">
        <f t="shared" si="112"/>
        <v>8255.7799999999988</v>
      </c>
    </row>
    <row r="209" spans="1:32" ht="21.95" customHeight="1" x14ac:dyDescent="0.2">
      <c r="A209" s="1462">
        <f>satpek!$B$85</f>
        <v>66</v>
      </c>
      <c r="B209" s="1567">
        <f>B208+1</f>
        <v>2</v>
      </c>
      <c r="C209" s="1557"/>
      <c r="D209" s="1568" t="str">
        <f>VLOOKUP($A209,satpek!$B$20:$N$144,2,0)</f>
        <v>Pengecatan dinding luar (cat exterior)</v>
      </c>
      <c r="E209" s="1568"/>
      <c r="F209" s="1580"/>
      <c r="G209" s="1453">
        <f>'[3]B.VOL RAB'!Q519</f>
        <v>353.28000000000003</v>
      </c>
      <c r="H209" s="788" t="str">
        <f>VLOOKUP($A209,satpek!$B$20:$N$144,7,0)</f>
        <v>m2</v>
      </c>
      <c r="I209" s="1569" t="str">
        <f>VLOOKUP($A209,satpek!$B$20:$N$144,5,0)</f>
        <v>A.4.7.1.10a.</v>
      </c>
      <c r="J209" s="1570">
        <f>VLOOKUP($A209,satpek!$B$20:$N$144,6,0)</f>
        <v>56348.350000000006</v>
      </c>
      <c r="K209" s="1558"/>
      <c r="L209" s="1571">
        <f t="shared" si="145"/>
        <v>19906745.09</v>
      </c>
      <c r="M209" s="1617"/>
      <c r="N209" s="1572">
        <f>VLOOKUP($A209,satpek!$B$20:$L$138,8,0)</f>
        <v>0.35460536078835592</v>
      </c>
      <c r="O209" s="1573">
        <f>VLOOKUP($A209,satpek!$B$20:$L$138,9,0)</f>
        <v>17682.68</v>
      </c>
      <c r="P209" s="1573">
        <f>VLOOKUP($A209,satpek!$B$20:$L$138,10,0)</f>
        <v>19981.428400000001</v>
      </c>
      <c r="Q209" s="1571">
        <f t="shared" si="146"/>
        <v>6246937.1904000007</v>
      </c>
      <c r="R209" s="1571">
        <f t="shared" si="147"/>
        <v>7059039.0251520006</v>
      </c>
      <c r="S209" s="1574">
        <f t="shared" si="148"/>
        <v>12847706.064847998</v>
      </c>
      <c r="V209" s="1575">
        <v>353.28000000000003</v>
      </c>
      <c r="W209" s="1575">
        <f t="shared" si="111"/>
        <v>0</v>
      </c>
      <c r="X209" s="1465" t="s">
        <v>1834</v>
      </c>
      <c r="Y209" s="1677"/>
      <c r="Z209" s="1677"/>
      <c r="AC209" s="1465"/>
      <c r="AD209" s="1465"/>
      <c r="AE209" s="1466">
        <v>70707.83</v>
      </c>
      <c r="AF209" s="1579">
        <f t="shared" si="112"/>
        <v>14359.479999999996</v>
      </c>
    </row>
    <row r="210" spans="1:32" ht="21.95" customHeight="1" x14ac:dyDescent="0.2">
      <c r="A210" s="1462">
        <f>satpek!$B$84</f>
        <v>65</v>
      </c>
      <c r="B210" s="1567">
        <f>B209+1</f>
        <v>3</v>
      </c>
      <c r="C210" s="1557"/>
      <c r="D210" s="1568" t="s">
        <v>1835</v>
      </c>
      <c r="E210" s="1568"/>
      <c r="F210" s="1580"/>
      <c r="G210" s="1453">
        <f>'[3]B.VOL RAB'!Q525</f>
        <v>753.75</v>
      </c>
      <c r="H210" s="788" t="str">
        <f>VLOOKUP($A210,satpek!$B$20:$N$144,7,0)</f>
        <v>m2</v>
      </c>
      <c r="I210" s="1569" t="str">
        <f>VLOOKUP($A210,satpek!$B$20:$N$144,5,0)</f>
        <v>A.4.7.1.10.</v>
      </c>
      <c r="J210" s="1570">
        <f>VLOOKUP($A210,satpek!$B$20:$N$144,6,0)</f>
        <v>23041.599999999999</v>
      </c>
      <c r="K210" s="1558"/>
      <c r="L210" s="1571">
        <f t="shared" si="145"/>
        <v>17367606</v>
      </c>
      <c r="M210" s="1617"/>
      <c r="N210" s="1572">
        <f>VLOOKUP($A210,satpek!$B$20:$L$138,8,0)</f>
        <v>0.52513015673735219</v>
      </c>
      <c r="O210" s="1573">
        <f>VLOOKUP($A210,satpek!$B$20:$L$138,9,0)</f>
        <v>10707.824000000001</v>
      </c>
      <c r="P210" s="1573">
        <f>VLOOKUP($A210,satpek!$B$20:$L$138,10,0)</f>
        <v>12099.841120000001</v>
      </c>
      <c r="Q210" s="1571">
        <f t="shared" si="146"/>
        <v>8071022.3400000008</v>
      </c>
      <c r="R210" s="1571">
        <f t="shared" si="147"/>
        <v>9120255.2442000005</v>
      </c>
      <c r="S210" s="1574">
        <f t="shared" si="148"/>
        <v>8247350.7557999995</v>
      </c>
      <c r="V210" s="1575">
        <v>753.75</v>
      </c>
      <c r="W210" s="1575">
        <f t="shared" ref="W210:W273" si="149">V210-G210</f>
        <v>0</v>
      </c>
      <c r="X210" s="1465" t="s">
        <v>1835</v>
      </c>
      <c r="Y210" s="1677"/>
      <c r="Z210" s="1677"/>
      <c r="AC210" s="1465"/>
      <c r="AD210" s="1465"/>
      <c r="AE210" s="1466">
        <v>20901.379999999997</v>
      </c>
      <c r="AF210" s="1579">
        <f t="shared" ref="AF210:AF273" si="150">AE210-J210</f>
        <v>-2140.2200000000012</v>
      </c>
    </row>
    <row r="211" spans="1:32" ht="21.95" customHeight="1" x14ac:dyDescent="0.2">
      <c r="B211" s="1549"/>
      <c r="C211" s="1603"/>
      <c r="D211" s="1604" t="s">
        <v>1786</v>
      </c>
      <c r="E211" s="1605"/>
      <c r="F211" s="1606"/>
      <c r="G211" s="1453"/>
      <c r="H211" s="1608"/>
      <c r="I211" s="1609"/>
      <c r="J211" s="1610"/>
      <c r="K211" s="1611"/>
      <c r="L211" s="1612"/>
      <c r="M211" s="1610"/>
      <c r="N211" s="1613"/>
      <c r="O211" s="1614"/>
      <c r="P211" s="1614"/>
      <c r="Q211" s="1609"/>
      <c r="R211" s="1615"/>
      <c r="S211" s="1616"/>
      <c r="V211" s="1575"/>
      <c r="W211" s="1575">
        <f t="shared" si="149"/>
        <v>0</v>
      </c>
      <c r="X211" s="1465" t="s">
        <v>1786</v>
      </c>
      <c r="Y211" s="1677"/>
      <c r="Z211" s="1677"/>
      <c r="AC211" s="1465"/>
      <c r="AD211" s="1465"/>
      <c r="AE211" s="1466"/>
      <c r="AF211" s="1579">
        <f t="shared" si="150"/>
        <v>0</v>
      </c>
    </row>
    <row r="212" spans="1:32" ht="21.95" customHeight="1" x14ac:dyDescent="0.2">
      <c r="A212" s="1462">
        <f>satpek!$B$84</f>
        <v>65</v>
      </c>
      <c r="B212" s="1567">
        <v>1</v>
      </c>
      <c r="C212" s="1557"/>
      <c r="D212" s="1568" t="str">
        <f>VLOOKUP($A212,satpek!$B$20:$N$144,2,0)</f>
        <v>Pengecatan dinding dalam (cat interior)</v>
      </c>
      <c r="E212" s="1568"/>
      <c r="F212" s="1580"/>
      <c r="G212" s="1453">
        <f>'[3]B.VOL RAB'!Q531</f>
        <v>816.87500000000023</v>
      </c>
      <c r="H212" s="788" t="str">
        <f>VLOOKUP($A212,satpek!$B$20:$N$144,7,0)</f>
        <v>m2</v>
      </c>
      <c r="I212" s="1569" t="str">
        <f>VLOOKUP($A212,satpek!$B$20:$N$144,5,0)</f>
        <v>A.4.7.1.10.</v>
      </c>
      <c r="J212" s="1570">
        <f>VLOOKUP($A212,satpek!$B$20:$N$144,6,0)</f>
        <v>23041.599999999999</v>
      </c>
      <c r="K212" s="1558"/>
      <c r="L212" s="1571">
        <f t="shared" ref="L212:L215" si="151">ROUND((G212*J212),2)</f>
        <v>18822107</v>
      </c>
      <c r="M212" s="1617"/>
      <c r="N212" s="1572">
        <f>VLOOKUP($A212,satpek!$B$20:$L$138,8,0)</f>
        <v>0.52513015673735219</v>
      </c>
      <c r="O212" s="1573">
        <f>VLOOKUP($A212,satpek!$B$20:$L$138,9,0)</f>
        <v>10707.824000000001</v>
      </c>
      <c r="P212" s="1573">
        <f>VLOOKUP($A212,satpek!$B$20:$L$138,10,0)</f>
        <v>12099.841120000001</v>
      </c>
      <c r="Q212" s="1571">
        <f t="shared" ref="Q212:Q215" si="152">O212*G212</f>
        <v>8746953.7300000023</v>
      </c>
      <c r="R212" s="1571">
        <f t="shared" ref="R212:R215" si="153">P212*G212</f>
        <v>9884057.7149000037</v>
      </c>
      <c r="S212" s="1574">
        <f t="shared" ref="S212:S215" si="154">L212-R212</f>
        <v>8938049.2850999963</v>
      </c>
      <c r="V212" s="1575">
        <v>816.87500000000023</v>
      </c>
      <c r="W212" s="1575">
        <f t="shared" si="149"/>
        <v>0</v>
      </c>
      <c r="X212" s="1465" t="s">
        <v>1833</v>
      </c>
      <c r="Y212" s="1677"/>
      <c r="Z212" s="1677"/>
      <c r="AC212" s="1465"/>
      <c r="AD212" s="1465"/>
      <c r="AE212" s="1466">
        <v>31297.379999999997</v>
      </c>
      <c r="AF212" s="1579">
        <f t="shared" si="150"/>
        <v>8255.7799999999988</v>
      </c>
    </row>
    <row r="213" spans="1:32" ht="21.95" customHeight="1" x14ac:dyDescent="0.2">
      <c r="A213" s="1462">
        <f>satpek!$B$85</f>
        <v>66</v>
      </c>
      <c r="B213" s="1567">
        <f>B212+1</f>
        <v>2</v>
      </c>
      <c r="C213" s="1557"/>
      <c r="D213" s="1568" t="str">
        <f>VLOOKUP($A213,satpek!$B$20:$N$144,2,0)</f>
        <v>Pengecatan dinding luar (cat exterior)</v>
      </c>
      <c r="E213" s="1568"/>
      <c r="F213" s="1580"/>
      <c r="G213" s="1453">
        <f>'[3]B.VOL RAB'!Q542</f>
        <v>564.16000000000008</v>
      </c>
      <c r="H213" s="788" t="str">
        <f>VLOOKUP($A213,satpek!$B$20:$N$144,7,0)</f>
        <v>m2</v>
      </c>
      <c r="I213" s="1569" t="str">
        <f>VLOOKUP($A213,satpek!$B$20:$N$144,5,0)</f>
        <v>A.4.7.1.10a.</v>
      </c>
      <c r="J213" s="1570">
        <f>VLOOKUP($A213,satpek!$B$20:$N$144,6,0)</f>
        <v>56348.350000000006</v>
      </c>
      <c r="K213" s="1558"/>
      <c r="L213" s="1571">
        <f t="shared" si="151"/>
        <v>31789485.140000001</v>
      </c>
      <c r="M213" s="1617"/>
      <c r="N213" s="1572">
        <f>VLOOKUP($A213,satpek!$B$20:$L$138,8,0)</f>
        <v>0.35460536078835592</v>
      </c>
      <c r="O213" s="1573">
        <f>VLOOKUP($A213,satpek!$B$20:$L$138,9,0)</f>
        <v>17682.68</v>
      </c>
      <c r="P213" s="1573">
        <f>VLOOKUP($A213,satpek!$B$20:$L$138,10,0)</f>
        <v>19981.428400000001</v>
      </c>
      <c r="Q213" s="1571">
        <f t="shared" si="152"/>
        <v>9975860.748800002</v>
      </c>
      <c r="R213" s="1571">
        <f t="shared" si="153"/>
        <v>11272722.646144003</v>
      </c>
      <c r="S213" s="1574">
        <f t="shared" si="154"/>
        <v>20516762.493855998</v>
      </c>
      <c r="V213" s="1575">
        <v>564.16000000000008</v>
      </c>
      <c r="W213" s="1575">
        <f t="shared" si="149"/>
        <v>0</v>
      </c>
      <c r="X213" s="1465" t="s">
        <v>1834</v>
      </c>
      <c r="Y213" s="1677"/>
      <c r="Z213" s="1677"/>
      <c r="AC213" s="1465"/>
      <c r="AD213" s="1465"/>
      <c r="AE213" s="1466">
        <v>70707.83</v>
      </c>
      <c r="AF213" s="1579">
        <f t="shared" si="150"/>
        <v>14359.479999999996</v>
      </c>
    </row>
    <row r="214" spans="1:32" ht="21.95" customHeight="1" x14ac:dyDescent="0.2">
      <c r="A214" s="1462">
        <f>satpek!$B$84</f>
        <v>65</v>
      </c>
      <c r="B214" s="1567">
        <f>B213+1</f>
        <v>3</v>
      </c>
      <c r="C214" s="1557"/>
      <c r="D214" s="1568" t="s">
        <v>1835</v>
      </c>
      <c r="E214" s="1568"/>
      <c r="F214" s="1580"/>
      <c r="G214" s="1453">
        <f>'[3]B.VOL RAB'!Q549</f>
        <v>829.65</v>
      </c>
      <c r="H214" s="788" t="str">
        <f>VLOOKUP($A214,satpek!$B$20:$N$144,7,0)</f>
        <v>m2</v>
      </c>
      <c r="I214" s="1569" t="str">
        <f>VLOOKUP($A214,satpek!$B$20:$N$144,5,0)</f>
        <v>A.4.7.1.10.</v>
      </c>
      <c r="J214" s="1570">
        <f>VLOOKUP($A214,satpek!$B$20:$N$144,6,0)</f>
        <v>23041.599999999999</v>
      </c>
      <c r="K214" s="1558"/>
      <c r="L214" s="1571">
        <f t="shared" si="151"/>
        <v>19116463.440000001</v>
      </c>
      <c r="M214" s="1617"/>
      <c r="N214" s="1572">
        <f>VLOOKUP($A214,satpek!$B$20:$L$138,8,0)</f>
        <v>0.52513015673735219</v>
      </c>
      <c r="O214" s="1573">
        <f>VLOOKUP($A214,satpek!$B$20:$L$138,9,0)</f>
        <v>10707.824000000001</v>
      </c>
      <c r="P214" s="1573">
        <f>VLOOKUP($A214,satpek!$B$20:$L$138,10,0)</f>
        <v>12099.841120000001</v>
      </c>
      <c r="Q214" s="1571">
        <f t="shared" si="152"/>
        <v>8883746.1816000007</v>
      </c>
      <c r="R214" s="1571">
        <f t="shared" si="153"/>
        <v>10038633.185208</v>
      </c>
      <c r="S214" s="1574">
        <f t="shared" si="154"/>
        <v>9077830.2547920011</v>
      </c>
      <c r="V214" s="1575">
        <v>829.65</v>
      </c>
      <c r="W214" s="1575">
        <f t="shared" si="149"/>
        <v>0</v>
      </c>
      <c r="X214" s="1465" t="s">
        <v>1835</v>
      </c>
      <c r="Y214" s="1677"/>
      <c r="Z214" s="1677"/>
      <c r="AC214" s="1465"/>
      <c r="AD214" s="1465"/>
      <c r="AE214" s="1466">
        <v>20901.379999999997</v>
      </c>
      <c r="AF214" s="1579">
        <f t="shared" si="150"/>
        <v>-2140.2200000000012</v>
      </c>
    </row>
    <row r="215" spans="1:32" ht="21.95" customHeight="1" x14ac:dyDescent="0.2">
      <c r="A215" s="1462">
        <f>satpek!B112</f>
        <v>93</v>
      </c>
      <c r="B215" s="1567">
        <f>B214+1</f>
        <v>4</v>
      </c>
      <c r="C215" s="1557"/>
      <c r="D215" s="1568" t="s">
        <v>1836</v>
      </c>
      <c r="E215" s="1568"/>
      <c r="F215" s="1580"/>
      <c r="G215" s="1453">
        <f>'[3]B.VOL RAB'!Q550</f>
        <v>153.20949999999999</v>
      </c>
      <c r="H215" s="788" t="str">
        <f>VLOOKUP($A215,satpek!$B$20:$N$144,7,0)</f>
        <v>m2</v>
      </c>
      <c r="I215" s="1569" t="str">
        <f>VLOOKUP($A215,satpek!$B$20:$N$144,5,0)</f>
        <v>Daftar harga</v>
      </c>
      <c r="J215" s="1570">
        <f>VLOOKUP($A215,satpek!$B$20:$N$144,6,0)</f>
        <v>52000</v>
      </c>
      <c r="K215" s="1558"/>
      <c r="L215" s="1571">
        <f t="shared" si="151"/>
        <v>7966894</v>
      </c>
      <c r="M215" s="1617"/>
      <c r="N215" s="1572">
        <f>VLOOKUP($A215,satpek!$B$20:$L$138,8,0)</f>
        <v>0.2</v>
      </c>
      <c r="O215" s="1573">
        <f>VLOOKUP($A215,satpek!$B$20:$L$138,9,0)</f>
        <v>0</v>
      </c>
      <c r="P215" s="1573">
        <f>VLOOKUP($A215,satpek!$B$20:$L$138,10,0)</f>
        <v>10400</v>
      </c>
      <c r="Q215" s="1571">
        <f t="shared" si="152"/>
        <v>0</v>
      </c>
      <c r="R215" s="1571">
        <f t="shared" si="153"/>
        <v>1593378.7999999998</v>
      </c>
      <c r="S215" s="1574">
        <f t="shared" si="154"/>
        <v>6373515.2000000002</v>
      </c>
      <c r="V215" s="1575">
        <v>153.20949999999999</v>
      </c>
      <c r="W215" s="1575">
        <f t="shared" si="149"/>
        <v>0</v>
      </c>
      <c r="X215" s="1668" t="s">
        <v>1836</v>
      </c>
      <c r="Y215" s="1465">
        <v>19699</v>
      </c>
      <c r="Z215" s="1618" t="e">
        <f>X215*Y215/50</f>
        <v>#VALUE!</v>
      </c>
      <c r="AA215" s="1618" t="e">
        <f>10%*Z215</f>
        <v>#VALUE!</v>
      </c>
      <c r="AB215" s="1618" t="e">
        <f>Z215+AA215</f>
        <v>#VALUE!</v>
      </c>
      <c r="AC215" s="1465"/>
      <c r="AD215" s="1465"/>
      <c r="AE215" s="1466">
        <v>52000</v>
      </c>
      <c r="AF215" s="1579">
        <f t="shared" si="150"/>
        <v>0</v>
      </c>
    </row>
    <row r="216" spans="1:32" ht="21.95" customHeight="1" x14ac:dyDescent="0.2">
      <c r="B216" s="1587"/>
      <c r="C216" s="1588"/>
      <c r="D216" s="1589"/>
      <c r="E216" s="1589"/>
      <c r="F216" s="1590"/>
      <c r="G216" s="807"/>
      <c r="H216" s="1591"/>
      <c r="I216" s="1592"/>
      <c r="J216" s="1593" t="s">
        <v>358</v>
      </c>
      <c r="K216" s="1594"/>
      <c r="L216" s="1595" t="s">
        <v>1837</v>
      </c>
      <c r="M216" s="1596">
        <f>SUM(L208:L216)</f>
        <v>140644371.22</v>
      </c>
      <c r="N216" s="1597"/>
      <c r="O216" s="1598"/>
      <c r="P216" s="1598"/>
      <c r="Q216" s="1599"/>
      <c r="R216" s="1600"/>
      <c r="S216" s="1601"/>
      <c r="T216" s="1477">
        <f>[3]HPS!M219</f>
        <v>166372798.08999997</v>
      </c>
      <c r="U216" s="1477">
        <f>M216-T216</f>
        <v>-25728426.869999975</v>
      </c>
      <c r="V216" s="1575"/>
      <c r="W216" s="1575">
        <f t="shared" si="149"/>
        <v>0</v>
      </c>
      <c r="X216" s="1668"/>
      <c r="Y216" s="1465">
        <v>19701</v>
      </c>
      <c r="Z216" s="1618">
        <f>X216*Y216/50</f>
        <v>0</v>
      </c>
      <c r="AA216" s="1618">
        <f>10%*Z216</f>
        <v>0</v>
      </c>
      <c r="AB216" s="1618">
        <f>Z216+AA216</f>
        <v>0</v>
      </c>
      <c r="AC216" s="1465"/>
      <c r="AD216" s="1465"/>
      <c r="AE216" s="1466" t="s">
        <v>358</v>
      </c>
      <c r="AF216" s="1579" t="e">
        <f t="shared" si="150"/>
        <v>#VALUE!</v>
      </c>
    </row>
    <row r="217" spans="1:32" s="1693" customFormat="1" ht="21.95" customHeight="1" x14ac:dyDescent="0.2">
      <c r="A217" s="1462"/>
      <c r="B217" s="1678" t="s">
        <v>1838</v>
      </c>
      <c r="C217" s="1679"/>
      <c r="D217" s="1680" t="s">
        <v>1839</v>
      </c>
      <c r="E217" s="1681"/>
      <c r="F217" s="1682"/>
      <c r="G217" s="1683"/>
      <c r="H217" s="1684"/>
      <c r="I217" s="1685"/>
      <c r="J217" s="1686"/>
      <c r="K217" s="1687"/>
      <c r="L217" s="1688"/>
      <c r="M217" s="1686"/>
      <c r="N217" s="1689"/>
      <c r="O217" s="1690"/>
      <c r="P217" s="1690"/>
      <c r="Q217" s="1685"/>
      <c r="R217" s="1691"/>
      <c r="S217" s="1692"/>
      <c r="T217" s="1477"/>
      <c r="U217" s="1477"/>
      <c r="V217" s="1575"/>
      <c r="W217" s="1575">
        <f t="shared" si="149"/>
        <v>0</v>
      </c>
      <c r="X217" s="1693" t="s">
        <v>1839</v>
      </c>
      <c r="AA217" s="1694"/>
      <c r="AB217" s="1694"/>
      <c r="AC217" s="1694"/>
      <c r="AD217" s="1694"/>
      <c r="AE217" s="1466"/>
      <c r="AF217" s="1579">
        <f t="shared" si="150"/>
        <v>0</v>
      </c>
    </row>
    <row r="218" spans="1:32" s="1693" customFormat="1" ht="21.95" customHeight="1" x14ac:dyDescent="0.2">
      <c r="A218" s="1462">
        <f>satpek!B110</f>
        <v>91</v>
      </c>
      <c r="B218" s="1695">
        <v>1</v>
      </c>
      <c r="C218" s="1696"/>
      <c r="D218" s="1568" t="str">
        <f>VLOOKUP($A218,satpek!$B$20:$N$144,2,0)</f>
        <v>Pemasangan GRC Listplank</v>
      </c>
      <c r="E218" s="1568"/>
      <c r="F218" s="1580"/>
      <c r="G218" s="1453">
        <f>'[3]B.VOL RAB'!Q555</f>
        <v>176.3</v>
      </c>
      <c r="H218" s="788" t="str">
        <f>VLOOKUP($A218,satpek!$B$20:$N$144,7,0)</f>
        <v>m'</v>
      </c>
      <c r="I218" s="1569" t="str">
        <f>VLOOKUP($A218,satpek!$B$20:$N$144,5,0)</f>
        <v>Daftar harga</v>
      </c>
      <c r="J218" s="1570">
        <f>VLOOKUP($A218,satpek!$B$20:$N$144,6,0)</f>
        <v>640000</v>
      </c>
      <c r="K218" s="1558"/>
      <c r="L218" s="1571">
        <f t="shared" ref="L218" si="155">ROUND((G218*J218),2)</f>
        <v>112832000</v>
      </c>
      <c r="M218" s="1697"/>
      <c r="N218" s="1572">
        <f>VLOOKUP($A218,satpek!$B$20:$L$138,8,0)</f>
        <v>0.2</v>
      </c>
      <c r="O218" s="1573">
        <f>VLOOKUP($A218,satpek!$B$20:$L$138,9,0)</f>
        <v>0</v>
      </c>
      <c r="P218" s="1573">
        <f>VLOOKUP($A218,satpek!$B$20:$L$138,10,0)</f>
        <v>128000</v>
      </c>
      <c r="Q218" s="1571">
        <f t="shared" ref="Q218" si="156">O218*G218</f>
        <v>0</v>
      </c>
      <c r="R218" s="1571">
        <f>P218*G218</f>
        <v>22566400</v>
      </c>
      <c r="S218" s="1574">
        <f t="shared" ref="S218" si="157">L218-R218</f>
        <v>90265600</v>
      </c>
      <c r="T218" s="1477"/>
      <c r="U218" s="1477"/>
      <c r="V218" s="1575">
        <v>176.3</v>
      </c>
      <c r="W218" s="1575">
        <f t="shared" si="149"/>
        <v>0</v>
      </c>
      <c r="X218" s="1693" t="s">
        <v>1914</v>
      </c>
      <c r="AA218" s="1694"/>
      <c r="AB218" s="1694"/>
      <c r="AC218" s="1694"/>
      <c r="AD218" s="1694"/>
      <c r="AE218" s="1466">
        <v>640000</v>
      </c>
      <c r="AF218" s="1579">
        <f t="shared" si="150"/>
        <v>0</v>
      </c>
    </row>
    <row r="219" spans="1:32" s="1693" customFormat="1" ht="21.95" customHeight="1" x14ac:dyDescent="0.2">
      <c r="A219" s="1462"/>
      <c r="B219" s="1587"/>
      <c r="C219" s="1588"/>
      <c r="D219" s="1589"/>
      <c r="E219" s="1589"/>
      <c r="F219" s="1590"/>
      <c r="G219" s="807"/>
      <c r="H219" s="1591"/>
      <c r="I219" s="1592"/>
      <c r="J219" s="1593" t="s">
        <v>358</v>
      </c>
      <c r="K219" s="1594"/>
      <c r="L219" s="1595" t="s">
        <v>1840</v>
      </c>
      <c r="M219" s="1596">
        <f>SUM(L218:L219)</f>
        <v>112832000</v>
      </c>
      <c r="N219" s="1597"/>
      <c r="O219" s="1598"/>
      <c r="P219" s="1598"/>
      <c r="Q219" s="1599"/>
      <c r="R219" s="1600"/>
      <c r="S219" s="1601"/>
      <c r="T219" s="1477">
        <f>[3]HPS!M222</f>
        <v>112832000</v>
      </c>
      <c r="U219" s="1477">
        <f>M219-T219</f>
        <v>0</v>
      </c>
      <c r="V219" s="1575"/>
      <c r="W219" s="1575">
        <f t="shared" si="149"/>
        <v>0</v>
      </c>
      <c r="X219" s="1698"/>
      <c r="AA219" s="1694"/>
      <c r="AB219" s="1694"/>
      <c r="AC219" s="1694"/>
      <c r="AD219" s="1694"/>
      <c r="AE219" s="1466" t="s">
        <v>358</v>
      </c>
      <c r="AF219" s="1579" t="e">
        <f t="shared" si="150"/>
        <v>#VALUE!</v>
      </c>
    </row>
    <row r="220" spans="1:32" ht="21.95" customHeight="1" x14ac:dyDescent="0.2">
      <c r="B220" s="1549" t="s">
        <v>1841</v>
      </c>
      <c r="C220" s="1603"/>
      <c r="D220" s="1604" t="s">
        <v>1842</v>
      </c>
      <c r="E220" s="1605"/>
      <c r="F220" s="1606"/>
      <c r="G220" s="1453"/>
      <c r="H220" s="1608"/>
      <c r="I220" s="1609"/>
      <c r="J220" s="1610"/>
      <c r="K220" s="1611"/>
      <c r="L220" s="1612"/>
      <c r="M220" s="1610"/>
      <c r="N220" s="1613"/>
      <c r="O220" s="1614"/>
      <c r="P220" s="1614"/>
      <c r="Q220" s="1609"/>
      <c r="R220" s="1615"/>
      <c r="S220" s="1616"/>
      <c r="V220" s="1575"/>
      <c r="W220" s="1575">
        <f t="shared" si="149"/>
        <v>0</v>
      </c>
      <c r="X220" s="1465" t="s">
        <v>1842</v>
      </c>
      <c r="AB220" s="1465"/>
      <c r="AC220" s="1465"/>
      <c r="AD220" s="1465"/>
      <c r="AE220" s="1466"/>
      <c r="AF220" s="1579">
        <f t="shared" si="150"/>
        <v>0</v>
      </c>
    </row>
    <row r="221" spans="1:32" ht="21.95" customHeight="1" x14ac:dyDescent="0.2">
      <c r="B221" s="1549"/>
      <c r="C221" s="1603"/>
      <c r="D221" s="1604" t="s">
        <v>1769</v>
      </c>
      <c r="E221" s="1605"/>
      <c r="F221" s="1606"/>
      <c r="G221" s="1453"/>
      <c r="H221" s="1608"/>
      <c r="I221" s="1609"/>
      <c r="J221" s="1610"/>
      <c r="K221" s="1611"/>
      <c r="L221" s="1612"/>
      <c r="M221" s="1610"/>
      <c r="N221" s="1613"/>
      <c r="O221" s="1614"/>
      <c r="P221" s="1614"/>
      <c r="Q221" s="1609"/>
      <c r="R221" s="1615"/>
      <c r="S221" s="1616"/>
      <c r="V221" s="1575"/>
      <c r="W221" s="1575">
        <f t="shared" si="149"/>
        <v>0</v>
      </c>
      <c r="X221" s="1465" t="s">
        <v>1769</v>
      </c>
      <c r="AB221" s="1465"/>
      <c r="AC221" s="1465"/>
      <c r="AD221" s="1465"/>
      <c r="AE221" s="1466"/>
      <c r="AF221" s="1579">
        <f t="shared" si="150"/>
        <v>0</v>
      </c>
    </row>
    <row r="222" spans="1:32" ht="21.95" customHeight="1" x14ac:dyDescent="0.2">
      <c r="B222" s="1699">
        <v>1</v>
      </c>
      <c r="C222" s="1603"/>
      <c r="D222" s="1604" t="s">
        <v>1843</v>
      </c>
      <c r="E222" s="1605"/>
      <c r="F222" s="1606"/>
      <c r="G222" s="1453"/>
      <c r="H222" s="1608"/>
      <c r="I222" s="1609"/>
      <c r="J222" s="1610"/>
      <c r="K222" s="1611"/>
      <c r="L222" s="1612"/>
      <c r="M222" s="1610"/>
      <c r="N222" s="1613"/>
      <c r="O222" s="1614"/>
      <c r="P222" s="1614"/>
      <c r="Q222" s="1609"/>
      <c r="R222" s="1615"/>
      <c r="S222" s="1616"/>
      <c r="V222" s="1575"/>
      <c r="W222" s="1575">
        <f t="shared" si="149"/>
        <v>0</v>
      </c>
      <c r="X222" s="1465" t="s">
        <v>1843</v>
      </c>
      <c r="AB222" s="1465"/>
      <c r="AC222" s="1465"/>
      <c r="AD222" s="1465"/>
      <c r="AE222" s="1466"/>
      <c r="AF222" s="1579">
        <f t="shared" si="150"/>
        <v>0</v>
      </c>
    </row>
    <row r="223" spans="1:32" ht="21.95" customHeight="1" x14ac:dyDescent="0.2">
      <c r="A223" s="1462">
        <f>satpek!B73</f>
        <v>54</v>
      </c>
      <c r="B223" s="1567">
        <v>1</v>
      </c>
      <c r="C223" s="1557"/>
      <c r="D223" s="1568" t="str">
        <f>VLOOKUP($A223,satpek!$B$20:$N$144,2,0)</f>
        <v>Memasang pipa PVC tipe AW diameter 3/4"</v>
      </c>
      <c r="E223" s="1568"/>
      <c r="F223" s="1580"/>
      <c r="G223" s="1453">
        <f>'[3]B.VOL RAB'!Q560</f>
        <v>29</v>
      </c>
      <c r="H223" s="788" t="str">
        <f>VLOOKUP($A223,satpek!$B$20:$N$144,7,0)</f>
        <v>m'</v>
      </c>
      <c r="I223" s="1569" t="str">
        <f>VLOOKUP($A223,satpek!$B$20:$N$144,5,0)</f>
        <v>A.5.1.1.26.</v>
      </c>
      <c r="J223" s="1570">
        <f>VLOOKUP($A223,satpek!$B$20:$N$144,6,0)</f>
        <v>24034.87</v>
      </c>
      <c r="K223" s="1558"/>
      <c r="L223" s="1571">
        <f t="shared" ref="L223:L226" si="158">ROUND((G223*J223),2)</f>
        <v>697011.23</v>
      </c>
      <c r="M223" s="1617"/>
      <c r="N223" s="1572">
        <f>VLOOKUP($A223,satpek!$B$20:$L$138,8,0)</f>
        <v>0.94560353176804668</v>
      </c>
      <c r="O223" s="1573">
        <f>VLOOKUP($A223,satpek!$B$20:$L$138,9,0)</f>
        <v>20112.797999999999</v>
      </c>
      <c r="P223" s="1573">
        <f>VLOOKUP($A223,satpek!$B$20:$L$138,10,0)</f>
        <v>22727.461739999999</v>
      </c>
      <c r="Q223" s="1571">
        <f t="shared" ref="Q223:Q226" si="159">O223*G223</f>
        <v>583271.14199999999</v>
      </c>
      <c r="R223" s="1571">
        <f t="shared" ref="R223:R226" si="160">P223*G223</f>
        <v>659096.39045999991</v>
      </c>
      <c r="S223" s="1574">
        <f t="shared" ref="S223:S226" si="161">L223-R223</f>
        <v>37914.839540000074</v>
      </c>
      <c r="V223" s="1575">
        <v>29</v>
      </c>
      <c r="W223" s="1575">
        <f t="shared" si="149"/>
        <v>0</v>
      </c>
      <c r="X223" s="1465" t="s">
        <v>455</v>
      </c>
      <c r="AB223" s="1465"/>
      <c r="AC223" s="1465"/>
      <c r="AD223" s="1465"/>
      <c r="AE223" s="1466">
        <v>24319.86</v>
      </c>
      <c r="AF223" s="1579">
        <f t="shared" si="150"/>
        <v>284.9900000000016</v>
      </c>
    </row>
    <row r="224" spans="1:32" ht="21.95" customHeight="1" x14ac:dyDescent="0.2">
      <c r="A224" s="1462">
        <f>satpek!B74</f>
        <v>55</v>
      </c>
      <c r="B224" s="1567">
        <f>B223+1</f>
        <v>2</v>
      </c>
      <c r="C224" s="1557"/>
      <c r="D224" s="1568" t="str">
        <f>VLOOKUP($A224,satpek!$B$20:$N$144,2,0)</f>
        <v>Memasang pipa PVC tipe AW diameter 1"</v>
      </c>
      <c r="E224" s="1568"/>
      <c r="F224" s="1580"/>
      <c r="G224" s="1453">
        <f>'[3]B.VOL RAB'!Q561</f>
        <v>37</v>
      </c>
      <c r="H224" s="788" t="str">
        <f>VLOOKUP($A224,satpek!$B$20:$N$144,7,0)</f>
        <v>m'</v>
      </c>
      <c r="I224" s="1569" t="str">
        <f>VLOOKUP($A224,satpek!$B$20:$N$144,5,0)</f>
        <v>A.5.1.1.27.</v>
      </c>
      <c r="J224" s="1570">
        <f>VLOOKUP($A224,satpek!$B$20:$N$144,6,0)</f>
        <v>26924.85</v>
      </c>
      <c r="K224" s="1558"/>
      <c r="L224" s="1571">
        <f t="shared" si="158"/>
        <v>996219.45</v>
      </c>
      <c r="M224" s="1617"/>
      <c r="N224" s="1572">
        <f>VLOOKUP($A224,satpek!$B$20:$L$138,8,0)</f>
        <v>0.94103691983565063</v>
      </c>
      <c r="O224" s="1573">
        <f>VLOOKUP($A224,satpek!$B$20:$L$138,9,0)</f>
        <v>22422.368999999999</v>
      </c>
      <c r="P224" s="1573">
        <f>VLOOKUP($A224,satpek!$B$20:$L$138,10,0)</f>
        <v>25337.276969999999</v>
      </c>
      <c r="Q224" s="1571">
        <f t="shared" si="159"/>
        <v>829627.65299999993</v>
      </c>
      <c r="R224" s="1571">
        <f t="shared" si="160"/>
        <v>937479.24789</v>
      </c>
      <c r="S224" s="1574">
        <f t="shared" si="161"/>
        <v>58740.202109999955</v>
      </c>
      <c r="V224" s="1575">
        <v>37</v>
      </c>
      <c r="W224" s="1575">
        <f t="shared" si="149"/>
        <v>0</v>
      </c>
      <c r="X224" s="1465" t="s">
        <v>456</v>
      </c>
      <c r="AB224" s="1465"/>
      <c r="AC224" s="1465"/>
      <c r="AD224" s="1465"/>
      <c r="AE224" s="1466">
        <v>27340.35</v>
      </c>
      <c r="AF224" s="1579">
        <f t="shared" si="150"/>
        <v>415.5</v>
      </c>
    </row>
    <row r="225" spans="1:32" ht="21.95" customHeight="1" x14ac:dyDescent="0.2">
      <c r="A225" s="1462">
        <f>satpek!B75</f>
        <v>56</v>
      </c>
      <c r="B225" s="1567">
        <f>B224+1</f>
        <v>3</v>
      </c>
      <c r="C225" s="1557"/>
      <c r="D225" s="1568" t="str">
        <f>VLOOKUP($A225,satpek!$B$20:$N$144,2,0)</f>
        <v>Memasang pipa PVC tipe AW diameter 1 1/2"</v>
      </c>
      <c r="E225" s="1568"/>
      <c r="F225" s="1580"/>
      <c r="G225" s="1453">
        <f>'[3]B.VOL RAB'!Q562</f>
        <v>53</v>
      </c>
      <c r="H225" s="788" t="str">
        <f>VLOOKUP($A225,satpek!$B$20:$N$144,7,0)</f>
        <v>m'</v>
      </c>
      <c r="I225" s="1569" t="str">
        <f>VLOOKUP($A225,satpek!$B$20:$N$144,5,0)</f>
        <v>A.5.1.1.28.</v>
      </c>
      <c r="J225" s="1570">
        <f>VLOOKUP($A225,satpek!$B$20:$N$144,6,0)</f>
        <v>49932.95</v>
      </c>
      <c r="K225" s="1558"/>
      <c r="L225" s="1571">
        <f t="shared" si="158"/>
        <v>2646446.35</v>
      </c>
      <c r="M225" s="1617"/>
      <c r="N225" s="1572">
        <f>VLOOKUP($A225,satpek!$B$20:$L$138,8,0)</f>
        <v>0.93377650720946315</v>
      </c>
      <c r="O225" s="1573">
        <f>VLOOKUP($A225,satpek!$B$20:$L$138,9,0)</f>
        <v>41262.136500000001</v>
      </c>
      <c r="P225" s="1573">
        <f>VLOOKUP($A225,satpek!$B$20:$L$138,10,0)</f>
        <v>46626.214245000003</v>
      </c>
      <c r="Q225" s="1571">
        <f t="shared" si="159"/>
        <v>2186893.2345000003</v>
      </c>
      <c r="R225" s="1571">
        <f t="shared" si="160"/>
        <v>2471189.3549850001</v>
      </c>
      <c r="S225" s="1574">
        <f t="shared" si="161"/>
        <v>175256.99501499999</v>
      </c>
      <c r="V225" s="1575">
        <v>53</v>
      </c>
      <c r="W225" s="1575">
        <f t="shared" si="149"/>
        <v>0</v>
      </c>
      <c r="X225" s="1465" t="s">
        <v>457</v>
      </c>
      <c r="AB225" s="1465"/>
      <c r="AC225" s="1465"/>
      <c r="AD225" s="1465"/>
      <c r="AE225" s="1466">
        <v>50987.3</v>
      </c>
      <c r="AF225" s="1579">
        <f t="shared" si="150"/>
        <v>1054.3500000000058</v>
      </c>
    </row>
    <row r="226" spans="1:32" ht="21.95" customHeight="1" x14ac:dyDescent="0.2">
      <c r="A226" s="1462">
        <f>satpek!$B$115</f>
        <v>96</v>
      </c>
      <c r="B226" s="1567">
        <f>B225+1</f>
        <v>4</v>
      </c>
      <c r="C226" s="1603"/>
      <c r="D226" s="1568" t="str">
        <f>VLOOKUP($A226,satpek!$B$20:$N$144,2,0)</f>
        <v>Pemasangan stop kran PVC 1 1/2"</v>
      </c>
      <c r="E226" s="1568"/>
      <c r="F226" s="1580"/>
      <c r="G226" s="1453">
        <f>'[3]B.VOL RAB'!Q563</f>
        <v>4</v>
      </c>
      <c r="H226" s="788" t="str">
        <f>VLOOKUP($A226,satpek!$B$20:$N$144,7,0)</f>
        <v>bh</v>
      </c>
      <c r="I226" s="1569" t="str">
        <f>VLOOKUP($A226,satpek!$B$20:$N$144,5,0)</f>
        <v>Daftar harga</v>
      </c>
      <c r="J226" s="1570">
        <f>VLOOKUP($A226,satpek!$B$20:$N$144,6,0)</f>
        <v>159000</v>
      </c>
      <c r="K226" s="1558"/>
      <c r="L226" s="1571">
        <f t="shared" si="158"/>
        <v>636000</v>
      </c>
      <c r="M226" s="1610"/>
      <c r="N226" s="1572">
        <f>VLOOKUP($A226,satpek!$B$20:$L$138,8,0)</f>
        <v>0.2</v>
      </c>
      <c r="O226" s="1573">
        <f>VLOOKUP($A226,satpek!$B$20:$L$138,9,0)</f>
        <v>0</v>
      </c>
      <c r="P226" s="1573">
        <f>VLOOKUP($A226,satpek!$B$20:$L$138,10,0)</f>
        <v>31800</v>
      </c>
      <c r="Q226" s="1571">
        <f t="shared" si="159"/>
        <v>0</v>
      </c>
      <c r="R226" s="1571">
        <f t="shared" si="160"/>
        <v>127200</v>
      </c>
      <c r="S226" s="1574">
        <f t="shared" si="161"/>
        <v>508800</v>
      </c>
      <c r="V226" s="1575">
        <v>4</v>
      </c>
      <c r="W226" s="1575">
        <f t="shared" si="149"/>
        <v>0</v>
      </c>
      <c r="X226" s="1465" t="s">
        <v>1844</v>
      </c>
      <c r="AB226" s="1465"/>
      <c r="AC226" s="1465"/>
      <c r="AD226" s="1465"/>
      <c r="AE226" s="1466">
        <v>159520.72</v>
      </c>
      <c r="AF226" s="1579">
        <f t="shared" si="150"/>
        <v>520.72000000000116</v>
      </c>
    </row>
    <row r="227" spans="1:32" ht="21.95" customHeight="1" x14ac:dyDescent="0.2">
      <c r="B227" s="1699">
        <v>2</v>
      </c>
      <c r="C227" s="1603"/>
      <c r="D227" s="1604" t="s">
        <v>1845</v>
      </c>
      <c r="E227" s="1605"/>
      <c r="F227" s="1606"/>
      <c r="G227" s="1453"/>
      <c r="H227" s="1608"/>
      <c r="I227" s="1609"/>
      <c r="J227" s="1610"/>
      <c r="K227" s="1611"/>
      <c r="L227" s="1612"/>
      <c r="M227" s="1610"/>
      <c r="N227" s="1613"/>
      <c r="O227" s="1614"/>
      <c r="P227" s="1614"/>
      <c r="Q227" s="1609"/>
      <c r="R227" s="1615"/>
      <c r="S227" s="1616"/>
      <c r="V227" s="1575"/>
      <c r="W227" s="1575">
        <f t="shared" si="149"/>
        <v>0</v>
      </c>
      <c r="X227" s="1465" t="s">
        <v>1845</v>
      </c>
      <c r="AB227" s="1465"/>
      <c r="AC227" s="1465"/>
      <c r="AD227" s="1465"/>
      <c r="AE227" s="1466"/>
      <c r="AF227" s="1579">
        <f t="shared" si="150"/>
        <v>0</v>
      </c>
    </row>
    <row r="228" spans="1:32" ht="21.95" customHeight="1" x14ac:dyDescent="0.2">
      <c r="A228" s="1462">
        <f>satpek!B75</f>
        <v>56</v>
      </c>
      <c r="B228" s="1567">
        <v>1</v>
      </c>
      <c r="C228" s="1557"/>
      <c r="D228" s="1568" t="str">
        <f>VLOOKUP($A228,satpek!$B$20:$N$144,2,0)</f>
        <v>Memasang pipa PVC tipe AW diameter 1 1/2"</v>
      </c>
      <c r="E228" s="1568"/>
      <c r="F228" s="1580"/>
      <c r="G228" s="1453">
        <f>'[3]B.VOL RAB'!Q565</f>
        <v>14.8</v>
      </c>
      <c r="H228" s="788" t="str">
        <f>VLOOKUP($A228,satpek!$B$20:$N$144,7,0)</f>
        <v>m'</v>
      </c>
      <c r="I228" s="1569" t="str">
        <f>VLOOKUP($A228,satpek!$B$20:$N$144,5,0)</f>
        <v>A.5.1.1.28.</v>
      </c>
      <c r="J228" s="1570">
        <f>VLOOKUP($A228,satpek!$B$20:$N$144,6,0)</f>
        <v>49932.95</v>
      </c>
      <c r="K228" s="1558"/>
      <c r="L228" s="1571">
        <f t="shared" ref="L228:L230" si="162">ROUND((G228*J228),2)</f>
        <v>739007.66</v>
      </c>
      <c r="M228" s="1617"/>
      <c r="N228" s="1572">
        <f>VLOOKUP($A228,satpek!$B$20:$L$138,8,0)</f>
        <v>0.93377650720946315</v>
      </c>
      <c r="O228" s="1573">
        <f>VLOOKUP($A228,satpek!$B$20:$L$138,9,0)</f>
        <v>41262.136500000001</v>
      </c>
      <c r="P228" s="1573">
        <f>VLOOKUP($A228,satpek!$B$20:$L$138,10,0)</f>
        <v>46626.214245000003</v>
      </c>
      <c r="Q228" s="1571">
        <f t="shared" ref="Q228:Q230" si="163">O228*G228</f>
        <v>610679.6202</v>
      </c>
      <c r="R228" s="1571">
        <f t="shared" ref="R228:R230" si="164">P228*G228</f>
        <v>690067.97082600009</v>
      </c>
      <c r="S228" s="1574">
        <f t="shared" ref="S228:S230" si="165">L228-R228</f>
        <v>48939.689173999941</v>
      </c>
      <c r="V228" s="1575">
        <v>14.8</v>
      </c>
      <c r="W228" s="1575">
        <f t="shared" si="149"/>
        <v>0</v>
      </c>
      <c r="X228" s="1465" t="s">
        <v>457</v>
      </c>
      <c r="AB228" s="1465"/>
      <c r="AC228" s="1465"/>
      <c r="AD228" s="1465"/>
      <c r="AE228" s="1466">
        <v>50987.3</v>
      </c>
      <c r="AF228" s="1579">
        <f t="shared" si="150"/>
        <v>1054.3500000000058</v>
      </c>
    </row>
    <row r="229" spans="1:32" ht="21.95" customHeight="1" x14ac:dyDescent="0.2">
      <c r="A229" s="1462">
        <f>satpek!B76</f>
        <v>57</v>
      </c>
      <c r="B229" s="1567">
        <f>B228+1</f>
        <v>2</v>
      </c>
      <c r="C229" s="1557"/>
      <c r="D229" s="1568" t="str">
        <f>VLOOKUP($A229,satpek!$B$20:$N$144,2,0)</f>
        <v>Memasang pipa PVC tipe AW diameter 2"</v>
      </c>
      <c r="E229" s="1568"/>
      <c r="F229" s="1580"/>
      <c r="G229" s="1453">
        <f>'[3]B.VOL RAB'!Q566</f>
        <v>15.8</v>
      </c>
      <c r="H229" s="788" t="str">
        <f>VLOOKUP($A229,satpek!$B$20:$N$144,7,0)</f>
        <v>m'</v>
      </c>
      <c r="I229" s="1569" t="str">
        <f>VLOOKUP($A229,satpek!$B$20:$N$144,5,0)</f>
        <v>A.5.1.1.29.</v>
      </c>
      <c r="J229" s="1570">
        <f>VLOOKUP($A229,satpek!$B$20:$N$144,6,0)</f>
        <v>78438.61</v>
      </c>
      <c r="K229" s="1558"/>
      <c r="L229" s="1571">
        <f t="shared" si="162"/>
        <v>1239330.04</v>
      </c>
      <c r="M229" s="1617"/>
      <c r="N229" s="1572">
        <f>VLOOKUP($A229,satpek!$B$20:$L$138,8,0)</f>
        <v>0.92261300560255965</v>
      </c>
      <c r="O229" s="1573">
        <f>VLOOKUP($A229,satpek!$B$20:$L$138,9,0)</f>
        <v>64042.904999999999</v>
      </c>
      <c r="P229" s="1573">
        <f>VLOOKUP($A229,satpek!$B$20:$L$138,10,0)</f>
        <v>72368.482649999991</v>
      </c>
      <c r="Q229" s="1571">
        <f t="shared" si="163"/>
        <v>1011877.899</v>
      </c>
      <c r="R229" s="1571">
        <f t="shared" si="164"/>
        <v>1143422.02587</v>
      </c>
      <c r="S229" s="1574">
        <f t="shared" si="165"/>
        <v>95908.014130000025</v>
      </c>
      <c r="V229" s="1575">
        <v>15.8</v>
      </c>
      <c r="W229" s="1575">
        <f t="shared" si="149"/>
        <v>0</v>
      </c>
      <c r="X229" s="1465" t="s">
        <v>458</v>
      </c>
      <c r="AB229" s="1465"/>
      <c r="AC229" s="1465"/>
      <c r="AD229" s="1465"/>
      <c r="AE229" s="1466">
        <v>80780.31</v>
      </c>
      <c r="AF229" s="1579">
        <f t="shared" si="150"/>
        <v>2341.6999999999971</v>
      </c>
    </row>
    <row r="230" spans="1:32" ht="21.95" customHeight="1" x14ac:dyDescent="0.2">
      <c r="A230" s="1462">
        <f>satpek!B78</f>
        <v>59</v>
      </c>
      <c r="B230" s="1567">
        <f>B229+1</f>
        <v>3</v>
      </c>
      <c r="C230" s="1557"/>
      <c r="D230" s="1568" t="str">
        <f>VLOOKUP($A230,satpek!$B$20:$N$144,2,0)</f>
        <v>Memasang pipa PVC tipe AW diameter 3"</v>
      </c>
      <c r="E230" s="1568"/>
      <c r="F230" s="1580"/>
      <c r="G230" s="1453">
        <f>'[3]B.VOL RAB'!Q567</f>
        <v>17.8</v>
      </c>
      <c r="H230" s="788" t="str">
        <f>VLOOKUP($A230,satpek!$B$20:$N$144,7,0)</f>
        <v>m'</v>
      </c>
      <c r="I230" s="1569" t="str">
        <f>VLOOKUP($A230,satpek!$B$20:$N$144,5,0)</f>
        <v>A.5.1.1.31.</v>
      </c>
      <c r="J230" s="1570">
        <f>VLOOKUP($A230,satpek!$B$20:$N$144,6,0)</f>
        <v>103284.6</v>
      </c>
      <c r="K230" s="1558"/>
      <c r="L230" s="1571">
        <f t="shared" si="162"/>
        <v>1838465.88</v>
      </c>
      <c r="M230" s="1617"/>
      <c r="N230" s="1572">
        <f>VLOOKUP($A230,satpek!$B$20:$L$138,8,0)</f>
        <v>0.92520067875753675</v>
      </c>
      <c r="O230" s="1573">
        <f>VLOOKUP($A230,satpek!$B$20:$L$138,9,0)</f>
        <v>84565.47</v>
      </c>
      <c r="P230" s="1573">
        <f>VLOOKUP($A230,satpek!$B$20:$L$138,10,0)</f>
        <v>95558.981100000005</v>
      </c>
      <c r="Q230" s="1571">
        <f t="shared" si="163"/>
        <v>1505265.3660000002</v>
      </c>
      <c r="R230" s="1571">
        <f t="shared" si="164"/>
        <v>1700949.8635800001</v>
      </c>
      <c r="S230" s="1574">
        <f t="shared" si="165"/>
        <v>137516.01641999977</v>
      </c>
      <c r="V230" s="1575">
        <v>17.8</v>
      </c>
      <c r="W230" s="1575">
        <f t="shared" si="149"/>
        <v>0</v>
      </c>
      <c r="X230" s="1465" t="s">
        <v>459</v>
      </c>
      <c r="AB230" s="1465"/>
      <c r="AC230" s="1465"/>
      <c r="AD230" s="1465"/>
      <c r="AE230" s="1466">
        <v>106247.69</v>
      </c>
      <c r="AF230" s="1579">
        <f t="shared" si="150"/>
        <v>2963.0899999999965</v>
      </c>
    </row>
    <row r="231" spans="1:32" s="725" customFormat="1" ht="21.95" customHeight="1" x14ac:dyDescent="0.2">
      <c r="A231" s="1669"/>
      <c r="B231" s="1700">
        <v>3</v>
      </c>
      <c r="C231" s="1701"/>
      <c r="D231" s="1702" t="s">
        <v>1846</v>
      </c>
      <c r="E231" s="1703"/>
      <c r="F231" s="1704"/>
      <c r="G231" s="1453"/>
      <c r="H231" s="1705"/>
      <c r="I231" s="1706"/>
      <c r="J231" s="1610"/>
      <c r="K231" s="1611"/>
      <c r="L231" s="1612"/>
      <c r="M231" s="1610"/>
      <c r="N231" s="1707"/>
      <c r="O231" s="1708"/>
      <c r="P231" s="1708"/>
      <c r="Q231" s="1706"/>
      <c r="R231" s="1709"/>
      <c r="S231" s="1710"/>
      <c r="T231" s="1674"/>
      <c r="U231" s="1674"/>
      <c r="V231" s="1577"/>
      <c r="W231" s="1575">
        <f t="shared" si="149"/>
        <v>0</v>
      </c>
      <c r="X231" s="725" t="s">
        <v>1846</v>
      </c>
      <c r="AE231" s="879"/>
      <c r="AF231" s="794">
        <f t="shared" si="150"/>
        <v>0</v>
      </c>
    </row>
    <row r="232" spans="1:32" ht="21.95" customHeight="1" x14ac:dyDescent="0.2">
      <c r="A232" s="1462">
        <f>satpek!B79</f>
        <v>60</v>
      </c>
      <c r="B232" s="1567">
        <v>1</v>
      </c>
      <c r="C232" s="1557"/>
      <c r="D232" s="1568" t="str">
        <f>VLOOKUP($A232,satpek!$B$20:$N$144,2,0)</f>
        <v>Memasang pipa PVC tipe AW diameter 4"</v>
      </c>
      <c r="E232" s="1568"/>
      <c r="F232" s="1580"/>
      <c r="G232" s="1453">
        <f>'[3]B.VOL RAB'!Q569</f>
        <v>32</v>
      </c>
      <c r="H232" s="788" t="str">
        <f>VLOOKUP($A232,satpek!$B$20:$N$144,7,0)</f>
        <v>m'</v>
      </c>
      <c r="I232" s="1569" t="str">
        <f>VLOOKUP($A232,satpek!$B$20:$N$144,5,0)</f>
        <v>A.5.1.1.32.</v>
      </c>
      <c r="J232" s="1570">
        <f>VLOOKUP($A232,satpek!$B$20:$N$144,6,0)</f>
        <v>167743.75</v>
      </c>
      <c r="K232" s="1558"/>
      <c r="L232" s="1571">
        <f t="shared" ref="L232" si="166">ROUND((G232*J232),2)</f>
        <v>5367800</v>
      </c>
      <c r="M232" s="1617"/>
      <c r="N232" s="1572">
        <f>VLOOKUP($A232,satpek!$B$20:$L$138,8,0)</f>
        <v>0.91674479843821799</v>
      </c>
      <c r="O232" s="1573">
        <f>VLOOKUP($A232,satpek!$B$20:$L$138,9,0)</f>
        <v>136086.91500000001</v>
      </c>
      <c r="P232" s="1573">
        <f>VLOOKUP($A232,satpek!$B$20:$L$138,10,0)</f>
        <v>153778.21395</v>
      </c>
      <c r="Q232" s="1571">
        <f t="shared" ref="Q232" si="167">O232*G232</f>
        <v>4354781.28</v>
      </c>
      <c r="R232" s="1571">
        <f>P232*G232</f>
        <v>4920902.8464000002</v>
      </c>
      <c r="S232" s="1574">
        <f t="shared" ref="S232" si="168">L232-R232</f>
        <v>446897.15359999985</v>
      </c>
      <c r="V232" s="1575">
        <v>32</v>
      </c>
      <c r="W232" s="1575">
        <f t="shared" si="149"/>
        <v>0</v>
      </c>
      <c r="X232" s="1465" t="s">
        <v>460</v>
      </c>
      <c r="AB232" s="1465"/>
      <c r="AC232" s="1465"/>
      <c r="AD232" s="1465"/>
      <c r="AE232" s="1466">
        <v>173522.24</v>
      </c>
      <c r="AF232" s="1579">
        <f t="shared" si="150"/>
        <v>5778.4899999999907</v>
      </c>
    </row>
    <row r="233" spans="1:32" ht="21.95" customHeight="1" x14ac:dyDescent="0.2">
      <c r="B233" s="1699">
        <v>4</v>
      </c>
      <c r="C233" s="1603"/>
      <c r="D233" s="1604" t="s">
        <v>1847</v>
      </c>
      <c r="E233" s="1605"/>
      <c r="F233" s="1606"/>
      <c r="G233" s="1453"/>
      <c r="H233" s="1608"/>
      <c r="I233" s="1609"/>
      <c r="J233" s="1610"/>
      <c r="K233" s="1611"/>
      <c r="L233" s="1612"/>
      <c r="M233" s="1610"/>
      <c r="N233" s="1613"/>
      <c r="O233" s="1614"/>
      <c r="P233" s="1614"/>
      <c r="Q233" s="1609"/>
      <c r="R233" s="1615"/>
      <c r="S233" s="1616"/>
      <c r="V233" s="1575"/>
      <c r="W233" s="1575">
        <f t="shared" si="149"/>
        <v>0</v>
      </c>
      <c r="X233" s="1465" t="s">
        <v>1847</v>
      </c>
      <c r="AB233" s="1465"/>
      <c r="AC233" s="1465"/>
      <c r="AD233" s="1465"/>
      <c r="AE233" s="1466"/>
      <c r="AF233" s="1579">
        <f t="shared" si="150"/>
        <v>0</v>
      </c>
    </row>
    <row r="234" spans="1:32" ht="21.95" customHeight="1" x14ac:dyDescent="0.2">
      <c r="A234" s="1462">
        <f>satpek!B69</f>
        <v>50</v>
      </c>
      <c r="B234" s="1567">
        <v>1</v>
      </c>
      <c r="C234" s="1557"/>
      <c r="D234" s="1568" t="str">
        <f>VLOOKUP($A234,satpek!$B$20:$N$144,2,0)</f>
        <v>Memasang kloset duduk/monoblok dan aksesoris</v>
      </c>
      <c r="E234" s="1568"/>
      <c r="F234" s="1580"/>
      <c r="G234" s="1453">
        <f>'[3]B.VOL RAB'!Q571</f>
        <v>8</v>
      </c>
      <c r="H234" s="788" t="str">
        <f>VLOOKUP($A234,satpek!$B$20:$N$144,7,0)</f>
        <v>bh</v>
      </c>
      <c r="I234" s="1569" t="str">
        <f>VLOOKUP($A234,satpek!$B$20:$N$144,5,0)</f>
        <v>A.5.1.1.1.</v>
      </c>
      <c r="J234" s="1570">
        <f>VLOOKUP($A234,satpek!$B$20:$N$144,6,0)</f>
        <v>3373897.5</v>
      </c>
      <c r="K234" s="1558"/>
      <c r="L234" s="1571">
        <f t="shared" ref="L234:L240" si="169">ROUND((G234*J234),2)</f>
        <v>26991180</v>
      </c>
      <c r="M234" s="1617"/>
      <c r="N234" s="1572">
        <f>VLOOKUP($A234,satpek!$B$20:$L$138,8,0)</f>
        <v>0.46447123838231602</v>
      </c>
      <c r="O234" s="1573">
        <f>VLOOKUP($A234,satpek!$B$20:$L$138,9,0)</f>
        <v>1386795</v>
      </c>
      <c r="P234" s="1573">
        <f>VLOOKUP($A234,satpek!$B$20:$L$138,10,0)</f>
        <v>1567078.35</v>
      </c>
      <c r="Q234" s="1571">
        <f t="shared" ref="Q234:Q240" si="170">O234*G234</f>
        <v>11094360</v>
      </c>
      <c r="R234" s="1571">
        <f t="shared" ref="R234:R240" si="171">P234*G234</f>
        <v>12536626.800000001</v>
      </c>
      <c r="S234" s="1574">
        <f t="shared" ref="S234:S240" si="172">L234-R234</f>
        <v>14454553.199999999</v>
      </c>
      <c r="V234" s="1575">
        <v>8</v>
      </c>
      <c r="W234" s="1575">
        <f t="shared" si="149"/>
        <v>0</v>
      </c>
      <c r="X234" s="1465" t="s">
        <v>1848</v>
      </c>
      <c r="AB234" s="1465"/>
      <c r="AC234" s="1465"/>
      <c r="AD234" s="1465"/>
      <c r="AE234" s="1466">
        <v>3359184.9</v>
      </c>
      <c r="AF234" s="1579">
        <f t="shared" si="150"/>
        <v>-14712.600000000093</v>
      </c>
    </row>
    <row r="235" spans="1:32" ht="21.95" customHeight="1" x14ac:dyDescent="0.2">
      <c r="A235" s="1462">
        <f>satpek!B71</f>
        <v>52</v>
      </c>
      <c r="B235" s="1567">
        <f t="shared" ref="B235:B240" si="173">B234+1</f>
        <v>2</v>
      </c>
      <c r="C235" s="1557"/>
      <c r="D235" s="1568" t="str">
        <f>VLOOKUP($A235,satpek!$B$20:$N$144,2,0)</f>
        <v>Memasang wastafel lengkap sifon stainless</v>
      </c>
      <c r="E235" s="1568"/>
      <c r="F235" s="1580"/>
      <c r="G235" s="1453">
        <f>'[3]B.VOL RAB'!Q572</f>
        <v>4</v>
      </c>
      <c r="H235" s="788" t="str">
        <f>VLOOKUP($A235,satpek!$B$20:$N$144,7,0)</f>
        <v>bh</v>
      </c>
      <c r="I235" s="1569" t="str">
        <f>VLOOKUP($A235,satpek!$B$20:$N$144,5,0)</f>
        <v>A.5.1.1.5.</v>
      </c>
      <c r="J235" s="1570">
        <f>VLOOKUP($A235,satpek!$B$20:$N$144,6,0)</f>
        <v>1376407.8</v>
      </c>
      <c r="K235" s="1558"/>
      <c r="L235" s="1571">
        <f t="shared" si="169"/>
        <v>5505631.2000000002</v>
      </c>
      <c r="M235" s="1617"/>
      <c r="N235" s="1572">
        <f>VLOOKUP($A235,satpek!$B$20:$L$138,8,0)</f>
        <v>0.71936118089420875</v>
      </c>
      <c r="O235" s="1573">
        <f>VLOOKUP($A235,satpek!$B$20:$L$138,9,0)</f>
        <v>876225.08</v>
      </c>
      <c r="P235" s="1573">
        <f>VLOOKUP($A235,satpek!$B$20:$L$138,10,0)</f>
        <v>990134.34039999999</v>
      </c>
      <c r="Q235" s="1571">
        <f t="shared" si="170"/>
        <v>3504900.32</v>
      </c>
      <c r="R235" s="1571">
        <f t="shared" si="171"/>
        <v>3960537.3615999999</v>
      </c>
      <c r="S235" s="1574">
        <f t="shared" si="172"/>
        <v>1545093.8384000002</v>
      </c>
      <c r="V235" s="1575">
        <v>4</v>
      </c>
      <c r="W235" s="1575">
        <f t="shared" si="149"/>
        <v>0</v>
      </c>
      <c r="X235" s="1465" t="s">
        <v>1849</v>
      </c>
      <c r="Y235" s="1677" t="e">
        <f>X235+(X235*10%)</f>
        <v>#VALUE!</v>
      </c>
      <c r="AB235" s="1465"/>
      <c r="AC235" s="1465"/>
      <c r="AD235" s="1465"/>
      <c r="AE235" s="1466">
        <v>1003649.05</v>
      </c>
      <c r="AF235" s="1579">
        <f t="shared" si="150"/>
        <v>-372758.75</v>
      </c>
    </row>
    <row r="236" spans="1:32" ht="21.95" customHeight="1" x14ac:dyDescent="0.2">
      <c r="A236" s="1462">
        <f>satpek!B72</f>
        <v>53</v>
      </c>
      <c r="B236" s="1567">
        <f t="shared" si="173"/>
        <v>3</v>
      </c>
      <c r="C236" s="1557"/>
      <c r="D236" s="1568" t="str">
        <f>VLOOKUP($A236,satpek!$B$20:$N$144,2,0)</f>
        <v>Memasang floor drain stainless</v>
      </c>
      <c r="E236" s="1568"/>
      <c r="F236" s="1580"/>
      <c r="G236" s="1453">
        <f>'[3]B.VOL RAB'!Q573</f>
        <v>10</v>
      </c>
      <c r="H236" s="788" t="str">
        <f>VLOOKUP($A236,satpek!$B$20:$N$144,7,0)</f>
        <v>bh</v>
      </c>
      <c r="I236" s="1569" t="str">
        <f>VLOOKUP($A236,satpek!$B$20:$N$144,5,0)</f>
        <v>A.5.1.1.14.</v>
      </c>
      <c r="J236" s="1570">
        <f>VLOOKUP($A236,satpek!$B$20:$N$144,6,0)</f>
        <v>120111.09</v>
      </c>
      <c r="K236" s="1558"/>
      <c r="L236" s="1571">
        <f t="shared" si="169"/>
        <v>1201110.8999999999</v>
      </c>
      <c r="M236" s="1617"/>
      <c r="N236" s="1572">
        <f>VLOOKUP($A236,satpek!$B$20:$L$138,8,0)</f>
        <v>0.10624406122698578</v>
      </c>
      <c r="O236" s="1573">
        <f>VLOOKUP($A236,satpek!$B$20:$L$138,9,0)</f>
        <v>11293</v>
      </c>
      <c r="P236" s="1573">
        <f>VLOOKUP($A236,satpek!$B$20:$L$138,10,0)</f>
        <v>12761.09</v>
      </c>
      <c r="Q236" s="1571">
        <f t="shared" si="170"/>
        <v>112930</v>
      </c>
      <c r="R236" s="1571">
        <f t="shared" si="171"/>
        <v>127610.9</v>
      </c>
      <c r="S236" s="1574">
        <f t="shared" si="172"/>
        <v>1073500</v>
      </c>
      <c r="V236" s="1575">
        <v>10</v>
      </c>
      <c r="W236" s="1575">
        <f t="shared" si="149"/>
        <v>0</v>
      </c>
      <c r="X236" s="1465" t="s">
        <v>1915</v>
      </c>
      <c r="AB236" s="1465"/>
      <c r="AC236" s="1465"/>
      <c r="AD236" s="1465"/>
      <c r="AE236" s="1466">
        <v>103903.5</v>
      </c>
      <c r="AF236" s="1579">
        <f t="shared" si="150"/>
        <v>-16207.589999999997</v>
      </c>
    </row>
    <row r="237" spans="1:32" ht="21.95" customHeight="1" x14ac:dyDescent="0.2">
      <c r="A237" s="1462">
        <f>satpek!B81</f>
        <v>62</v>
      </c>
      <c r="B237" s="1567">
        <f t="shared" si="173"/>
        <v>4</v>
      </c>
      <c r="C237" s="1557"/>
      <c r="D237" s="1568" t="str">
        <f>VLOOKUP($A237,satpek!$B$20:$N$144,2,0)</f>
        <v>Memasang bak cuci piring stainlessteel dan aksesoris</v>
      </c>
      <c r="E237" s="1568"/>
      <c r="F237" s="1580"/>
      <c r="G237" s="1453">
        <f>'[3]B.VOL RAB'!Q574</f>
        <v>1</v>
      </c>
      <c r="H237" s="788" t="str">
        <f>VLOOKUP($A237,satpek!$B$20:$N$144,7,0)</f>
        <v>bh</v>
      </c>
      <c r="I237" s="1569" t="str">
        <f>VLOOKUP($A237,satpek!$B$20:$N$144,5,0)</f>
        <v>A.5.1.1.12.</v>
      </c>
      <c r="J237" s="1570">
        <f>VLOOKUP($A237,satpek!$B$20:$N$144,6,0)</f>
        <v>1106133.27</v>
      </c>
      <c r="K237" s="1558"/>
      <c r="L237" s="1571">
        <f t="shared" si="169"/>
        <v>1106133.27</v>
      </c>
      <c r="M237" s="1617"/>
      <c r="N237" s="1572">
        <f>VLOOKUP($A237,satpek!$B$20:$L$138,8,0)</f>
        <v>3.460999776274698E-2</v>
      </c>
      <c r="O237" s="1573">
        <f>VLOOKUP($A237,satpek!$B$20:$L$138,9,0)</f>
        <v>33879</v>
      </c>
      <c r="P237" s="1573">
        <f>VLOOKUP($A237,satpek!$B$20:$L$138,10,0)</f>
        <v>38283.270000000004</v>
      </c>
      <c r="Q237" s="1571">
        <f t="shared" si="170"/>
        <v>33879</v>
      </c>
      <c r="R237" s="1571">
        <f t="shared" si="171"/>
        <v>38283.270000000004</v>
      </c>
      <c r="S237" s="1574">
        <f t="shared" si="172"/>
        <v>1067850</v>
      </c>
      <c r="V237" s="1575">
        <v>1</v>
      </c>
      <c r="W237" s="1575">
        <f t="shared" si="149"/>
        <v>0</v>
      </c>
      <c r="X237" s="1465" t="s">
        <v>1850</v>
      </c>
      <c r="AB237" s="1465"/>
      <c r="AC237" s="1465"/>
      <c r="AD237" s="1465"/>
      <c r="AE237" s="1466">
        <v>1106496</v>
      </c>
      <c r="AF237" s="1579">
        <f t="shared" si="150"/>
        <v>362.72999999998137</v>
      </c>
    </row>
    <row r="238" spans="1:32" ht="21.95" customHeight="1" x14ac:dyDescent="0.2">
      <c r="A238" s="1462">
        <f>satpek!B82</f>
        <v>63</v>
      </c>
      <c r="B238" s="1567">
        <f t="shared" si="173"/>
        <v>5</v>
      </c>
      <c r="C238" s="1557"/>
      <c r="D238" s="1568" t="str">
        <f>VLOOKUP($A238,satpek!$B$20:$N$144,2,0)</f>
        <v>Memasang kran diameter 1/2", onda stainless</v>
      </c>
      <c r="E238" s="1568"/>
      <c r="F238" s="1580"/>
      <c r="G238" s="1453">
        <f>'[3]B.VOL RAB'!Q575</f>
        <v>8</v>
      </c>
      <c r="H238" s="788" t="str">
        <f>VLOOKUP($A238,satpek!$B$20:$N$144,7,0)</f>
        <v>bh</v>
      </c>
      <c r="I238" s="1569" t="str">
        <f>VLOOKUP($A238,satpek!$B$20:$N$144,5,0)</f>
        <v>A.5.1.1.19.</v>
      </c>
      <c r="J238" s="1570">
        <f>VLOOKUP($A238,satpek!$B$20:$N$144,6,0)</f>
        <v>170986.52</v>
      </c>
      <c r="K238" s="1558"/>
      <c r="L238" s="1571">
        <f t="shared" si="169"/>
        <v>1367892.16</v>
      </c>
      <c r="M238" s="1617"/>
      <c r="N238" s="1572">
        <f>VLOOKUP($A238,satpek!$B$20:$L$138,8,0)</f>
        <v>0.95355069374915324</v>
      </c>
      <c r="O238" s="1573">
        <f>VLOOKUP($A238,satpek!$B$20:$L$138,9,0)</f>
        <v>144287</v>
      </c>
      <c r="P238" s="1573">
        <f>VLOOKUP($A238,satpek!$B$20:$L$138,10,0)</f>
        <v>163044.31</v>
      </c>
      <c r="Q238" s="1571">
        <f t="shared" si="170"/>
        <v>1154296</v>
      </c>
      <c r="R238" s="1571">
        <f t="shared" si="171"/>
        <v>1304354.48</v>
      </c>
      <c r="S238" s="1574">
        <f t="shared" si="172"/>
        <v>63537.679999999935</v>
      </c>
      <c r="V238" s="1575">
        <v>8</v>
      </c>
      <c r="W238" s="1575">
        <f t="shared" si="149"/>
        <v>0</v>
      </c>
      <c r="X238" s="1465" t="s">
        <v>1916</v>
      </c>
      <c r="AB238" s="1465"/>
      <c r="AC238" s="1465"/>
      <c r="AD238" s="1465"/>
      <c r="AE238" s="1466">
        <v>104041.93</v>
      </c>
      <c r="AF238" s="1579">
        <f t="shared" si="150"/>
        <v>-66944.59</v>
      </c>
    </row>
    <row r="239" spans="1:32" ht="21.95" customHeight="1" x14ac:dyDescent="0.2">
      <c r="A239" s="1462">
        <f>satpek!B119</f>
        <v>100</v>
      </c>
      <c r="B239" s="1567">
        <f t="shared" si="173"/>
        <v>6</v>
      </c>
      <c r="C239" s="1557"/>
      <c r="D239" s="1568" t="str">
        <f>VLOOKUP($A239,satpek!$B$20:$N$144,2,0)</f>
        <v>Membuat sumur bor lengkap pompa dan aksesories</v>
      </c>
      <c r="E239" s="1568"/>
      <c r="F239" s="1580"/>
      <c r="G239" s="1453">
        <f>'[3]B.VOL RAB'!Q576</f>
        <v>1</v>
      </c>
      <c r="H239" s="788" t="str">
        <f>VLOOKUP($A239,satpek!$B$20:$N$144,7,0)</f>
        <v>unit</v>
      </c>
      <c r="I239" s="1569" t="str">
        <f>VLOOKUP($A239,satpek!$B$20:$N$144,5,0)</f>
        <v>Daftar harga</v>
      </c>
      <c r="J239" s="1570">
        <f>VLOOKUP($A239,satpek!$B$20:$N$144,6,0)</f>
        <v>25000000</v>
      </c>
      <c r="K239" s="1558"/>
      <c r="L239" s="1571">
        <f t="shared" si="169"/>
        <v>25000000</v>
      </c>
      <c r="M239" s="1617"/>
      <c r="N239" s="1572">
        <f>VLOOKUP($A239,satpek!$B$20:$L$138,8,0)</f>
        <v>0.2</v>
      </c>
      <c r="O239" s="1573">
        <f>VLOOKUP($A239,satpek!$B$20:$L$138,9,0)</f>
        <v>0</v>
      </c>
      <c r="P239" s="1573">
        <f>VLOOKUP($A239,satpek!$B$20:$L$138,10,0)</f>
        <v>5000000</v>
      </c>
      <c r="Q239" s="1571">
        <f t="shared" si="170"/>
        <v>0</v>
      </c>
      <c r="R239" s="1571">
        <f t="shared" si="171"/>
        <v>5000000</v>
      </c>
      <c r="S239" s="1574">
        <f t="shared" si="172"/>
        <v>20000000</v>
      </c>
      <c r="V239" s="1575">
        <v>1</v>
      </c>
      <c r="W239" s="1575">
        <f t="shared" si="149"/>
        <v>0</v>
      </c>
      <c r="X239" s="1465" t="s">
        <v>1851</v>
      </c>
      <c r="AB239" s="1465"/>
      <c r="AC239" s="1465"/>
      <c r="AD239" s="1465"/>
      <c r="AE239" s="1466">
        <v>20000000</v>
      </c>
      <c r="AF239" s="1579">
        <f t="shared" si="150"/>
        <v>-5000000</v>
      </c>
    </row>
    <row r="240" spans="1:32" ht="21.95" customHeight="1" x14ac:dyDescent="0.2">
      <c r="A240" s="1462">
        <f>satpek!B120</f>
        <v>101</v>
      </c>
      <c r="B240" s="1567">
        <f t="shared" si="173"/>
        <v>7</v>
      </c>
      <c r="C240" s="1557"/>
      <c r="D240" s="1568" t="str">
        <f>VLOOKUP($A240,satpek!$B$20:$N$144,2,0)</f>
        <v>Pengadaan dan pemasangan septic tank komunal kap 2000 ltr</v>
      </c>
      <c r="E240" s="1568"/>
      <c r="F240" s="1580"/>
      <c r="G240" s="1453">
        <v>1</v>
      </c>
      <c r="H240" s="788" t="str">
        <f>VLOOKUP($A240,satpek!$B$20:$N$144,7,0)</f>
        <v>unit</v>
      </c>
      <c r="I240" s="1569" t="str">
        <f>VLOOKUP($A240,satpek!$B$20:$N$144,5,0)</f>
        <v>Daftar harga</v>
      </c>
      <c r="J240" s="1570">
        <f>VLOOKUP($A240,satpek!$B$20:$N$144,6,0)</f>
        <v>10887500</v>
      </c>
      <c r="K240" s="1558"/>
      <c r="L240" s="1571">
        <f t="shared" si="169"/>
        <v>10887500</v>
      </c>
      <c r="M240" s="1617"/>
      <c r="N240" s="1572">
        <f>VLOOKUP($A240,satpek!$B$20:$L$138,8,0)</f>
        <v>0.2</v>
      </c>
      <c r="O240" s="1573">
        <f>VLOOKUP($A240,satpek!$B$20:$L$138,9,0)</f>
        <v>0</v>
      </c>
      <c r="P240" s="1573">
        <f>VLOOKUP($A240,satpek!$B$20:$L$138,10,0)</f>
        <v>2177500</v>
      </c>
      <c r="Q240" s="1571">
        <f t="shared" si="170"/>
        <v>0</v>
      </c>
      <c r="R240" s="1571">
        <f t="shared" si="171"/>
        <v>2177500</v>
      </c>
      <c r="S240" s="1574">
        <f t="shared" si="172"/>
        <v>8710000</v>
      </c>
      <c r="V240" s="1575">
        <v>1</v>
      </c>
      <c r="W240" s="1575">
        <f t="shared" si="149"/>
        <v>0</v>
      </c>
      <c r="X240" s="1465" t="s">
        <v>1852</v>
      </c>
      <c r="AB240" s="1465"/>
      <c r="AC240" s="1465"/>
      <c r="AD240" s="1465"/>
      <c r="AE240" s="1466">
        <v>10887500</v>
      </c>
      <c r="AF240" s="1579">
        <f t="shared" si="150"/>
        <v>0</v>
      </c>
    </row>
    <row r="241" spans="1:32" ht="21.95" customHeight="1" x14ac:dyDescent="0.2">
      <c r="B241" s="1567"/>
      <c r="C241" s="1557"/>
      <c r="D241" s="1568" t="s">
        <v>1853</v>
      </c>
      <c r="E241" s="1568"/>
      <c r="F241" s="1580"/>
      <c r="G241" s="1453"/>
      <c r="H241" s="1647"/>
      <c r="I241" s="1569"/>
      <c r="J241" s="1453" t="s">
        <v>1854</v>
      </c>
      <c r="K241" s="1457"/>
      <c r="L241" s="1571"/>
      <c r="M241" s="1617"/>
      <c r="N241" s="1648"/>
      <c r="O241" s="1649"/>
      <c r="P241" s="1649"/>
      <c r="Q241" s="1650"/>
      <c r="R241" s="1651"/>
      <c r="S241" s="1652"/>
      <c r="V241" s="1575"/>
      <c r="W241" s="1575">
        <f t="shared" si="149"/>
        <v>0</v>
      </c>
      <c r="X241" s="1465" t="s">
        <v>1853</v>
      </c>
      <c r="AB241" s="1465"/>
      <c r="AC241" s="1465"/>
      <c r="AD241" s="1465"/>
      <c r="AE241" s="1466" t="s">
        <v>1854</v>
      </c>
      <c r="AF241" s="1579" t="e">
        <f t="shared" si="150"/>
        <v>#VALUE!</v>
      </c>
    </row>
    <row r="242" spans="1:32" ht="21.95" customHeight="1" x14ac:dyDescent="0.2">
      <c r="B242" s="1567"/>
      <c r="C242" s="1557"/>
      <c r="D242" s="1568" t="s">
        <v>1855</v>
      </c>
      <c r="E242" s="1568"/>
      <c r="F242" s="1580"/>
      <c r="G242" s="1453"/>
      <c r="H242" s="1647"/>
      <c r="I242" s="1569"/>
      <c r="J242" s="1453" t="s">
        <v>1854</v>
      </c>
      <c r="K242" s="1457"/>
      <c r="L242" s="1571"/>
      <c r="M242" s="1617"/>
      <c r="N242" s="1648"/>
      <c r="O242" s="1649"/>
      <c r="P242" s="1649"/>
      <c r="Q242" s="1650"/>
      <c r="R242" s="1651"/>
      <c r="S242" s="1652"/>
      <c r="V242" s="1575"/>
      <c r="W242" s="1575">
        <f t="shared" si="149"/>
        <v>0</v>
      </c>
      <c r="X242" s="1465" t="s">
        <v>1855</v>
      </c>
      <c r="AB242" s="1465"/>
      <c r="AC242" s="1465"/>
      <c r="AD242" s="1465"/>
      <c r="AE242" s="1466" t="s">
        <v>1854</v>
      </c>
      <c r="AF242" s="1579" t="e">
        <f t="shared" si="150"/>
        <v>#VALUE!</v>
      </c>
    </row>
    <row r="243" spans="1:32" ht="21.95" customHeight="1" x14ac:dyDescent="0.2">
      <c r="B243" s="1567"/>
      <c r="C243" s="1658"/>
      <c r="D243" s="1656"/>
      <c r="E243" s="1656"/>
      <c r="F243" s="1659"/>
      <c r="G243" s="1453"/>
      <c r="H243" s="1711"/>
      <c r="I243" s="1712"/>
      <c r="J243" s="1607"/>
      <c r="K243" s="1660"/>
      <c r="L243" s="1713"/>
      <c r="M243" s="1610"/>
      <c r="N243" s="1714"/>
      <c r="O243" s="1715"/>
      <c r="P243" s="1715"/>
      <c r="Q243" s="1712"/>
      <c r="R243" s="1716"/>
      <c r="S243" s="1717"/>
      <c r="V243" s="1575"/>
      <c r="W243" s="1575">
        <f t="shared" si="149"/>
        <v>0</v>
      </c>
      <c r="AB243" s="1465"/>
      <c r="AC243" s="1465"/>
      <c r="AD243" s="1465"/>
      <c r="AE243" s="1466"/>
      <c r="AF243" s="1579">
        <f t="shared" si="150"/>
        <v>0</v>
      </c>
    </row>
    <row r="244" spans="1:32" ht="21.95" customHeight="1" x14ac:dyDescent="0.2">
      <c r="B244" s="1549"/>
      <c r="C244" s="1603"/>
      <c r="D244" s="1604" t="s">
        <v>1786</v>
      </c>
      <c r="E244" s="1605"/>
      <c r="F244" s="1606"/>
      <c r="G244" s="1453"/>
      <c r="H244" s="1608"/>
      <c r="I244" s="1609"/>
      <c r="J244" s="1610"/>
      <c r="K244" s="1611"/>
      <c r="L244" s="1612"/>
      <c r="M244" s="1610"/>
      <c r="N244" s="1613"/>
      <c r="O244" s="1614"/>
      <c r="P244" s="1614"/>
      <c r="Q244" s="1609"/>
      <c r="R244" s="1615"/>
      <c r="S244" s="1616"/>
      <c r="V244" s="1575"/>
      <c r="W244" s="1575">
        <f t="shared" si="149"/>
        <v>0</v>
      </c>
      <c r="X244" s="1465" t="s">
        <v>1786</v>
      </c>
      <c r="AB244" s="1465"/>
      <c r="AC244" s="1465"/>
      <c r="AD244" s="1465"/>
      <c r="AE244" s="1466"/>
      <c r="AF244" s="1579">
        <f t="shared" si="150"/>
        <v>0</v>
      </c>
    </row>
    <row r="245" spans="1:32" ht="21.95" customHeight="1" x14ac:dyDescent="0.2">
      <c r="B245" s="1699">
        <v>1</v>
      </c>
      <c r="C245" s="1603"/>
      <c r="D245" s="1604" t="s">
        <v>1856</v>
      </c>
      <c r="E245" s="1605"/>
      <c r="F245" s="1606"/>
      <c r="G245" s="1453"/>
      <c r="H245" s="1608"/>
      <c r="I245" s="1609"/>
      <c r="J245" s="1610"/>
      <c r="K245" s="1611"/>
      <c r="L245" s="1612"/>
      <c r="M245" s="1610"/>
      <c r="N245" s="1613"/>
      <c r="O245" s="1614"/>
      <c r="P245" s="1614"/>
      <c r="Q245" s="1609"/>
      <c r="R245" s="1615"/>
      <c r="S245" s="1616"/>
      <c r="V245" s="1575"/>
      <c r="W245" s="1575">
        <f t="shared" si="149"/>
        <v>0</v>
      </c>
      <c r="X245" s="1465" t="s">
        <v>1856</v>
      </c>
      <c r="AB245" s="1465"/>
      <c r="AC245" s="1465"/>
      <c r="AD245" s="1465"/>
      <c r="AE245" s="1466"/>
      <c r="AF245" s="1579">
        <f t="shared" si="150"/>
        <v>0</v>
      </c>
    </row>
    <row r="246" spans="1:32" ht="21.95" customHeight="1" x14ac:dyDescent="0.2">
      <c r="A246" s="1462">
        <f>satpek!B73</f>
        <v>54</v>
      </c>
      <c r="B246" s="1567">
        <v>1</v>
      </c>
      <c r="C246" s="1557"/>
      <c r="D246" s="1568" t="str">
        <f>VLOOKUP($A246,satpek!$B$20:$N$144,2,0)</f>
        <v>Memasang pipa PVC tipe AW diameter 3/4"</v>
      </c>
      <c r="E246" s="1568"/>
      <c r="F246" s="1580"/>
      <c r="G246" s="1453">
        <f>'[3]B.VOL RAB'!Q583</f>
        <v>18</v>
      </c>
      <c r="H246" s="788" t="str">
        <f>VLOOKUP($A246,satpek!$B$20:$N$144,7,0)</f>
        <v>m'</v>
      </c>
      <c r="I246" s="1569" t="str">
        <f>VLOOKUP($A246,satpek!$B$20:$N$144,5,0)</f>
        <v>A.5.1.1.26.</v>
      </c>
      <c r="J246" s="1570">
        <f>VLOOKUP($A246,satpek!$B$20:$N$144,6,0)</f>
        <v>24034.87</v>
      </c>
      <c r="K246" s="1558"/>
      <c r="L246" s="1571">
        <f t="shared" ref="L246:L249" si="174">ROUND((G246*J246),2)</f>
        <v>432627.66</v>
      </c>
      <c r="M246" s="1617"/>
      <c r="N246" s="1572">
        <f>VLOOKUP($A246,satpek!$B$20:$L$138,8,0)</f>
        <v>0.94560353176804668</v>
      </c>
      <c r="O246" s="1573">
        <f>VLOOKUP($A246,satpek!$B$20:$L$138,9,0)</f>
        <v>20112.797999999999</v>
      </c>
      <c r="P246" s="1573">
        <f>VLOOKUP($A246,satpek!$B$20:$L$138,10,0)</f>
        <v>22727.461739999999</v>
      </c>
      <c r="Q246" s="1571">
        <f t="shared" ref="Q246:Q249" si="175">O246*G246</f>
        <v>362030.364</v>
      </c>
      <c r="R246" s="1571">
        <f t="shared" ref="R246:R249" si="176">P246*G246</f>
        <v>409094.31131999998</v>
      </c>
      <c r="S246" s="1574">
        <f t="shared" ref="S246:S249" si="177">L246-R246</f>
        <v>23533.348679999996</v>
      </c>
      <c r="V246" s="1575">
        <v>18</v>
      </c>
      <c r="W246" s="1575">
        <f t="shared" si="149"/>
        <v>0</v>
      </c>
      <c r="X246" s="1465" t="s">
        <v>455</v>
      </c>
      <c r="AB246" s="1465"/>
      <c r="AC246" s="1465"/>
      <c r="AD246" s="1465"/>
      <c r="AE246" s="1466">
        <v>24319.86</v>
      </c>
      <c r="AF246" s="1579">
        <f t="shared" si="150"/>
        <v>284.9900000000016</v>
      </c>
    </row>
    <row r="247" spans="1:32" ht="21.95" customHeight="1" x14ac:dyDescent="0.2">
      <c r="A247" s="1462">
        <f>satpek!B74</f>
        <v>55</v>
      </c>
      <c r="B247" s="1567">
        <f>B246+1</f>
        <v>2</v>
      </c>
      <c r="C247" s="1557"/>
      <c r="D247" s="1568" t="str">
        <f>VLOOKUP($A247,satpek!$B$20:$N$144,2,0)</f>
        <v>Memasang pipa PVC tipe AW diameter 1"</v>
      </c>
      <c r="E247" s="1568"/>
      <c r="F247" s="1580"/>
      <c r="G247" s="1453">
        <f>'[3]B.VOL RAB'!Q584</f>
        <v>27.8</v>
      </c>
      <c r="H247" s="788" t="str">
        <f>VLOOKUP($A247,satpek!$B$20:$N$144,7,0)</f>
        <v>m'</v>
      </c>
      <c r="I247" s="1569" t="str">
        <f>VLOOKUP($A247,satpek!$B$20:$N$144,5,0)</f>
        <v>A.5.1.1.27.</v>
      </c>
      <c r="J247" s="1570">
        <f>VLOOKUP($A247,satpek!$B$20:$N$144,6,0)</f>
        <v>26924.85</v>
      </c>
      <c r="K247" s="1558"/>
      <c r="L247" s="1571">
        <f t="shared" si="174"/>
        <v>748510.83</v>
      </c>
      <c r="M247" s="1617"/>
      <c r="N247" s="1572">
        <f>VLOOKUP($A247,satpek!$B$20:$L$138,8,0)</f>
        <v>0.94103691983565063</v>
      </c>
      <c r="O247" s="1573">
        <f>VLOOKUP($A247,satpek!$B$20:$L$138,9,0)</f>
        <v>22422.368999999999</v>
      </c>
      <c r="P247" s="1573">
        <f>VLOOKUP($A247,satpek!$B$20:$L$138,10,0)</f>
        <v>25337.276969999999</v>
      </c>
      <c r="Q247" s="1571">
        <f t="shared" si="175"/>
        <v>623341.85820000002</v>
      </c>
      <c r="R247" s="1571">
        <f t="shared" si="176"/>
        <v>704376.29976600001</v>
      </c>
      <c r="S247" s="1574">
        <f t="shared" si="177"/>
        <v>44134.530233999947</v>
      </c>
      <c r="V247" s="1575">
        <v>27.8</v>
      </c>
      <c r="W247" s="1575">
        <f t="shared" si="149"/>
        <v>0</v>
      </c>
      <c r="X247" s="1465" t="s">
        <v>456</v>
      </c>
      <c r="AB247" s="1465"/>
      <c r="AC247" s="1465"/>
      <c r="AD247" s="1465"/>
      <c r="AE247" s="1466">
        <v>27340.35</v>
      </c>
      <c r="AF247" s="1579">
        <f t="shared" si="150"/>
        <v>415.5</v>
      </c>
    </row>
    <row r="248" spans="1:32" ht="21.95" customHeight="1" x14ac:dyDescent="0.2">
      <c r="A248" s="1462">
        <f>satpek!B75</f>
        <v>56</v>
      </c>
      <c r="B248" s="1567">
        <f>B247+1</f>
        <v>3</v>
      </c>
      <c r="C248" s="1557"/>
      <c r="D248" s="1568" t="str">
        <f>VLOOKUP($A248,satpek!$B$20:$N$144,2,0)</f>
        <v>Memasang pipa PVC tipe AW diameter 1 1/2"</v>
      </c>
      <c r="E248" s="1568"/>
      <c r="F248" s="1580"/>
      <c r="G248" s="1453">
        <f>'[3]B.VOL RAB'!Q585</f>
        <v>53</v>
      </c>
      <c r="H248" s="788" t="str">
        <f>VLOOKUP($A248,satpek!$B$20:$N$144,7,0)</f>
        <v>m'</v>
      </c>
      <c r="I248" s="1569" t="str">
        <f>VLOOKUP($A248,satpek!$B$20:$N$144,5,0)</f>
        <v>A.5.1.1.28.</v>
      </c>
      <c r="J248" s="1570">
        <f>VLOOKUP($A248,satpek!$B$20:$N$144,6,0)</f>
        <v>49932.95</v>
      </c>
      <c r="K248" s="1558"/>
      <c r="L248" s="1571">
        <f t="shared" si="174"/>
        <v>2646446.35</v>
      </c>
      <c r="M248" s="1617"/>
      <c r="N248" s="1572">
        <f>VLOOKUP($A248,satpek!$B$20:$L$138,8,0)</f>
        <v>0.93377650720946315</v>
      </c>
      <c r="O248" s="1573">
        <f>VLOOKUP($A248,satpek!$B$20:$L$138,9,0)</f>
        <v>41262.136500000001</v>
      </c>
      <c r="P248" s="1573">
        <f>VLOOKUP($A248,satpek!$B$20:$L$138,10,0)</f>
        <v>46626.214245000003</v>
      </c>
      <c r="Q248" s="1571">
        <f t="shared" si="175"/>
        <v>2186893.2345000003</v>
      </c>
      <c r="R248" s="1571">
        <f t="shared" si="176"/>
        <v>2471189.3549850001</v>
      </c>
      <c r="S248" s="1574">
        <f t="shared" si="177"/>
        <v>175256.99501499999</v>
      </c>
      <c r="V248" s="1575">
        <v>53</v>
      </c>
      <c r="W248" s="1575">
        <f t="shared" si="149"/>
        <v>0</v>
      </c>
      <c r="X248" s="1465" t="s">
        <v>457</v>
      </c>
      <c r="AB248" s="1465"/>
      <c r="AC248" s="1465"/>
      <c r="AD248" s="1465"/>
      <c r="AE248" s="1466">
        <v>50987.3</v>
      </c>
      <c r="AF248" s="1579">
        <f t="shared" si="150"/>
        <v>1054.3500000000058</v>
      </c>
    </row>
    <row r="249" spans="1:32" ht="21.95" customHeight="1" x14ac:dyDescent="0.2">
      <c r="A249" s="1462">
        <f>satpek!$B$115</f>
        <v>96</v>
      </c>
      <c r="B249" s="1567">
        <f>B248+1</f>
        <v>4</v>
      </c>
      <c r="C249" s="1603"/>
      <c r="D249" s="1568" t="str">
        <f>VLOOKUP($A249,satpek!$B$20:$N$144,2,0)</f>
        <v>Pemasangan stop kran PVC 1 1/2"</v>
      </c>
      <c r="E249" s="1568"/>
      <c r="F249" s="1580"/>
      <c r="G249" s="1453">
        <f>'[3]B.VOL RAB'!Q586</f>
        <v>4</v>
      </c>
      <c r="H249" s="788" t="str">
        <f>VLOOKUP($A249,satpek!$B$20:$N$144,7,0)</f>
        <v>bh</v>
      </c>
      <c r="I249" s="1569" t="str">
        <f>VLOOKUP($A249,satpek!$B$20:$N$144,5,0)</f>
        <v>Daftar harga</v>
      </c>
      <c r="J249" s="1570">
        <f>VLOOKUP($A249,satpek!$B$20:$N$144,6,0)</f>
        <v>159000</v>
      </c>
      <c r="K249" s="1558"/>
      <c r="L249" s="1571">
        <f t="shared" si="174"/>
        <v>636000</v>
      </c>
      <c r="M249" s="1610"/>
      <c r="N249" s="1572">
        <f>VLOOKUP($A249,satpek!$B$20:$L$138,8,0)</f>
        <v>0.2</v>
      </c>
      <c r="O249" s="1573">
        <f>VLOOKUP($A249,satpek!$B$20:$L$138,9,0)</f>
        <v>0</v>
      </c>
      <c r="P249" s="1573">
        <f>VLOOKUP($A249,satpek!$B$20:$L$138,10,0)</f>
        <v>31800</v>
      </c>
      <c r="Q249" s="1571">
        <f t="shared" si="175"/>
        <v>0</v>
      </c>
      <c r="R249" s="1571">
        <f t="shared" si="176"/>
        <v>127200</v>
      </c>
      <c r="S249" s="1574">
        <f t="shared" si="177"/>
        <v>508800</v>
      </c>
      <c r="V249" s="1575">
        <v>4</v>
      </c>
      <c r="W249" s="1575">
        <f t="shared" si="149"/>
        <v>0</v>
      </c>
      <c r="X249" s="1465" t="s">
        <v>1857</v>
      </c>
      <c r="AB249" s="1465"/>
      <c r="AC249" s="1465"/>
      <c r="AD249" s="1465"/>
      <c r="AE249" s="1466">
        <v>159520.72</v>
      </c>
      <c r="AF249" s="1579">
        <f t="shared" si="150"/>
        <v>520.72000000000116</v>
      </c>
    </row>
    <row r="250" spans="1:32" ht="21.95" customHeight="1" x14ac:dyDescent="0.2">
      <c r="B250" s="1699">
        <v>2</v>
      </c>
      <c r="C250" s="1603"/>
      <c r="D250" s="1604" t="s">
        <v>1858</v>
      </c>
      <c r="E250" s="1605"/>
      <c r="F250" s="1606"/>
      <c r="G250" s="1453"/>
      <c r="H250" s="1608"/>
      <c r="I250" s="1609"/>
      <c r="J250" s="1570"/>
      <c r="K250" s="1611"/>
      <c r="L250" s="1612"/>
      <c r="M250" s="1610"/>
      <c r="N250" s="1613"/>
      <c r="O250" s="1614"/>
      <c r="P250" s="1614"/>
      <c r="Q250" s="1609"/>
      <c r="R250" s="1615"/>
      <c r="S250" s="1616"/>
      <c r="V250" s="1575"/>
      <c r="W250" s="1575">
        <f t="shared" si="149"/>
        <v>0</v>
      </c>
      <c r="X250" s="1465" t="s">
        <v>1858</v>
      </c>
      <c r="AB250" s="1465"/>
      <c r="AC250" s="1465"/>
      <c r="AD250" s="1465"/>
      <c r="AE250" s="1466"/>
      <c r="AF250" s="1579">
        <f t="shared" si="150"/>
        <v>0</v>
      </c>
    </row>
    <row r="251" spans="1:32" ht="21.95" customHeight="1" x14ac:dyDescent="0.2">
      <c r="A251" s="1462">
        <f>satpek!B75</f>
        <v>56</v>
      </c>
      <c r="B251" s="1567">
        <v>1</v>
      </c>
      <c r="C251" s="1557"/>
      <c r="D251" s="1568" t="str">
        <f>VLOOKUP($A251,satpek!$B$20:$N$144,2,0)</f>
        <v>Memasang pipa PVC tipe AW diameter 1 1/2"</v>
      </c>
      <c r="E251" s="1568"/>
      <c r="F251" s="1580"/>
      <c r="G251" s="1453">
        <f>'[3]B.VOL RAB'!Q588</f>
        <v>4</v>
      </c>
      <c r="H251" s="788" t="str">
        <f>VLOOKUP($A251,satpek!$B$20:$N$144,7,0)</f>
        <v>m'</v>
      </c>
      <c r="I251" s="1569" t="str">
        <f>VLOOKUP($A251,satpek!$B$20:$N$144,5,0)</f>
        <v>A.5.1.1.28.</v>
      </c>
      <c r="J251" s="1570">
        <f>VLOOKUP($A251,satpek!$B$20:$N$144,6,0)</f>
        <v>49932.95</v>
      </c>
      <c r="K251" s="1558"/>
      <c r="L251" s="1571">
        <f t="shared" ref="L251:L253" si="178">ROUND((G251*J251),2)</f>
        <v>199731.8</v>
      </c>
      <c r="M251" s="1617"/>
      <c r="N251" s="1572">
        <f>VLOOKUP($A251,satpek!$B$20:$L$138,8,0)</f>
        <v>0.93377650720946315</v>
      </c>
      <c r="O251" s="1573">
        <f>VLOOKUP($A251,satpek!$B$20:$L$138,9,0)</f>
        <v>41262.136500000001</v>
      </c>
      <c r="P251" s="1573">
        <f>VLOOKUP($A251,satpek!$B$20:$L$138,10,0)</f>
        <v>46626.214245000003</v>
      </c>
      <c r="Q251" s="1571">
        <f t="shared" ref="Q251:Q253" si="179">O251*G251</f>
        <v>165048.546</v>
      </c>
      <c r="R251" s="1571">
        <f t="shared" ref="R251:R253" si="180">P251*G251</f>
        <v>186504.85698000001</v>
      </c>
      <c r="S251" s="1574">
        <f t="shared" ref="S251:S253" si="181">L251-R251</f>
        <v>13226.943019999977</v>
      </c>
      <c r="V251" s="1575">
        <v>4</v>
      </c>
      <c r="W251" s="1575">
        <f t="shared" si="149"/>
        <v>0</v>
      </c>
      <c r="X251" s="1465" t="s">
        <v>457</v>
      </c>
      <c r="AB251" s="1465"/>
      <c r="AC251" s="1465"/>
      <c r="AD251" s="1465"/>
      <c r="AE251" s="1466">
        <v>50987.3</v>
      </c>
      <c r="AF251" s="1579">
        <f t="shared" si="150"/>
        <v>1054.3500000000058</v>
      </c>
    </row>
    <row r="252" spans="1:32" ht="21.95" customHeight="1" x14ac:dyDescent="0.2">
      <c r="A252" s="1462">
        <f>satpek!B76</f>
        <v>57</v>
      </c>
      <c r="B252" s="1567">
        <f>B251+1</f>
        <v>2</v>
      </c>
      <c r="C252" s="1557"/>
      <c r="D252" s="1568" t="str">
        <f>VLOOKUP($A252,satpek!$B$20:$N$144,2,0)</f>
        <v>Memasang pipa PVC tipe AW diameter 2"</v>
      </c>
      <c r="E252" s="1568"/>
      <c r="F252" s="1580"/>
      <c r="G252" s="1453">
        <f>'[3]B.VOL RAB'!Q589</f>
        <v>12</v>
      </c>
      <c r="H252" s="788" t="str">
        <f>VLOOKUP($A252,satpek!$B$20:$N$144,7,0)</f>
        <v>m'</v>
      </c>
      <c r="I252" s="1569" t="str">
        <f>VLOOKUP($A252,satpek!$B$20:$N$144,5,0)</f>
        <v>A.5.1.1.29.</v>
      </c>
      <c r="J252" s="1570">
        <f>VLOOKUP($A252,satpek!$B$20:$N$144,6,0)</f>
        <v>78438.61</v>
      </c>
      <c r="K252" s="1558"/>
      <c r="L252" s="1571">
        <f t="shared" si="178"/>
        <v>941263.32</v>
      </c>
      <c r="M252" s="1617"/>
      <c r="N252" s="1572">
        <f>VLOOKUP($A252,satpek!$B$20:$L$138,8,0)</f>
        <v>0.92261300560255965</v>
      </c>
      <c r="O252" s="1573">
        <f>VLOOKUP($A252,satpek!$B$20:$L$138,9,0)</f>
        <v>64042.904999999999</v>
      </c>
      <c r="P252" s="1573">
        <f>VLOOKUP($A252,satpek!$B$20:$L$138,10,0)</f>
        <v>72368.482649999991</v>
      </c>
      <c r="Q252" s="1571">
        <f t="shared" si="179"/>
        <v>768514.86</v>
      </c>
      <c r="R252" s="1571">
        <f t="shared" si="180"/>
        <v>868421.79179999989</v>
      </c>
      <c r="S252" s="1574">
        <f t="shared" si="181"/>
        <v>72841.528200000059</v>
      </c>
      <c r="V252" s="1575">
        <v>12</v>
      </c>
      <c r="W252" s="1575">
        <f t="shared" si="149"/>
        <v>0</v>
      </c>
      <c r="X252" s="1465" t="s">
        <v>458</v>
      </c>
      <c r="AB252" s="1465"/>
      <c r="AC252" s="1465"/>
      <c r="AD252" s="1465"/>
      <c r="AE252" s="1466">
        <v>80780.31</v>
      </c>
      <c r="AF252" s="1579">
        <f t="shared" si="150"/>
        <v>2341.6999999999971</v>
      </c>
    </row>
    <row r="253" spans="1:32" ht="21.95" customHeight="1" x14ac:dyDescent="0.2">
      <c r="A253" s="1462">
        <f>satpek!B78</f>
        <v>59</v>
      </c>
      <c r="B253" s="1567">
        <f>B252+1</f>
        <v>3</v>
      </c>
      <c r="C253" s="1557"/>
      <c r="D253" s="1568" t="str">
        <f>VLOOKUP($A253,satpek!$B$20:$N$144,2,0)</f>
        <v>Memasang pipa PVC tipe AW diameter 3"</v>
      </c>
      <c r="E253" s="1568"/>
      <c r="F253" s="1580"/>
      <c r="G253" s="1453">
        <f>'[3]B.VOL RAB'!Q590</f>
        <v>24</v>
      </c>
      <c r="H253" s="788" t="str">
        <f>VLOOKUP($A253,satpek!$B$20:$N$144,7,0)</f>
        <v>m'</v>
      </c>
      <c r="I253" s="1569" t="str">
        <f>VLOOKUP($A253,satpek!$B$20:$N$144,5,0)</f>
        <v>A.5.1.1.31.</v>
      </c>
      <c r="J253" s="1570">
        <f>VLOOKUP($A253,satpek!$B$20:$N$144,6,0)</f>
        <v>103284.6</v>
      </c>
      <c r="K253" s="1558"/>
      <c r="L253" s="1571">
        <f t="shared" si="178"/>
        <v>2478830.4</v>
      </c>
      <c r="M253" s="1617"/>
      <c r="N253" s="1572">
        <f>VLOOKUP($A253,satpek!$B$20:$L$138,8,0)</f>
        <v>0.92520067875753675</v>
      </c>
      <c r="O253" s="1573">
        <f>VLOOKUP($A253,satpek!$B$20:$L$138,9,0)</f>
        <v>84565.47</v>
      </c>
      <c r="P253" s="1573">
        <f>VLOOKUP($A253,satpek!$B$20:$L$138,10,0)</f>
        <v>95558.981100000005</v>
      </c>
      <c r="Q253" s="1571">
        <f t="shared" si="179"/>
        <v>2029571.28</v>
      </c>
      <c r="R253" s="1571">
        <f t="shared" si="180"/>
        <v>2293415.5464000003</v>
      </c>
      <c r="S253" s="1574">
        <f t="shared" si="181"/>
        <v>185414.85359999957</v>
      </c>
      <c r="V253" s="1575">
        <v>24</v>
      </c>
      <c r="W253" s="1575">
        <f t="shared" si="149"/>
        <v>0</v>
      </c>
      <c r="X253" s="1465" t="s">
        <v>459</v>
      </c>
      <c r="AB253" s="1465"/>
      <c r="AC253" s="1465"/>
      <c r="AD253" s="1465"/>
      <c r="AE253" s="1466">
        <v>106247.69</v>
      </c>
      <c r="AF253" s="1579">
        <f t="shared" si="150"/>
        <v>2963.0899999999965</v>
      </c>
    </row>
    <row r="254" spans="1:32" ht="21.95" customHeight="1" x14ac:dyDescent="0.2">
      <c r="B254" s="1699">
        <v>3</v>
      </c>
      <c r="C254" s="1603"/>
      <c r="D254" s="1604" t="s">
        <v>1859</v>
      </c>
      <c r="E254" s="1605"/>
      <c r="F254" s="1606"/>
      <c r="G254" s="1453"/>
      <c r="H254" s="1608"/>
      <c r="I254" s="1609"/>
      <c r="J254" s="1570"/>
      <c r="K254" s="1611"/>
      <c r="L254" s="1612"/>
      <c r="M254" s="1610"/>
      <c r="N254" s="1613"/>
      <c r="O254" s="1614"/>
      <c r="P254" s="1614"/>
      <c r="Q254" s="1609"/>
      <c r="R254" s="1615"/>
      <c r="S254" s="1616"/>
      <c r="V254" s="1575"/>
      <c r="W254" s="1575">
        <f t="shared" si="149"/>
        <v>0</v>
      </c>
      <c r="X254" s="1465" t="s">
        <v>1859</v>
      </c>
      <c r="AB254" s="1465"/>
      <c r="AC254" s="1465"/>
      <c r="AD254" s="1465"/>
      <c r="AE254" s="1466"/>
      <c r="AF254" s="1579">
        <f t="shared" si="150"/>
        <v>0</v>
      </c>
    </row>
    <row r="255" spans="1:32" ht="21.95" customHeight="1" x14ac:dyDescent="0.2">
      <c r="A255" s="1462">
        <f>satpek!$B$79</f>
        <v>60</v>
      </c>
      <c r="B255" s="1567">
        <v>1</v>
      </c>
      <c r="C255" s="1557"/>
      <c r="D255" s="1568" t="str">
        <f>VLOOKUP($A255,satpek!$B$20:$N$144,2,0)</f>
        <v>Memasang pipa PVC tipe AW diameter 4"</v>
      </c>
      <c r="E255" s="1568"/>
      <c r="F255" s="1580"/>
      <c r="G255" s="1453">
        <f>'[3]B.VOL RAB'!Q592</f>
        <v>24</v>
      </c>
      <c r="H255" s="788" t="str">
        <f>VLOOKUP($A255,satpek!$B$20:$N$144,7,0)</f>
        <v>m'</v>
      </c>
      <c r="I255" s="1569" t="str">
        <f>VLOOKUP($A255,satpek!$B$20:$N$144,5,0)</f>
        <v>A.5.1.1.32.</v>
      </c>
      <c r="J255" s="1570">
        <f>VLOOKUP($A255,satpek!$B$20:$N$144,6,0)</f>
        <v>167743.75</v>
      </c>
      <c r="K255" s="1558"/>
      <c r="L255" s="1571">
        <f t="shared" ref="L255" si="182">ROUND((G255*J255),2)</f>
        <v>4025850</v>
      </c>
      <c r="M255" s="1617"/>
      <c r="N255" s="1572">
        <f>VLOOKUP($A255,satpek!$B$20:$L$138,8,0)</f>
        <v>0.91674479843821799</v>
      </c>
      <c r="O255" s="1573">
        <f>VLOOKUP($A255,satpek!$B$20:$L$138,9,0)</f>
        <v>136086.91500000001</v>
      </c>
      <c r="P255" s="1573">
        <f>VLOOKUP($A255,satpek!$B$20:$L$138,10,0)</f>
        <v>153778.21395</v>
      </c>
      <c r="Q255" s="1571">
        <f t="shared" ref="Q255" si="183">O255*G255</f>
        <v>3266085.96</v>
      </c>
      <c r="R255" s="1571">
        <f>P255*G255</f>
        <v>3690677.1348000001</v>
      </c>
      <c r="S255" s="1574">
        <f t="shared" ref="S255" si="184">L255-R255</f>
        <v>335172.86519999988</v>
      </c>
      <c r="V255" s="1575">
        <v>24</v>
      </c>
      <c r="W255" s="1575">
        <f t="shared" si="149"/>
        <v>0</v>
      </c>
      <c r="X255" s="1465" t="s">
        <v>460</v>
      </c>
      <c r="AB255" s="1465"/>
      <c r="AC255" s="1465"/>
      <c r="AD255" s="1465"/>
      <c r="AE255" s="1466">
        <v>173522.24</v>
      </c>
      <c r="AF255" s="1579">
        <f t="shared" si="150"/>
        <v>5778.4899999999907</v>
      </c>
    </row>
    <row r="256" spans="1:32" ht="21.95" customHeight="1" x14ac:dyDescent="0.2">
      <c r="B256" s="1699">
        <v>4</v>
      </c>
      <c r="C256" s="1603"/>
      <c r="D256" s="1604" t="s">
        <v>1860</v>
      </c>
      <c r="E256" s="1605"/>
      <c r="F256" s="1606"/>
      <c r="G256" s="1453"/>
      <c r="H256" s="1608"/>
      <c r="I256" s="1609"/>
      <c r="J256" s="1570"/>
      <c r="K256" s="1611"/>
      <c r="L256" s="1612"/>
      <c r="M256" s="1610"/>
      <c r="N256" s="1613"/>
      <c r="O256" s="1614"/>
      <c r="P256" s="1614"/>
      <c r="Q256" s="1609"/>
      <c r="R256" s="1615"/>
      <c r="S256" s="1616"/>
      <c r="V256" s="1575"/>
      <c r="W256" s="1575">
        <f t="shared" si="149"/>
        <v>0</v>
      </c>
      <c r="X256" s="1465" t="s">
        <v>1860</v>
      </c>
      <c r="AB256" s="1465"/>
      <c r="AC256" s="1465"/>
      <c r="AD256" s="1465"/>
      <c r="AE256" s="1466"/>
      <c r="AF256" s="1579">
        <f t="shared" si="150"/>
        <v>0</v>
      </c>
    </row>
    <row r="257" spans="1:32" ht="21" customHeight="1" x14ac:dyDescent="0.2">
      <c r="A257" s="1462">
        <f>satpek!$B$79</f>
        <v>60</v>
      </c>
      <c r="B257" s="1567">
        <v>1</v>
      </c>
      <c r="C257" s="1557"/>
      <c r="D257" s="1568" t="str">
        <f>VLOOKUP($A257,satpek!$B$20:$N$144,2,0)</f>
        <v>Memasang pipa PVC tipe AW diameter 4"</v>
      </c>
      <c r="E257" s="1568"/>
      <c r="F257" s="1580"/>
      <c r="G257" s="1453">
        <f>'[3]B.VOL RAB'!Q594</f>
        <v>102</v>
      </c>
      <c r="H257" s="788" t="str">
        <f>VLOOKUP($A257,satpek!$B$20:$N$144,7,0)</f>
        <v>m'</v>
      </c>
      <c r="I257" s="1569" t="str">
        <f>VLOOKUP($A257,satpek!$B$20:$N$144,5,0)</f>
        <v>A.5.1.1.32.</v>
      </c>
      <c r="J257" s="1570">
        <f>VLOOKUP($A257,satpek!$B$20:$N$144,6,0)</f>
        <v>167743.75</v>
      </c>
      <c r="K257" s="1558"/>
      <c r="L257" s="1571">
        <f t="shared" ref="L257" si="185">ROUND((G257*J257),2)</f>
        <v>17109862.5</v>
      </c>
      <c r="M257" s="1617"/>
      <c r="N257" s="1572">
        <f>VLOOKUP($A257,satpek!$B$20:$L$138,8,0)</f>
        <v>0.91674479843821799</v>
      </c>
      <c r="O257" s="1573">
        <f>VLOOKUP($A257,satpek!$B$20:$L$138,9,0)</f>
        <v>136086.91500000001</v>
      </c>
      <c r="P257" s="1573">
        <f>VLOOKUP($A257,satpek!$B$20:$L$138,10,0)</f>
        <v>153778.21395</v>
      </c>
      <c r="Q257" s="1571">
        <f t="shared" ref="Q257" si="186">O257*G257</f>
        <v>13880865.33</v>
      </c>
      <c r="R257" s="1571">
        <f>P257*G257</f>
        <v>15685377.822900001</v>
      </c>
      <c r="S257" s="1574">
        <f t="shared" ref="S257" si="187">L257-R257</f>
        <v>1424484.677099999</v>
      </c>
      <c r="V257" s="1575">
        <v>102</v>
      </c>
      <c r="W257" s="1575">
        <f t="shared" si="149"/>
        <v>0</v>
      </c>
      <c r="X257" s="1465" t="s">
        <v>460</v>
      </c>
      <c r="AB257" s="1465"/>
      <c r="AC257" s="1465"/>
      <c r="AD257" s="1465"/>
      <c r="AE257" s="1466">
        <v>173522.24</v>
      </c>
      <c r="AF257" s="1579">
        <f t="shared" si="150"/>
        <v>5778.4899999999907</v>
      </c>
    </row>
    <row r="258" spans="1:32" ht="21.95" customHeight="1" x14ac:dyDescent="0.2">
      <c r="B258" s="1699">
        <v>5</v>
      </c>
      <c r="C258" s="1603"/>
      <c r="D258" s="1604" t="s">
        <v>1861</v>
      </c>
      <c r="E258" s="1605"/>
      <c r="F258" s="1606"/>
      <c r="G258" s="1453"/>
      <c r="H258" s="1608"/>
      <c r="I258" s="1609"/>
      <c r="J258" s="1610"/>
      <c r="K258" s="1611"/>
      <c r="L258" s="1612"/>
      <c r="M258" s="1610"/>
      <c r="N258" s="1613"/>
      <c r="O258" s="1614"/>
      <c r="P258" s="1614"/>
      <c r="Q258" s="1609"/>
      <c r="R258" s="1615"/>
      <c r="S258" s="1616"/>
      <c r="V258" s="1575"/>
      <c r="W258" s="1575">
        <f t="shared" si="149"/>
        <v>0</v>
      </c>
      <c r="X258" s="1465" t="s">
        <v>1861</v>
      </c>
      <c r="AB258" s="1465"/>
      <c r="AC258" s="1465"/>
      <c r="AD258" s="1465"/>
      <c r="AE258" s="1466"/>
      <c r="AF258" s="1579">
        <f t="shared" si="150"/>
        <v>0</v>
      </c>
    </row>
    <row r="259" spans="1:32" ht="21.95" customHeight="1" x14ac:dyDescent="0.2">
      <c r="A259" s="1462">
        <f>satpek!B69</f>
        <v>50</v>
      </c>
      <c r="B259" s="1567">
        <v>1</v>
      </c>
      <c r="C259" s="1557"/>
      <c r="D259" s="1568" t="str">
        <f>VLOOKUP($A259,satpek!$B$20:$N$144,2,0)</f>
        <v>Memasang kloset duduk/monoblok dan aksesoris</v>
      </c>
      <c r="E259" s="1568"/>
      <c r="F259" s="1580"/>
      <c r="G259" s="1453">
        <f>'[3]B.VOL RAB'!Q596</f>
        <v>7</v>
      </c>
      <c r="H259" s="788" t="str">
        <f>VLOOKUP($A259,satpek!$B$20:$N$144,7,0)</f>
        <v>bh</v>
      </c>
      <c r="I259" s="1569" t="str">
        <f>VLOOKUP($A259,satpek!$B$20:$N$144,5,0)</f>
        <v>A.5.1.1.1.</v>
      </c>
      <c r="J259" s="1570">
        <f>VLOOKUP($A259,satpek!$B$20:$N$144,6,0)</f>
        <v>3373897.5</v>
      </c>
      <c r="K259" s="1558"/>
      <c r="L259" s="1571">
        <f t="shared" ref="L259:L264" si="188">ROUND((G259*J259),2)</f>
        <v>23617282.5</v>
      </c>
      <c r="M259" s="1617"/>
      <c r="N259" s="1572">
        <f>VLOOKUP($A259,satpek!$B$20:$L$138,8,0)</f>
        <v>0.46447123838231602</v>
      </c>
      <c r="O259" s="1573">
        <f>VLOOKUP($A259,satpek!$B$20:$L$138,9,0)</f>
        <v>1386795</v>
      </c>
      <c r="P259" s="1573">
        <f>VLOOKUP($A259,satpek!$B$20:$L$138,10,0)</f>
        <v>1567078.35</v>
      </c>
      <c r="Q259" s="1571">
        <f t="shared" ref="Q259:Q264" si="189">O259*G259</f>
        <v>9707565</v>
      </c>
      <c r="R259" s="1571">
        <f t="shared" ref="R259:R264" si="190">P259*G259</f>
        <v>10969548.450000001</v>
      </c>
      <c r="S259" s="1574">
        <f t="shared" ref="S259:S264" si="191">L259-R259</f>
        <v>12647734.049999999</v>
      </c>
      <c r="V259" s="1575">
        <v>7</v>
      </c>
      <c r="W259" s="1575">
        <f t="shared" si="149"/>
        <v>0</v>
      </c>
      <c r="X259" s="1465" t="s">
        <v>1848</v>
      </c>
      <c r="AB259" s="1465"/>
      <c r="AC259" s="1465"/>
      <c r="AD259" s="1465"/>
      <c r="AE259" s="1466">
        <v>3359184.9</v>
      </c>
      <c r="AF259" s="1579">
        <f t="shared" si="150"/>
        <v>-14712.600000000093</v>
      </c>
    </row>
    <row r="260" spans="1:32" ht="21.95" customHeight="1" x14ac:dyDescent="0.2">
      <c r="A260" s="1462">
        <f>satpek!B71</f>
        <v>52</v>
      </c>
      <c r="B260" s="1567">
        <f>B259+1</f>
        <v>2</v>
      </c>
      <c r="C260" s="1557"/>
      <c r="D260" s="1568" t="str">
        <f>VLOOKUP($A260,satpek!$B$20:$N$144,2,0)</f>
        <v>Memasang wastafel lengkap sifon stainless</v>
      </c>
      <c r="E260" s="1568"/>
      <c r="F260" s="1580"/>
      <c r="G260" s="1453">
        <f>'[3]B.VOL RAB'!Q597</f>
        <v>4</v>
      </c>
      <c r="H260" s="788" t="str">
        <f>VLOOKUP($A260,satpek!$B$20:$N$144,7,0)</f>
        <v>bh</v>
      </c>
      <c r="I260" s="1569" t="str">
        <f>VLOOKUP($A260,satpek!$B$20:$N$144,5,0)</f>
        <v>A.5.1.1.5.</v>
      </c>
      <c r="J260" s="1570">
        <f>VLOOKUP($A260,satpek!$B$20:$N$144,6,0)</f>
        <v>1376407.8</v>
      </c>
      <c r="K260" s="1558"/>
      <c r="L260" s="1571">
        <f t="shared" si="188"/>
        <v>5505631.2000000002</v>
      </c>
      <c r="M260" s="1617"/>
      <c r="N260" s="1572">
        <f>VLOOKUP($A260,satpek!$B$20:$L$138,8,0)</f>
        <v>0.71936118089420875</v>
      </c>
      <c r="O260" s="1573">
        <f>VLOOKUP($A260,satpek!$B$20:$L$138,9,0)</f>
        <v>876225.08</v>
      </c>
      <c r="P260" s="1573">
        <f>VLOOKUP($A260,satpek!$B$20:$L$138,10,0)</f>
        <v>990134.34039999999</v>
      </c>
      <c r="Q260" s="1571">
        <f t="shared" si="189"/>
        <v>3504900.32</v>
      </c>
      <c r="R260" s="1571">
        <f t="shared" si="190"/>
        <v>3960537.3615999999</v>
      </c>
      <c r="S260" s="1574">
        <f t="shared" si="191"/>
        <v>1545093.8384000002</v>
      </c>
      <c r="V260" s="1575">
        <v>4</v>
      </c>
      <c r="W260" s="1575">
        <f t="shared" si="149"/>
        <v>0</v>
      </c>
      <c r="X260" s="1465" t="s">
        <v>1849</v>
      </c>
      <c r="AB260" s="1465"/>
      <c r="AC260" s="1465"/>
      <c r="AD260" s="1465"/>
      <c r="AE260" s="1466">
        <v>1003649.05</v>
      </c>
      <c r="AF260" s="1579">
        <f t="shared" si="150"/>
        <v>-372758.75</v>
      </c>
    </row>
    <row r="261" spans="1:32" ht="21.95" customHeight="1" x14ac:dyDescent="0.2">
      <c r="A261" s="1462">
        <f>satpek!B72</f>
        <v>53</v>
      </c>
      <c r="B261" s="1567">
        <f>B260+1</f>
        <v>3</v>
      </c>
      <c r="C261" s="1557"/>
      <c r="D261" s="1568" t="str">
        <f>VLOOKUP($A261,satpek!$B$20:$N$144,2,0)</f>
        <v>Memasang floor drain stainless</v>
      </c>
      <c r="E261" s="1568"/>
      <c r="F261" s="1580"/>
      <c r="G261" s="1453">
        <f>'[3]B.VOL RAB'!Q598</f>
        <v>9</v>
      </c>
      <c r="H261" s="788" t="str">
        <f>VLOOKUP($A261,satpek!$B$20:$N$144,7,0)</f>
        <v>bh</v>
      </c>
      <c r="I261" s="1569" t="str">
        <f>VLOOKUP($A261,satpek!$B$20:$N$144,5,0)</f>
        <v>A.5.1.1.14.</v>
      </c>
      <c r="J261" s="1570">
        <f>VLOOKUP($A261,satpek!$B$20:$N$144,6,0)</f>
        <v>120111.09</v>
      </c>
      <c r="K261" s="1558"/>
      <c r="L261" s="1571">
        <f t="shared" si="188"/>
        <v>1080999.81</v>
      </c>
      <c r="M261" s="1617"/>
      <c r="N261" s="1572">
        <f>VLOOKUP($A261,satpek!$B$20:$L$138,8,0)</f>
        <v>0.10624406122698578</v>
      </c>
      <c r="O261" s="1573">
        <f>VLOOKUP($A261,satpek!$B$20:$L$138,9,0)</f>
        <v>11293</v>
      </c>
      <c r="P261" s="1573">
        <f>VLOOKUP($A261,satpek!$B$20:$L$138,10,0)</f>
        <v>12761.09</v>
      </c>
      <c r="Q261" s="1571">
        <f t="shared" si="189"/>
        <v>101637</v>
      </c>
      <c r="R261" s="1571">
        <f t="shared" si="190"/>
        <v>114849.81</v>
      </c>
      <c r="S261" s="1574">
        <f t="shared" si="191"/>
        <v>966150</v>
      </c>
      <c r="V261" s="1575">
        <v>9</v>
      </c>
      <c r="W261" s="1575">
        <f t="shared" si="149"/>
        <v>0</v>
      </c>
      <c r="X261" s="1465" t="s">
        <v>1915</v>
      </c>
      <c r="AB261" s="1465"/>
      <c r="AC261" s="1465"/>
      <c r="AD261" s="1465"/>
      <c r="AE261" s="1466">
        <v>103903.5</v>
      </c>
      <c r="AF261" s="1579">
        <f t="shared" si="150"/>
        <v>-16207.589999999997</v>
      </c>
    </row>
    <row r="262" spans="1:32" ht="21.95" customHeight="1" x14ac:dyDescent="0.2">
      <c r="A262" s="1462">
        <f>satpek!B82</f>
        <v>63</v>
      </c>
      <c r="B262" s="1567">
        <f>B261+1</f>
        <v>4</v>
      </c>
      <c r="C262" s="1557"/>
      <c r="D262" s="1568" t="str">
        <f>VLOOKUP($A262,satpek!$B$20:$N$144,2,0)</f>
        <v>Memasang kran diameter 1/2", onda stainless</v>
      </c>
      <c r="E262" s="1568"/>
      <c r="F262" s="1580"/>
      <c r="G262" s="1453">
        <f>'[3]B.VOL RAB'!Q599</f>
        <v>7</v>
      </c>
      <c r="H262" s="788" t="str">
        <f>VLOOKUP($A262,satpek!$B$20:$N$144,7,0)</f>
        <v>bh</v>
      </c>
      <c r="I262" s="1569" t="str">
        <f>VLOOKUP($A262,satpek!$B$20:$N$144,5,0)</f>
        <v>A.5.1.1.19.</v>
      </c>
      <c r="J262" s="1570">
        <f>VLOOKUP($A262,satpek!$B$20:$N$144,6,0)</f>
        <v>170986.52</v>
      </c>
      <c r="K262" s="1558"/>
      <c r="L262" s="1571">
        <f t="shared" si="188"/>
        <v>1196905.6399999999</v>
      </c>
      <c r="M262" s="1617"/>
      <c r="N262" s="1572">
        <f>VLOOKUP($A262,satpek!$B$20:$L$138,8,0)</f>
        <v>0.95355069374915324</v>
      </c>
      <c r="O262" s="1573">
        <f>VLOOKUP($A262,satpek!$B$20:$L$138,9,0)</f>
        <v>144287</v>
      </c>
      <c r="P262" s="1573">
        <f>VLOOKUP($A262,satpek!$B$20:$L$138,10,0)</f>
        <v>163044.31</v>
      </c>
      <c r="Q262" s="1571">
        <f t="shared" si="189"/>
        <v>1010009</v>
      </c>
      <c r="R262" s="1571">
        <f t="shared" si="190"/>
        <v>1141310.17</v>
      </c>
      <c r="S262" s="1574">
        <f t="shared" si="191"/>
        <v>55595.469999999972</v>
      </c>
      <c r="V262" s="1575">
        <v>7</v>
      </c>
      <c r="W262" s="1575">
        <f t="shared" si="149"/>
        <v>0</v>
      </c>
      <c r="X262" s="1465" t="s">
        <v>1916</v>
      </c>
      <c r="AB262" s="1465"/>
      <c r="AC262" s="1465"/>
      <c r="AD262" s="1465"/>
      <c r="AE262" s="1466">
        <v>104041.93</v>
      </c>
      <c r="AF262" s="1579">
        <f t="shared" si="150"/>
        <v>-66944.59</v>
      </c>
    </row>
    <row r="263" spans="1:32" ht="21.95" customHeight="1" x14ac:dyDescent="0.2">
      <c r="A263" s="1462">
        <f>satpek!B123</f>
        <v>102</v>
      </c>
      <c r="B263" s="1567">
        <f>B262+1</f>
        <v>5</v>
      </c>
      <c r="C263" s="1557"/>
      <c r="D263" s="1568" t="str">
        <f>VLOOKUP($A263,satpek!$B$20:$N$144,2,0)</f>
        <v>Torn kapasitas 1000ltr+radar otomatis</v>
      </c>
      <c r="E263" s="1568"/>
      <c r="F263" s="1580"/>
      <c r="G263" s="1453">
        <f>'[3]B.VOL RAB'!Q600</f>
        <v>2</v>
      </c>
      <c r="H263" s="788" t="str">
        <f>VLOOKUP($A263,satpek!$B$20:$N$144,7,0)</f>
        <v>unit</v>
      </c>
      <c r="I263" s="1569" t="str">
        <f>VLOOKUP($A263,satpek!$B$20:$N$144,5,0)</f>
        <v>Daftar harga</v>
      </c>
      <c r="J263" s="1570">
        <f>VLOOKUP($A263,satpek!$B$20:$N$144,6,0)</f>
        <v>2250000</v>
      </c>
      <c r="K263" s="1558"/>
      <c r="L263" s="1571">
        <f t="shared" si="188"/>
        <v>4500000</v>
      </c>
      <c r="M263" s="1617"/>
      <c r="N263" s="1572">
        <f>VLOOKUP($A263,satpek!$B$20:$L$138,8,0)</f>
        <v>0.2</v>
      </c>
      <c r="O263" s="1573">
        <f>VLOOKUP($A263,satpek!$B$20:$L$138,9,0)</f>
        <v>0</v>
      </c>
      <c r="P263" s="1573">
        <f>VLOOKUP($A263,satpek!$B$20:$L$138,10,0)</f>
        <v>450000</v>
      </c>
      <c r="Q263" s="1571">
        <f t="shared" si="189"/>
        <v>0</v>
      </c>
      <c r="R263" s="1571">
        <f t="shared" si="190"/>
        <v>900000</v>
      </c>
      <c r="S263" s="1574">
        <f t="shared" si="191"/>
        <v>3600000</v>
      </c>
      <c r="V263" s="1575">
        <v>2</v>
      </c>
      <c r="W263" s="1575">
        <f t="shared" si="149"/>
        <v>0</v>
      </c>
      <c r="X263" s="1465" t="s">
        <v>1862</v>
      </c>
      <c r="AB263" s="1465"/>
      <c r="AC263" s="1465"/>
      <c r="AD263" s="1465"/>
      <c r="AE263" s="1466">
        <v>2050000</v>
      </c>
      <c r="AF263" s="1579">
        <f t="shared" si="150"/>
        <v>-200000</v>
      </c>
    </row>
    <row r="264" spans="1:32" ht="21.95" customHeight="1" x14ac:dyDescent="0.2">
      <c r="A264" s="1462">
        <f>A261</f>
        <v>53</v>
      </c>
      <c r="B264" s="1567">
        <f>B263+1</f>
        <v>6</v>
      </c>
      <c r="C264" s="1557"/>
      <c r="D264" s="1568" t="s">
        <v>1968</v>
      </c>
      <c r="E264" s="1568"/>
      <c r="F264" s="1580"/>
      <c r="G264" s="1453">
        <f>'[3]B.VOL RAB'!Q601</f>
        <v>12</v>
      </c>
      <c r="H264" s="788" t="str">
        <f>VLOOKUP($A264,satpek!$B$20:$N$144,7,0)</f>
        <v>bh</v>
      </c>
      <c r="I264" s="1569" t="str">
        <f>VLOOKUP($A264,satpek!$B$20:$N$144,5,0)</f>
        <v>A.5.1.1.14.</v>
      </c>
      <c r="J264" s="1570">
        <f>VLOOKUP($A264,satpek!$B$20:$N$144,6,0)</f>
        <v>120111.09</v>
      </c>
      <c r="K264" s="1558"/>
      <c r="L264" s="1571">
        <f t="shared" si="188"/>
        <v>1441333.08</v>
      </c>
      <c r="M264" s="1617"/>
      <c r="N264" s="1572">
        <f>VLOOKUP($A264,satpek!$B$20:$L$138,8,0)</f>
        <v>0.10624406122698578</v>
      </c>
      <c r="O264" s="1573">
        <f>VLOOKUP($A264,satpek!$B$20:$L$138,9,0)</f>
        <v>11293</v>
      </c>
      <c r="P264" s="1573">
        <f>VLOOKUP($A264,satpek!$B$20:$L$138,10,0)</f>
        <v>12761.09</v>
      </c>
      <c r="Q264" s="1571">
        <f t="shared" si="189"/>
        <v>135516</v>
      </c>
      <c r="R264" s="1571">
        <f t="shared" si="190"/>
        <v>153133.08000000002</v>
      </c>
      <c r="S264" s="1574">
        <f t="shared" si="191"/>
        <v>1288200</v>
      </c>
      <c r="V264" s="1575">
        <v>12</v>
      </c>
      <c r="W264" s="1575">
        <f t="shared" si="149"/>
        <v>0</v>
      </c>
      <c r="X264" s="1465" t="s">
        <v>1863</v>
      </c>
      <c r="AB264" s="1465"/>
      <c r="AC264" s="1465"/>
      <c r="AD264" s="1465"/>
      <c r="AE264" s="1466">
        <v>174300.72</v>
      </c>
      <c r="AF264" s="1579">
        <f t="shared" si="150"/>
        <v>54189.630000000005</v>
      </c>
    </row>
    <row r="265" spans="1:32" ht="21.95" customHeight="1" x14ac:dyDescent="0.2">
      <c r="B265" s="1587"/>
      <c r="C265" s="1588"/>
      <c r="D265" s="1589"/>
      <c r="E265" s="1589"/>
      <c r="F265" s="1590"/>
      <c r="G265" s="807"/>
      <c r="H265" s="1591"/>
      <c r="I265" s="1592"/>
      <c r="J265" s="1593" t="s">
        <v>358</v>
      </c>
      <c r="K265" s="1594"/>
      <c r="L265" s="1595" t="s">
        <v>1840</v>
      </c>
      <c r="M265" s="1596">
        <f>SUM(L222:L265)</f>
        <v>152781003.22999999</v>
      </c>
      <c r="N265" s="1597"/>
      <c r="O265" s="1598"/>
      <c r="P265" s="1598"/>
      <c r="Q265" s="1599"/>
      <c r="R265" s="1600"/>
      <c r="S265" s="1601"/>
      <c r="T265" s="1477">
        <f>[3]HPS!M268</f>
        <v>144794794.86999997</v>
      </c>
      <c r="U265" s="1477">
        <f>M265-T265</f>
        <v>7986208.3600000143</v>
      </c>
      <c r="V265" s="1575"/>
      <c r="W265" s="1575">
        <f t="shared" si="149"/>
        <v>0</v>
      </c>
      <c r="X265" s="883"/>
      <c r="AB265" s="1465"/>
      <c r="AC265" s="1465"/>
      <c r="AD265" s="1465"/>
      <c r="AE265" s="1466" t="s">
        <v>358</v>
      </c>
      <c r="AF265" s="1579" t="e">
        <f t="shared" si="150"/>
        <v>#VALUE!</v>
      </c>
    </row>
    <row r="266" spans="1:32" ht="21.95" customHeight="1" x14ac:dyDescent="0.2">
      <c r="B266" s="1549" t="s">
        <v>1864</v>
      </c>
      <c r="C266" s="1603"/>
      <c r="D266" s="1604" t="s">
        <v>1865</v>
      </c>
      <c r="E266" s="1605"/>
      <c r="F266" s="1606"/>
      <c r="G266" s="1453"/>
      <c r="H266" s="1608"/>
      <c r="I266" s="1609"/>
      <c r="J266" s="1610"/>
      <c r="K266" s="1611"/>
      <c r="L266" s="1612"/>
      <c r="M266" s="1610"/>
      <c r="N266" s="1613"/>
      <c r="O266" s="1614"/>
      <c r="P266" s="1614"/>
      <c r="Q266" s="1609"/>
      <c r="R266" s="1615"/>
      <c r="S266" s="1616"/>
      <c r="V266" s="1575"/>
      <c r="W266" s="1575">
        <f t="shared" si="149"/>
        <v>0</v>
      </c>
      <c r="X266" s="1465" t="s">
        <v>1865</v>
      </c>
      <c r="AB266" s="1465"/>
      <c r="AC266" s="1465"/>
      <c r="AD266" s="1465"/>
      <c r="AE266" s="1466"/>
      <c r="AF266" s="1579">
        <f t="shared" si="150"/>
        <v>0</v>
      </c>
    </row>
    <row r="267" spans="1:32" ht="21.95" customHeight="1" x14ac:dyDescent="0.2">
      <c r="B267" s="1549"/>
      <c r="C267" s="1603"/>
      <c r="D267" s="1604" t="s">
        <v>1769</v>
      </c>
      <c r="E267" s="1605"/>
      <c r="F267" s="1606"/>
      <c r="G267" s="1453"/>
      <c r="H267" s="1608"/>
      <c r="I267" s="1609"/>
      <c r="J267" s="1610"/>
      <c r="K267" s="1611"/>
      <c r="L267" s="1612"/>
      <c r="M267" s="1610"/>
      <c r="N267" s="1613"/>
      <c r="O267" s="1614"/>
      <c r="P267" s="1614"/>
      <c r="Q267" s="1609"/>
      <c r="R267" s="1615"/>
      <c r="S267" s="1616"/>
      <c r="V267" s="1575"/>
      <c r="W267" s="1575">
        <f t="shared" si="149"/>
        <v>0</v>
      </c>
      <c r="X267" s="1465" t="s">
        <v>1769</v>
      </c>
      <c r="AB267" s="1465"/>
      <c r="AC267" s="1465"/>
      <c r="AD267" s="1465"/>
      <c r="AE267" s="1466"/>
      <c r="AF267" s="1579">
        <f t="shared" si="150"/>
        <v>0</v>
      </c>
    </row>
    <row r="268" spans="1:32" ht="21.95" customHeight="1" x14ac:dyDescent="0.2">
      <c r="A268" s="1462">
        <f>satpek!B124</f>
        <v>103</v>
      </c>
      <c r="B268" s="1567">
        <v>1</v>
      </c>
      <c r="C268" s="1557"/>
      <c r="D268" s="1568" t="str">
        <f>VLOOKUP($A268,satpek!$B$20:$N$144,2,0)</f>
        <v>Penyambungan Daya PLN Tegangan Rendah (TR) 3 phase 44 KVA</v>
      </c>
      <c r="E268" s="1605"/>
      <c r="F268" s="1606"/>
      <c r="G268" s="1453">
        <f>'[3]B.VOL RAB'!Q606</f>
        <v>44000</v>
      </c>
      <c r="H268" s="788" t="str">
        <f>VLOOKUP($A268,satpek!$B$20:$N$144,7,0)</f>
        <v>va</v>
      </c>
      <c r="I268" s="1569" t="str">
        <f>VLOOKUP($A268,satpek!$B$20:$N$144,5,0)</f>
        <v>Daftar harga</v>
      </c>
      <c r="J268" s="1570">
        <f>VLOOKUP($A268,satpek!$B$20:$N$144,6,0)</f>
        <v>1564.5</v>
      </c>
      <c r="K268" s="1558"/>
      <c r="L268" s="1571">
        <f t="shared" ref="L268" si="192">ROUND((G268*J268),2)</f>
        <v>68838000</v>
      </c>
      <c r="M268" s="1610"/>
      <c r="N268" s="1572">
        <f>VLOOKUP($A268,satpek!$B$20:$L$138,8,0)</f>
        <v>0.2</v>
      </c>
      <c r="O268" s="1573">
        <f>VLOOKUP($A268,satpek!$B$20:$L$138,9,0)</f>
        <v>0</v>
      </c>
      <c r="P268" s="1573">
        <f>VLOOKUP($A268,satpek!$B$20:$L$138,10,0)</f>
        <v>312.90000000000003</v>
      </c>
      <c r="Q268" s="1571">
        <f t="shared" ref="Q268" si="193">O268*G268</f>
        <v>0</v>
      </c>
      <c r="R268" s="1571">
        <f>P268*G268</f>
        <v>13767600.000000002</v>
      </c>
      <c r="S268" s="1574">
        <f t="shared" ref="S268" si="194">L268-R268</f>
        <v>55070400</v>
      </c>
      <c r="V268" s="1575">
        <v>44000</v>
      </c>
      <c r="W268" s="1575">
        <f t="shared" si="149"/>
        <v>0</v>
      </c>
      <c r="X268" s="1465" t="s">
        <v>1866</v>
      </c>
      <c r="AB268" s="1465"/>
      <c r="AC268" s="1465"/>
      <c r="AD268" s="1465"/>
      <c r="AE268" s="1466">
        <v>1350</v>
      </c>
      <c r="AF268" s="1579">
        <f t="shared" si="150"/>
        <v>-214.5</v>
      </c>
    </row>
    <row r="269" spans="1:32" ht="21.95" customHeight="1" x14ac:dyDescent="0.2">
      <c r="B269" s="1567"/>
      <c r="C269" s="1557" t="s">
        <v>1566</v>
      </c>
      <c r="D269" s="1568" t="s">
        <v>1868</v>
      </c>
      <c r="E269" s="1605"/>
      <c r="F269" s="1606"/>
      <c r="G269" s="1453"/>
      <c r="H269" s="1608"/>
      <c r="I269" s="1609" t="s">
        <v>1854</v>
      </c>
      <c r="J269" s="1610"/>
      <c r="K269" s="1611"/>
      <c r="L269" s="1612"/>
      <c r="M269" s="1610"/>
      <c r="N269" s="1613"/>
      <c r="O269" s="1614"/>
      <c r="P269" s="1614"/>
      <c r="Q269" s="1609"/>
      <c r="R269" s="1615"/>
      <c r="S269" s="1616"/>
      <c r="V269" s="1575"/>
      <c r="W269" s="1575">
        <f t="shared" si="149"/>
        <v>0</v>
      </c>
      <c r="X269" s="1465" t="s">
        <v>1868</v>
      </c>
      <c r="AB269" s="1465"/>
      <c r="AC269" s="1465"/>
      <c r="AD269" s="1465"/>
      <c r="AE269" s="1466"/>
      <c r="AF269" s="1579">
        <f t="shared" si="150"/>
        <v>0</v>
      </c>
    </row>
    <row r="270" spans="1:32" ht="21.95" customHeight="1" x14ac:dyDescent="0.2">
      <c r="B270" s="1567"/>
      <c r="C270" s="1557" t="s">
        <v>1569</v>
      </c>
      <c r="D270" s="1568" t="s">
        <v>1869</v>
      </c>
      <c r="E270" s="1605"/>
      <c r="F270" s="1606"/>
      <c r="G270" s="1453"/>
      <c r="H270" s="1608"/>
      <c r="I270" s="1609" t="s">
        <v>1854</v>
      </c>
      <c r="J270" s="1610"/>
      <c r="K270" s="1611"/>
      <c r="L270" s="1612"/>
      <c r="M270" s="1610"/>
      <c r="N270" s="1613"/>
      <c r="O270" s="1614"/>
      <c r="P270" s="1614"/>
      <c r="Q270" s="1609"/>
      <c r="R270" s="1615"/>
      <c r="S270" s="1616"/>
      <c r="V270" s="1575"/>
      <c r="W270" s="1575">
        <f t="shared" si="149"/>
        <v>0</v>
      </c>
      <c r="X270" s="1465" t="s">
        <v>1869</v>
      </c>
      <c r="AB270" s="1465"/>
      <c r="AC270" s="1465"/>
      <c r="AD270" s="1465"/>
      <c r="AE270" s="1466"/>
      <c r="AF270" s="1579">
        <f t="shared" si="150"/>
        <v>0</v>
      </c>
    </row>
    <row r="271" spans="1:32" ht="21.95" customHeight="1" x14ac:dyDescent="0.2">
      <c r="B271" s="1567"/>
      <c r="C271" s="1557" t="s">
        <v>1571</v>
      </c>
      <c r="D271" s="1568" t="s">
        <v>1870</v>
      </c>
      <c r="E271" s="1605"/>
      <c r="F271" s="1606"/>
      <c r="G271" s="1453"/>
      <c r="H271" s="1608"/>
      <c r="I271" s="1609" t="s">
        <v>1854</v>
      </c>
      <c r="J271" s="1610"/>
      <c r="K271" s="1611"/>
      <c r="L271" s="1612"/>
      <c r="M271" s="1610"/>
      <c r="N271" s="1613"/>
      <c r="O271" s="1614"/>
      <c r="P271" s="1614"/>
      <c r="Q271" s="1609"/>
      <c r="R271" s="1615"/>
      <c r="S271" s="1616"/>
      <c r="V271" s="1575"/>
      <c r="W271" s="1575">
        <f t="shared" si="149"/>
        <v>0</v>
      </c>
      <c r="X271" s="1465" t="s">
        <v>1870</v>
      </c>
      <c r="AB271" s="1465"/>
      <c r="AC271" s="1465"/>
      <c r="AD271" s="1465"/>
      <c r="AE271" s="1466"/>
      <c r="AF271" s="1579">
        <f t="shared" si="150"/>
        <v>0</v>
      </c>
    </row>
    <row r="272" spans="1:32" ht="21.95" customHeight="1" x14ac:dyDescent="0.2">
      <c r="B272" s="1567"/>
      <c r="C272" s="1557" t="s">
        <v>1582</v>
      </c>
      <c r="D272" s="1568" t="s">
        <v>1871</v>
      </c>
      <c r="E272" s="1605"/>
      <c r="F272" s="1606"/>
      <c r="G272" s="1453"/>
      <c r="H272" s="1608"/>
      <c r="I272" s="1609" t="s">
        <v>1854</v>
      </c>
      <c r="J272" s="1610"/>
      <c r="K272" s="1611"/>
      <c r="L272" s="1612"/>
      <c r="M272" s="1610"/>
      <c r="N272" s="1613"/>
      <c r="O272" s="1614"/>
      <c r="P272" s="1614"/>
      <c r="Q272" s="1609"/>
      <c r="R272" s="1615"/>
      <c r="S272" s="1616"/>
      <c r="V272" s="1575"/>
      <c r="W272" s="1575">
        <f t="shared" si="149"/>
        <v>0</v>
      </c>
      <c r="X272" s="1465" t="s">
        <v>1871</v>
      </c>
      <c r="AB272" s="1465"/>
      <c r="AC272" s="1465"/>
      <c r="AD272" s="1465"/>
      <c r="AE272" s="1466"/>
      <c r="AF272" s="1579">
        <f t="shared" si="150"/>
        <v>0</v>
      </c>
    </row>
    <row r="273" spans="1:32" ht="21.95" customHeight="1" x14ac:dyDescent="0.2">
      <c r="A273" s="1462">
        <f>satpek!B87</f>
        <v>68</v>
      </c>
      <c r="B273" s="1567">
        <v>2</v>
      </c>
      <c r="C273" s="1557"/>
      <c r="D273" s="1568" t="s">
        <v>1872</v>
      </c>
      <c r="E273" s="1568"/>
      <c r="F273" s="1580"/>
      <c r="G273" s="1453">
        <f>'[3]B.VOL RAB'!Q607</f>
        <v>61.3</v>
      </c>
      <c r="H273" s="788" t="str">
        <f>VLOOKUP($A273,satpek!$B$20:$N$144,7,0)</f>
        <v>ttk</v>
      </c>
      <c r="I273" s="1569" t="str">
        <f>VLOOKUP($A273,satpek!$B$20:$N$144,5,0)</f>
        <v>An. Dihitung</v>
      </c>
      <c r="J273" s="1570">
        <f>VLOOKUP($A273,satpek!$B$20:$N$144,6,0)</f>
        <v>841092.9</v>
      </c>
      <c r="K273" s="1558"/>
      <c r="L273" s="1571">
        <f t="shared" ref="L273:L292" si="195">ROUND((G273*J273),2)</f>
        <v>51558994.770000003</v>
      </c>
      <c r="M273" s="1617"/>
      <c r="N273" s="1572">
        <f>VLOOKUP($A273,satpek!$B$20:$L$138,8,0)</f>
        <v>0.87338949122029208</v>
      </c>
      <c r="O273" s="1573">
        <f>VLOOKUP($A273,satpek!$B$20:$L$138,9,0)</f>
        <v>650090</v>
      </c>
      <c r="P273" s="1573">
        <f>VLOOKUP($A273,satpek!$B$20:$L$138,10,0)</f>
        <v>734601.7</v>
      </c>
      <c r="Q273" s="1571">
        <f t="shared" ref="Q273:Q292" si="196">O273*G273</f>
        <v>39850517</v>
      </c>
      <c r="R273" s="1571">
        <f t="shared" ref="R273:R292" si="197">P273*G273</f>
        <v>45031084.209999993</v>
      </c>
      <c r="S273" s="1574">
        <f t="shared" ref="S273:S292" si="198">L273-R273</f>
        <v>6527910.5600000098</v>
      </c>
      <c r="V273" s="1575">
        <v>61.3</v>
      </c>
      <c r="W273" s="1575">
        <f t="shared" si="149"/>
        <v>0</v>
      </c>
      <c r="X273" s="1465" t="s">
        <v>1872</v>
      </c>
      <c r="AB273" s="1465"/>
      <c r="AC273" s="1465"/>
      <c r="AD273" s="1465"/>
      <c r="AE273" s="1466">
        <v>839929</v>
      </c>
      <c r="AF273" s="1579">
        <f t="shared" si="150"/>
        <v>-1163.9000000000233</v>
      </c>
    </row>
    <row r="274" spans="1:32" ht="21.95" customHeight="1" x14ac:dyDescent="0.2">
      <c r="A274" s="1462">
        <f>satpek!B86</f>
        <v>67</v>
      </c>
      <c r="B274" s="1567">
        <f>B273+1</f>
        <v>3</v>
      </c>
      <c r="C274" s="1557"/>
      <c r="D274" s="1568" t="s">
        <v>1873</v>
      </c>
      <c r="E274" s="1568"/>
      <c r="F274" s="1580"/>
      <c r="G274" s="1453">
        <f>'[3]B.VOL RAB'!Q608</f>
        <v>3.2</v>
      </c>
      <c r="H274" s="788" t="str">
        <f>VLOOKUP($A274,satpek!$B$20:$N$144,7,0)</f>
        <v>ttk</v>
      </c>
      <c r="I274" s="1569" t="str">
        <f>VLOOKUP($A274,satpek!$B$20:$N$144,5,0)</f>
        <v>An. Dihitung</v>
      </c>
      <c r="J274" s="1570">
        <f>VLOOKUP($A274,satpek!$B$20:$N$144,6,0)</f>
        <v>490227.9</v>
      </c>
      <c r="K274" s="1558"/>
      <c r="L274" s="1571">
        <f t="shared" si="195"/>
        <v>1568729.28</v>
      </c>
      <c r="M274" s="1617"/>
      <c r="N274" s="1572">
        <f>VLOOKUP($A274,satpek!$B$20:$L$138,8,0)</f>
        <v>0.87737132056335432</v>
      </c>
      <c r="O274" s="1573">
        <f>VLOOKUP($A274,satpek!$B$20:$L$138,9,0)</f>
        <v>380630</v>
      </c>
      <c r="P274" s="1573">
        <f>VLOOKUP($A274,satpek!$B$20:$L$138,10,0)</f>
        <v>430111.9</v>
      </c>
      <c r="Q274" s="1571">
        <f t="shared" si="196"/>
        <v>1218016</v>
      </c>
      <c r="R274" s="1571">
        <f t="shared" si="197"/>
        <v>1376358.08</v>
      </c>
      <c r="S274" s="1574">
        <f t="shared" si="198"/>
        <v>192371.19999999995</v>
      </c>
      <c r="V274" s="1575">
        <v>3.2</v>
      </c>
      <c r="W274" s="1575">
        <f t="shared" ref="W274:W321" si="199">V274-G274</f>
        <v>0</v>
      </c>
      <c r="X274" s="1465" t="s">
        <v>1873</v>
      </c>
      <c r="AB274" s="1465"/>
      <c r="AC274" s="1465"/>
      <c r="AD274" s="1465"/>
      <c r="AE274" s="1466">
        <v>489064</v>
      </c>
      <c r="AF274" s="1579">
        <f t="shared" ref="AF274:AF314" si="200">AE274-J274</f>
        <v>-1163.9000000000233</v>
      </c>
    </row>
    <row r="275" spans="1:32" ht="21.95" customHeight="1" x14ac:dyDescent="0.2">
      <c r="A275" s="1462">
        <f>satpek!B89</f>
        <v>70</v>
      </c>
      <c r="B275" s="1567">
        <f t="shared" ref="B275:B292" si="201">B274+1</f>
        <v>4</v>
      </c>
      <c r="C275" s="1557"/>
      <c r="D275" s="1568" t="str">
        <f>VLOOKUP($A275,satpek!$B$20:$N$144,2,0)</f>
        <v>Memasang instalasi titik lampu (kabel 2x1,5 mm) tanpa fitting</v>
      </c>
      <c r="E275" s="1568"/>
      <c r="F275" s="1580"/>
      <c r="G275" s="1453">
        <f>'[3]B.VOL RAB'!Q609</f>
        <v>142</v>
      </c>
      <c r="H275" s="788" t="str">
        <f>VLOOKUP($A275,satpek!$B$20:$N$144,7,0)</f>
        <v>ttk</v>
      </c>
      <c r="I275" s="1569" t="str">
        <f>VLOOKUP($A275,satpek!$B$20:$N$144,5,0)</f>
        <v>An. Dihitung</v>
      </c>
      <c r="J275" s="1570">
        <f>VLOOKUP($A275,satpek!$B$20:$N$144,6,0)</f>
        <v>115332.32</v>
      </c>
      <c r="K275" s="1558"/>
      <c r="L275" s="1571">
        <f t="shared" si="195"/>
        <v>16377189.439999999</v>
      </c>
      <c r="M275" s="1617"/>
      <c r="N275" s="1572">
        <f>VLOOKUP($A275,satpek!$B$20:$L$138,8,0)</f>
        <v>0.80012051261953288</v>
      </c>
      <c r="O275" s="1573">
        <f>VLOOKUP($A275,satpek!$B$20:$L$138,9,0)</f>
        <v>81663.5</v>
      </c>
      <c r="P275" s="1573">
        <f>VLOOKUP($A275,satpek!$B$20:$L$138,10,0)</f>
        <v>92279.755000000005</v>
      </c>
      <c r="Q275" s="1571">
        <f t="shared" si="196"/>
        <v>11596217</v>
      </c>
      <c r="R275" s="1571">
        <f t="shared" si="197"/>
        <v>13103725.210000001</v>
      </c>
      <c r="S275" s="1574">
        <f t="shared" si="198"/>
        <v>3273464.2299999986</v>
      </c>
      <c r="V275" s="1575">
        <v>142</v>
      </c>
      <c r="W275" s="1575">
        <f t="shared" si="199"/>
        <v>0</v>
      </c>
      <c r="X275" s="1465" t="s">
        <v>1917</v>
      </c>
      <c r="AB275" s="1465"/>
      <c r="AC275" s="1465"/>
      <c r="AD275" s="1465"/>
      <c r="AE275" s="1466">
        <v>215790.45</v>
      </c>
      <c r="AF275" s="1579">
        <f t="shared" si="200"/>
        <v>100458.13</v>
      </c>
    </row>
    <row r="276" spans="1:32" ht="21.95" customHeight="1" x14ac:dyDescent="0.2">
      <c r="A276" s="1462">
        <f>satpek!B91</f>
        <v>72</v>
      </c>
      <c r="B276" s="1567">
        <f t="shared" si="201"/>
        <v>5</v>
      </c>
      <c r="C276" s="1557"/>
      <c r="D276" s="1568" t="str">
        <f>VLOOKUP($A276,satpek!$B$20:$N$144,2,0)</f>
        <v>Memasang Instalasi titik stop kontak (kabel 3x2,5 mm)</v>
      </c>
      <c r="E276" s="1568"/>
      <c r="F276" s="1580"/>
      <c r="G276" s="1453">
        <f>'[3]B.VOL RAB'!Q610</f>
        <v>42</v>
      </c>
      <c r="H276" s="788" t="str">
        <f>VLOOKUP($A276,satpek!$B$20:$N$144,7,0)</f>
        <v>ttk</v>
      </c>
      <c r="I276" s="1569" t="str">
        <f>VLOOKUP($A276,satpek!$B$20:$N$144,5,0)</f>
        <v>An. Dihitung</v>
      </c>
      <c r="J276" s="1570">
        <f>VLOOKUP($A276,satpek!$B$20:$N$144,6,0)</f>
        <v>145842.32</v>
      </c>
      <c r="K276" s="1558"/>
      <c r="L276" s="1571">
        <f t="shared" si="195"/>
        <v>6125377.4400000004</v>
      </c>
      <c r="M276" s="1617"/>
      <c r="N276" s="1572">
        <f>VLOOKUP($A276,satpek!$B$20:$L$138,8,0)</f>
        <v>0.8179817764829852</v>
      </c>
      <c r="O276" s="1573">
        <f>VLOOKUP($A276,satpek!$B$20:$L$138,9,0)</f>
        <v>105572</v>
      </c>
      <c r="P276" s="1573">
        <f>VLOOKUP($A276,satpek!$B$20:$L$138,10,0)</f>
        <v>119296.36</v>
      </c>
      <c r="Q276" s="1571">
        <f t="shared" si="196"/>
        <v>4434024</v>
      </c>
      <c r="R276" s="1571">
        <f t="shared" si="197"/>
        <v>5010447.12</v>
      </c>
      <c r="S276" s="1574">
        <f t="shared" si="198"/>
        <v>1114930.3200000003</v>
      </c>
      <c r="V276" s="1575">
        <v>42</v>
      </c>
      <c r="W276" s="1575">
        <f t="shared" si="199"/>
        <v>0</v>
      </c>
      <c r="X276" s="1465" t="s">
        <v>1918</v>
      </c>
      <c r="AC276" s="1465"/>
      <c r="AD276" s="1465"/>
      <c r="AE276" s="1466">
        <v>249351.45</v>
      </c>
      <c r="AF276" s="1579">
        <f t="shared" si="200"/>
        <v>103509.13</v>
      </c>
    </row>
    <row r="277" spans="1:32" ht="21.95" customHeight="1" x14ac:dyDescent="0.2">
      <c r="A277" s="1462">
        <f>A276</f>
        <v>72</v>
      </c>
      <c r="B277" s="1567">
        <f t="shared" si="201"/>
        <v>6</v>
      </c>
      <c r="C277" s="1557"/>
      <c r="D277" s="1568" t="s">
        <v>1874</v>
      </c>
      <c r="E277" s="1568"/>
      <c r="F277" s="1580"/>
      <c r="G277" s="1453">
        <f>'[3]B.VOL RAB'!Q611</f>
        <v>13</v>
      </c>
      <c r="H277" s="788" t="str">
        <f>VLOOKUP($A277,satpek!$B$20:$N$144,7,0)</f>
        <v>ttk</v>
      </c>
      <c r="I277" s="1569" t="str">
        <f>VLOOKUP($A277,satpek!$B$20:$N$144,5,0)</f>
        <v>An. Dihitung</v>
      </c>
      <c r="J277" s="1570">
        <f>VLOOKUP($A277,satpek!$B$20:$N$144,6,0)</f>
        <v>145842.32</v>
      </c>
      <c r="K277" s="1558"/>
      <c r="L277" s="1571">
        <f t="shared" si="195"/>
        <v>1895950.16</v>
      </c>
      <c r="M277" s="1617"/>
      <c r="N277" s="1572">
        <f>VLOOKUP($A277,satpek!$B$20:$L$138,8,0)</f>
        <v>0.8179817764829852</v>
      </c>
      <c r="O277" s="1573">
        <f>VLOOKUP($A277,satpek!$B$20:$L$138,9,0)</f>
        <v>105572</v>
      </c>
      <c r="P277" s="1573">
        <f>VLOOKUP($A277,satpek!$B$20:$L$138,10,0)</f>
        <v>119296.36</v>
      </c>
      <c r="Q277" s="1571">
        <f t="shared" si="196"/>
        <v>1372436</v>
      </c>
      <c r="R277" s="1571">
        <f t="shared" si="197"/>
        <v>1550852.68</v>
      </c>
      <c r="S277" s="1574">
        <f t="shared" si="198"/>
        <v>345097.48</v>
      </c>
      <c r="V277" s="1575">
        <v>13</v>
      </c>
      <c r="W277" s="1575">
        <f t="shared" si="199"/>
        <v>0</v>
      </c>
      <c r="X277" s="1465" t="s">
        <v>1874</v>
      </c>
      <c r="AC277" s="1465"/>
      <c r="AD277" s="1465"/>
      <c r="AE277" s="1466">
        <v>249351.45</v>
      </c>
      <c r="AF277" s="1579">
        <f t="shared" si="200"/>
        <v>103509.13</v>
      </c>
    </row>
    <row r="278" spans="1:32" ht="21.95" customHeight="1" x14ac:dyDescent="0.2">
      <c r="A278" s="1462">
        <f>satpek!B92</f>
        <v>73</v>
      </c>
      <c r="B278" s="1567">
        <f t="shared" si="201"/>
        <v>7</v>
      </c>
      <c r="C278" s="1557"/>
      <c r="D278" s="1568" t="str">
        <f>VLOOKUP($A278,satpek!$B$20:$N$144,2,0)</f>
        <v>Instalasi titik Telephone 2 pair</v>
      </c>
      <c r="E278" s="1568"/>
      <c r="F278" s="1580"/>
      <c r="G278" s="1453">
        <f>'[3]B.VOL RAB'!Q612</f>
        <v>6</v>
      </c>
      <c r="H278" s="788" t="str">
        <f>VLOOKUP($A278,satpek!$B$20:$N$144,7,0)</f>
        <v>ttk</v>
      </c>
      <c r="I278" s="1569" t="str">
        <f>VLOOKUP($A278,satpek!$B$20:$N$144,5,0)</f>
        <v>An. Dihitung</v>
      </c>
      <c r="J278" s="1570">
        <f>VLOOKUP($A278,satpek!$B$20:$N$144,6,0)</f>
        <v>93371.9</v>
      </c>
      <c r="K278" s="1558"/>
      <c r="L278" s="1571">
        <f t="shared" si="195"/>
        <v>560231.4</v>
      </c>
      <c r="M278" s="1617"/>
      <c r="N278" s="1572">
        <f>VLOOKUP($A278,satpek!$B$20:$L$138,8,0)</f>
        <v>0.9071039574004599</v>
      </c>
      <c r="O278" s="1573">
        <f>VLOOKUP($A278,satpek!$B$20:$L$138,9,0)</f>
        <v>74954</v>
      </c>
      <c r="P278" s="1573">
        <f>VLOOKUP($A278,satpek!$B$20:$L$138,10,0)</f>
        <v>84698.02</v>
      </c>
      <c r="Q278" s="1571">
        <f t="shared" si="196"/>
        <v>449724</v>
      </c>
      <c r="R278" s="1571">
        <f t="shared" si="197"/>
        <v>508188.12</v>
      </c>
      <c r="S278" s="1574">
        <f t="shared" si="198"/>
        <v>52043.280000000028</v>
      </c>
      <c r="V278" s="1575">
        <v>6</v>
      </c>
      <c r="W278" s="1575">
        <f t="shared" si="199"/>
        <v>0</v>
      </c>
      <c r="X278" s="1465" t="s">
        <v>1875</v>
      </c>
      <c r="AC278" s="1465"/>
      <c r="AD278" s="1465"/>
      <c r="AE278" s="1466">
        <v>92208</v>
      </c>
      <c r="AF278" s="1579">
        <f t="shared" si="200"/>
        <v>-1163.8999999999942</v>
      </c>
    </row>
    <row r="279" spans="1:32" ht="21.95" customHeight="1" x14ac:dyDescent="0.2">
      <c r="A279" s="1462">
        <f>satpek!B93</f>
        <v>74</v>
      </c>
      <c r="B279" s="1567">
        <f t="shared" si="201"/>
        <v>8</v>
      </c>
      <c r="C279" s="1557"/>
      <c r="D279" s="1568" t="str">
        <f>VLOOKUP($A279,satpek!$B$20:$N$144,2,0)</f>
        <v>Instalasi titik Data CAT 6</v>
      </c>
      <c r="E279" s="1568"/>
      <c r="F279" s="1580"/>
      <c r="G279" s="1453">
        <f>'[3]B.VOL RAB'!Q613</f>
        <v>12</v>
      </c>
      <c r="H279" s="788" t="str">
        <f>VLOOKUP($A279,satpek!$B$20:$N$144,7,0)</f>
        <v>ttk</v>
      </c>
      <c r="I279" s="1569" t="str">
        <f>VLOOKUP($A279,satpek!$B$20:$N$144,5,0)</f>
        <v>An. Dihitung</v>
      </c>
      <c r="J279" s="1570">
        <f>VLOOKUP($A279,satpek!$B$20:$N$144,6,0)</f>
        <v>140437.33000000002</v>
      </c>
      <c r="K279" s="1558"/>
      <c r="L279" s="1571">
        <f t="shared" si="195"/>
        <v>1685247.96</v>
      </c>
      <c r="M279" s="1617"/>
      <c r="N279" s="1572">
        <f>VLOOKUP($A279,satpek!$B$20:$L$138,8,0)</f>
        <v>0.88809056240536555</v>
      </c>
      <c r="O279" s="1573">
        <f>VLOOKUP($A279,satpek!$B$20:$L$138,9,0)</f>
        <v>110372.62333</v>
      </c>
      <c r="P279" s="1573">
        <f>VLOOKUP($A279,satpek!$B$20:$L$138,10,0)</f>
        <v>124721.0643629</v>
      </c>
      <c r="Q279" s="1571">
        <f t="shared" si="196"/>
        <v>1324471.4799600001</v>
      </c>
      <c r="R279" s="1571">
        <f t="shared" si="197"/>
        <v>1496652.7723548</v>
      </c>
      <c r="S279" s="1574">
        <f t="shared" si="198"/>
        <v>188595.18764519994</v>
      </c>
      <c r="V279" s="1575">
        <v>12</v>
      </c>
      <c r="W279" s="1575">
        <f t="shared" si="199"/>
        <v>0</v>
      </c>
      <c r="X279" s="1465" t="s">
        <v>1876</v>
      </c>
      <c r="AC279" s="1465"/>
      <c r="AD279" s="1465"/>
      <c r="AE279" s="1466">
        <v>139273.43</v>
      </c>
      <c r="AF279" s="1579">
        <f t="shared" si="200"/>
        <v>-1163.9000000000233</v>
      </c>
    </row>
    <row r="280" spans="1:32" ht="21.95" customHeight="1" x14ac:dyDescent="0.2">
      <c r="A280" s="1462">
        <f>satpek!B94</f>
        <v>75</v>
      </c>
      <c r="B280" s="1567">
        <f t="shared" si="201"/>
        <v>9</v>
      </c>
      <c r="C280" s="1557"/>
      <c r="D280" s="1568" t="str">
        <f>VLOOKUP($A280,satpek!$B$20:$N$144,2,0)</f>
        <v>Memasang saklar ganda</v>
      </c>
      <c r="E280" s="1568"/>
      <c r="F280" s="1580"/>
      <c r="G280" s="1453">
        <f>'[3]B.VOL RAB'!Q615</f>
        <v>28</v>
      </c>
      <c r="H280" s="788" t="str">
        <f>VLOOKUP($A280,satpek!$B$20:$N$144,7,0)</f>
        <v>bh</v>
      </c>
      <c r="I280" s="1569" t="str">
        <f>VLOOKUP($A280,satpek!$B$20:$N$144,5,0)</f>
        <v>An. Dihitung</v>
      </c>
      <c r="J280" s="1570">
        <f>VLOOKUP($A280,satpek!$B$20:$N$144,6,0)</f>
        <v>49855.6</v>
      </c>
      <c r="K280" s="1558"/>
      <c r="L280" s="1571">
        <f t="shared" si="195"/>
        <v>1395956.8</v>
      </c>
      <c r="M280" s="1617"/>
      <c r="N280" s="1572">
        <f>VLOOKUP($A280,satpek!$B$20:$L$138,8,0)</f>
        <v>0.55736627379873072</v>
      </c>
      <c r="O280" s="1573">
        <f>VLOOKUP($A280,satpek!$B$20:$L$138,9,0)</f>
        <v>24591</v>
      </c>
      <c r="P280" s="1573">
        <f>VLOOKUP($A280,satpek!$B$20:$L$138,10,0)</f>
        <v>27787.83</v>
      </c>
      <c r="Q280" s="1571">
        <f t="shared" si="196"/>
        <v>688548</v>
      </c>
      <c r="R280" s="1571">
        <f t="shared" si="197"/>
        <v>778059.24</v>
      </c>
      <c r="S280" s="1574">
        <f t="shared" si="198"/>
        <v>617897.56000000006</v>
      </c>
      <c r="V280" s="1575">
        <v>28</v>
      </c>
      <c r="W280" s="1575">
        <f t="shared" si="199"/>
        <v>0</v>
      </c>
      <c r="X280" s="1465" t="s">
        <v>372</v>
      </c>
      <c r="AC280" s="1465"/>
      <c r="AD280" s="1465"/>
      <c r="AE280" s="1466">
        <v>49482.7</v>
      </c>
      <c r="AF280" s="1579">
        <f t="shared" si="200"/>
        <v>-372.90000000000146</v>
      </c>
    </row>
    <row r="281" spans="1:32" ht="21.95" customHeight="1" x14ac:dyDescent="0.2">
      <c r="A281" s="1462">
        <f>satpek!B95</f>
        <v>76</v>
      </c>
      <c r="B281" s="1567">
        <f t="shared" si="201"/>
        <v>10</v>
      </c>
      <c r="C281" s="1557"/>
      <c r="D281" s="1568" t="str">
        <f>VLOOKUP($A281,satpek!$B$20:$N$144,2,0)</f>
        <v>Memasang saklar tunggal</v>
      </c>
      <c r="E281" s="1568"/>
      <c r="F281" s="1580"/>
      <c r="G281" s="1453">
        <f>'[3]B.VOL RAB'!Q616</f>
        <v>11</v>
      </c>
      <c r="H281" s="788" t="str">
        <f>VLOOKUP($A281,satpek!$B$20:$N$144,7,0)</f>
        <v>bh</v>
      </c>
      <c r="I281" s="1569" t="str">
        <f>VLOOKUP($A281,satpek!$B$20:$N$144,5,0)</f>
        <v>An. Dihitung</v>
      </c>
      <c r="J281" s="1570">
        <f>VLOOKUP($A281,satpek!$B$20:$N$144,6,0)</f>
        <v>41826.949999999997</v>
      </c>
      <c r="K281" s="1558"/>
      <c r="L281" s="1571">
        <f t="shared" si="195"/>
        <v>460096.45</v>
      </c>
      <c r="M281" s="1617"/>
      <c r="N281" s="1572">
        <f>VLOOKUP($A281,satpek!$B$20:$L$138,8,0)</f>
        <v>0.5819465081723626</v>
      </c>
      <c r="O281" s="1573">
        <f>VLOOKUP($A281,satpek!$B$20:$L$138,9,0)</f>
        <v>21540.75</v>
      </c>
      <c r="P281" s="1573">
        <f>VLOOKUP($A281,satpek!$B$20:$L$138,10,0)</f>
        <v>24341.047500000001</v>
      </c>
      <c r="Q281" s="1571">
        <f t="shared" si="196"/>
        <v>236948.25</v>
      </c>
      <c r="R281" s="1571">
        <f t="shared" si="197"/>
        <v>267751.52250000002</v>
      </c>
      <c r="S281" s="1574">
        <f t="shared" si="198"/>
        <v>192344.92749999999</v>
      </c>
      <c r="V281" s="1575">
        <v>11</v>
      </c>
      <c r="W281" s="1575">
        <f t="shared" si="199"/>
        <v>0</v>
      </c>
      <c r="X281" s="1465" t="s">
        <v>373</v>
      </c>
      <c r="AC281" s="1465"/>
      <c r="AD281" s="1465"/>
      <c r="AE281" s="1466">
        <v>41454.050000000003</v>
      </c>
      <c r="AF281" s="1579">
        <f t="shared" si="200"/>
        <v>-372.89999999999418</v>
      </c>
    </row>
    <row r="282" spans="1:32" ht="21.95" customHeight="1" x14ac:dyDescent="0.2">
      <c r="A282" s="1462">
        <f>satpek!B96</f>
        <v>77</v>
      </c>
      <c r="B282" s="1567">
        <f t="shared" si="201"/>
        <v>11</v>
      </c>
      <c r="C282" s="1557"/>
      <c r="D282" s="1568" t="str">
        <f>VLOOKUP($A282,satpek!$B$20:$N$144,2,0)</f>
        <v>Memasang stop kontak</v>
      </c>
      <c r="E282" s="1568"/>
      <c r="F282" s="1580"/>
      <c r="G282" s="1453">
        <f>'[3]B.VOL RAB'!Q617</f>
        <v>42</v>
      </c>
      <c r="H282" s="788" t="str">
        <f>VLOOKUP($A282,satpek!$B$20:$N$144,7,0)</f>
        <v>bh</v>
      </c>
      <c r="I282" s="1569" t="str">
        <f>VLOOKUP($A282,satpek!$B$20:$N$144,5,0)</f>
        <v>An. Dihitung</v>
      </c>
      <c r="J282" s="1570">
        <f>VLOOKUP($A282,satpek!$B$20:$N$144,6,0)</f>
        <v>37730.699999999997</v>
      </c>
      <c r="K282" s="1558"/>
      <c r="L282" s="1571">
        <f t="shared" si="195"/>
        <v>1584689.4</v>
      </c>
      <c r="M282" s="1617"/>
      <c r="N282" s="1572">
        <f>VLOOKUP($A282,satpek!$B$20:$L$138,8,0)</f>
        <v>0.59851752021563343</v>
      </c>
      <c r="O282" s="1573">
        <f>VLOOKUP($A282,satpek!$B$20:$L$138,9,0)</f>
        <v>19984.5</v>
      </c>
      <c r="P282" s="1573">
        <f>VLOOKUP($A282,satpek!$B$20:$L$138,10,0)</f>
        <v>22582.485000000001</v>
      </c>
      <c r="Q282" s="1571">
        <f t="shared" si="196"/>
        <v>839349</v>
      </c>
      <c r="R282" s="1571">
        <f t="shared" si="197"/>
        <v>948464.37</v>
      </c>
      <c r="S282" s="1574">
        <f t="shared" si="198"/>
        <v>636225.02999999991</v>
      </c>
      <c r="V282" s="1575">
        <v>42</v>
      </c>
      <c r="W282" s="1575">
        <f t="shared" si="199"/>
        <v>0</v>
      </c>
      <c r="X282" s="1465" t="s">
        <v>374</v>
      </c>
      <c r="AC282" s="1465"/>
      <c r="AD282" s="1465"/>
      <c r="AE282" s="1466">
        <v>37357.800000000003</v>
      </c>
      <c r="AF282" s="1579">
        <f t="shared" si="200"/>
        <v>-372.89999999999418</v>
      </c>
    </row>
    <row r="283" spans="1:32" ht="21.95" customHeight="1" x14ac:dyDescent="0.2">
      <c r="A283" s="1462">
        <f>satpek!B97</f>
        <v>78</v>
      </c>
      <c r="B283" s="1567">
        <f t="shared" si="201"/>
        <v>12</v>
      </c>
      <c r="C283" s="1557"/>
      <c r="D283" s="1568" t="str">
        <f>VLOOKUP($A283,satpek!$B$20:$N$144,2,0)</f>
        <v xml:space="preserve">Memasang stop kontak AC </v>
      </c>
      <c r="E283" s="1568"/>
      <c r="F283" s="1580"/>
      <c r="G283" s="1453">
        <f>'[3]B.VOL RAB'!Q618</f>
        <v>13</v>
      </c>
      <c r="H283" s="788" t="str">
        <f>VLOOKUP($A283,satpek!$B$20:$N$144,7,0)</f>
        <v>bh</v>
      </c>
      <c r="I283" s="1569" t="str">
        <f>VLOOKUP($A283,satpek!$B$20:$N$144,5,0)</f>
        <v>An. Dihitung</v>
      </c>
      <c r="J283" s="1570">
        <f>VLOOKUP($A283,satpek!$B$20:$N$144,6,0)</f>
        <v>115836.3</v>
      </c>
      <c r="K283" s="1558"/>
      <c r="L283" s="1571">
        <f t="shared" si="195"/>
        <v>1505871.9</v>
      </c>
      <c r="M283" s="1617"/>
      <c r="N283" s="1572">
        <f>VLOOKUP($A283,satpek!$B$20:$L$138,8,0)</f>
        <v>0.46296458882060287</v>
      </c>
      <c r="O283" s="1573">
        <f>VLOOKUP($A283,satpek!$B$20:$L$138,9,0)</f>
        <v>47458.5</v>
      </c>
      <c r="P283" s="1573">
        <f>VLOOKUP($A283,satpek!$B$20:$L$138,10,0)</f>
        <v>53628.105000000003</v>
      </c>
      <c r="Q283" s="1571">
        <f t="shared" si="196"/>
        <v>616960.5</v>
      </c>
      <c r="R283" s="1571">
        <f t="shared" si="197"/>
        <v>697165.36499999999</v>
      </c>
      <c r="S283" s="1574">
        <f t="shared" si="198"/>
        <v>808706.53499999992</v>
      </c>
      <c r="V283" s="1575">
        <v>13</v>
      </c>
      <c r="W283" s="1575">
        <f t="shared" si="199"/>
        <v>0</v>
      </c>
      <c r="X283" s="1465" t="s">
        <v>1877</v>
      </c>
      <c r="AC283" s="1465"/>
      <c r="AD283" s="1465"/>
      <c r="AE283" s="1466">
        <v>115463.4</v>
      </c>
      <c r="AF283" s="1579">
        <f t="shared" si="200"/>
        <v>-372.90000000000873</v>
      </c>
    </row>
    <row r="284" spans="1:32" ht="21.95" customHeight="1" x14ac:dyDescent="0.2">
      <c r="A284" s="1462">
        <f>satpek!$B$98</f>
        <v>79</v>
      </c>
      <c r="B284" s="1567">
        <f t="shared" si="201"/>
        <v>13</v>
      </c>
      <c r="C284" s="1557"/>
      <c r="D284" s="1568" t="str">
        <f>VLOOKUP($A284,satpek!$B$20:$N$144,2,0)</f>
        <v>Memasang stop kontak outlet Telephone</v>
      </c>
      <c r="E284" s="1568"/>
      <c r="F284" s="1580"/>
      <c r="G284" s="1453">
        <f>'[3]B.VOL RAB'!Q619</f>
        <v>6</v>
      </c>
      <c r="H284" s="788" t="str">
        <f>VLOOKUP($A284,satpek!$B$20:$N$144,7,0)</f>
        <v>bh</v>
      </c>
      <c r="I284" s="1569" t="str">
        <f>VLOOKUP($A284,satpek!$B$20:$N$144,5,0)</f>
        <v>An. Dihitung</v>
      </c>
      <c r="J284" s="1570">
        <f>VLOOKUP($A284,satpek!$B$20:$N$144,6,0)</f>
        <v>82122.75</v>
      </c>
      <c r="K284" s="1558"/>
      <c r="L284" s="1571">
        <f t="shared" si="195"/>
        <v>492736.5</v>
      </c>
      <c r="M284" s="1617"/>
      <c r="N284" s="1572">
        <f>VLOOKUP($A284,satpek!$B$20:$L$138,8,0)</f>
        <v>0.48653250773993806</v>
      </c>
      <c r="O284" s="1573">
        <f>VLOOKUP($A284,satpek!$B$20:$L$138,9,0)</f>
        <v>35358.75</v>
      </c>
      <c r="P284" s="1573">
        <f>VLOOKUP($A284,satpek!$B$20:$L$138,10,0)</f>
        <v>39955.387499999997</v>
      </c>
      <c r="Q284" s="1571">
        <f t="shared" si="196"/>
        <v>212152.5</v>
      </c>
      <c r="R284" s="1571">
        <f t="shared" si="197"/>
        <v>239732.32499999998</v>
      </c>
      <c r="S284" s="1574">
        <f t="shared" si="198"/>
        <v>253004.17500000002</v>
      </c>
      <c r="V284" s="1575">
        <v>6</v>
      </c>
      <c r="W284" s="1575">
        <f t="shared" si="199"/>
        <v>0</v>
      </c>
      <c r="X284" s="1465" t="s">
        <v>1878</v>
      </c>
      <c r="AC284" s="1465"/>
      <c r="AD284" s="1465"/>
      <c r="AE284" s="1466">
        <v>81749.850000000006</v>
      </c>
      <c r="AF284" s="1579">
        <f t="shared" si="200"/>
        <v>-372.89999999999418</v>
      </c>
    </row>
    <row r="285" spans="1:32" ht="21.95" customHeight="1" x14ac:dyDescent="0.2">
      <c r="A285" s="1462">
        <f>satpek!$B$99</f>
        <v>80</v>
      </c>
      <c r="B285" s="1567">
        <f t="shared" si="201"/>
        <v>14</v>
      </c>
      <c r="C285" s="1557"/>
      <c r="D285" s="1568" t="s">
        <v>1879</v>
      </c>
      <c r="E285" s="1568"/>
      <c r="F285" s="1580"/>
      <c r="G285" s="1453">
        <f>'[3]B.VOL RAB'!Q620</f>
        <v>12</v>
      </c>
      <c r="H285" s="788" t="str">
        <f>VLOOKUP($A285,satpek!$B$20:$N$144,7,0)</f>
        <v>bh</v>
      </c>
      <c r="I285" s="1569" t="str">
        <f>VLOOKUP($A285,satpek!$B$20:$N$144,5,0)</f>
        <v>An. Dihitung</v>
      </c>
      <c r="J285" s="1570">
        <f>VLOOKUP($A285,satpek!$B$20:$N$144,6,0)</f>
        <v>136278</v>
      </c>
      <c r="K285" s="1558"/>
      <c r="L285" s="1571">
        <f t="shared" si="195"/>
        <v>1635336</v>
      </c>
      <c r="M285" s="1617"/>
      <c r="N285" s="1572">
        <f>VLOOKUP($A285,satpek!$B$20:$L$138,8,0)</f>
        <v>0.45435323383084575</v>
      </c>
      <c r="O285" s="1573">
        <f>VLOOKUP($A285,satpek!$B$20:$L$138,9,0)</f>
        <v>54795</v>
      </c>
      <c r="P285" s="1573">
        <f>VLOOKUP($A285,satpek!$B$20:$L$138,10,0)</f>
        <v>61918.35</v>
      </c>
      <c r="Q285" s="1571">
        <f t="shared" si="196"/>
        <v>657540</v>
      </c>
      <c r="R285" s="1571">
        <f t="shared" si="197"/>
        <v>743020.2</v>
      </c>
      <c r="S285" s="1574">
        <f t="shared" si="198"/>
        <v>892315.8</v>
      </c>
      <c r="V285" s="1575">
        <v>12</v>
      </c>
      <c r="W285" s="1575">
        <f t="shared" si="199"/>
        <v>0</v>
      </c>
      <c r="X285" s="1465" t="s">
        <v>1879</v>
      </c>
      <c r="AC285" s="1465"/>
      <c r="AD285" s="1465"/>
      <c r="AE285" s="1466">
        <v>135905.1</v>
      </c>
      <c r="AF285" s="1579">
        <f t="shared" si="200"/>
        <v>-372.89999999999418</v>
      </c>
    </row>
    <row r="286" spans="1:32" ht="21.95" customHeight="1" x14ac:dyDescent="0.2">
      <c r="A286" s="1462">
        <f>satpek!B100</f>
        <v>81</v>
      </c>
      <c r="B286" s="1567">
        <f t="shared" si="201"/>
        <v>15</v>
      </c>
      <c r="C286" s="1557"/>
      <c r="D286" s="1568" t="str">
        <f>VLOOKUP($A286,satpek!$B$20:$N$144,2,0)</f>
        <v>Memasang downlight LED 10 watt tipe inbow</v>
      </c>
      <c r="E286" s="1568"/>
      <c r="F286" s="1580"/>
      <c r="G286" s="1453">
        <f>'[3]B.VOL RAB'!Q621</f>
        <v>12</v>
      </c>
      <c r="H286" s="788" t="str">
        <f>VLOOKUP($A286,satpek!$B$20:$N$144,7,0)</f>
        <v>ttk</v>
      </c>
      <c r="I286" s="1569" t="str">
        <f>VLOOKUP($A286,satpek!$B$20:$N$144,5,0)</f>
        <v>An. Dihitung</v>
      </c>
      <c r="J286" s="1570">
        <f>VLOOKUP($A286,satpek!$B$20:$N$144,6,0)</f>
        <v>124333.9</v>
      </c>
      <c r="K286" s="1558"/>
      <c r="L286" s="1571">
        <f t="shared" si="195"/>
        <v>1492006.8</v>
      </c>
      <c r="M286" s="1617"/>
      <c r="N286" s="1572">
        <f>VLOOKUP($A286,satpek!$B$20:$L$138,8,0)</f>
        <v>0.71568663091884033</v>
      </c>
      <c r="O286" s="1573">
        <f>VLOOKUP($A286,satpek!$B$20:$L$138,9,0)</f>
        <v>78747</v>
      </c>
      <c r="P286" s="1573">
        <f>VLOOKUP($A286,satpek!$B$20:$L$138,10,0)</f>
        <v>88984.11</v>
      </c>
      <c r="Q286" s="1571">
        <f t="shared" si="196"/>
        <v>944964</v>
      </c>
      <c r="R286" s="1571">
        <f t="shared" si="197"/>
        <v>1067809.32</v>
      </c>
      <c r="S286" s="1574">
        <f t="shared" si="198"/>
        <v>424197.48</v>
      </c>
      <c r="V286" s="1575">
        <v>12</v>
      </c>
      <c r="W286" s="1575">
        <f t="shared" si="199"/>
        <v>0</v>
      </c>
      <c r="X286" s="1465" t="s">
        <v>1880</v>
      </c>
      <c r="AC286" s="1465"/>
      <c r="AD286" s="1465"/>
      <c r="AE286" s="1466">
        <v>123237.8</v>
      </c>
      <c r="AF286" s="1579">
        <f t="shared" si="200"/>
        <v>-1096.0999999999913</v>
      </c>
    </row>
    <row r="287" spans="1:32" ht="21.95" customHeight="1" x14ac:dyDescent="0.2">
      <c r="A287" s="1462">
        <f>satpek!B101</f>
        <v>82</v>
      </c>
      <c r="B287" s="1567">
        <f t="shared" si="201"/>
        <v>16</v>
      </c>
      <c r="C287" s="1557"/>
      <c r="D287" s="1568" t="str">
        <f>VLOOKUP($A287,satpek!$B$20:$N$144,2,0)</f>
        <v>Memasang downlight LED 17 watt tipe inbow</v>
      </c>
      <c r="E287" s="1568"/>
      <c r="F287" s="1580"/>
      <c r="G287" s="1453">
        <f>'[3]B.VOL RAB'!Q622</f>
        <v>122</v>
      </c>
      <c r="H287" s="788" t="str">
        <f>VLOOKUP($A287,satpek!$B$20:$N$144,7,0)</f>
        <v>ttk</v>
      </c>
      <c r="I287" s="1569" t="str">
        <f>VLOOKUP($A287,satpek!$B$20:$N$144,5,0)</f>
        <v>An. Dihitung</v>
      </c>
      <c r="J287" s="1570">
        <f>VLOOKUP($A287,satpek!$B$20:$N$144,6,0)</f>
        <v>186709.9</v>
      </c>
      <c r="K287" s="1558"/>
      <c r="L287" s="1571">
        <f t="shared" si="195"/>
        <v>22778607.800000001</v>
      </c>
      <c r="M287" s="1617"/>
      <c r="N287" s="1572">
        <f>VLOOKUP($A287,satpek!$B$20:$L$138,8,0)</f>
        <v>0.68084367245657573</v>
      </c>
      <c r="O287" s="1573">
        <f>VLOOKUP($A287,satpek!$B$20:$L$138,9,0)</f>
        <v>112495.8</v>
      </c>
      <c r="P287" s="1573">
        <f>VLOOKUP($A287,satpek!$B$20:$L$138,10,0)</f>
        <v>127120.254</v>
      </c>
      <c r="Q287" s="1571">
        <f t="shared" si="196"/>
        <v>13724487.6</v>
      </c>
      <c r="R287" s="1571">
        <f t="shared" si="197"/>
        <v>15508670.988</v>
      </c>
      <c r="S287" s="1574">
        <f t="shared" si="198"/>
        <v>7269936.8120000008</v>
      </c>
      <c r="V287" s="1575">
        <v>122</v>
      </c>
      <c r="W287" s="1575">
        <f t="shared" si="199"/>
        <v>0</v>
      </c>
      <c r="X287" s="1465" t="s">
        <v>1881</v>
      </c>
      <c r="AC287" s="1465"/>
      <c r="AD287" s="1465"/>
      <c r="AE287" s="1466">
        <v>185613.8</v>
      </c>
      <c r="AF287" s="1579">
        <f t="shared" si="200"/>
        <v>-1096.1000000000058</v>
      </c>
    </row>
    <row r="288" spans="1:32" ht="21.95" customHeight="1" x14ac:dyDescent="0.2">
      <c r="A288" s="1462">
        <f>satpek!B102</f>
        <v>83</v>
      </c>
      <c r="B288" s="1567">
        <f t="shared" si="201"/>
        <v>17</v>
      </c>
      <c r="C288" s="1557"/>
      <c r="D288" s="1568" t="str">
        <f>VLOOKUP($A288,satpek!$B$20:$N$144,2,0)</f>
        <v>Memasang downlight LED 17 watt tipe outbow</v>
      </c>
      <c r="E288" s="1568"/>
      <c r="F288" s="1580"/>
      <c r="G288" s="1453">
        <f>'[3]B.VOL RAB'!Q623</f>
        <v>8</v>
      </c>
      <c r="H288" s="788" t="str">
        <f>VLOOKUP($A288,satpek!$B$20:$N$144,7,0)</f>
        <v>ttk</v>
      </c>
      <c r="I288" s="1569" t="str">
        <f>VLOOKUP($A288,satpek!$B$20:$N$144,5,0)</f>
        <v>An. Dihitung</v>
      </c>
      <c r="J288" s="1570">
        <f>VLOOKUP($A288,satpek!$B$20:$N$144,6,0)</f>
        <v>118457.9</v>
      </c>
      <c r="K288" s="1558"/>
      <c r="L288" s="1571">
        <f t="shared" si="195"/>
        <v>947663.2</v>
      </c>
      <c r="M288" s="1617"/>
      <c r="N288" s="1572">
        <f>VLOOKUP($A288,satpek!$B$20:$L$138,8,0)</f>
        <v>0.67070304302203565</v>
      </c>
      <c r="O288" s="1573">
        <f>VLOOKUP($A288,satpek!$B$20:$L$138,9,0)</f>
        <v>70309.8</v>
      </c>
      <c r="P288" s="1573">
        <f>VLOOKUP($A288,satpek!$B$20:$L$138,10,0)</f>
        <v>79450.074000000008</v>
      </c>
      <c r="Q288" s="1571">
        <f t="shared" si="196"/>
        <v>562478.4</v>
      </c>
      <c r="R288" s="1571">
        <f t="shared" si="197"/>
        <v>635600.59200000006</v>
      </c>
      <c r="S288" s="1574">
        <f t="shared" si="198"/>
        <v>312062.60799999989</v>
      </c>
      <c r="V288" s="1575">
        <v>8</v>
      </c>
      <c r="W288" s="1575">
        <f t="shared" si="199"/>
        <v>0</v>
      </c>
      <c r="X288" s="1465" t="s">
        <v>1882</v>
      </c>
      <c r="AC288" s="1465"/>
      <c r="AD288" s="1465"/>
      <c r="AE288" s="1466">
        <v>117361.8</v>
      </c>
      <c r="AF288" s="1579">
        <f t="shared" si="200"/>
        <v>-1096.0999999999913</v>
      </c>
    </row>
    <row r="289" spans="1:32" ht="21.95" customHeight="1" x14ac:dyDescent="0.2">
      <c r="A289" s="1462">
        <f>satpek!B103</f>
        <v>84</v>
      </c>
      <c r="B289" s="1567">
        <f t="shared" si="201"/>
        <v>18</v>
      </c>
      <c r="C289" s="1557"/>
      <c r="D289" s="1568" t="s">
        <v>1883</v>
      </c>
      <c r="E289" s="1568"/>
      <c r="F289" s="1580"/>
      <c r="G289" s="1453">
        <f>'[3]B.VOL RAB'!Q624</f>
        <v>55</v>
      </c>
      <c r="H289" s="788" t="str">
        <f>VLOOKUP($A289,satpek!$B$20:$N$144,7,0)</f>
        <v>m'</v>
      </c>
      <c r="I289" s="1569" t="str">
        <f>VLOOKUP($A289,satpek!$B$20:$N$144,5,0)</f>
        <v>An. Dihitung</v>
      </c>
      <c r="J289" s="1570">
        <f>VLOOKUP($A289,satpek!$B$20:$N$144,6,0)</f>
        <v>274370.78000000003</v>
      </c>
      <c r="K289" s="1558"/>
      <c r="L289" s="1571">
        <f t="shared" si="195"/>
        <v>15090392.9</v>
      </c>
      <c r="M289" s="1617"/>
      <c r="N289" s="1572">
        <f>VLOOKUP($A289,satpek!$B$20:$L$138,8,0)</f>
        <v>0.80899051094289265</v>
      </c>
      <c r="O289" s="1573">
        <f>VLOOKUP($A289,satpek!$B$20:$L$138,9,0)</f>
        <v>196427.75</v>
      </c>
      <c r="P289" s="1573">
        <f>VLOOKUP($A289,satpek!$B$20:$L$138,10,0)</f>
        <v>221963.35750000001</v>
      </c>
      <c r="Q289" s="1571">
        <f t="shared" si="196"/>
        <v>10803526.25</v>
      </c>
      <c r="R289" s="1571">
        <f t="shared" si="197"/>
        <v>12207984.662500001</v>
      </c>
      <c r="S289" s="1574">
        <f t="shared" si="198"/>
        <v>2882408.2374999989</v>
      </c>
      <c r="V289" s="1575">
        <v>55</v>
      </c>
      <c r="W289" s="1575">
        <f t="shared" si="199"/>
        <v>0</v>
      </c>
      <c r="X289" s="1465" t="s">
        <v>1883</v>
      </c>
      <c r="AC289" s="1465"/>
      <c r="AD289" s="1465"/>
      <c r="AE289" s="1466">
        <v>286212.05</v>
      </c>
      <c r="AF289" s="1579">
        <f t="shared" si="200"/>
        <v>11841.26999999996</v>
      </c>
    </row>
    <row r="290" spans="1:32" ht="21.95" customHeight="1" x14ac:dyDescent="0.2">
      <c r="A290" s="1462">
        <f>satpek!B129</f>
        <v>104</v>
      </c>
      <c r="B290" s="1567">
        <f t="shared" si="201"/>
        <v>19</v>
      </c>
      <c r="C290" s="1557"/>
      <c r="D290" s="1568" t="str">
        <f>VLOOKUP($A290,satpek!$B$20:$N$144,2,0)</f>
        <v>Memasang Unit AC 1 PK</v>
      </c>
      <c r="E290" s="1568"/>
      <c r="F290" s="1580"/>
      <c r="G290" s="1453">
        <f>'[3]B.VOL RAB'!Q625</f>
        <v>13</v>
      </c>
      <c r="H290" s="788" t="str">
        <f>VLOOKUP($A290,satpek!$B$20:$N$144,7,0)</f>
        <v>unit</v>
      </c>
      <c r="I290" s="1569" t="str">
        <f>VLOOKUP($A290,satpek!$B$20:$N$144,5,0)</f>
        <v>Daftar harga</v>
      </c>
      <c r="J290" s="1570">
        <f>VLOOKUP($A290,satpek!$B$20:$N$144,6,0)</f>
        <v>4950000</v>
      </c>
      <c r="K290" s="1558"/>
      <c r="L290" s="1571">
        <f t="shared" si="195"/>
        <v>64350000</v>
      </c>
      <c r="M290" s="1617"/>
      <c r="N290" s="1572">
        <f>VLOOKUP($A290,satpek!$B$20:$L$138,8,0)</f>
        <v>0.1082</v>
      </c>
      <c r="O290" s="1573">
        <f>VLOOKUP($A290,satpek!$B$20:$L$138,9,0)</f>
        <v>0</v>
      </c>
      <c r="P290" s="1573">
        <f>VLOOKUP($A290,satpek!$B$20:$L$138,10,0)</f>
        <v>535590</v>
      </c>
      <c r="Q290" s="1571">
        <f t="shared" si="196"/>
        <v>0</v>
      </c>
      <c r="R290" s="1571">
        <f t="shared" si="197"/>
        <v>6962670</v>
      </c>
      <c r="S290" s="1574">
        <f t="shared" si="198"/>
        <v>57387330</v>
      </c>
      <c r="V290" s="1575">
        <v>13</v>
      </c>
      <c r="W290" s="1575">
        <f t="shared" si="199"/>
        <v>0</v>
      </c>
      <c r="X290" s="1465" t="s">
        <v>1884</v>
      </c>
      <c r="AC290" s="1465"/>
      <c r="AD290" s="1465"/>
      <c r="AE290" s="1466">
        <v>4950000</v>
      </c>
      <c r="AF290" s="1579">
        <f t="shared" si="200"/>
        <v>0</v>
      </c>
    </row>
    <row r="291" spans="1:32" ht="21.95" customHeight="1" x14ac:dyDescent="0.2">
      <c r="A291" s="1462">
        <f>satpek!B117</f>
        <v>98</v>
      </c>
      <c r="B291" s="1567">
        <f t="shared" si="201"/>
        <v>20</v>
      </c>
      <c r="C291" s="1557"/>
      <c r="D291" s="1568" t="str">
        <f>VLOOKUP($A291,satpek!$B$20:$N$144,2,0)</f>
        <v>Panel uk 50x70x25 lengkap dengan asesoris 3 phase</v>
      </c>
      <c r="E291" s="1568"/>
      <c r="F291" s="1580"/>
      <c r="G291" s="1453">
        <f>'[3]B.VOL RAB'!Q626</f>
        <v>1</v>
      </c>
      <c r="H291" s="788" t="str">
        <f>VLOOKUP($A291,satpek!$B$20:$N$144,7,0)</f>
        <v>unit</v>
      </c>
      <c r="I291" s="1569" t="str">
        <f>VLOOKUP($A291,satpek!$B$20:$N$144,5,0)</f>
        <v>Daftar harga</v>
      </c>
      <c r="J291" s="1570">
        <f>VLOOKUP($A291,satpek!$B$20:$N$144,6,0)</f>
        <v>5000000</v>
      </c>
      <c r="K291" s="1558"/>
      <c r="L291" s="1571">
        <f t="shared" si="195"/>
        <v>5000000</v>
      </c>
      <c r="M291" s="1617"/>
      <c r="N291" s="1572">
        <f>VLOOKUP($A291,satpek!$B$20:$L$138,8,0)</f>
        <v>0.3</v>
      </c>
      <c r="O291" s="1573">
        <f>VLOOKUP($A291,satpek!$B$20:$L$138,9,0)</f>
        <v>0</v>
      </c>
      <c r="P291" s="1573">
        <f>VLOOKUP($A291,satpek!$B$20:$L$138,10,0)</f>
        <v>1500000</v>
      </c>
      <c r="Q291" s="1571">
        <f t="shared" si="196"/>
        <v>0</v>
      </c>
      <c r="R291" s="1571">
        <f t="shared" si="197"/>
        <v>1500000</v>
      </c>
      <c r="S291" s="1574">
        <f t="shared" si="198"/>
        <v>3500000</v>
      </c>
      <c r="V291" s="1575">
        <v>1</v>
      </c>
      <c r="W291" s="1575">
        <f t="shared" si="199"/>
        <v>0</v>
      </c>
      <c r="X291" s="1465" t="s">
        <v>1885</v>
      </c>
      <c r="AC291" s="1465"/>
      <c r="AD291" s="1465"/>
      <c r="AE291" s="1466">
        <v>5000000</v>
      </c>
      <c r="AF291" s="1579">
        <f t="shared" si="200"/>
        <v>0</v>
      </c>
    </row>
    <row r="292" spans="1:32" ht="21.95" customHeight="1" x14ac:dyDescent="0.2">
      <c r="A292" s="1462">
        <f>satpek!B104</f>
        <v>85</v>
      </c>
      <c r="B292" s="1567">
        <f t="shared" si="201"/>
        <v>21</v>
      </c>
      <c r="C292" s="1557"/>
      <c r="D292" s="1568" t="str">
        <f>VLOOKUP($A292,satpek!$B$20:$N$144,2,0)</f>
        <v>Memasang Exhaust fan</v>
      </c>
      <c r="E292" s="1568"/>
      <c r="F292" s="1580"/>
      <c r="G292" s="1453">
        <f>'[3]B.VOL RAB'!Q627</f>
        <v>10</v>
      </c>
      <c r="H292" s="788" t="str">
        <f>VLOOKUP($A292,satpek!$B$20:$N$144,7,0)</f>
        <v>bh</v>
      </c>
      <c r="I292" s="1569" t="str">
        <f>VLOOKUP($A292,satpek!$B$20:$N$144,5,0)</f>
        <v>An. Dihitung</v>
      </c>
      <c r="J292" s="1570">
        <f>VLOOKUP($A292,satpek!$B$20:$N$144,6,0)</f>
        <v>556977</v>
      </c>
      <c r="K292" s="1558"/>
      <c r="L292" s="1571">
        <f t="shared" si="195"/>
        <v>5569770</v>
      </c>
      <c r="M292" s="1617"/>
      <c r="N292" s="1572">
        <f>VLOOKUP($A292,satpek!$B$20:$L$138,8,0)</f>
        <v>0.11594643944004869</v>
      </c>
      <c r="O292" s="1573">
        <f>VLOOKUP($A292,satpek!$B$20:$L$138,9,0)</f>
        <v>57150</v>
      </c>
      <c r="P292" s="1573">
        <f>VLOOKUP($A292,satpek!$B$20:$L$138,10,0)</f>
        <v>64579.5</v>
      </c>
      <c r="Q292" s="1571">
        <f t="shared" si="196"/>
        <v>571500</v>
      </c>
      <c r="R292" s="1571">
        <f t="shared" si="197"/>
        <v>645795</v>
      </c>
      <c r="S292" s="1574">
        <f t="shared" si="198"/>
        <v>4923975</v>
      </c>
      <c r="V292" s="1575">
        <v>10</v>
      </c>
      <c r="W292" s="1575">
        <f t="shared" si="199"/>
        <v>0</v>
      </c>
      <c r="X292" s="1465" t="s">
        <v>1886</v>
      </c>
      <c r="AC292" s="1465"/>
      <c r="AD292" s="1465"/>
      <c r="AE292" s="1466">
        <v>556604.1</v>
      </c>
      <c r="AF292" s="1579">
        <f t="shared" si="200"/>
        <v>-372.90000000002328</v>
      </c>
    </row>
    <row r="293" spans="1:32" ht="21.95" customHeight="1" x14ac:dyDescent="0.2">
      <c r="B293" s="1567"/>
      <c r="C293" s="1658"/>
      <c r="D293" s="1656"/>
      <c r="E293" s="1656"/>
      <c r="F293" s="1659"/>
      <c r="G293" s="1453"/>
      <c r="H293" s="1711"/>
      <c r="I293" s="1712"/>
      <c r="J293" s="1610"/>
      <c r="K293" s="1660"/>
      <c r="L293" s="1713"/>
      <c r="M293" s="1610"/>
      <c r="N293" s="1714"/>
      <c r="O293" s="1715"/>
      <c r="P293" s="1715"/>
      <c r="Q293" s="1712"/>
      <c r="R293" s="1716"/>
      <c r="S293" s="1717"/>
      <c r="V293" s="1575"/>
      <c r="W293" s="1575">
        <f t="shared" si="199"/>
        <v>0</v>
      </c>
      <c r="AC293" s="1465"/>
      <c r="AD293" s="1465"/>
      <c r="AE293" s="1466"/>
      <c r="AF293" s="1579">
        <f t="shared" si="200"/>
        <v>0</v>
      </c>
    </row>
    <row r="294" spans="1:32" ht="21.95" customHeight="1" x14ac:dyDescent="0.2">
      <c r="B294" s="1549"/>
      <c r="C294" s="1603"/>
      <c r="D294" s="1604" t="s">
        <v>1786</v>
      </c>
      <c r="E294" s="1605"/>
      <c r="F294" s="1606"/>
      <c r="G294" s="1453"/>
      <c r="H294" s="1608"/>
      <c r="I294" s="1609"/>
      <c r="J294" s="1610"/>
      <c r="K294" s="1611"/>
      <c r="L294" s="1612"/>
      <c r="M294" s="1610"/>
      <c r="N294" s="1613"/>
      <c r="O294" s="1614"/>
      <c r="P294" s="1614"/>
      <c r="Q294" s="1609"/>
      <c r="R294" s="1615"/>
      <c r="S294" s="1616"/>
      <c r="V294" s="1575"/>
      <c r="W294" s="1575">
        <f t="shared" si="199"/>
        <v>0</v>
      </c>
      <c r="X294" s="1465" t="s">
        <v>1786</v>
      </c>
      <c r="AB294" s="1465"/>
      <c r="AC294" s="1465"/>
      <c r="AD294" s="1465"/>
      <c r="AE294" s="1466"/>
      <c r="AF294" s="1579">
        <f t="shared" si="200"/>
        <v>0</v>
      </c>
    </row>
    <row r="295" spans="1:32" ht="21.95" customHeight="1" x14ac:dyDescent="0.2">
      <c r="A295" s="1462">
        <f>satpek!B86</f>
        <v>67</v>
      </c>
      <c r="B295" s="1567">
        <v>1</v>
      </c>
      <c r="C295" s="1557"/>
      <c r="D295" s="1568" t="s">
        <v>1887</v>
      </c>
      <c r="E295" s="1568"/>
      <c r="F295" s="1580"/>
      <c r="G295" s="1453">
        <f>'[3]B.VOL RAB'!Q631</f>
        <v>7.6</v>
      </c>
      <c r="H295" s="788" t="str">
        <f>VLOOKUP($A295,satpek!$B$20:$N$144,7,0)</f>
        <v>ttk</v>
      </c>
      <c r="I295" s="1569" t="str">
        <f>VLOOKUP($A295,satpek!$B$20:$N$144,5,0)</f>
        <v>An. Dihitung</v>
      </c>
      <c r="J295" s="1570">
        <f>VLOOKUP($A295,satpek!$B$20:$N$144,6,0)</f>
        <v>490227.9</v>
      </c>
      <c r="K295" s="1558"/>
      <c r="L295" s="1571">
        <f t="shared" ref="L295:L314" si="202">ROUND((G295*J295),2)</f>
        <v>3725732.04</v>
      </c>
      <c r="M295" s="1617"/>
      <c r="N295" s="1572">
        <f>VLOOKUP($A295,satpek!$B$20:$L$138,8,0)</f>
        <v>0.87737132056335432</v>
      </c>
      <c r="O295" s="1573">
        <f>VLOOKUP($A295,satpek!$B$20:$L$138,9,0)</f>
        <v>380630</v>
      </c>
      <c r="P295" s="1573">
        <f>VLOOKUP($A295,satpek!$B$20:$L$138,10,0)</f>
        <v>430111.9</v>
      </c>
      <c r="Q295" s="1571">
        <f t="shared" ref="Q295:Q314" si="203">O295*G295</f>
        <v>2892788</v>
      </c>
      <c r="R295" s="1571">
        <f t="shared" ref="R295:R314" si="204">P295*G295</f>
        <v>3268850.44</v>
      </c>
      <c r="S295" s="1574">
        <f t="shared" ref="S295:S314" si="205">L295-R295</f>
        <v>456881.60000000009</v>
      </c>
      <c r="V295" s="1575">
        <v>7.6</v>
      </c>
      <c r="W295" s="1575">
        <f t="shared" si="199"/>
        <v>0</v>
      </c>
      <c r="X295" s="1465" t="s">
        <v>1887</v>
      </c>
      <c r="AB295" s="1465"/>
      <c r="AC295" s="1465"/>
      <c r="AD295" s="1465"/>
      <c r="AE295" s="1466">
        <v>167950.77</v>
      </c>
      <c r="AF295" s="1579">
        <f t="shared" si="200"/>
        <v>-322277.13</v>
      </c>
    </row>
    <row r="296" spans="1:32" ht="21.95" customHeight="1" x14ac:dyDescent="0.2">
      <c r="A296" s="1462">
        <f>satpek!B89</f>
        <v>70</v>
      </c>
      <c r="B296" s="1567">
        <f t="shared" ref="B296:B314" si="206">B295+1</f>
        <v>2</v>
      </c>
      <c r="C296" s="1557"/>
      <c r="D296" s="1568" t="str">
        <f>VLOOKUP($A296,satpek!$B$20:$N$144,2,0)</f>
        <v>Memasang instalasi titik lampu (kabel 2x1,5 mm) tanpa fitting</v>
      </c>
      <c r="E296" s="1568"/>
      <c r="F296" s="1580"/>
      <c r="G296" s="1453">
        <f>'[3]B.VOL RAB'!Q632</f>
        <v>12</v>
      </c>
      <c r="H296" s="788" t="str">
        <f>VLOOKUP($A296,satpek!$B$20:$N$144,7,0)</f>
        <v>ttk</v>
      </c>
      <c r="I296" s="1569" t="str">
        <f>VLOOKUP($A296,satpek!$B$20:$N$144,5,0)</f>
        <v>An. Dihitung</v>
      </c>
      <c r="J296" s="1570">
        <f>VLOOKUP($A296,satpek!$B$20:$N$144,6,0)</f>
        <v>115332.32</v>
      </c>
      <c r="K296" s="1558"/>
      <c r="L296" s="1571">
        <f t="shared" si="202"/>
        <v>1383987.84</v>
      </c>
      <c r="M296" s="1617"/>
      <c r="N296" s="1572">
        <f>VLOOKUP($A296,satpek!$B$20:$L$138,8,0)</f>
        <v>0.80012051261953288</v>
      </c>
      <c r="O296" s="1573">
        <f>VLOOKUP($A296,satpek!$B$20:$L$138,9,0)</f>
        <v>81663.5</v>
      </c>
      <c r="P296" s="1573">
        <f>VLOOKUP($A296,satpek!$B$20:$L$138,10,0)</f>
        <v>92279.755000000005</v>
      </c>
      <c r="Q296" s="1571">
        <f t="shared" si="203"/>
        <v>979962</v>
      </c>
      <c r="R296" s="1571">
        <f t="shared" si="204"/>
        <v>1107357.06</v>
      </c>
      <c r="S296" s="1574">
        <f t="shared" si="205"/>
        <v>276630.78000000003</v>
      </c>
      <c r="V296" s="1575">
        <v>12</v>
      </c>
      <c r="W296" s="1575">
        <f t="shared" si="199"/>
        <v>0</v>
      </c>
      <c r="X296" s="1465" t="s">
        <v>1917</v>
      </c>
      <c r="AB296" s="1465"/>
      <c r="AC296" s="1465"/>
      <c r="AD296" s="1465"/>
      <c r="AE296" s="1466">
        <v>215790.45</v>
      </c>
      <c r="AF296" s="1579">
        <f t="shared" si="200"/>
        <v>100458.13</v>
      </c>
    </row>
    <row r="297" spans="1:32" ht="21.95" customHeight="1" x14ac:dyDescent="0.2">
      <c r="A297" s="1462">
        <f>satpek!B91</f>
        <v>72</v>
      </c>
      <c r="B297" s="1567">
        <f t="shared" si="206"/>
        <v>3</v>
      </c>
      <c r="C297" s="1557"/>
      <c r="D297" s="1568" t="str">
        <f>VLOOKUP($A297,satpek!$B$20:$N$144,2,0)</f>
        <v>Memasang Instalasi titik stop kontak (kabel 3x2,5 mm)</v>
      </c>
      <c r="E297" s="1568"/>
      <c r="F297" s="1580"/>
      <c r="G297" s="1453">
        <f>'[3]B.VOL RAB'!Q633</f>
        <v>42</v>
      </c>
      <c r="H297" s="788" t="str">
        <f>VLOOKUP($A297,satpek!$B$20:$N$144,7,0)</f>
        <v>ttk</v>
      </c>
      <c r="I297" s="1569" t="str">
        <f>VLOOKUP($A297,satpek!$B$20:$N$144,5,0)</f>
        <v>An. Dihitung</v>
      </c>
      <c r="J297" s="1570">
        <f>VLOOKUP($A297,satpek!$B$20:$N$144,6,0)</f>
        <v>145842.32</v>
      </c>
      <c r="K297" s="1558"/>
      <c r="L297" s="1571">
        <f t="shared" si="202"/>
        <v>6125377.4400000004</v>
      </c>
      <c r="M297" s="1617"/>
      <c r="N297" s="1572">
        <f>VLOOKUP($A297,satpek!$B$20:$L$138,8,0)</f>
        <v>0.8179817764829852</v>
      </c>
      <c r="O297" s="1573">
        <f>VLOOKUP($A297,satpek!$B$20:$L$138,9,0)</f>
        <v>105572</v>
      </c>
      <c r="P297" s="1573">
        <f>VLOOKUP($A297,satpek!$B$20:$L$138,10,0)</f>
        <v>119296.36</v>
      </c>
      <c r="Q297" s="1571">
        <f t="shared" si="203"/>
        <v>4434024</v>
      </c>
      <c r="R297" s="1571">
        <f t="shared" si="204"/>
        <v>5010447.12</v>
      </c>
      <c r="S297" s="1574">
        <f t="shared" si="205"/>
        <v>1114930.3200000003</v>
      </c>
      <c r="V297" s="1575">
        <v>42</v>
      </c>
      <c r="W297" s="1575">
        <f t="shared" si="199"/>
        <v>0</v>
      </c>
      <c r="X297" s="1465" t="s">
        <v>1918</v>
      </c>
      <c r="AC297" s="1465"/>
      <c r="AD297" s="1465"/>
      <c r="AE297" s="1466">
        <v>249351.45</v>
      </c>
      <c r="AF297" s="1579">
        <f t="shared" si="200"/>
        <v>103509.13</v>
      </c>
    </row>
    <row r="298" spans="1:32" ht="21.95" customHeight="1" x14ac:dyDescent="0.2">
      <c r="A298" s="1462">
        <f>A297</f>
        <v>72</v>
      </c>
      <c r="B298" s="1567">
        <f t="shared" si="206"/>
        <v>4</v>
      </c>
      <c r="C298" s="1557"/>
      <c r="D298" s="1568" t="s">
        <v>1874</v>
      </c>
      <c r="E298" s="1568"/>
      <c r="F298" s="1580"/>
      <c r="G298" s="1453">
        <f>'[3]B.VOL RAB'!Q634</f>
        <v>12</v>
      </c>
      <c r="H298" s="788" t="str">
        <f>VLOOKUP($A298,satpek!$B$20:$N$144,7,0)</f>
        <v>ttk</v>
      </c>
      <c r="I298" s="1569" t="str">
        <f>VLOOKUP($A298,satpek!$B$20:$N$144,5,0)</f>
        <v>An. Dihitung</v>
      </c>
      <c r="J298" s="1570">
        <f>VLOOKUP($A298,satpek!$B$20:$N$144,6,0)</f>
        <v>145842.32</v>
      </c>
      <c r="K298" s="1558"/>
      <c r="L298" s="1571">
        <f t="shared" si="202"/>
        <v>1750107.84</v>
      </c>
      <c r="M298" s="1617"/>
      <c r="N298" s="1572">
        <f>VLOOKUP($A298,satpek!$B$20:$L$138,8,0)</f>
        <v>0.8179817764829852</v>
      </c>
      <c r="O298" s="1573">
        <f>VLOOKUP($A298,satpek!$B$20:$L$138,9,0)</f>
        <v>105572</v>
      </c>
      <c r="P298" s="1573">
        <f>VLOOKUP($A298,satpek!$B$20:$L$138,10,0)</f>
        <v>119296.36</v>
      </c>
      <c r="Q298" s="1571">
        <f t="shared" si="203"/>
        <v>1266864</v>
      </c>
      <c r="R298" s="1571">
        <f t="shared" si="204"/>
        <v>1431556.32</v>
      </c>
      <c r="S298" s="1574">
        <f t="shared" si="205"/>
        <v>318551.52</v>
      </c>
      <c r="V298" s="1575">
        <v>12</v>
      </c>
      <c r="W298" s="1575">
        <f t="shared" si="199"/>
        <v>0</v>
      </c>
      <c r="X298" s="1465" t="s">
        <v>1874</v>
      </c>
      <c r="AC298" s="1465"/>
      <c r="AD298" s="1465"/>
      <c r="AE298" s="1466">
        <v>249351.45</v>
      </c>
      <c r="AF298" s="1579">
        <f t="shared" si="200"/>
        <v>103509.13</v>
      </c>
    </row>
    <row r="299" spans="1:32" ht="21.95" customHeight="1" x14ac:dyDescent="0.2">
      <c r="A299" s="1462">
        <f>satpek!B92</f>
        <v>73</v>
      </c>
      <c r="B299" s="1567">
        <f t="shared" si="206"/>
        <v>5</v>
      </c>
      <c r="C299" s="1557"/>
      <c r="D299" s="1568" t="str">
        <f>VLOOKUP($A299,satpek!$B$20:$N$144,2,0)</f>
        <v>Instalasi titik Telephone 2 pair</v>
      </c>
      <c r="E299" s="1568"/>
      <c r="F299" s="1580"/>
      <c r="G299" s="1453">
        <f>'[3]B.VOL RAB'!Q637</f>
        <v>28</v>
      </c>
      <c r="H299" s="788" t="str">
        <f>VLOOKUP($A299,satpek!$B$20:$N$144,7,0)</f>
        <v>ttk</v>
      </c>
      <c r="I299" s="1569" t="str">
        <f>VLOOKUP($A299,satpek!$B$20:$N$144,5,0)</f>
        <v>An. Dihitung</v>
      </c>
      <c r="J299" s="1570">
        <f>VLOOKUP($A299,satpek!$B$20:$N$144,6,0)</f>
        <v>93371.9</v>
      </c>
      <c r="K299" s="1558"/>
      <c r="L299" s="1571">
        <f t="shared" si="202"/>
        <v>2614413.2000000002</v>
      </c>
      <c r="M299" s="1617"/>
      <c r="N299" s="1572">
        <f>VLOOKUP($A299,satpek!$B$20:$L$138,8,0)</f>
        <v>0.9071039574004599</v>
      </c>
      <c r="O299" s="1573">
        <f>VLOOKUP($A299,satpek!$B$20:$L$138,9,0)</f>
        <v>74954</v>
      </c>
      <c r="P299" s="1573">
        <f>VLOOKUP($A299,satpek!$B$20:$L$138,10,0)</f>
        <v>84698.02</v>
      </c>
      <c r="Q299" s="1571">
        <f t="shared" si="203"/>
        <v>2098712</v>
      </c>
      <c r="R299" s="1571">
        <f t="shared" si="204"/>
        <v>2371544.56</v>
      </c>
      <c r="S299" s="1574">
        <f t="shared" si="205"/>
        <v>242868.64000000013</v>
      </c>
      <c r="V299" s="1575">
        <v>28</v>
      </c>
      <c r="W299" s="1575">
        <f t="shared" si="199"/>
        <v>0</v>
      </c>
      <c r="X299" s="1465" t="s">
        <v>1875</v>
      </c>
      <c r="AC299" s="1465"/>
      <c r="AD299" s="1465"/>
      <c r="AE299" s="1466">
        <v>92208</v>
      </c>
      <c r="AF299" s="1579">
        <f t="shared" si="200"/>
        <v>-1163.8999999999942</v>
      </c>
    </row>
    <row r="300" spans="1:32" ht="21.95" customHeight="1" x14ac:dyDescent="0.2">
      <c r="A300" s="1462">
        <f>A279</f>
        <v>74</v>
      </c>
      <c r="B300" s="1567">
        <f t="shared" si="206"/>
        <v>6</v>
      </c>
      <c r="C300" s="1557"/>
      <c r="D300" s="1568" t="str">
        <f>VLOOKUP($A300,satpek!$B$20:$N$144,2,0)</f>
        <v>Instalasi titik Data CAT 6</v>
      </c>
      <c r="E300" s="1568"/>
      <c r="F300" s="1580"/>
      <c r="G300" s="1453">
        <f>'[3]B.VOL RAB'!Q638</f>
        <v>12</v>
      </c>
      <c r="H300" s="788" t="str">
        <f>VLOOKUP($A300,satpek!$B$20:$N$144,7,0)</f>
        <v>ttk</v>
      </c>
      <c r="I300" s="1569" t="str">
        <f>VLOOKUP($A300,satpek!$B$20:$N$144,5,0)</f>
        <v>An. Dihitung</v>
      </c>
      <c r="J300" s="1570">
        <f>VLOOKUP($A300,satpek!$B$20:$N$144,6,0)</f>
        <v>140437.33000000002</v>
      </c>
      <c r="K300" s="1558"/>
      <c r="L300" s="1571">
        <f t="shared" si="202"/>
        <v>1685247.96</v>
      </c>
      <c r="M300" s="1617"/>
      <c r="N300" s="1572">
        <f>VLOOKUP($A300,satpek!$B$20:$L$138,8,0)</f>
        <v>0.88809056240536555</v>
      </c>
      <c r="O300" s="1573">
        <f>VLOOKUP($A300,satpek!$B$20:$L$138,9,0)</f>
        <v>110372.62333</v>
      </c>
      <c r="P300" s="1573">
        <f>VLOOKUP($A300,satpek!$B$20:$L$138,10,0)</f>
        <v>124721.0643629</v>
      </c>
      <c r="Q300" s="1571">
        <f t="shared" si="203"/>
        <v>1324471.4799600001</v>
      </c>
      <c r="R300" s="1571">
        <f t="shared" si="204"/>
        <v>1496652.7723548</v>
      </c>
      <c r="S300" s="1574">
        <f t="shared" si="205"/>
        <v>188595.18764519994</v>
      </c>
      <c r="V300" s="1575">
        <v>12</v>
      </c>
      <c r="W300" s="1575">
        <f t="shared" si="199"/>
        <v>0</v>
      </c>
      <c r="X300" s="1465" t="s">
        <v>1876</v>
      </c>
      <c r="AC300" s="1465"/>
      <c r="AD300" s="1465"/>
      <c r="AE300" s="1466">
        <v>139273.43</v>
      </c>
      <c r="AF300" s="1579">
        <f t="shared" si="200"/>
        <v>-1163.9000000000233</v>
      </c>
    </row>
    <row r="301" spans="1:32" ht="21.95" customHeight="1" x14ac:dyDescent="0.2">
      <c r="A301" s="1462">
        <f>satpek!B94</f>
        <v>75</v>
      </c>
      <c r="B301" s="1567">
        <f t="shared" si="206"/>
        <v>7</v>
      </c>
      <c r="C301" s="1557"/>
      <c r="D301" s="1568" t="str">
        <f>VLOOKUP($A301,satpek!$B$20:$N$144,2,0)</f>
        <v>Memasang saklar ganda</v>
      </c>
      <c r="E301" s="1568"/>
      <c r="F301" s="1580"/>
      <c r="G301" s="1453">
        <f>'[3]B.VOL RAB'!Q637</f>
        <v>28</v>
      </c>
      <c r="H301" s="788" t="str">
        <f>VLOOKUP($A301,satpek!$B$20:$N$144,7,0)</f>
        <v>bh</v>
      </c>
      <c r="I301" s="1569" t="str">
        <f>VLOOKUP($A301,satpek!$B$20:$N$144,5,0)</f>
        <v>An. Dihitung</v>
      </c>
      <c r="J301" s="1570">
        <f>VLOOKUP($A301,satpek!$B$20:$N$144,6,0)</f>
        <v>49855.6</v>
      </c>
      <c r="K301" s="1558"/>
      <c r="L301" s="1571">
        <f t="shared" si="202"/>
        <v>1395956.8</v>
      </c>
      <c r="M301" s="1617"/>
      <c r="N301" s="1572">
        <f>VLOOKUP($A301,satpek!$B$20:$L$138,8,0)</f>
        <v>0.55736627379873072</v>
      </c>
      <c r="O301" s="1573">
        <f>VLOOKUP($A301,satpek!$B$20:$L$138,9,0)</f>
        <v>24591</v>
      </c>
      <c r="P301" s="1573">
        <f>VLOOKUP($A301,satpek!$B$20:$L$138,10,0)</f>
        <v>27787.83</v>
      </c>
      <c r="Q301" s="1571">
        <f t="shared" si="203"/>
        <v>688548</v>
      </c>
      <c r="R301" s="1571">
        <f t="shared" si="204"/>
        <v>778059.24</v>
      </c>
      <c r="S301" s="1574">
        <f t="shared" si="205"/>
        <v>617897.56000000006</v>
      </c>
      <c r="V301" s="1575">
        <v>28</v>
      </c>
      <c r="W301" s="1575">
        <f t="shared" si="199"/>
        <v>0</v>
      </c>
      <c r="X301" s="1465" t="s">
        <v>372</v>
      </c>
      <c r="AC301" s="1465"/>
      <c r="AD301" s="1465"/>
      <c r="AE301" s="1466">
        <v>49482.7</v>
      </c>
      <c r="AF301" s="1579">
        <f t="shared" si="200"/>
        <v>-372.90000000000146</v>
      </c>
    </row>
    <row r="302" spans="1:32" ht="21.95" customHeight="1" x14ac:dyDescent="0.2">
      <c r="A302" s="1462">
        <f>satpek!B95</f>
        <v>76</v>
      </c>
      <c r="B302" s="1567">
        <f t="shared" si="206"/>
        <v>8</v>
      </c>
      <c r="C302" s="1557"/>
      <c r="D302" s="1568" t="str">
        <f>VLOOKUP($A302,satpek!$B$20:$N$144,2,0)</f>
        <v>Memasang saklar tunggal</v>
      </c>
      <c r="E302" s="1568"/>
      <c r="F302" s="1580"/>
      <c r="G302" s="1453">
        <f>'[3]B.VOL RAB'!Q638</f>
        <v>12</v>
      </c>
      <c r="H302" s="788" t="str">
        <f>VLOOKUP($A302,satpek!$B$20:$N$144,7,0)</f>
        <v>bh</v>
      </c>
      <c r="I302" s="1569" t="str">
        <f>VLOOKUP($A302,satpek!$B$20:$N$144,5,0)</f>
        <v>An. Dihitung</v>
      </c>
      <c r="J302" s="1570">
        <f>VLOOKUP($A302,satpek!$B$20:$N$144,6,0)</f>
        <v>41826.949999999997</v>
      </c>
      <c r="K302" s="1558"/>
      <c r="L302" s="1571">
        <f t="shared" si="202"/>
        <v>501923.4</v>
      </c>
      <c r="M302" s="1617"/>
      <c r="N302" s="1572">
        <f>VLOOKUP($A302,satpek!$B$20:$L$138,8,0)</f>
        <v>0.5819465081723626</v>
      </c>
      <c r="O302" s="1573">
        <f>VLOOKUP($A302,satpek!$B$20:$L$138,9,0)</f>
        <v>21540.75</v>
      </c>
      <c r="P302" s="1573">
        <f>VLOOKUP($A302,satpek!$B$20:$L$138,10,0)</f>
        <v>24341.047500000001</v>
      </c>
      <c r="Q302" s="1571">
        <f t="shared" si="203"/>
        <v>258489</v>
      </c>
      <c r="R302" s="1571">
        <f t="shared" si="204"/>
        <v>292092.57</v>
      </c>
      <c r="S302" s="1574">
        <f t="shared" si="205"/>
        <v>209830.83000000002</v>
      </c>
      <c r="V302" s="1575">
        <v>12</v>
      </c>
      <c r="W302" s="1575">
        <f t="shared" si="199"/>
        <v>0</v>
      </c>
      <c r="X302" s="1465" t="s">
        <v>373</v>
      </c>
      <c r="AC302" s="1465"/>
      <c r="AD302" s="1465"/>
      <c r="AE302" s="1466">
        <v>41454.050000000003</v>
      </c>
      <c r="AF302" s="1579">
        <f t="shared" si="200"/>
        <v>-372.89999999999418</v>
      </c>
    </row>
    <row r="303" spans="1:32" ht="21.95" customHeight="1" x14ac:dyDescent="0.2">
      <c r="A303" s="1462">
        <f>satpek!B96</f>
        <v>77</v>
      </c>
      <c r="B303" s="1567">
        <f t="shared" si="206"/>
        <v>9</v>
      </c>
      <c r="C303" s="1557"/>
      <c r="D303" s="1568" t="str">
        <f>VLOOKUP($A303,satpek!$B$20:$N$144,2,0)</f>
        <v>Memasang stop kontak</v>
      </c>
      <c r="E303" s="1568"/>
      <c r="F303" s="1580"/>
      <c r="G303" s="1453">
        <f>'[3]B.VOL RAB'!Q639</f>
        <v>42</v>
      </c>
      <c r="H303" s="788" t="str">
        <f>VLOOKUP($A303,satpek!$B$20:$N$144,7,0)</f>
        <v>bh</v>
      </c>
      <c r="I303" s="1569" t="str">
        <f>VLOOKUP($A303,satpek!$B$20:$N$144,5,0)</f>
        <v>An. Dihitung</v>
      </c>
      <c r="J303" s="1570">
        <f>VLOOKUP($A303,satpek!$B$20:$N$144,6,0)</f>
        <v>37730.699999999997</v>
      </c>
      <c r="K303" s="1558"/>
      <c r="L303" s="1571">
        <f t="shared" si="202"/>
        <v>1584689.4</v>
      </c>
      <c r="M303" s="1617"/>
      <c r="N303" s="1572">
        <f>VLOOKUP($A303,satpek!$B$20:$L$138,8,0)</f>
        <v>0.59851752021563343</v>
      </c>
      <c r="O303" s="1573">
        <f>VLOOKUP($A303,satpek!$B$20:$L$138,9,0)</f>
        <v>19984.5</v>
      </c>
      <c r="P303" s="1573">
        <f>VLOOKUP($A303,satpek!$B$20:$L$138,10,0)</f>
        <v>22582.485000000001</v>
      </c>
      <c r="Q303" s="1571">
        <f t="shared" si="203"/>
        <v>839349</v>
      </c>
      <c r="R303" s="1571">
        <f t="shared" si="204"/>
        <v>948464.37</v>
      </c>
      <c r="S303" s="1574">
        <f t="shared" si="205"/>
        <v>636225.02999999991</v>
      </c>
      <c r="V303" s="1575">
        <v>42</v>
      </c>
      <c r="W303" s="1575">
        <f t="shared" si="199"/>
        <v>0</v>
      </c>
      <c r="X303" s="1465" t="s">
        <v>374</v>
      </c>
      <c r="AC303" s="1465"/>
      <c r="AD303" s="1465"/>
      <c r="AE303" s="1466">
        <v>37357.800000000003</v>
      </c>
      <c r="AF303" s="1579">
        <f t="shared" si="200"/>
        <v>-372.89999999999418</v>
      </c>
    </row>
    <row r="304" spans="1:32" ht="21.95" customHeight="1" x14ac:dyDescent="0.2">
      <c r="A304" s="1462">
        <f>satpek!B97</f>
        <v>78</v>
      </c>
      <c r="B304" s="1567">
        <f t="shared" si="206"/>
        <v>10</v>
      </c>
      <c r="C304" s="1557"/>
      <c r="D304" s="1568" t="str">
        <f>VLOOKUP($A304,satpek!$B$20:$N$144,2,0)</f>
        <v xml:space="preserve">Memasang stop kontak AC </v>
      </c>
      <c r="E304" s="1568"/>
      <c r="F304" s="1580"/>
      <c r="G304" s="1453">
        <f>'[3]B.VOL RAB'!Q640</f>
        <v>12</v>
      </c>
      <c r="H304" s="788" t="str">
        <f>VLOOKUP($A304,satpek!$B$20:$N$144,7,0)</f>
        <v>bh</v>
      </c>
      <c r="I304" s="1569" t="str">
        <f>VLOOKUP($A304,satpek!$B$20:$N$144,5,0)</f>
        <v>An. Dihitung</v>
      </c>
      <c r="J304" s="1570">
        <f>VLOOKUP($A304,satpek!$B$20:$N$144,6,0)</f>
        <v>115836.3</v>
      </c>
      <c r="K304" s="1558"/>
      <c r="L304" s="1571">
        <f t="shared" si="202"/>
        <v>1390035.6</v>
      </c>
      <c r="M304" s="1617"/>
      <c r="N304" s="1572">
        <f>VLOOKUP($A304,satpek!$B$20:$L$138,8,0)</f>
        <v>0.46296458882060287</v>
      </c>
      <c r="O304" s="1573">
        <f>VLOOKUP($A304,satpek!$B$20:$L$138,9,0)</f>
        <v>47458.5</v>
      </c>
      <c r="P304" s="1573">
        <f>VLOOKUP($A304,satpek!$B$20:$L$138,10,0)</f>
        <v>53628.105000000003</v>
      </c>
      <c r="Q304" s="1571">
        <f t="shared" si="203"/>
        <v>569502</v>
      </c>
      <c r="R304" s="1571">
        <f t="shared" si="204"/>
        <v>643537.26</v>
      </c>
      <c r="S304" s="1574">
        <f t="shared" si="205"/>
        <v>746498.34000000008</v>
      </c>
      <c r="V304" s="1575">
        <v>12</v>
      </c>
      <c r="W304" s="1575">
        <f t="shared" si="199"/>
        <v>0</v>
      </c>
      <c r="X304" s="1465" t="s">
        <v>1877</v>
      </c>
      <c r="AC304" s="1465"/>
      <c r="AD304" s="1465"/>
      <c r="AE304" s="1466">
        <v>115463.4</v>
      </c>
      <c r="AF304" s="1579">
        <f t="shared" si="200"/>
        <v>-372.90000000000873</v>
      </c>
    </row>
    <row r="305" spans="1:32" ht="21.95" customHeight="1" x14ac:dyDescent="0.2">
      <c r="A305" s="1462">
        <f>satpek!$B$98</f>
        <v>79</v>
      </c>
      <c r="B305" s="1567">
        <f t="shared" si="206"/>
        <v>11</v>
      </c>
      <c r="C305" s="1557"/>
      <c r="D305" s="1568" t="str">
        <f>VLOOKUP($A305,satpek!$B$20:$N$144,2,0)</f>
        <v>Memasang stop kontak outlet Telephone</v>
      </c>
      <c r="E305" s="1568"/>
      <c r="F305" s="1580"/>
      <c r="G305" s="1453">
        <f>'[3]B.VOL RAB'!Q641</f>
        <v>4</v>
      </c>
      <c r="H305" s="788" t="str">
        <f>VLOOKUP($A305,satpek!$B$20:$N$144,7,0)</f>
        <v>bh</v>
      </c>
      <c r="I305" s="1569" t="str">
        <f>VLOOKUP($A305,satpek!$B$20:$N$144,5,0)</f>
        <v>An. Dihitung</v>
      </c>
      <c r="J305" s="1570">
        <f>VLOOKUP($A305,satpek!$B$20:$N$144,6,0)</f>
        <v>82122.75</v>
      </c>
      <c r="K305" s="1558"/>
      <c r="L305" s="1571">
        <f t="shared" si="202"/>
        <v>328491</v>
      </c>
      <c r="M305" s="1617"/>
      <c r="N305" s="1572">
        <f>VLOOKUP($A305,satpek!$B$20:$L$138,8,0)</f>
        <v>0.48653250773993806</v>
      </c>
      <c r="O305" s="1573">
        <f>VLOOKUP($A305,satpek!$B$20:$L$138,9,0)</f>
        <v>35358.75</v>
      </c>
      <c r="P305" s="1573">
        <f>VLOOKUP($A305,satpek!$B$20:$L$138,10,0)</f>
        <v>39955.387499999997</v>
      </c>
      <c r="Q305" s="1571">
        <f t="shared" si="203"/>
        <v>141435</v>
      </c>
      <c r="R305" s="1571">
        <f t="shared" si="204"/>
        <v>159821.54999999999</v>
      </c>
      <c r="S305" s="1574">
        <f t="shared" si="205"/>
        <v>168669.45</v>
      </c>
      <c r="V305" s="1575">
        <v>4</v>
      </c>
      <c r="W305" s="1575">
        <f t="shared" si="199"/>
        <v>0</v>
      </c>
      <c r="X305" s="1465" t="s">
        <v>1878</v>
      </c>
      <c r="AC305" s="1465"/>
      <c r="AD305" s="1465"/>
      <c r="AE305" s="1466">
        <v>81749.850000000006</v>
      </c>
      <c r="AF305" s="1579">
        <f t="shared" si="200"/>
        <v>-372.89999999999418</v>
      </c>
    </row>
    <row r="306" spans="1:32" ht="21.95" customHeight="1" x14ac:dyDescent="0.2">
      <c r="A306" s="1462">
        <f>satpek!B99</f>
        <v>80</v>
      </c>
      <c r="B306" s="1567">
        <f t="shared" si="206"/>
        <v>12</v>
      </c>
      <c r="C306" s="1557"/>
      <c r="D306" s="1568" t="str">
        <f>VLOOKUP($A306,satpek!$B$20:$N$144,2,0)</f>
        <v>Memasang stop kontak outlet Data</v>
      </c>
      <c r="E306" s="1568"/>
      <c r="F306" s="1580"/>
      <c r="G306" s="1453">
        <f>'[3]B.VOL RAB'!Q642</f>
        <v>8</v>
      </c>
      <c r="H306" s="788" t="str">
        <f>VLOOKUP($A306,satpek!$B$20:$N$144,7,0)</f>
        <v>bh</v>
      </c>
      <c r="I306" s="1569" t="str">
        <f>VLOOKUP($A306,satpek!$B$20:$N$144,5,0)</f>
        <v>An. Dihitung</v>
      </c>
      <c r="J306" s="1570">
        <f>VLOOKUP($A306,satpek!$B$20:$N$144,6,0)</f>
        <v>136278</v>
      </c>
      <c r="K306" s="1558"/>
      <c r="L306" s="1571">
        <f t="shared" si="202"/>
        <v>1090224</v>
      </c>
      <c r="M306" s="1617"/>
      <c r="N306" s="1572">
        <f>VLOOKUP($A306,satpek!$B$20:$L$138,8,0)</f>
        <v>0.45435323383084575</v>
      </c>
      <c r="O306" s="1573">
        <f>VLOOKUP($A306,satpek!$B$20:$L$138,9,0)</f>
        <v>54795</v>
      </c>
      <c r="P306" s="1573">
        <f>VLOOKUP($A306,satpek!$B$20:$L$138,10,0)</f>
        <v>61918.35</v>
      </c>
      <c r="Q306" s="1571">
        <f t="shared" si="203"/>
        <v>438360</v>
      </c>
      <c r="R306" s="1571">
        <f t="shared" si="204"/>
        <v>495346.8</v>
      </c>
      <c r="S306" s="1574">
        <f t="shared" si="205"/>
        <v>594877.19999999995</v>
      </c>
      <c r="V306" s="1575">
        <v>8</v>
      </c>
      <c r="W306" s="1575">
        <f t="shared" si="199"/>
        <v>0</v>
      </c>
      <c r="X306" s="1465" t="s">
        <v>1879</v>
      </c>
      <c r="AC306" s="1465"/>
      <c r="AD306" s="1465"/>
      <c r="AE306" s="1466">
        <v>135905.1</v>
      </c>
      <c r="AF306" s="1579">
        <f t="shared" si="200"/>
        <v>-372.89999999999418</v>
      </c>
    </row>
    <row r="307" spans="1:32" ht="21.95" customHeight="1" x14ac:dyDescent="0.2">
      <c r="A307" s="1462">
        <f>satpek!B100</f>
        <v>81</v>
      </c>
      <c r="B307" s="1567">
        <f t="shared" si="206"/>
        <v>13</v>
      </c>
      <c r="C307" s="1557"/>
      <c r="D307" s="1568" t="str">
        <f>VLOOKUP($A307,satpek!$B$20:$N$144,2,0)</f>
        <v>Memasang downlight LED 10 watt tipe inbow</v>
      </c>
      <c r="E307" s="1568"/>
      <c r="F307" s="1580"/>
      <c r="G307" s="1453">
        <f>'[3]B.VOL RAB'!Q643</f>
        <v>12</v>
      </c>
      <c r="H307" s="788" t="str">
        <f>VLOOKUP($A307,satpek!$B$20:$N$144,7,0)</f>
        <v>ttk</v>
      </c>
      <c r="I307" s="1569" t="str">
        <f>VLOOKUP($A307,satpek!$B$20:$N$144,5,0)</f>
        <v>An. Dihitung</v>
      </c>
      <c r="J307" s="1570">
        <f>VLOOKUP($A307,satpek!$B$20:$N$144,6,0)</f>
        <v>124333.9</v>
      </c>
      <c r="K307" s="1558"/>
      <c r="L307" s="1571">
        <f t="shared" si="202"/>
        <v>1492006.8</v>
      </c>
      <c r="M307" s="1617"/>
      <c r="N307" s="1572">
        <f>VLOOKUP($A307,satpek!$B$20:$L$138,8,0)</f>
        <v>0.71568663091884033</v>
      </c>
      <c r="O307" s="1573">
        <f>VLOOKUP($A307,satpek!$B$20:$L$138,9,0)</f>
        <v>78747</v>
      </c>
      <c r="P307" s="1573">
        <f>VLOOKUP($A307,satpek!$B$20:$L$138,10,0)</f>
        <v>88984.11</v>
      </c>
      <c r="Q307" s="1571">
        <f t="shared" si="203"/>
        <v>944964</v>
      </c>
      <c r="R307" s="1571">
        <f t="shared" si="204"/>
        <v>1067809.32</v>
      </c>
      <c r="S307" s="1574">
        <f t="shared" si="205"/>
        <v>424197.48</v>
      </c>
      <c r="V307" s="1575">
        <v>12</v>
      </c>
      <c r="W307" s="1575">
        <f t="shared" si="199"/>
        <v>0</v>
      </c>
      <c r="X307" s="1465" t="s">
        <v>1880</v>
      </c>
      <c r="AC307" s="1465"/>
      <c r="AD307" s="1465"/>
      <c r="AE307" s="1466">
        <v>123237.8</v>
      </c>
      <c r="AF307" s="1579">
        <f t="shared" si="200"/>
        <v>-1096.0999999999913</v>
      </c>
    </row>
    <row r="308" spans="1:32" ht="21.95" customHeight="1" x14ac:dyDescent="0.2">
      <c r="A308" s="1462">
        <f>satpek!B101</f>
        <v>82</v>
      </c>
      <c r="B308" s="1567">
        <f t="shared" si="206"/>
        <v>14</v>
      </c>
      <c r="C308" s="1557"/>
      <c r="D308" s="1568" t="str">
        <f>VLOOKUP($A308,satpek!$B$20:$N$144,2,0)</f>
        <v>Memasang downlight LED 17 watt tipe inbow</v>
      </c>
      <c r="E308" s="1568"/>
      <c r="F308" s="1580"/>
      <c r="G308" s="1453">
        <f>'[3]B.VOL RAB'!Q644</f>
        <v>116</v>
      </c>
      <c r="H308" s="788" t="str">
        <f>VLOOKUP($A308,satpek!$B$20:$N$144,7,0)</f>
        <v>ttk</v>
      </c>
      <c r="I308" s="1569" t="str">
        <f>VLOOKUP($A308,satpek!$B$20:$N$144,5,0)</f>
        <v>An. Dihitung</v>
      </c>
      <c r="J308" s="1570">
        <f>VLOOKUP($A308,satpek!$B$20:$N$144,6,0)</f>
        <v>186709.9</v>
      </c>
      <c r="K308" s="1558"/>
      <c r="L308" s="1571">
        <f t="shared" si="202"/>
        <v>21658348.399999999</v>
      </c>
      <c r="M308" s="1617"/>
      <c r="N308" s="1572">
        <f>VLOOKUP($A308,satpek!$B$20:$L$138,8,0)</f>
        <v>0.68084367245657573</v>
      </c>
      <c r="O308" s="1573">
        <f>VLOOKUP($A308,satpek!$B$20:$L$138,9,0)</f>
        <v>112495.8</v>
      </c>
      <c r="P308" s="1573">
        <f>VLOOKUP($A308,satpek!$B$20:$L$138,10,0)</f>
        <v>127120.254</v>
      </c>
      <c r="Q308" s="1571">
        <f t="shared" si="203"/>
        <v>13049512.800000001</v>
      </c>
      <c r="R308" s="1571">
        <f t="shared" si="204"/>
        <v>14745949.464</v>
      </c>
      <c r="S308" s="1574">
        <f t="shared" si="205"/>
        <v>6912398.9359999988</v>
      </c>
      <c r="V308" s="1575">
        <v>116</v>
      </c>
      <c r="W308" s="1575">
        <f t="shared" si="199"/>
        <v>0</v>
      </c>
      <c r="X308" s="1465" t="s">
        <v>1881</v>
      </c>
      <c r="AC308" s="1465"/>
      <c r="AD308" s="1465"/>
      <c r="AE308" s="1466">
        <v>185613.8</v>
      </c>
      <c r="AF308" s="1579">
        <f t="shared" si="200"/>
        <v>-1096.1000000000058</v>
      </c>
    </row>
    <row r="309" spans="1:32" ht="21.95" customHeight="1" x14ac:dyDescent="0.2">
      <c r="A309" s="1462">
        <f>satpek!B103</f>
        <v>84</v>
      </c>
      <c r="B309" s="1567">
        <f t="shared" si="206"/>
        <v>15</v>
      </c>
      <c r="C309" s="1557"/>
      <c r="D309" s="1568" t="str">
        <f>VLOOKUP($A309,satpek!$B$20:$N$144,2,0)</f>
        <v>Memasang kabel tray galvanis</v>
      </c>
      <c r="E309" s="1568"/>
      <c r="F309" s="1580"/>
      <c r="G309" s="1453">
        <f>'[3]B.VOL RAB'!Q645</f>
        <v>55</v>
      </c>
      <c r="H309" s="788" t="str">
        <f>VLOOKUP($A309,satpek!$B$20:$N$144,7,0)</f>
        <v>m'</v>
      </c>
      <c r="I309" s="1569" t="str">
        <f>VLOOKUP($A309,satpek!$B$20:$N$144,5,0)</f>
        <v>An. Dihitung</v>
      </c>
      <c r="J309" s="1570">
        <f>VLOOKUP($A309,satpek!$B$20:$N$144,6,0)</f>
        <v>274370.78000000003</v>
      </c>
      <c r="K309" s="1558"/>
      <c r="L309" s="1571">
        <f t="shared" si="202"/>
        <v>15090392.9</v>
      </c>
      <c r="M309" s="1617"/>
      <c r="N309" s="1572">
        <f>VLOOKUP($A309,satpek!$B$20:$L$138,8,0)</f>
        <v>0.80899051094289265</v>
      </c>
      <c r="O309" s="1573">
        <f>VLOOKUP($A309,satpek!$B$20:$L$138,9,0)</f>
        <v>196427.75</v>
      </c>
      <c r="P309" s="1573">
        <f>VLOOKUP($A309,satpek!$B$20:$L$138,10,0)</f>
        <v>221963.35750000001</v>
      </c>
      <c r="Q309" s="1571">
        <f t="shared" si="203"/>
        <v>10803526.25</v>
      </c>
      <c r="R309" s="1571">
        <f t="shared" si="204"/>
        <v>12207984.662500001</v>
      </c>
      <c r="S309" s="1574">
        <f t="shared" si="205"/>
        <v>2882408.2374999989</v>
      </c>
      <c r="V309" s="1575">
        <v>55</v>
      </c>
      <c r="W309" s="1575">
        <f t="shared" si="199"/>
        <v>0</v>
      </c>
      <c r="X309" s="1465" t="s">
        <v>1883</v>
      </c>
      <c r="AC309" s="1465"/>
      <c r="AD309" s="1465"/>
      <c r="AE309" s="1466">
        <v>286212.05</v>
      </c>
      <c r="AF309" s="1579">
        <f t="shared" si="200"/>
        <v>11841.26999999996</v>
      </c>
    </row>
    <row r="310" spans="1:32" ht="21.95" customHeight="1" x14ac:dyDescent="0.2">
      <c r="A310" s="1462">
        <f>satpek!B104</f>
        <v>85</v>
      </c>
      <c r="B310" s="1567">
        <f t="shared" si="206"/>
        <v>16</v>
      </c>
      <c r="C310" s="1557"/>
      <c r="D310" s="1568" t="str">
        <f>VLOOKUP($A310,satpek!$B$20:$N$144,2,0)</f>
        <v>Memasang Exhaust fan</v>
      </c>
      <c r="E310" s="1568"/>
      <c r="F310" s="1580"/>
      <c r="G310" s="1453">
        <f>'[3]B.VOL RAB'!Q646</f>
        <v>9</v>
      </c>
      <c r="H310" s="788" t="str">
        <f>VLOOKUP($A310,satpek!$B$20:$N$144,7,0)</f>
        <v>bh</v>
      </c>
      <c r="I310" s="1569" t="str">
        <f>VLOOKUP($A310,satpek!$B$20:$N$144,5,0)</f>
        <v>An. Dihitung</v>
      </c>
      <c r="J310" s="1570">
        <f>VLOOKUP($A310,satpek!$B$20:$N$144,6,0)</f>
        <v>556977</v>
      </c>
      <c r="K310" s="1558"/>
      <c r="L310" s="1571">
        <f t="shared" si="202"/>
        <v>5012793</v>
      </c>
      <c r="M310" s="1617"/>
      <c r="N310" s="1572">
        <f>VLOOKUP($A310,satpek!$B$20:$L$138,8,0)</f>
        <v>0.11594643944004869</v>
      </c>
      <c r="O310" s="1573">
        <f>VLOOKUP($A310,satpek!$B$20:$L$138,9,0)</f>
        <v>57150</v>
      </c>
      <c r="P310" s="1573">
        <f>VLOOKUP($A310,satpek!$B$20:$L$138,10,0)</f>
        <v>64579.5</v>
      </c>
      <c r="Q310" s="1571">
        <f t="shared" si="203"/>
        <v>514350</v>
      </c>
      <c r="R310" s="1571">
        <f t="shared" si="204"/>
        <v>581215.5</v>
      </c>
      <c r="S310" s="1574">
        <f t="shared" si="205"/>
        <v>4431577.5</v>
      </c>
      <c r="V310" s="1575">
        <v>9</v>
      </c>
      <c r="W310" s="1575">
        <f t="shared" si="199"/>
        <v>0</v>
      </c>
      <c r="X310" s="1465" t="s">
        <v>1886</v>
      </c>
      <c r="AC310" s="1465"/>
      <c r="AD310" s="1465"/>
      <c r="AE310" s="1466">
        <v>556604.1</v>
      </c>
      <c r="AF310" s="1579">
        <f t="shared" si="200"/>
        <v>-372.90000000002328</v>
      </c>
    </row>
    <row r="311" spans="1:32" ht="21.95" customHeight="1" x14ac:dyDescent="0.2">
      <c r="A311" s="1462">
        <f>satpek!B129</f>
        <v>104</v>
      </c>
      <c r="B311" s="1567">
        <f t="shared" si="206"/>
        <v>17</v>
      </c>
      <c r="C311" s="1557"/>
      <c r="D311" s="1568" t="str">
        <f>VLOOKUP($A311,satpek!$B$20:$N$144,2,0)</f>
        <v>Memasang Unit AC 1 PK</v>
      </c>
      <c r="E311" s="1568"/>
      <c r="F311" s="1580"/>
      <c r="G311" s="1453">
        <f>'[3]B.VOL RAB'!Q647</f>
        <v>12</v>
      </c>
      <c r="H311" s="788" t="str">
        <f>VLOOKUP($A311,satpek!$B$20:$N$144,7,0)</f>
        <v>unit</v>
      </c>
      <c r="I311" s="1569" t="str">
        <f>VLOOKUP($A311,satpek!$B$20:$N$144,5,0)</f>
        <v>Daftar harga</v>
      </c>
      <c r="J311" s="1570">
        <f>VLOOKUP($A311,satpek!$B$20:$N$144,6,0)</f>
        <v>4950000</v>
      </c>
      <c r="K311" s="1558"/>
      <c r="L311" s="1571">
        <f t="shared" si="202"/>
        <v>59400000</v>
      </c>
      <c r="M311" s="1617"/>
      <c r="N311" s="1572">
        <f>VLOOKUP($A311,satpek!$B$20:$L$138,8,0)</f>
        <v>0.1082</v>
      </c>
      <c r="O311" s="1573">
        <f>VLOOKUP($A311,satpek!$B$20:$L$138,9,0)</f>
        <v>0</v>
      </c>
      <c r="P311" s="1573">
        <f>VLOOKUP($A311,satpek!$B$20:$L$138,10,0)</f>
        <v>535590</v>
      </c>
      <c r="Q311" s="1571">
        <f t="shared" si="203"/>
        <v>0</v>
      </c>
      <c r="R311" s="1571">
        <f t="shared" si="204"/>
        <v>6427080</v>
      </c>
      <c r="S311" s="1574">
        <f t="shared" si="205"/>
        <v>52972920</v>
      </c>
      <c r="V311" s="1575">
        <v>12</v>
      </c>
      <c r="W311" s="1575">
        <f t="shared" si="199"/>
        <v>0</v>
      </c>
      <c r="X311" s="1465" t="s">
        <v>1884</v>
      </c>
      <c r="AC311" s="1465"/>
      <c r="AD311" s="1465"/>
      <c r="AE311" s="1466">
        <v>4950000</v>
      </c>
      <c r="AF311" s="1579">
        <f t="shared" si="200"/>
        <v>0</v>
      </c>
    </row>
    <row r="312" spans="1:32" ht="21.95" customHeight="1" x14ac:dyDescent="0.2">
      <c r="A312" s="1462">
        <f>satpek!B116</f>
        <v>97</v>
      </c>
      <c r="B312" s="1567">
        <f t="shared" si="206"/>
        <v>18</v>
      </c>
      <c r="C312" s="1557"/>
      <c r="D312" s="1568" t="str">
        <f>VLOOKUP($A312,satpek!$B$20:$N$144,2,0)</f>
        <v>Panel uk 40x60x25 lengkap dengan asesoris 3 phase</v>
      </c>
      <c r="E312" s="1568"/>
      <c r="F312" s="1580"/>
      <c r="G312" s="1453">
        <f>'[3]B.VOL RAB'!Q648</f>
        <v>1</v>
      </c>
      <c r="H312" s="788" t="str">
        <f>VLOOKUP($A312,satpek!$B$20:$N$144,7,0)</f>
        <v>unit</v>
      </c>
      <c r="I312" s="1569" t="str">
        <f>VLOOKUP($A312,satpek!$B$20:$N$144,5,0)</f>
        <v>Daftar harga</v>
      </c>
      <c r="J312" s="1570">
        <f>VLOOKUP($A312,satpek!$B$20:$N$144,6,0)</f>
        <v>4500000</v>
      </c>
      <c r="K312" s="1558"/>
      <c r="L312" s="1571">
        <f t="shared" si="202"/>
        <v>4500000</v>
      </c>
      <c r="M312" s="1617"/>
      <c r="N312" s="1572">
        <f>VLOOKUP($A312,satpek!$B$20:$L$138,8,0)</f>
        <v>0.3</v>
      </c>
      <c r="O312" s="1573">
        <f>VLOOKUP($A312,satpek!$B$20:$L$138,9,0)</f>
        <v>0</v>
      </c>
      <c r="P312" s="1573">
        <f>VLOOKUP($A312,satpek!$B$20:$L$138,10,0)</f>
        <v>1350000</v>
      </c>
      <c r="Q312" s="1571">
        <f t="shared" si="203"/>
        <v>0</v>
      </c>
      <c r="R312" s="1571">
        <f t="shared" si="204"/>
        <v>1350000</v>
      </c>
      <c r="S312" s="1574">
        <f t="shared" si="205"/>
        <v>3150000</v>
      </c>
      <c r="V312" s="1575">
        <v>1</v>
      </c>
      <c r="W312" s="1575">
        <f t="shared" si="199"/>
        <v>0</v>
      </c>
      <c r="X312" s="1465" t="s">
        <v>1888</v>
      </c>
      <c r="AC312" s="1465"/>
      <c r="AD312" s="1465"/>
      <c r="AE312" s="1466">
        <v>5000000</v>
      </c>
      <c r="AF312" s="1579">
        <f t="shared" si="200"/>
        <v>500000</v>
      </c>
    </row>
    <row r="313" spans="1:32" ht="21.95" customHeight="1" x14ac:dyDescent="0.2">
      <c r="A313" s="1462">
        <f>satpek!B130</f>
        <v>105</v>
      </c>
      <c r="B313" s="1567">
        <f t="shared" si="206"/>
        <v>19</v>
      </c>
      <c r="C313" s="1557"/>
      <c r="D313" s="1568" t="str">
        <f>VLOOKUP($A313,satpek!$B$20:$N$144,2,0)</f>
        <v>Pasang instalasi penangkal petir 1 split lengkap</v>
      </c>
      <c r="E313" s="1568"/>
      <c r="F313" s="1580"/>
      <c r="G313" s="1453">
        <f>'[3]B.VOL RAB'!Q649</f>
        <v>1</v>
      </c>
      <c r="H313" s="788" t="str">
        <f>VLOOKUP($A313,satpek!$B$20:$N$144,7,0)</f>
        <v>unit</v>
      </c>
      <c r="I313" s="1569" t="str">
        <f>VLOOKUP($A313,satpek!$B$20:$N$144,5,0)</f>
        <v>Daftar harga</v>
      </c>
      <c r="J313" s="1570">
        <f>VLOOKUP($A313,satpek!$B$20:$N$144,6,0)</f>
        <v>8200000</v>
      </c>
      <c r="K313" s="1558"/>
      <c r="L313" s="1571">
        <f t="shared" si="202"/>
        <v>8200000</v>
      </c>
      <c r="M313" s="1617"/>
      <c r="N313" s="1572">
        <f>VLOOKUP($A313,satpek!$B$20:$L$138,8,0)</f>
        <v>0.2</v>
      </c>
      <c r="O313" s="1573">
        <f>VLOOKUP($A313,satpek!$B$20:$L$138,9,0)</f>
        <v>0</v>
      </c>
      <c r="P313" s="1573">
        <f>VLOOKUP($A313,satpek!$B$20:$L$138,10,0)</f>
        <v>1640000</v>
      </c>
      <c r="Q313" s="1571">
        <f t="shared" si="203"/>
        <v>0</v>
      </c>
      <c r="R313" s="1571">
        <f t="shared" si="204"/>
        <v>1640000</v>
      </c>
      <c r="S313" s="1574">
        <f t="shared" si="205"/>
        <v>6560000</v>
      </c>
      <c r="V313" s="1575">
        <v>1</v>
      </c>
      <c r="W313" s="1575">
        <f t="shared" si="199"/>
        <v>0</v>
      </c>
      <c r="X313" s="1465" t="s">
        <v>1392</v>
      </c>
      <c r="AC313" s="1465"/>
      <c r="AD313" s="1465"/>
      <c r="AE313" s="1466">
        <v>8600000</v>
      </c>
      <c r="AF313" s="1579">
        <f t="shared" si="200"/>
        <v>400000</v>
      </c>
    </row>
    <row r="314" spans="1:32" ht="21.95" customHeight="1" x14ac:dyDescent="0.2">
      <c r="A314" s="1462">
        <f>satpek!B131</f>
        <v>106</v>
      </c>
      <c r="B314" s="1567">
        <f t="shared" si="206"/>
        <v>20</v>
      </c>
      <c r="C314" s="1582"/>
      <c r="D314" s="1568" t="str">
        <f>VLOOKUP($A314,satpek!$B$20:$N$144,2,0)</f>
        <v>Testing &amp; Comissioning Instalasi Litrik</v>
      </c>
      <c r="E314" s="1583"/>
      <c r="F314" s="1584"/>
      <c r="G314" s="1718">
        <f>'[3]B.VOL RAB'!Q650</f>
        <v>1</v>
      </c>
      <c r="H314" s="788" t="str">
        <f>VLOOKUP($A314,satpek!$B$20:$N$144,7,0)</f>
        <v>lot</v>
      </c>
      <c r="I314" s="1569" t="str">
        <f>VLOOKUP($A314,satpek!$B$20:$N$144,5,0)</f>
        <v>Daftar harga</v>
      </c>
      <c r="J314" s="1570">
        <f>VLOOKUP($A314,satpek!$B$20:$N$144,6,0)</f>
        <v>3100000</v>
      </c>
      <c r="K314" s="1558"/>
      <c r="L314" s="1571">
        <f t="shared" si="202"/>
        <v>3100000</v>
      </c>
      <c r="M314" s="1676"/>
      <c r="N314" s="1572">
        <f>VLOOKUP($A314,satpek!$B$20:$L$138,8,0)</f>
        <v>0.75</v>
      </c>
      <c r="O314" s="1573">
        <f>VLOOKUP($A314,satpek!$B$20:$L$138,9,0)</f>
        <v>0</v>
      </c>
      <c r="P314" s="1573">
        <f>VLOOKUP($A314,satpek!$B$20:$L$138,10,0)</f>
        <v>2325000</v>
      </c>
      <c r="Q314" s="1571">
        <f t="shared" si="203"/>
        <v>0</v>
      </c>
      <c r="R314" s="1571">
        <f t="shared" si="204"/>
        <v>2325000</v>
      </c>
      <c r="S314" s="1574">
        <f t="shared" si="205"/>
        <v>775000</v>
      </c>
      <c r="V314" s="1575">
        <v>1</v>
      </c>
      <c r="W314" s="1575">
        <f t="shared" si="199"/>
        <v>0</v>
      </c>
      <c r="X314" s="1465" t="s">
        <v>1889</v>
      </c>
      <c r="Y314" s="1465">
        <v>0.01</v>
      </c>
      <c r="AA314" s="1668">
        <f>SUM(L273:L312)</f>
        <v>332804575.82000005</v>
      </c>
      <c r="AB314" s="726">
        <f>Y314*AA314</f>
        <v>3328045.7582000005</v>
      </c>
      <c r="AC314" s="1465"/>
      <c r="AD314" s="1465"/>
      <c r="AE314" s="1466">
        <v>3583839.5447</v>
      </c>
      <c r="AF314" s="1579">
        <f t="shared" si="200"/>
        <v>483839.54469999997</v>
      </c>
    </row>
    <row r="315" spans="1:32" ht="21.95" customHeight="1" x14ac:dyDescent="0.2">
      <c r="B315" s="1587"/>
      <c r="C315" s="1588"/>
      <c r="D315" s="1589"/>
      <c r="E315" s="1589"/>
      <c r="F315" s="1590"/>
      <c r="G315" s="807"/>
      <c r="H315" s="1591"/>
      <c r="I315" s="1592"/>
      <c r="J315" s="1593" t="s">
        <v>358</v>
      </c>
      <c r="K315" s="1594"/>
      <c r="L315" s="1719" t="s">
        <v>1891</v>
      </c>
      <c r="M315" s="1720">
        <f>SUM(L268:L315)</f>
        <v>412942575.81999993</v>
      </c>
      <c r="N315" s="1597"/>
      <c r="O315" s="1598"/>
      <c r="P315" s="1598"/>
      <c r="Q315" s="1599"/>
      <c r="R315" s="1600"/>
      <c r="S315" s="1601"/>
      <c r="T315" s="1477">
        <f>[3]HPS!M318</f>
        <v>429967794.01000005</v>
      </c>
      <c r="U315" s="1477">
        <f>M315-T315</f>
        <v>-17025218.190000117</v>
      </c>
      <c r="V315" s="1575"/>
      <c r="W315" s="1575">
        <f t="shared" si="199"/>
        <v>0</v>
      </c>
      <c r="X315" s="883">
        <f>SUM(L270:L312)</f>
        <v>332804575.82000005</v>
      </c>
      <c r="AC315" s="1465"/>
      <c r="AD315" s="1465"/>
      <c r="AE315" s="1721">
        <v>0.01</v>
      </c>
    </row>
    <row r="316" spans="1:32" s="1693" customFormat="1" ht="21.95" customHeight="1" x14ac:dyDescent="0.2">
      <c r="A316" s="1462"/>
      <c r="B316" s="1722"/>
      <c r="C316" s="1723"/>
      <c r="D316" s="1724"/>
      <c r="E316" s="1724"/>
      <c r="F316" s="1724"/>
      <c r="G316" s="1725"/>
      <c r="H316" s="1726"/>
      <c r="I316" s="3532" t="s">
        <v>1892</v>
      </c>
      <c r="J316" s="3532"/>
      <c r="K316" s="3532"/>
      <c r="L316" s="3533"/>
      <c r="M316" s="1727">
        <f>SUM(M16:M315)</f>
        <v>5084442779.4199991</v>
      </c>
      <c r="N316" s="1728"/>
      <c r="O316" s="1729"/>
      <c r="P316" s="1729"/>
      <c r="Q316" s="1729"/>
      <c r="R316" s="1730"/>
      <c r="S316" s="1731"/>
      <c r="T316" s="1477">
        <f>[3]HPS!M319</f>
        <v>5130852639.9899988</v>
      </c>
      <c r="U316" s="1477">
        <f>M316-T316</f>
        <v>-46409860.569999695</v>
      </c>
      <c r="V316" s="1575"/>
      <c r="W316" s="1575">
        <f t="shared" si="199"/>
        <v>0</v>
      </c>
      <c r="X316" s="1732"/>
      <c r="AA316" s="1694"/>
      <c r="AB316" s="1694"/>
      <c r="AC316" s="1694"/>
      <c r="AD316" s="1694"/>
      <c r="AE316" s="1466">
        <f>AE315*X315</f>
        <v>3328045.7582000005</v>
      </c>
    </row>
    <row r="317" spans="1:32" s="1546" customFormat="1" ht="32.1" customHeight="1" x14ac:dyDescent="0.2">
      <c r="A317" s="1532"/>
      <c r="B317" s="1733" t="s">
        <v>547</v>
      </c>
      <c r="C317" s="1534"/>
      <c r="D317" s="1734" t="s">
        <v>1998</v>
      </c>
      <c r="E317" s="1534"/>
      <c r="F317" s="1536"/>
      <c r="G317" s="1537"/>
      <c r="H317" s="1534"/>
      <c r="I317" s="1538"/>
      <c r="J317" s="1537"/>
      <c r="K317" s="1539"/>
      <c r="L317" s="1536"/>
      <c r="M317" s="1540"/>
      <c r="N317" s="1735"/>
      <c r="O317" s="1736"/>
      <c r="P317" s="1736"/>
      <c r="Q317" s="1736"/>
      <c r="R317" s="1737"/>
      <c r="S317" s="1738"/>
      <c r="T317" s="1477"/>
      <c r="U317" s="1477"/>
      <c r="V317" s="1575"/>
      <c r="W317" s="1575">
        <f t="shared" si="199"/>
        <v>0</v>
      </c>
      <c r="AB317" s="1547"/>
      <c r="AC317" s="1547"/>
      <c r="AD317" s="1547"/>
      <c r="AE317" s="1548"/>
    </row>
    <row r="318" spans="1:32" s="1693" customFormat="1" ht="21.95" customHeight="1" x14ac:dyDescent="0.2">
      <c r="A318" s="1462"/>
      <c r="B318" s="1739" t="s">
        <v>1760</v>
      </c>
      <c r="C318" s="1740"/>
      <c r="D318" s="1741" t="s">
        <v>1893</v>
      </c>
      <c r="E318" s="1742"/>
      <c r="F318" s="1742"/>
      <c r="G318" s="1743"/>
      <c r="H318" s="1744"/>
      <c r="I318" s="1745"/>
      <c r="J318" s="1746"/>
      <c r="K318" s="1747"/>
      <c r="L318" s="1748"/>
      <c r="M318" s="1749"/>
      <c r="N318" s="1750"/>
      <c r="O318" s="1751"/>
      <c r="P318" s="1751"/>
      <c r="Q318" s="1751"/>
      <c r="R318" s="1752"/>
      <c r="S318" s="1753"/>
      <c r="T318" s="1477"/>
      <c r="U318" s="1477"/>
      <c r="V318" s="1575"/>
      <c r="W318" s="1575">
        <f t="shared" si="199"/>
        <v>0</v>
      </c>
      <c r="X318" s="1732" t="s">
        <v>1893</v>
      </c>
      <c r="AA318" s="1694"/>
      <c r="AB318" s="1694"/>
      <c r="AC318" s="1694"/>
      <c r="AD318" s="1694"/>
      <c r="AE318" s="1466"/>
    </row>
    <row r="319" spans="1:32" s="1576" customFormat="1" ht="21.95" customHeight="1" x14ac:dyDescent="0.2">
      <c r="A319" s="1566">
        <f>satpek!B105</f>
        <v>86</v>
      </c>
      <c r="B319" s="1754">
        <v>1</v>
      </c>
      <c r="C319" s="1755"/>
      <c r="D319" s="1568" t="str">
        <f>VLOOKUP($A319,satpek!$B$20:$N$144,2,0)</f>
        <v>Memasang paving tb. 8 cm, K.250, polos</v>
      </c>
      <c r="E319" s="1756"/>
      <c r="F319" s="1757"/>
      <c r="G319" s="1758">
        <v>852</v>
      </c>
      <c r="H319" s="788" t="str">
        <f>VLOOKUP($A319,satpek!$B$20:$N$144,7,0)</f>
        <v>m2</v>
      </c>
      <c r="I319" s="1569" t="str">
        <f>VLOOKUP($A319,satpek!$B$20:$N$144,5,0)</f>
        <v>An. Dihitung</v>
      </c>
      <c r="J319" s="1570">
        <f>VLOOKUP($A319,satpek!$B$20:$N$144,6,0)</f>
        <v>206637.45</v>
      </c>
      <c r="K319" s="1558"/>
      <c r="L319" s="1571">
        <f t="shared" ref="L319:L320" si="207">ROUND((G319*J319),2)</f>
        <v>176055107.40000001</v>
      </c>
      <c r="M319" s="1757"/>
      <c r="N319" s="1572">
        <f>VLOOKUP($A319,satpek!$B$20:$L$138,8,0)</f>
        <v>1</v>
      </c>
      <c r="O319" s="1573">
        <f>VLOOKUP($A319,satpek!$B$20:$L$138,9,0)</f>
        <v>182865</v>
      </c>
      <c r="P319" s="1573">
        <f>VLOOKUP($A319,satpek!$B$20:$L$138,10,0)</f>
        <v>206637.45</v>
      </c>
      <c r="Q319" s="1759">
        <f t="shared" ref="Q319:Q320" si="208">O319*G319</f>
        <v>155800980</v>
      </c>
      <c r="R319" s="1571">
        <f t="shared" ref="R319:R320" si="209">P319*G319</f>
        <v>176055107.40000001</v>
      </c>
      <c r="S319" s="1574">
        <f t="shared" ref="S319:S320" si="210">L319-R319</f>
        <v>0</v>
      </c>
      <c r="T319" s="1477">
        <f>47*4.2</f>
        <v>197.4</v>
      </c>
      <c r="U319" s="1477"/>
      <c r="V319" s="1575">
        <v>856</v>
      </c>
      <c r="W319" s="1575">
        <f t="shared" si="199"/>
        <v>4</v>
      </c>
      <c r="X319" s="1576" t="s">
        <v>234</v>
      </c>
      <c r="AE319" s="1666">
        <v>204546.95</v>
      </c>
      <c r="AF319" s="1579">
        <f t="shared" ref="AF319:AF320" si="211">AE319-J319</f>
        <v>-2090.5</v>
      </c>
    </row>
    <row r="320" spans="1:32" s="1576" customFormat="1" ht="21.95" customHeight="1" x14ac:dyDescent="0.2">
      <c r="A320" s="1566">
        <f>satpek!B29</f>
        <v>10</v>
      </c>
      <c r="B320" s="1754">
        <v>2</v>
      </c>
      <c r="C320" s="1755"/>
      <c r="D320" s="1568" t="str">
        <f>VLOOKUP($A320,satpek!$B$20:$N$144,2,0)</f>
        <v>Mengurug pasir urug</v>
      </c>
      <c r="E320" s="1756"/>
      <c r="F320" s="1757"/>
      <c r="G320" s="1758">
        <f>G319*0.07</f>
        <v>59.640000000000008</v>
      </c>
      <c r="H320" s="788" t="str">
        <f>VLOOKUP($A320,satpek!$B$20:$N$144,7,0)</f>
        <v>m3</v>
      </c>
      <c r="I320" s="1569" t="str">
        <f>VLOOKUP($A320,satpek!$B$20:$N$144,5,0)</f>
        <v>A.2.3.1.11.</v>
      </c>
      <c r="J320" s="1570">
        <f>VLOOKUP($A320,satpek!$B$20:$N$144,6,0)</f>
        <v>251978.7</v>
      </c>
      <c r="K320" s="1558"/>
      <c r="L320" s="1571">
        <f t="shared" si="207"/>
        <v>15028009.67</v>
      </c>
      <c r="M320" s="1757"/>
      <c r="N320" s="1572">
        <f>VLOOKUP($A320,satpek!$B$20:$L$138,8,0)</f>
        <v>1</v>
      </c>
      <c r="O320" s="1573">
        <f>VLOOKUP($A320,satpek!$B$20:$L$138,9,0)</f>
        <v>222990</v>
      </c>
      <c r="P320" s="1573">
        <f>VLOOKUP($A320,satpek!$B$20:$L$138,10,0)</f>
        <v>251978.7</v>
      </c>
      <c r="Q320" s="1759">
        <f t="shared" si="208"/>
        <v>13299123.600000001</v>
      </c>
      <c r="R320" s="1571">
        <f t="shared" si="209"/>
        <v>15028009.668000003</v>
      </c>
      <c r="S320" s="1574">
        <f t="shared" si="210"/>
        <v>1.9999966025352478E-3</v>
      </c>
      <c r="T320" s="1477"/>
      <c r="U320" s="1477"/>
      <c r="V320" s="1575">
        <v>59.920000000000009</v>
      </c>
      <c r="W320" s="1575">
        <f t="shared" si="199"/>
        <v>0.28000000000000114</v>
      </c>
      <c r="X320" s="1576" t="s">
        <v>467</v>
      </c>
      <c r="AE320" s="1666">
        <v>237435.6</v>
      </c>
      <c r="AF320" s="1579">
        <f t="shared" si="211"/>
        <v>-14543.100000000006</v>
      </c>
    </row>
    <row r="321" spans="1:31" s="1576" customFormat="1" x14ac:dyDescent="0.2">
      <c r="A321" s="1566"/>
      <c r="B321" s="1760"/>
      <c r="C321" s="1761"/>
      <c r="D321" s="1762"/>
      <c r="E321" s="1763"/>
      <c r="F321" s="1762"/>
      <c r="G321" s="1764"/>
      <c r="H321" s="1765"/>
      <c r="I321" s="1766"/>
      <c r="J321" s="1767"/>
      <c r="K321" s="1761"/>
      <c r="L321" s="1768"/>
      <c r="M321" s="1762"/>
      <c r="N321" s="1769"/>
      <c r="O321" s="1770"/>
      <c r="P321" s="1770"/>
      <c r="Q321" s="1770"/>
      <c r="R321" s="1771"/>
      <c r="S321" s="1772"/>
      <c r="T321" s="1477"/>
      <c r="U321" s="1477"/>
      <c r="V321" s="1575"/>
      <c r="W321" s="1575">
        <f t="shared" si="199"/>
        <v>0</v>
      </c>
      <c r="AE321" s="1666"/>
    </row>
    <row r="322" spans="1:31" s="1576" customFormat="1" x14ac:dyDescent="0.2">
      <c r="A322" s="1566"/>
      <c r="B322" s="1773"/>
      <c r="C322" s="1774"/>
      <c r="D322" s="1775"/>
      <c r="E322" s="1775"/>
      <c r="F322" s="1776"/>
      <c r="G322" s="1777"/>
      <c r="H322" s="1778"/>
      <c r="I322" s="3532" t="s">
        <v>1894</v>
      </c>
      <c r="J322" s="3532"/>
      <c r="K322" s="3532"/>
      <c r="L322" s="3533"/>
      <c r="M322" s="1779">
        <f>SUM(L319:L321)</f>
        <v>191083117.06999999</v>
      </c>
      <c r="N322" s="1461">
        <f>AVERAGE(N14:N321)</f>
        <v>0.68708259094424717</v>
      </c>
      <c r="O322" s="1780"/>
      <c r="P322" s="1780"/>
      <c r="Q322" s="1780">
        <f>SUM(Q14:Q321)</f>
        <v>2925309801.9039545</v>
      </c>
      <c r="R322" s="1780">
        <f>SUM(R14:R321)</f>
        <v>3579266781.9564681</v>
      </c>
      <c r="S322" s="1781">
        <f>SUM(S14:S321)</f>
        <v>1696259114.5335319</v>
      </c>
      <c r="T322" s="1477">
        <f>[3]HPS!$M$324</f>
        <v>143537669.85800001</v>
      </c>
      <c r="U322" s="1477">
        <f>M322-T322</f>
        <v>47545447.211999983</v>
      </c>
      <c r="V322" s="1575"/>
      <c r="W322" s="1575"/>
      <c r="X322" s="1782">
        <f>Rekap!Q48</f>
        <v>1175000</v>
      </c>
      <c r="AE322" s="1666"/>
    </row>
    <row r="323" spans="1:31" s="1693" customFormat="1" x14ac:dyDescent="0.2">
      <c r="A323" s="1462"/>
      <c r="B323" s="1783"/>
      <c r="C323" s="1784"/>
      <c r="D323" s="1785"/>
      <c r="E323" s="1785"/>
      <c r="F323" s="1785"/>
      <c r="G323" s="1786"/>
      <c r="H323" s="1787"/>
      <c r="I323" s="1788"/>
      <c r="J323" s="1789"/>
      <c r="K323" s="1788"/>
      <c r="L323" s="1790" t="s">
        <v>2021</v>
      </c>
      <c r="M323" s="1791">
        <f>M322+M316</f>
        <v>5275525896.4899988</v>
      </c>
      <c r="N323" s="1792"/>
      <c r="O323" s="1793"/>
      <c r="P323" s="1793"/>
      <c r="Q323" s="1793"/>
      <c r="R323" s="1794"/>
      <c r="S323" s="1795"/>
      <c r="T323" s="1477"/>
      <c r="U323" s="1477"/>
      <c r="V323" s="1575"/>
      <c r="W323" s="1575"/>
      <c r="X323" s="1732"/>
      <c r="AA323" s="1694"/>
      <c r="AB323" s="1694"/>
      <c r="AC323" s="1694"/>
      <c r="AD323" s="1694"/>
      <c r="AE323" s="1466"/>
    </row>
    <row r="324" spans="1:31" s="1806" customFormat="1" ht="18.75" x14ac:dyDescent="0.2">
      <c r="A324" s="1669"/>
      <c r="B324" s="1796"/>
      <c r="C324" s="1797"/>
      <c r="D324" s="1798"/>
      <c r="E324" s="1798"/>
      <c r="F324" s="1799"/>
      <c r="G324" s="1800"/>
      <c r="H324" s="1801"/>
      <c r="I324" s="1802"/>
      <c r="J324" s="1802"/>
      <c r="K324" s="1803"/>
      <c r="L324" s="1804" t="s">
        <v>1646</v>
      </c>
      <c r="M324" s="1805">
        <f>M323*0.11</f>
        <v>580307848.61389983</v>
      </c>
      <c r="N324" s="1728"/>
      <c r="O324" s="1729"/>
      <c r="P324" s="1729"/>
      <c r="Q324" s="1729"/>
      <c r="R324" s="1729"/>
      <c r="S324" s="1731"/>
      <c r="T324" s="1674"/>
      <c r="U324" s="1674"/>
      <c r="V324" s="1674"/>
      <c r="W324" s="1674"/>
      <c r="X324" s="1732"/>
      <c r="AA324" s="1694"/>
      <c r="AB324" s="1694"/>
      <c r="AC324" s="1694"/>
      <c r="AD324" s="1694"/>
      <c r="AE324" s="879"/>
    </row>
    <row r="325" spans="1:31" s="1806" customFormat="1" ht="18.75" x14ac:dyDescent="0.2">
      <c r="A325" s="1669"/>
      <c r="B325" s="1796"/>
      <c r="C325" s="1797"/>
      <c r="D325" s="1798"/>
      <c r="E325" s="1798"/>
      <c r="F325" s="1799"/>
      <c r="G325" s="1800"/>
      <c r="H325" s="1801"/>
      <c r="I325" s="1802"/>
      <c r="J325" s="1802"/>
      <c r="K325" s="1803"/>
      <c r="L325" s="1804" t="s">
        <v>360</v>
      </c>
      <c r="M325" s="1805">
        <f>SUM(M323:M324)</f>
        <v>5855833745.103899</v>
      </c>
      <c r="N325" s="1728"/>
      <c r="O325" s="1729"/>
      <c r="P325" s="1729"/>
      <c r="Q325" s="1729"/>
      <c r="R325" s="1729"/>
      <c r="S325" s="1731"/>
      <c r="T325" s="1674"/>
      <c r="U325" s="1674"/>
      <c r="V325" s="1674"/>
      <c r="W325" s="1674"/>
      <c r="X325" s="1732"/>
      <c r="AA325" s="1694"/>
      <c r="AB325" s="1694"/>
      <c r="AC325" s="1694"/>
      <c r="AD325" s="1694"/>
      <c r="AE325" s="879"/>
    </row>
    <row r="326" spans="1:31" s="1806" customFormat="1" ht="18.75" x14ac:dyDescent="0.2">
      <c r="A326" s="1669"/>
      <c r="B326" s="1807"/>
      <c r="C326" s="1808"/>
      <c r="D326" s="1809"/>
      <c r="E326" s="1809"/>
      <c r="F326" s="1810"/>
      <c r="G326" s="1811"/>
      <c r="H326" s="1812"/>
      <c r="I326" s="1813"/>
      <c r="J326" s="1813"/>
      <c r="K326" s="1814"/>
      <c r="L326" s="1815" t="s">
        <v>359</v>
      </c>
      <c r="M326" s="884">
        <f>ROUNDDOWN(M325,-3)</f>
        <v>5855833000</v>
      </c>
      <c r="N326" s="1750"/>
      <c r="O326" s="1751"/>
      <c r="P326" s="1751"/>
      <c r="Q326" s="1751"/>
      <c r="R326" s="1751"/>
      <c r="S326" s="1753"/>
      <c r="T326" s="1674"/>
      <c r="U326" s="1674"/>
      <c r="V326" s="1674"/>
      <c r="W326" s="1674"/>
      <c r="X326" s="1732"/>
      <c r="AA326" s="1694"/>
      <c r="AB326" s="1694"/>
      <c r="AC326" s="1694"/>
      <c r="AD326" s="1694"/>
      <c r="AE326" s="879"/>
    </row>
    <row r="327" spans="1:31" ht="16.5" thickBot="1" x14ac:dyDescent="0.25">
      <c r="B327" s="1816"/>
      <c r="C327" s="1817"/>
      <c r="D327" s="1818"/>
      <c r="E327" s="1818"/>
      <c r="F327" s="1819"/>
      <c r="G327" s="1820"/>
      <c r="H327" s="1821"/>
      <c r="I327" s="1822"/>
      <c r="J327" s="1823"/>
      <c r="K327" s="1824"/>
      <c r="L327" s="1825"/>
      <c r="M327" s="1826"/>
      <c r="N327" s="1827"/>
      <c r="O327" s="1828"/>
      <c r="P327" s="1828"/>
      <c r="Q327" s="1828"/>
      <c r="R327" s="1828"/>
      <c r="S327" s="1829"/>
      <c r="AC327" s="1465"/>
      <c r="AD327" s="1465"/>
      <c r="AE327" s="1466"/>
    </row>
    <row r="328" spans="1:31" ht="16.5" thickTop="1" x14ac:dyDescent="0.2">
      <c r="B328" s="1830"/>
      <c r="F328" s="1476"/>
      <c r="G328" s="1831"/>
      <c r="L328" s="1476"/>
      <c r="M328" s="1476"/>
      <c r="N328" s="1476"/>
      <c r="O328" s="1476"/>
      <c r="P328" s="1476"/>
      <c r="Q328" s="1476"/>
      <c r="R328" s="1476"/>
      <c r="S328" s="1476"/>
      <c r="AB328" s="1465"/>
      <c r="AC328" s="1465"/>
      <c r="AD328" s="1465"/>
      <c r="AE328" s="1466"/>
    </row>
    <row r="329" spans="1:31" x14ac:dyDescent="0.2">
      <c r="F329" s="1476"/>
      <c r="G329" s="1831"/>
      <c r="L329" s="1476"/>
      <c r="M329" s="1476"/>
      <c r="N329" s="1476"/>
      <c r="O329" s="1476"/>
      <c r="P329" s="1476"/>
      <c r="Q329" s="1476"/>
      <c r="R329" s="1476"/>
      <c r="S329" s="1476"/>
      <c r="AB329" s="1465"/>
      <c r="AC329" s="1465"/>
      <c r="AD329" s="1465"/>
      <c r="AE329" s="1466"/>
    </row>
    <row r="330" spans="1:31" ht="18.75" x14ac:dyDescent="0.2">
      <c r="M330" s="757" t="str">
        <f>'data primer'!$E$11</f>
        <v>Karanganyar,                               2022</v>
      </c>
      <c r="N330" s="1832"/>
      <c r="O330" s="1832"/>
      <c r="P330" s="1832"/>
      <c r="Q330" s="1832"/>
      <c r="R330" s="1832"/>
      <c r="S330" s="1832"/>
      <c r="AB330" s="1465"/>
      <c r="AC330" s="1465"/>
      <c r="AD330" s="1465"/>
      <c r="AE330" s="1466"/>
    </row>
    <row r="331" spans="1:31" x14ac:dyDescent="0.2">
      <c r="M331" s="757" t="str">
        <f>'data primer'!$E$12</f>
        <v>PEJABAT PENANDATANGAN KONTRAK</v>
      </c>
    </row>
    <row r="332" spans="1:31" x14ac:dyDescent="0.2">
      <c r="M332" s="1460"/>
    </row>
    <row r="333" spans="1:31" x14ac:dyDescent="0.2">
      <c r="M333" s="734"/>
    </row>
    <row r="334" spans="1:31" x14ac:dyDescent="0.2">
      <c r="M334" s="734"/>
    </row>
    <row r="335" spans="1:31" x14ac:dyDescent="0.2">
      <c r="M335" s="734"/>
    </row>
    <row r="336" spans="1:31" x14ac:dyDescent="0.2">
      <c r="B336" s="1465"/>
      <c r="G336" s="1465"/>
      <c r="I336" s="1465"/>
      <c r="M336" s="734"/>
      <c r="AB336" s="1465"/>
      <c r="AC336" s="1465"/>
      <c r="AD336" s="1465"/>
      <c r="AE336" s="1466"/>
    </row>
    <row r="337" spans="12:31" s="1465" customFormat="1" x14ac:dyDescent="0.2">
      <c r="M337" s="734"/>
      <c r="T337" s="1477"/>
      <c r="U337" s="1477"/>
      <c r="V337" s="1477"/>
      <c r="W337" s="1477"/>
      <c r="AE337" s="1466"/>
    </row>
    <row r="338" spans="12:31" s="1465" customFormat="1" x14ac:dyDescent="0.2">
      <c r="M338" s="734"/>
      <c r="T338" s="1477"/>
      <c r="U338" s="1477"/>
      <c r="V338" s="1477"/>
      <c r="W338" s="1477"/>
      <c r="AE338" s="1466"/>
    </row>
    <row r="339" spans="12:31" s="1465" customFormat="1" x14ac:dyDescent="0.2">
      <c r="M339" s="734"/>
      <c r="T339" s="1477"/>
      <c r="U339" s="1477"/>
      <c r="V339" s="1477"/>
      <c r="W339" s="1477"/>
      <c r="AE339" s="1466"/>
    </row>
    <row r="340" spans="12:31" s="1465" customFormat="1" x14ac:dyDescent="0.2">
      <c r="M340" s="734"/>
      <c r="T340" s="1477"/>
      <c r="U340" s="1477"/>
      <c r="V340" s="1477"/>
      <c r="W340" s="1477"/>
      <c r="AE340" s="1466"/>
    </row>
    <row r="341" spans="12:31" s="1465" customFormat="1" x14ac:dyDescent="0.2">
      <c r="M341" s="877" t="str">
        <f>'data primer'!$E$15</f>
        <v>FERIANA DWI KURNIAWATI, SP, M.Si</v>
      </c>
      <c r="T341" s="1477"/>
      <c r="U341" s="1477"/>
      <c r="V341" s="1477"/>
      <c r="W341" s="1477"/>
      <c r="AE341" s="1466"/>
    </row>
    <row r="342" spans="12:31" s="1465" customFormat="1" x14ac:dyDescent="0.2">
      <c r="M342" s="734" t="str">
        <f>'data primer'!$E$16</f>
        <v>NIP. 19810226 200501 2 015</v>
      </c>
      <c r="T342" s="1477"/>
      <c r="U342" s="1477"/>
      <c r="V342" s="1477"/>
      <c r="W342" s="1477"/>
      <c r="AE342" s="1466"/>
    </row>
    <row r="343" spans="12:31" s="1465" customFormat="1" x14ac:dyDescent="0.2">
      <c r="L343" s="1831"/>
      <c r="T343" s="1477"/>
      <c r="U343" s="1477"/>
      <c r="V343" s="1477"/>
      <c r="W343" s="1477"/>
      <c r="AE343" s="1466"/>
    </row>
    <row r="344" spans="12:31" s="1465" customFormat="1" x14ac:dyDescent="0.2">
      <c r="L344" s="1476"/>
      <c r="T344" s="1477"/>
      <c r="U344" s="1477"/>
      <c r="V344" s="1477"/>
      <c r="W344" s="1477"/>
      <c r="AE344" s="1466"/>
    </row>
    <row r="345" spans="12:31" s="1465" customFormat="1" x14ac:dyDescent="0.2">
      <c r="L345" s="1476"/>
      <c r="T345" s="1477"/>
      <c r="U345" s="1477"/>
      <c r="V345" s="1477"/>
      <c r="W345" s="1477"/>
      <c r="AE345" s="1466"/>
    </row>
  </sheetData>
  <mergeCells count="4">
    <mergeCell ref="B1:M1"/>
    <mergeCell ref="B2:M2"/>
    <mergeCell ref="I316:L316"/>
    <mergeCell ref="I322:L3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X772"/>
  <sheetViews>
    <sheetView zoomScaleNormal="100" workbookViewId="0">
      <selection activeCell="G4" sqref="G4"/>
    </sheetView>
  </sheetViews>
  <sheetFormatPr defaultColWidth="3.140625" defaultRowHeight="12.75" x14ac:dyDescent="0.2"/>
  <cols>
    <col min="1" max="1" width="5.42578125" style="205" customWidth="1"/>
    <col min="2" max="2" width="4.42578125" style="205" customWidth="1"/>
    <col min="3" max="3" width="7.28515625" style="657" customWidth="1"/>
    <col min="4" max="5" width="9.140625" style="205" customWidth="1"/>
    <col min="6" max="6" width="6" style="205" customWidth="1"/>
    <col min="7" max="7" width="18" style="658" customWidth="1"/>
    <col min="8" max="8" width="8.28515625" style="205" bestFit="1" customWidth="1"/>
    <col min="9" max="9" width="3.140625" style="205" customWidth="1"/>
    <col min="10" max="10" width="7.42578125" style="205" bestFit="1" customWidth="1"/>
    <col min="11" max="11" width="3.140625" style="205" customWidth="1"/>
    <col min="12" max="12" width="7.5703125" style="205" customWidth="1"/>
    <col min="13" max="13" width="3.140625" style="205" customWidth="1"/>
    <col min="14" max="14" width="7" style="205" bestFit="1" customWidth="1"/>
    <col min="15" max="15" width="3.140625" style="205" customWidth="1"/>
    <col min="16" max="16" width="5.85546875" style="205" customWidth="1"/>
    <col min="17" max="17" width="4.42578125" style="205" bestFit="1" customWidth="1"/>
    <col min="18" max="18" width="10.28515625" style="659" customWidth="1"/>
    <col min="19" max="19" width="11.7109375" style="660" customWidth="1"/>
    <col min="20" max="20" width="7.42578125" style="661" customWidth="1"/>
    <col min="21" max="21" width="1.85546875" style="205" customWidth="1"/>
    <col min="22" max="22" width="10.85546875" style="662" customWidth="1"/>
    <col min="23" max="23" width="6.5703125" style="205" customWidth="1"/>
    <col min="24" max="24" width="10" style="205" customWidth="1"/>
    <col min="25" max="25" width="8.7109375" style="205" customWidth="1"/>
    <col min="26" max="26" width="6.5703125" style="205" customWidth="1"/>
    <col min="27" max="27" width="6.140625" style="205" customWidth="1"/>
    <col min="28" max="28" width="9.140625" style="205" customWidth="1"/>
    <col min="29" max="29" width="11.85546875" style="205" customWidth="1"/>
    <col min="30" max="249" width="9.140625" style="205" customWidth="1"/>
    <col min="250" max="250" width="5.42578125" style="205" customWidth="1"/>
    <col min="251" max="251" width="4.42578125" style="205" customWidth="1"/>
    <col min="252" max="252" width="2.7109375" style="205" customWidth="1"/>
    <col min="253" max="254" width="9.140625" style="205" customWidth="1"/>
    <col min="255" max="255" width="4.5703125" style="205" customWidth="1"/>
    <col min="256" max="256" width="19.7109375" style="205" customWidth="1"/>
    <col min="257" max="257" width="7.7109375" style="205" customWidth="1"/>
    <col min="258" max="258" width="3.140625" style="205"/>
    <col min="259" max="259" width="5.42578125" style="205" customWidth="1"/>
    <col min="260" max="260" width="4.42578125" style="205" customWidth="1"/>
    <col min="261" max="261" width="2.7109375" style="205" customWidth="1"/>
    <col min="262" max="263" width="9.140625" style="205" customWidth="1"/>
    <col min="264" max="264" width="4.5703125" style="205" customWidth="1"/>
    <col min="265" max="265" width="21.140625" style="205" customWidth="1"/>
    <col min="266" max="266" width="9.42578125" style="205" customWidth="1"/>
    <col min="267" max="267" width="3.140625" style="205" customWidth="1"/>
    <col min="268" max="268" width="7.7109375" style="205" customWidth="1"/>
    <col min="269" max="269" width="3.140625" style="205" customWidth="1"/>
    <col min="270" max="270" width="7.7109375" style="205" customWidth="1"/>
    <col min="271" max="271" width="3.140625" style="205" customWidth="1"/>
    <col min="272" max="272" width="7.7109375" style="205" customWidth="1"/>
    <col min="273" max="273" width="3.140625" style="205" customWidth="1"/>
    <col min="274" max="274" width="10.28515625" style="205" customWidth="1"/>
    <col min="275" max="275" width="11.7109375" style="205" customWidth="1"/>
    <col min="276" max="276" width="7.42578125" style="205" customWidth="1"/>
    <col min="277" max="277" width="1.85546875" style="205" customWidth="1"/>
    <col min="278" max="278" width="15" style="205" customWidth="1"/>
    <col min="279" max="280" width="9.140625" style="205" customWidth="1"/>
    <col min="281" max="281" width="15.28515625" style="205" customWidth="1"/>
    <col min="282" max="505" width="9.140625" style="205" customWidth="1"/>
    <col min="506" max="506" width="5.42578125" style="205" customWidth="1"/>
    <col min="507" max="507" width="4.42578125" style="205" customWidth="1"/>
    <col min="508" max="508" width="2.7109375" style="205" customWidth="1"/>
    <col min="509" max="510" width="9.140625" style="205" customWidth="1"/>
    <col min="511" max="511" width="4.5703125" style="205" customWidth="1"/>
    <col min="512" max="512" width="19.7109375" style="205" customWidth="1"/>
    <col min="513" max="513" width="7.7109375" style="205" customWidth="1"/>
    <col min="514" max="514" width="3.140625" style="205"/>
    <col min="515" max="515" width="5.42578125" style="205" customWidth="1"/>
    <col min="516" max="516" width="4.42578125" style="205" customWidth="1"/>
    <col min="517" max="517" width="2.7109375" style="205" customWidth="1"/>
    <col min="518" max="519" width="9.140625" style="205" customWidth="1"/>
    <col min="520" max="520" width="4.5703125" style="205" customWidth="1"/>
    <col min="521" max="521" width="21.140625" style="205" customWidth="1"/>
    <col min="522" max="522" width="9.42578125" style="205" customWidth="1"/>
    <col min="523" max="523" width="3.140625" style="205" customWidth="1"/>
    <col min="524" max="524" width="7.7109375" style="205" customWidth="1"/>
    <col min="525" max="525" width="3.140625" style="205" customWidth="1"/>
    <col min="526" max="526" width="7.7109375" style="205" customWidth="1"/>
    <col min="527" max="527" width="3.140625" style="205" customWidth="1"/>
    <col min="528" max="528" width="7.7109375" style="205" customWidth="1"/>
    <col min="529" max="529" width="3.140625" style="205" customWidth="1"/>
    <col min="530" max="530" width="10.28515625" style="205" customWidth="1"/>
    <col min="531" max="531" width="11.7109375" style="205" customWidth="1"/>
    <col min="532" max="532" width="7.42578125" style="205" customWidth="1"/>
    <col min="533" max="533" width="1.85546875" style="205" customWidth="1"/>
    <col min="534" max="534" width="15" style="205" customWidth="1"/>
    <col min="535" max="536" width="9.140625" style="205" customWidth="1"/>
    <col min="537" max="537" width="15.28515625" style="205" customWidth="1"/>
    <col min="538" max="761" width="9.140625" style="205" customWidth="1"/>
    <col min="762" max="762" width="5.42578125" style="205" customWidth="1"/>
    <col min="763" max="763" width="4.42578125" style="205" customWidth="1"/>
    <col min="764" max="764" width="2.7109375" style="205" customWidth="1"/>
    <col min="765" max="766" width="9.140625" style="205" customWidth="1"/>
    <col min="767" max="767" width="4.5703125" style="205" customWidth="1"/>
    <col min="768" max="768" width="19.7109375" style="205" customWidth="1"/>
    <col min="769" max="769" width="7.7109375" style="205" customWidth="1"/>
    <col min="770" max="770" width="3.140625" style="205"/>
    <col min="771" max="771" width="5.42578125" style="205" customWidth="1"/>
    <col min="772" max="772" width="4.42578125" style="205" customWidth="1"/>
    <col min="773" max="773" width="2.7109375" style="205" customWidth="1"/>
    <col min="774" max="775" width="9.140625" style="205" customWidth="1"/>
    <col min="776" max="776" width="4.5703125" style="205" customWidth="1"/>
    <col min="777" max="777" width="21.140625" style="205" customWidth="1"/>
    <col min="778" max="778" width="9.42578125" style="205" customWidth="1"/>
    <col min="779" max="779" width="3.140625" style="205" customWidth="1"/>
    <col min="780" max="780" width="7.7109375" style="205" customWidth="1"/>
    <col min="781" max="781" width="3.140625" style="205" customWidth="1"/>
    <col min="782" max="782" width="7.7109375" style="205" customWidth="1"/>
    <col min="783" max="783" width="3.140625" style="205" customWidth="1"/>
    <col min="784" max="784" width="7.7109375" style="205" customWidth="1"/>
    <col min="785" max="785" width="3.140625" style="205" customWidth="1"/>
    <col min="786" max="786" width="10.28515625" style="205" customWidth="1"/>
    <col min="787" max="787" width="11.7109375" style="205" customWidth="1"/>
    <col min="788" max="788" width="7.42578125" style="205" customWidth="1"/>
    <col min="789" max="789" width="1.85546875" style="205" customWidth="1"/>
    <col min="790" max="790" width="15" style="205" customWidth="1"/>
    <col min="791" max="792" width="9.140625" style="205" customWidth="1"/>
    <col min="793" max="793" width="15.28515625" style="205" customWidth="1"/>
    <col min="794" max="1017" width="9.140625" style="205" customWidth="1"/>
    <col min="1018" max="1018" width="5.42578125" style="205" customWidth="1"/>
    <col min="1019" max="1019" width="4.42578125" style="205" customWidth="1"/>
    <col min="1020" max="1020" width="2.7109375" style="205" customWidth="1"/>
    <col min="1021" max="1022" width="9.140625" style="205" customWidth="1"/>
    <col min="1023" max="1023" width="4.5703125" style="205" customWidth="1"/>
    <col min="1024" max="1024" width="19.7109375" style="205" customWidth="1"/>
    <col min="1025" max="1025" width="7.7109375" style="205" customWidth="1"/>
    <col min="1026" max="1026" width="3.140625" style="205"/>
    <col min="1027" max="1027" width="5.42578125" style="205" customWidth="1"/>
    <col min="1028" max="1028" width="4.42578125" style="205" customWidth="1"/>
    <col min="1029" max="1029" width="2.7109375" style="205" customWidth="1"/>
    <col min="1030" max="1031" width="9.140625" style="205" customWidth="1"/>
    <col min="1032" max="1032" width="4.5703125" style="205" customWidth="1"/>
    <col min="1033" max="1033" width="21.140625" style="205" customWidth="1"/>
    <col min="1034" max="1034" width="9.42578125" style="205" customWidth="1"/>
    <col min="1035" max="1035" width="3.140625" style="205" customWidth="1"/>
    <col min="1036" max="1036" width="7.7109375" style="205" customWidth="1"/>
    <col min="1037" max="1037" width="3.140625" style="205" customWidth="1"/>
    <col min="1038" max="1038" width="7.7109375" style="205" customWidth="1"/>
    <col min="1039" max="1039" width="3.140625" style="205" customWidth="1"/>
    <col min="1040" max="1040" width="7.7109375" style="205" customWidth="1"/>
    <col min="1041" max="1041" width="3.140625" style="205" customWidth="1"/>
    <col min="1042" max="1042" width="10.28515625" style="205" customWidth="1"/>
    <col min="1043" max="1043" width="11.7109375" style="205" customWidth="1"/>
    <col min="1044" max="1044" width="7.42578125" style="205" customWidth="1"/>
    <col min="1045" max="1045" width="1.85546875" style="205" customWidth="1"/>
    <col min="1046" max="1046" width="15" style="205" customWidth="1"/>
    <col min="1047" max="1048" width="9.140625" style="205" customWidth="1"/>
    <col min="1049" max="1049" width="15.28515625" style="205" customWidth="1"/>
    <col min="1050" max="1273" width="9.140625" style="205" customWidth="1"/>
    <col min="1274" max="1274" width="5.42578125" style="205" customWidth="1"/>
    <col min="1275" max="1275" width="4.42578125" style="205" customWidth="1"/>
    <col min="1276" max="1276" width="2.7109375" style="205" customWidth="1"/>
    <col min="1277" max="1278" width="9.140625" style="205" customWidth="1"/>
    <col min="1279" max="1279" width="4.5703125" style="205" customWidth="1"/>
    <col min="1280" max="1280" width="19.7109375" style="205" customWidth="1"/>
    <col min="1281" max="1281" width="7.7109375" style="205" customWidth="1"/>
    <col min="1282" max="1282" width="3.140625" style="205"/>
    <col min="1283" max="1283" width="5.42578125" style="205" customWidth="1"/>
    <col min="1284" max="1284" width="4.42578125" style="205" customWidth="1"/>
    <col min="1285" max="1285" width="2.7109375" style="205" customWidth="1"/>
    <col min="1286" max="1287" width="9.140625" style="205" customWidth="1"/>
    <col min="1288" max="1288" width="4.5703125" style="205" customWidth="1"/>
    <col min="1289" max="1289" width="21.140625" style="205" customWidth="1"/>
    <col min="1290" max="1290" width="9.42578125" style="205" customWidth="1"/>
    <col min="1291" max="1291" width="3.140625" style="205" customWidth="1"/>
    <col min="1292" max="1292" width="7.7109375" style="205" customWidth="1"/>
    <col min="1293" max="1293" width="3.140625" style="205" customWidth="1"/>
    <col min="1294" max="1294" width="7.7109375" style="205" customWidth="1"/>
    <col min="1295" max="1295" width="3.140625" style="205" customWidth="1"/>
    <col min="1296" max="1296" width="7.7109375" style="205" customWidth="1"/>
    <col min="1297" max="1297" width="3.140625" style="205" customWidth="1"/>
    <col min="1298" max="1298" width="10.28515625" style="205" customWidth="1"/>
    <col min="1299" max="1299" width="11.7109375" style="205" customWidth="1"/>
    <col min="1300" max="1300" width="7.42578125" style="205" customWidth="1"/>
    <col min="1301" max="1301" width="1.85546875" style="205" customWidth="1"/>
    <col min="1302" max="1302" width="15" style="205" customWidth="1"/>
    <col min="1303" max="1304" width="9.140625" style="205" customWidth="1"/>
    <col min="1305" max="1305" width="15.28515625" style="205" customWidth="1"/>
    <col min="1306" max="1529" width="9.140625" style="205" customWidth="1"/>
    <col min="1530" max="1530" width="5.42578125" style="205" customWidth="1"/>
    <col min="1531" max="1531" width="4.42578125" style="205" customWidth="1"/>
    <col min="1532" max="1532" width="2.7109375" style="205" customWidth="1"/>
    <col min="1533" max="1534" width="9.140625" style="205" customWidth="1"/>
    <col min="1535" max="1535" width="4.5703125" style="205" customWidth="1"/>
    <col min="1536" max="1536" width="19.7109375" style="205" customWidth="1"/>
    <col min="1537" max="1537" width="7.7109375" style="205" customWidth="1"/>
    <col min="1538" max="1538" width="3.140625" style="205"/>
    <col min="1539" max="1539" width="5.42578125" style="205" customWidth="1"/>
    <col min="1540" max="1540" width="4.42578125" style="205" customWidth="1"/>
    <col min="1541" max="1541" width="2.7109375" style="205" customWidth="1"/>
    <col min="1542" max="1543" width="9.140625" style="205" customWidth="1"/>
    <col min="1544" max="1544" width="4.5703125" style="205" customWidth="1"/>
    <col min="1545" max="1545" width="21.140625" style="205" customWidth="1"/>
    <col min="1546" max="1546" width="9.42578125" style="205" customWidth="1"/>
    <col min="1547" max="1547" width="3.140625" style="205" customWidth="1"/>
    <col min="1548" max="1548" width="7.7109375" style="205" customWidth="1"/>
    <col min="1549" max="1549" width="3.140625" style="205" customWidth="1"/>
    <col min="1550" max="1550" width="7.7109375" style="205" customWidth="1"/>
    <col min="1551" max="1551" width="3.140625" style="205" customWidth="1"/>
    <col min="1552" max="1552" width="7.7109375" style="205" customWidth="1"/>
    <col min="1553" max="1553" width="3.140625" style="205" customWidth="1"/>
    <col min="1554" max="1554" width="10.28515625" style="205" customWidth="1"/>
    <col min="1555" max="1555" width="11.7109375" style="205" customWidth="1"/>
    <col min="1556" max="1556" width="7.42578125" style="205" customWidth="1"/>
    <col min="1557" max="1557" width="1.85546875" style="205" customWidth="1"/>
    <col min="1558" max="1558" width="15" style="205" customWidth="1"/>
    <col min="1559" max="1560" width="9.140625" style="205" customWidth="1"/>
    <col min="1561" max="1561" width="15.28515625" style="205" customWidth="1"/>
    <col min="1562" max="1785" width="9.140625" style="205" customWidth="1"/>
    <col min="1786" max="1786" width="5.42578125" style="205" customWidth="1"/>
    <col min="1787" max="1787" width="4.42578125" style="205" customWidth="1"/>
    <col min="1788" max="1788" width="2.7109375" style="205" customWidth="1"/>
    <col min="1789" max="1790" width="9.140625" style="205" customWidth="1"/>
    <col min="1791" max="1791" width="4.5703125" style="205" customWidth="1"/>
    <col min="1792" max="1792" width="19.7109375" style="205" customWidth="1"/>
    <col min="1793" max="1793" width="7.7109375" style="205" customWidth="1"/>
    <col min="1794" max="1794" width="3.140625" style="205"/>
    <col min="1795" max="1795" width="5.42578125" style="205" customWidth="1"/>
    <col min="1796" max="1796" width="4.42578125" style="205" customWidth="1"/>
    <col min="1797" max="1797" width="2.7109375" style="205" customWidth="1"/>
    <col min="1798" max="1799" width="9.140625" style="205" customWidth="1"/>
    <col min="1800" max="1800" width="4.5703125" style="205" customWidth="1"/>
    <col min="1801" max="1801" width="21.140625" style="205" customWidth="1"/>
    <col min="1802" max="1802" width="9.42578125" style="205" customWidth="1"/>
    <col min="1803" max="1803" width="3.140625" style="205" customWidth="1"/>
    <col min="1804" max="1804" width="7.7109375" style="205" customWidth="1"/>
    <col min="1805" max="1805" width="3.140625" style="205" customWidth="1"/>
    <col min="1806" max="1806" width="7.7109375" style="205" customWidth="1"/>
    <col min="1807" max="1807" width="3.140625" style="205" customWidth="1"/>
    <col min="1808" max="1808" width="7.7109375" style="205" customWidth="1"/>
    <col min="1809" max="1809" width="3.140625" style="205" customWidth="1"/>
    <col min="1810" max="1810" width="10.28515625" style="205" customWidth="1"/>
    <col min="1811" max="1811" width="11.7109375" style="205" customWidth="1"/>
    <col min="1812" max="1812" width="7.42578125" style="205" customWidth="1"/>
    <col min="1813" max="1813" width="1.85546875" style="205" customWidth="1"/>
    <col min="1814" max="1814" width="15" style="205" customWidth="1"/>
    <col min="1815" max="1816" width="9.140625" style="205" customWidth="1"/>
    <col min="1817" max="1817" width="15.28515625" style="205" customWidth="1"/>
    <col min="1818" max="2041" width="9.140625" style="205" customWidth="1"/>
    <col min="2042" max="2042" width="5.42578125" style="205" customWidth="1"/>
    <col min="2043" max="2043" width="4.42578125" style="205" customWidth="1"/>
    <col min="2044" max="2044" width="2.7109375" style="205" customWidth="1"/>
    <col min="2045" max="2046" width="9.140625" style="205" customWidth="1"/>
    <col min="2047" max="2047" width="4.5703125" style="205" customWidth="1"/>
    <col min="2048" max="2048" width="19.7109375" style="205" customWidth="1"/>
    <col min="2049" max="2049" width="7.7109375" style="205" customWidth="1"/>
    <col min="2050" max="2050" width="3.140625" style="205"/>
    <col min="2051" max="2051" width="5.42578125" style="205" customWidth="1"/>
    <col min="2052" max="2052" width="4.42578125" style="205" customWidth="1"/>
    <col min="2053" max="2053" width="2.7109375" style="205" customWidth="1"/>
    <col min="2054" max="2055" width="9.140625" style="205" customWidth="1"/>
    <col min="2056" max="2056" width="4.5703125" style="205" customWidth="1"/>
    <col min="2057" max="2057" width="21.140625" style="205" customWidth="1"/>
    <col min="2058" max="2058" width="9.42578125" style="205" customWidth="1"/>
    <col min="2059" max="2059" width="3.140625" style="205" customWidth="1"/>
    <col min="2060" max="2060" width="7.7109375" style="205" customWidth="1"/>
    <col min="2061" max="2061" width="3.140625" style="205" customWidth="1"/>
    <col min="2062" max="2062" width="7.7109375" style="205" customWidth="1"/>
    <col min="2063" max="2063" width="3.140625" style="205" customWidth="1"/>
    <col min="2064" max="2064" width="7.7109375" style="205" customWidth="1"/>
    <col min="2065" max="2065" width="3.140625" style="205" customWidth="1"/>
    <col min="2066" max="2066" width="10.28515625" style="205" customWidth="1"/>
    <col min="2067" max="2067" width="11.7109375" style="205" customWidth="1"/>
    <col min="2068" max="2068" width="7.42578125" style="205" customWidth="1"/>
    <col min="2069" max="2069" width="1.85546875" style="205" customWidth="1"/>
    <col min="2070" max="2070" width="15" style="205" customWidth="1"/>
    <col min="2071" max="2072" width="9.140625" style="205" customWidth="1"/>
    <col min="2073" max="2073" width="15.28515625" style="205" customWidth="1"/>
    <col min="2074" max="2297" width="9.140625" style="205" customWidth="1"/>
    <col min="2298" max="2298" width="5.42578125" style="205" customWidth="1"/>
    <col min="2299" max="2299" width="4.42578125" style="205" customWidth="1"/>
    <col min="2300" max="2300" width="2.7109375" style="205" customWidth="1"/>
    <col min="2301" max="2302" width="9.140625" style="205" customWidth="1"/>
    <col min="2303" max="2303" width="4.5703125" style="205" customWidth="1"/>
    <col min="2304" max="2304" width="19.7109375" style="205" customWidth="1"/>
    <col min="2305" max="2305" width="7.7109375" style="205" customWidth="1"/>
    <col min="2306" max="2306" width="3.140625" style="205"/>
    <col min="2307" max="2307" width="5.42578125" style="205" customWidth="1"/>
    <col min="2308" max="2308" width="4.42578125" style="205" customWidth="1"/>
    <col min="2309" max="2309" width="2.7109375" style="205" customWidth="1"/>
    <col min="2310" max="2311" width="9.140625" style="205" customWidth="1"/>
    <col min="2312" max="2312" width="4.5703125" style="205" customWidth="1"/>
    <col min="2313" max="2313" width="21.140625" style="205" customWidth="1"/>
    <col min="2314" max="2314" width="9.42578125" style="205" customWidth="1"/>
    <col min="2315" max="2315" width="3.140625" style="205" customWidth="1"/>
    <col min="2316" max="2316" width="7.7109375" style="205" customWidth="1"/>
    <col min="2317" max="2317" width="3.140625" style="205" customWidth="1"/>
    <col min="2318" max="2318" width="7.7109375" style="205" customWidth="1"/>
    <col min="2319" max="2319" width="3.140625" style="205" customWidth="1"/>
    <col min="2320" max="2320" width="7.7109375" style="205" customWidth="1"/>
    <col min="2321" max="2321" width="3.140625" style="205" customWidth="1"/>
    <col min="2322" max="2322" width="10.28515625" style="205" customWidth="1"/>
    <col min="2323" max="2323" width="11.7109375" style="205" customWidth="1"/>
    <col min="2324" max="2324" width="7.42578125" style="205" customWidth="1"/>
    <col min="2325" max="2325" width="1.85546875" style="205" customWidth="1"/>
    <col min="2326" max="2326" width="15" style="205" customWidth="1"/>
    <col min="2327" max="2328" width="9.140625" style="205" customWidth="1"/>
    <col min="2329" max="2329" width="15.28515625" style="205" customWidth="1"/>
    <col min="2330" max="2553" width="9.140625" style="205" customWidth="1"/>
    <col min="2554" max="2554" width="5.42578125" style="205" customWidth="1"/>
    <col min="2555" max="2555" width="4.42578125" style="205" customWidth="1"/>
    <col min="2556" max="2556" width="2.7109375" style="205" customWidth="1"/>
    <col min="2557" max="2558" width="9.140625" style="205" customWidth="1"/>
    <col min="2559" max="2559" width="4.5703125" style="205" customWidth="1"/>
    <col min="2560" max="2560" width="19.7109375" style="205" customWidth="1"/>
    <col min="2561" max="2561" width="7.7109375" style="205" customWidth="1"/>
    <col min="2562" max="2562" width="3.140625" style="205"/>
    <col min="2563" max="2563" width="5.42578125" style="205" customWidth="1"/>
    <col min="2564" max="2564" width="4.42578125" style="205" customWidth="1"/>
    <col min="2565" max="2565" width="2.7109375" style="205" customWidth="1"/>
    <col min="2566" max="2567" width="9.140625" style="205" customWidth="1"/>
    <col min="2568" max="2568" width="4.5703125" style="205" customWidth="1"/>
    <col min="2569" max="2569" width="21.140625" style="205" customWidth="1"/>
    <col min="2570" max="2570" width="9.42578125" style="205" customWidth="1"/>
    <col min="2571" max="2571" width="3.140625" style="205" customWidth="1"/>
    <col min="2572" max="2572" width="7.7109375" style="205" customWidth="1"/>
    <col min="2573" max="2573" width="3.140625" style="205" customWidth="1"/>
    <col min="2574" max="2574" width="7.7109375" style="205" customWidth="1"/>
    <col min="2575" max="2575" width="3.140625" style="205" customWidth="1"/>
    <col min="2576" max="2576" width="7.7109375" style="205" customWidth="1"/>
    <col min="2577" max="2577" width="3.140625" style="205" customWidth="1"/>
    <col min="2578" max="2578" width="10.28515625" style="205" customWidth="1"/>
    <col min="2579" max="2579" width="11.7109375" style="205" customWidth="1"/>
    <col min="2580" max="2580" width="7.42578125" style="205" customWidth="1"/>
    <col min="2581" max="2581" width="1.85546875" style="205" customWidth="1"/>
    <col min="2582" max="2582" width="15" style="205" customWidth="1"/>
    <col min="2583" max="2584" width="9.140625" style="205" customWidth="1"/>
    <col min="2585" max="2585" width="15.28515625" style="205" customWidth="1"/>
    <col min="2586" max="2809" width="9.140625" style="205" customWidth="1"/>
    <col min="2810" max="2810" width="5.42578125" style="205" customWidth="1"/>
    <col min="2811" max="2811" width="4.42578125" style="205" customWidth="1"/>
    <col min="2812" max="2812" width="2.7109375" style="205" customWidth="1"/>
    <col min="2813" max="2814" width="9.140625" style="205" customWidth="1"/>
    <col min="2815" max="2815" width="4.5703125" style="205" customWidth="1"/>
    <col min="2816" max="2816" width="19.7109375" style="205" customWidth="1"/>
    <col min="2817" max="2817" width="7.7109375" style="205" customWidth="1"/>
    <col min="2818" max="2818" width="3.140625" style="205"/>
    <col min="2819" max="2819" width="5.42578125" style="205" customWidth="1"/>
    <col min="2820" max="2820" width="4.42578125" style="205" customWidth="1"/>
    <col min="2821" max="2821" width="2.7109375" style="205" customWidth="1"/>
    <col min="2822" max="2823" width="9.140625" style="205" customWidth="1"/>
    <col min="2824" max="2824" width="4.5703125" style="205" customWidth="1"/>
    <col min="2825" max="2825" width="21.140625" style="205" customWidth="1"/>
    <col min="2826" max="2826" width="9.42578125" style="205" customWidth="1"/>
    <col min="2827" max="2827" width="3.140625" style="205" customWidth="1"/>
    <col min="2828" max="2828" width="7.7109375" style="205" customWidth="1"/>
    <col min="2829" max="2829" width="3.140625" style="205" customWidth="1"/>
    <col min="2830" max="2830" width="7.7109375" style="205" customWidth="1"/>
    <col min="2831" max="2831" width="3.140625" style="205" customWidth="1"/>
    <col min="2832" max="2832" width="7.7109375" style="205" customWidth="1"/>
    <col min="2833" max="2833" width="3.140625" style="205" customWidth="1"/>
    <col min="2834" max="2834" width="10.28515625" style="205" customWidth="1"/>
    <col min="2835" max="2835" width="11.7109375" style="205" customWidth="1"/>
    <col min="2836" max="2836" width="7.42578125" style="205" customWidth="1"/>
    <col min="2837" max="2837" width="1.85546875" style="205" customWidth="1"/>
    <col min="2838" max="2838" width="15" style="205" customWidth="1"/>
    <col min="2839" max="2840" width="9.140625" style="205" customWidth="1"/>
    <col min="2841" max="2841" width="15.28515625" style="205" customWidth="1"/>
    <col min="2842" max="3065" width="9.140625" style="205" customWidth="1"/>
    <col min="3066" max="3066" width="5.42578125" style="205" customWidth="1"/>
    <col min="3067" max="3067" width="4.42578125" style="205" customWidth="1"/>
    <col min="3068" max="3068" width="2.7109375" style="205" customWidth="1"/>
    <col min="3069" max="3070" width="9.140625" style="205" customWidth="1"/>
    <col min="3071" max="3071" width="4.5703125" style="205" customWidth="1"/>
    <col min="3072" max="3072" width="19.7109375" style="205" customWidth="1"/>
    <col min="3073" max="3073" width="7.7109375" style="205" customWidth="1"/>
    <col min="3074" max="3074" width="3.140625" style="205"/>
    <col min="3075" max="3075" width="5.42578125" style="205" customWidth="1"/>
    <col min="3076" max="3076" width="4.42578125" style="205" customWidth="1"/>
    <col min="3077" max="3077" width="2.7109375" style="205" customWidth="1"/>
    <col min="3078" max="3079" width="9.140625" style="205" customWidth="1"/>
    <col min="3080" max="3080" width="4.5703125" style="205" customWidth="1"/>
    <col min="3081" max="3081" width="21.140625" style="205" customWidth="1"/>
    <col min="3082" max="3082" width="9.42578125" style="205" customWidth="1"/>
    <col min="3083" max="3083" width="3.140625" style="205" customWidth="1"/>
    <col min="3084" max="3084" width="7.7109375" style="205" customWidth="1"/>
    <col min="3085" max="3085" width="3.140625" style="205" customWidth="1"/>
    <col min="3086" max="3086" width="7.7109375" style="205" customWidth="1"/>
    <col min="3087" max="3087" width="3.140625" style="205" customWidth="1"/>
    <col min="3088" max="3088" width="7.7109375" style="205" customWidth="1"/>
    <col min="3089" max="3089" width="3.140625" style="205" customWidth="1"/>
    <col min="3090" max="3090" width="10.28515625" style="205" customWidth="1"/>
    <col min="3091" max="3091" width="11.7109375" style="205" customWidth="1"/>
    <col min="3092" max="3092" width="7.42578125" style="205" customWidth="1"/>
    <col min="3093" max="3093" width="1.85546875" style="205" customWidth="1"/>
    <col min="3094" max="3094" width="15" style="205" customWidth="1"/>
    <col min="3095" max="3096" width="9.140625" style="205" customWidth="1"/>
    <col min="3097" max="3097" width="15.28515625" style="205" customWidth="1"/>
    <col min="3098" max="3321" width="9.140625" style="205" customWidth="1"/>
    <col min="3322" max="3322" width="5.42578125" style="205" customWidth="1"/>
    <col min="3323" max="3323" width="4.42578125" style="205" customWidth="1"/>
    <col min="3324" max="3324" width="2.7109375" style="205" customWidth="1"/>
    <col min="3325" max="3326" width="9.140625" style="205" customWidth="1"/>
    <col min="3327" max="3327" width="4.5703125" style="205" customWidth="1"/>
    <col min="3328" max="3328" width="19.7109375" style="205" customWidth="1"/>
    <col min="3329" max="3329" width="7.7109375" style="205" customWidth="1"/>
    <col min="3330" max="3330" width="3.140625" style="205"/>
    <col min="3331" max="3331" width="5.42578125" style="205" customWidth="1"/>
    <col min="3332" max="3332" width="4.42578125" style="205" customWidth="1"/>
    <col min="3333" max="3333" width="2.7109375" style="205" customWidth="1"/>
    <col min="3334" max="3335" width="9.140625" style="205" customWidth="1"/>
    <col min="3336" max="3336" width="4.5703125" style="205" customWidth="1"/>
    <col min="3337" max="3337" width="21.140625" style="205" customWidth="1"/>
    <col min="3338" max="3338" width="9.42578125" style="205" customWidth="1"/>
    <col min="3339" max="3339" width="3.140625" style="205" customWidth="1"/>
    <col min="3340" max="3340" width="7.7109375" style="205" customWidth="1"/>
    <col min="3341" max="3341" width="3.140625" style="205" customWidth="1"/>
    <col min="3342" max="3342" width="7.7109375" style="205" customWidth="1"/>
    <col min="3343" max="3343" width="3.140625" style="205" customWidth="1"/>
    <col min="3344" max="3344" width="7.7109375" style="205" customWidth="1"/>
    <col min="3345" max="3345" width="3.140625" style="205" customWidth="1"/>
    <col min="3346" max="3346" width="10.28515625" style="205" customWidth="1"/>
    <col min="3347" max="3347" width="11.7109375" style="205" customWidth="1"/>
    <col min="3348" max="3348" width="7.42578125" style="205" customWidth="1"/>
    <col min="3349" max="3349" width="1.85546875" style="205" customWidth="1"/>
    <col min="3350" max="3350" width="15" style="205" customWidth="1"/>
    <col min="3351" max="3352" width="9.140625" style="205" customWidth="1"/>
    <col min="3353" max="3353" width="15.28515625" style="205" customWidth="1"/>
    <col min="3354" max="3577" width="9.140625" style="205" customWidth="1"/>
    <col min="3578" max="3578" width="5.42578125" style="205" customWidth="1"/>
    <col min="3579" max="3579" width="4.42578125" style="205" customWidth="1"/>
    <col min="3580" max="3580" width="2.7109375" style="205" customWidth="1"/>
    <col min="3581" max="3582" width="9.140625" style="205" customWidth="1"/>
    <col min="3583" max="3583" width="4.5703125" style="205" customWidth="1"/>
    <col min="3584" max="3584" width="19.7109375" style="205" customWidth="1"/>
    <col min="3585" max="3585" width="7.7109375" style="205" customWidth="1"/>
    <col min="3586" max="3586" width="3.140625" style="205"/>
    <col min="3587" max="3587" width="5.42578125" style="205" customWidth="1"/>
    <col min="3588" max="3588" width="4.42578125" style="205" customWidth="1"/>
    <col min="3589" max="3589" width="2.7109375" style="205" customWidth="1"/>
    <col min="3590" max="3591" width="9.140625" style="205" customWidth="1"/>
    <col min="3592" max="3592" width="4.5703125" style="205" customWidth="1"/>
    <col min="3593" max="3593" width="21.140625" style="205" customWidth="1"/>
    <col min="3594" max="3594" width="9.42578125" style="205" customWidth="1"/>
    <col min="3595" max="3595" width="3.140625" style="205" customWidth="1"/>
    <col min="3596" max="3596" width="7.7109375" style="205" customWidth="1"/>
    <col min="3597" max="3597" width="3.140625" style="205" customWidth="1"/>
    <col min="3598" max="3598" width="7.7109375" style="205" customWidth="1"/>
    <col min="3599" max="3599" width="3.140625" style="205" customWidth="1"/>
    <col min="3600" max="3600" width="7.7109375" style="205" customWidth="1"/>
    <col min="3601" max="3601" width="3.140625" style="205" customWidth="1"/>
    <col min="3602" max="3602" width="10.28515625" style="205" customWidth="1"/>
    <col min="3603" max="3603" width="11.7109375" style="205" customWidth="1"/>
    <col min="3604" max="3604" width="7.42578125" style="205" customWidth="1"/>
    <col min="3605" max="3605" width="1.85546875" style="205" customWidth="1"/>
    <col min="3606" max="3606" width="15" style="205" customWidth="1"/>
    <col min="3607" max="3608" width="9.140625" style="205" customWidth="1"/>
    <col min="3609" max="3609" width="15.28515625" style="205" customWidth="1"/>
    <col min="3610" max="3833" width="9.140625" style="205" customWidth="1"/>
    <col min="3834" max="3834" width="5.42578125" style="205" customWidth="1"/>
    <col min="3835" max="3835" width="4.42578125" style="205" customWidth="1"/>
    <col min="3836" max="3836" width="2.7109375" style="205" customWidth="1"/>
    <col min="3837" max="3838" width="9.140625" style="205" customWidth="1"/>
    <col min="3839" max="3839" width="4.5703125" style="205" customWidth="1"/>
    <col min="3840" max="3840" width="19.7109375" style="205" customWidth="1"/>
    <col min="3841" max="3841" width="7.7109375" style="205" customWidth="1"/>
    <col min="3842" max="3842" width="3.140625" style="205"/>
    <col min="3843" max="3843" width="5.42578125" style="205" customWidth="1"/>
    <col min="3844" max="3844" width="4.42578125" style="205" customWidth="1"/>
    <col min="3845" max="3845" width="2.7109375" style="205" customWidth="1"/>
    <col min="3846" max="3847" width="9.140625" style="205" customWidth="1"/>
    <col min="3848" max="3848" width="4.5703125" style="205" customWidth="1"/>
    <col min="3849" max="3849" width="21.140625" style="205" customWidth="1"/>
    <col min="3850" max="3850" width="9.42578125" style="205" customWidth="1"/>
    <col min="3851" max="3851" width="3.140625" style="205" customWidth="1"/>
    <col min="3852" max="3852" width="7.7109375" style="205" customWidth="1"/>
    <col min="3853" max="3853" width="3.140625" style="205" customWidth="1"/>
    <col min="3854" max="3854" width="7.7109375" style="205" customWidth="1"/>
    <col min="3855" max="3855" width="3.140625" style="205" customWidth="1"/>
    <col min="3856" max="3856" width="7.7109375" style="205" customWidth="1"/>
    <col min="3857" max="3857" width="3.140625" style="205" customWidth="1"/>
    <col min="3858" max="3858" width="10.28515625" style="205" customWidth="1"/>
    <col min="3859" max="3859" width="11.7109375" style="205" customWidth="1"/>
    <col min="3860" max="3860" width="7.42578125" style="205" customWidth="1"/>
    <col min="3861" max="3861" width="1.85546875" style="205" customWidth="1"/>
    <col min="3862" max="3862" width="15" style="205" customWidth="1"/>
    <col min="3863" max="3864" width="9.140625" style="205" customWidth="1"/>
    <col min="3865" max="3865" width="15.28515625" style="205" customWidth="1"/>
    <col min="3866" max="4089" width="9.140625" style="205" customWidth="1"/>
    <col min="4090" max="4090" width="5.42578125" style="205" customWidth="1"/>
    <col min="4091" max="4091" width="4.42578125" style="205" customWidth="1"/>
    <col min="4092" max="4092" width="2.7109375" style="205" customWidth="1"/>
    <col min="4093" max="4094" width="9.140625" style="205" customWidth="1"/>
    <col min="4095" max="4095" width="4.5703125" style="205" customWidth="1"/>
    <col min="4096" max="4096" width="19.7109375" style="205" customWidth="1"/>
    <col min="4097" max="4097" width="7.7109375" style="205" customWidth="1"/>
    <col min="4098" max="4098" width="3.140625" style="205"/>
    <col min="4099" max="4099" width="5.42578125" style="205" customWidth="1"/>
    <col min="4100" max="4100" width="4.42578125" style="205" customWidth="1"/>
    <col min="4101" max="4101" width="2.7109375" style="205" customWidth="1"/>
    <col min="4102" max="4103" width="9.140625" style="205" customWidth="1"/>
    <col min="4104" max="4104" width="4.5703125" style="205" customWidth="1"/>
    <col min="4105" max="4105" width="21.140625" style="205" customWidth="1"/>
    <col min="4106" max="4106" width="9.42578125" style="205" customWidth="1"/>
    <col min="4107" max="4107" width="3.140625" style="205" customWidth="1"/>
    <col min="4108" max="4108" width="7.7109375" style="205" customWidth="1"/>
    <col min="4109" max="4109" width="3.140625" style="205" customWidth="1"/>
    <col min="4110" max="4110" width="7.7109375" style="205" customWidth="1"/>
    <col min="4111" max="4111" width="3.140625" style="205" customWidth="1"/>
    <col min="4112" max="4112" width="7.7109375" style="205" customWidth="1"/>
    <col min="4113" max="4113" width="3.140625" style="205" customWidth="1"/>
    <col min="4114" max="4114" width="10.28515625" style="205" customWidth="1"/>
    <col min="4115" max="4115" width="11.7109375" style="205" customWidth="1"/>
    <col min="4116" max="4116" width="7.42578125" style="205" customWidth="1"/>
    <col min="4117" max="4117" width="1.85546875" style="205" customWidth="1"/>
    <col min="4118" max="4118" width="15" style="205" customWidth="1"/>
    <col min="4119" max="4120" width="9.140625" style="205" customWidth="1"/>
    <col min="4121" max="4121" width="15.28515625" style="205" customWidth="1"/>
    <col min="4122" max="4345" width="9.140625" style="205" customWidth="1"/>
    <col min="4346" max="4346" width="5.42578125" style="205" customWidth="1"/>
    <col min="4347" max="4347" width="4.42578125" style="205" customWidth="1"/>
    <col min="4348" max="4348" width="2.7109375" style="205" customWidth="1"/>
    <col min="4349" max="4350" width="9.140625" style="205" customWidth="1"/>
    <col min="4351" max="4351" width="4.5703125" style="205" customWidth="1"/>
    <col min="4352" max="4352" width="19.7109375" style="205" customWidth="1"/>
    <col min="4353" max="4353" width="7.7109375" style="205" customWidth="1"/>
    <col min="4354" max="4354" width="3.140625" style="205"/>
    <col min="4355" max="4355" width="5.42578125" style="205" customWidth="1"/>
    <col min="4356" max="4356" width="4.42578125" style="205" customWidth="1"/>
    <col min="4357" max="4357" width="2.7109375" style="205" customWidth="1"/>
    <col min="4358" max="4359" width="9.140625" style="205" customWidth="1"/>
    <col min="4360" max="4360" width="4.5703125" style="205" customWidth="1"/>
    <col min="4361" max="4361" width="21.140625" style="205" customWidth="1"/>
    <col min="4362" max="4362" width="9.42578125" style="205" customWidth="1"/>
    <col min="4363" max="4363" width="3.140625" style="205" customWidth="1"/>
    <col min="4364" max="4364" width="7.7109375" style="205" customWidth="1"/>
    <col min="4365" max="4365" width="3.140625" style="205" customWidth="1"/>
    <col min="4366" max="4366" width="7.7109375" style="205" customWidth="1"/>
    <col min="4367" max="4367" width="3.140625" style="205" customWidth="1"/>
    <col min="4368" max="4368" width="7.7109375" style="205" customWidth="1"/>
    <col min="4369" max="4369" width="3.140625" style="205" customWidth="1"/>
    <col min="4370" max="4370" width="10.28515625" style="205" customWidth="1"/>
    <col min="4371" max="4371" width="11.7109375" style="205" customWidth="1"/>
    <col min="4372" max="4372" width="7.42578125" style="205" customWidth="1"/>
    <col min="4373" max="4373" width="1.85546875" style="205" customWidth="1"/>
    <col min="4374" max="4374" width="15" style="205" customWidth="1"/>
    <col min="4375" max="4376" width="9.140625" style="205" customWidth="1"/>
    <col min="4377" max="4377" width="15.28515625" style="205" customWidth="1"/>
    <col min="4378" max="4601" width="9.140625" style="205" customWidth="1"/>
    <col min="4602" max="4602" width="5.42578125" style="205" customWidth="1"/>
    <col min="4603" max="4603" width="4.42578125" style="205" customWidth="1"/>
    <col min="4604" max="4604" width="2.7109375" style="205" customWidth="1"/>
    <col min="4605" max="4606" width="9.140625" style="205" customWidth="1"/>
    <col min="4607" max="4607" width="4.5703125" style="205" customWidth="1"/>
    <col min="4608" max="4608" width="19.7109375" style="205" customWidth="1"/>
    <col min="4609" max="4609" width="7.7109375" style="205" customWidth="1"/>
    <col min="4610" max="4610" width="3.140625" style="205"/>
    <col min="4611" max="4611" width="5.42578125" style="205" customWidth="1"/>
    <col min="4612" max="4612" width="4.42578125" style="205" customWidth="1"/>
    <col min="4613" max="4613" width="2.7109375" style="205" customWidth="1"/>
    <col min="4614" max="4615" width="9.140625" style="205" customWidth="1"/>
    <col min="4616" max="4616" width="4.5703125" style="205" customWidth="1"/>
    <col min="4617" max="4617" width="21.140625" style="205" customWidth="1"/>
    <col min="4618" max="4618" width="9.42578125" style="205" customWidth="1"/>
    <col min="4619" max="4619" width="3.140625" style="205" customWidth="1"/>
    <col min="4620" max="4620" width="7.7109375" style="205" customWidth="1"/>
    <col min="4621" max="4621" width="3.140625" style="205" customWidth="1"/>
    <col min="4622" max="4622" width="7.7109375" style="205" customWidth="1"/>
    <col min="4623" max="4623" width="3.140625" style="205" customWidth="1"/>
    <col min="4624" max="4624" width="7.7109375" style="205" customWidth="1"/>
    <col min="4625" max="4625" width="3.140625" style="205" customWidth="1"/>
    <col min="4626" max="4626" width="10.28515625" style="205" customWidth="1"/>
    <col min="4627" max="4627" width="11.7109375" style="205" customWidth="1"/>
    <col min="4628" max="4628" width="7.42578125" style="205" customWidth="1"/>
    <col min="4629" max="4629" width="1.85546875" style="205" customWidth="1"/>
    <col min="4630" max="4630" width="15" style="205" customWidth="1"/>
    <col min="4631" max="4632" width="9.140625" style="205" customWidth="1"/>
    <col min="4633" max="4633" width="15.28515625" style="205" customWidth="1"/>
    <col min="4634" max="4857" width="9.140625" style="205" customWidth="1"/>
    <col min="4858" max="4858" width="5.42578125" style="205" customWidth="1"/>
    <col min="4859" max="4859" width="4.42578125" style="205" customWidth="1"/>
    <col min="4860" max="4860" width="2.7109375" style="205" customWidth="1"/>
    <col min="4861" max="4862" width="9.140625" style="205" customWidth="1"/>
    <col min="4863" max="4863" width="4.5703125" style="205" customWidth="1"/>
    <col min="4864" max="4864" width="19.7109375" style="205" customWidth="1"/>
    <col min="4865" max="4865" width="7.7109375" style="205" customWidth="1"/>
    <col min="4866" max="4866" width="3.140625" style="205"/>
    <col min="4867" max="4867" width="5.42578125" style="205" customWidth="1"/>
    <col min="4868" max="4868" width="4.42578125" style="205" customWidth="1"/>
    <col min="4869" max="4869" width="2.7109375" style="205" customWidth="1"/>
    <col min="4870" max="4871" width="9.140625" style="205" customWidth="1"/>
    <col min="4872" max="4872" width="4.5703125" style="205" customWidth="1"/>
    <col min="4873" max="4873" width="21.140625" style="205" customWidth="1"/>
    <col min="4874" max="4874" width="9.42578125" style="205" customWidth="1"/>
    <col min="4875" max="4875" width="3.140625" style="205" customWidth="1"/>
    <col min="4876" max="4876" width="7.7109375" style="205" customWidth="1"/>
    <col min="4877" max="4877" width="3.140625" style="205" customWidth="1"/>
    <col min="4878" max="4878" width="7.7109375" style="205" customWidth="1"/>
    <col min="4879" max="4879" width="3.140625" style="205" customWidth="1"/>
    <col min="4880" max="4880" width="7.7109375" style="205" customWidth="1"/>
    <col min="4881" max="4881" width="3.140625" style="205" customWidth="1"/>
    <col min="4882" max="4882" width="10.28515625" style="205" customWidth="1"/>
    <col min="4883" max="4883" width="11.7109375" style="205" customWidth="1"/>
    <col min="4884" max="4884" width="7.42578125" style="205" customWidth="1"/>
    <col min="4885" max="4885" width="1.85546875" style="205" customWidth="1"/>
    <col min="4886" max="4886" width="15" style="205" customWidth="1"/>
    <col min="4887" max="4888" width="9.140625" style="205" customWidth="1"/>
    <col min="4889" max="4889" width="15.28515625" style="205" customWidth="1"/>
    <col min="4890" max="5113" width="9.140625" style="205" customWidth="1"/>
    <col min="5114" max="5114" width="5.42578125" style="205" customWidth="1"/>
    <col min="5115" max="5115" width="4.42578125" style="205" customWidth="1"/>
    <col min="5116" max="5116" width="2.7109375" style="205" customWidth="1"/>
    <col min="5117" max="5118" width="9.140625" style="205" customWidth="1"/>
    <col min="5119" max="5119" width="4.5703125" style="205" customWidth="1"/>
    <col min="5120" max="5120" width="19.7109375" style="205" customWidth="1"/>
    <col min="5121" max="5121" width="7.7109375" style="205" customWidth="1"/>
    <col min="5122" max="5122" width="3.140625" style="205"/>
    <col min="5123" max="5123" width="5.42578125" style="205" customWidth="1"/>
    <col min="5124" max="5124" width="4.42578125" style="205" customWidth="1"/>
    <col min="5125" max="5125" width="2.7109375" style="205" customWidth="1"/>
    <col min="5126" max="5127" width="9.140625" style="205" customWidth="1"/>
    <col min="5128" max="5128" width="4.5703125" style="205" customWidth="1"/>
    <col min="5129" max="5129" width="21.140625" style="205" customWidth="1"/>
    <col min="5130" max="5130" width="9.42578125" style="205" customWidth="1"/>
    <col min="5131" max="5131" width="3.140625" style="205" customWidth="1"/>
    <col min="5132" max="5132" width="7.7109375" style="205" customWidth="1"/>
    <col min="5133" max="5133" width="3.140625" style="205" customWidth="1"/>
    <col min="5134" max="5134" width="7.7109375" style="205" customWidth="1"/>
    <col min="5135" max="5135" width="3.140625" style="205" customWidth="1"/>
    <col min="5136" max="5136" width="7.7109375" style="205" customWidth="1"/>
    <col min="5137" max="5137" width="3.140625" style="205" customWidth="1"/>
    <col min="5138" max="5138" width="10.28515625" style="205" customWidth="1"/>
    <col min="5139" max="5139" width="11.7109375" style="205" customWidth="1"/>
    <col min="5140" max="5140" width="7.42578125" style="205" customWidth="1"/>
    <col min="5141" max="5141" width="1.85546875" style="205" customWidth="1"/>
    <col min="5142" max="5142" width="15" style="205" customWidth="1"/>
    <col min="5143" max="5144" width="9.140625" style="205" customWidth="1"/>
    <col min="5145" max="5145" width="15.28515625" style="205" customWidth="1"/>
    <col min="5146" max="5369" width="9.140625" style="205" customWidth="1"/>
    <col min="5370" max="5370" width="5.42578125" style="205" customWidth="1"/>
    <col min="5371" max="5371" width="4.42578125" style="205" customWidth="1"/>
    <col min="5372" max="5372" width="2.7109375" style="205" customWidth="1"/>
    <col min="5373" max="5374" width="9.140625" style="205" customWidth="1"/>
    <col min="5375" max="5375" width="4.5703125" style="205" customWidth="1"/>
    <col min="5376" max="5376" width="19.7109375" style="205" customWidth="1"/>
    <col min="5377" max="5377" width="7.7109375" style="205" customWidth="1"/>
    <col min="5378" max="5378" width="3.140625" style="205"/>
    <col min="5379" max="5379" width="5.42578125" style="205" customWidth="1"/>
    <col min="5380" max="5380" width="4.42578125" style="205" customWidth="1"/>
    <col min="5381" max="5381" width="2.7109375" style="205" customWidth="1"/>
    <col min="5382" max="5383" width="9.140625" style="205" customWidth="1"/>
    <col min="5384" max="5384" width="4.5703125" style="205" customWidth="1"/>
    <col min="5385" max="5385" width="21.140625" style="205" customWidth="1"/>
    <col min="5386" max="5386" width="9.42578125" style="205" customWidth="1"/>
    <col min="5387" max="5387" width="3.140625" style="205" customWidth="1"/>
    <col min="5388" max="5388" width="7.7109375" style="205" customWidth="1"/>
    <col min="5389" max="5389" width="3.140625" style="205" customWidth="1"/>
    <col min="5390" max="5390" width="7.7109375" style="205" customWidth="1"/>
    <col min="5391" max="5391" width="3.140625" style="205" customWidth="1"/>
    <col min="5392" max="5392" width="7.7109375" style="205" customWidth="1"/>
    <col min="5393" max="5393" width="3.140625" style="205" customWidth="1"/>
    <col min="5394" max="5394" width="10.28515625" style="205" customWidth="1"/>
    <col min="5395" max="5395" width="11.7109375" style="205" customWidth="1"/>
    <col min="5396" max="5396" width="7.42578125" style="205" customWidth="1"/>
    <col min="5397" max="5397" width="1.85546875" style="205" customWidth="1"/>
    <col min="5398" max="5398" width="15" style="205" customWidth="1"/>
    <col min="5399" max="5400" width="9.140625" style="205" customWidth="1"/>
    <col min="5401" max="5401" width="15.28515625" style="205" customWidth="1"/>
    <col min="5402" max="5625" width="9.140625" style="205" customWidth="1"/>
    <col min="5626" max="5626" width="5.42578125" style="205" customWidth="1"/>
    <col min="5627" max="5627" width="4.42578125" style="205" customWidth="1"/>
    <col min="5628" max="5628" width="2.7109375" style="205" customWidth="1"/>
    <col min="5629" max="5630" width="9.140625" style="205" customWidth="1"/>
    <col min="5631" max="5631" width="4.5703125" style="205" customWidth="1"/>
    <col min="5632" max="5632" width="19.7109375" style="205" customWidth="1"/>
    <col min="5633" max="5633" width="7.7109375" style="205" customWidth="1"/>
    <col min="5634" max="5634" width="3.140625" style="205"/>
    <col min="5635" max="5635" width="5.42578125" style="205" customWidth="1"/>
    <col min="5636" max="5636" width="4.42578125" style="205" customWidth="1"/>
    <col min="5637" max="5637" width="2.7109375" style="205" customWidth="1"/>
    <col min="5638" max="5639" width="9.140625" style="205" customWidth="1"/>
    <col min="5640" max="5640" width="4.5703125" style="205" customWidth="1"/>
    <col min="5641" max="5641" width="21.140625" style="205" customWidth="1"/>
    <col min="5642" max="5642" width="9.42578125" style="205" customWidth="1"/>
    <col min="5643" max="5643" width="3.140625" style="205" customWidth="1"/>
    <col min="5644" max="5644" width="7.7109375" style="205" customWidth="1"/>
    <col min="5645" max="5645" width="3.140625" style="205" customWidth="1"/>
    <col min="5646" max="5646" width="7.7109375" style="205" customWidth="1"/>
    <col min="5647" max="5647" width="3.140625" style="205" customWidth="1"/>
    <col min="5648" max="5648" width="7.7109375" style="205" customWidth="1"/>
    <col min="5649" max="5649" width="3.140625" style="205" customWidth="1"/>
    <col min="5650" max="5650" width="10.28515625" style="205" customWidth="1"/>
    <col min="5651" max="5651" width="11.7109375" style="205" customWidth="1"/>
    <col min="5652" max="5652" width="7.42578125" style="205" customWidth="1"/>
    <col min="5653" max="5653" width="1.85546875" style="205" customWidth="1"/>
    <col min="5654" max="5654" width="15" style="205" customWidth="1"/>
    <col min="5655" max="5656" width="9.140625" style="205" customWidth="1"/>
    <col min="5657" max="5657" width="15.28515625" style="205" customWidth="1"/>
    <col min="5658" max="5881" width="9.140625" style="205" customWidth="1"/>
    <col min="5882" max="5882" width="5.42578125" style="205" customWidth="1"/>
    <col min="5883" max="5883" width="4.42578125" style="205" customWidth="1"/>
    <col min="5884" max="5884" width="2.7109375" style="205" customWidth="1"/>
    <col min="5885" max="5886" width="9.140625" style="205" customWidth="1"/>
    <col min="5887" max="5887" width="4.5703125" style="205" customWidth="1"/>
    <col min="5888" max="5888" width="19.7109375" style="205" customWidth="1"/>
    <col min="5889" max="5889" width="7.7109375" style="205" customWidth="1"/>
    <col min="5890" max="5890" width="3.140625" style="205"/>
    <col min="5891" max="5891" width="5.42578125" style="205" customWidth="1"/>
    <col min="5892" max="5892" width="4.42578125" style="205" customWidth="1"/>
    <col min="5893" max="5893" width="2.7109375" style="205" customWidth="1"/>
    <col min="5894" max="5895" width="9.140625" style="205" customWidth="1"/>
    <col min="5896" max="5896" width="4.5703125" style="205" customWidth="1"/>
    <col min="5897" max="5897" width="21.140625" style="205" customWidth="1"/>
    <col min="5898" max="5898" width="9.42578125" style="205" customWidth="1"/>
    <col min="5899" max="5899" width="3.140625" style="205" customWidth="1"/>
    <col min="5900" max="5900" width="7.7109375" style="205" customWidth="1"/>
    <col min="5901" max="5901" width="3.140625" style="205" customWidth="1"/>
    <col min="5902" max="5902" width="7.7109375" style="205" customWidth="1"/>
    <col min="5903" max="5903" width="3.140625" style="205" customWidth="1"/>
    <col min="5904" max="5904" width="7.7109375" style="205" customWidth="1"/>
    <col min="5905" max="5905" width="3.140625" style="205" customWidth="1"/>
    <col min="5906" max="5906" width="10.28515625" style="205" customWidth="1"/>
    <col min="5907" max="5907" width="11.7109375" style="205" customWidth="1"/>
    <col min="5908" max="5908" width="7.42578125" style="205" customWidth="1"/>
    <col min="5909" max="5909" width="1.85546875" style="205" customWidth="1"/>
    <col min="5910" max="5910" width="15" style="205" customWidth="1"/>
    <col min="5911" max="5912" width="9.140625" style="205" customWidth="1"/>
    <col min="5913" max="5913" width="15.28515625" style="205" customWidth="1"/>
    <col min="5914" max="6137" width="9.140625" style="205" customWidth="1"/>
    <col min="6138" max="6138" width="5.42578125" style="205" customWidth="1"/>
    <col min="6139" max="6139" width="4.42578125" style="205" customWidth="1"/>
    <col min="6140" max="6140" width="2.7109375" style="205" customWidth="1"/>
    <col min="6141" max="6142" width="9.140625" style="205" customWidth="1"/>
    <col min="6143" max="6143" width="4.5703125" style="205" customWidth="1"/>
    <col min="6144" max="6144" width="19.7109375" style="205" customWidth="1"/>
    <col min="6145" max="6145" width="7.7109375" style="205" customWidth="1"/>
    <col min="6146" max="6146" width="3.140625" style="205"/>
    <col min="6147" max="6147" width="5.42578125" style="205" customWidth="1"/>
    <col min="6148" max="6148" width="4.42578125" style="205" customWidth="1"/>
    <col min="6149" max="6149" width="2.7109375" style="205" customWidth="1"/>
    <col min="6150" max="6151" width="9.140625" style="205" customWidth="1"/>
    <col min="6152" max="6152" width="4.5703125" style="205" customWidth="1"/>
    <col min="6153" max="6153" width="21.140625" style="205" customWidth="1"/>
    <col min="6154" max="6154" width="9.42578125" style="205" customWidth="1"/>
    <col min="6155" max="6155" width="3.140625" style="205" customWidth="1"/>
    <col min="6156" max="6156" width="7.7109375" style="205" customWidth="1"/>
    <col min="6157" max="6157" width="3.140625" style="205" customWidth="1"/>
    <col min="6158" max="6158" width="7.7109375" style="205" customWidth="1"/>
    <col min="6159" max="6159" width="3.140625" style="205" customWidth="1"/>
    <col min="6160" max="6160" width="7.7109375" style="205" customWidth="1"/>
    <col min="6161" max="6161" width="3.140625" style="205" customWidth="1"/>
    <col min="6162" max="6162" width="10.28515625" style="205" customWidth="1"/>
    <col min="6163" max="6163" width="11.7109375" style="205" customWidth="1"/>
    <col min="6164" max="6164" width="7.42578125" style="205" customWidth="1"/>
    <col min="6165" max="6165" width="1.85546875" style="205" customWidth="1"/>
    <col min="6166" max="6166" width="15" style="205" customWidth="1"/>
    <col min="6167" max="6168" width="9.140625" style="205" customWidth="1"/>
    <col min="6169" max="6169" width="15.28515625" style="205" customWidth="1"/>
    <col min="6170" max="6393" width="9.140625" style="205" customWidth="1"/>
    <col min="6394" max="6394" width="5.42578125" style="205" customWidth="1"/>
    <col min="6395" max="6395" width="4.42578125" style="205" customWidth="1"/>
    <col min="6396" max="6396" width="2.7109375" style="205" customWidth="1"/>
    <col min="6397" max="6398" width="9.140625" style="205" customWidth="1"/>
    <col min="6399" max="6399" width="4.5703125" style="205" customWidth="1"/>
    <col min="6400" max="6400" width="19.7109375" style="205" customWidth="1"/>
    <col min="6401" max="6401" width="7.7109375" style="205" customWidth="1"/>
    <col min="6402" max="6402" width="3.140625" style="205"/>
    <col min="6403" max="6403" width="5.42578125" style="205" customWidth="1"/>
    <col min="6404" max="6404" width="4.42578125" style="205" customWidth="1"/>
    <col min="6405" max="6405" width="2.7109375" style="205" customWidth="1"/>
    <col min="6406" max="6407" width="9.140625" style="205" customWidth="1"/>
    <col min="6408" max="6408" width="4.5703125" style="205" customWidth="1"/>
    <col min="6409" max="6409" width="21.140625" style="205" customWidth="1"/>
    <col min="6410" max="6410" width="9.42578125" style="205" customWidth="1"/>
    <col min="6411" max="6411" width="3.140625" style="205" customWidth="1"/>
    <col min="6412" max="6412" width="7.7109375" style="205" customWidth="1"/>
    <col min="6413" max="6413" width="3.140625" style="205" customWidth="1"/>
    <col min="6414" max="6414" width="7.7109375" style="205" customWidth="1"/>
    <col min="6415" max="6415" width="3.140625" style="205" customWidth="1"/>
    <col min="6416" max="6416" width="7.7109375" style="205" customWidth="1"/>
    <col min="6417" max="6417" width="3.140625" style="205" customWidth="1"/>
    <col min="6418" max="6418" width="10.28515625" style="205" customWidth="1"/>
    <col min="6419" max="6419" width="11.7109375" style="205" customWidth="1"/>
    <col min="6420" max="6420" width="7.42578125" style="205" customWidth="1"/>
    <col min="6421" max="6421" width="1.85546875" style="205" customWidth="1"/>
    <col min="6422" max="6422" width="15" style="205" customWidth="1"/>
    <col min="6423" max="6424" width="9.140625" style="205" customWidth="1"/>
    <col min="6425" max="6425" width="15.28515625" style="205" customWidth="1"/>
    <col min="6426" max="6649" width="9.140625" style="205" customWidth="1"/>
    <col min="6650" max="6650" width="5.42578125" style="205" customWidth="1"/>
    <col min="6651" max="6651" width="4.42578125" style="205" customWidth="1"/>
    <col min="6652" max="6652" width="2.7109375" style="205" customWidth="1"/>
    <col min="6653" max="6654" width="9.140625" style="205" customWidth="1"/>
    <col min="6655" max="6655" width="4.5703125" style="205" customWidth="1"/>
    <col min="6656" max="6656" width="19.7109375" style="205" customWidth="1"/>
    <col min="6657" max="6657" width="7.7109375" style="205" customWidth="1"/>
    <col min="6658" max="6658" width="3.140625" style="205"/>
    <col min="6659" max="6659" width="5.42578125" style="205" customWidth="1"/>
    <col min="6660" max="6660" width="4.42578125" style="205" customWidth="1"/>
    <col min="6661" max="6661" width="2.7109375" style="205" customWidth="1"/>
    <col min="6662" max="6663" width="9.140625" style="205" customWidth="1"/>
    <col min="6664" max="6664" width="4.5703125" style="205" customWidth="1"/>
    <col min="6665" max="6665" width="21.140625" style="205" customWidth="1"/>
    <col min="6666" max="6666" width="9.42578125" style="205" customWidth="1"/>
    <col min="6667" max="6667" width="3.140625" style="205" customWidth="1"/>
    <col min="6668" max="6668" width="7.7109375" style="205" customWidth="1"/>
    <col min="6669" max="6669" width="3.140625" style="205" customWidth="1"/>
    <col min="6670" max="6670" width="7.7109375" style="205" customWidth="1"/>
    <col min="6671" max="6671" width="3.140625" style="205" customWidth="1"/>
    <col min="6672" max="6672" width="7.7109375" style="205" customWidth="1"/>
    <col min="6673" max="6673" width="3.140625" style="205" customWidth="1"/>
    <col min="6674" max="6674" width="10.28515625" style="205" customWidth="1"/>
    <col min="6675" max="6675" width="11.7109375" style="205" customWidth="1"/>
    <col min="6676" max="6676" width="7.42578125" style="205" customWidth="1"/>
    <col min="6677" max="6677" width="1.85546875" style="205" customWidth="1"/>
    <col min="6678" max="6678" width="15" style="205" customWidth="1"/>
    <col min="6679" max="6680" width="9.140625" style="205" customWidth="1"/>
    <col min="6681" max="6681" width="15.28515625" style="205" customWidth="1"/>
    <col min="6682" max="6905" width="9.140625" style="205" customWidth="1"/>
    <col min="6906" max="6906" width="5.42578125" style="205" customWidth="1"/>
    <col min="6907" max="6907" width="4.42578125" style="205" customWidth="1"/>
    <col min="6908" max="6908" width="2.7109375" style="205" customWidth="1"/>
    <col min="6909" max="6910" width="9.140625" style="205" customWidth="1"/>
    <col min="6911" max="6911" width="4.5703125" style="205" customWidth="1"/>
    <col min="6912" max="6912" width="19.7109375" style="205" customWidth="1"/>
    <col min="6913" max="6913" width="7.7109375" style="205" customWidth="1"/>
    <col min="6914" max="6914" width="3.140625" style="205"/>
    <col min="6915" max="6915" width="5.42578125" style="205" customWidth="1"/>
    <col min="6916" max="6916" width="4.42578125" style="205" customWidth="1"/>
    <col min="6917" max="6917" width="2.7109375" style="205" customWidth="1"/>
    <col min="6918" max="6919" width="9.140625" style="205" customWidth="1"/>
    <col min="6920" max="6920" width="4.5703125" style="205" customWidth="1"/>
    <col min="6921" max="6921" width="21.140625" style="205" customWidth="1"/>
    <col min="6922" max="6922" width="9.42578125" style="205" customWidth="1"/>
    <col min="6923" max="6923" width="3.140625" style="205" customWidth="1"/>
    <col min="6924" max="6924" width="7.7109375" style="205" customWidth="1"/>
    <col min="6925" max="6925" width="3.140625" style="205" customWidth="1"/>
    <col min="6926" max="6926" width="7.7109375" style="205" customWidth="1"/>
    <col min="6927" max="6927" width="3.140625" style="205" customWidth="1"/>
    <col min="6928" max="6928" width="7.7109375" style="205" customWidth="1"/>
    <col min="6929" max="6929" width="3.140625" style="205" customWidth="1"/>
    <col min="6930" max="6930" width="10.28515625" style="205" customWidth="1"/>
    <col min="6931" max="6931" width="11.7109375" style="205" customWidth="1"/>
    <col min="6932" max="6932" width="7.42578125" style="205" customWidth="1"/>
    <col min="6933" max="6933" width="1.85546875" style="205" customWidth="1"/>
    <col min="6934" max="6934" width="15" style="205" customWidth="1"/>
    <col min="6935" max="6936" width="9.140625" style="205" customWidth="1"/>
    <col min="6937" max="6937" width="15.28515625" style="205" customWidth="1"/>
    <col min="6938" max="7161" width="9.140625" style="205" customWidth="1"/>
    <col min="7162" max="7162" width="5.42578125" style="205" customWidth="1"/>
    <col min="7163" max="7163" width="4.42578125" style="205" customWidth="1"/>
    <col min="7164" max="7164" width="2.7109375" style="205" customWidth="1"/>
    <col min="7165" max="7166" width="9.140625" style="205" customWidth="1"/>
    <col min="7167" max="7167" width="4.5703125" style="205" customWidth="1"/>
    <col min="7168" max="7168" width="19.7109375" style="205" customWidth="1"/>
    <col min="7169" max="7169" width="7.7109375" style="205" customWidth="1"/>
    <col min="7170" max="7170" width="3.140625" style="205"/>
    <col min="7171" max="7171" width="5.42578125" style="205" customWidth="1"/>
    <col min="7172" max="7172" width="4.42578125" style="205" customWidth="1"/>
    <col min="7173" max="7173" width="2.7109375" style="205" customWidth="1"/>
    <col min="7174" max="7175" width="9.140625" style="205" customWidth="1"/>
    <col min="7176" max="7176" width="4.5703125" style="205" customWidth="1"/>
    <col min="7177" max="7177" width="21.140625" style="205" customWidth="1"/>
    <col min="7178" max="7178" width="9.42578125" style="205" customWidth="1"/>
    <col min="7179" max="7179" width="3.140625" style="205" customWidth="1"/>
    <col min="7180" max="7180" width="7.7109375" style="205" customWidth="1"/>
    <col min="7181" max="7181" width="3.140625" style="205" customWidth="1"/>
    <col min="7182" max="7182" width="7.7109375" style="205" customWidth="1"/>
    <col min="7183" max="7183" width="3.140625" style="205" customWidth="1"/>
    <col min="7184" max="7184" width="7.7109375" style="205" customWidth="1"/>
    <col min="7185" max="7185" width="3.140625" style="205" customWidth="1"/>
    <col min="7186" max="7186" width="10.28515625" style="205" customWidth="1"/>
    <col min="7187" max="7187" width="11.7109375" style="205" customWidth="1"/>
    <col min="7188" max="7188" width="7.42578125" style="205" customWidth="1"/>
    <col min="7189" max="7189" width="1.85546875" style="205" customWidth="1"/>
    <col min="7190" max="7190" width="15" style="205" customWidth="1"/>
    <col min="7191" max="7192" width="9.140625" style="205" customWidth="1"/>
    <col min="7193" max="7193" width="15.28515625" style="205" customWidth="1"/>
    <col min="7194" max="7417" width="9.140625" style="205" customWidth="1"/>
    <col min="7418" max="7418" width="5.42578125" style="205" customWidth="1"/>
    <col min="7419" max="7419" width="4.42578125" style="205" customWidth="1"/>
    <col min="7420" max="7420" width="2.7109375" style="205" customWidth="1"/>
    <col min="7421" max="7422" width="9.140625" style="205" customWidth="1"/>
    <col min="7423" max="7423" width="4.5703125" style="205" customWidth="1"/>
    <col min="7424" max="7424" width="19.7109375" style="205" customWidth="1"/>
    <col min="7425" max="7425" width="7.7109375" style="205" customWidth="1"/>
    <col min="7426" max="7426" width="3.140625" style="205"/>
    <col min="7427" max="7427" width="5.42578125" style="205" customWidth="1"/>
    <col min="7428" max="7428" width="4.42578125" style="205" customWidth="1"/>
    <col min="7429" max="7429" width="2.7109375" style="205" customWidth="1"/>
    <col min="7430" max="7431" width="9.140625" style="205" customWidth="1"/>
    <col min="7432" max="7432" width="4.5703125" style="205" customWidth="1"/>
    <col min="7433" max="7433" width="21.140625" style="205" customWidth="1"/>
    <col min="7434" max="7434" width="9.42578125" style="205" customWidth="1"/>
    <col min="7435" max="7435" width="3.140625" style="205" customWidth="1"/>
    <col min="7436" max="7436" width="7.7109375" style="205" customWidth="1"/>
    <col min="7437" max="7437" width="3.140625" style="205" customWidth="1"/>
    <col min="7438" max="7438" width="7.7109375" style="205" customWidth="1"/>
    <col min="7439" max="7439" width="3.140625" style="205" customWidth="1"/>
    <col min="7440" max="7440" width="7.7109375" style="205" customWidth="1"/>
    <col min="7441" max="7441" width="3.140625" style="205" customWidth="1"/>
    <col min="7442" max="7442" width="10.28515625" style="205" customWidth="1"/>
    <col min="7443" max="7443" width="11.7109375" style="205" customWidth="1"/>
    <col min="7444" max="7444" width="7.42578125" style="205" customWidth="1"/>
    <col min="7445" max="7445" width="1.85546875" style="205" customWidth="1"/>
    <col min="7446" max="7446" width="15" style="205" customWidth="1"/>
    <col min="7447" max="7448" width="9.140625" style="205" customWidth="1"/>
    <col min="7449" max="7449" width="15.28515625" style="205" customWidth="1"/>
    <col min="7450" max="7673" width="9.140625" style="205" customWidth="1"/>
    <col min="7674" max="7674" width="5.42578125" style="205" customWidth="1"/>
    <col min="7675" max="7675" width="4.42578125" style="205" customWidth="1"/>
    <col min="7676" max="7676" width="2.7109375" style="205" customWidth="1"/>
    <col min="7677" max="7678" width="9.140625" style="205" customWidth="1"/>
    <col min="7679" max="7679" width="4.5703125" style="205" customWidth="1"/>
    <col min="7680" max="7680" width="19.7109375" style="205" customWidth="1"/>
    <col min="7681" max="7681" width="7.7109375" style="205" customWidth="1"/>
    <col min="7682" max="7682" width="3.140625" style="205"/>
    <col min="7683" max="7683" width="5.42578125" style="205" customWidth="1"/>
    <col min="7684" max="7684" width="4.42578125" style="205" customWidth="1"/>
    <col min="7685" max="7685" width="2.7109375" style="205" customWidth="1"/>
    <col min="7686" max="7687" width="9.140625" style="205" customWidth="1"/>
    <col min="7688" max="7688" width="4.5703125" style="205" customWidth="1"/>
    <col min="7689" max="7689" width="21.140625" style="205" customWidth="1"/>
    <col min="7690" max="7690" width="9.42578125" style="205" customWidth="1"/>
    <col min="7691" max="7691" width="3.140625" style="205" customWidth="1"/>
    <col min="7692" max="7692" width="7.7109375" style="205" customWidth="1"/>
    <col min="7693" max="7693" width="3.140625" style="205" customWidth="1"/>
    <col min="7694" max="7694" width="7.7109375" style="205" customWidth="1"/>
    <col min="7695" max="7695" width="3.140625" style="205" customWidth="1"/>
    <col min="7696" max="7696" width="7.7109375" style="205" customWidth="1"/>
    <col min="7697" max="7697" width="3.140625" style="205" customWidth="1"/>
    <col min="7698" max="7698" width="10.28515625" style="205" customWidth="1"/>
    <col min="7699" max="7699" width="11.7109375" style="205" customWidth="1"/>
    <col min="7700" max="7700" width="7.42578125" style="205" customWidth="1"/>
    <col min="7701" max="7701" width="1.85546875" style="205" customWidth="1"/>
    <col min="7702" max="7702" width="15" style="205" customWidth="1"/>
    <col min="7703" max="7704" width="9.140625" style="205" customWidth="1"/>
    <col min="7705" max="7705" width="15.28515625" style="205" customWidth="1"/>
    <col min="7706" max="7929" width="9.140625" style="205" customWidth="1"/>
    <col min="7930" max="7930" width="5.42578125" style="205" customWidth="1"/>
    <col min="7931" max="7931" width="4.42578125" style="205" customWidth="1"/>
    <col min="7932" max="7932" width="2.7109375" style="205" customWidth="1"/>
    <col min="7933" max="7934" width="9.140625" style="205" customWidth="1"/>
    <col min="7935" max="7935" width="4.5703125" style="205" customWidth="1"/>
    <col min="7936" max="7936" width="19.7109375" style="205" customWidth="1"/>
    <col min="7937" max="7937" width="7.7109375" style="205" customWidth="1"/>
    <col min="7938" max="7938" width="3.140625" style="205"/>
    <col min="7939" max="7939" width="5.42578125" style="205" customWidth="1"/>
    <col min="7940" max="7940" width="4.42578125" style="205" customWidth="1"/>
    <col min="7941" max="7941" width="2.7109375" style="205" customWidth="1"/>
    <col min="7942" max="7943" width="9.140625" style="205" customWidth="1"/>
    <col min="7944" max="7944" width="4.5703125" style="205" customWidth="1"/>
    <col min="7945" max="7945" width="21.140625" style="205" customWidth="1"/>
    <col min="7946" max="7946" width="9.42578125" style="205" customWidth="1"/>
    <col min="7947" max="7947" width="3.140625" style="205" customWidth="1"/>
    <col min="7948" max="7948" width="7.7109375" style="205" customWidth="1"/>
    <col min="7949" max="7949" width="3.140625" style="205" customWidth="1"/>
    <col min="7950" max="7950" width="7.7109375" style="205" customWidth="1"/>
    <col min="7951" max="7951" width="3.140625" style="205" customWidth="1"/>
    <col min="7952" max="7952" width="7.7109375" style="205" customWidth="1"/>
    <col min="7953" max="7953" width="3.140625" style="205" customWidth="1"/>
    <col min="7954" max="7954" width="10.28515625" style="205" customWidth="1"/>
    <col min="7955" max="7955" width="11.7109375" style="205" customWidth="1"/>
    <col min="7956" max="7956" width="7.42578125" style="205" customWidth="1"/>
    <col min="7957" max="7957" width="1.85546875" style="205" customWidth="1"/>
    <col min="7958" max="7958" width="15" style="205" customWidth="1"/>
    <col min="7959" max="7960" width="9.140625" style="205" customWidth="1"/>
    <col min="7961" max="7961" width="15.28515625" style="205" customWidth="1"/>
    <col min="7962" max="8185" width="9.140625" style="205" customWidth="1"/>
    <col min="8186" max="8186" width="5.42578125" style="205" customWidth="1"/>
    <col min="8187" max="8187" width="4.42578125" style="205" customWidth="1"/>
    <col min="8188" max="8188" width="2.7109375" style="205" customWidth="1"/>
    <col min="8189" max="8190" width="9.140625" style="205" customWidth="1"/>
    <col min="8191" max="8191" width="4.5703125" style="205" customWidth="1"/>
    <col min="8192" max="8192" width="19.7109375" style="205" customWidth="1"/>
    <col min="8193" max="8193" width="7.7109375" style="205" customWidth="1"/>
    <col min="8194" max="8194" width="3.140625" style="205"/>
    <col min="8195" max="8195" width="5.42578125" style="205" customWidth="1"/>
    <col min="8196" max="8196" width="4.42578125" style="205" customWidth="1"/>
    <col min="8197" max="8197" width="2.7109375" style="205" customWidth="1"/>
    <col min="8198" max="8199" width="9.140625" style="205" customWidth="1"/>
    <col min="8200" max="8200" width="4.5703125" style="205" customWidth="1"/>
    <col min="8201" max="8201" width="21.140625" style="205" customWidth="1"/>
    <col min="8202" max="8202" width="9.42578125" style="205" customWidth="1"/>
    <col min="8203" max="8203" width="3.140625" style="205" customWidth="1"/>
    <col min="8204" max="8204" width="7.7109375" style="205" customWidth="1"/>
    <col min="8205" max="8205" width="3.140625" style="205" customWidth="1"/>
    <col min="8206" max="8206" width="7.7109375" style="205" customWidth="1"/>
    <col min="8207" max="8207" width="3.140625" style="205" customWidth="1"/>
    <col min="8208" max="8208" width="7.7109375" style="205" customWidth="1"/>
    <col min="8209" max="8209" width="3.140625" style="205" customWidth="1"/>
    <col min="8210" max="8210" width="10.28515625" style="205" customWidth="1"/>
    <col min="8211" max="8211" width="11.7109375" style="205" customWidth="1"/>
    <col min="8212" max="8212" width="7.42578125" style="205" customWidth="1"/>
    <col min="8213" max="8213" width="1.85546875" style="205" customWidth="1"/>
    <col min="8214" max="8214" width="15" style="205" customWidth="1"/>
    <col min="8215" max="8216" width="9.140625" style="205" customWidth="1"/>
    <col min="8217" max="8217" width="15.28515625" style="205" customWidth="1"/>
    <col min="8218" max="8441" width="9.140625" style="205" customWidth="1"/>
    <col min="8442" max="8442" width="5.42578125" style="205" customWidth="1"/>
    <col min="8443" max="8443" width="4.42578125" style="205" customWidth="1"/>
    <col min="8444" max="8444" width="2.7109375" style="205" customWidth="1"/>
    <col min="8445" max="8446" width="9.140625" style="205" customWidth="1"/>
    <col min="8447" max="8447" width="4.5703125" style="205" customWidth="1"/>
    <col min="8448" max="8448" width="19.7109375" style="205" customWidth="1"/>
    <col min="8449" max="8449" width="7.7109375" style="205" customWidth="1"/>
    <col min="8450" max="8450" width="3.140625" style="205"/>
    <col min="8451" max="8451" width="5.42578125" style="205" customWidth="1"/>
    <col min="8452" max="8452" width="4.42578125" style="205" customWidth="1"/>
    <col min="8453" max="8453" width="2.7109375" style="205" customWidth="1"/>
    <col min="8454" max="8455" width="9.140625" style="205" customWidth="1"/>
    <col min="8456" max="8456" width="4.5703125" style="205" customWidth="1"/>
    <col min="8457" max="8457" width="21.140625" style="205" customWidth="1"/>
    <col min="8458" max="8458" width="9.42578125" style="205" customWidth="1"/>
    <col min="8459" max="8459" width="3.140625" style="205" customWidth="1"/>
    <col min="8460" max="8460" width="7.7109375" style="205" customWidth="1"/>
    <col min="8461" max="8461" width="3.140625" style="205" customWidth="1"/>
    <col min="8462" max="8462" width="7.7109375" style="205" customWidth="1"/>
    <col min="8463" max="8463" width="3.140625" style="205" customWidth="1"/>
    <col min="8464" max="8464" width="7.7109375" style="205" customWidth="1"/>
    <col min="8465" max="8465" width="3.140625" style="205" customWidth="1"/>
    <col min="8466" max="8466" width="10.28515625" style="205" customWidth="1"/>
    <col min="8467" max="8467" width="11.7109375" style="205" customWidth="1"/>
    <col min="8468" max="8468" width="7.42578125" style="205" customWidth="1"/>
    <col min="8469" max="8469" width="1.85546875" style="205" customWidth="1"/>
    <col min="8470" max="8470" width="15" style="205" customWidth="1"/>
    <col min="8471" max="8472" width="9.140625" style="205" customWidth="1"/>
    <col min="8473" max="8473" width="15.28515625" style="205" customWidth="1"/>
    <col min="8474" max="8697" width="9.140625" style="205" customWidth="1"/>
    <col min="8698" max="8698" width="5.42578125" style="205" customWidth="1"/>
    <col min="8699" max="8699" width="4.42578125" style="205" customWidth="1"/>
    <col min="8700" max="8700" width="2.7109375" style="205" customWidth="1"/>
    <col min="8701" max="8702" width="9.140625" style="205" customWidth="1"/>
    <col min="8703" max="8703" width="4.5703125" style="205" customWidth="1"/>
    <col min="8704" max="8704" width="19.7109375" style="205" customWidth="1"/>
    <col min="8705" max="8705" width="7.7109375" style="205" customWidth="1"/>
    <col min="8706" max="8706" width="3.140625" style="205"/>
    <col min="8707" max="8707" width="5.42578125" style="205" customWidth="1"/>
    <col min="8708" max="8708" width="4.42578125" style="205" customWidth="1"/>
    <col min="8709" max="8709" width="2.7109375" style="205" customWidth="1"/>
    <col min="8710" max="8711" width="9.140625" style="205" customWidth="1"/>
    <col min="8712" max="8712" width="4.5703125" style="205" customWidth="1"/>
    <col min="8713" max="8713" width="21.140625" style="205" customWidth="1"/>
    <col min="8714" max="8714" width="9.42578125" style="205" customWidth="1"/>
    <col min="8715" max="8715" width="3.140625" style="205" customWidth="1"/>
    <col min="8716" max="8716" width="7.7109375" style="205" customWidth="1"/>
    <col min="8717" max="8717" width="3.140625" style="205" customWidth="1"/>
    <col min="8718" max="8718" width="7.7109375" style="205" customWidth="1"/>
    <col min="8719" max="8719" width="3.140625" style="205" customWidth="1"/>
    <col min="8720" max="8720" width="7.7109375" style="205" customWidth="1"/>
    <col min="8721" max="8721" width="3.140625" style="205" customWidth="1"/>
    <col min="8722" max="8722" width="10.28515625" style="205" customWidth="1"/>
    <col min="8723" max="8723" width="11.7109375" style="205" customWidth="1"/>
    <col min="8724" max="8724" width="7.42578125" style="205" customWidth="1"/>
    <col min="8725" max="8725" width="1.85546875" style="205" customWidth="1"/>
    <col min="8726" max="8726" width="15" style="205" customWidth="1"/>
    <col min="8727" max="8728" width="9.140625" style="205" customWidth="1"/>
    <col min="8729" max="8729" width="15.28515625" style="205" customWidth="1"/>
    <col min="8730" max="8953" width="9.140625" style="205" customWidth="1"/>
    <col min="8954" max="8954" width="5.42578125" style="205" customWidth="1"/>
    <col min="8955" max="8955" width="4.42578125" style="205" customWidth="1"/>
    <col min="8956" max="8956" width="2.7109375" style="205" customWidth="1"/>
    <col min="8957" max="8958" width="9.140625" style="205" customWidth="1"/>
    <col min="8959" max="8959" width="4.5703125" style="205" customWidth="1"/>
    <col min="8960" max="8960" width="19.7109375" style="205" customWidth="1"/>
    <col min="8961" max="8961" width="7.7109375" style="205" customWidth="1"/>
    <col min="8962" max="8962" width="3.140625" style="205"/>
    <col min="8963" max="8963" width="5.42578125" style="205" customWidth="1"/>
    <col min="8964" max="8964" width="4.42578125" style="205" customWidth="1"/>
    <col min="8965" max="8965" width="2.7109375" style="205" customWidth="1"/>
    <col min="8966" max="8967" width="9.140625" style="205" customWidth="1"/>
    <col min="8968" max="8968" width="4.5703125" style="205" customWidth="1"/>
    <col min="8969" max="8969" width="21.140625" style="205" customWidth="1"/>
    <col min="8970" max="8970" width="9.42578125" style="205" customWidth="1"/>
    <col min="8971" max="8971" width="3.140625" style="205" customWidth="1"/>
    <col min="8972" max="8972" width="7.7109375" style="205" customWidth="1"/>
    <col min="8973" max="8973" width="3.140625" style="205" customWidth="1"/>
    <col min="8974" max="8974" width="7.7109375" style="205" customWidth="1"/>
    <col min="8975" max="8975" width="3.140625" style="205" customWidth="1"/>
    <col min="8976" max="8976" width="7.7109375" style="205" customWidth="1"/>
    <col min="8977" max="8977" width="3.140625" style="205" customWidth="1"/>
    <col min="8978" max="8978" width="10.28515625" style="205" customWidth="1"/>
    <col min="8979" max="8979" width="11.7109375" style="205" customWidth="1"/>
    <col min="8980" max="8980" width="7.42578125" style="205" customWidth="1"/>
    <col min="8981" max="8981" width="1.85546875" style="205" customWidth="1"/>
    <col min="8982" max="8982" width="15" style="205" customWidth="1"/>
    <col min="8983" max="8984" width="9.140625" style="205" customWidth="1"/>
    <col min="8985" max="8985" width="15.28515625" style="205" customWidth="1"/>
    <col min="8986" max="9209" width="9.140625" style="205" customWidth="1"/>
    <col min="9210" max="9210" width="5.42578125" style="205" customWidth="1"/>
    <col min="9211" max="9211" width="4.42578125" style="205" customWidth="1"/>
    <col min="9212" max="9212" width="2.7109375" style="205" customWidth="1"/>
    <col min="9213" max="9214" width="9.140625" style="205" customWidth="1"/>
    <col min="9215" max="9215" width="4.5703125" style="205" customWidth="1"/>
    <col min="9216" max="9216" width="19.7109375" style="205" customWidth="1"/>
    <col min="9217" max="9217" width="7.7109375" style="205" customWidth="1"/>
    <col min="9218" max="9218" width="3.140625" style="205"/>
    <col min="9219" max="9219" width="5.42578125" style="205" customWidth="1"/>
    <col min="9220" max="9220" width="4.42578125" style="205" customWidth="1"/>
    <col min="9221" max="9221" width="2.7109375" style="205" customWidth="1"/>
    <col min="9222" max="9223" width="9.140625" style="205" customWidth="1"/>
    <col min="9224" max="9224" width="4.5703125" style="205" customWidth="1"/>
    <col min="9225" max="9225" width="21.140625" style="205" customWidth="1"/>
    <col min="9226" max="9226" width="9.42578125" style="205" customWidth="1"/>
    <col min="9227" max="9227" width="3.140625" style="205" customWidth="1"/>
    <col min="9228" max="9228" width="7.7109375" style="205" customWidth="1"/>
    <col min="9229" max="9229" width="3.140625" style="205" customWidth="1"/>
    <col min="9230" max="9230" width="7.7109375" style="205" customWidth="1"/>
    <col min="9231" max="9231" width="3.140625" style="205" customWidth="1"/>
    <col min="9232" max="9232" width="7.7109375" style="205" customWidth="1"/>
    <col min="9233" max="9233" width="3.140625" style="205" customWidth="1"/>
    <col min="9234" max="9234" width="10.28515625" style="205" customWidth="1"/>
    <col min="9235" max="9235" width="11.7109375" style="205" customWidth="1"/>
    <col min="9236" max="9236" width="7.42578125" style="205" customWidth="1"/>
    <col min="9237" max="9237" width="1.85546875" style="205" customWidth="1"/>
    <col min="9238" max="9238" width="15" style="205" customWidth="1"/>
    <col min="9239" max="9240" width="9.140625" style="205" customWidth="1"/>
    <col min="9241" max="9241" width="15.28515625" style="205" customWidth="1"/>
    <col min="9242" max="9465" width="9.140625" style="205" customWidth="1"/>
    <col min="9466" max="9466" width="5.42578125" style="205" customWidth="1"/>
    <col min="9467" max="9467" width="4.42578125" style="205" customWidth="1"/>
    <col min="9468" max="9468" width="2.7109375" style="205" customWidth="1"/>
    <col min="9469" max="9470" width="9.140625" style="205" customWidth="1"/>
    <col min="9471" max="9471" width="4.5703125" style="205" customWidth="1"/>
    <col min="9472" max="9472" width="19.7109375" style="205" customWidth="1"/>
    <col min="9473" max="9473" width="7.7109375" style="205" customWidth="1"/>
    <col min="9474" max="9474" width="3.140625" style="205"/>
    <col min="9475" max="9475" width="5.42578125" style="205" customWidth="1"/>
    <col min="9476" max="9476" width="4.42578125" style="205" customWidth="1"/>
    <col min="9477" max="9477" width="2.7109375" style="205" customWidth="1"/>
    <col min="9478" max="9479" width="9.140625" style="205" customWidth="1"/>
    <col min="9480" max="9480" width="4.5703125" style="205" customWidth="1"/>
    <col min="9481" max="9481" width="21.140625" style="205" customWidth="1"/>
    <col min="9482" max="9482" width="9.42578125" style="205" customWidth="1"/>
    <col min="9483" max="9483" width="3.140625" style="205" customWidth="1"/>
    <col min="9484" max="9484" width="7.7109375" style="205" customWidth="1"/>
    <col min="9485" max="9485" width="3.140625" style="205" customWidth="1"/>
    <col min="9486" max="9486" width="7.7109375" style="205" customWidth="1"/>
    <col min="9487" max="9487" width="3.140625" style="205" customWidth="1"/>
    <col min="9488" max="9488" width="7.7109375" style="205" customWidth="1"/>
    <col min="9489" max="9489" width="3.140625" style="205" customWidth="1"/>
    <col min="9490" max="9490" width="10.28515625" style="205" customWidth="1"/>
    <col min="9491" max="9491" width="11.7109375" style="205" customWidth="1"/>
    <col min="9492" max="9492" width="7.42578125" style="205" customWidth="1"/>
    <col min="9493" max="9493" width="1.85546875" style="205" customWidth="1"/>
    <col min="9494" max="9494" width="15" style="205" customWidth="1"/>
    <col min="9495" max="9496" width="9.140625" style="205" customWidth="1"/>
    <col min="9497" max="9497" width="15.28515625" style="205" customWidth="1"/>
    <col min="9498" max="9721" width="9.140625" style="205" customWidth="1"/>
    <col min="9722" max="9722" width="5.42578125" style="205" customWidth="1"/>
    <col min="9723" max="9723" width="4.42578125" style="205" customWidth="1"/>
    <col min="9724" max="9724" width="2.7109375" style="205" customWidth="1"/>
    <col min="9725" max="9726" width="9.140625" style="205" customWidth="1"/>
    <col min="9727" max="9727" width="4.5703125" style="205" customWidth="1"/>
    <col min="9728" max="9728" width="19.7109375" style="205" customWidth="1"/>
    <col min="9729" max="9729" width="7.7109375" style="205" customWidth="1"/>
    <col min="9730" max="9730" width="3.140625" style="205"/>
    <col min="9731" max="9731" width="5.42578125" style="205" customWidth="1"/>
    <col min="9732" max="9732" width="4.42578125" style="205" customWidth="1"/>
    <col min="9733" max="9733" width="2.7109375" style="205" customWidth="1"/>
    <col min="9734" max="9735" width="9.140625" style="205" customWidth="1"/>
    <col min="9736" max="9736" width="4.5703125" style="205" customWidth="1"/>
    <col min="9737" max="9737" width="21.140625" style="205" customWidth="1"/>
    <col min="9738" max="9738" width="9.42578125" style="205" customWidth="1"/>
    <col min="9739" max="9739" width="3.140625" style="205" customWidth="1"/>
    <col min="9740" max="9740" width="7.7109375" style="205" customWidth="1"/>
    <col min="9741" max="9741" width="3.140625" style="205" customWidth="1"/>
    <col min="9742" max="9742" width="7.7109375" style="205" customWidth="1"/>
    <col min="9743" max="9743" width="3.140625" style="205" customWidth="1"/>
    <col min="9744" max="9744" width="7.7109375" style="205" customWidth="1"/>
    <col min="9745" max="9745" width="3.140625" style="205" customWidth="1"/>
    <col min="9746" max="9746" width="10.28515625" style="205" customWidth="1"/>
    <col min="9747" max="9747" width="11.7109375" style="205" customWidth="1"/>
    <col min="9748" max="9748" width="7.42578125" style="205" customWidth="1"/>
    <col min="9749" max="9749" width="1.85546875" style="205" customWidth="1"/>
    <col min="9750" max="9750" width="15" style="205" customWidth="1"/>
    <col min="9751" max="9752" width="9.140625" style="205" customWidth="1"/>
    <col min="9753" max="9753" width="15.28515625" style="205" customWidth="1"/>
    <col min="9754" max="9977" width="9.140625" style="205" customWidth="1"/>
    <col min="9978" max="9978" width="5.42578125" style="205" customWidth="1"/>
    <col min="9979" max="9979" width="4.42578125" style="205" customWidth="1"/>
    <col min="9980" max="9980" width="2.7109375" style="205" customWidth="1"/>
    <col min="9981" max="9982" width="9.140625" style="205" customWidth="1"/>
    <col min="9983" max="9983" width="4.5703125" style="205" customWidth="1"/>
    <col min="9984" max="9984" width="19.7109375" style="205" customWidth="1"/>
    <col min="9985" max="9985" width="7.7109375" style="205" customWidth="1"/>
    <col min="9986" max="9986" width="3.140625" style="205"/>
    <col min="9987" max="9987" width="5.42578125" style="205" customWidth="1"/>
    <col min="9988" max="9988" width="4.42578125" style="205" customWidth="1"/>
    <col min="9989" max="9989" width="2.7109375" style="205" customWidth="1"/>
    <col min="9990" max="9991" width="9.140625" style="205" customWidth="1"/>
    <col min="9992" max="9992" width="4.5703125" style="205" customWidth="1"/>
    <col min="9993" max="9993" width="21.140625" style="205" customWidth="1"/>
    <col min="9994" max="9994" width="9.42578125" style="205" customWidth="1"/>
    <col min="9995" max="9995" width="3.140625" style="205" customWidth="1"/>
    <col min="9996" max="9996" width="7.7109375" style="205" customWidth="1"/>
    <col min="9997" max="9997" width="3.140625" style="205" customWidth="1"/>
    <col min="9998" max="9998" width="7.7109375" style="205" customWidth="1"/>
    <col min="9999" max="9999" width="3.140625" style="205" customWidth="1"/>
    <col min="10000" max="10000" width="7.7109375" style="205" customWidth="1"/>
    <col min="10001" max="10001" width="3.140625" style="205" customWidth="1"/>
    <col min="10002" max="10002" width="10.28515625" style="205" customWidth="1"/>
    <col min="10003" max="10003" width="11.7109375" style="205" customWidth="1"/>
    <col min="10004" max="10004" width="7.42578125" style="205" customWidth="1"/>
    <col min="10005" max="10005" width="1.85546875" style="205" customWidth="1"/>
    <col min="10006" max="10006" width="15" style="205" customWidth="1"/>
    <col min="10007" max="10008" width="9.140625" style="205" customWidth="1"/>
    <col min="10009" max="10009" width="15.28515625" style="205" customWidth="1"/>
    <col min="10010" max="10233" width="9.140625" style="205" customWidth="1"/>
    <col min="10234" max="10234" width="5.42578125" style="205" customWidth="1"/>
    <col min="10235" max="10235" width="4.42578125" style="205" customWidth="1"/>
    <col min="10236" max="10236" width="2.7109375" style="205" customWidth="1"/>
    <col min="10237" max="10238" width="9.140625" style="205" customWidth="1"/>
    <col min="10239" max="10239" width="4.5703125" style="205" customWidth="1"/>
    <col min="10240" max="10240" width="19.7109375" style="205" customWidth="1"/>
    <col min="10241" max="10241" width="7.7109375" style="205" customWidth="1"/>
    <col min="10242" max="10242" width="3.140625" style="205"/>
    <col min="10243" max="10243" width="5.42578125" style="205" customWidth="1"/>
    <col min="10244" max="10244" width="4.42578125" style="205" customWidth="1"/>
    <col min="10245" max="10245" width="2.7109375" style="205" customWidth="1"/>
    <col min="10246" max="10247" width="9.140625" style="205" customWidth="1"/>
    <col min="10248" max="10248" width="4.5703125" style="205" customWidth="1"/>
    <col min="10249" max="10249" width="21.140625" style="205" customWidth="1"/>
    <col min="10250" max="10250" width="9.42578125" style="205" customWidth="1"/>
    <col min="10251" max="10251" width="3.140625" style="205" customWidth="1"/>
    <col min="10252" max="10252" width="7.7109375" style="205" customWidth="1"/>
    <col min="10253" max="10253" width="3.140625" style="205" customWidth="1"/>
    <col min="10254" max="10254" width="7.7109375" style="205" customWidth="1"/>
    <col min="10255" max="10255" width="3.140625" style="205" customWidth="1"/>
    <col min="10256" max="10256" width="7.7109375" style="205" customWidth="1"/>
    <col min="10257" max="10257" width="3.140625" style="205" customWidth="1"/>
    <col min="10258" max="10258" width="10.28515625" style="205" customWidth="1"/>
    <col min="10259" max="10259" width="11.7109375" style="205" customWidth="1"/>
    <col min="10260" max="10260" width="7.42578125" style="205" customWidth="1"/>
    <col min="10261" max="10261" width="1.85546875" style="205" customWidth="1"/>
    <col min="10262" max="10262" width="15" style="205" customWidth="1"/>
    <col min="10263" max="10264" width="9.140625" style="205" customWidth="1"/>
    <col min="10265" max="10265" width="15.28515625" style="205" customWidth="1"/>
    <col min="10266" max="10489" width="9.140625" style="205" customWidth="1"/>
    <col min="10490" max="10490" width="5.42578125" style="205" customWidth="1"/>
    <col min="10491" max="10491" width="4.42578125" style="205" customWidth="1"/>
    <col min="10492" max="10492" width="2.7109375" style="205" customWidth="1"/>
    <col min="10493" max="10494" width="9.140625" style="205" customWidth="1"/>
    <col min="10495" max="10495" width="4.5703125" style="205" customWidth="1"/>
    <col min="10496" max="10496" width="19.7109375" style="205" customWidth="1"/>
    <col min="10497" max="10497" width="7.7109375" style="205" customWidth="1"/>
    <col min="10498" max="10498" width="3.140625" style="205"/>
    <col min="10499" max="10499" width="5.42578125" style="205" customWidth="1"/>
    <col min="10500" max="10500" width="4.42578125" style="205" customWidth="1"/>
    <col min="10501" max="10501" width="2.7109375" style="205" customWidth="1"/>
    <col min="10502" max="10503" width="9.140625" style="205" customWidth="1"/>
    <col min="10504" max="10504" width="4.5703125" style="205" customWidth="1"/>
    <col min="10505" max="10505" width="21.140625" style="205" customWidth="1"/>
    <col min="10506" max="10506" width="9.42578125" style="205" customWidth="1"/>
    <col min="10507" max="10507" width="3.140625" style="205" customWidth="1"/>
    <col min="10508" max="10508" width="7.7109375" style="205" customWidth="1"/>
    <col min="10509" max="10509" width="3.140625" style="205" customWidth="1"/>
    <col min="10510" max="10510" width="7.7109375" style="205" customWidth="1"/>
    <col min="10511" max="10511" width="3.140625" style="205" customWidth="1"/>
    <col min="10512" max="10512" width="7.7109375" style="205" customWidth="1"/>
    <col min="10513" max="10513" width="3.140625" style="205" customWidth="1"/>
    <col min="10514" max="10514" width="10.28515625" style="205" customWidth="1"/>
    <col min="10515" max="10515" width="11.7109375" style="205" customWidth="1"/>
    <col min="10516" max="10516" width="7.42578125" style="205" customWidth="1"/>
    <col min="10517" max="10517" width="1.85546875" style="205" customWidth="1"/>
    <col min="10518" max="10518" width="15" style="205" customWidth="1"/>
    <col min="10519" max="10520" width="9.140625" style="205" customWidth="1"/>
    <col min="10521" max="10521" width="15.28515625" style="205" customWidth="1"/>
    <col min="10522" max="10745" width="9.140625" style="205" customWidth="1"/>
    <col min="10746" max="10746" width="5.42578125" style="205" customWidth="1"/>
    <col min="10747" max="10747" width="4.42578125" style="205" customWidth="1"/>
    <col min="10748" max="10748" width="2.7109375" style="205" customWidth="1"/>
    <col min="10749" max="10750" width="9.140625" style="205" customWidth="1"/>
    <col min="10751" max="10751" width="4.5703125" style="205" customWidth="1"/>
    <col min="10752" max="10752" width="19.7109375" style="205" customWidth="1"/>
    <col min="10753" max="10753" width="7.7109375" style="205" customWidth="1"/>
    <col min="10754" max="10754" width="3.140625" style="205"/>
    <col min="10755" max="10755" width="5.42578125" style="205" customWidth="1"/>
    <col min="10756" max="10756" width="4.42578125" style="205" customWidth="1"/>
    <col min="10757" max="10757" width="2.7109375" style="205" customWidth="1"/>
    <col min="10758" max="10759" width="9.140625" style="205" customWidth="1"/>
    <col min="10760" max="10760" width="4.5703125" style="205" customWidth="1"/>
    <col min="10761" max="10761" width="21.140625" style="205" customWidth="1"/>
    <col min="10762" max="10762" width="9.42578125" style="205" customWidth="1"/>
    <col min="10763" max="10763" width="3.140625" style="205" customWidth="1"/>
    <col min="10764" max="10764" width="7.7109375" style="205" customWidth="1"/>
    <col min="10765" max="10765" width="3.140625" style="205" customWidth="1"/>
    <col min="10766" max="10766" width="7.7109375" style="205" customWidth="1"/>
    <col min="10767" max="10767" width="3.140625" style="205" customWidth="1"/>
    <col min="10768" max="10768" width="7.7109375" style="205" customWidth="1"/>
    <col min="10769" max="10769" width="3.140625" style="205" customWidth="1"/>
    <col min="10770" max="10770" width="10.28515625" style="205" customWidth="1"/>
    <col min="10771" max="10771" width="11.7109375" style="205" customWidth="1"/>
    <col min="10772" max="10772" width="7.42578125" style="205" customWidth="1"/>
    <col min="10773" max="10773" width="1.85546875" style="205" customWidth="1"/>
    <col min="10774" max="10774" width="15" style="205" customWidth="1"/>
    <col min="10775" max="10776" width="9.140625" style="205" customWidth="1"/>
    <col min="10777" max="10777" width="15.28515625" style="205" customWidth="1"/>
    <col min="10778" max="11001" width="9.140625" style="205" customWidth="1"/>
    <col min="11002" max="11002" width="5.42578125" style="205" customWidth="1"/>
    <col min="11003" max="11003" width="4.42578125" style="205" customWidth="1"/>
    <col min="11004" max="11004" width="2.7109375" style="205" customWidth="1"/>
    <col min="11005" max="11006" width="9.140625" style="205" customWidth="1"/>
    <col min="11007" max="11007" width="4.5703125" style="205" customWidth="1"/>
    <col min="11008" max="11008" width="19.7109375" style="205" customWidth="1"/>
    <col min="11009" max="11009" width="7.7109375" style="205" customWidth="1"/>
    <col min="11010" max="11010" width="3.140625" style="205"/>
    <col min="11011" max="11011" width="5.42578125" style="205" customWidth="1"/>
    <col min="11012" max="11012" width="4.42578125" style="205" customWidth="1"/>
    <col min="11013" max="11013" width="2.7109375" style="205" customWidth="1"/>
    <col min="11014" max="11015" width="9.140625" style="205" customWidth="1"/>
    <col min="11016" max="11016" width="4.5703125" style="205" customWidth="1"/>
    <col min="11017" max="11017" width="21.140625" style="205" customWidth="1"/>
    <col min="11018" max="11018" width="9.42578125" style="205" customWidth="1"/>
    <col min="11019" max="11019" width="3.140625" style="205" customWidth="1"/>
    <col min="11020" max="11020" width="7.7109375" style="205" customWidth="1"/>
    <col min="11021" max="11021" width="3.140625" style="205" customWidth="1"/>
    <col min="11022" max="11022" width="7.7109375" style="205" customWidth="1"/>
    <col min="11023" max="11023" width="3.140625" style="205" customWidth="1"/>
    <col min="11024" max="11024" width="7.7109375" style="205" customWidth="1"/>
    <col min="11025" max="11025" width="3.140625" style="205" customWidth="1"/>
    <col min="11026" max="11026" width="10.28515625" style="205" customWidth="1"/>
    <col min="11027" max="11027" width="11.7109375" style="205" customWidth="1"/>
    <col min="11028" max="11028" width="7.42578125" style="205" customWidth="1"/>
    <col min="11029" max="11029" width="1.85546875" style="205" customWidth="1"/>
    <col min="11030" max="11030" width="15" style="205" customWidth="1"/>
    <col min="11031" max="11032" width="9.140625" style="205" customWidth="1"/>
    <col min="11033" max="11033" width="15.28515625" style="205" customWidth="1"/>
    <col min="11034" max="11257" width="9.140625" style="205" customWidth="1"/>
    <col min="11258" max="11258" width="5.42578125" style="205" customWidth="1"/>
    <col min="11259" max="11259" width="4.42578125" style="205" customWidth="1"/>
    <col min="11260" max="11260" width="2.7109375" style="205" customWidth="1"/>
    <col min="11261" max="11262" width="9.140625" style="205" customWidth="1"/>
    <col min="11263" max="11263" width="4.5703125" style="205" customWidth="1"/>
    <col min="11264" max="11264" width="19.7109375" style="205" customWidth="1"/>
    <col min="11265" max="11265" width="7.7109375" style="205" customWidth="1"/>
    <col min="11266" max="11266" width="3.140625" style="205"/>
    <col min="11267" max="11267" width="5.42578125" style="205" customWidth="1"/>
    <col min="11268" max="11268" width="4.42578125" style="205" customWidth="1"/>
    <col min="11269" max="11269" width="2.7109375" style="205" customWidth="1"/>
    <col min="11270" max="11271" width="9.140625" style="205" customWidth="1"/>
    <col min="11272" max="11272" width="4.5703125" style="205" customWidth="1"/>
    <col min="11273" max="11273" width="21.140625" style="205" customWidth="1"/>
    <col min="11274" max="11274" width="9.42578125" style="205" customWidth="1"/>
    <col min="11275" max="11275" width="3.140625" style="205" customWidth="1"/>
    <col min="11276" max="11276" width="7.7109375" style="205" customWidth="1"/>
    <col min="11277" max="11277" width="3.140625" style="205" customWidth="1"/>
    <col min="11278" max="11278" width="7.7109375" style="205" customWidth="1"/>
    <col min="11279" max="11279" width="3.140625" style="205" customWidth="1"/>
    <col min="11280" max="11280" width="7.7109375" style="205" customWidth="1"/>
    <col min="11281" max="11281" width="3.140625" style="205" customWidth="1"/>
    <col min="11282" max="11282" width="10.28515625" style="205" customWidth="1"/>
    <col min="11283" max="11283" width="11.7109375" style="205" customWidth="1"/>
    <col min="11284" max="11284" width="7.42578125" style="205" customWidth="1"/>
    <col min="11285" max="11285" width="1.85546875" style="205" customWidth="1"/>
    <col min="11286" max="11286" width="15" style="205" customWidth="1"/>
    <col min="11287" max="11288" width="9.140625" style="205" customWidth="1"/>
    <col min="11289" max="11289" width="15.28515625" style="205" customWidth="1"/>
    <col min="11290" max="11513" width="9.140625" style="205" customWidth="1"/>
    <col min="11514" max="11514" width="5.42578125" style="205" customWidth="1"/>
    <col min="11515" max="11515" width="4.42578125" style="205" customWidth="1"/>
    <col min="11516" max="11516" width="2.7109375" style="205" customWidth="1"/>
    <col min="11517" max="11518" width="9.140625" style="205" customWidth="1"/>
    <col min="11519" max="11519" width="4.5703125" style="205" customWidth="1"/>
    <col min="11520" max="11520" width="19.7109375" style="205" customWidth="1"/>
    <col min="11521" max="11521" width="7.7109375" style="205" customWidth="1"/>
    <col min="11522" max="11522" width="3.140625" style="205"/>
    <col min="11523" max="11523" width="5.42578125" style="205" customWidth="1"/>
    <col min="11524" max="11524" width="4.42578125" style="205" customWidth="1"/>
    <col min="11525" max="11525" width="2.7109375" style="205" customWidth="1"/>
    <col min="11526" max="11527" width="9.140625" style="205" customWidth="1"/>
    <col min="11528" max="11528" width="4.5703125" style="205" customWidth="1"/>
    <col min="11529" max="11529" width="21.140625" style="205" customWidth="1"/>
    <col min="11530" max="11530" width="9.42578125" style="205" customWidth="1"/>
    <col min="11531" max="11531" width="3.140625" style="205" customWidth="1"/>
    <col min="11532" max="11532" width="7.7109375" style="205" customWidth="1"/>
    <col min="11533" max="11533" width="3.140625" style="205" customWidth="1"/>
    <col min="11534" max="11534" width="7.7109375" style="205" customWidth="1"/>
    <col min="11535" max="11535" width="3.140625" style="205" customWidth="1"/>
    <col min="11536" max="11536" width="7.7109375" style="205" customWidth="1"/>
    <col min="11537" max="11537" width="3.140625" style="205" customWidth="1"/>
    <col min="11538" max="11538" width="10.28515625" style="205" customWidth="1"/>
    <col min="11539" max="11539" width="11.7109375" style="205" customWidth="1"/>
    <col min="11540" max="11540" width="7.42578125" style="205" customWidth="1"/>
    <col min="11541" max="11541" width="1.85546875" style="205" customWidth="1"/>
    <col min="11542" max="11542" width="15" style="205" customWidth="1"/>
    <col min="11543" max="11544" width="9.140625" style="205" customWidth="1"/>
    <col min="11545" max="11545" width="15.28515625" style="205" customWidth="1"/>
    <col min="11546" max="11769" width="9.140625" style="205" customWidth="1"/>
    <col min="11770" max="11770" width="5.42578125" style="205" customWidth="1"/>
    <col min="11771" max="11771" width="4.42578125" style="205" customWidth="1"/>
    <col min="11772" max="11772" width="2.7109375" style="205" customWidth="1"/>
    <col min="11773" max="11774" width="9.140625" style="205" customWidth="1"/>
    <col min="11775" max="11775" width="4.5703125" style="205" customWidth="1"/>
    <col min="11776" max="11776" width="19.7109375" style="205" customWidth="1"/>
    <col min="11777" max="11777" width="7.7109375" style="205" customWidth="1"/>
    <col min="11778" max="11778" width="3.140625" style="205"/>
    <col min="11779" max="11779" width="5.42578125" style="205" customWidth="1"/>
    <col min="11780" max="11780" width="4.42578125" style="205" customWidth="1"/>
    <col min="11781" max="11781" width="2.7109375" style="205" customWidth="1"/>
    <col min="11782" max="11783" width="9.140625" style="205" customWidth="1"/>
    <col min="11784" max="11784" width="4.5703125" style="205" customWidth="1"/>
    <col min="11785" max="11785" width="21.140625" style="205" customWidth="1"/>
    <col min="11786" max="11786" width="9.42578125" style="205" customWidth="1"/>
    <col min="11787" max="11787" width="3.140625" style="205" customWidth="1"/>
    <col min="11788" max="11788" width="7.7109375" style="205" customWidth="1"/>
    <col min="11789" max="11789" width="3.140625" style="205" customWidth="1"/>
    <col min="11790" max="11790" width="7.7109375" style="205" customWidth="1"/>
    <col min="11791" max="11791" width="3.140625" style="205" customWidth="1"/>
    <col min="11792" max="11792" width="7.7109375" style="205" customWidth="1"/>
    <col min="11793" max="11793" width="3.140625" style="205" customWidth="1"/>
    <col min="11794" max="11794" width="10.28515625" style="205" customWidth="1"/>
    <col min="11795" max="11795" width="11.7109375" style="205" customWidth="1"/>
    <col min="11796" max="11796" width="7.42578125" style="205" customWidth="1"/>
    <col min="11797" max="11797" width="1.85546875" style="205" customWidth="1"/>
    <col min="11798" max="11798" width="15" style="205" customWidth="1"/>
    <col min="11799" max="11800" width="9.140625" style="205" customWidth="1"/>
    <col min="11801" max="11801" width="15.28515625" style="205" customWidth="1"/>
    <col min="11802" max="12025" width="9.140625" style="205" customWidth="1"/>
    <col min="12026" max="12026" width="5.42578125" style="205" customWidth="1"/>
    <col min="12027" max="12027" width="4.42578125" style="205" customWidth="1"/>
    <col min="12028" max="12028" width="2.7109375" style="205" customWidth="1"/>
    <col min="12029" max="12030" width="9.140625" style="205" customWidth="1"/>
    <col min="12031" max="12031" width="4.5703125" style="205" customWidth="1"/>
    <col min="12032" max="12032" width="19.7109375" style="205" customWidth="1"/>
    <col min="12033" max="12033" width="7.7109375" style="205" customWidth="1"/>
    <col min="12034" max="12034" width="3.140625" style="205"/>
    <col min="12035" max="12035" width="5.42578125" style="205" customWidth="1"/>
    <col min="12036" max="12036" width="4.42578125" style="205" customWidth="1"/>
    <col min="12037" max="12037" width="2.7109375" style="205" customWidth="1"/>
    <col min="12038" max="12039" width="9.140625" style="205" customWidth="1"/>
    <col min="12040" max="12040" width="4.5703125" style="205" customWidth="1"/>
    <col min="12041" max="12041" width="21.140625" style="205" customWidth="1"/>
    <col min="12042" max="12042" width="9.42578125" style="205" customWidth="1"/>
    <col min="12043" max="12043" width="3.140625" style="205" customWidth="1"/>
    <col min="12044" max="12044" width="7.7109375" style="205" customWidth="1"/>
    <col min="12045" max="12045" width="3.140625" style="205" customWidth="1"/>
    <col min="12046" max="12046" width="7.7109375" style="205" customWidth="1"/>
    <col min="12047" max="12047" width="3.140625" style="205" customWidth="1"/>
    <col min="12048" max="12048" width="7.7109375" style="205" customWidth="1"/>
    <col min="12049" max="12049" width="3.140625" style="205" customWidth="1"/>
    <col min="12050" max="12050" width="10.28515625" style="205" customWidth="1"/>
    <col min="12051" max="12051" width="11.7109375" style="205" customWidth="1"/>
    <col min="12052" max="12052" width="7.42578125" style="205" customWidth="1"/>
    <col min="12053" max="12053" width="1.85546875" style="205" customWidth="1"/>
    <col min="12054" max="12054" width="15" style="205" customWidth="1"/>
    <col min="12055" max="12056" width="9.140625" style="205" customWidth="1"/>
    <col min="12057" max="12057" width="15.28515625" style="205" customWidth="1"/>
    <col min="12058" max="12281" width="9.140625" style="205" customWidth="1"/>
    <col min="12282" max="12282" width="5.42578125" style="205" customWidth="1"/>
    <col min="12283" max="12283" width="4.42578125" style="205" customWidth="1"/>
    <col min="12284" max="12284" width="2.7109375" style="205" customWidth="1"/>
    <col min="12285" max="12286" width="9.140625" style="205" customWidth="1"/>
    <col min="12287" max="12287" width="4.5703125" style="205" customWidth="1"/>
    <col min="12288" max="12288" width="19.7109375" style="205" customWidth="1"/>
    <col min="12289" max="12289" width="7.7109375" style="205" customWidth="1"/>
    <col min="12290" max="12290" width="3.140625" style="205"/>
    <col min="12291" max="12291" width="5.42578125" style="205" customWidth="1"/>
    <col min="12292" max="12292" width="4.42578125" style="205" customWidth="1"/>
    <col min="12293" max="12293" width="2.7109375" style="205" customWidth="1"/>
    <col min="12294" max="12295" width="9.140625" style="205" customWidth="1"/>
    <col min="12296" max="12296" width="4.5703125" style="205" customWidth="1"/>
    <col min="12297" max="12297" width="21.140625" style="205" customWidth="1"/>
    <col min="12298" max="12298" width="9.42578125" style="205" customWidth="1"/>
    <col min="12299" max="12299" width="3.140625" style="205" customWidth="1"/>
    <col min="12300" max="12300" width="7.7109375" style="205" customWidth="1"/>
    <col min="12301" max="12301" width="3.140625" style="205" customWidth="1"/>
    <col min="12302" max="12302" width="7.7109375" style="205" customWidth="1"/>
    <col min="12303" max="12303" width="3.140625" style="205" customWidth="1"/>
    <col min="12304" max="12304" width="7.7109375" style="205" customWidth="1"/>
    <col min="12305" max="12305" width="3.140625" style="205" customWidth="1"/>
    <col min="12306" max="12306" width="10.28515625" style="205" customWidth="1"/>
    <col min="12307" max="12307" width="11.7109375" style="205" customWidth="1"/>
    <col min="12308" max="12308" width="7.42578125" style="205" customWidth="1"/>
    <col min="12309" max="12309" width="1.85546875" style="205" customWidth="1"/>
    <col min="12310" max="12310" width="15" style="205" customWidth="1"/>
    <col min="12311" max="12312" width="9.140625" style="205" customWidth="1"/>
    <col min="12313" max="12313" width="15.28515625" style="205" customWidth="1"/>
    <col min="12314" max="12537" width="9.140625" style="205" customWidth="1"/>
    <col min="12538" max="12538" width="5.42578125" style="205" customWidth="1"/>
    <col min="12539" max="12539" width="4.42578125" style="205" customWidth="1"/>
    <col min="12540" max="12540" width="2.7109375" style="205" customWidth="1"/>
    <col min="12541" max="12542" width="9.140625" style="205" customWidth="1"/>
    <col min="12543" max="12543" width="4.5703125" style="205" customWidth="1"/>
    <col min="12544" max="12544" width="19.7109375" style="205" customWidth="1"/>
    <col min="12545" max="12545" width="7.7109375" style="205" customWidth="1"/>
    <col min="12546" max="12546" width="3.140625" style="205"/>
    <col min="12547" max="12547" width="5.42578125" style="205" customWidth="1"/>
    <col min="12548" max="12548" width="4.42578125" style="205" customWidth="1"/>
    <col min="12549" max="12549" width="2.7109375" style="205" customWidth="1"/>
    <col min="12550" max="12551" width="9.140625" style="205" customWidth="1"/>
    <col min="12552" max="12552" width="4.5703125" style="205" customWidth="1"/>
    <col min="12553" max="12553" width="21.140625" style="205" customWidth="1"/>
    <col min="12554" max="12554" width="9.42578125" style="205" customWidth="1"/>
    <col min="12555" max="12555" width="3.140625" style="205" customWidth="1"/>
    <col min="12556" max="12556" width="7.7109375" style="205" customWidth="1"/>
    <col min="12557" max="12557" width="3.140625" style="205" customWidth="1"/>
    <col min="12558" max="12558" width="7.7109375" style="205" customWidth="1"/>
    <col min="12559" max="12559" width="3.140625" style="205" customWidth="1"/>
    <col min="12560" max="12560" width="7.7109375" style="205" customWidth="1"/>
    <col min="12561" max="12561" width="3.140625" style="205" customWidth="1"/>
    <col min="12562" max="12562" width="10.28515625" style="205" customWidth="1"/>
    <col min="12563" max="12563" width="11.7109375" style="205" customWidth="1"/>
    <col min="12564" max="12564" width="7.42578125" style="205" customWidth="1"/>
    <col min="12565" max="12565" width="1.85546875" style="205" customWidth="1"/>
    <col min="12566" max="12566" width="15" style="205" customWidth="1"/>
    <col min="12567" max="12568" width="9.140625" style="205" customWidth="1"/>
    <col min="12569" max="12569" width="15.28515625" style="205" customWidth="1"/>
    <col min="12570" max="12793" width="9.140625" style="205" customWidth="1"/>
    <col min="12794" max="12794" width="5.42578125" style="205" customWidth="1"/>
    <col min="12795" max="12795" width="4.42578125" style="205" customWidth="1"/>
    <col min="12796" max="12796" width="2.7109375" style="205" customWidth="1"/>
    <col min="12797" max="12798" width="9.140625" style="205" customWidth="1"/>
    <col min="12799" max="12799" width="4.5703125" style="205" customWidth="1"/>
    <col min="12800" max="12800" width="19.7109375" style="205" customWidth="1"/>
    <col min="12801" max="12801" width="7.7109375" style="205" customWidth="1"/>
    <col min="12802" max="12802" width="3.140625" style="205"/>
    <col min="12803" max="12803" width="5.42578125" style="205" customWidth="1"/>
    <col min="12804" max="12804" width="4.42578125" style="205" customWidth="1"/>
    <col min="12805" max="12805" width="2.7109375" style="205" customWidth="1"/>
    <col min="12806" max="12807" width="9.140625" style="205" customWidth="1"/>
    <col min="12808" max="12808" width="4.5703125" style="205" customWidth="1"/>
    <col min="12809" max="12809" width="21.140625" style="205" customWidth="1"/>
    <col min="12810" max="12810" width="9.42578125" style="205" customWidth="1"/>
    <col min="12811" max="12811" width="3.140625" style="205" customWidth="1"/>
    <col min="12812" max="12812" width="7.7109375" style="205" customWidth="1"/>
    <col min="12813" max="12813" width="3.140625" style="205" customWidth="1"/>
    <col min="12814" max="12814" width="7.7109375" style="205" customWidth="1"/>
    <col min="12815" max="12815" width="3.140625" style="205" customWidth="1"/>
    <col min="12816" max="12816" width="7.7109375" style="205" customWidth="1"/>
    <col min="12817" max="12817" width="3.140625" style="205" customWidth="1"/>
    <col min="12818" max="12818" width="10.28515625" style="205" customWidth="1"/>
    <col min="12819" max="12819" width="11.7109375" style="205" customWidth="1"/>
    <col min="12820" max="12820" width="7.42578125" style="205" customWidth="1"/>
    <col min="12821" max="12821" width="1.85546875" style="205" customWidth="1"/>
    <col min="12822" max="12822" width="15" style="205" customWidth="1"/>
    <col min="12823" max="12824" width="9.140625" style="205" customWidth="1"/>
    <col min="12825" max="12825" width="15.28515625" style="205" customWidth="1"/>
    <col min="12826" max="13049" width="9.140625" style="205" customWidth="1"/>
    <col min="13050" max="13050" width="5.42578125" style="205" customWidth="1"/>
    <col min="13051" max="13051" width="4.42578125" style="205" customWidth="1"/>
    <col min="13052" max="13052" width="2.7109375" style="205" customWidth="1"/>
    <col min="13053" max="13054" width="9.140625" style="205" customWidth="1"/>
    <col min="13055" max="13055" width="4.5703125" style="205" customWidth="1"/>
    <col min="13056" max="13056" width="19.7109375" style="205" customWidth="1"/>
    <col min="13057" max="13057" width="7.7109375" style="205" customWidth="1"/>
    <col min="13058" max="13058" width="3.140625" style="205"/>
    <col min="13059" max="13059" width="5.42578125" style="205" customWidth="1"/>
    <col min="13060" max="13060" width="4.42578125" style="205" customWidth="1"/>
    <col min="13061" max="13061" width="2.7109375" style="205" customWidth="1"/>
    <col min="13062" max="13063" width="9.140625" style="205" customWidth="1"/>
    <col min="13064" max="13064" width="4.5703125" style="205" customWidth="1"/>
    <col min="13065" max="13065" width="21.140625" style="205" customWidth="1"/>
    <col min="13066" max="13066" width="9.42578125" style="205" customWidth="1"/>
    <col min="13067" max="13067" width="3.140625" style="205" customWidth="1"/>
    <col min="13068" max="13068" width="7.7109375" style="205" customWidth="1"/>
    <col min="13069" max="13069" width="3.140625" style="205" customWidth="1"/>
    <col min="13070" max="13070" width="7.7109375" style="205" customWidth="1"/>
    <col min="13071" max="13071" width="3.140625" style="205" customWidth="1"/>
    <col min="13072" max="13072" width="7.7109375" style="205" customWidth="1"/>
    <col min="13073" max="13073" width="3.140625" style="205" customWidth="1"/>
    <col min="13074" max="13074" width="10.28515625" style="205" customWidth="1"/>
    <col min="13075" max="13075" width="11.7109375" style="205" customWidth="1"/>
    <col min="13076" max="13076" width="7.42578125" style="205" customWidth="1"/>
    <col min="13077" max="13077" width="1.85546875" style="205" customWidth="1"/>
    <col min="13078" max="13078" width="15" style="205" customWidth="1"/>
    <col min="13079" max="13080" width="9.140625" style="205" customWidth="1"/>
    <col min="13081" max="13081" width="15.28515625" style="205" customWidth="1"/>
    <col min="13082" max="13305" width="9.140625" style="205" customWidth="1"/>
    <col min="13306" max="13306" width="5.42578125" style="205" customWidth="1"/>
    <col min="13307" max="13307" width="4.42578125" style="205" customWidth="1"/>
    <col min="13308" max="13308" width="2.7109375" style="205" customWidth="1"/>
    <col min="13309" max="13310" width="9.140625" style="205" customWidth="1"/>
    <col min="13311" max="13311" width="4.5703125" style="205" customWidth="1"/>
    <col min="13312" max="13312" width="19.7109375" style="205" customWidth="1"/>
    <col min="13313" max="13313" width="7.7109375" style="205" customWidth="1"/>
    <col min="13314" max="13314" width="3.140625" style="205"/>
    <col min="13315" max="13315" width="5.42578125" style="205" customWidth="1"/>
    <col min="13316" max="13316" width="4.42578125" style="205" customWidth="1"/>
    <col min="13317" max="13317" width="2.7109375" style="205" customWidth="1"/>
    <col min="13318" max="13319" width="9.140625" style="205" customWidth="1"/>
    <col min="13320" max="13320" width="4.5703125" style="205" customWidth="1"/>
    <col min="13321" max="13321" width="21.140625" style="205" customWidth="1"/>
    <col min="13322" max="13322" width="9.42578125" style="205" customWidth="1"/>
    <col min="13323" max="13323" width="3.140625" style="205" customWidth="1"/>
    <col min="13324" max="13324" width="7.7109375" style="205" customWidth="1"/>
    <col min="13325" max="13325" width="3.140625" style="205" customWidth="1"/>
    <col min="13326" max="13326" width="7.7109375" style="205" customWidth="1"/>
    <col min="13327" max="13327" width="3.140625" style="205" customWidth="1"/>
    <col min="13328" max="13328" width="7.7109375" style="205" customWidth="1"/>
    <col min="13329" max="13329" width="3.140625" style="205" customWidth="1"/>
    <col min="13330" max="13330" width="10.28515625" style="205" customWidth="1"/>
    <col min="13331" max="13331" width="11.7109375" style="205" customWidth="1"/>
    <col min="13332" max="13332" width="7.42578125" style="205" customWidth="1"/>
    <col min="13333" max="13333" width="1.85546875" style="205" customWidth="1"/>
    <col min="13334" max="13334" width="15" style="205" customWidth="1"/>
    <col min="13335" max="13336" width="9.140625" style="205" customWidth="1"/>
    <col min="13337" max="13337" width="15.28515625" style="205" customWidth="1"/>
    <col min="13338" max="13561" width="9.140625" style="205" customWidth="1"/>
    <col min="13562" max="13562" width="5.42578125" style="205" customWidth="1"/>
    <col min="13563" max="13563" width="4.42578125" style="205" customWidth="1"/>
    <col min="13564" max="13564" width="2.7109375" style="205" customWidth="1"/>
    <col min="13565" max="13566" width="9.140625" style="205" customWidth="1"/>
    <col min="13567" max="13567" width="4.5703125" style="205" customWidth="1"/>
    <col min="13568" max="13568" width="19.7109375" style="205" customWidth="1"/>
    <col min="13569" max="13569" width="7.7109375" style="205" customWidth="1"/>
    <col min="13570" max="13570" width="3.140625" style="205"/>
    <col min="13571" max="13571" width="5.42578125" style="205" customWidth="1"/>
    <col min="13572" max="13572" width="4.42578125" style="205" customWidth="1"/>
    <col min="13573" max="13573" width="2.7109375" style="205" customWidth="1"/>
    <col min="13574" max="13575" width="9.140625" style="205" customWidth="1"/>
    <col min="13576" max="13576" width="4.5703125" style="205" customWidth="1"/>
    <col min="13577" max="13577" width="21.140625" style="205" customWidth="1"/>
    <col min="13578" max="13578" width="9.42578125" style="205" customWidth="1"/>
    <col min="13579" max="13579" width="3.140625" style="205" customWidth="1"/>
    <col min="13580" max="13580" width="7.7109375" style="205" customWidth="1"/>
    <col min="13581" max="13581" width="3.140625" style="205" customWidth="1"/>
    <col min="13582" max="13582" width="7.7109375" style="205" customWidth="1"/>
    <col min="13583" max="13583" width="3.140625" style="205" customWidth="1"/>
    <col min="13584" max="13584" width="7.7109375" style="205" customWidth="1"/>
    <col min="13585" max="13585" width="3.140625" style="205" customWidth="1"/>
    <col min="13586" max="13586" width="10.28515625" style="205" customWidth="1"/>
    <col min="13587" max="13587" width="11.7109375" style="205" customWidth="1"/>
    <col min="13588" max="13588" width="7.42578125" style="205" customWidth="1"/>
    <col min="13589" max="13589" width="1.85546875" style="205" customWidth="1"/>
    <col min="13590" max="13590" width="15" style="205" customWidth="1"/>
    <col min="13591" max="13592" width="9.140625" style="205" customWidth="1"/>
    <col min="13593" max="13593" width="15.28515625" style="205" customWidth="1"/>
    <col min="13594" max="13817" width="9.140625" style="205" customWidth="1"/>
    <col min="13818" max="13818" width="5.42578125" style="205" customWidth="1"/>
    <col min="13819" max="13819" width="4.42578125" style="205" customWidth="1"/>
    <col min="13820" max="13820" width="2.7109375" style="205" customWidth="1"/>
    <col min="13821" max="13822" width="9.140625" style="205" customWidth="1"/>
    <col min="13823" max="13823" width="4.5703125" style="205" customWidth="1"/>
    <col min="13824" max="13824" width="19.7109375" style="205" customWidth="1"/>
    <col min="13825" max="13825" width="7.7109375" style="205" customWidth="1"/>
    <col min="13826" max="13826" width="3.140625" style="205"/>
    <col min="13827" max="13827" width="5.42578125" style="205" customWidth="1"/>
    <col min="13828" max="13828" width="4.42578125" style="205" customWidth="1"/>
    <col min="13829" max="13829" width="2.7109375" style="205" customWidth="1"/>
    <col min="13830" max="13831" width="9.140625" style="205" customWidth="1"/>
    <col min="13832" max="13832" width="4.5703125" style="205" customWidth="1"/>
    <col min="13833" max="13833" width="21.140625" style="205" customWidth="1"/>
    <col min="13834" max="13834" width="9.42578125" style="205" customWidth="1"/>
    <col min="13835" max="13835" width="3.140625" style="205" customWidth="1"/>
    <col min="13836" max="13836" width="7.7109375" style="205" customWidth="1"/>
    <col min="13837" max="13837" width="3.140625" style="205" customWidth="1"/>
    <col min="13838" max="13838" width="7.7109375" style="205" customWidth="1"/>
    <col min="13839" max="13839" width="3.140625" style="205" customWidth="1"/>
    <col min="13840" max="13840" width="7.7109375" style="205" customWidth="1"/>
    <col min="13841" max="13841" width="3.140625" style="205" customWidth="1"/>
    <col min="13842" max="13842" width="10.28515625" style="205" customWidth="1"/>
    <col min="13843" max="13843" width="11.7109375" style="205" customWidth="1"/>
    <col min="13844" max="13844" width="7.42578125" style="205" customWidth="1"/>
    <col min="13845" max="13845" width="1.85546875" style="205" customWidth="1"/>
    <col min="13846" max="13846" width="15" style="205" customWidth="1"/>
    <col min="13847" max="13848" width="9.140625" style="205" customWidth="1"/>
    <col min="13849" max="13849" width="15.28515625" style="205" customWidth="1"/>
    <col min="13850" max="14073" width="9.140625" style="205" customWidth="1"/>
    <col min="14074" max="14074" width="5.42578125" style="205" customWidth="1"/>
    <col min="14075" max="14075" width="4.42578125" style="205" customWidth="1"/>
    <col min="14076" max="14076" width="2.7109375" style="205" customWidth="1"/>
    <col min="14077" max="14078" width="9.140625" style="205" customWidth="1"/>
    <col min="14079" max="14079" width="4.5703125" style="205" customWidth="1"/>
    <col min="14080" max="14080" width="19.7109375" style="205" customWidth="1"/>
    <col min="14081" max="14081" width="7.7109375" style="205" customWidth="1"/>
    <col min="14082" max="14082" width="3.140625" style="205"/>
    <col min="14083" max="14083" width="5.42578125" style="205" customWidth="1"/>
    <col min="14084" max="14084" width="4.42578125" style="205" customWidth="1"/>
    <col min="14085" max="14085" width="2.7109375" style="205" customWidth="1"/>
    <col min="14086" max="14087" width="9.140625" style="205" customWidth="1"/>
    <col min="14088" max="14088" width="4.5703125" style="205" customWidth="1"/>
    <col min="14089" max="14089" width="21.140625" style="205" customWidth="1"/>
    <col min="14090" max="14090" width="9.42578125" style="205" customWidth="1"/>
    <col min="14091" max="14091" width="3.140625" style="205" customWidth="1"/>
    <col min="14092" max="14092" width="7.7109375" style="205" customWidth="1"/>
    <col min="14093" max="14093" width="3.140625" style="205" customWidth="1"/>
    <col min="14094" max="14094" width="7.7109375" style="205" customWidth="1"/>
    <col min="14095" max="14095" width="3.140625" style="205" customWidth="1"/>
    <col min="14096" max="14096" width="7.7109375" style="205" customWidth="1"/>
    <col min="14097" max="14097" width="3.140625" style="205" customWidth="1"/>
    <col min="14098" max="14098" width="10.28515625" style="205" customWidth="1"/>
    <col min="14099" max="14099" width="11.7109375" style="205" customWidth="1"/>
    <col min="14100" max="14100" width="7.42578125" style="205" customWidth="1"/>
    <col min="14101" max="14101" width="1.85546875" style="205" customWidth="1"/>
    <col min="14102" max="14102" width="15" style="205" customWidth="1"/>
    <col min="14103" max="14104" width="9.140625" style="205" customWidth="1"/>
    <col min="14105" max="14105" width="15.28515625" style="205" customWidth="1"/>
    <col min="14106" max="14329" width="9.140625" style="205" customWidth="1"/>
    <col min="14330" max="14330" width="5.42578125" style="205" customWidth="1"/>
    <col min="14331" max="14331" width="4.42578125" style="205" customWidth="1"/>
    <col min="14332" max="14332" width="2.7109375" style="205" customWidth="1"/>
    <col min="14333" max="14334" width="9.140625" style="205" customWidth="1"/>
    <col min="14335" max="14335" width="4.5703125" style="205" customWidth="1"/>
    <col min="14336" max="14336" width="19.7109375" style="205" customWidth="1"/>
    <col min="14337" max="14337" width="7.7109375" style="205" customWidth="1"/>
    <col min="14338" max="14338" width="3.140625" style="205"/>
    <col min="14339" max="14339" width="5.42578125" style="205" customWidth="1"/>
    <col min="14340" max="14340" width="4.42578125" style="205" customWidth="1"/>
    <col min="14341" max="14341" width="2.7109375" style="205" customWidth="1"/>
    <col min="14342" max="14343" width="9.140625" style="205" customWidth="1"/>
    <col min="14344" max="14344" width="4.5703125" style="205" customWidth="1"/>
    <col min="14345" max="14345" width="21.140625" style="205" customWidth="1"/>
    <col min="14346" max="14346" width="9.42578125" style="205" customWidth="1"/>
    <col min="14347" max="14347" width="3.140625" style="205" customWidth="1"/>
    <col min="14348" max="14348" width="7.7109375" style="205" customWidth="1"/>
    <col min="14349" max="14349" width="3.140625" style="205" customWidth="1"/>
    <col min="14350" max="14350" width="7.7109375" style="205" customWidth="1"/>
    <col min="14351" max="14351" width="3.140625" style="205" customWidth="1"/>
    <col min="14352" max="14352" width="7.7109375" style="205" customWidth="1"/>
    <col min="14353" max="14353" width="3.140625" style="205" customWidth="1"/>
    <col min="14354" max="14354" width="10.28515625" style="205" customWidth="1"/>
    <col min="14355" max="14355" width="11.7109375" style="205" customWidth="1"/>
    <col min="14356" max="14356" width="7.42578125" style="205" customWidth="1"/>
    <col min="14357" max="14357" width="1.85546875" style="205" customWidth="1"/>
    <col min="14358" max="14358" width="15" style="205" customWidth="1"/>
    <col min="14359" max="14360" width="9.140625" style="205" customWidth="1"/>
    <col min="14361" max="14361" width="15.28515625" style="205" customWidth="1"/>
    <col min="14362" max="14585" width="9.140625" style="205" customWidth="1"/>
    <col min="14586" max="14586" width="5.42578125" style="205" customWidth="1"/>
    <col min="14587" max="14587" width="4.42578125" style="205" customWidth="1"/>
    <col min="14588" max="14588" width="2.7109375" style="205" customWidth="1"/>
    <col min="14589" max="14590" width="9.140625" style="205" customWidth="1"/>
    <col min="14591" max="14591" width="4.5703125" style="205" customWidth="1"/>
    <col min="14592" max="14592" width="19.7109375" style="205" customWidth="1"/>
    <col min="14593" max="14593" width="7.7109375" style="205" customWidth="1"/>
    <col min="14594" max="14594" width="3.140625" style="205"/>
    <col min="14595" max="14595" width="5.42578125" style="205" customWidth="1"/>
    <col min="14596" max="14596" width="4.42578125" style="205" customWidth="1"/>
    <col min="14597" max="14597" width="2.7109375" style="205" customWidth="1"/>
    <col min="14598" max="14599" width="9.140625" style="205" customWidth="1"/>
    <col min="14600" max="14600" width="4.5703125" style="205" customWidth="1"/>
    <col min="14601" max="14601" width="21.140625" style="205" customWidth="1"/>
    <col min="14602" max="14602" width="9.42578125" style="205" customWidth="1"/>
    <col min="14603" max="14603" width="3.140625" style="205" customWidth="1"/>
    <col min="14604" max="14604" width="7.7109375" style="205" customWidth="1"/>
    <col min="14605" max="14605" width="3.140625" style="205" customWidth="1"/>
    <col min="14606" max="14606" width="7.7109375" style="205" customWidth="1"/>
    <col min="14607" max="14607" width="3.140625" style="205" customWidth="1"/>
    <col min="14608" max="14608" width="7.7109375" style="205" customWidth="1"/>
    <col min="14609" max="14609" width="3.140625" style="205" customWidth="1"/>
    <col min="14610" max="14610" width="10.28515625" style="205" customWidth="1"/>
    <col min="14611" max="14611" width="11.7109375" style="205" customWidth="1"/>
    <col min="14612" max="14612" width="7.42578125" style="205" customWidth="1"/>
    <col min="14613" max="14613" width="1.85546875" style="205" customWidth="1"/>
    <col min="14614" max="14614" width="15" style="205" customWidth="1"/>
    <col min="14615" max="14616" width="9.140625" style="205" customWidth="1"/>
    <col min="14617" max="14617" width="15.28515625" style="205" customWidth="1"/>
    <col min="14618" max="14841" width="9.140625" style="205" customWidth="1"/>
    <col min="14842" max="14842" width="5.42578125" style="205" customWidth="1"/>
    <col min="14843" max="14843" width="4.42578125" style="205" customWidth="1"/>
    <col min="14844" max="14844" width="2.7109375" style="205" customWidth="1"/>
    <col min="14845" max="14846" width="9.140625" style="205" customWidth="1"/>
    <col min="14847" max="14847" width="4.5703125" style="205" customWidth="1"/>
    <col min="14848" max="14848" width="19.7109375" style="205" customWidth="1"/>
    <col min="14849" max="14849" width="7.7109375" style="205" customWidth="1"/>
    <col min="14850" max="14850" width="3.140625" style="205"/>
    <col min="14851" max="14851" width="5.42578125" style="205" customWidth="1"/>
    <col min="14852" max="14852" width="4.42578125" style="205" customWidth="1"/>
    <col min="14853" max="14853" width="2.7109375" style="205" customWidth="1"/>
    <col min="14854" max="14855" width="9.140625" style="205" customWidth="1"/>
    <col min="14856" max="14856" width="4.5703125" style="205" customWidth="1"/>
    <col min="14857" max="14857" width="21.140625" style="205" customWidth="1"/>
    <col min="14858" max="14858" width="9.42578125" style="205" customWidth="1"/>
    <col min="14859" max="14859" width="3.140625" style="205" customWidth="1"/>
    <col min="14860" max="14860" width="7.7109375" style="205" customWidth="1"/>
    <col min="14861" max="14861" width="3.140625" style="205" customWidth="1"/>
    <col min="14862" max="14862" width="7.7109375" style="205" customWidth="1"/>
    <col min="14863" max="14863" width="3.140625" style="205" customWidth="1"/>
    <col min="14864" max="14864" width="7.7109375" style="205" customWidth="1"/>
    <col min="14865" max="14865" width="3.140625" style="205" customWidth="1"/>
    <col min="14866" max="14866" width="10.28515625" style="205" customWidth="1"/>
    <col min="14867" max="14867" width="11.7109375" style="205" customWidth="1"/>
    <col min="14868" max="14868" width="7.42578125" style="205" customWidth="1"/>
    <col min="14869" max="14869" width="1.85546875" style="205" customWidth="1"/>
    <col min="14870" max="14870" width="15" style="205" customWidth="1"/>
    <col min="14871" max="14872" width="9.140625" style="205" customWidth="1"/>
    <col min="14873" max="14873" width="15.28515625" style="205" customWidth="1"/>
    <col min="14874" max="15097" width="9.140625" style="205" customWidth="1"/>
    <col min="15098" max="15098" width="5.42578125" style="205" customWidth="1"/>
    <col min="15099" max="15099" width="4.42578125" style="205" customWidth="1"/>
    <col min="15100" max="15100" width="2.7109375" style="205" customWidth="1"/>
    <col min="15101" max="15102" width="9.140625" style="205" customWidth="1"/>
    <col min="15103" max="15103" width="4.5703125" style="205" customWidth="1"/>
    <col min="15104" max="15104" width="19.7109375" style="205" customWidth="1"/>
    <col min="15105" max="15105" width="7.7109375" style="205" customWidth="1"/>
    <col min="15106" max="15106" width="3.140625" style="205"/>
    <col min="15107" max="15107" width="5.42578125" style="205" customWidth="1"/>
    <col min="15108" max="15108" width="4.42578125" style="205" customWidth="1"/>
    <col min="15109" max="15109" width="2.7109375" style="205" customWidth="1"/>
    <col min="15110" max="15111" width="9.140625" style="205" customWidth="1"/>
    <col min="15112" max="15112" width="4.5703125" style="205" customWidth="1"/>
    <col min="15113" max="15113" width="21.140625" style="205" customWidth="1"/>
    <col min="15114" max="15114" width="9.42578125" style="205" customWidth="1"/>
    <col min="15115" max="15115" width="3.140625" style="205" customWidth="1"/>
    <col min="15116" max="15116" width="7.7109375" style="205" customWidth="1"/>
    <col min="15117" max="15117" width="3.140625" style="205" customWidth="1"/>
    <col min="15118" max="15118" width="7.7109375" style="205" customWidth="1"/>
    <col min="15119" max="15119" width="3.140625" style="205" customWidth="1"/>
    <col min="15120" max="15120" width="7.7109375" style="205" customWidth="1"/>
    <col min="15121" max="15121" width="3.140625" style="205" customWidth="1"/>
    <col min="15122" max="15122" width="10.28515625" style="205" customWidth="1"/>
    <col min="15123" max="15123" width="11.7109375" style="205" customWidth="1"/>
    <col min="15124" max="15124" width="7.42578125" style="205" customWidth="1"/>
    <col min="15125" max="15125" width="1.85546875" style="205" customWidth="1"/>
    <col min="15126" max="15126" width="15" style="205" customWidth="1"/>
    <col min="15127" max="15128" width="9.140625" style="205" customWidth="1"/>
    <col min="15129" max="15129" width="15.28515625" style="205" customWidth="1"/>
    <col min="15130" max="15353" width="9.140625" style="205" customWidth="1"/>
    <col min="15354" max="15354" width="5.42578125" style="205" customWidth="1"/>
    <col min="15355" max="15355" width="4.42578125" style="205" customWidth="1"/>
    <col min="15356" max="15356" width="2.7109375" style="205" customWidth="1"/>
    <col min="15357" max="15358" width="9.140625" style="205" customWidth="1"/>
    <col min="15359" max="15359" width="4.5703125" style="205" customWidth="1"/>
    <col min="15360" max="15360" width="19.7109375" style="205" customWidth="1"/>
    <col min="15361" max="15361" width="7.7109375" style="205" customWidth="1"/>
    <col min="15362" max="15362" width="3.140625" style="205"/>
    <col min="15363" max="15363" width="5.42578125" style="205" customWidth="1"/>
    <col min="15364" max="15364" width="4.42578125" style="205" customWidth="1"/>
    <col min="15365" max="15365" width="2.7109375" style="205" customWidth="1"/>
    <col min="15366" max="15367" width="9.140625" style="205" customWidth="1"/>
    <col min="15368" max="15368" width="4.5703125" style="205" customWidth="1"/>
    <col min="15369" max="15369" width="21.140625" style="205" customWidth="1"/>
    <col min="15370" max="15370" width="9.42578125" style="205" customWidth="1"/>
    <col min="15371" max="15371" width="3.140625" style="205" customWidth="1"/>
    <col min="15372" max="15372" width="7.7109375" style="205" customWidth="1"/>
    <col min="15373" max="15373" width="3.140625" style="205" customWidth="1"/>
    <col min="15374" max="15374" width="7.7109375" style="205" customWidth="1"/>
    <col min="15375" max="15375" width="3.140625" style="205" customWidth="1"/>
    <col min="15376" max="15376" width="7.7109375" style="205" customWidth="1"/>
    <col min="15377" max="15377" width="3.140625" style="205" customWidth="1"/>
    <col min="15378" max="15378" width="10.28515625" style="205" customWidth="1"/>
    <col min="15379" max="15379" width="11.7109375" style="205" customWidth="1"/>
    <col min="15380" max="15380" width="7.42578125" style="205" customWidth="1"/>
    <col min="15381" max="15381" width="1.85546875" style="205" customWidth="1"/>
    <col min="15382" max="15382" width="15" style="205" customWidth="1"/>
    <col min="15383" max="15384" width="9.140625" style="205" customWidth="1"/>
    <col min="15385" max="15385" width="15.28515625" style="205" customWidth="1"/>
    <col min="15386" max="15609" width="9.140625" style="205" customWidth="1"/>
    <col min="15610" max="15610" width="5.42578125" style="205" customWidth="1"/>
    <col min="15611" max="15611" width="4.42578125" style="205" customWidth="1"/>
    <col min="15612" max="15612" width="2.7109375" style="205" customWidth="1"/>
    <col min="15613" max="15614" width="9.140625" style="205" customWidth="1"/>
    <col min="15615" max="15615" width="4.5703125" style="205" customWidth="1"/>
    <col min="15616" max="15616" width="19.7109375" style="205" customWidth="1"/>
    <col min="15617" max="15617" width="7.7109375" style="205" customWidth="1"/>
    <col min="15618" max="15618" width="3.140625" style="205"/>
    <col min="15619" max="15619" width="5.42578125" style="205" customWidth="1"/>
    <col min="15620" max="15620" width="4.42578125" style="205" customWidth="1"/>
    <col min="15621" max="15621" width="2.7109375" style="205" customWidth="1"/>
    <col min="15622" max="15623" width="9.140625" style="205" customWidth="1"/>
    <col min="15624" max="15624" width="4.5703125" style="205" customWidth="1"/>
    <col min="15625" max="15625" width="21.140625" style="205" customWidth="1"/>
    <col min="15626" max="15626" width="9.42578125" style="205" customWidth="1"/>
    <col min="15627" max="15627" width="3.140625" style="205" customWidth="1"/>
    <col min="15628" max="15628" width="7.7109375" style="205" customWidth="1"/>
    <col min="15629" max="15629" width="3.140625" style="205" customWidth="1"/>
    <col min="15630" max="15630" width="7.7109375" style="205" customWidth="1"/>
    <col min="15631" max="15631" width="3.140625" style="205" customWidth="1"/>
    <col min="15632" max="15632" width="7.7109375" style="205" customWidth="1"/>
    <col min="15633" max="15633" width="3.140625" style="205" customWidth="1"/>
    <col min="15634" max="15634" width="10.28515625" style="205" customWidth="1"/>
    <col min="15635" max="15635" width="11.7109375" style="205" customWidth="1"/>
    <col min="15636" max="15636" width="7.42578125" style="205" customWidth="1"/>
    <col min="15637" max="15637" width="1.85546875" style="205" customWidth="1"/>
    <col min="15638" max="15638" width="15" style="205" customWidth="1"/>
    <col min="15639" max="15640" width="9.140625" style="205" customWidth="1"/>
    <col min="15641" max="15641" width="15.28515625" style="205" customWidth="1"/>
    <col min="15642" max="15865" width="9.140625" style="205" customWidth="1"/>
    <col min="15866" max="15866" width="5.42578125" style="205" customWidth="1"/>
    <col min="15867" max="15867" width="4.42578125" style="205" customWidth="1"/>
    <col min="15868" max="15868" width="2.7109375" style="205" customWidth="1"/>
    <col min="15869" max="15870" width="9.140625" style="205" customWidth="1"/>
    <col min="15871" max="15871" width="4.5703125" style="205" customWidth="1"/>
    <col min="15872" max="15872" width="19.7109375" style="205" customWidth="1"/>
    <col min="15873" max="15873" width="7.7109375" style="205" customWidth="1"/>
    <col min="15874" max="15874" width="3.140625" style="205"/>
    <col min="15875" max="15875" width="5.42578125" style="205" customWidth="1"/>
    <col min="15876" max="15876" width="4.42578125" style="205" customWidth="1"/>
    <col min="15877" max="15877" width="2.7109375" style="205" customWidth="1"/>
    <col min="15878" max="15879" width="9.140625" style="205" customWidth="1"/>
    <col min="15880" max="15880" width="4.5703125" style="205" customWidth="1"/>
    <col min="15881" max="15881" width="21.140625" style="205" customWidth="1"/>
    <col min="15882" max="15882" width="9.42578125" style="205" customWidth="1"/>
    <col min="15883" max="15883" width="3.140625" style="205" customWidth="1"/>
    <col min="15884" max="15884" width="7.7109375" style="205" customWidth="1"/>
    <col min="15885" max="15885" width="3.140625" style="205" customWidth="1"/>
    <col min="15886" max="15886" width="7.7109375" style="205" customWidth="1"/>
    <col min="15887" max="15887" width="3.140625" style="205" customWidth="1"/>
    <col min="15888" max="15888" width="7.7109375" style="205" customWidth="1"/>
    <col min="15889" max="15889" width="3.140625" style="205" customWidth="1"/>
    <col min="15890" max="15890" width="10.28515625" style="205" customWidth="1"/>
    <col min="15891" max="15891" width="11.7109375" style="205" customWidth="1"/>
    <col min="15892" max="15892" width="7.42578125" style="205" customWidth="1"/>
    <col min="15893" max="15893" width="1.85546875" style="205" customWidth="1"/>
    <col min="15894" max="15894" width="15" style="205" customWidth="1"/>
    <col min="15895" max="15896" width="9.140625" style="205" customWidth="1"/>
    <col min="15897" max="15897" width="15.28515625" style="205" customWidth="1"/>
    <col min="15898" max="16121" width="9.140625" style="205" customWidth="1"/>
    <col min="16122" max="16122" width="5.42578125" style="205" customWidth="1"/>
    <col min="16123" max="16123" width="4.42578125" style="205" customWidth="1"/>
    <col min="16124" max="16124" width="2.7109375" style="205" customWidth="1"/>
    <col min="16125" max="16126" width="9.140625" style="205" customWidth="1"/>
    <col min="16127" max="16127" width="4.5703125" style="205" customWidth="1"/>
    <col min="16128" max="16128" width="19.7109375" style="205" customWidth="1"/>
    <col min="16129" max="16129" width="7.7109375" style="205" customWidth="1"/>
    <col min="16130" max="16130" width="3.140625" style="205"/>
    <col min="16131" max="16131" width="5.42578125" style="205" customWidth="1"/>
    <col min="16132" max="16132" width="4.42578125" style="205" customWidth="1"/>
    <col min="16133" max="16133" width="2.7109375" style="205" customWidth="1"/>
    <col min="16134" max="16135" width="9.140625" style="205" customWidth="1"/>
    <col min="16136" max="16136" width="4.5703125" style="205" customWidth="1"/>
    <col min="16137" max="16137" width="21.140625" style="205" customWidth="1"/>
    <col min="16138" max="16138" width="9.42578125" style="205" customWidth="1"/>
    <col min="16139" max="16139" width="3.140625" style="205" customWidth="1"/>
    <col min="16140" max="16140" width="7.7109375" style="205" customWidth="1"/>
    <col min="16141" max="16141" width="3.140625" style="205" customWidth="1"/>
    <col min="16142" max="16142" width="7.7109375" style="205" customWidth="1"/>
    <col min="16143" max="16143" width="3.140625" style="205" customWidth="1"/>
    <col min="16144" max="16144" width="7.7109375" style="205" customWidth="1"/>
    <col min="16145" max="16145" width="3.140625" style="205" customWidth="1"/>
    <col min="16146" max="16146" width="10.28515625" style="205" customWidth="1"/>
    <col min="16147" max="16147" width="11.7109375" style="205" customWidth="1"/>
    <col min="16148" max="16148" width="7.42578125" style="205" customWidth="1"/>
    <col min="16149" max="16149" width="1.85546875" style="205" customWidth="1"/>
    <col min="16150" max="16150" width="15" style="205" customWidth="1"/>
    <col min="16151" max="16152" width="9.140625" style="205" customWidth="1"/>
    <col min="16153" max="16153" width="15.28515625" style="205" customWidth="1"/>
    <col min="16154" max="16377" width="9.140625" style="205" customWidth="1"/>
    <col min="16378" max="16378" width="5.42578125" style="205" customWidth="1"/>
    <col min="16379" max="16379" width="4.42578125" style="205" customWidth="1"/>
    <col min="16380" max="16380" width="2.7109375" style="205" customWidth="1"/>
    <col min="16381" max="16384" width="9.140625" style="205" customWidth="1"/>
  </cols>
  <sheetData>
    <row r="2" spans="1:258" ht="20.25" x14ac:dyDescent="0.2">
      <c r="A2" s="198"/>
      <c r="B2" s="3534" t="s">
        <v>1550</v>
      </c>
      <c r="C2" s="3534"/>
      <c r="D2" s="3534"/>
      <c r="E2" s="3534"/>
      <c r="F2" s="3534"/>
      <c r="G2" s="3534"/>
      <c r="H2" s="3534"/>
      <c r="I2" s="3534"/>
      <c r="J2" s="3534"/>
      <c r="K2" s="3534"/>
      <c r="L2" s="3534"/>
      <c r="M2" s="3534"/>
      <c r="N2" s="3534"/>
      <c r="O2" s="3534"/>
      <c r="P2" s="3534"/>
      <c r="Q2" s="3534"/>
      <c r="R2" s="3534"/>
      <c r="S2" s="3534"/>
      <c r="T2" s="3534"/>
      <c r="U2" s="198"/>
      <c r="V2" s="653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8"/>
      <c r="EV2" s="198"/>
      <c r="EW2" s="198"/>
      <c r="EX2" s="198"/>
      <c r="EY2" s="198"/>
      <c r="EZ2" s="198"/>
      <c r="FA2" s="198"/>
      <c r="FB2" s="198"/>
      <c r="FC2" s="198"/>
      <c r="FD2" s="198"/>
      <c r="FE2" s="198"/>
      <c r="FF2" s="198"/>
      <c r="FG2" s="198"/>
      <c r="FH2" s="198"/>
      <c r="FI2" s="198"/>
      <c r="FJ2" s="198"/>
      <c r="FK2" s="198"/>
      <c r="FL2" s="198"/>
      <c r="FM2" s="198"/>
      <c r="FN2" s="198"/>
      <c r="FO2" s="198"/>
      <c r="FP2" s="198"/>
      <c r="FQ2" s="198"/>
      <c r="FR2" s="198"/>
      <c r="FS2" s="198"/>
      <c r="FT2" s="198"/>
      <c r="FU2" s="198"/>
      <c r="FV2" s="198"/>
      <c r="FW2" s="198"/>
      <c r="FX2" s="198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  <c r="IF2" s="198"/>
      <c r="IG2" s="198"/>
      <c r="IH2" s="198"/>
      <c r="II2" s="198"/>
      <c r="IJ2" s="198"/>
      <c r="IK2" s="198"/>
      <c r="IL2" s="198"/>
      <c r="IM2" s="198"/>
      <c r="IN2" s="198"/>
      <c r="IO2" s="198"/>
      <c r="IP2" s="198"/>
      <c r="IQ2" s="198"/>
      <c r="IR2" s="198"/>
      <c r="IS2" s="198"/>
      <c r="IT2" s="198"/>
      <c r="IU2" s="198"/>
      <c r="IV2" s="198"/>
      <c r="IW2" s="198"/>
      <c r="IX2" s="198"/>
    </row>
    <row r="3" spans="1:258" s="196" customFormat="1" ht="20.25" x14ac:dyDescent="0.2">
      <c r="A3" s="198"/>
      <c r="B3" s="3534"/>
      <c r="C3" s="3534"/>
      <c r="D3" s="3534"/>
      <c r="E3" s="3534"/>
      <c r="F3" s="3534"/>
      <c r="G3" s="3534"/>
      <c r="H3" s="3534"/>
      <c r="I3" s="3534"/>
      <c r="J3" s="3534"/>
      <c r="K3" s="3534"/>
      <c r="L3" s="3534"/>
      <c r="M3" s="3534"/>
      <c r="N3" s="640"/>
      <c r="O3" s="640"/>
      <c r="P3" s="640"/>
      <c r="Q3" s="198"/>
      <c r="R3" s="654"/>
      <c r="S3" s="655"/>
      <c r="T3" s="642"/>
      <c r="U3" s="198"/>
      <c r="V3" s="653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</row>
    <row r="4" spans="1:258" s="196" customFormat="1" ht="15" x14ac:dyDescent="0.2">
      <c r="A4" s="197"/>
      <c r="B4" s="641"/>
      <c r="C4" s="199" t="str">
        <f>RAB!D12</f>
        <v>KEGIATAN</v>
      </c>
      <c r="D4" s="198"/>
      <c r="E4" s="198"/>
      <c r="F4" s="641" t="str">
        <f>RAB!E12</f>
        <v>:</v>
      </c>
      <c r="G4" s="639" t="str">
        <f>RAB!F12</f>
        <v>PEMBANGUNAN GEDUNG KANTOR DINAS PERTANIAN, PANGAN DAN PERIKANAN KARANGANYAR</v>
      </c>
      <c r="H4" s="198"/>
      <c r="I4" s="652"/>
      <c r="J4" s="198"/>
      <c r="K4" s="198"/>
      <c r="L4" s="656"/>
      <c r="M4" s="198"/>
      <c r="N4" s="198"/>
      <c r="O4" s="198"/>
      <c r="P4" s="198"/>
      <c r="Q4" s="198"/>
      <c r="R4" s="654"/>
      <c r="S4" s="655"/>
      <c r="T4" s="642"/>
      <c r="U4" s="198"/>
      <c r="V4" s="653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  <c r="IH4" s="198"/>
      <c r="II4" s="198"/>
      <c r="IJ4" s="198"/>
      <c r="IK4" s="198"/>
      <c r="IL4" s="198"/>
      <c r="IM4" s="198"/>
      <c r="IN4" s="198"/>
      <c r="IO4" s="198"/>
      <c r="IP4" s="198"/>
      <c r="IQ4" s="198"/>
      <c r="IR4" s="198"/>
      <c r="IS4" s="198"/>
      <c r="IT4" s="198"/>
      <c r="IU4" s="198"/>
      <c r="IV4" s="198"/>
      <c r="IW4" s="198"/>
      <c r="IX4" s="198"/>
    </row>
    <row r="5" spans="1:258" s="196" customFormat="1" ht="15" x14ac:dyDescent="0.2">
      <c r="A5" s="197"/>
      <c r="B5" s="641"/>
      <c r="C5" s="199" t="str">
        <f>RAB!D13</f>
        <v>L O K A S I</v>
      </c>
      <c r="D5" s="198"/>
      <c r="E5" s="198"/>
      <c r="F5" s="641" t="str">
        <f>RAB!E13</f>
        <v>:</v>
      </c>
      <c r="G5" s="639" t="str">
        <f>RAB!F13</f>
        <v>KARANGANYAR</v>
      </c>
      <c r="H5" s="198"/>
      <c r="I5" s="652"/>
      <c r="J5" s="198"/>
      <c r="K5" s="198"/>
      <c r="L5" s="656"/>
      <c r="M5" s="198"/>
      <c r="N5" s="198"/>
      <c r="O5" s="198"/>
      <c r="P5" s="198"/>
      <c r="Q5" s="198"/>
      <c r="R5" s="654"/>
      <c r="S5" s="655"/>
      <c r="T5" s="642"/>
      <c r="U5" s="198"/>
      <c r="V5" s="653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  <c r="IH5" s="198"/>
      <c r="II5" s="198"/>
      <c r="IJ5" s="198"/>
      <c r="IK5" s="198"/>
      <c r="IL5" s="198"/>
      <c r="IM5" s="198"/>
      <c r="IN5" s="198"/>
      <c r="IO5" s="198"/>
      <c r="IP5" s="198"/>
      <c r="IQ5" s="198"/>
      <c r="IR5" s="198"/>
      <c r="IS5" s="198"/>
      <c r="IT5" s="198"/>
      <c r="IU5" s="198"/>
      <c r="IV5" s="198"/>
      <c r="IW5" s="198"/>
      <c r="IX5" s="198"/>
    </row>
    <row r="6" spans="1:258" s="196" customFormat="1" ht="15" x14ac:dyDescent="0.2">
      <c r="A6" s="197"/>
      <c r="B6" s="641"/>
      <c r="C6" s="199" t="str">
        <f>RAB!D14</f>
        <v>KABUPATEN</v>
      </c>
      <c r="D6" s="198"/>
      <c r="E6" s="198"/>
      <c r="F6" s="641" t="str">
        <f>RAB!E14</f>
        <v>:</v>
      </c>
      <c r="G6" s="639" t="str">
        <f>RAB!F14</f>
        <v>KARANGANYAR</v>
      </c>
      <c r="H6" s="198"/>
      <c r="I6" s="652"/>
      <c r="J6" s="198"/>
      <c r="K6" s="198"/>
      <c r="L6" s="656"/>
      <c r="M6" s="198"/>
      <c r="N6" s="198"/>
      <c r="O6" s="198"/>
      <c r="P6" s="198"/>
      <c r="Q6" s="198"/>
      <c r="R6" s="654"/>
      <c r="S6" s="655"/>
      <c r="T6" s="642"/>
      <c r="U6" s="198"/>
      <c r="V6" s="653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  <c r="IK6" s="198"/>
      <c r="IL6" s="198"/>
      <c r="IM6" s="198"/>
      <c r="IN6" s="198"/>
      <c r="IO6" s="198"/>
      <c r="IP6" s="198"/>
      <c r="IQ6" s="198"/>
      <c r="IR6" s="198"/>
      <c r="IS6" s="198"/>
      <c r="IT6" s="198"/>
      <c r="IU6" s="198"/>
      <c r="IV6" s="198"/>
      <c r="IW6" s="198"/>
      <c r="IX6" s="198"/>
    </row>
    <row r="7" spans="1:258" s="196" customFormat="1" ht="15" x14ac:dyDescent="0.2">
      <c r="A7" s="197"/>
      <c r="B7" s="641"/>
      <c r="C7" s="199" t="str">
        <f>RAB!D15</f>
        <v>SUMBER DANA</v>
      </c>
      <c r="D7" s="198"/>
      <c r="E7" s="198"/>
      <c r="F7" s="641" t="str">
        <f>RAB!E15</f>
        <v>:</v>
      </c>
      <c r="G7" s="639" t="str">
        <f>RAB!F15</f>
        <v>APBD</v>
      </c>
      <c r="H7" s="198"/>
      <c r="I7" s="652"/>
      <c r="J7" s="198"/>
      <c r="K7" s="198"/>
      <c r="L7" s="656"/>
      <c r="M7" s="198"/>
      <c r="N7" s="198"/>
      <c r="O7" s="198"/>
      <c r="P7" s="198"/>
      <c r="Q7" s="198"/>
      <c r="R7" s="654"/>
      <c r="S7" s="655"/>
      <c r="T7" s="642"/>
      <c r="U7" s="198"/>
      <c r="V7" s="653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  <c r="EC7" s="198"/>
      <c r="ED7" s="198"/>
      <c r="EE7" s="198"/>
      <c r="EF7" s="198"/>
      <c r="EG7" s="198"/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98"/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  <c r="FR7" s="198"/>
      <c r="FS7" s="198"/>
      <c r="FT7" s="198"/>
      <c r="FU7" s="198"/>
      <c r="FV7" s="198"/>
      <c r="FW7" s="198"/>
      <c r="FX7" s="198"/>
      <c r="FY7" s="198"/>
      <c r="FZ7" s="198"/>
      <c r="GA7" s="198"/>
      <c r="GB7" s="198"/>
      <c r="GC7" s="198"/>
      <c r="GD7" s="198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  <c r="IH7" s="198"/>
      <c r="II7" s="198"/>
      <c r="IJ7" s="198"/>
      <c r="IK7" s="198"/>
      <c r="IL7" s="198"/>
      <c r="IM7" s="198"/>
      <c r="IN7" s="198"/>
      <c r="IO7" s="198"/>
      <c r="IP7" s="198"/>
      <c r="IQ7" s="198"/>
      <c r="IR7" s="198"/>
      <c r="IS7" s="198"/>
      <c r="IT7" s="198"/>
      <c r="IU7" s="198"/>
      <c r="IV7" s="198"/>
      <c r="IW7" s="198"/>
      <c r="IX7" s="198"/>
    </row>
    <row r="8" spans="1:258" s="196" customFormat="1" ht="15" x14ac:dyDescent="0.2">
      <c r="A8" s="197"/>
      <c r="B8" s="641"/>
      <c r="C8" s="199" t="str">
        <f>RAB!D16</f>
        <v>TAHUN ANGGARAN</v>
      </c>
      <c r="D8" s="198"/>
      <c r="E8" s="198"/>
      <c r="F8" s="641" t="str">
        <f>RAB!E16</f>
        <v>:</v>
      </c>
      <c r="G8" s="639" t="str">
        <f>RAB!F16</f>
        <v>2023</v>
      </c>
      <c r="H8" s="198"/>
      <c r="I8" s="652"/>
      <c r="J8" s="198"/>
      <c r="K8" s="198"/>
      <c r="L8" s="656"/>
      <c r="M8" s="198"/>
      <c r="N8" s="198"/>
      <c r="O8" s="198"/>
      <c r="P8" s="198"/>
      <c r="Q8" s="198"/>
      <c r="R8" s="654"/>
      <c r="S8" s="655"/>
      <c r="T8" s="642"/>
      <c r="U8" s="198"/>
      <c r="V8" s="653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198"/>
      <c r="FW8" s="198"/>
      <c r="FX8" s="198"/>
      <c r="FY8" s="198"/>
      <c r="FZ8" s="198"/>
      <c r="GA8" s="198"/>
      <c r="GB8" s="198"/>
      <c r="GC8" s="198"/>
      <c r="GD8" s="198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  <c r="IH8" s="198"/>
      <c r="II8" s="198"/>
      <c r="IJ8" s="198"/>
      <c r="IK8" s="198"/>
      <c r="IL8" s="198"/>
      <c r="IM8" s="198"/>
      <c r="IN8" s="198"/>
      <c r="IO8" s="198"/>
      <c r="IP8" s="198"/>
      <c r="IQ8" s="198"/>
      <c r="IR8" s="198"/>
      <c r="IS8" s="198"/>
      <c r="IT8" s="198"/>
      <c r="IU8" s="198"/>
      <c r="IV8" s="198"/>
      <c r="IW8" s="198"/>
      <c r="IX8" s="198"/>
    </row>
    <row r="9" spans="1:258" s="196" customFormat="1" ht="15.75" thickBot="1" x14ac:dyDescent="0.25">
      <c r="A9" s="205"/>
      <c r="B9" s="205"/>
      <c r="C9" s="657"/>
      <c r="D9" s="205"/>
      <c r="E9" s="205"/>
      <c r="F9" s="205"/>
      <c r="G9" s="658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659"/>
      <c r="S9" s="660"/>
      <c r="T9" s="661"/>
      <c r="U9" s="205"/>
      <c r="V9" s="662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  <c r="IU9" s="205"/>
      <c r="IV9" s="205"/>
      <c r="IW9" s="205"/>
      <c r="IX9" s="205"/>
    </row>
    <row r="10" spans="1:258" s="196" customFormat="1" ht="15.75" thickBot="1" x14ac:dyDescent="0.25">
      <c r="A10" s="661"/>
      <c r="B10" s="663" t="s">
        <v>362</v>
      </c>
      <c r="C10" s="3535" t="s">
        <v>363</v>
      </c>
      <c r="D10" s="3536"/>
      <c r="E10" s="3536"/>
      <c r="F10" s="3536"/>
      <c r="G10" s="3537"/>
      <c r="H10" s="664"/>
      <c r="I10" s="665"/>
      <c r="J10" s="665"/>
      <c r="K10" s="665"/>
      <c r="L10" s="665"/>
      <c r="M10" s="665" t="s">
        <v>1551</v>
      </c>
      <c r="N10" s="665"/>
      <c r="O10" s="665"/>
      <c r="P10" s="665"/>
      <c r="Q10" s="665"/>
      <c r="R10" s="666"/>
      <c r="S10" s="667" t="s">
        <v>1552</v>
      </c>
      <c r="T10" s="668" t="s">
        <v>1350</v>
      </c>
      <c r="U10" s="661"/>
      <c r="V10" s="662"/>
      <c r="W10" s="661"/>
      <c r="X10" s="661"/>
      <c r="Y10" s="661"/>
      <c r="Z10" s="661"/>
      <c r="AA10" s="661"/>
      <c r="AB10" s="661"/>
      <c r="AC10" s="661"/>
      <c r="AD10" s="661"/>
      <c r="AE10" s="661"/>
      <c r="AF10" s="661"/>
      <c r="AG10" s="661"/>
      <c r="AH10" s="661"/>
      <c r="AI10" s="661"/>
      <c r="AJ10" s="661"/>
      <c r="AK10" s="661"/>
      <c r="AL10" s="661"/>
      <c r="AM10" s="661"/>
      <c r="AN10" s="661"/>
      <c r="AO10" s="661"/>
      <c r="AP10" s="661"/>
      <c r="AQ10" s="661"/>
      <c r="AR10" s="661"/>
      <c r="AS10" s="661"/>
      <c r="AT10" s="661"/>
      <c r="AU10" s="661"/>
      <c r="AV10" s="661"/>
      <c r="AW10" s="661"/>
      <c r="AX10" s="661"/>
      <c r="AY10" s="661"/>
      <c r="AZ10" s="661"/>
      <c r="BA10" s="661"/>
      <c r="BB10" s="661"/>
      <c r="BC10" s="661"/>
      <c r="BD10" s="661"/>
      <c r="BE10" s="661"/>
      <c r="BF10" s="661"/>
      <c r="BG10" s="661"/>
      <c r="BH10" s="661"/>
      <c r="BI10" s="661"/>
      <c r="BJ10" s="661"/>
      <c r="BK10" s="661"/>
      <c r="BL10" s="661"/>
      <c r="BM10" s="661"/>
      <c r="BN10" s="661"/>
      <c r="BO10" s="661"/>
      <c r="BP10" s="661"/>
      <c r="BQ10" s="661"/>
      <c r="BR10" s="661"/>
      <c r="BS10" s="661"/>
      <c r="BT10" s="661"/>
      <c r="BU10" s="661"/>
      <c r="BV10" s="661"/>
      <c r="BW10" s="661"/>
      <c r="BX10" s="661"/>
      <c r="BY10" s="661"/>
      <c r="BZ10" s="661"/>
      <c r="CA10" s="661"/>
      <c r="CB10" s="661"/>
      <c r="CC10" s="661"/>
      <c r="CD10" s="661"/>
      <c r="CE10" s="661"/>
      <c r="CF10" s="661"/>
      <c r="CG10" s="661"/>
      <c r="CH10" s="661"/>
      <c r="CI10" s="661"/>
      <c r="CJ10" s="661"/>
      <c r="CK10" s="661"/>
      <c r="CL10" s="661"/>
      <c r="CM10" s="661"/>
      <c r="CN10" s="661"/>
      <c r="CO10" s="661"/>
      <c r="CP10" s="661"/>
      <c r="CQ10" s="661"/>
      <c r="CR10" s="661"/>
      <c r="CS10" s="661"/>
      <c r="CT10" s="661"/>
      <c r="CU10" s="661"/>
      <c r="CV10" s="661"/>
      <c r="CW10" s="661"/>
      <c r="CX10" s="661"/>
      <c r="CY10" s="661"/>
      <c r="CZ10" s="661"/>
      <c r="DA10" s="661"/>
      <c r="DB10" s="661"/>
      <c r="DC10" s="661"/>
      <c r="DD10" s="661"/>
      <c r="DE10" s="661"/>
      <c r="DF10" s="661"/>
      <c r="DG10" s="661"/>
      <c r="DH10" s="661"/>
      <c r="DI10" s="661"/>
      <c r="DJ10" s="661"/>
      <c r="DK10" s="661"/>
      <c r="DL10" s="661"/>
      <c r="DM10" s="661"/>
      <c r="DN10" s="661"/>
      <c r="DO10" s="661"/>
      <c r="DP10" s="661"/>
      <c r="DQ10" s="661"/>
      <c r="DR10" s="661"/>
      <c r="DS10" s="661"/>
      <c r="DT10" s="661"/>
      <c r="DU10" s="661"/>
      <c r="DV10" s="661"/>
      <c r="DW10" s="661"/>
      <c r="DX10" s="661"/>
      <c r="DY10" s="661"/>
      <c r="DZ10" s="661"/>
      <c r="EA10" s="661"/>
      <c r="EB10" s="661"/>
      <c r="EC10" s="661"/>
      <c r="ED10" s="661"/>
      <c r="EE10" s="661"/>
      <c r="EF10" s="661"/>
      <c r="EG10" s="661"/>
      <c r="EH10" s="661"/>
      <c r="EI10" s="661"/>
      <c r="EJ10" s="661"/>
      <c r="EK10" s="661"/>
      <c r="EL10" s="661"/>
      <c r="EM10" s="661"/>
      <c r="EN10" s="661"/>
      <c r="EO10" s="661"/>
      <c r="EP10" s="661"/>
      <c r="EQ10" s="661"/>
      <c r="ER10" s="661"/>
      <c r="ES10" s="661"/>
      <c r="ET10" s="661"/>
      <c r="EU10" s="661"/>
      <c r="EV10" s="661"/>
      <c r="EW10" s="661"/>
      <c r="EX10" s="661"/>
      <c r="EY10" s="661"/>
      <c r="EZ10" s="661"/>
      <c r="FA10" s="661"/>
      <c r="FB10" s="661"/>
      <c r="FC10" s="661"/>
      <c r="FD10" s="661"/>
      <c r="FE10" s="661"/>
      <c r="FF10" s="661"/>
      <c r="FG10" s="661"/>
      <c r="FH10" s="661"/>
      <c r="FI10" s="661"/>
      <c r="FJ10" s="661"/>
      <c r="FK10" s="661"/>
      <c r="FL10" s="661"/>
      <c r="FM10" s="661"/>
      <c r="FN10" s="661"/>
      <c r="FO10" s="661"/>
      <c r="FP10" s="661"/>
      <c r="FQ10" s="661"/>
      <c r="FR10" s="661"/>
      <c r="FS10" s="661"/>
      <c r="FT10" s="661"/>
      <c r="FU10" s="661"/>
      <c r="FV10" s="661"/>
      <c r="FW10" s="661"/>
      <c r="FX10" s="661"/>
      <c r="FY10" s="661"/>
      <c r="FZ10" s="661"/>
      <c r="GA10" s="661"/>
      <c r="GB10" s="661"/>
      <c r="GC10" s="661"/>
      <c r="GD10" s="661"/>
      <c r="GE10" s="661"/>
      <c r="GF10" s="661"/>
      <c r="GG10" s="661"/>
      <c r="GH10" s="661"/>
      <c r="GI10" s="661"/>
      <c r="GJ10" s="661"/>
      <c r="GK10" s="661"/>
      <c r="GL10" s="661"/>
      <c r="GM10" s="661"/>
      <c r="GN10" s="661"/>
      <c r="GO10" s="661"/>
      <c r="GP10" s="661"/>
      <c r="GQ10" s="661"/>
      <c r="GR10" s="661"/>
      <c r="GS10" s="661"/>
      <c r="GT10" s="661"/>
      <c r="GU10" s="661"/>
      <c r="GV10" s="661"/>
      <c r="GW10" s="661"/>
      <c r="GX10" s="661"/>
      <c r="GY10" s="661"/>
      <c r="GZ10" s="661"/>
      <c r="HA10" s="661"/>
      <c r="HB10" s="661"/>
      <c r="HC10" s="661"/>
      <c r="HD10" s="661"/>
      <c r="HE10" s="661"/>
      <c r="HF10" s="661"/>
      <c r="HG10" s="661"/>
      <c r="HH10" s="661"/>
      <c r="HI10" s="661"/>
      <c r="HJ10" s="661"/>
      <c r="HK10" s="661"/>
      <c r="HL10" s="661"/>
      <c r="HM10" s="661"/>
      <c r="HN10" s="661"/>
      <c r="HO10" s="661"/>
      <c r="HP10" s="661"/>
      <c r="HQ10" s="661"/>
      <c r="HR10" s="661"/>
      <c r="HS10" s="661"/>
      <c r="HT10" s="661"/>
      <c r="HU10" s="661"/>
      <c r="HV10" s="661"/>
      <c r="HW10" s="661"/>
      <c r="HX10" s="661"/>
      <c r="HY10" s="661"/>
      <c r="HZ10" s="661"/>
      <c r="IA10" s="661"/>
      <c r="IB10" s="661"/>
      <c r="IC10" s="661"/>
      <c r="ID10" s="661"/>
      <c r="IE10" s="661"/>
      <c r="IF10" s="661"/>
      <c r="IG10" s="661"/>
      <c r="IH10" s="661"/>
      <c r="II10" s="661"/>
      <c r="IJ10" s="661"/>
      <c r="IK10" s="661"/>
      <c r="IL10" s="661"/>
      <c r="IM10" s="661"/>
      <c r="IN10" s="661"/>
      <c r="IO10" s="661"/>
      <c r="IP10" s="661"/>
      <c r="IQ10" s="661"/>
      <c r="IR10" s="661"/>
      <c r="IS10" s="661"/>
      <c r="IT10" s="661"/>
      <c r="IU10" s="661"/>
      <c r="IV10" s="661"/>
      <c r="IW10" s="661"/>
      <c r="IX10" s="661"/>
    </row>
    <row r="11" spans="1:258" s="680" customFormat="1" ht="15.75" thickTop="1" x14ac:dyDescent="0.2">
      <c r="A11" s="669"/>
      <c r="B11" s="670"/>
      <c r="C11" s="671"/>
      <c r="D11" s="672"/>
      <c r="E11" s="673"/>
      <c r="F11" s="673"/>
      <c r="G11" s="674"/>
      <c r="H11" s="675"/>
      <c r="I11" s="676"/>
      <c r="J11" s="676"/>
      <c r="K11" s="676"/>
      <c r="L11" s="676"/>
      <c r="M11" s="676"/>
      <c r="N11" s="676"/>
      <c r="O11" s="676"/>
      <c r="P11" s="676"/>
      <c r="Q11" s="676"/>
      <c r="R11" s="677"/>
      <c r="S11" s="678"/>
      <c r="T11" s="684"/>
      <c r="U11" s="205"/>
      <c r="V11" s="679"/>
      <c r="W11" s="205"/>
      <c r="X11" s="205"/>
      <c r="Y11" s="205"/>
      <c r="Z11" s="205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  <c r="IU11" s="205"/>
      <c r="IV11" s="205"/>
      <c r="IW11" s="205"/>
      <c r="IX11" s="205"/>
    </row>
    <row r="12" spans="1:258" s="203" customFormat="1" x14ac:dyDescent="0.2">
      <c r="A12" s="669"/>
      <c r="B12" s="681" t="str">
        <f>RAB!B25</f>
        <v>A</v>
      </c>
      <c r="C12" s="682" t="str">
        <f>RAB!D25</f>
        <v>PEKERJAAN PERSIAPAN</v>
      </c>
      <c r="D12" s="683"/>
      <c r="E12" s="673"/>
      <c r="F12" s="673"/>
      <c r="G12" s="674"/>
      <c r="H12" s="675"/>
      <c r="I12" s="676"/>
      <c r="J12" s="676"/>
      <c r="K12" s="676"/>
      <c r="L12" s="676"/>
      <c r="M12" s="676"/>
      <c r="N12" s="676"/>
      <c r="O12" s="676"/>
      <c r="P12" s="676"/>
      <c r="Q12" s="676"/>
      <c r="R12" s="677"/>
      <c r="S12" s="678"/>
      <c r="T12" s="684"/>
      <c r="U12" s="205"/>
      <c r="V12" s="687" t="s">
        <v>1553</v>
      </c>
      <c r="W12" s="688">
        <v>1.2E-2</v>
      </c>
      <c r="X12" s="689">
        <v>7850</v>
      </c>
      <c r="Y12" s="690">
        <f>0.25*3.14*(W12*W12)</f>
        <v>1.1304E-4</v>
      </c>
      <c r="Z12" s="691">
        <f>X12*Y12*AA12</f>
        <v>0.88736400000000004</v>
      </c>
      <c r="AA12" s="689">
        <v>1</v>
      </c>
      <c r="AB12" s="692">
        <f>Z12*12</f>
        <v>10.648368000000001</v>
      </c>
      <c r="AC12" s="693" t="s">
        <v>1554</v>
      </c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  <c r="IU12" s="205"/>
      <c r="IV12" s="205"/>
      <c r="IW12" s="205"/>
      <c r="IX12" s="205"/>
    </row>
    <row r="13" spans="1:258" s="203" customFormat="1" x14ac:dyDescent="0.2">
      <c r="A13" s="669"/>
      <c r="B13" s="670">
        <f>RAB!B26</f>
        <v>1</v>
      </c>
      <c r="C13" s="686" t="str">
        <f>RAB!D26</f>
        <v>Administrasi dan dokumentasi</v>
      </c>
      <c r="D13" s="672"/>
      <c r="E13" s="673"/>
      <c r="F13" s="673"/>
      <c r="G13" s="674"/>
      <c r="H13" s="675">
        <v>20</v>
      </c>
      <c r="I13" s="676" t="s">
        <v>424</v>
      </c>
      <c r="J13" s="676">
        <v>13</v>
      </c>
      <c r="K13" s="676"/>
      <c r="L13" s="676"/>
      <c r="M13" s="676"/>
      <c r="N13" s="676"/>
      <c r="O13" s="676"/>
      <c r="P13" s="676"/>
      <c r="Q13" s="676" t="s">
        <v>696</v>
      </c>
      <c r="R13" s="677">
        <f>H13*J13</f>
        <v>260</v>
      </c>
      <c r="S13" s="678">
        <v>1</v>
      </c>
      <c r="T13" s="684" t="s">
        <v>273</v>
      </c>
      <c r="U13" s="205"/>
      <c r="V13" s="687" t="s">
        <v>1555</v>
      </c>
      <c r="W13" s="688">
        <v>8.0000000000000002E-3</v>
      </c>
      <c r="X13" s="689">
        <v>7850</v>
      </c>
      <c r="Y13" s="690">
        <f>0.25*3.14*(W13*W13)</f>
        <v>5.024E-5</v>
      </c>
      <c r="Z13" s="691">
        <f>X13*Y13*AA13</f>
        <v>0.39438400000000001</v>
      </c>
      <c r="AA13" s="689">
        <v>1</v>
      </c>
      <c r="AB13" s="692">
        <f>Z13*12</f>
        <v>4.7326079999999999</v>
      </c>
      <c r="AC13" s="693" t="s">
        <v>1554</v>
      </c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  <c r="IU13" s="205"/>
      <c r="IV13" s="205"/>
      <c r="IW13" s="205"/>
      <c r="IX13" s="205"/>
    </row>
    <row r="14" spans="1:258" s="203" customFormat="1" x14ac:dyDescent="0.2">
      <c r="A14" s="669"/>
      <c r="B14" s="670">
        <f>RAB!B27</f>
        <v>2</v>
      </c>
      <c r="C14" s="686" t="e">
        <f>RAB!D27</f>
        <v>#N/A</v>
      </c>
      <c r="D14" s="672"/>
      <c r="E14" s="673"/>
      <c r="F14" s="673"/>
      <c r="G14" s="674"/>
      <c r="H14" s="675">
        <v>32</v>
      </c>
      <c r="I14" s="676"/>
      <c r="J14" s="676"/>
      <c r="K14" s="676"/>
      <c r="L14" s="676"/>
      <c r="M14" s="676"/>
      <c r="N14" s="676"/>
      <c r="O14" s="676"/>
      <c r="P14" s="676"/>
      <c r="Q14" s="676" t="s">
        <v>696</v>
      </c>
      <c r="R14" s="677">
        <f>H14</f>
        <v>32</v>
      </c>
      <c r="S14" s="678">
        <f>R14</f>
        <v>32</v>
      </c>
      <c r="T14" s="684" t="s">
        <v>247</v>
      </c>
      <c r="U14" s="205"/>
      <c r="V14" s="687" t="s">
        <v>1556</v>
      </c>
      <c r="W14" s="688">
        <v>0.01</v>
      </c>
      <c r="X14" s="689">
        <v>7850</v>
      </c>
      <c r="Y14" s="690">
        <f>0.25*3.14*(W14*W14)</f>
        <v>7.8500000000000011E-5</v>
      </c>
      <c r="Z14" s="691">
        <f>X14*Y14*AA14</f>
        <v>0.61622500000000013</v>
      </c>
      <c r="AA14" s="689">
        <v>1</v>
      </c>
      <c r="AB14" s="692">
        <f>Z14*12</f>
        <v>7.394700000000002</v>
      </c>
      <c r="AC14" s="693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  <c r="IU14" s="205"/>
      <c r="IV14" s="205"/>
      <c r="IW14" s="205"/>
      <c r="IX14" s="205"/>
    </row>
    <row r="15" spans="1:258" s="203" customFormat="1" x14ac:dyDescent="0.2">
      <c r="A15" s="669"/>
      <c r="B15" s="670">
        <f>RAB!B28</f>
        <v>3</v>
      </c>
      <c r="C15" s="686" t="e">
        <f>RAB!D28</f>
        <v>#N/A</v>
      </c>
      <c r="D15" s="672"/>
      <c r="E15" s="673"/>
      <c r="F15" s="673"/>
      <c r="G15" s="674"/>
      <c r="H15" s="675"/>
      <c r="I15" s="676"/>
      <c r="J15" s="676"/>
      <c r="K15" s="676"/>
      <c r="L15" s="676"/>
      <c r="M15" s="676"/>
      <c r="N15" s="676"/>
      <c r="O15" s="676"/>
      <c r="P15" s="676"/>
      <c r="Q15" s="676"/>
      <c r="R15" s="677"/>
      <c r="S15" s="678">
        <v>1</v>
      </c>
      <c r="T15" s="684" t="s">
        <v>273</v>
      </c>
      <c r="U15" s="205"/>
      <c r="V15" s="685"/>
      <c r="W15" s="205"/>
      <c r="X15" s="205"/>
      <c r="Y15" s="205"/>
      <c r="Z15" s="205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  <c r="IU15" s="205"/>
      <c r="IV15" s="205"/>
      <c r="IW15" s="205"/>
      <c r="IX15" s="205"/>
    </row>
    <row r="16" spans="1:258" s="203" customFormat="1" x14ac:dyDescent="0.2">
      <c r="A16" s="669"/>
      <c r="B16" s="670">
        <f>RAB!B29</f>
        <v>4</v>
      </c>
      <c r="C16" s="686" t="e">
        <f>RAB!D29</f>
        <v>#N/A</v>
      </c>
      <c r="D16" s="672"/>
      <c r="E16" s="673"/>
      <c r="F16" s="673"/>
      <c r="G16" s="674"/>
      <c r="H16" s="675"/>
      <c r="I16" s="676"/>
      <c r="J16" s="676"/>
      <c r="K16" s="676"/>
      <c r="L16" s="676"/>
      <c r="M16" s="676"/>
      <c r="N16" s="676"/>
      <c r="O16" s="676"/>
      <c r="P16" s="676"/>
      <c r="Q16" s="676"/>
      <c r="R16" s="677"/>
      <c r="S16" s="678">
        <v>1</v>
      </c>
      <c r="T16" s="684" t="s">
        <v>268</v>
      </c>
      <c r="U16" s="205"/>
      <c r="V16" s="685"/>
      <c r="W16" s="205"/>
      <c r="X16" s="205"/>
      <c r="Y16" s="205"/>
      <c r="Z16" s="205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  <c r="IU16" s="205"/>
      <c r="IV16" s="205"/>
      <c r="IW16" s="205"/>
      <c r="IX16" s="205"/>
    </row>
    <row r="17" spans="1:258" s="203" customFormat="1" x14ac:dyDescent="0.2">
      <c r="A17" s="669"/>
      <c r="B17" s="670"/>
      <c r="C17" s="686"/>
      <c r="D17" s="672"/>
      <c r="E17" s="673"/>
      <c r="F17" s="673"/>
      <c r="G17" s="674"/>
      <c r="H17" s="675"/>
      <c r="I17" s="676"/>
      <c r="J17" s="676"/>
      <c r="K17" s="676"/>
      <c r="L17" s="676"/>
      <c r="M17" s="676"/>
      <c r="N17" s="676"/>
      <c r="O17" s="676"/>
      <c r="P17" s="676"/>
      <c r="Q17" s="676"/>
      <c r="R17" s="677"/>
      <c r="S17" s="678"/>
      <c r="T17" s="684"/>
      <c r="U17" s="205"/>
      <c r="V17" s="68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  <c r="IU17" s="205"/>
      <c r="IV17" s="205"/>
      <c r="IW17" s="205"/>
      <c r="IX17" s="205"/>
    </row>
    <row r="18" spans="1:258" s="203" customFormat="1" x14ac:dyDescent="0.2">
      <c r="A18" s="669"/>
      <c r="B18" s="670"/>
      <c r="C18" s="686"/>
      <c r="D18" s="672"/>
      <c r="E18" s="673"/>
      <c r="F18" s="673"/>
      <c r="G18" s="674"/>
      <c r="H18" s="675"/>
      <c r="I18" s="676"/>
      <c r="J18" s="676"/>
      <c r="K18" s="676"/>
      <c r="L18" s="676"/>
      <c r="M18" s="676"/>
      <c r="N18" s="676"/>
      <c r="O18" s="676"/>
      <c r="P18" s="676"/>
      <c r="Q18" s="676"/>
      <c r="R18" s="677"/>
      <c r="S18" s="678"/>
      <c r="T18" s="684"/>
      <c r="U18" s="205"/>
      <c r="V18" s="685"/>
      <c r="W18" s="205"/>
      <c r="X18" s="205"/>
      <c r="Y18" s="205"/>
      <c r="Z18" s="205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  <c r="IU18" s="205"/>
      <c r="IV18" s="205"/>
      <c r="IW18" s="205"/>
      <c r="IX18" s="205"/>
    </row>
    <row r="19" spans="1:258" s="203" customFormat="1" x14ac:dyDescent="0.2">
      <c r="A19" s="669"/>
      <c r="B19" s="681" t="str">
        <f>RAB!B36</f>
        <v>II</v>
      </c>
      <c r="C19" s="682" t="str">
        <f>RAB!D36</f>
        <v>PEKERJAAN TANAH</v>
      </c>
      <c r="D19" s="672"/>
      <c r="E19" s="673"/>
      <c r="F19" s="673"/>
      <c r="G19" s="674"/>
      <c r="H19" s="675"/>
      <c r="I19" s="676"/>
      <c r="J19" s="676"/>
      <c r="K19" s="676"/>
      <c r="L19" s="676"/>
      <c r="M19" s="676"/>
      <c r="N19" s="676"/>
      <c r="O19" s="676"/>
      <c r="P19" s="676"/>
      <c r="Q19" s="676"/>
      <c r="R19" s="677"/>
      <c r="S19" s="678"/>
      <c r="T19" s="684"/>
      <c r="U19" s="205"/>
      <c r="V19" s="685"/>
      <c r="W19" s="205"/>
      <c r="X19" s="205"/>
      <c r="Y19" s="205"/>
      <c r="Z19" s="205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  <c r="IU19" s="205"/>
      <c r="IV19" s="205"/>
      <c r="IW19" s="205"/>
      <c r="IX19" s="205"/>
    </row>
    <row r="20" spans="1:258" s="203" customFormat="1" x14ac:dyDescent="0.2">
      <c r="A20" s="669"/>
      <c r="B20" s="670">
        <f>RAB!B37</f>
        <v>1</v>
      </c>
      <c r="C20" s="686" t="e">
        <f>RAB!D37</f>
        <v>#REF!</v>
      </c>
      <c r="D20" s="672"/>
      <c r="E20" s="673"/>
      <c r="F20" s="673"/>
      <c r="G20" s="674"/>
      <c r="H20" s="675"/>
      <c r="I20" s="676"/>
      <c r="J20" s="676"/>
      <c r="K20" s="676"/>
      <c r="L20" s="676"/>
      <c r="M20" s="676"/>
      <c r="N20" s="676"/>
      <c r="O20" s="676"/>
      <c r="P20" s="676"/>
      <c r="Q20" s="676"/>
      <c r="R20" s="677"/>
      <c r="S20" s="678"/>
      <c r="T20" s="684"/>
      <c r="U20" s="205"/>
      <c r="V20" s="68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  <c r="IU20" s="205"/>
      <c r="IV20" s="205"/>
      <c r="IW20" s="205"/>
      <c r="IX20" s="205"/>
    </row>
    <row r="21" spans="1:258" s="203" customFormat="1" x14ac:dyDescent="0.2">
      <c r="A21" s="669"/>
      <c r="B21" s="670"/>
      <c r="C21" s="1358"/>
      <c r="D21" s="672"/>
      <c r="E21" s="1359"/>
      <c r="F21" s="1359"/>
      <c r="G21" s="1360" t="s">
        <v>1689</v>
      </c>
      <c r="H21" s="1361">
        <v>3</v>
      </c>
      <c r="I21" s="1362" t="s">
        <v>424</v>
      </c>
      <c r="J21" s="1362">
        <v>0.8</v>
      </c>
      <c r="K21" s="1362" t="s">
        <v>424</v>
      </c>
      <c r="L21" s="1362">
        <v>0.1</v>
      </c>
      <c r="M21" s="1362"/>
      <c r="N21" s="1362"/>
      <c r="O21" s="1362"/>
      <c r="P21" s="1362"/>
      <c r="Q21" s="1362" t="s">
        <v>696</v>
      </c>
      <c r="R21" s="1363">
        <f>H21*J21*L21</f>
        <v>0.24000000000000005</v>
      </c>
      <c r="S21" s="1364"/>
      <c r="T21" s="722"/>
      <c r="U21" s="205"/>
      <c r="V21" s="68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  <c r="IU21" s="205"/>
      <c r="IV21" s="205"/>
      <c r="IW21" s="205"/>
      <c r="IX21" s="205"/>
    </row>
    <row r="22" spans="1:258" s="203" customFormat="1" x14ac:dyDescent="0.2">
      <c r="A22" s="669"/>
      <c r="B22" s="670"/>
      <c r="C22" s="1358"/>
      <c r="D22" s="672"/>
      <c r="E22" s="1359"/>
      <c r="F22" s="1359"/>
      <c r="G22" s="1360" t="s">
        <v>1690</v>
      </c>
      <c r="H22" s="1361">
        <v>0.9</v>
      </c>
      <c r="I22" s="1362" t="s">
        <v>424</v>
      </c>
      <c r="J22" s="1362">
        <v>0.9</v>
      </c>
      <c r="K22" s="1362" t="s">
        <v>424</v>
      </c>
      <c r="L22" s="1362">
        <f>L21</f>
        <v>0.1</v>
      </c>
      <c r="M22" s="1362" t="s">
        <v>424</v>
      </c>
      <c r="N22" s="1362">
        <v>2</v>
      </c>
      <c r="O22" s="1362"/>
      <c r="P22" s="1362"/>
      <c r="Q22" s="1362" t="s">
        <v>696</v>
      </c>
      <c r="R22" s="1363">
        <f>H22*J22*L22*N22</f>
        <v>0.16200000000000003</v>
      </c>
      <c r="S22" s="1364"/>
      <c r="T22" s="722"/>
      <c r="U22" s="205"/>
      <c r="V22" s="68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  <c r="IU22" s="205"/>
      <c r="IV22" s="205"/>
      <c r="IW22" s="205"/>
      <c r="IX22" s="205"/>
    </row>
    <row r="23" spans="1:258" s="203" customFormat="1" x14ac:dyDescent="0.2">
      <c r="A23" s="669"/>
      <c r="B23" s="670"/>
      <c r="C23" s="1358"/>
      <c r="D23" s="672"/>
      <c r="E23" s="1359"/>
      <c r="F23" s="1359"/>
      <c r="G23" s="1360"/>
      <c r="H23" s="1361"/>
      <c r="I23" s="1362"/>
      <c r="J23" s="1362"/>
      <c r="K23" s="1362"/>
      <c r="L23" s="1362"/>
      <c r="M23" s="1362"/>
      <c r="N23" s="1362"/>
      <c r="O23" s="1362"/>
      <c r="P23" s="1362"/>
      <c r="Q23" s="1362"/>
      <c r="R23" s="1363">
        <f>SUM(R21:R22)</f>
        <v>0.40200000000000008</v>
      </c>
      <c r="S23" s="1364">
        <f>R23</f>
        <v>0.40200000000000008</v>
      </c>
      <c r="T23" s="722" t="s">
        <v>293</v>
      </c>
      <c r="U23" s="205"/>
      <c r="V23" s="68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  <c r="IU23" s="205"/>
      <c r="IV23" s="205"/>
      <c r="IW23" s="205"/>
      <c r="IX23" s="205"/>
    </row>
    <row r="24" spans="1:258" s="203" customFormat="1" x14ac:dyDescent="0.2">
      <c r="A24" s="669"/>
      <c r="B24" s="670">
        <f>RAB!B38</f>
        <v>2</v>
      </c>
      <c r="C24" s="686" t="str">
        <f>RAB!D38</f>
        <v xml:space="preserve">Menggali tanah biasa sedalam 1 m' </v>
      </c>
      <c r="D24" s="672"/>
      <c r="E24" s="673"/>
      <c r="F24" s="673"/>
      <c r="G24" s="674"/>
      <c r="H24" s="675" t="s">
        <v>1134</v>
      </c>
      <c r="I24" s="676"/>
      <c r="J24" s="676" t="s">
        <v>1133</v>
      </c>
      <c r="K24" s="676"/>
      <c r="L24" s="676" t="s">
        <v>1655</v>
      </c>
      <c r="M24" s="676"/>
      <c r="N24" s="676"/>
      <c r="O24" s="676"/>
      <c r="P24" s="676"/>
      <c r="Q24" s="676"/>
      <c r="R24" s="677"/>
      <c r="S24" s="678"/>
      <c r="T24" s="684"/>
      <c r="U24" s="205"/>
      <c r="V24" s="68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  <c r="IU24" s="205"/>
      <c r="IV24" s="205"/>
      <c r="IW24" s="205"/>
      <c r="IX24" s="205"/>
    </row>
    <row r="25" spans="1:258" s="203" customFormat="1" x14ac:dyDescent="0.2">
      <c r="A25" s="669"/>
      <c r="B25" s="670"/>
      <c r="C25" s="1358"/>
      <c r="D25" s="672"/>
      <c r="E25" s="1359"/>
      <c r="F25" s="1359" t="s">
        <v>1695</v>
      </c>
      <c r="G25" s="1360"/>
      <c r="H25" s="1361"/>
      <c r="I25" s="1362"/>
      <c r="J25" s="1362"/>
      <c r="K25" s="1362"/>
      <c r="L25" s="1362"/>
      <c r="M25" s="1362"/>
      <c r="N25" s="1362"/>
      <c r="O25" s="1362"/>
      <c r="P25" s="1362"/>
      <c r="Q25" s="1362"/>
      <c r="R25" s="1363"/>
      <c r="S25" s="1364"/>
      <c r="T25" s="722"/>
      <c r="U25" s="205"/>
      <c r="V25" s="68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  <c r="IU25" s="205"/>
      <c r="IV25" s="205"/>
      <c r="IW25" s="205"/>
      <c r="IX25" s="205"/>
    </row>
    <row r="26" spans="1:258" s="203" customFormat="1" x14ac:dyDescent="0.2">
      <c r="A26" s="669"/>
      <c r="B26" s="670"/>
      <c r="C26" s="1358"/>
      <c r="D26" s="672"/>
      <c r="E26" s="1359"/>
      <c r="F26" s="1359"/>
      <c r="G26" s="1360" t="s">
        <v>1691</v>
      </c>
      <c r="H26" s="1361">
        <f>(13+6+6+7+2.5+3+6)+(12.5+2+2+1.75+5+1.75+12.5+1.5+1.5)+(1.5*10)+(5*5)</f>
        <v>124</v>
      </c>
      <c r="I26" s="1362" t="s">
        <v>424</v>
      </c>
      <c r="J26" s="1362">
        <v>0.7</v>
      </c>
      <c r="K26" s="1362" t="s">
        <v>424</v>
      </c>
      <c r="L26" s="1362">
        <v>0.8</v>
      </c>
      <c r="M26" s="1362"/>
      <c r="N26" s="1362"/>
      <c r="O26" s="1362"/>
      <c r="P26" s="1362"/>
      <c r="Q26" s="1362" t="s">
        <v>696</v>
      </c>
      <c r="R26" s="1363">
        <f t="shared" ref="R26:R29" si="0">H26*J26*L26</f>
        <v>69.44</v>
      </c>
      <c r="S26" s="1364"/>
      <c r="T26" s="722"/>
      <c r="U26" s="205"/>
      <c r="V26" s="68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  <c r="IU26" s="205"/>
      <c r="IV26" s="205"/>
      <c r="IW26" s="205"/>
      <c r="IX26" s="205"/>
    </row>
    <row r="27" spans="1:258" s="203" customFormat="1" x14ac:dyDescent="0.2">
      <c r="A27" s="669"/>
      <c r="B27" s="670"/>
      <c r="C27" s="1358"/>
      <c r="D27" s="672"/>
      <c r="E27" s="1359"/>
      <c r="F27" s="1359"/>
      <c r="G27" s="1360" t="s">
        <v>1692</v>
      </c>
      <c r="H27" s="1361">
        <f>11.5</f>
        <v>11.5</v>
      </c>
      <c r="I27" s="1362" t="s">
        <v>424</v>
      </c>
      <c r="J27" s="1362">
        <v>0.7</v>
      </c>
      <c r="K27" s="1362" t="s">
        <v>424</v>
      </c>
      <c r="L27" s="1362">
        <v>0.8</v>
      </c>
      <c r="M27" s="1362"/>
      <c r="N27" s="1362"/>
      <c r="O27" s="1362"/>
      <c r="P27" s="1362"/>
      <c r="Q27" s="1362" t="s">
        <v>696</v>
      </c>
      <c r="R27" s="1363">
        <f t="shared" si="0"/>
        <v>6.4399999999999995</v>
      </c>
      <c r="S27" s="1364"/>
      <c r="T27" s="722"/>
      <c r="U27" s="205"/>
      <c r="V27" s="68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  <c r="IU27" s="205"/>
      <c r="IV27" s="205"/>
      <c r="IW27" s="205"/>
      <c r="IX27" s="205"/>
    </row>
    <row r="28" spans="1:258" s="203" customFormat="1" x14ac:dyDescent="0.2">
      <c r="A28" s="669"/>
      <c r="B28" s="670"/>
      <c r="C28" s="1358"/>
      <c r="D28" s="672"/>
      <c r="E28" s="1359"/>
      <c r="F28" s="1359"/>
      <c r="G28" s="1360" t="s">
        <v>1693</v>
      </c>
      <c r="H28" s="1361">
        <f>(7+22+5)</f>
        <v>34</v>
      </c>
      <c r="I28" s="1362" t="s">
        <v>424</v>
      </c>
      <c r="J28" s="1362">
        <v>1.1000000000000001</v>
      </c>
      <c r="K28" s="1362" t="s">
        <v>424</v>
      </c>
      <c r="L28" s="1362">
        <v>0.7</v>
      </c>
      <c r="M28" s="1362"/>
      <c r="N28" s="1362"/>
      <c r="O28" s="1362"/>
      <c r="P28" s="1362"/>
      <c r="Q28" s="1362" t="s">
        <v>696</v>
      </c>
      <c r="R28" s="1363">
        <f t="shared" si="0"/>
        <v>26.180000000000003</v>
      </c>
      <c r="S28" s="1364"/>
      <c r="T28" s="722"/>
      <c r="U28" s="205"/>
      <c r="V28" s="68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  <c r="IU28" s="205"/>
      <c r="IV28" s="205"/>
      <c r="IW28" s="205"/>
      <c r="IX28" s="205"/>
    </row>
    <row r="29" spans="1:258" s="203" customFormat="1" x14ac:dyDescent="0.2">
      <c r="A29" s="669"/>
      <c r="B29" s="670"/>
      <c r="C29" s="1358"/>
      <c r="D29" s="672"/>
      <c r="E29" s="1359"/>
      <c r="F29" s="1359"/>
      <c r="G29" s="1360" t="s">
        <v>1694</v>
      </c>
      <c r="H29" s="1361">
        <f>(22)</f>
        <v>22</v>
      </c>
      <c r="I29" s="1362" t="s">
        <v>424</v>
      </c>
      <c r="J29" s="1362">
        <v>0.9</v>
      </c>
      <c r="K29" s="1362" t="s">
        <v>424</v>
      </c>
      <c r="L29" s="1362">
        <v>0.7</v>
      </c>
      <c r="M29" s="1362"/>
      <c r="N29" s="1362"/>
      <c r="O29" s="1362"/>
      <c r="P29" s="1362"/>
      <c r="Q29" s="1362" t="s">
        <v>696</v>
      </c>
      <c r="R29" s="1363">
        <f t="shared" si="0"/>
        <v>13.86</v>
      </c>
      <c r="S29" s="1364"/>
      <c r="T29" s="722"/>
      <c r="U29" s="205"/>
      <c r="V29" s="68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  <c r="IU29" s="205"/>
      <c r="IV29" s="205"/>
      <c r="IW29" s="205"/>
      <c r="IX29" s="205"/>
    </row>
    <row r="30" spans="1:258" s="203" customFormat="1" x14ac:dyDescent="0.2">
      <c r="A30" s="669"/>
      <c r="B30" s="670"/>
      <c r="C30" s="1358"/>
      <c r="D30" s="672"/>
      <c r="E30" s="1359"/>
      <c r="F30" s="1359"/>
      <c r="G30" s="1360"/>
      <c r="H30" s="1361"/>
      <c r="I30" s="1362"/>
      <c r="J30" s="1362"/>
      <c r="K30" s="1362"/>
      <c r="L30" s="1362"/>
      <c r="M30" s="1362"/>
      <c r="N30" s="1362"/>
      <c r="O30" s="1362"/>
      <c r="P30" s="1362"/>
      <c r="Q30" s="1362"/>
      <c r="R30" s="1363"/>
      <c r="S30" s="1364"/>
      <c r="T30" s="722"/>
      <c r="U30" s="205"/>
      <c r="V30" s="68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  <c r="IU30" s="205"/>
      <c r="IV30" s="205"/>
      <c r="IW30" s="205"/>
      <c r="IX30" s="205"/>
    </row>
    <row r="31" spans="1:258" s="203" customFormat="1" x14ac:dyDescent="0.2">
      <c r="A31" s="669"/>
      <c r="B31" s="670"/>
      <c r="C31" s="1358"/>
      <c r="D31" s="672"/>
      <c r="E31" s="1359"/>
      <c r="F31" s="1359" t="s">
        <v>1622</v>
      </c>
      <c r="G31" s="1360"/>
      <c r="H31" s="1361"/>
      <c r="I31" s="1362"/>
      <c r="J31" s="1362"/>
      <c r="K31" s="1362"/>
      <c r="L31" s="1362"/>
      <c r="M31" s="1362"/>
      <c r="N31" s="1362"/>
      <c r="O31" s="1362"/>
      <c r="P31" s="1362"/>
      <c r="Q31" s="1362"/>
      <c r="R31" s="1363"/>
      <c r="S31" s="1364"/>
      <c r="T31" s="722"/>
      <c r="U31" s="205"/>
      <c r="V31" s="68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  <c r="IU31" s="205"/>
      <c r="IV31" s="205"/>
      <c r="IW31" s="205"/>
      <c r="IX31" s="205"/>
    </row>
    <row r="32" spans="1:258" s="203" customFormat="1" x14ac:dyDescent="0.2">
      <c r="A32" s="669"/>
      <c r="B32" s="670"/>
      <c r="C32" s="1358"/>
      <c r="D32" s="672"/>
      <c r="E32" s="1359"/>
      <c r="F32" s="1359"/>
      <c r="G32" s="1360" t="s">
        <v>1648</v>
      </c>
      <c r="H32" s="1361">
        <v>0.9</v>
      </c>
      <c r="I32" s="1362" t="s">
        <v>424</v>
      </c>
      <c r="J32" s="1362">
        <v>0.9</v>
      </c>
      <c r="K32" s="1362" t="s">
        <v>424</v>
      </c>
      <c r="L32" s="1362">
        <v>1.3</v>
      </c>
      <c r="M32" s="1362" t="s">
        <v>424</v>
      </c>
      <c r="N32" s="1362">
        <v>9</v>
      </c>
      <c r="O32" s="1362"/>
      <c r="P32" s="1362"/>
      <c r="Q32" s="1362" t="s">
        <v>696</v>
      </c>
      <c r="R32" s="1363">
        <f>H32*J32*L32*N32</f>
        <v>9.4770000000000021</v>
      </c>
      <c r="S32" s="1364"/>
      <c r="T32" s="722"/>
      <c r="U32" s="205"/>
      <c r="V32" s="68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  <c r="IU32" s="205"/>
      <c r="IV32" s="205"/>
      <c r="IW32" s="205"/>
      <c r="IX32" s="205"/>
    </row>
    <row r="33" spans="1:258" s="203" customFormat="1" x14ac:dyDescent="0.2">
      <c r="A33" s="669"/>
      <c r="B33" s="670"/>
      <c r="C33" s="1358"/>
      <c r="D33" s="672"/>
      <c r="E33" s="1359"/>
      <c r="F33" s="1359"/>
      <c r="G33" s="1360" t="s">
        <v>1649</v>
      </c>
      <c r="H33" s="1361">
        <v>0.9</v>
      </c>
      <c r="I33" s="1362" t="s">
        <v>424</v>
      </c>
      <c r="J33" s="1362">
        <v>0.9</v>
      </c>
      <c r="K33" s="1362" t="s">
        <v>424</v>
      </c>
      <c r="L33" s="1362">
        <v>1.3</v>
      </c>
      <c r="M33" s="1362" t="s">
        <v>424</v>
      </c>
      <c r="N33" s="1362">
        <v>10</v>
      </c>
      <c r="O33" s="1362"/>
      <c r="P33" s="1362"/>
      <c r="Q33" s="1362" t="s">
        <v>696</v>
      </c>
      <c r="R33" s="1363">
        <f>H33*J33*L33*N33</f>
        <v>10.530000000000001</v>
      </c>
      <c r="S33" s="1364"/>
      <c r="T33" s="722"/>
      <c r="U33" s="205"/>
      <c r="V33" s="68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  <c r="IU33" s="205"/>
      <c r="IV33" s="205"/>
      <c r="IW33" s="205"/>
      <c r="IX33" s="205"/>
    </row>
    <row r="34" spans="1:258" s="203" customFormat="1" x14ac:dyDescent="0.2">
      <c r="A34" s="669"/>
      <c r="B34" s="670"/>
      <c r="C34" s="1358"/>
      <c r="D34" s="672"/>
      <c r="E34" s="1359"/>
      <c r="F34" s="1359"/>
      <c r="G34" s="1360" t="s">
        <v>1650</v>
      </c>
      <c r="H34" s="1361">
        <v>0.9</v>
      </c>
      <c r="I34" s="1362" t="s">
        <v>424</v>
      </c>
      <c r="J34" s="1362">
        <v>0.9</v>
      </c>
      <c r="K34" s="1362" t="s">
        <v>424</v>
      </c>
      <c r="L34" s="1362">
        <v>1.3</v>
      </c>
      <c r="M34" s="1362" t="s">
        <v>424</v>
      </c>
      <c r="N34" s="1362">
        <v>8</v>
      </c>
      <c r="O34" s="1362"/>
      <c r="P34" s="1362"/>
      <c r="Q34" s="1362" t="s">
        <v>696</v>
      </c>
      <c r="R34" s="1363">
        <f>H34*J34*L34*N34</f>
        <v>8.4240000000000013</v>
      </c>
      <c r="S34" s="1364"/>
      <c r="T34" s="722"/>
      <c r="U34" s="205"/>
      <c r="V34" s="68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  <c r="IU34" s="205"/>
      <c r="IV34" s="205"/>
      <c r="IW34" s="205"/>
      <c r="IX34" s="205"/>
    </row>
    <row r="35" spans="1:258" s="203" customFormat="1" x14ac:dyDescent="0.2">
      <c r="A35" s="669"/>
      <c r="B35" s="670"/>
      <c r="C35" s="1358"/>
      <c r="D35" s="672"/>
      <c r="E35" s="1359"/>
      <c r="F35" s="1359"/>
      <c r="G35" s="1360"/>
      <c r="H35" s="1361"/>
      <c r="I35" s="1362"/>
      <c r="J35" s="1362"/>
      <c r="K35" s="1362"/>
      <c r="L35" s="1362"/>
      <c r="M35" s="1362"/>
      <c r="N35" s="1362"/>
      <c r="O35" s="1362"/>
      <c r="P35" s="1362"/>
      <c r="Q35" s="1362"/>
      <c r="R35" s="1363">
        <f>SUM(R26:R34)</f>
        <v>144.35100000000003</v>
      </c>
      <c r="S35" s="1364">
        <f>R35</f>
        <v>144.35100000000003</v>
      </c>
      <c r="T35" s="722" t="s">
        <v>293</v>
      </c>
      <c r="U35" s="205"/>
      <c r="V35" s="68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  <c r="IU35" s="205"/>
      <c r="IV35" s="205"/>
      <c r="IW35" s="205"/>
      <c r="IX35" s="205"/>
    </row>
    <row r="36" spans="1:258" s="203" customFormat="1" x14ac:dyDescent="0.2">
      <c r="A36" s="669"/>
      <c r="B36" s="670"/>
      <c r="C36" s="1358"/>
      <c r="D36" s="672"/>
      <c r="E36" s="1359"/>
      <c r="F36" s="1359"/>
      <c r="G36" s="1360"/>
      <c r="H36" s="1361"/>
      <c r="I36" s="1362"/>
      <c r="J36" s="1362"/>
      <c r="K36" s="1362"/>
      <c r="L36" s="1362"/>
      <c r="M36" s="1362"/>
      <c r="N36" s="1362"/>
      <c r="O36" s="1362"/>
      <c r="P36" s="1362"/>
      <c r="Q36" s="1362"/>
      <c r="R36" s="1363"/>
      <c r="S36" s="1364"/>
      <c r="T36" s="722"/>
      <c r="U36" s="205"/>
      <c r="V36" s="68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  <c r="IU36" s="205"/>
      <c r="IV36" s="205"/>
      <c r="IW36" s="205"/>
      <c r="IX36" s="205"/>
    </row>
    <row r="37" spans="1:258" s="203" customFormat="1" x14ac:dyDescent="0.2">
      <c r="A37" s="669"/>
      <c r="B37" s="670">
        <f>RAB!B39</f>
        <v>3</v>
      </c>
      <c r="C37" s="686" t="str">
        <f>RAB!D39</f>
        <v>Menggali tanah biasa sedalam 2 m'</v>
      </c>
      <c r="D37" s="672"/>
      <c r="E37" s="673"/>
      <c r="F37" s="673"/>
      <c r="G37" s="674"/>
      <c r="H37" s="675"/>
      <c r="I37" s="676"/>
      <c r="J37" s="676"/>
      <c r="K37" s="676"/>
      <c r="L37" s="676"/>
      <c r="M37" s="676"/>
      <c r="N37" s="676"/>
      <c r="O37" s="676"/>
      <c r="P37" s="676"/>
      <c r="Q37" s="676"/>
      <c r="R37" s="677"/>
      <c r="S37" s="678"/>
      <c r="T37" s="684"/>
      <c r="U37" s="205"/>
      <c r="V37" s="68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  <c r="IU37" s="205"/>
      <c r="IV37" s="205"/>
      <c r="IW37" s="205"/>
      <c r="IX37" s="205"/>
    </row>
    <row r="38" spans="1:258" s="203" customFormat="1" x14ac:dyDescent="0.2">
      <c r="A38" s="669"/>
      <c r="B38" s="670">
        <f>RAB!B40</f>
        <v>4</v>
      </c>
      <c r="C38" s="686" t="str">
        <f>RAB!D40</f>
        <v>Pengurugan kembali galian tanah</v>
      </c>
      <c r="D38" s="672"/>
      <c r="E38" s="673"/>
      <c r="F38" s="673"/>
      <c r="G38" s="674"/>
      <c r="H38" s="720">
        <f>S35</f>
        <v>144.35100000000003</v>
      </c>
      <c r="I38" s="676" t="s">
        <v>424</v>
      </c>
      <c r="J38" s="676">
        <f>1/3</f>
        <v>0.33333333333333331</v>
      </c>
      <c r="K38" s="676"/>
      <c r="L38" s="676"/>
      <c r="M38" s="676"/>
      <c r="N38" s="676"/>
      <c r="O38" s="676"/>
      <c r="P38" s="676"/>
      <c r="Q38" s="676" t="s">
        <v>696</v>
      </c>
      <c r="R38" s="677">
        <f>H38*J38</f>
        <v>48.117000000000004</v>
      </c>
      <c r="S38" s="678">
        <f>R38</f>
        <v>48.117000000000004</v>
      </c>
      <c r="T38" s="684" t="s">
        <v>293</v>
      </c>
      <c r="U38" s="205"/>
      <c r="V38" s="68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  <c r="IU38" s="205"/>
      <c r="IV38" s="205"/>
      <c r="IW38" s="205"/>
      <c r="IX38" s="205"/>
    </row>
    <row r="39" spans="1:258" s="203" customFormat="1" x14ac:dyDescent="0.2">
      <c r="A39" s="669"/>
      <c r="B39" s="670">
        <f>RAB!B41</f>
        <v>5</v>
      </c>
      <c r="C39" s="686" t="str">
        <f>RAB!D41</f>
        <v>Urug tanah padat</v>
      </c>
      <c r="D39" s="672"/>
      <c r="E39" s="673"/>
      <c r="F39" s="673"/>
      <c r="G39" s="674"/>
      <c r="H39" s="675">
        <f>13</f>
        <v>13</v>
      </c>
      <c r="I39" s="676" t="s">
        <v>424</v>
      </c>
      <c r="J39" s="676">
        <v>9.5</v>
      </c>
      <c r="K39" s="676" t="s">
        <v>424</v>
      </c>
      <c r="L39" s="676">
        <v>1.3</v>
      </c>
      <c r="M39" s="676"/>
      <c r="N39" s="676"/>
      <c r="O39" s="676"/>
      <c r="P39" s="676"/>
      <c r="Q39" s="1362" t="s">
        <v>696</v>
      </c>
      <c r="R39" s="1363">
        <f t="shared" ref="R39" si="1">H39*J39*L39</f>
        <v>160.55000000000001</v>
      </c>
      <c r="S39" s="678">
        <f>R39</f>
        <v>160.55000000000001</v>
      </c>
      <c r="T39" s="684" t="s">
        <v>293</v>
      </c>
      <c r="U39" s="205"/>
      <c r="V39" s="68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</row>
    <row r="40" spans="1:258" s="203" customFormat="1" x14ac:dyDescent="0.2">
      <c r="A40" s="669"/>
      <c r="B40" s="670"/>
      <c r="C40" s="1358"/>
      <c r="D40" s="672"/>
      <c r="E40" s="1359"/>
      <c r="F40" s="1359"/>
      <c r="G40" s="1360"/>
      <c r="H40" s="1361"/>
      <c r="I40" s="1362"/>
      <c r="J40" s="1362"/>
      <c r="K40" s="1362"/>
      <c r="L40" s="1362"/>
      <c r="M40" s="1362"/>
      <c r="N40" s="1362"/>
      <c r="O40" s="1362"/>
      <c r="P40" s="1362"/>
      <c r="Q40" s="1362"/>
      <c r="R40" s="1363"/>
      <c r="S40" s="1364"/>
      <c r="T40" s="722"/>
      <c r="U40" s="205"/>
      <c r="V40" s="68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  <c r="IU40" s="205"/>
      <c r="IV40" s="205"/>
      <c r="IW40" s="205"/>
      <c r="IX40" s="205"/>
    </row>
    <row r="41" spans="1:258" s="203" customFormat="1" x14ac:dyDescent="0.2">
      <c r="A41" s="669"/>
      <c r="B41" s="670">
        <f>RAB!B42</f>
        <v>6</v>
      </c>
      <c r="C41" s="686" t="str">
        <f>RAB!D42</f>
        <v>Memadatkan tanah ( per 20 cm )</v>
      </c>
      <c r="D41" s="672"/>
      <c r="E41" s="673"/>
      <c r="F41" s="673"/>
      <c r="G41" s="674"/>
      <c r="H41" s="675"/>
      <c r="I41" s="676"/>
      <c r="J41" s="676"/>
      <c r="K41" s="676"/>
      <c r="L41" s="676"/>
      <c r="M41" s="676"/>
      <c r="N41" s="676"/>
      <c r="O41" s="676"/>
      <c r="P41" s="676"/>
      <c r="Q41" s="676"/>
      <c r="R41" s="677"/>
      <c r="S41" s="678">
        <f>S39+S38</f>
        <v>208.66700000000003</v>
      </c>
      <c r="T41" s="684" t="s">
        <v>293</v>
      </c>
      <c r="U41" s="205"/>
      <c r="V41" s="68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  <c r="IU41" s="205"/>
      <c r="IV41" s="205"/>
      <c r="IW41" s="205"/>
      <c r="IX41" s="205"/>
    </row>
    <row r="42" spans="1:258" s="203" customFormat="1" x14ac:dyDescent="0.2">
      <c r="A42" s="669"/>
      <c r="B42" s="670">
        <f>RAB!B43</f>
        <v>7</v>
      </c>
      <c r="C42" s="686" t="str">
        <f>RAB!D43</f>
        <v>Mengurug pasir urug</v>
      </c>
      <c r="D42" s="672"/>
      <c r="E42" s="673"/>
      <c r="F42" s="673"/>
      <c r="G42" s="674"/>
      <c r="H42" s="675"/>
      <c r="I42" s="676"/>
      <c r="J42" s="676"/>
      <c r="K42" s="676"/>
      <c r="L42" s="676"/>
      <c r="M42" s="676"/>
      <c r="N42" s="676"/>
      <c r="O42" s="676"/>
      <c r="P42" s="676"/>
      <c r="Q42" s="676"/>
      <c r="R42" s="677"/>
      <c r="S42" s="678"/>
      <c r="T42" s="684"/>
      <c r="U42" s="205"/>
      <c r="V42" s="68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  <c r="IU42" s="205"/>
      <c r="IV42" s="205"/>
      <c r="IW42" s="205"/>
      <c r="IX42" s="205"/>
    </row>
    <row r="43" spans="1:258" s="203" customFormat="1" x14ac:dyDescent="0.2">
      <c r="A43" s="669"/>
      <c r="B43" s="670"/>
      <c r="C43" s="1358"/>
      <c r="D43" s="672"/>
      <c r="E43" s="1359"/>
      <c r="F43" s="1359" t="str">
        <f>F25</f>
        <v>Pondasi batu</v>
      </c>
      <c r="G43" s="1360"/>
      <c r="H43" s="1361"/>
      <c r="I43" s="1362"/>
      <c r="J43" s="1362"/>
      <c r="K43" s="1362"/>
      <c r="L43" s="1362"/>
      <c r="M43" s="1362"/>
      <c r="N43" s="1362"/>
      <c r="O43" s="1362"/>
      <c r="P43" s="1362"/>
      <c r="Q43" s="1362"/>
      <c r="R43" s="1363"/>
      <c r="S43" s="1364"/>
      <c r="T43" s="722"/>
      <c r="U43" s="205"/>
      <c r="V43" s="68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  <c r="IU43" s="205"/>
      <c r="IV43" s="205"/>
      <c r="IW43" s="205"/>
      <c r="IX43" s="205"/>
    </row>
    <row r="44" spans="1:258" s="203" customFormat="1" x14ac:dyDescent="0.2">
      <c r="A44" s="669"/>
      <c r="B44" s="670"/>
      <c r="C44" s="1358"/>
      <c r="D44" s="672"/>
      <c r="E44" s="1359"/>
      <c r="F44" s="1359"/>
      <c r="G44" s="1360" t="str">
        <f>G26</f>
        <v>Pondasi 1</v>
      </c>
      <c r="H44" s="1361">
        <f>H26</f>
        <v>124</v>
      </c>
      <c r="I44" s="1362" t="s">
        <v>424</v>
      </c>
      <c r="J44" s="1362">
        <f>J26</f>
        <v>0.7</v>
      </c>
      <c r="K44" s="1362" t="s">
        <v>424</v>
      </c>
      <c r="L44" s="1362">
        <v>0.05</v>
      </c>
      <c r="M44" s="1362"/>
      <c r="N44" s="1362"/>
      <c r="O44" s="1362"/>
      <c r="P44" s="1362"/>
      <c r="Q44" s="1362" t="s">
        <v>696</v>
      </c>
      <c r="R44" s="1363">
        <f t="shared" ref="R44:R47" si="2">H44*J44*L44</f>
        <v>4.34</v>
      </c>
      <c r="S44" s="1364"/>
      <c r="T44" s="722"/>
      <c r="U44" s="205"/>
      <c r="V44" s="68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  <c r="IU44" s="205"/>
      <c r="IV44" s="205"/>
      <c r="IW44" s="205"/>
      <c r="IX44" s="205"/>
    </row>
    <row r="45" spans="1:258" s="203" customFormat="1" x14ac:dyDescent="0.2">
      <c r="A45" s="669"/>
      <c r="B45" s="670"/>
      <c r="C45" s="1358"/>
      <c r="D45" s="672"/>
      <c r="E45" s="1359"/>
      <c r="F45" s="1359"/>
      <c r="G45" s="1360" t="str">
        <f t="shared" ref="G45:H47" si="3">G27</f>
        <v>Pondasi 2</v>
      </c>
      <c r="H45" s="1361">
        <f t="shared" si="3"/>
        <v>11.5</v>
      </c>
      <c r="I45" s="1362" t="s">
        <v>424</v>
      </c>
      <c r="J45" s="1362">
        <f t="shared" ref="J45:J47" si="4">J27</f>
        <v>0.7</v>
      </c>
      <c r="K45" s="1362" t="s">
        <v>424</v>
      </c>
      <c r="L45" s="1362">
        <f>L44</f>
        <v>0.05</v>
      </c>
      <c r="M45" s="1362"/>
      <c r="N45" s="1362"/>
      <c r="O45" s="1362"/>
      <c r="P45" s="1362"/>
      <c r="Q45" s="1362" t="s">
        <v>696</v>
      </c>
      <c r="R45" s="1363">
        <f t="shared" si="2"/>
        <v>0.40249999999999997</v>
      </c>
      <c r="S45" s="1364"/>
      <c r="T45" s="722"/>
      <c r="U45" s="205"/>
      <c r="V45" s="68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  <c r="IU45" s="205"/>
      <c r="IV45" s="205"/>
      <c r="IW45" s="205"/>
      <c r="IX45" s="205"/>
    </row>
    <row r="46" spans="1:258" s="203" customFormat="1" x14ac:dyDescent="0.2">
      <c r="A46" s="669"/>
      <c r="B46" s="670"/>
      <c r="C46" s="1358"/>
      <c r="D46" s="672"/>
      <c r="E46" s="1359"/>
      <c r="F46" s="1359"/>
      <c r="G46" s="1360" t="str">
        <f t="shared" si="3"/>
        <v>Pondasi 3</v>
      </c>
      <c r="H46" s="1361">
        <f t="shared" si="3"/>
        <v>34</v>
      </c>
      <c r="I46" s="1362" t="s">
        <v>424</v>
      </c>
      <c r="J46" s="1362">
        <f t="shared" si="4"/>
        <v>1.1000000000000001</v>
      </c>
      <c r="K46" s="1362" t="s">
        <v>424</v>
      </c>
      <c r="L46" s="1362">
        <f t="shared" ref="L46:L47" si="5">L45</f>
        <v>0.05</v>
      </c>
      <c r="M46" s="1362"/>
      <c r="N46" s="1362"/>
      <c r="O46" s="1362"/>
      <c r="P46" s="1362"/>
      <c r="Q46" s="1362" t="s">
        <v>696</v>
      </c>
      <c r="R46" s="1363">
        <f t="shared" si="2"/>
        <v>1.8700000000000003</v>
      </c>
      <c r="S46" s="1364"/>
      <c r="T46" s="722"/>
      <c r="U46" s="205"/>
      <c r="V46" s="68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  <c r="IU46" s="205"/>
      <c r="IV46" s="205"/>
      <c r="IW46" s="205"/>
      <c r="IX46" s="205"/>
    </row>
    <row r="47" spans="1:258" s="203" customFormat="1" x14ac:dyDescent="0.2">
      <c r="A47" s="669"/>
      <c r="B47" s="670"/>
      <c r="C47" s="1358"/>
      <c r="D47" s="672"/>
      <c r="E47" s="1359"/>
      <c r="F47" s="1359"/>
      <c r="G47" s="1360" t="str">
        <f t="shared" si="3"/>
        <v>Pondasi 4</v>
      </c>
      <c r="H47" s="1361">
        <f t="shared" si="3"/>
        <v>22</v>
      </c>
      <c r="I47" s="1362" t="s">
        <v>424</v>
      </c>
      <c r="J47" s="1362">
        <f t="shared" si="4"/>
        <v>0.9</v>
      </c>
      <c r="K47" s="1362" t="s">
        <v>424</v>
      </c>
      <c r="L47" s="1362">
        <f t="shared" si="5"/>
        <v>0.05</v>
      </c>
      <c r="M47" s="1362"/>
      <c r="N47" s="1362"/>
      <c r="O47" s="1362"/>
      <c r="P47" s="1362"/>
      <c r="Q47" s="1362" t="s">
        <v>696</v>
      </c>
      <c r="R47" s="1363">
        <f t="shared" si="2"/>
        <v>0.9900000000000001</v>
      </c>
      <c r="S47" s="1364"/>
      <c r="T47" s="722"/>
      <c r="U47" s="205"/>
      <c r="V47" s="68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  <c r="IU47" s="205"/>
      <c r="IV47" s="205"/>
      <c r="IW47" s="205"/>
      <c r="IX47" s="205"/>
    </row>
    <row r="48" spans="1:258" s="203" customFormat="1" x14ac:dyDescent="0.2">
      <c r="A48" s="669"/>
      <c r="B48" s="670"/>
      <c r="C48" s="1358"/>
      <c r="D48" s="672"/>
      <c r="E48" s="1359"/>
      <c r="F48" s="1359" t="str">
        <f>F31</f>
        <v>Footplat</v>
      </c>
      <c r="G48" s="1360"/>
      <c r="H48" s="1361"/>
      <c r="I48" s="1362"/>
      <c r="J48" s="1362"/>
      <c r="K48" s="1362"/>
      <c r="L48" s="1362"/>
      <c r="M48" s="1362"/>
      <c r="N48" s="1362"/>
      <c r="O48" s="1362"/>
      <c r="P48" s="1362"/>
      <c r="Q48" s="1362"/>
      <c r="R48" s="1363"/>
      <c r="S48" s="1364"/>
      <c r="T48" s="722"/>
      <c r="U48" s="205"/>
      <c r="V48" s="68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  <c r="IU48" s="205"/>
      <c r="IV48" s="205"/>
      <c r="IW48" s="205"/>
      <c r="IX48" s="205"/>
    </row>
    <row r="49" spans="1:258" s="203" customFormat="1" x14ac:dyDescent="0.2">
      <c r="A49" s="669"/>
      <c r="B49" s="670"/>
      <c r="C49" s="1358"/>
      <c r="D49" s="672"/>
      <c r="E49" s="1359"/>
      <c r="F49" s="1359"/>
      <c r="G49" s="1360" t="str">
        <f>G32</f>
        <v>FP1</v>
      </c>
      <c r="H49" s="1361">
        <f>H32</f>
        <v>0.9</v>
      </c>
      <c r="I49" s="1362" t="s">
        <v>424</v>
      </c>
      <c r="J49" s="1362">
        <f>J32</f>
        <v>0.9</v>
      </c>
      <c r="K49" s="1362" t="s">
        <v>424</v>
      </c>
      <c r="L49" s="1362">
        <f>$L$47</f>
        <v>0.05</v>
      </c>
      <c r="M49" s="1362" t="s">
        <v>424</v>
      </c>
      <c r="N49" s="1362">
        <f>N32</f>
        <v>9</v>
      </c>
      <c r="O49" s="1362"/>
      <c r="P49" s="1362"/>
      <c r="Q49" s="1362" t="s">
        <v>696</v>
      </c>
      <c r="R49" s="1363">
        <f t="shared" ref="R49:R51" si="6">H49*J49*L49*N49</f>
        <v>0.36450000000000005</v>
      </c>
      <c r="S49" s="1364"/>
      <c r="T49" s="722"/>
      <c r="U49" s="205"/>
      <c r="V49" s="68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  <c r="IU49" s="205"/>
      <c r="IV49" s="205"/>
      <c r="IW49" s="205"/>
      <c r="IX49" s="205"/>
    </row>
    <row r="50" spans="1:258" s="203" customFormat="1" x14ac:dyDescent="0.2">
      <c r="A50" s="669"/>
      <c r="B50" s="670"/>
      <c r="C50" s="1358"/>
      <c r="D50" s="672"/>
      <c r="E50" s="1359"/>
      <c r="F50" s="1359"/>
      <c r="G50" s="1360" t="str">
        <f t="shared" ref="G50:H51" si="7">G33</f>
        <v>FP2</v>
      </c>
      <c r="H50" s="1361">
        <f t="shared" si="7"/>
        <v>0.9</v>
      </c>
      <c r="I50" s="1362" t="s">
        <v>424</v>
      </c>
      <c r="J50" s="1362">
        <f t="shared" ref="J50:J51" si="8">J33</f>
        <v>0.9</v>
      </c>
      <c r="K50" s="1362" t="s">
        <v>424</v>
      </c>
      <c r="L50" s="1362">
        <f t="shared" ref="L50:L51" si="9">$L$47</f>
        <v>0.05</v>
      </c>
      <c r="M50" s="1362" t="s">
        <v>424</v>
      </c>
      <c r="N50" s="1362">
        <f t="shared" ref="N50:N51" si="10">N33</f>
        <v>10</v>
      </c>
      <c r="O50" s="1362"/>
      <c r="P50" s="1362"/>
      <c r="Q50" s="1362" t="s">
        <v>696</v>
      </c>
      <c r="R50" s="1363">
        <f t="shared" si="6"/>
        <v>0.40500000000000008</v>
      </c>
      <c r="S50" s="1364"/>
      <c r="T50" s="722"/>
      <c r="U50" s="205"/>
      <c r="V50" s="68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  <c r="IU50" s="205"/>
      <c r="IV50" s="205"/>
      <c r="IW50" s="205"/>
      <c r="IX50" s="205"/>
    </row>
    <row r="51" spans="1:258" s="203" customFormat="1" x14ac:dyDescent="0.2">
      <c r="A51" s="669"/>
      <c r="B51" s="670"/>
      <c r="C51" s="1358"/>
      <c r="D51" s="672"/>
      <c r="E51" s="1359"/>
      <c r="F51" s="1359"/>
      <c r="G51" s="1360" t="str">
        <f t="shared" si="7"/>
        <v>FP3</v>
      </c>
      <c r="H51" s="1361">
        <f t="shared" si="7"/>
        <v>0.9</v>
      </c>
      <c r="I51" s="1362" t="s">
        <v>424</v>
      </c>
      <c r="J51" s="1362">
        <f t="shared" si="8"/>
        <v>0.9</v>
      </c>
      <c r="K51" s="1362" t="s">
        <v>424</v>
      </c>
      <c r="L51" s="1362">
        <f t="shared" si="9"/>
        <v>0.05</v>
      </c>
      <c r="M51" s="1362" t="s">
        <v>424</v>
      </c>
      <c r="N51" s="1362">
        <f t="shared" si="10"/>
        <v>8</v>
      </c>
      <c r="O51" s="1362"/>
      <c r="P51" s="1362"/>
      <c r="Q51" s="1362" t="s">
        <v>696</v>
      </c>
      <c r="R51" s="1363">
        <f t="shared" si="6"/>
        <v>0.32400000000000007</v>
      </c>
      <c r="S51" s="1364"/>
      <c r="T51" s="722"/>
      <c r="U51" s="205"/>
      <c r="V51" s="68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  <c r="IU51" s="205"/>
      <c r="IV51" s="205"/>
      <c r="IW51" s="205"/>
      <c r="IX51" s="205"/>
    </row>
    <row r="52" spans="1:258" s="203" customFormat="1" x14ac:dyDescent="0.2">
      <c r="A52" s="669"/>
      <c r="B52" s="670"/>
      <c r="C52" s="1358"/>
      <c r="D52" s="672"/>
      <c r="E52" s="1359"/>
      <c r="F52" s="1359" t="s">
        <v>1696</v>
      </c>
      <c r="G52" s="1360"/>
      <c r="H52" s="1361"/>
      <c r="I52" s="1362"/>
      <c r="J52" s="1362"/>
      <c r="K52" s="1362"/>
      <c r="L52" s="1362"/>
      <c r="M52" s="1362"/>
      <c r="N52" s="1362"/>
      <c r="O52" s="1362"/>
      <c r="P52" s="1362"/>
      <c r="Q52" s="1362"/>
      <c r="R52" s="1363"/>
      <c r="S52" s="1364"/>
      <c r="T52" s="722"/>
      <c r="U52" s="205"/>
      <c r="V52" s="68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  <c r="IU52" s="205"/>
      <c r="IV52" s="205"/>
      <c r="IW52" s="205"/>
      <c r="IX52" s="205"/>
    </row>
    <row r="53" spans="1:258" s="203" customFormat="1" x14ac:dyDescent="0.2">
      <c r="A53" s="669"/>
      <c r="B53" s="670"/>
      <c r="C53" s="1358"/>
      <c r="D53" s="672"/>
      <c r="E53" s="1359"/>
      <c r="F53" s="1359"/>
      <c r="G53" s="1360" t="s">
        <v>1697</v>
      </c>
      <c r="H53" s="1361">
        <v>13</v>
      </c>
      <c r="I53" s="1362" t="s">
        <v>424</v>
      </c>
      <c r="J53" s="1362">
        <v>11.5</v>
      </c>
      <c r="K53" s="1362" t="s">
        <v>424</v>
      </c>
      <c r="L53" s="1362">
        <f>L51</f>
        <v>0.05</v>
      </c>
      <c r="M53" s="1362"/>
      <c r="N53" s="1362"/>
      <c r="O53" s="1362"/>
      <c r="P53" s="1362"/>
      <c r="Q53" s="1362" t="s">
        <v>696</v>
      </c>
      <c r="R53" s="1363">
        <f t="shared" ref="R53:R55" si="11">H53*J53*L53</f>
        <v>7.4750000000000005</v>
      </c>
      <c r="S53" s="1364"/>
      <c r="T53" s="722"/>
      <c r="U53" s="205"/>
      <c r="V53" s="685"/>
      <c r="W53" s="205"/>
      <c r="X53" s="205"/>
      <c r="Y53" s="205"/>
      <c r="Z53" s="205"/>
      <c r="AA53" s="205"/>
      <c r="AB53" s="205"/>
      <c r="AC53" s="205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  <c r="IU53" s="205"/>
      <c r="IV53" s="205"/>
      <c r="IW53" s="205"/>
      <c r="IX53" s="205"/>
    </row>
    <row r="54" spans="1:258" s="203" customFormat="1" x14ac:dyDescent="0.2">
      <c r="A54" s="669"/>
      <c r="B54" s="670"/>
      <c r="C54" s="1358"/>
      <c r="D54" s="672"/>
      <c r="E54" s="1359"/>
      <c r="F54" s="1359"/>
      <c r="G54" s="1360" t="s">
        <v>1698</v>
      </c>
      <c r="H54" s="1361">
        <v>22</v>
      </c>
      <c r="I54" s="1362" t="s">
        <v>424</v>
      </c>
      <c r="J54" s="1362">
        <v>7</v>
      </c>
      <c r="K54" s="1362" t="s">
        <v>424</v>
      </c>
      <c r="L54" s="1362">
        <f>L53</f>
        <v>0.05</v>
      </c>
      <c r="M54" s="1362"/>
      <c r="N54" s="1362"/>
      <c r="O54" s="1362"/>
      <c r="P54" s="1362"/>
      <c r="Q54" s="1362" t="s">
        <v>696</v>
      </c>
      <c r="R54" s="1363">
        <f t="shared" si="11"/>
        <v>7.7</v>
      </c>
      <c r="S54" s="1364"/>
      <c r="T54" s="722"/>
      <c r="U54" s="205"/>
      <c r="V54" s="685"/>
      <c r="W54" s="205"/>
      <c r="X54" s="205"/>
      <c r="Y54" s="205"/>
      <c r="Z54" s="205"/>
      <c r="AA54" s="205"/>
      <c r="AB54" s="205"/>
      <c r="AC54" s="205"/>
      <c r="AD54" s="205"/>
      <c r="AE54" s="205"/>
      <c r="AF54" s="205"/>
      <c r="AG54" s="205"/>
      <c r="AH54" s="205"/>
      <c r="AI54" s="205"/>
      <c r="AJ54" s="205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  <c r="IU54" s="205"/>
      <c r="IV54" s="205"/>
      <c r="IW54" s="205"/>
      <c r="IX54" s="205"/>
    </row>
    <row r="55" spans="1:258" s="203" customFormat="1" x14ac:dyDescent="0.2">
      <c r="A55" s="669"/>
      <c r="B55" s="670"/>
      <c r="C55" s="1358"/>
      <c r="D55" s="672"/>
      <c r="E55" s="1359"/>
      <c r="F55" s="1359"/>
      <c r="G55" s="1360"/>
      <c r="H55" s="1361">
        <v>10</v>
      </c>
      <c r="I55" s="1362" t="s">
        <v>424</v>
      </c>
      <c r="J55" s="1362">
        <v>1</v>
      </c>
      <c r="K55" s="1362" t="s">
        <v>424</v>
      </c>
      <c r="L55" s="1362">
        <f>L54</f>
        <v>0.05</v>
      </c>
      <c r="M55" s="1362"/>
      <c r="N55" s="1362"/>
      <c r="O55" s="1362"/>
      <c r="P55" s="1362"/>
      <c r="Q55" s="1362" t="s">
        <v>696</v>
      </c>
      <c r="R55" s="1363">
        <f t="shared" si="11"/>
        <v>0.5</v>
      </c>
      <c r="S55" s="1364"/>
      <c r="T55" s="722"/>
      <c r="U55" s="205"/>
      <c r="V55" s="685"/>
      <c r="W55" s="205"/>
      <c r="X55" s="205"/>
      <c r="Y55" s="205"/>
      <c r="Z55" s="205"/>
      <c r="AA55" s="205"/>
      <c r="AB55" s="205"/>
      <c r="AC55" s="205"/>
      <c r="AD55" s="205"/>
      <c r="AE55" s="205"/>
      <c r="AF55" s="205"/>
      <c r="AG55" s="205"/>
      <c r="AH55" s="205"/>
      <c r="AI55" s="205"/>
      <c r="AJ55" s="205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  <c r="IU55" s="205"/>
      <c r="IV55" s="205"/>
      <c r="IW55" s="205"/>
      <c r="IX55" s="205"/>
    </row>
    <row r="56" spans="1:258" s="203" customFormat="1" x14ac:dyDescent="0.2">
      <c r="A56" s="669"/>
      <c r="B56" s="670"/>
      <c r="C56" s="686"/>
      <c r="D56" s="672"/>
      <c r="E56" s="673"/>
      <c r="F56" s="673"/>
      <c r="G56" s="674"/>
      <c r="H56" s="675"/>
      <c r="I56" s="676"/>
      <c r="J56" s="676"/>
      <c r="K56" s="676"/>
      <c r="L56" s="676"/>
      <c r="M56" s="676"/>
      <c r="N56" s="676"/>
      <c r="O56" s="676"/>
      <c r="P56" s="676"/>
      <c r="Q56" s="676"/>
      <c r="R56" s="677">
        <f>SUM(R44:R55)</f>
        <v>24.370999999999999</v>
      </c>
      <c r="S56" s="678">
        <f>R56</f>
        <v>24.370999999999999</v>
      </c>
      <c r="T56" s="684" t="s">
        <v>293</v>
      </c>
      <c r="U56" s="205"/>
      <c r="V56" s="685"/>
      <c r="W56" s="205"/>
      <c r="X56" s="205"/>
      <c r="Y56" s="205"/>
      <c r="Z56" s="205"/>
      <c r="AA56" s="205"/>
      <c r="AB56" s="205"/>
      <c r="AC56" s="205"/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  <c r="IU56" s="205"/>
      <c r="IV56" s="205"/>
      <c r="IW56" s="205"/>
      <c r="IX56" s="205"/>
    </row>
    <row r="57" spans="1:258" s="203" customFormat="1" x14ac:dyDescent="0.2">
      <c r="A57" s="669"/>
      <c r="B57" s="670"/>
      <c r="C57" s="686"/>
      <c r="D57" s="672"/>
      <c r="E57" s="673"/>
      <c r="F57" s="673"/>
      <c r="G57" s="674"/>
      <c r="H57" s="675"/>
      <c r="I57" s="676"/>
      <c r="J57" s="676"/>
      <c r="K57" s="676"/>
      <c r="L57" s="676"/>
      <c r="M57" s="676"/>
      <c r="N57" s="676"/>
      <c r="O57" s="676"/>
      <c r="P57" s="676"/>
      <c r="Q57" s="676"/>
      <c r="R57" s="677"/>
      <c r="S57" s="678"/>
      <c r="T57" s="684"/>
      <c r="U57" s="205"/>
      <c r="V57" s="685"/>
      <c r="W57" s="205"/>
      <c r="X57" s="205"/>
      <c r="Y57" s="205"/>
      <c r="Z57" s="205"/>
      <c r="AA57" s="205"/>
      <c r="AB57" s="205"/>
      <c r="AC57" s="205"/>
      <c r="AD57" s="205"/>
      <c r="AE57" s="205"/>
      <c r="AF57" s="205"/>
      <c r="AG57" s="205"/>
      <c r="AH57" s="205"/>
      <c r="AI57" s="205"/>
      <c r="AJ57" s="205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  <c r="IU57" s="205"/>
      <c r="IV57" s="205"/>
      <c r="IW57" s="205"/>
      <c r="IX57" s="205"/>
    </row>
    <row r="58" spans="1:258" s="203" customFormat="1" x14ac:dyDescent="0.2">
      <c r="A58" s="669"/>
      <c r="B58" s="681" t="str">
        <f>RAB!B46</f>
        <v>III</v>
      </c>
      <c r="C58" s="682" t="str">
        <f>RAB!D46</f>
        <v>PEKERJAAN PASANGAN</v>
      </c>
      <c r="D58" s="672"/>
      <c r="E58" s="673"/>
      <c r="F58" s="673"/>
      <c r="G58" s="674"/>
      <c r="H58" s="675"/>
      <c r="I58" s="676"/>
      <c r="J58" s="676"/>
      <c r="K58" s="676"/>
      <c r="L58" s="676"/>
      <c r="M58" s="676"/>
      <c r="N58" s="676"/>
      <c r="O58" s="676"/>
      <c r="P58" s="676"/>
      <c r="Q58" s="676"/>
      <c r="R58" s="677"/>
      <c r="S58" s="678"/>
      <c r="T58" s="684"/>
      <c r="U58" s="205"/>
      <c r="V58" s="685"/>
      <c r="W58" s="205"/>
      <c r="X58" s="205"/>
      <c r="Y58" s="205"/>
      <c r="Z58" s="205"/>
      <c r="AA58" s="205"/>
      <c r="AB58" s="205"/>
      <c r="AC58" s="205"/>
      <c r="AD58" s="205"/>
      <c r="AE58" s="205"/>
      <c r="AF58" s="205"/>
      <c r="AG58" s="205"/>
      <c r="AH58" s="205"/>
      <c r="AI58" s="205"/>
      <c r="AJ58" s="205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  <c r="IU58" s="205"/>
      <c r="IV58" s="205"/>
      <c r="IW58" s="205"/>
      <c r="IX58" s="205"/>
    </row>
    <row r="59" spans="1:258" s="203" customFormat="1" x14ac:dyDescent="0.2">
      <c r="A59" s="669"/>
      <c r="B59" s="670">
        <f>RAB!B47</f>
        <v>1</v>
      </c>
      <c r="C59" s="686" t="str">
        <f>RAB!D47</f>
        <v>Memasang batu kosong ( anstamping )</v>
      </c>
      <c r="D59" s="672"/>
      <c r="E59" s="1359"/>
      <c r="F59" s="1359"/>
      <c r="G59" s="1360"/>
      <c r="H59" s="1361"/>
      <c r="I59" s="1362"/>
      <c r="J59" s="1362"/>
      <c r="K59" s="1362"/>
      <c r="L59" s="1362"/>
      <c r="M59" s="1362"/>
      <c r="N59" s="1362"/>
      <c r="O59" s="1362"/>
      <c r="P59" s="1362"/>
      <c r="Q59" s="1362"/>
      <c r="R59" s="1363"/>
      <c r="S59" s="1364"/>
      <c r="T59" s="722"/>
      <c r="U59" s="205"/>
      <c r="V59" s="685"/>
      <c r="W59" s="205"/>
      <c r="X59" s="205"/>
      <c r="Y59" s="205"/>
      <c r="Z59" s="205"/>
      <c r="AA59" s="205"/>
      <c r="AB59" s="205"/>
      <c r="AC59" s="205"/>
      <c r="AD59" s="205"/>
      <c r="AE59" s="205"/>
      <c r="AF59" s="205"/>
      <c r="AG59" s="205"/>
      <c r="AH59" s="205"/>
      <c r="AI59" s="205"/>
      <c r="AJ59" s="205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  <c r="IU59" s="205"/>
      <c r="IV59" s="205"/>
      <c r="IW59" s="205"/>
      <c r="IX59" s="205"/>
    </row>
    <row r="60" spans="1:258" s="203" customFormat="1" x14ac:dyDescent="0.2">
      <c r="A60" s="669"/>
      <c r="B60" s="670"/>
      <c r="C60" s="1358"/>
      <c r="D60" s="672"/>
      <c r="E60" s="1359"/>
      <c r="F60" s="1359"/>
      <c r="G60" s="1360" t="str">
        <f>G26</f>
        <v>Pondasi 1</v>
      </c>
      <c r="H60" s="1361">
        <f>H26</f>
        <v>124</v>
      </c>
      <c r="I60" s="1362" t="s">
        <v>424</v>
      </c>
      <c r="J60" s="1362">
        <f>J26</f>
        <v>0.7</v>
      </c>
      <c r="K60" s="1362" t="s">
        <v>424</v>
      </c>
      <c r="L60" s="1362">
        <v>0.15</v>
      </c>
      <c r="M60" s="1362"/>
      <c r="N60" s="1362"/>
      <c r="O60" s="1362"/>
      <c r="P60" s="1362"/>
      <c r="Q60" s="1362" t="s">
        <v>696</v>
      </c>
      <c r="R60" s="1363">
        <f t="shared" ref="R60:R63" si="12">H60*J60*L60</f>
        <v>13.02</v>
      </c>
      <c r="S60" s="1364"/>
      <c r="T60" s="722"/>
      <c r="U60" s="205"/>
      <c r="V60" s="68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  <c r="IU60" s="205"/>
      <c r="IV60" s="205"/>
      <c r="IW60" s="205"/>
      <c r="IX60" s="205"/>
    </row>
    <row r="61" spans="1:258" s="203" customFormat="1" x14ac:dyDescent="0.2">
      <c r="A61" s="669"/>
      <c r="B61" s="670"/>
      <c r="C61" s="1358"/>
      <c r="D61" s="672"/>
      <c r="E61" s="1359"/>
      <c r="F61" s="1359"/>
      <c r="G61" s="1360" t="str">
        <f t="shared" ref="G61:H61" si="13">G27</f>
        <v>Pondasi 2</v>
      </c>
      <c r="H61" s="1361">
        <f t="shared" si="13"/>
        <v>11.5</v>
      </c>
      <c r="I61" s="1362" t="s">
        <v>424</v>
      </c>
      <c r="J61" s="1362">
        <f t="shared" ref="J61:J63" si="14">J27</f>
        <v>0.7</v>
      </c>
      <c r="K61" s="1362" t="s">
        <v>424</v>
      </c>
      <c r="L61" s="1362">
        <f>L60</f>
        <v>0.15</v>
      </c>
      <c r="M61" s="1362"/>
      <c r="N61" s="1362"/>
      <c r="O61" s="1362"/>
      <c r="P61" s="1362"/>
      <c r="Q61" s="1362" t="s">
        <v>696</v>
      </c>
      <c r="R61" s="1363">
        <f t="shared" si="12"/>
        <v>1.2074999999999998</v>
      </c>
      <c r="S61" s="1364"/>
      <c r="T61" s="722"/>
      <c r="U61" s="205"/>
      <c r="V61" s="68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  <c r="IU61" s="205"/>
      <c r="IV61" s="205"/>
      <c r="IW61" s="205"/>
      <c r="IX61" s="205"/>
    </row>
    <row r="62" spans="1:258" s="203" customFormat="1" x14ac:dyDescent="0.2">
      <c r="A62" s="669"/>
      <c r="B62" s="670"/>
      <c r="C62" s="1358"/>
      <c r="D62" s="672"/>
      <c r="E62" s="1359"/>
      <c r="F62" s="1359"/>
      <c r="G62" s="1360" t="str">
        <f t="shared" ref="G62:H62" si="15">G28</f>
        <v>Pondasi 3</v>
      </c>
      <c r="H62" s="1361">
        <f t="shared" si="15"/>
        <v>34</v>
      </c>
      <c r="I62" s="1362" t="s">
        <v>424</v>
      </c>
      <c r="J62" s="1362">
        <f t="shared" si="14"/>
        <v>1.1000000000000001</v>
      </c>
      <c r="K62" s="1362" t="s">
        <v>424</v>
      </c>
      <c r="L62" s="1362">
        <f t="shared" ref="L62:L63" si="16">L61</f>
        <v>0.15</v>
      </c>
      <c r="M62" s="1362"/>
      <c r="N62" s="1362"/>
      <c r="O62" s="1362"/>
      <c r="P62" s="1362"/>
      <c r="Q62" s="1362" t="s">
        <v>696</v>
      </c>
      <c r="R62" s="1363">
        <f t="shared" si="12"/>
        <v>5.61</v>
      </c>
      <c r="S62" s="1364"/>
      <c r="T62" s="722"/>
      <c r="U62" s="205"/>
      <c r="V62" s="68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  <c r="IS62" s="205"/>
      <c r="IT62" s="205"/>
      <c r="IU62" s="205"/>
      <c r="IV62" s="205"/>
      <c r="IW62" s="205"/>
      <c r="IX62" s="205"/>
    </row>
    <row r="63" spans="1:258" s="203" customFormat="1" x14ac:dyDescent="0.2">
      <c r="A63" s="669"/>
      <c r="B63" s="670"/>
      <c r="C63" s="1358"/>
      <c r="D63" s="672"/>
      <c r="E63" s="1359"/>
      <c r="F63" s="1359"/>
      <c r="G63" s="1360" t="str">
        <f t="shared" ref="G63:H63" si="17">G29</f>
        <v>Pondasi 4</v>
      </c>
      <c r="H63" s="1361">
        <f t="shared" si="17"/>
        <v>22</v>
      </c>
      <c r="I63" s="1362" t="s">
        <v>424</v>
      </c>
      <c r="J63" s="1362">
        <f t="shared" si="14"/>
        <v>0.9</v>
      </c>
      <c r="K63" s="1362" t="s">
        <v>424</v>
      </c>
      <c r="L63" s="1362">
        <f t="shared" si="16"/>
        <v>0.15</v>
      </c>
      <c r="M63" s="1362"/>
      <c r="N63" s="1362"/>
      <c r="O63" s="1362"/>
      <c r="P63" s="1362"/>
      <c r="Q63" s="1362" t="s">
        <v>696</v>
      </c>
      <c r="R63" s="1363">
        <f t="shared" si="12"/>
        <v>2.97</v>
      </c>
      <c r="S63" s="1364"/>
      <c r="T63" s="722"/>
      <c r="U63" s="205"/>
      <c r="V63" s="68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  <c r="IU63" s="205"/>
      <c r="IV63" s="205"/>
      <c r="IW63" s="205"/>
      <c r="IX63" s="205"/>
    </row>
    <row r="64" spans="1:258" s="203" customFormat="1" x14ac:dyDescent="0.2">
      <c r="A64" s="669"/>
      <c r="B64" s="670"/>
      <c r="C64" s="1358"/>
      <c r="D64" s="672"/>
      <c r="E64" s="1359"/>
      <c r="F64" s="1359"/>
      <c r="G64" s="1360"/>
      <c r="H64" s="1361"/>
      <c r="I64" s="1362"/>
      <c r="J64" s="1362"/>
      <c r="K64" s="1362"/>
      <c r="L64" s="1362"/>
      <c r="M64" s="1362"/>
      <c r="N64" s="1362"/>
      <c r="O64" s="1362"/>
      <c r="P64" s="1362"/>
      <c r="Q64" s="1362"/>
      <c r="R64" s="1363">
        <f>SUM(R60:R63)</f>
        <v>22.807499999999997</v>
      </c>
      <c r="S64" s="1364">
        <f>R64</f>
        <v>22.807499999999997</v>
      </c>
      <c r="T64" s="722" t="s">
        <v>293</v>
      </c>
      <c r="U64" s="205"/>
      <c r="V64" s="68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  <c r="IS64" s="205"/>
      <c r="IT64" s="205"/>
      <c r="IU64" s="205"/>
      <c r="IV64" s="205"/>
      <c r="IW64" s="205"/>
      <c r="IX64" s="205"/>
    </row>
    <row r="65" spans="1:258" s="203" customFormat="1" x14ac:dyDescent="0.2">
      <c r="A65" s="669"/>
      <c r="B65" s="670">
        <f>RAB!B48</f>
        <v>2</v>
      </c>
      <c r="C65" s="686" t="str">
        <f>RAB!D48</f>
        <v>Memasang pondasi batu belah, campuran 1 PC : 8 PP</v>
      </c>
      <c r="D65" s="672"/>
      <c r="E65" s="673"/>
      <c r="F65" s="673"/>
      <c r="G65" s="674"/>
      <c r="H65" s="675"/>
      <c r="I65" s="676"/>
      <c r="J65" s="676"/>
      <c r="K65" s="676"/>
      <c r="L65" s="676"/>
      <c r="M65" s="676"/>
      <c r="N65" s="676"/>
      <c r="O65" s="676"/>
      <c r="P65" s="676"/>
      <c r="Q65" s="676"/>
      <c r="R65" s="677"/>
      <c r="S65" s="678"/>
      <c r="T65" s="684"/>
      <c r="U65" s="205"/>
      <c r="V65" s="68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  <c r="IU65" s="205"/>
      <c r="IV65" s="205"/>
      <c r="IW65" s="205"/>
      <c r="IX65" s="205"/>
    </row>
    <row r="66" spans="1:258" s="203" customFormat="1" x14ac:dyDescent="0.2">
      <c r="A66" s="669"/>
      <c r="B66" s="670"/>
      <c r="C66" s="1358"/>
      <c r="D66" s="672"/>
      <c r="E66" s="1359"/>
      <c r="F66" s="1359"/>
      <c r="G66" s="1360" t="str">
        <f>G26</f>
        <v>Pondasi 1</v>
      </c>
      <c r="H66" s="1361">
        <f>H26</f>
        <v>124</v>
      </c>
      <c r="I66" s="1362" t="s">
        <v>424</v>
      </c>
      <c r="J66" s="1362">
        <f>(0.3+0.6)/2</f>
        <v>0.44999999999999996</v>
      </c>
      <c r="K66" s="1362" t="s">
        <v>424</v>
      </c>
      <c r="L66" s="1362">
        <v>0.6</v>
      </c>
      <c r="M66" s="1362"/>
      <c r="N66" s="1362"/>
      <c r="O66" s="1362"/>
      <c r="P66" s="1362"/>
      <c r="Q66" s="1362" t="s">
        <v>696</v>
      </c>
      <c r="R66" s="1363">
        <f t="shared" ref="R66:R67" si="18">H66*J66*L66</f>
        <v>33.479999999999997</v>
      </c>
      <c r="S66" s="1364"/>
      <c r="T66" s="722"/>
      <c r="U66" s="205"/>
      <c r="V66" s="68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  <c r="IU66" s="205"/>
      <c r="IV66" s="205"/>
      <c r="IW66" s="205"/>
      <c r="IX66" s="205"/>
    </row>
    <row r="67" spans="1:258" s="203" customFormat="1" x14ac:dyDescent="0.2">
      <c r="A67" s="669"/>
      <c r="B67" s="670"/>
      <c r="C67" s="1358"/>
      <c r="D67" s="672"/>
      <c r="E67" s="1359"/>
      <c r="F67" s="1359"/>
      <c r="G67" s="1360" t="str">
        <f t="shared" ref="G67:H67" si="19">G27</f>
        <v>Pondasi 2</v>
      </c>
      <c r="H67" s="1361">
        <f t="shared" si="19"/>
        <v>11.5</v>
      </c>
      <c r="I67" s="1362" t="s">
        <v>424</v>
      </c>
      <c r="J67" s="1362">
        <f>(0.3+0.6)/2</f>
        <v>0.44999999999999996</v>
      </c>
      <c r="K67" s="1362" t="s">
        <v>424</v>
      </c>
      <c r="L67" s="1362">
        <v>0.6</v>
      </c>
      <c r="M67" s="1362"/>
      <c r="N67" s="1362"/>
      <c r="O67" s="1362"/>
      <c r="P67" s="1362"/>
      <c r="Q67" s="1362" t="s">
        <v>696</v>
      </c>
      <c r="R67" s="1363">
        <f t="shared" si="18"/>
        <v>3.105</v>
      </c>
      <c r="S67" s="1364"/>
      <c r="T67" s="722"/>
      <c r="U67" s="205"/>
      <c r="V67" s="68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  <c r="IU67" s="205"/>
      <c r="IV67" s="205"/>
      <c r="IW67" s="205"/>
      <c r="IX67" s="205"/>
    </row>
    <row r="68" spans="1:258" s="203" customFormat="1" x14ac:dyDescent="0.2">
      <c r="A68" s="669"/>
      <c r="B68" s="670"/>
      <c r="C68" s="1358"/>
      <c r="D68" s="672"/>
      <c r="E68" s="1359"/>
      <c r="F68" s="1359"/>
      <c r="G68" s="1360" t="str">
        <f t="shared" ref="G68:H68" si="20">G28</f>
        <v>Pondasi 3</v>
      </c>
      <c r="H68" s="1361">
        <f t="shared" si="20"/>
        <v>34</v>
      </c>
      <c r="I68" s="1362" t="s">
        <v>424</v>
      </c>
      <c r="J68" s="1362">
        <f>(0.3+0.8)/2</f>
        <v>0.55000000000000004</v>
      </c>
      <c r="K68" s="1362" t="s">
        <v>424</v>
      </c>
      <c r="L68" s="1362">
        <v>1.3</v>
      </c>
      <c r="M68" s="1362"/>
      <c r="N68" s="1362"/>
      <c r="O68" s="1362"/>
      <c r="P68" s="1362"/>
      <c r="Q68" s="1362" t="s">
        <v>696</v>
      </c>
      <c r="R68" s="1363">
        <f t="shared" ref="R68:R69" si="21">H68*J68*L68</f>
        <v>24.310000000000006</v>
      </c>
      <c r="S68" s="1364"/>
      <c r="T68" s="722"/>
      <c r="U68" s="205"/>
      <c r="V68" s="68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  <c r="IU68" s="205"/>
      <c r="IV68" s="205"/>
      <c r="IW68" s="205"/>
      <c r="IX68" s="205"/>
    </row>
    <row r="69" spans="1:258" s="203" customFormat="1" x14ac:dyDescent="0.2">
      <c r="A69" s="669"/>
      <c r="B69" s="670"/>
      <c r="C69" s="1358"/>
      <c r="D69" s="672"/>
      <c r="E69" s="1359"/>
      <c r="F69" s="1359"/>
      <c r="G69" s="1360" t="str">
        <f t="shared" ref="G69:H69" si="22">G29</f>
        <v>Pondasi 4</v>
      </c>
      <c r="H69" s="1361">
        <f t="shared" si="22"/>
        <v>22</v>
      </c>
      <c r="I69" s="1362" t="s">
        <v>424</v>
      </c>
      <c r="J69" s="1362">
        <f>(0.3+0.9)/2</f>
        <v>0.6</v>
      </c>
      <c r="K69" s="1362" t="s">
        <v>424</v>
      </c>
      <c r="L69" s="1362">
        <v>1.7</v>
      </c>
      <c r="M69" s="1362"/>
      <c r="N69" s="1362"/>
      <c r="O69" s="1362"/>
      <c r="P69" s="1362"/>
      <c r="Q69" s="1362" t="s">
        <v>696</v>
      </c>
      <c r="R69" s="1363">
        <f t="shared" si="21"/>
        <v>22.439999999999998</v>
      </c>
      <c r="S69" s="1364"/>
      <c r="T69" s="722"/>
      <c r="U69" s="205"/>
      <c r="V69" s="68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  <c r="IU69" s="205"/>
      <c r="IV69" s="205"/>
      <c r="IW69" s="205"/>
      <c r="IX69" s="205"/>
    </row>
    <row r="70" spans="1:258" s="203" customFormat="1" x14ac:dyDescent="0.2">
      <c r="A70" s="669"/>
      <c r="B70" s="670"/>
      <c r="C70" s="1358"/>
      <c r="D70" s="672"/>
      <c r="E70" s="1359"/>
      <c r="F70" s="1359"/>
      <c r="G70" s="1360"/>
      <c r="H70" s="1361"/>
      <c r="I70" s="1362"/>
      <c r="J70" s="1362"/>
      <c r="K70" s="1362"/>
      <c r="L70" s="1362"/>
      <c r="M70" s="1362"/>
      <c r="N70" s="1362"/>
      <c r="O70" s="1362"/>
      <c r="P70" s="1362"/>
      <c r="Q70" s="1362"/>
      <c r="R70" s="1363">
        <f>SUM(R66:R69)</f>
        <v>83.334999999999994</v>
      </c>
      <c r="S70" s="1364">
        <f>R70</f>
        <v>83.334999999999994</v>
      </c>
      <c r="T70" s="722" t="s">
        <v>293</v>
      </c>
      <c r="U70" s="205"/>
      <c r="V70" s="68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  <c r="IU70" s="205"/>
      <c r="IV70" s="205"/>
      <c r="IW70" s="205"/>
      <c r="IX70" s="205"/>
    </row>
    <row r="71" spans="1:258" s="203" customFormat="1" x14ac:dyDescent="0.2">
      <c r="A71" s="669"/>
      <c r="B71" s="670"/>
      <c r="C71" s="1358"/>
      <c r="D71" s="672"/>
      <c r="E71" s="1359"/>
      <c r="F71" s="1359"/>
      <c r="G71" s="1360"/>
      <c r="H71" s="1361"/>
      <c r="I71" s="1362"/>
      <c r="J71" s="1362"/>
      <c r="K71" s="1362"/>
      <c r="L71" s="1362"/>
      <c r="M71" s="1362"/>
      <c r="N71" s="1362"/>
      <c r="O71" s="1362"/>
      <c r="P71" s="1362"/>
      <c r="Q71" s="1362"/>
      <c r="R71" s="1363"/>
      <c r="S71" s="1364"/>
      <c r="T71" s="722"/>
      <c r="U71" s="205"/>
      <c r="V71" s="68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  <c r="IU71" s="205"/>
      <c r="IV71" s="205"/>
      <c r="IW71" s="205"/>
      <c r="IX71" s="205"/>
    </row>
    <row r="72" spans="1:258" s="203" customFormat="1" x14ac:dyDescent="0.2">
      <c r="A72" s="669"/>
      <c r="B72" s="670">
        <f>RAB!B49</f>
        <v>3</v>
      </c>
      <c r="C72" s="686" t="str">
        <f>RAB!D49</f>
        <v>Membuat dinding bt. merah t: 1/2bata, camp 1PC:8PP</v>
      </c>
      <c r="D72" s="672"/>
      <c r="E72" s="673"/>
      <c r="F72" s="673"/>
      <c r="G72" s="674"/>
      <c r="H72" s="675"/>
      <c r="I72" s="676"/>
      <c r="J72" s="676"/>
      <c r="K72" s="676"/>
      <c r="L72" s="676"/>
      <c r="M72" s="676"/>
      <c r="N72" s="676"/>
      <c r="O72" s="676"/>
      <c r="P72" s="676"/>
      <c r="Q72" s="676"/>
      <c r="R72" s="677"/>
      <c r="S72" s="678"/>
      <c r="T72" s="684"/>
      <c r="U72" s="205"/>
      <c r="V72" s="68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  <c r="IU72" s="205"/>
      <c r="IV72" s="205"/>
      <c r="IW72" s="205"/>
      <c r="IX72" s="205"/>
    </row>
    <row r="73" spans="1:258" s="203" customFormat="1" x14ac:dyDescent="0.2">
      <c r="A73" s="669"/>
      <c r="B73" s="670"/>
      <c r="C73" s="1358"/>
      <c r="D73" s="672"/>
      <c r="E73" s="1359"/>
      <c r="F73" s="1359"/>
      <c r="G73" s="1360" t="str">
        <f>G26</f>
        <v>Pondasi 1</v>
      </c>
      <c r="H73" s="1361">
        <f>H26</f>
        <v>124</v>
      </c>
      <c r="I73" s="1362" t="s">
        <v>424</v>
      </c>
      <c r="J73" s="1362">
        <f>4-0.2</f>
        <v>3.8</v>
      </c>
      <c r="K73" s="1362"/>
      <c r="L73" s="1362"/>
      <c r="M73" s="1362"/>
      <c r="N73" s="1362"/>
      <c r="O73" s="1362"/>
      <c r="P73" s="1362"/>
      <c r="Q73" s="1362" t="s">
        <v>696</v>
      </c>
      <c r="R73" s="1363">
        <f>H73*J73</f>
        <v>471.2</v>
      </c>
      <c r="S73" s="1364"/>
      <c r="T73" s="722"/>
      <c r="U73" s="205"/>
      <c r="V73" s="68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205"/>
      <c r="IJ73" s="205"/>
      <c r="IK73" s="205"/>
      <c r="IL73" s="205"/>
      <c r="IM73" s="205"/>
      <c r="IN73" s="205"/>
      <c r="IO73" s="205"/>
      <c r="IP73" s="205"/>
      <c r="IQ73" s="205"/>
      <c r="IR73" s="205"/>
      <c r="IS73" s="205"/>
      <c r="IT73" s="205"/>
      <c r="IU73" s="205"/>
      <c r="IV73" s="205"/>
      <c r="IW73" s="205"/>
      <c r="IX73" s="205"/>
    </row>
    <row r="74" spans="1:258" s="203" customFormat="1" x14ac:dyDescent="0.2">
      <c r="A74" s="669"/>
      <c r="B74" s="670"/>
      <c r="C74" s="1358"/>
      <c r="D74" s="672"/>
      <c r="E74" s="1359"/>
      <c r="F74" s="1359"/>
      <c r="G74" s="1360" t="str">
        <f t="shared" ref="G74:H76" si="23">G27</f>
        <v>Pondasi 2</v>
      </c>
      <c r="H74" s="1361">
        <f>H27-10</f>
        <v>1.5</v>
      </c>
      <c r="I74" s="1362" t="s">
        <v>424</v>
      </c>
      <c r="J74" s="1362">
        <f>J73</f>
        <v>3.8</v>
      </c>
      <c r="K74" s="1362"/>
      <c r="L74" s="1362"/>
      <c r="M74" s="1362"/>
      <c r="N74" s="1362"/>
      <c r="O74" s="1362"/>
      <c r="P74" s="1362"/>
      <c r="Q74" s="1362" t="s">
        <v>696</v>
      </c>
      <c r="R74" s="1363">
        <f t="shared" ref="R74:R76" si="24">H74*J74</f>
        <v>5.6999999999999993</v>
      </c>
      <c r="S74" s="1364"/>
      <c r="T74" s="722"/>
      <c r="U74" s="205"/>
      <c r="V74" s="68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205"/>
      <c r="II74" s="205"/>
      <c r="IJ74" s="205"/>
      <c r="IK74" s="205"/>
      <c r="IL74" s="205"/>
      <c r="IM74" s="205"/>
      <c r="IN74" s="205"/>
      <c r="IO74" s="205"/>
      <c r="IP74" s="205"/>
      <c r="IQ74" s="205"/>
      <c r="IR74" s="205"/>
      <c r="IS74" s="205"/>
      <c r="IT74" s="205"/>
      <c r="IU74" s="205"/>
      <c r="IV74" s="205"/>
      <c r="IW74" s="205"/>
      <c r="IX74" s="205"/>
    </row>
    <row r="75" spans="1:258" s="203" customFormat="1" x14ac:dyDescent="0.2">
      <c r="A75" s="669"/>
      <c r="B75" s="670"/>
      <c r="C75" s="1358"/>
      <c r="D75" s="672"/>
      <c r="E75" s="1359"/>
      <c r="F75" s="1359"/>
      <c r="G75" s="1360" t="str">
        <f t="shared" si="23"/>
        <v>Pondasi 3</v>
      </c>
      <c r="H75" s="1361">
        <f t="shared" si="23"/>
        <v>34</v>
      </c>
      <c r="I75" s="1362" t="s">
        <v>424</v>
      </c>
      <c r="J75" s="1362">
        <f t="shared" ref="J75:J76" si="25">J74</f>
        <v>3.8</v>
      </c>
      <c r="K75" s="1362"/>
      <c r="L75" s="1362"/>
      <c r="M75" s="1362"/>
      <c r="N75" s="1362"/>
      <c r="O75" s="1362"/>
      <c r="P75" s="1362"/>
      <c r="Q75" s="1362" t="s">
        <v>696</v>
      </c>
      <c r="R75" s="1363">
        <f t="shared" si="24"/>
        <v>129.19999999999999</v>
      </c>
      <c r="S75" s="1364"/>
      <c r="T75" s="722"/>
      <c r="U75" s="205"/>
      <c r="V75" s="68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205"/>
      <c r="IJ75" s="205"/>
      <c r="IK75" s="205"/>
      <c r="IL75" s="205"/>
      <c r="IM75" s="205"/>
      <c r="IN75" s="205"/>
      <c r="IO75" s="205"/>
      <c r="IP75" s="205"/>
      <c r="IQ75" s="205"/>
      <c r="IR75" s="205"/>
      <c r="IS75" s="205"/>
      <c r="IT75" s="205"/>
      <c r="IU75" s="205"/>
      <c r="IV75" s="205"/>
      <c r="IW75" s="205"/>
      <c r="IX75" s="205"/>
    </row>
    <row r="76" spans="1:258" s="203" customFormat="1" x14ac:dyDescent="0.2">
      <c r="A76" s="669"/>
      <c r="B76" s="670"/>
      <c r="C76" s="1358"/>
      <c r="D76" s="672"/>
      <c r="E76" s="1359"/>
      <c r="F76" s="1359"/>
      <c r="G76" s="1360" t="str">
        <f t="shared" si="23"/>
        <v>Pondasi 4</v>
      </c>
      <c r="H76" s="1361">
        <f t="shared" si="23"/>
        <v>22</v>
      </c>
      <c r="I76" s="1362" t="s">
        <v>424</v>
      </c>
      <c r="J76" s="1362">
        <f t="shared" si="25"/>
        <v>3.8</v>
      </c>
      <c r="K76" s="1362"/>
      <c r="L76" s="1362"/>
      <c r="M76" s="1362"/>
      <c r="N76" s="1362"/>
      <c r="O76" s="1362"/>
      <c r="P76" s="1362"/>
      <c r="Q76" s="1362" t="s">
        <v>696</v>
      </c>
      <c r="R76" s="1363">
        <f t="shared" si="24"/>
        <v>83.6</v>
      </c>
      <c r="S76" s="1364"/>
      <c r="T76" s="722"/>
      <c r="U76" s="205"/>
      <c r="V76" s="68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205"/>
      <c r="IJ76" s="205"/>
      <c r="IK76" s="205"/>
      <c r="IL76" s="205"/>
      <c r="IM76" s="205"/>
      <c r="IN76" s="205"/>
      <c r="IO76" s="205"/>
      <c r="IP76" s="205"/>
      <c r="IQ76" s="205"/>
      <c r="IR76" s="205"/>
      <c r="IS76" s="205"/>
      <c r="IT76" s="205"/>
      <c r="IU76" s="205"/>
      <c r="IV76" s="205"/>
      <c r="IW76" s="205"/>
      <c r="IX76" s="205"/>
    </row>
    <row r="77" spans="1:258" s="203" customFormat="1" x14ac:dyDescent="0.2">
      <c r="A77" s="669"/>
      <c r="B77" s="670"/>
      <c r="C77" s="1358"/>
      <c r="D77" s="672"/>
      <c r="E77" s="1359"/>
      <c r="F77" s="1359"/>
      <c r="G77" s="1360" t="s">
        <v>1701</v>
      </c>
      <c r="H77" s="1361">
        <f>3.5+3+5+5</f>
        <v>16.5</v>
      </c>
      <c r="I77" s="1362" t="s">
        <v>424</v>
      </c>
      <c r="J77" s="1362">
        <f>J76</f>
        <v>3.8</v>
      </c>
      <c r="K77" s="1362"/>
      <c r="L77" s="1362"/>
      <c r="M77" s="1362"/>
      <c r="N77" s="1362"/>
      <c r="O77" s="1362"/>
      <c r="P77" s="1362"/>
      <c r="Q77" s="1362" t="s">
        <v>696</v>
      </c>
      <c r="R77" s="1363">
        <f t="shared" ref="R77" si="26">H77*J77</f>
        <v>62.699999999999996</v>
      </c>
      <c r="S77" s="1364"/>
      <c r="T77" s="722"/>
      <c r="U77" s="205"/>
      <c r="V77" s="68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205"/>
      <c r="IJ77" s="205"/>
      <c r="IK77" s="205"/>
      <c r="IL77" s="205"/>
      <c r="IM77" s="205"/>
      <c r="IN77" s="205"/>
      <c r="IO77" s="205"/>
      <c r="IP77" s="205"/>
      <c r="IQ77" s="205"/>
      <c r="IR77" s="205"/>
      <c r="IS77" s="205"/>
      <c r="IT77" s="205"/>
      <c r="IU77" s="205"/>
      <c r="IV77" s="205"/>
      <c r="IW77" s="205"/>
      <c r="IX77" s="205"/>
    </row>
    <row r="78" spans="1:258" s="203" customFormat="1" x14ac:dyDescent="0.2">
      <c r="A78" s="669"/>
      <c r="B78" s="670"/>
      <c r="C78" s="1358"/>
      <c r="D78" s="672"/>
      <c r="E78" s="1359"/>
      <c r="F78" s="1359"/>
      <c r="G78" s="1360"/>
      <c r="H78" s="1377">
        <f>SUM(H73:H77)</f>
        <v>198</v>
      </c>
      <c r="I78" s="1362"/>
      <c r="J78" s="1362"/>
      <c r="K78" s="1362"/>
      <c r="L78" s="1362"/>
      <c r="M78" s="1362"/>
      <c r="N78" s="1362"/>
      <c r="O78" s="1362"/>
      <c r="P78" s="1362"/>
      <c r="Q78" s="1362"/>
      <c r="R78" s="1363">
        <f>SUM(R73:R77)</f>
        <v>752.4</v>
      </c>
      <c r="S78" s="1364"/>
      <c r="T78" s="722"/>
      <c r="U78" s="205"/>
      <c r="V78" s="68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05"/>
      <c r="BN78" s="205"/>
      <c r="BO78" s="205"/>
      <c r="BP78" s="205"/>
      <c r="BQ78" s="205"/>
      <c r="BR78" s="205"/>
      <c r="BS78" s="205"/>
      <c r="BT78" s="205"/>
      <c r="BU78" s="205"/>
      <c r="BV78" s="205"/>
      <c r="BW78" s="205"/>
      <c r="BX78" s="205"/>
      <c r="BY78" s="205"/>
      <c r="BZ78" s="205"/>
      <c r="CA78" s="205"/>
      <c r="CB78" s="205"/>
      <c r="CC78" s="205"/>
      <c r="CD78" s="205"/>
      <c r="CE78" s="205"/>
      <c r="CF78" s="205"/>
      <c r="CG78" s="205"/>
      <c r="CH78" s="205"/>
      <c r="CI78" s="205"/>
      <c r="CJ78" s="205"/>
      <c r="CK78" s="205"/>
      <c r="CL78" s="205"/>
      <c r="CM78" s="205"/>
      <c r="CN78" s="205"/>
      <c r="CO78" s="205"/>
      <c r="CP78" s="205"/>
      <c r="CQ78" s="205"/>
      <c r="CR78" s="205"/>
      <c r="CS78" s="205"/>
      <c r="CT78" s="205"/>
      <c r="CU78" s="205"/>
      <c r="CV78" s="205"/>
      <c r="CW78" s="205"/>
      <c r="CX78" s="205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205"/>
      <c r="IJ78" s="205"/>
      <c r="IK78" s="205"/>
      <c r="IL78" s="205"/>
      <c r="IM78" s="205"/>
      <c r="IN78" s="205"/>
      <c r="IO78" s="205"/>
      <c r="IP78" s="205"/>
      <c r="IQ78" s="205"/>
      <c r="IR78" s="205"/>
      <c r="IS78" s="205"/>
      <c r="IT78" s="205"/>
      <c r="IU78" s="205"/>
      <c r="IV78" s="205"/>
      <c r="IW78" s="205"/>
      <c r="IX78" s="205"/>
    </row>
    <row r="79" spans="1:258" s="203" customFormat="1" x14ac:dyDescent="0.2">
      <c r="A79" s="669"/>
      <c r="B79" s="670"/>
      <c r="C79" s="1358"/>
      <c r="D79" s="672"/>
      <c r="E79" s="1359"/>
      <c r="F79" s="1359"/>
      <c r="G79" s="1360"/>
      <c r="H79" s="1361"/>
      <c r="I79" s="1362"/>
      <c r="J79" s="1362"/>
      <c r="K79" s="1362"/>
      <c r="L79" s="1362"/>
      <c r="M79" s="1362"/>
      <c r="N79" s="1362"/>
      <c r="O79" s="1362"/>
      <c r="P79" s="1362"/>
      <c r="Q79" s="1362"/>
      <c r="R79" s="1363"/>
      <c r="S79" s="1364"/>
      <c r="T79" s="722"/>
      <c r="U79" s="205"/>
      <c r="V79" s="68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05"/>
      <c r="BN79" s="205"/>
      <c r="BO79" s="205"/>
      <c r="BP79" s="205"/>
      <c r="BQ79" s="205"/>
      <c r="BR79" s="205"/>
      <c r="BS79" s="205"/>
      <c r="BT79" s="205"/>
      <c r="BU79" s="205"/>
      <c r="BV79" s="205"/>
      <c r="BW79" s="205"/>
      <c r="BX79" s="205"/>
      <c r="BY79" s="205"/>
      <c r="BZ79" s="205"/>
      <c r="CA79" s="205"/>
      <c r="CB79" s="205"/>
      <c r="CC79" s="205"/>
      <c r="CD79" s="205"/>
      <c r="CE79" s="205"/>
      <c r="CF79" s="205"/>
      <c r="CG79" s="205"/>
      <c r="CH79" s="205"/>
      <c r="CI79" s="205"/>
      <c r="CJ79" s="205"/>
      <c r="CK79" s="205"/>
      <c r="CL79" s="205"/>
      <c r="CM79" s="205"/>
      <c r="CN79" s="205"/>
      <c r="CO79" s="205"/>
      <c r="CP79" s="205"/>
      <c r="CQ79" s="205"/>
      <c r="CR79" s="205"/>
      <c r="CS79" s="205"/>
      <c r="CT79" s="205"/>
      <c r="CU79" s="205"/>
      <c r="CV79" s="205"/>
      <c r="CW79" s="205"/>
      <c r="CX79" s="205"/>
      <c r="CY79" s="205"/>
      <c r="CZ79" s="205"/>
      <c r="DA79" s="205"/>
      <c r="DB79" s="205"/>
      <c r="DC79" s="205"/>
      <c r="DD79" s="205"/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205"/>
      <c r="IJ79" s="205"/>
      <c r="IK79" s="205"/>
      <c r="IL79" s="205"/>
      <c r="IM79" s="205"/>
      <c r="IN79" s="205"/>
      <c r="IO79" s="205"/>
      <c r="IP79" s="205"/>
      <c r="IQ79" s="205"/>
      <c r="IR79" s="205"/>
      <c r="IS79" s="205"/>
      <c r="IT79" s="205"/>
      <c r="IU79" s="205"/>
      <c r="IV79" s="205"/>
      <c r="IW79" s="205"/>
      <c r="IX79" s="205"/>
    </row>
    <row r="80" spans="1:258" s="719" customFormat="1" x14ac:dyDescent="0.2">
      <c r="A80" s="716"/>
      <c r="B80" s="717"/>
      <c r="C80" s="1365"/>
      <c r="D80" s="718"/>
      <c r="E80" s="1366"/>
      <c r="F80" s="1366" t="s">
        <v>1647</v>
      </c>
      <c r="G80" s="1367"/>
      <c r="H80" s="1368" t="s">
        <v>1133</v>
      </c>
      <c r="I80" s="1369"/>
      <c r="J80" s="1369" t="s">
        <v>1655</v>
      </c>
      <c r="K80" s="1369"/>
      <c r="L80" s="1369" t="s">
        <v>1656</v>
      </c>
      <c r="M80" s="1369"/>
      <c r="N80" s="1369"/>
      <c r="O80" s="1369"/>
      <c r="P80" s="1369"/>
      <c r="Q80" s="1369"/>
      <c r="R80" s="1370"/>
      <c r="S80" s="1371"/>
      <c r="T80" s="723"/>
      <c r="U80" s="662"/>
      <c r="V80" s="685"/>
      <c r="W80" s="662"/>
      <c r="X80" s="662"/>
      <c r="Y80" s="662"/>
      <c r="Z80" s="662"/>
      <c r="AA80" s="662"/>
      <c r="AB80" s="662"/>
      <c r="AC80" s="662"/>
      <c r="AD80" s="662"/>
      <c r="AE80" s="662"/>
      <c r="AF80" s="662"/>
      <c r="AG80" s="662"/>
      <c r="AH80" s="662"/>
      <c r="AI80" s="662"/>
      <c r="AJ80" s="662"/>
      <c r="AK80" s="662"/>
      <c r="AL80" s="662"/>
      <c r="AM80" s="662"/>
      <c r="AN80" s="662"/>
      <c r="AO80" s="662"/>
      <c r="AP80" s="662"/>
      <c r="AQ80" s="662"/>
      <c r="AR80" s="662"/>
      <c r="AS80" s="662"/>
      <c r="AT80" s="662"/>
      <c r="AU80" s="662"/>
      <c r="AV80" s="662"/>
      <c r="AW80" s="662"/>
      <c r="AX80" s="662"/>
      <c r="AY80" s="662"/>
      <c r="AZ80" s="662"/>
      <c r="BA80" s="662"/>
      <c r="BB80" s="662"/>
      <c r="BC80" s="662"/>
      <c r="BD80" s="662"/>
      <c r="BE80" s="662"/>
      <c r="BF80" s="662"/>
      <c r="BG80" s="662"/>
      <c r="BH80" s="662"/>
      <c r="BI80" s="662"/>
      <c r="BJ80" s="662"/>
      <c r="BK80" s="662"/>
      <c r="BL80" s="662"/>
      <c r="BM80" s="662"/>
      <c r="BN80" s="662"/>
      <c r="BO80" s="662"/>
      <c r="BP80" s="662"/>
      <c r="BQ80" s="662"/>
      <c r="BR80" s="662"/>
      <c r="BS80" s="662"/>
      <c r="BT80" s="662"/>
      <c r="BU80" s="662"/>
      <c r="BV80" s="662"/>
      <c r="BW80" s="662"/>
      <c r="BX80" s="662"/>
      <c r="BY80" s="662"/>
      <c r="BZ80" s="662"/>
      <c r="CA80" s="662"/>
      <c r="CB80" s="662"/>
      <c r="CC80" s="662"/>
      <c r="CD80" s="662"/>
      <c r="CE80" s="662"/>
      <c r="CF80" s="662"/>
      <c r="CG80" s="662"/>
      <c r="CH80" s="662"/>
      <c r="CI80" s="662"/>
      <c r="CJ80" s="662"/>
      <c r="CK80" s="662"/>
      <c r="CL80" s="662"/>
      <c r="CM80" s="662"/>
      <c r="CN80" s="662"/>
      <c r="CO80" s="662"/>
      <c r="CP80" s="662"/>
      <c r="CQ80" s="662"/>
      <c r="CR80" s="662"/>
      <c r="CS80" s="662"/>
      <c r="CT80" s="662"/>
      <c r="CU80" s="662"/>
      <c r="CV80" s="662"/>
      <c r="CW80" s="662"/>
      <c r="CX80" s="662"/>
      <c r="CY80" s="662"/>
      <c r="CZ80" s="662"/>
      <c r="DA80" s="662"/>
      <c r="DB80" s="662"/>
      <c r="DC80" s="662"/>
      <c r="DD80" s="662"/>
      <c r="DE80" s="662"/>
      <c r="DF80" s="662"/>
      <c r="DG80" s="662"/>
      <c r="DH80" s="662"/>
      <c r="DI80" s="662"/>
      <c r="DJ80" s="662"/>
      <c r="DK80" s="662"/>
      <c r="DL80" s="662"/>
      <c r="DM80" s="662"/>
      <c r="DN80" s="662"/>
      <c r="DO80" s="662"/>
      <c r="DP80" s="662"/>
      <c r="DQ80" s="662"/>
      <c r="DR80" s="662"/>
      <c r="DS80" s="662"/>
      <c r="DT80" s="662"/>
      <c r="DU80" s="662"/>
      <c r="DV80" s="662"/>
      <c r="DW80" s="662"/>
      <c r="DX80" s="662"/>
      <c r="DY80" s="662"/>
      <c r="DZ80" s="662"/>
      <c r="EA80" s="662"/>
      <c r="EB80" s="662"/>
      <c r="EC80" s="662"/>
      <c r="ED80" s="662"/>
      <c r="EE80" s="662"/>
      <c r="EF80" s="662"/>
      <c r="EG80" s="662"/>
      <c r="EH80" s="662"/>
      <c r="EI80" s="662"/>
      <c r="EJ80" s="662"/>
      <c r="EK80" s="662"/>
      <c r="EL80" s="662"/>
      <c r="EM80" s="662"/>
      <c r="EN80" s="662"/>
      <c r="EO80" s="662"/>
      <c r="EP80" s="662"/>
      <c r="EQ80" s="662"/>
      <c r="ER80" s="662"/>
      <c r="ES80" s="662"/>
      <c r="ET80" s="662"/>
      <c r="EU80" s="662"/>
      <c r="EV80" s="662"/>
      <c r="EW80" s="662"/>
      <c r="EX80" s="662"/>
      <c r="EY80" s="662"/>
      <c r="EZ80" s="662"/>
      <c r="FA80" s="662"/>
      <c r="FB80" s="662"/>
      <c r="FC80" s="662"/>
      <c r="FD80" s="662"/>
      <c r="FE80" s="662"/>
      <c r="FF80" s="662"/>
      <c r="FG80" s="662"/>
      <c r="FH80" s="662"/>
      <c r="FI80" s="662"/>
      <c r="FJ80" s="662"/>
      <c r="FK80" s="662"/>
      <c r="FL80" s="662"/>
      <c r="FM80" s="662"/>
      <c r="FN80" s="662"/>
      <c r="FO80" s="662"/>
      <c r="FP80" s="662"/>
      <c r="FQ80" s="662"/>
      <c r="FR80" s="662"/>
      <c r="FS80" s="662"/>
      <c r="FT80" s="662"/>
      <c r="FU80" s="662"/>
      <c r="FV80" s="662"/>
      <c r="FW80" s="662"/>
      <c r="FX80" s="662"/>
      <c r="FY80" s="662"/>
      <c r="FZ80" s="662"/>
      <c r="GA80" s="662"/>
      <c r="GB80" s="662"/>
      <c r="GC80" s="662"/>
      <c r="GD80" s="662"/>
      <c r="GE80" s="662"/>
      <c r="GF80" s="662"/>
      <c r="GG80" s="662"/>
      <c r="GH80" s="662"/>
      <c r="GI80" s="662"/>
      <c r="GJ80" s="662"/>
      <c r="GK80" s="662"/>
      <c r="GL80" s="662"/>
      <c r="GM80" s="662"/>
      <c r="GN80" s="662"/>
      <c r="GO80" s="662"/>
      <c r="GP80" s="662"/>
      <c r="GQ80" s="662"/>
      <c r="GR80" s="662"/>
      <c r="GS80" s="662"/>
      <c r="GT80" s="662"/>
      <c r="GU80" s="662"/>
      <c r="GV80" s="662"/>
      <c r="GW80" s="662"/>
      <c r="GX80" s="662"/>
      <c r="GY80" s="662"/>
      <c r="GZ80" s="662"/>
      <c r="HA80" s="662"/>
      <c r="HB80" s="662"/>
      <c r="HC80" s="662"/>
      <c r="HD80" s="662"/>
      <c r="HE80" s="662"/>
      <c r="HF80" s="662"/>
      <c r="HG80" s="662"/>
      <c r="HH80" s="662"/>
      <c r="HI80" s="662"/>
      <c r="HJ80" s="662"/>
      <c r="HK80" s="662"/>
      <c r="HL80" s="662"/>
      <c r="HM80" s="662"/>
      <c r="HN80" s="662"/>
      <c r="HO80" s="662"/>
      <c r="HP80" s="662"/>
      <c r="HQ80" s="662"/>
      <c r="HR80" s="662"/>
      <c r="HS80" s="662"/>
      <c r="HT80" s="662"/>
      <c r="HU80" s="662"/>
      <c r="HV80" s="662"/>
      <c r="HW80" s="662"/>
      <c r="HX80" s="662"/>
      <c r="HY80" s="662"/>
      <c r="HZ80" s="662"/>
      <c r="IA80" s="662"/>
      <c r="IB80" s="662"/>
      <c r="IC80" s="662"/>
      <c r="ID80" s="662"/>
      <c r="IE80" s="662"/>
      <c r="IF80" s="662"/>
      <c r="IG80" s="662"/>
      <c r="IH80" s="662"/>
      <c r="II80" s="662"/>
      <c r="IJ80" s="662"/>
      <c r="IK80" s="662"/>
      <c r="IL80" s="662"/>
      <c r="IM80" s="662"/>
      <c r="IN80" s="662"/>
      <c r="IO80" s="662"/>
      <c r="IP80" s="662"/>
      <c r="IQ80" s="662"/>
      <c r="IR80" s="662"/>
      <c r="IS80" s="662"/>
      <c r="IT80" s="662"/>
      <c r="IU80" s="662"/>
      <c r="IV80" s="662"/>
      <c r="IW80" s="662"/>
      <c r="IX80" s="662"/>
    </row>
    <row r="81" spans="1:258" s="719" customFormat="1" x14ac:dyDescent="0.2">
      <c r="A81" s="716"/>
      <c r="B81" s="717"/>
      <c r="C81" s="1365"/>
      <c r="D81" s="718"/>
      <c r="E81" s="1366"/>
      <c r="F81" s="1366"/>
      <c r="G81" s="1367" t="s">
        <v>1699</v>
      </c>
      <c r="H81" s="1368">
        <v>1.5</v>
      </c>
      <c r="I81" s="1369" t="s">
        <v>424</v>
      </c>
      <c r="J81" s="1369">
        <v>2.1</v>
      </c>
      <c r="K81" s="1369" t="s">
        <v>424</v>
      </c>
      <c r="L81" s="1369">
        <v>2</v>
      </c>
      <c r="M81" s="1369"/>
      <c r="N81" s="1369"/>
      <c r="O81" s="1369"/>
      <c r="P81" s="1369"/>
      <c r="Q81" s="1369" t="s">
        <v>696</v>
      </c>
      <c r="R81" s="1370">
        <f t="shared" ref="R81" si="27">H81*J81*L81</f>
        <v>6.3000000000000007</v>
      </c>
      <c r="S81" s="1371"/>
      <c r="T81" s="723"/>
      <c r="U81" s="662"/>
      <c r="V81" s="685"/>
      <c r="W81" s="662"/>
      <c r="X81" s="662"/>
      <c r="Y81" s="662"/>
      <c r="Z81" s="662"/>
      <c r="AA81" s="662"/>
      <c r="AB81" s="662"/>
      <c r="AC81" s="662"/>
      <c r="AD81" s="662"/>
      <c r="AE81" s="662"/>
      <c r="AF81" s="662"/>
      <c r="AG81" s="662"/>
      <c r="AH81" s="662"/>
      <c r="AI81" s="662"/>
      <c r="AJ81" s="662"/>
      <c r="AK81" s="662"/>
      <c r="AL81" s="662"/>
      <c r="AM81" s="662"/>
      <c r="AN81" s="662"/>
      <c r="AO81" s="662"/>
      <c r="AP81" s="662"/>
      <c r="AQ81" s="662"/>
      <c r="AR81" s="662"/>
      <c r="AS81" s="662"/>
      <c r="AT81" s="662"/>
      <c r="AU81" s="662"/>
      <c r="AV81" s="662"/>
      <c r="AW81" s="662"/>
      <c r="AX81" s="662"/>
      <c r="AY81" s="662"/>
      <c r="AZ81" s="662"/>
      <c r="BA81" s="662"/>
      <c r="BB81" s="662"/>
      <c r="BC81" s="662"/>
      <c r="BD81" s="662"/>
      <c r="BE81" s="662"/>
      <c r="BF81" s="662"/>
      <c r="BG81" s="662"/>
      <c r="BH81" s="662"/>
      <c r="BI81" s="662"/>
      <c r="BJ81" s="662"/>
      <c r="BK81" s="662"/>
      <c r="BL81" s="662"/>
      <c r="BM81" s="662"/>
      <c r="BN81" s="662"/>
      <c r="BO81" s="662"/>
      <c r="BP81" s="662"/>
      <c r="BQ81" s="662"/>
      <c r="BR81" s="662"/>
      <c r="BS81" s="662"/>
      <c r="BT81" s="662"/>
      <c r="BU81" s="662"/>
      <c r="BV81" s="662"/>
      <c r="BW81" s="662"/>
      <c r="BX81" s="662"/>
      <c r="BY81" s="662"/>
      <c r="BZ81" s="662"/>
      <c r="CA81" s="662"/>
      <c r="CB81" s="662"/>
      <c r="CC81" s="662"/>
      <c r="CD81" s="662"/>
      <c r="CE81" s="662"/>
      <c r="CF81" s="662"/>
      <c r="CG81" s="662"/>
      <c r="CH81" s="662"/>
      <c r="CI81" s="662"/>
      <c r="CJ81" s="662"/>
      <c r="CK81" s="662"/>
      <c r="CL81" s="662"/>
      <c r="CM81" s="662"/>
      <c r="CN81" s="662"/>
      <c r="CO81" s="662"/>
      <c r="CP81" s="662"/>
      <c r="CQ81" s="662"/>
      <c r="CR81" s="662"/>
      <c r="CS81" s="662"/>
      <c r="CT81" s="662"/>
      <c r="CU81" s="662"/>
      <c r="CV81" s="662"/>
      <c r="CW81" s="662"/>
      <c r="CX81" s="662"/>
      <c r="CY81" s="662"/>
      <c r="CZ81" s="662"/>
      <c r="DA81" s="662"/>
      <c r="DB81" s="662"/>
      <c r="DC81" s="662"/>
      <c r="DD81" s="662"/>
      <c r="DE81" s="662"/>
      <c r="DF81" s="662"/>
      <c r="DG81" s="662"/>
      <c r="DH81" s="662"/>
      <c r="DI81" s="662"/>
      <c r="DJ81" s="662"/>
      <c r="DK81" s="662"/>
      <c r="DL81" s="662"/>
      <c r="DM81" s="662"/>
      <c r="DN81" s="662"/>
      <c r="DO81" s="662"/>
      <c r="DP81" s="662"/>
      <c r="DQ81" s="662"/>
      <c r="DR81" s="662"/>
      <c r="DS81" s="662"/>
      <c r="DT81" s="662"/>
      <c r="DU81" s="662"/>
      <c r="DV81" s="662"/>
      <c r="DW81" s="662"/>
      <c r="DX81" s="662"/>
      <c r="DY81" s="662"/>
      <c r="DZ81" s="662"/>
      <c r="EA81" s="662"/>
      <c r="EB81" s="662"/>
      <c r="EC81" s="662"/>
      <c r="ED81" s="662"/>
      <c r="EE81" s="662"/>
      <c r="EF81" s="662"/>
      <c r="EG81" s="662"/>
      <c r="EH81" s="662"/>
      <c r="EI81" s="662"/>
      <c r="EJ81" s="662"/>
      <c r="EK81" s="662"/>
      <c r="EL81" s="662"/>
      <c r="EM81" s="662"/>
      <c r="EN81" s="662"/>
      <c r="EO81" s="662"/>
      <c r="EP81" s="662"/>
      <c r="EQ81" s="662"/>
      <c r="ER81" s="662"/>
      <c r="ES81" s="662"/>
      <c r="ET81" s="662"/>
      <c r="EU81" s="662"/>
      <c r="EV81" s="662"/>
      <c r="EW81" s="662"/>
      <c r="EX81" s="662"/>
      <c r="EY81" s="662"/>
      <c r="EZ81" s="662"/>
      <c r="FA81" s="662"/>
      <c r="FB81" s="662"/>
      <c r="FC81" s="662"/>
      <c r="FD81" s="662"/>
      <c r="FE81" s="662"/>
      <c r="FF81" s="662"/>
      <c r="FG81" s="662"/>
      <c r="FH81" s="662"/>
      <c r="FI81" s="662"/>
      <c r="FJ81" s="662"/>
      <c r="FK81" s="662"/>
      <c r="FL81" s="662"/>
      <c r="FM81" s="662"/>
      <c r="FN81" s="662"/>
      <c r="FO81" s="662"/>
      <c r="FP81" s="662"/>
      <c r="FQ81" s="662"/>
      <c r="FR81" s="662"/>
      <c r="FS81" s="662"/>
      <c r="FT81" s="662"/>
      <c r="FU81" s="662"/>
      <c r="FV81" s="662"/>
      <c r="FW81" s="662"/>
      <c r="FX81" s="662"/>
      <c r="FY81" s="662"/>
      <c r="FZ81" s="662"/>
      <c r="GA81" s="662"/>
      <c r="GB81" s="662"/>
      <c r="GC81" s="662"/>
      <c r="GD81" s="662"/>
      <c r="GE81" s="662"/>
      <c r="GF81" s="662"/>
      <c r="GG81" s="662"/>
      <c r="GH81" s="662"/>
      <c r="GI81" s="662"/>
      <c r="GJ81" s="662"/>
      <c r="GK81" s="662"/>
      <c r="GL81" s="662"/>
      <c r="GM81" s="662"/>
      <c r="GN81" s="662"/>
      <c r="GO81" s="662"/>
      <c r="GP81" s="662"/>
      <c r="GQ81" s="662"/>
      <c r="GR81" s="662"/>
      <c r="GS81" s="662"/>
      <c r="GT81" s="662"/>
      <c r="GU81" s="662"/>
      <c r="GV81" s="662"/>
      <c r="GW81" s="662"/>
      <c r="GX81" s="662"/>
      <c r="GY81" s="662"/>
      <c r="GZ81" s="662"/>
      <c r="HA81" s="662"/>
      <c r="HB81" s="662"/>
      <c r="HC81" s="662"/>
      <c r="HD81" s="662"/>
      <c r="HE81" s="662"/>
      <c r="HF81" s="662"/>
      <c r="HG81" s="662"/>
      <c r="HH81" s="662"/>
      <c r="HI81" s="662"/>
      <c r="HJ81" s="662"/>
      <c r="HK81" s="662"/>
      <c r="HL81" s="662"/>
      <c r="HM81" s="662"/>
      <c r="HN81" s="662"/>
      <c r="HO81" s="662"/>
      <c r="HP81" s="662"/>
      <c r="HQ81" s="662"/>
      <c r="HR81" s="662"/>
      <c r="HS81" s="662"/>
      <c r="HT81" s="662"/>
      <c r="HU81" s="662"/>
      <c r="HV81" s="662"/>
      <c r="HW81" s="662"/>
      <c r="HX81" s="662"/>
      <c r="HY81" s="662"/>
      <c r="HZ81" s="662"/>
      <c r="IA81" s="662"/>
      <c r="IB81" s="662"/>
      <c r="IC81" s="662"/>
      <c r="ID81" s="662"/>
      <c r="IE81" s="662"/>
      <c r="IF81" s="662"/>
      <c r="IG81" s="662"/>
      <c r="IH81" s="662"/>
      <c r="II81" s="662"/>
      <c r="IJ81" s="662"/>
      <c r="IK81" s="662"/>
      <c r="IL81" s="662"/>
      <c r="IM81" s="662"/>
      <c r="IN81" s="662"/>
      <c r="IO81" s="662"/>
      <c r="IP81" s="662"/>
      <c r="IQ81" s="662"/>
      <c r="IR81" s="662"/>
      <c r="IS81" s="662"/>
      <c r="IT81" s="662"/>
      <c r="IU81" s="662"/>
      <c r="IV81" s="662"/>
      <c r="IW81" s="662"/>
      <c r="IX81" s="662"/>
    </row>
    <row r="82" spans="1:258" s="719" customFormat="1" x14ac:dyDescent="0.2">
      <c r="A82" s="716"/>
      <c r="B82" s="717"/>
      <c r="C82" s="1365"/>
      <c r="D82" s="718"/>
      <c r="E82" s="1366"/>
      <c r="F82" s="1366"/>
      <c r="G82" s="1367" t="s">
        <v>1658</v>
      </c>
      <c r="H82" s="1368">
        <v>1.5</v>
      </c>
      <c r="I82" s="1369" t="s">
        <v>424</v>
      </c>
      <c r="J82" s="1369">
        <v>2.1</v>
      </c>
      <c r="K82" s="1369" t="s">
        <v>424</v>
      </c>
      <c r="L82" s="1369">
        <v>12</v>
      </c>
      <c r="M82" s="1369"/>
      <c r="N82" s="1369"/>
      <c r="O82" s="1369"/>
      <c r="P82" s="1369"/>
      <c r="Q82" s="1369" t="s">
        <v>696</v>
      </c>
      <c r="R82" s="1370">
        <f t="shared" ref="R82:R84" si="28">H82*J82*L82</f>
        <v>37.800000000000004</v>
      </c>
      <c r="S82" s="1371"/>
      <c r="T82" s="723"/>
      <c r="U82" s="662"/>
      <c r="V82" s="685"/>
      <c r="W82" s="662"/>
      <c r="X82" s="662"/>
      <c r="Y82" s="662"/>
      <c r="Z82" s="662"/>
      <c r="AA82" s="662"/>
      <c r="AB82" s="662"/>
      <c r="AC82" s="662"/>
      <c r="AD82" s="662"/>
      <c r="AE82" s="662"/>
      <c r="AF82" s="662"/>
      <c r="AG82" s="662"/>
      <c r="AH82" s="662"/>
      <c r="AI82" s="662"/>
      <c r="AJ82" s="662"/>
      <c r="AK82" s="662"/>
      <c r="AL82" s="662"/>
      <c r="AM82" s="662"/>
      <c r="AN82" s="662"/>
      <c r="AO82" s="662"/>
      <c r="AP82" s="662"/>
      <c r="AQ82" s="662"/>
      <c r="AR82" s="662"/>
      <c r="AS82" s="662"/>
      <c r="AT82" s="662"/>
      <c r="AU82" s="662"/>
      <c r="AV82" s="662"/>
      <c r="AW82" s="662"/>
      <c r="AX82" s="662"/>
      <c r="AY82" s="662"/>
      <c r="AZ82" s="662"/>
      <c r="BA82" s="662"/>
      <c r="BB82" s="662"/>
      <c r="BC82" s="662"/>
      <c r="BD82" s="662"/>
      <c r="BE82" s="662"/>
      <c r="BF82" s="662"/>
      <c r="BG82" s="662"/>
      <c r="BH82" s="662"/>
      <c r="BI82" s="662"/>
      <c r="BJ82" s="662"/>
      <c r="BK82" s="662"/>
      <c r="BL82" s="662"/>
      <c r="BM82" s="662"/>
      <c r="BN82" s="662"/>
      <c r="BO82" s="662"/>
      <c r="BP82" s="662"/>
      <c r="BQ82" s="662"/>
      <c r="BR82" s="662"/>
      <c r="BS82" s="662"/>
      <c r="BT82" s="662"/>
      <c r="BU82" s="662"/>
      <c r="BV82" s="662"/>
      <c r="BW82" s="662"/>
      <c r="BX82" s="662"/>
      <c r="BY82" s="662"/>
      <c r="BZ82" s="662"/>
      <c r="CA82" s="662"/>
      <c r="CB82" s="662"/>
      <c r="CC82" s="662"/>
      <c r="CD82" s="662"/>
      <c r="CE82" s="662"/>
      <c r="CF82" s="662"/>
      <c r="CG82" s="662"/>
      <c r="CH82" s="662"/>
      <c r="CI82" s="662"/>
      <c r="CJ82" s="662"/>
      <c r="CK82" s="662"/>
      <c r="CL82" s="662"/>
      <c r="CM82" s="662"/>
      <c r="CN82" s="662"/>
      <c r="CO82" s="662"/>
      <c r="CP82" s="662"/>
      <c r="CQ82" s="662"/>
      <c r="CR82" s="662"/>
      <c r="CS82" s="662"/>
      <c r="CT82" s="662"/>
      <c r="CU82" s="662"/>
      <c r="CV82" s="662"/>
      <c r="CW82" s="662"/>
      <c r="CX82" s="662"/>
      <c r="CY82" s="662"/>
      <c r="CZ82" s="662"/>
      <c r="DA82" s="662"/>
      <c r="DB82" s="662"/>
      <c r="DC82" s="662"/>
      <c r="DD82" s="662"/>
      <c r="DE82" s="662"/>
      <c r="DF82" s="662"/>
      <c r="DG82" s="662"/>
      <c r="DH82" s="662"/>
      <c r="DI82" s="662"/>
      <c r="DJ82" s="662"/>
      <c r="DK82" s="662"/>
      <c r="DL82" s="662"/>
      <c r="DM82" s="662"/>
      <c r="DN82" s="662"/>
      <c r="DO82" s="662"/>
      <c r="DP82" s="662"/>
      <c r="DQ82" s="662"/>
      <c r="DR82" s="662"/>
      <c r="DS82" s="662"/>
      <c r="DT82" s="662"/>
      <c r="DU82" s="662"/>
      <c r="DV82" s="662"/>
      <c r="DW82" s="662"/>
      <c r="DX82" s="662"/>
      <c r="DY82" s="662"/>
      <c r="DZ82" s="662"/>
      <c r="EA82" s="662"/>
      <c r="EB82" s="662"/>
      <c r="EC82" s="662"/>
      <c r="ED82" s="662"/>
      <c r="EE82" s="662"/>
      <c r="EF82" s="662"/>
      <c r="EG82" s="662"/>
      <c r="EH82" s="662"/>
      <c r="EI82" s="662"/>
      <c r="EJ82" s="662"/>
      <c r="EK82" s="662"/>
      <c r="EL82" s="662"/>
      <c r="EM82" s="662"/>
      <c r="EN82" s="662"/>
      <c r="EO82" s="662"/>
      <c r="EP82" s="662"/>
      <c r="EQ82" s="662"/>
      <c r="ER82" s="662"/>
      <c r="ES82" s="662"/>
      <c r="ET82" s="662"/>
      <c r="EU82" s="662"/>
      <c r="EV82" s="662"/>
      <c r="EW82" s="662"/>
      <c r="EX82" s="662"/>
      <c r="EY82" s="662"/>
      <c r="EZ82" s="662"/>
      <c r="FA82" s="662"/>
      <c r="FB82" s="662"/>
      <c r="FC82" s="662"/>
      <c r="FD82" s="662"/>
      <c r="FE82" s="662"/>
      <c r="FF82" s="662"/>
      <c r="FG82" s="662"/>
      <c r="FH82" s="662"/>
      <c r="FI82" s="662"/>
      <c r="FJ82" s="662"/>
      <c r="FK82" s="662"/>
      <c r="FL82" s="662"/>
      <c r="FM82" s="662"/>
      <c r="FN82" s="662"/>
      <c r="FO82" s="662"/>
      <c r="FP82" s="662"/>
      <c r="FQ82" s="662"/>
      <c r="FR82" s="662"/>
      <c r="FS82" s="662"/>
      <c r="FT82" s="662"/>
      <c r="FU82" s="662"/>
      <c r="FV82" s="662"/>
      <c r="FW82" s="662"/>
      <c r="FX82" s="662"/>
      <c r="FY82" s="662"/>
      <c r="FZ82" s="662"/>
      <c r="GA82" s="662"/>
      <c r="GB82" s="662"/>
      <c r="GC82" s="662"/>
      <c r="GD82" s="662"/>
      <c r="GE82" s="662"/>
      <c r="GF82" s="662"/>
      <c r="GG82" s="662"/>
      <c r="GH82" s="662"/>
      <c r="GI82" s="662"/>
      <c r="GJ82" s="662"/>
      <c r="GK82" s="662"/>
      <c r="GL82" s="662"/>
      <c r="GM82" s="662"/>
      <c r="GN82" s="662"/>
      <c r="GO82" s="662"/>
      <c r="GP82" s="662"/>
      <c r="GQ82" s="662"/>
      <c r="GR82" s="662"/>
      <c r="GS82" s="662"/>
      <c r="GT82" s="662"/>
      <c r="GU82" s="662"/>
      <c r="GV82" s="662"/>
      <c r="GW82" s="662"/>
      <c r="GX82" s="662"/>
      <c r="GY82" s="662"/>
      <c r="GZ82" s="662"/>
      <c r="HA82" s="662"/>
      <c r="HB82" s="662"/>
      <c r="HC82" s="662"/>
      <c r="HD82" s="662"/>
      <c r="HE82" s="662"/>
      <c r="HF82" s="662"/>
      <c r="HG82" s="662"/>
      <c r="HH82" s="662"/>
      <c r="HI82" s="662"/>
      <c r="HJ82" s="662"/>
      <c r="HK82" s="662"/>
      <c r="HL82" s="662"/>
      <c r="HM82" s="662"/>
      <c r="HN82" s="662"/>
      <c r="HO82" s="662"/>
      <c r="HP82" s="662"/>
      <c r="HQ82" s="662"/>
      <c r="HR82" s="662"/>
      <c r="HS82" s="662"/>
      <c r="HT82" s="662"/>
      <c r="HU82" s="662"/>
      <c r="HV82" s="662"/>
      <c r="HW82" s="662"/>
      <c r="HX82" s="662"/>
      <c r="HY82" s="662"/>
      <c r="HZ82" s="662"/>
      <c r="IA82" s="662"/>
      <c r="IB82" s="662"/>
      <c r="IC82" s="662"/>
      <c r="ID82" s="662"/>
      <c r="IE82" s="662"/>
      <c r="IF82" s="662"/>
      <c r="IG82" s="662"/>
      <c r="IH82" s="662"/>
      <c r="II82" s="662"/>
      <c r="IJ82" s="662"/>
      <c r="IK82" s="662"/>
      <c r="IL82" s="662"/>
      <c r="IM82" s="662"/>
      <c r="IN82" s="662"/>
      <c r="IO82" s="662"/>
      <c r="IP82" s="662"/>
      <c r="IQ82" s="662"/>
      <c r="IR82" s="662"/>
      <c r="IS82" s="662"/>
      <c r="IT82" s="662"/>
      <c r="IU82" s="662"/>
      <c r="IV82" s="662"/>
      <c r="IW82" s="662"/>
      <c r="IX82" s="662"/>
    </row>
    <row r="83" spans="1:258" s="719" customFormat="1" x14ac:dyDescent="0.2">
      <c r="A83" s="716"/>
      <c r="B83" s="717"/>
      <c r="C83" s="1365"/>
      <c r="D83" s="718"/>
      <c r="E83" s="1366"/>
      <c r="F83" s="1366"/>
      <c r="G83" s="1367" t="s">
        <v>1659</v>
      </c>
      <c r="H83" s="1368">
        <v>1.5</v>
      </c>
      <c r="I83" s="1369" t="s">
        <v>424</v>
      </c>
      <c r="J83" s="1369">
        <v>2.1</v>
      </c>
      <c r="K83" s="1369" t="s">
        <v>424</v>
      </c>
      <c r="L83" s="1369">
        <v>1</v>
      </c>
      <c r="M83" s="1369"/>
      <c r="N83" s="1369"/>
      <c r="O83" s="1369"/>
      <c r="P83" s="1369"/>
      <c r="Q83" s="1369" t="s">
        <v>696</v>
      </c>
      <c r="R83" s="1370">
        <f t="shared" si="28"/>
        <v>3.1500000000000004</v>
      </c>
      <c r="S83" s="1371"/>
      <c r="T83" s="723"/>
      <c r="U83" s="662"/>
      <c r="V83" s="685"/>
      <c r="W83" s="662"/>
      <c r="X83" s="662"/>
      <c r="Y83" s="662"/>
      <c r="Z83" s="662"/>
      <c r="AA83" s="662"/>
      <c r="AB83" s="662"/>
      <c r="AC83" s="662"/>
      <c r="AD83" s="662"/>
      <c r="AE83" s="662"/>
      <c r="AF83" s="662"/>
      <c r="AG83" s="662"/>
      <c r="AH83" s="662"/>
      <c r="AI83" s="662"/>
      <c r="AJ83" s="662"/>
      <c r="AK83" s="662"/>
      <c r="AL83" s="662"/>
      <c r="AM83" s="662"/>
      <c r="AN83" s="662"/>
      <c r="AO83" s="662"/>
      <c r="AP83" s="662"/>
      <c r="AQ83" s="662"/>
      <c r="AR83" s="662"/>
      <c r="AS83" s="662"/>
      <c r="AT83" s="662"/>
      <c r="AU83" s="662"/>
      <c r="AV83" s="662"/>
      <c r="AW83" s="662"/>
      <c r="AX83" s="662"/>
      <c r="AY83" s="662"/>
      <c r="AZ83" s="662"/>
      <c r="BA83" s="662"/>
      <c r="BB83" s="662"/>
      <c r="BC83" s="662"/>
      <c r="BD83" s="662"/>
      <c r="BE83" s="662"/>
      <c r="BF83" s="662"/>
      <c r="BG83" s="662"/>
      <c r="BH83" s="662"/>
      <c r="BI83" s="662"/>
      <c r="BJ83" s="662"/>
      <c r="BK83" s="662"/>
      <c r="BL83" s="662"/>
      <c r="BM83" s="662"/>
      <c r="BN83" s="662"/>
      <c r="BO83" s="662"/>
      <c r="BP83" s="662"/>
      <c r="BQ83" s="662"/>
      <c r="BR83" s="662"/>
      <c r="BS83" s="662"/>
      <c r="BT83" s="662"/>
      <c r="BU83" s="662"/>
      <c r="BV83" s="662"/>
      <c r="BW83" s="662"/>
      <c r="BX83" s="662"/>
      <c r="BY83" s="662"/>
      <c r="BZ83" s="662"/>
      <c r="CA83" s="662"/>
      <c r="CB83" s="662"/>
      <c r="CC83" s="662"/>
      <c r="CD83" s="662"/>
      <c r="CE83" s="662"/>
      <c r="CF83" s="662"/>
      <c r="CG83" s="662"/>
      <c r="CH83" s="662"/>
      <c r="CI83" s="662"/>
      <c r="CJ83" s="662"/>
      <c r="CK83" s="662"/>
      <c r="CL83" s="662"/>
      <c r="CM83" s="662"/>
      <c r="CN83" s="662"/>
      <c r="CO83" s="662"/>
      <c r="CP83" s="662"/>
      <c r="CQ83" s="662"/>
      <c r="CR83" s="662"/>
      <c r="CS83" s="662"/>
      <c r="CT83" s="662"/>
      <c r="CU83" s="662"/>
      <c r="CV83" s="662"/>
      <c r="CW83" s="662"/>
      <c r="CX83" s="662"/>
      <c r="CY83" s="662"/>
      <c r="CZ83" s="662"/>
      <c r="DA83" s="662"/>
      <c r="DB83" s="662"/>
      <c r="DC83" s="662"/>
      <c r="DD83" s="662"/>
      <c r="DE83" s="662"/>
      <c r="DF83" s="662"/>
      <c r="DG83" s="662"/>
      <c r="DH83" s="662"/>
      <c r="DI83" s="662"/>
      <c r="DJ83" s="662"/>
      <c r="DK83" s="662"/>
      <c r="DL83" s="662"/>
      <c r="DM83" s="662"/>
      <c r="DN83" s="662"/>
      <c r="DO83" s="662"/>
      <c r="DP83" s="662"/>
      <c r="DQ83" s="662"/>
      <c r="DR83" s="662"/>
      <c r="DS83" s="662"/>
      <c r="DT83" s="662"/>
      <c r="DU83" s="662"/>
      <c r="DV83" s="662"/>
      <c r="DW83" s="662"/>
      <c r="DX83" s="662"/>
      <c r="DY83" s="662"/>
      <c r="DZ83" s="662"/>
      <c r="EA83" s="662"/>
      <c r="EB83" s="662"/>
      <c r="EC83" s="662"/>
      <c r="ED83" s="662"/>
      <c r="EE83" s="662"/>
      <c r="EF83" s="662"/>
      <c r="EG83" s="662"/>
      <c r="EH83" s="662"/>
      <c r="EI83" s="662"/>
      <c r="EJ83" s="662"/>
      <c r="EK83" s="662"/>
      <c r="EL83" s="662"/>
      <c r="EM83" s="662"/>
      <c r="EN83" s="662"/>
      <c r="EO83" s="662"/>
      <c r="EP83" s="662"/>
      <c r="EQ83" s="662"/>
      <c r="ER83" s="662"/>
      <c r="ES83" s="662"/>
      <c r="ET83" s="662"/>
      <c r="EU83" s="662"/>
      <c r="EV83" s="662"/>
      <c r="EW83" s="662"/>
      <c r="EX83" s="662"/>
      <c r="EY83" s="662"/>
      <c r="EZ83" s="662"/>
      <c r="FA83" s="662"/>
      <c r="FB83" s="662"/>
      <c r="FC83" s="662"/>
      <c r="FD83" s="662"/>
      <c r="FE83" s="662"/>
      <c r="FF83" s="662"/>
      <c r="FG83" s="662"/>
      <c r="FH83" s="662"/>
      <c r="FI83" s="662"/>
      <c r="FJ83" s="662"/>
      <c r="FK83" s="662"/>
      <c r="FL83" s="662"/>
      <c r="FM83" s="662"/>
      <c r="FN83" s="662"/>
      <c r="FO83" s="662"/>
      <c r="FP83" s="662"/>
      <c r="FQ83" s="662"/>
      <c r="FR83" s="662"/>
      <c r="FS83" s="662"/>
      <c r="FT83" s="662"/>
      <c r="FU83" s="662"/>
      <c r="FV83" s="662"/>
      <c r="FW83" s="662"/>
      <c r="FX83" s="662"/>
      <c r="FY83" s="662"/>
      <c r="FZ83" s="662"/>
      <c r="GA83" s="662"/>
      <c r="GB83" s="662"/>
      <c r="GC83" s="662"/>
      <c r="GD83" s="662"/>
      <c r="GE83" s="662"/>
      <c r="GF83" s="662"/>
      <c r="GG83" s="662"/>
      <c r="GH83" s="662"/>
      <c r="GI83" s="662"/>
      <c r="GJ83" s="662"/>
      <c r="GK83" s="662"/>
      <c r="GL83" s="662"/>
      <c r="GM83" s="662"/>
      <c r="GN83" s="662"/>
      <c r="GO83" s="662"/>
      <c r="GP83" s="662"/>
      <c r="GQ83" s="662"/>
      <c r="GR83" s="662"/>
      <c r="GS83" s="662"/>
      <c r="GT83" s="662"/>
      <c r="GU83" s="662"/>
      <c r="GV83" s="662"/>
      <c r="GW83" s="662"/>
      <c r="GX83" s="662"/>
      <c r="GY83" s="662"/>
      <c r="GZ83" s="662"/>
      <c r="HA83" s="662"/>
      <c r="HB83" s="662"/>
      <c r="HC83" s="662"/>
      <c r="HD83" s="662"/>
      <c r="HE83" s="662"/>
      <c r="HF83" s="662"/>
      <c r="HG83" s="662"/>
      <c r="HH83" s="662"/>
      <c r="HI83" s="662"/>
      <c r="HJ83" s="662"/>
      <c r="HK83" s="662"/>
      <c r="HL83" s="662"/>
      <c r="HM83" s="662"/>
      <c r="HN83" s="662"/>
      <c r="HO83" s="662"/>
      <c r="HP83" s="662"/>
      <c r="HQ83" s="662"/>
      <c r="HR83" s="662"/>
      <c r="HS83" s="662"/>
      <c r="HT83" s="662"/>
      <c r="HU83" s="662"/>
      <c r="HV83" s="662"/>
      <c r="HW83" s="662"/>
      <c r="HX83" s="662"/>
      <c r="HY83" s="662"/>
      <c r="HZ83" s="662"/>
      <c r="IA83" s="662"/>
      <c r="IB83" s="662"/>
      <c r="IC83" s="662"/>
      <c r="ID83" s="662"/>
      <c r="IE83" s="662"/>
      <c r="IF83" s="662"/>
      <c r="IG83" s="662"/>
      <c r="IH83" s="662"/>
      <c r="II83" s="662"/>
      <c r="IJ83" s="662"/>
      <c r="IK83" s="662"/>
      <c r="IL83" s="662"/>
      <c r="IM83" s="662"/>
      <c r="IN83" s="662"/>
      <c r="IO83" s="662"/>
      <c r="IP83" s="662"/>
      <c r="IQ83" s="662"/>
      <c r="IR83" s="662"/>
      <c r="IS83" s="662"/>
      <c r="IT83" s="662"/>
      <c r="IU83" s="662"/>
      <c r="IV83" s="662"/>
      <c r="IW83" s="662"/>
      <c r="IX83" s="662"/>
    </row>
    <row r="84" spans="1:258" s="719" customFormat="1" x14ac:dyDescent="0.2">
      <c r="A84" s="716"/>
      <c r="B84" s="717"/>
      <c r="C84" s="1365"/>
      <c r="D84" s="718"/>
      <c r="E84" s="1366"/>
      <c r="F84" s="1366"/>
      <c r="G84" s="1367" t="s">
        <v>1700</v>
      </c>
      <c r="H84" s="1368">
        <v>0.8</v>
      </c>
      <c r="I84" s="1369" t="s">
        <v>424</v>
      </c>
      <c r="J84" s="1369">
        <f>J83</f>
        <v>2.1</v>
      </c>
      <c r="K84" s="1369" t="s">
        <v>424</v>
      </c>
      <c r="L84" s="1369">
        <v>9</v>
      </c>
      <c r="M84" s="1369"/>
      <c r="N84" s="1369"/>
      <c r="O84" s="1369"/>
      <c r="P84" s="1369"/>
      <c r="Q84" s="1369" t="s">
        <v>696</v>
      </c>
      <c r="R84" s="1370">
        <f t="shared" si="28"/>
        <v>15.120000000000001</v>
      </c>
      <c r="S84" s="1371"/>
      <c r="T84" s="723"/>
      <c r="U84" s="662"/>
      <c r="V84" s="685"/>
      <c r="W84" s="662"/>
      <c r="X84" s="662"/>
      <c r="Y84" s="662"/>
      <c r="Z84" s="662"/>
      <c r="AA84" s="662"/>
      <c r="AB84" s="662"/>
      <c r="AC84" s="662"/>
      <c r="AD84" s="662"/>
      <c r="AE84" s="662"/>
      <c r="AF84" s="662"/>
      <c r="AG84" s="662"/>
      <c r="AH84" s="662"/>
      <c r="AI84" s="662"/>
      <c r="AJ84" s="662"/>
      <c r="AK84" s="662"/>
      <c r="AL84" s="662"/>
      <c r="AM84" s="662"/>
      <c r="AN84" s="662"/>
      <c r="AO84" s="662"/>
      <c r="AP84" s="662"/>
      <c r="AQ84" s="662"/>
      <c r="AR84" s="662"/>
      <c r="AS84" s="662"/>
      <c r="AT84" s="662"/>
      <c r="AU84" s="662"/>
      <c r="AV84" s="662"/>
      <c r="AW84" s="662"/>
      <c r="AX84" s="662"/>
      <c r="AY84" s="662"/>
      <c r="AZ84" s="662"/>
      <c r="BA84" s="662"/>
      <c r="BB84" s="662"/>
      <c r="BC84" s="662"/>
      <c r="BD84" s="662"/>
      <c r="BE84" s="662"/>
      <c r="BF84" s="662"/>
      <c r="BG84" s="662"/>
      <c r="BH84" s="662"/>
      <c r="BI84" s="662"/>
      <c r="BJ84" s="662"/>
      <c r="BK84" s="662"/>
      <c r="BL84" s="662"/>
      <c r="BM84" s="662"/>
      <c r="BN84" s="662"/>
      <c r="BO84" s="662"/>
      <c r="BP84" s="662"/>
      <c r="BQ84" s="662"/>
      <c r="BR84" s="662"/>
      <c r="BS84" s="662"/>
      <c r="BT84" s="662"/>
      <c r="BU84" s="662"/>
      <c r="BV84" s="662"/>
      <c r="BW84" s="662"/>
      <c r="BX84" s="662"/>
      <c r="BY84" s="662"/>
      <c r="BZ84" s="662"/>
      <c r="CA84" s="662"/>
      <c r="CB84" s="662"/>
      <c r="CC84" s="662"/>
      <c r="CD84" s="662"/>
      <c r="CE84" s="662"/>
      <c r="CF84" s="662"/>
      <c r="CG84" s="662"/>
      <c r="CH84" s="662"/>
      <c r="CI84" s="662"/>
      <c r="CJ84" s="662"/>
      <c r="CK84" s="662"/>
      <c r="CL84" s="662"/>
      <c r="CM84" s="662"/>
      <c r="CN84" s="662"/>
      <c r="CO84" s="662"/>
      <c r="CP84" s="662"/>
      <c r="CQ84" s="662"/>
      <c r="CR84" s="662"/>
      <c r="CS84" s="662"/>
      <c r="CT84" s="662"/>
      <c r="CU84" s="662"/>
      <c r="CV84" s="662"/>
      <c r="CW84" s="662"/>
      <c r="CX84" s="662"/>
      <c r="CY84" s="662"/>
      <c r="CZ84" s="662"/>
      <c r="DA84" s="662"/>
      <c r="DB84" s="662"/>
      <c r="DC84" s="662"/>
      <c r="DD84" s="662"/>
      <c r="DE84" s="662"/>
      <c r="DF84" s="662"/>
      <c r="DG84" s="662"/>
      <c r="DH84" s="662"/>
      <c r="DI84" s="662"/>
      <c r="DJ84" s="662"/>
      <c r="DK84" s="662"/>
      <c r="DL84" s="662"/>
      <c r="DM84" s="662"/>
      <c r="DN84" s="662"/>
      <c r="DO84" s="662"/>
      <c r="DP84" s="662"/>
      <c r="DQ84" s="662"/>
      <c r="DR84" s="662"/>
      <c r="DS84" s="662"/>
      <c r="DT84" s="662"/>
      <c r="DU84" s="662"/>
      <c r="DV84" s="662"/>
      <c r="DW84" s="662"/>
      <c r="DX84" s="662"/>
      <c r="DY84" s="662"/>
      <c r="DZ84" s="662"/>
      <c r="EA84" s="662"/>
      <c r="EB84" s="662"/>
      <c r="EC84" s="662"/>
      <c r="ED84" s="662"/>
      <c r="EE84" s="662"/>
      <c r="EF84" s="662"/>
      <c r="EG84" s="662"/>
      <c r="EH84" s="662"/>
      <c r="EI84" s="662"/>
      <c r="EJ84" s="662"/>
      <c r="EK84" s="662"/>
      <c r="EL84" s="662"/>
      <c r="EM84" s="662"/>
      <c r="EN84" s="662"/>
      <c r="EO84" s="662"/>
      <c r="EP84" s="662"/>
      <c r="EQ84" s="662"/>
      <c r="ER84" s="662"/>
      <c r="ES84" s="662"/>
      <c r="ET84" s="662"/>
      <c r="EU84" s="662"/>
      <c r="EV84" s="662"/>
      <c r="EW84" s="662"/>
      <c r="EX84" s="662"/>
      <c r="EY84" s="662"/>
      <c r="EZ84" s="662"/>
      <c r="FA84" s="662"/>
      <c r="FB84" s="662"/>
      <c r="FC84" s="662"/>
      <c r="FD84" s="662"/>
      <c r="FE84" s="662"/>
      <c r="FF84" s="662"/>
      <c r="FG84" s="662"/>
      <c r="FH84" s="662"/>
      <c r="FI84" s="662"/>
      <c r="FJ84" s="662"/>
      <c r="FK84" s="662"/>
      <c r="FL84" s="662"/>
      <c r="FM84" s="662"/>
      <c r="FN84" s="662"/>
      <c r="FO84" s="662"/>
      <c r="FP84" s="662"/>
      <c r="FQ84" s="662"/>
      <c r="FR84" s="662"/>
      <c r="FS84" s="662"/>
      <c r="FT84" s="662"/>
      <c r="FU84" s="662"/>
      <c r="FV84" s="662"/>
      <c r="FW84" s="662"/>
      <c r="FX84" s="662"/>
      <c r="FY84" s="662"/>
      <c r="FZ84" s="662"/>
      <c r="GA84" s="662"/>
      <c r="GB84" s="662"/>
      <c r="GC84" s="662"/>
      <c r="GD84" s="662"/>
      <c r="GE84" s="662"/>
      <c r="GF84" s="662"/>
      <c r="GG84" s="662"/>
      <c r="GH84" s="662"/>
      <c r="GI84" s="662"/>
      <c r="GJ84" s="662"/>
      <c r="GK84" s="662"/>
      <c r="GL84" s="662"/>
      <c r="GM84" s="662"/>
      <c r="GN84" s="662"/>
      <c r="GO84" s="662"/>
      <c r="GP84" s="662"/>
      <c r="GQ84" s="662"/>
      <c r="GR84" s="662"/>
      <c r="GS84" s="662"/>
      <c r="GT84" s="662"/>
      <c r="GU84" s="662"/>
      <c r="GV84" s="662"/>
      <c r="GW84" s="662"/>
      <c r="GX84" s="662"/>
      <c r="GY84" s="662"/>
      <c r="GZ84" s="662"/>
      <c r="HA84" s="662"/>
      <c r="HB84" s="662"/>
      <c r="HC84" s="662"/>
      <c r="HD84" s="662"/>
      <c r="HE84" s="662"/>
      <c r="HF84" s="662"/>
      <c r="HG84" s="662"/>
      <c r="HH84" s="662"/>
      <c r="HI84" s="662"/>
      <c r="HJ84" s="662"/>
      <c r="HK84" s="662"/>
      <c r="HL84" s="662"/>
      <c r="HM84" s="662"/>
      <c r="HN84" s="662"/>
      <c r="HO84" s="662"/>
      <c r="HP84" s="662"/>
      <c r="HQ84" s="662"/>
      <c r="HR84" s="662"/>
      <c r="HS84" s="662"/>
      <c r="HT84" s="662"/>
      <c r="HU84" s="662"/>
      <c r="HV84" s="662"/>
      <c r="HW84" s="662"/>
      <c r="HX84" s="662"/>
      <c r="HY84" s="662"/>
      <c r="HZ84" s="662"/>
      <c r="IA84" s="662"/>
      <c r="IB84" s="662"/>
      <c r="IC84" s="662"/>
      <c r="ID84" s="662"/>
      <c r="IE84" s="662"/>
      <c r="IF84" s="662"/>
      <c r="IG84" s="662"/>
      <c r="IH84" s="662"/>
      <c r="II84" s="662"/>
      <c r="IJ84" s="662"/>
      <c r="IK84" s="662"/>
      <c r="IL84" s="662"/>
      <c r="IM84" s="662"/>
      <c r="IN84" s="662"/>
      <c r="IO84" s="662"/>
      <c r="IP84" s="662"/>
      <c r="IQ84" s="662"/>
      <c r="IR84" s="662"/>
      <c r="IS84" s="662"/>
      <c r="IT84" s="662"/>
      <c r="IU84" s="662"/>
      <c r="IV84" s="662"/>
      <c r="IW84" s="662"/>
      <c r="IX84" s="662"/>
    </row>
    <row r="85" spans="1:258" s="719" customFormat="1" x14ac:dyDescent="0.2">
      <c r="A85" s="716"/>
      <c r="B85" s="717"/>
      <c r="C85" s="1399"/>
      <c r="D85" s="718"/>
      <c r="E85" s="1400"/>
      <c r="F85" s="1400"/>
      <c r="G85" s="1367" t="s">
        <v>1736</v>
      </c>
      <c r="H85" s="1368">
        <v>0.9</v>
      </c>
      <c r="I85" s="1369" t="s">
        <v>424</v>
      </c>
      <c r="J85" s="1369">
        <f>J84</f>
        <v>2.1</v>
      </c>
      <c r="K85" s="1369" t="s">
        <v>424</v>
      </c>
      <c r="L85" s="1369">
        <v>6</v>
      </c>
      <c r="M85" s="1369"/>
      <c r="N85" s="1369"/>
      <c r="O85" s="1369"/>
      <c r="P85" s="1369"/>
      <c r="Q85" s="1369" t="s">
        <v>696</v>
      </c>
      <c r="R85" s="1370">
        <f t="shared" ref="R85" si="29">H85*J85*L85</f>
        <v>11.34</v>
      </c>
      <c r="S85" s="1405"/>
      <c r="T85" s="1406"/>
      <c r="U85" s="662"/>
      <c r="V85" s="685"/>
      <c r="W85" s="662"/>
      <c r="X85" s="662"/>
      <c r="Y85" s="662"/>
      <c r="Z85" s="662"/>
      <c r="AA85" s="662"/>
      <c r="AB85" s="662"/>
      <c r="AC85" s="662"/>
      <c r="AD85" s="662"/>
      <c r="AE85" s="662"/>
      <c r="AF85" s="662"/>
      <c r="AG85" s="662"/>
      <c r="AH85" s="662"/>
      <c r="AI85" s="662"/>
      <c r="AJ85" s="662"/>
      <c r="AK85" s="662"/>
      <c r="AL85" s="662"/>
      <c r="AM85" s="662"/>
      <c r="AN85" s="662"/>
      <c r="AO85" s="662"/>
      <c r="AP85" s="662"/>
      <c r="AQ85" s="662"/>
      <c r="AR85" s="662"/>
      <c r="AS85" s="662"/>
      <c r="AT85" s="662"/>
      <c r="AU85" s="662"/>
      <c r="AV85" s="662"/>
      <c r="AW85" s="662"/>
      <c r="AX85" s="662"/>
      <c r="AY85" s="662"/>
      <c r="AZ85" s="662"/>
      <c r="BA85" s="662"/>
      <c r="BB85" s="662"/>
      <c r="BC85" s="662"/>
      <c r="BD85" s="662"/>
      <c r="BE85" s="662"/>
      <c r="BF85" s="662"/>
      <c r="BG85" s="662"/>
      <c r="BH85" s="662"/>
      <c r="BI85" s="662"/>
      <c r="BJ85" s="662"/>
      <c r="BK85" s="662"/>
      <c r="BL85" s="662"/>
      <c r="BM85" s="662"/>
      <c r="BN85" s="662"/>
      <c r="BO85" s="662"/>
      <c r="BP85" s="662"/>
      <c r="BQ85" s="662"/>
      <c r="BR85" s="662"/>
      <c r="BS85" s="662"/>
      <c r="BT85" s="662"/>
      <c r="BU85" s="662"/>
      <c r="BV85" s="662"/>
      <c r="BW85" s="662"/>
      <c r="BX85" s="662"/>
      <c r="BY85" s="662"/>
      <c r="BZ85" s="662"/>
      <c r="CA85" s="662"/>
      <c r="CB85" s="662"/>
      <c r="CC85" s="662"/>
      <c r="CD85" s="662"/>
      <c r="CE85" s="662"/>
      <c r="CF85" s="662"/>
      <c r="CG85" s="662"/>
      <c r="CH85" s="662"/>
      <c r="CI85" s="662"/>
      <c r="CJ85" s="662"/>
      <c r="CK85" s="662"/>
      <c r="CL85" s="662"/>
      <c r="CM85" s="662"/>
      <c r="CN85" s="662"/>
      <c r="CO85" s="662"/>
      <c r="CP85" s="662"/>
      <c r="CQ85" s="662"/>
      <c r="CR85" s="662"/>
      <c r="CS85" s="662"/>
      <c r="CT85" s="662"/>
      <c r="CU85" s="662"/>
      <c r="CV85" s="662"/>
      <c r="CW85" s="662"/>
      <c r="CX85" s="662"/>
      <c r="CY85" s="662"/>
      <c r="CZ85" s="662"/>
      <c r="DA85" s="662"/>
      <c r="DB85" s="662"/>
      <c r="DC85" s="662"/>
      <c r="DD85" s="662"/>
      <c r="DE85" s="662"/>
      <c r="DF85" s="662"/>
      <c r="DG85" s="662"/>
      <c r="DH85" s="662"/>
      <c r="DI85" s="662"/>
      <c r="DJ85" s="662"/>
      <c r="DK85" s="662"/>
      <c r="DL85" s="662"/>
      <c r="DM85" s="662"/>
      <c r="DN85" s="662"/>
      <c r="DO85" s="662"/>
      <c r="DP85" s="662"/>
      <c r="DQ85" s="662"/>
      <c r="DR85" s="662"/>
      <c r="DS85" s="662"/>
      <c r="DT85" s="662"/>
      <c r="DU85" s="662"/>
      <c r="DV85" s="662"/>
      <c r="DW85" s="662"/>
      <c r="DX85" s="662"/>
      <c r="DY85" s="662"/>
      <c r="DZ85" s="662"/>
      <c r="EA85" s="662"/>
      <c r="EB85" s="662"/>
      <c r="EC85" s="662"/>
      <c r="ED85" s="662"/>
      <c r="EE85" s="662"/>
      <c r="EF85" s="662"/>
      <c r="EG85" s="662"/>
      <c r="EH85" s="662"/>
      <c r="EI85" s="662"/>
      <c r="EJ85" s="662"/>
      <c r="EK85" s="662"/>
      <c r="EL85" s="662"/>
      <c r="EM85" s="662"/>
      <c r="EN85" s="662"/>
      <c r="EO85" s="662"/>
      <c r="EP85" s="662"/>
      <c r="EQ85" s="662"/>
      <c r="ER85" s="662"/>
      <c r="ES85" s="662"/>
      <c r="ET85" s="662"/>
      <c r="EU85" s="662"/>
      <c r="EV85" s="662"/>
      <c r="EW85" s="662"/>
      <c r="EX85" s="662"/>
      <c r="EY85" s="662"/>
      <c r="EZ85" s="662"/>
      <c r="FA85" s="662"/>
      <c r="FB85" s="662"/>
      <c r="FC85" s="662"/>
      <c r="FD85" s="662"/>
      <c r="FE85" s="662"/>
      <c r="FF85" s="662"/>
      <c r="FG85" s="662"/>
      <c r="FH85" s="662"/>
      <c r="FI85" s="662"/>
      <c r="FJ85" s="662"/>
      <c r="FK85" s="662"/>
      <c r="FL85" s="662"/>
      <c r="FM85" s="662"/>
      <c r="FN85" s="662"/>
      <c r="FO85" s="662"/>
      <c r="FP85" s="662"/>
      <c r="FQ85" s="662"/>
      <c r="FR85" s="662"/>
      <c r="FS85" s="662"/>
      <c r="FT85" s="662"/>
      <c r="FU85" s="662"/>
      <c r="FV85" s="662"/>
      <c r="FW85" s="662"/>
      <c r="FX85" s="662"/>
      <c r="FY85" s="662"/>
      <c r="FZ85" s="662"/>
      <c r="GA85" s="662"/>
      <c r="GB85" s="662"/>
      <c r="GC85" s="662"/>
      <c r="GD85" s="662"/>
      <c r="GE85" s="662"/>
      <c r="GF85" s="662"/>
      <c r="GG85" s="662"/>
      <c r="GH85" s="662"/>
      <c r="GI85" s="662"/>
      <c r="GJ85" s="662"/>
      <c r="GK85" s="662"/>
      <c r="GL85" s="662"/>
      <c r="GM85" s="662"/>
      <c r="GN85" s="662"/>
      <c r="GO85" s="662"/>
      <c r="GP85" s="662"/>
      <c r="GQ85" s="662"/>
      <c r="GR85" s="662"/>
      <c r="GS85" s="662"/>
      <c r="GT85" s="662"/>
      <c r="GU85" s="662"/>
      <c r="GV85" s="662"/>
      <c r="GW85" s="662"/>
      <c r="GX85" s="662"/>
      <c r="GY85" s="662"/>
      <c r="GZ85" s="662"/>
      <c r="HA85" s="662"/>
      <c r="HB85" s="662"/>
      <c r="HC85" s="662"/>
      <c r="HD85" s="662"/>
      <c r="HE85" s="662"/>
      <c r="HF85" s="662"/>
      <c r="HG85" s="662"/>
      <c r="HH85" s="662"/>
      <c r="HI85" s="662"/>
      <c r="HJ85" s="662"/>
      <c r="HK85" s="662"/>
      <c r="HL85" s="662"/>
      <c r="HM85" s="662"/>
      <c r="HN85" s="662"/>
      <c r="HO85" s="662"/>
      <c r="HP85" s="662"/>
      <c r="HQ85" s="662"/>
      <c r="HR85" s="662"/>
      <c r="HS85" s="662"/>
      <c r="HT85" s="662"/>
      <c r="HU85" s="662"/>
      <c r="HV85" s="662"/>
      <c r="HW85" s="662"/>
      <c r="HX85" s="662"/>
      <c r="HY85" s="662"/>
      <c r="HZ85" s="662"/>
      <c r="IA85" s="662"/>
      <c r="IB85" s="662"/>
      <c r="IC85" s="662"/>
      <c r="ID85" s="662"/>
      <c r="IE85" s="662"/>
      <c r="IF85" s="662"/>
      <c r="IG85" s="662"/>
      <c r="IH85" s="662"/>
      <c r="II85" s="662"/>
      <c r="IJ85" s="662"/>
      <c r="IK85" s="662"/>
      <c r="IL85" s="662"/>
      <c r="IM85" s="662"/>
      <c r="IN85" s="662"/>
      <c r="IO85" s="662"/>
      <c r="IP85" s="662"/>
      <c r="IQ85" s="662"/>
      <c r="IR85" s="662"/>
      <c r="IS85" s="662"/>
      <c r="IT85" s="662"/>
      <c r="IU85" s="662"/>
      <c r="IV85" s="662"/>
      <c r="IW85" s="662"/>
      <c r="IX85" s="662"/>
    </row>
    <row r="86" spans="1:258" s="719" customFormat="1" x14ac:dyDescent="0.2">
      <c r="A86" s="716"/>
      <c r="B86" s="717"/>
      <c r="C86" s="1365"/>
      <c r="D86" s="718"/>
      <c r="E86" s="1366"/>
      <c r="F86" s="1366"/>
      <c r="G86" s="1367" t="s">
        <v>1660</v>
      </c>
      <c r="H86" s="1368">
        <v>1.95</v>
      </c>
      <c r="I86" s="1369" t="s">
        <v>424</v>
      </c>
      <c r="J86" s="1369">
        <v>2.4500000000000002</v>
      </c>
      <c r="K86" s="1369" t="s">
        <v>424</v>
      </c>
      <c r="L86" s="1369">
        <v>1</v>
      </c>
      <c r="M86" s="1369"/>
      <c r="N86" s="1369"/>
      <c r="O86" s="1369"/>
      <c r="P86" s="1369"/>
      <c r="Q86" s="1369" t="s">
        <v>696</v>
      </c>
      <c r="R86" s="1370">
        <f t="shared" ref="R86" si="30">H86*J86*L86</f>
        <v>4.7774999999999999</v>
      </c>
      <c r="S86" s="1371"/>
      <c r="T86" s="723"/>
      <c r="U86" s="662"/>
      <c r="V86" s="685"/>
      <c r="W86" s="662"/>
      <c r="X86" s="662"/>
      <c r="Y86" s="662"/>
      <c r="Z86" s="662"/>
      <c r="AA86" s="662"/>
      <c r="AB86" s="662"/>
      <c r="AC86" s="662"/>
      <c r="AD86" s="662"/>
      <c r="AE86" s="662"/>
      <c r="AF86" s="662"/>
      <c r="AG86" s="662"/>
      <c r="AH86" s="662"/>
      <c r="AI86" s="662"/>
      <c r="AJ86" s="662"/>
      <c r="AK86" s="662"/>
      <c r="AL86" s="662"/>
      <c r="AM86" s="662"/>
      <c r="AN86" s="662"/>
      <c r="AO86" s="662"/>
      <c r="AP86" s="662"/>
      <c r="AQ86" s="662"/>
      <c r="AR86" s="662"/>
      <c r="AS86" s="662"/>
      <c r="AT86" s="662"/>
      <c r="AU86" s="662"/>
      <c r="AV86" s="662"/>
      <c r="AW86" s="662"/>
      <c r="AX86" s="662"/>
      <c r="AY86" s="662"/>
      <c r="AZ86" s="662"/>
      <c r="BA86" s="662"/>
      <c r="BB86" s="662"/>
      <c r="BC86" s="662"/>
      <c r="BD86" s="662"/>
      <c r="BE86" s="662"/>
      <c r="BF86" s="662"/>
      <c r="BG86" s="662"/>
      <c r="BH86" s="662"/>
      <c r="BI86" s="662"/>
      <c r="BJ86" s="662"/>
      <c r="BK86" s="662"/>
      <c r="BL86" s="662"/>
      <c r="BM86" s="662"/>
      <c r="BN86" s="662"/>
      <c r="BO86" s="662"/>
      <c r="BP86" s="662"/>
      <c r="BQ86" s="662"/>
      <c r="BR86" s="662"/>
      <c r="BS86" s="662"/>
      <c r="BT86" s="662"/>
      <c r="BU86" s="662"/>
      <c r="BV86" s="662"/>
      <c r="BW86" s="662"/>
      <c r="BX86" s="662"/>
      <c r="BY86" s="662"/>
      <c r="BZ86" s="662"/>
      <c r="CA86" s="662"/>
      <c r="CB86" s="662"/>
      <c r="CC86" s="662"/>
      <c r="CD86" s="662"/>
      <c r="CE86" s="662"/>
      <c r="CF86" s="662"/>
      <c r="CG86" s="662"/>
      <c r="CH86" s="662"/>
      <c r="CI86" s="662"/>
      <c r="CJ86" s="662"/>
      <c r="CK86" s="662"/>
      <c r="CL86" s="662"/>
      <c r="CM86" s="662"/>
      <c r="CN86" s="662"/>
      <c r="CO86" s="662"/>
      <c r="CP86" s="662"/>
      <c r="CQ86" s="662"/>
      <c r="CR86" s="662"/>
      <c r="CS86" s="662"/>
      <c r="CT86" s="662"/>
      <c r="CU86" s="662"/>
      <c r="CV86" s="662"/>
      <c r="CW86" s="662"/>
      <c r="CX86" s="662"/>
      <c r="CY86" s="662"/>
      <c r="CZ86" s="662"/>
      <c r="DA86" s="662"/>
      <c r="DB86" s="662"/>
      <c r="DC86" s="662"/>
      <c r="DD86" s="662"/>
      <c r="DE86" s="662"/>
      <c r="DF86" s="662"/>
      <c r="DG86" s="662"/>
      <c r="DH86" s="662"/>
      <c r="DI86" s="662"/>
      <c r="DJ86" s="662"/>
      <c r="DK86" s="662"/>
      <c r="DL86" s="662"/>
      <c r="DM86" s="662"/>
      <c r="DN86" s="662"/>
      <c r="DO86" s="662"/>
      <c r="DP86" s="662"/>
      <c r="DQ86" s="662"/>
      <c r="DR86" s="662"/>
      <c r="DS86" s="662"/>
      <c r="DT86" s="662"/>
      <c r="DU86" s="662"/>
      <c r="DV86" s="662"/>
      <c r="DW86" s="662"/>
      <c r="DX86" s="662"/>
      <c r="DY86" s="662"/>
      <c r="DZ86" s="662"/>
      <c r="EA86" s="662"/>
      <c r="EB86" s="662"/>
      <c r="EC86" s="662"/>
      <c r="ED86" s="662"/>
      <c r="EE86" s="662"/>
      <c r="EF86" s="662"/>
      <c r="EG86" s="662"/>
      <c r="EH86" s="662"/>
      <c r="EI86" s="662"/>
      <c r="EJ86" s="662"/>
      <c r="EK86" s="662"/>
      <c r="EL86" s="662"/>
      <c r="EM86" s="662"/>
      <c r="EN86" s="662"/>
      <c r="EO86" s="662"/>
      <c r="EP86" s="662"/>
      <c r="EQ86" s="662"/>
      <c r="ER86" s="662"/>
      <c r="ES86" s="662"/>
      <c r="ET86" s="662"/>
      <c r="EU86" s="662"/>
      <c r="EV86" s="662"/>
      <c r="EW86" s="662"/>
      <c r="EX86" s="662"/>
      <c r="EY86" s="662"/>
      <c r="EZ86" s="662"/>
      <c r="FA86" s="662"/>
      <c r="FB86" s="662"/>
      <c r="FC86" s="662"/>
      <c r="FD86" s="662"/>
      <c r="FE86" s="662"/>
      <c r="FF86" s="662"/>
      <c r="FG86" s="662"/>
      <c r="FH86" s="662"/>
      <c r="FI86" s="662"/>
      <c r="FJ86" s="662"/>
      <c r="FK86" s="662"/>
      <c r="FL86" s="662"/>
      <c r="FM86" s="662"/>
      <c r="FN86" s="662"/>
      <c r="FO86" s="662"/>
      <c r="FP86" s="662"/>
      <c r="FQ86" s="662"/>
      <c r="FR86" s="662"/>
      <c r="FS86" s="662"/>
      <c r="FT86" s="662"/>
      <c r="FU86" s="662"/>
      <c r="FV86" s="662"/>
      <c r="FW86" s="662"/>
      <c r="FX86" s="662"/>
      <c r="FY86" s="662"/>
      <c r="FZ86" s="662"/>
      <c r="GA86" s="662"/>
      <c r="GB86" s="662"/>
      <c r="GC86" s="662"/>
      <c r="GD86" s="662"/>
      <c r="GE86" s="662"/>
      <c r="GF86" s="662"/>
      <c r="GG86" s="662"/>
      <c r="GH86" s="662"/>
      <c r="GI86" s="662"/>
      <c r="GJ86" s="662"/>
      <c r="GK86" s="662"/>
      <c r="GL86" s="662"/>
      <c r="GM86" s="662"/>
      <c r="GN86" s="662"/>
      <c r="GO86" s="662"/>
      <c r="GP86" s="662"/>
      <c r="GQ86" s="662"/>
      <c r="GR86" s="662"/>
      <c r="GS86" s="662"/>
      <c r="GT86" s="662"/>
      <c r="GU86" s="662"/>
      <c r="GV86" s="662"/>
      <c r="GW86" s="662"/>
      <c r="GX86" s="662"/>
      <c r="GY86" s="662"/>
      <c r="GZ86" s="662"/>
      <c r="HA86" s="662"/>
      <c r="HB86" s="662"/>
      <c r="HC86" s="662"/>
      <c r="HD86" s="662"/>
      <c r="HE86" s="662"/>
      <c r="HF86" s="662"/>
      <c r="HG86" s="662"/>
      <c r="HH86" s="662"/>
      <c r="HI86" s="662"/>
      <c r="HJ86" s="662"/>
      <c r="HK86" s="662"/>
      <c r="HL86" s="662"/>
      <c r="HM86" s="662"/>
      <c r="HN86" s="662"/>
      <c r="HO86" s="662"/>
      <c r="HP86" s="662"/>
      <c r="HQ86" s="662"/>
      <c r="HR86" s="662"/>
      <c r="HS86" s="662"/>
      <c r="HT86" s="662"/>
      <c r="HU86" s="662"/>
      <c r="HV86" s="662"/>
      <c r="HW86" s="662"/>
      <c r="HX86" s="662"/>
      <c r="HY86" s="662"/>
      <c r="HZ86" s="662"/>
      <c r="IA86" s="662"/>
      <c r="IB86" s="662"/>
      <c r="IC86" s="662"/>
      <c r="ID86" s="662"/>
      <c r="IE86" s="662"/>
      <c r="IF86" s="662"/>
      <c r="IG86" s="662"/>
      <c r="IH86" s="662"/>
      <c r="II86" s="662"/>
      <c r="IJ86" s="662"/>
      <c r="IK86" s="662"/>
      <c r="IL86" s="662"/>
      <c r="IM86" s="662"/>
      <c r="IN86" s="662"/>
      <c r="IO86" s="662"/>
      <c r="IP86" s="662"/>
      <c r="IQ86" s="662"/>
      <c r="IR86" s="662"/>
      <c r="IS86" s="662"/>
      <c r="IT86" s="662"/>
      <c r="IU86" s="662"/>
      <c r="IV86" s="662"/>
      <c r="IW86" s="662"/>
      <c r="IX86" s="662"/>
    </row>
    <row r="87" spans="1:258" s="719" customFormat="1" x14ac:dyDescent="0.2">
      <c r="A87" s="716"/>
      <c r="B87" s="717"/>
      <c r="C87" s="1365"/>
      <c r="D87" s="718"/>
      <c r="E87" s="1366"/>
      <c r="F87" s="1366"/>
      <c r="G87" s="1367" t="s">
        <v>1661</v>
      </c>
      <c r="H87" s="1368">
        <v>1.25</v>
      </c>
      <c r="I87" s="1369" t="s">
        <v>424</v>
      </c>
      <c r="J87" s="1369">
        <v>1.35</v>
      </c>
      <c r="K87" s="1369" t="s">
        <v>424</v>
      </c>
      <c r="L87" s="1369">
        <v>3</v>
      </c>
      <c r="M87" s="1369"/>
      <c r="N87" s="1369"/>
      <c r="O87" s="1369"/>
      <c r="P87" s="1369"/>
      <c r="Q87" s="1369" t="s">
        <v>696</v>
      </c>
      <c r="R87" s="1370">
        <f t="shared" ref="R87:R88" si="31">H87*J87*L87</f>
        <v>5.0625</v>
      </c>
      <c r="S87" s="1371"/>
      <c r="T87" s="723"/>
      <c r="U87" s="662"/>
      <c r="V87" s="685"/>
      <c r="W87" s="662"/>
      <c r="X87" s="662"/>
      <c r="Y87" s="662"/>
      <c r="Z87" s="662"/>
      <c r="AA87" s="662"/>
      <c r="AB87" s="662"/>
      <c r="AC87" s="662"/>
      <c r="AD87" s="662"/>
      <c r="AE87" s="662"/>
      <c r="AF87" s="662"/>
      <c r="AG87" s="662"/>
      <c r="AH87" s="662"/>
      <c r="AI87" s="662"/>
      <c r="AJ87" s="662"/>
      <c r="AK87" s="662"/>
      <c r="AL87" s="662"/>
      <c r="AM87" s="662"/>
      <c r="AN87" s="662"/>
      <c r="AO87" s="662"/>
      <c r="AP87" s="662"/>
      <c r="AQ87" s="662"/>
      <c r="AR87" s="662"/>
      <c r="AS87" s="662"/>
      <c r="AT87" s="662"/>
      <c r="AU87" s="662"/>
      <c r="AV87" s="662"/>
      <c r="AW87" s="662"/>
      <c r="AX87" s="662"/>
      <c r="AY87" s="662"/>
      <c r="AZ87" s="662"/>
      <c r="BA87" s="662"/>
      <c r="BB87" s="662"/>
      <c r="BC87" s="662"/>
      <c r="BD87" s="662"/>
      <c r="BE87" s="662"/>
      <c r="BF87" s="662"/>
      <c r="BG87" s="662"/>
      <c r="BH87" s="662"/>
      <c r="BI87" s="662"/>
      <c r="BJ87" s="662"/>
      <c r="BK87" s="662"/>
      <c r="BL87" s="662"/>
      <c r="BM87" s="662"/>
      <c r="BN87" s="662"/>
      <c r="BO87" s="662"/>
      <c r="BP87" s="662"/>
      <c r="BQ87" s="662"/>
      <c r="BR87" s="662"/>
      <c r="BS87" s="662"/>
      <c r="BT87" s="662"/>
      <c r="BU87" s="662"/>
      <c r="BV87" s="662"/>
      <c r="BW87" s="662"/>
      <c r="BX87" s="662"/>
      <c r="BY87" s="662"/>
      <c r="BZ87" s="662"/>
      <c r="CA87" s="662"/>
      <c r="CB87" s="662"/>
      <c r="CC87" s="662"/>
      <c r="CD87" s="662"/>
      <c r="CE87" s="662"/>
      <c r="CF87" s="662"/>
      <c r="CG87" s="662"/>
      <c r="CH87" s="662"/>
      <c r="CI87" s="662"/>
      <c r="CJ87" s="662"/>
      <c r="CK87" s="662"/>
      <c r="CL87" s="662"/>
      <c r="CM87" s="662"/>
      <c r="CN87" s="662"/>
      <c r="CO87" s="662"/>
      <c r="CP87" s="662"/>
      <c r="CQ87" s="662"/>
      <c r="CR87" s="662"/>
      <c r="CS87" s="662"/>
      <c r="CT87" s="662"/>
      <c r="CU87" s="662"/>
      <c r="CV87" s="662"/>
      <c r="CW87" s="662"/>
      <c r="CX87" s="662"/>
      <c r="CY87" s="662"/>
      <c r="CZ87" s="662"/>
      <c r="DA87" s="662"/>
      <c r="DB87" s="662"/>
      <c r="DC87" s="662"/>
      <c r="DD87" s="662"/>
      <c r="DE87" s="662"/>
      <c r="DF87" s="662"/>
      <c r="DG87" s="662"/>
      <c r="DH87" s="662"/>
      <c r="DI87" s="662"/>
      <c r="DJ87" s="662"/>
      <c r="DK87" s="662"/>
      <c r="DL87" s="662"/>
      <c r="DM87" s="662"/>
      <c r="DN87" s="662"/>
      <c r="DO87" s="662"/>
      <c r="DP87" s="662"/>
      <c r="DQ87" s="662"/>
      <c r="DR87" s="662"/>
      <c r="DS87" s="662"/>
      <c r="DT87" s="662"/>
      <c r="DU87" s="662"/>
      <c r="DV87" s="662"/>
      <c r="DW87" s="662"/>
      <c r="DX87" s="662"/>
      <c r="DY87" s="662"/>
      <c r="DZ87" s="662"/>
      <c r="EA87" s="662"/>
      <c r="EB87" s="662"/>
      <c r="EC87" s="662"/>
      <c r="ED87" s="662"/>
      <c r="EE87" s="662"/>
      <c r="EF87" s="662"/>
      <c r="EG87" s="662"/>
      <c r="EH87" s="662"/>
      <c r="EI87" s="662"/>
      <c r="EJ87" s="662"/>
      <c r="EK87" s="662"/>
      <c r="EL87" s="662"/>
      <c r="EM87" s="662"/>
      <c r="EN87" s="662"/>
      <c r="EO87" s="662"/>
      <c r="EP87" s="662"/>
      <c r="EQ87" s="662"/>
      <c r="ER87" s="662"/>
      <c r="ES87" s="662"/>
      <c r="ET87" s="662"/>
      <c r="EU87" s="662"/>
      <c r="EV87" s="662"/>
      <c r="EW87" s="662"/>
      <c r="EX87" s="662"/>
      <c r="EY87" s="662"/>
      <c r="EZ87" s="662"/>
      <c r="FA87" s="662"/>
      <c r="FB87" s="662"/>
      <c r="FC87" s="662"/>
      <c r="FD87" s="662"/>
      <c r="FE87" s="662"/>
      <c r="FF87" s="662"/>
      <c r="FG87" s="662"/>
      <c r="FH87" s="662"/>
      <c r="FI87" s="662"/>
      <c r="FJ87" s="662"/>
      <c r="FK87" s="662"/>
      <c r="FL87" s="662"/>
      <c r="FM87" s="662"/>
      <c r="FN87" s="662"/>
      <c r="FO87" s="662"/>
      <c r="FP87" s="662"/>
      <c r="FQ87" s="662"/>
      <c r="FR87" s="662"/>
      <c r="FS87" s="662"/>
      <c r="FT87" s="662"/>
      <c r="FU87" s="662"/>
      <c r="FV87" s="662"/>
      <c r="FW87" s="662"/>
      <c r="FX87" s="662"/>
      <c r="FY87" s="662"/>
      <c r="FZ87" s="662"/>
      <c r="GA87" s="662"/>
      <c r="GB87" s="662"/>
      <c r="GC87" s="662"/>
      <c r="GD87" s="662"/>
      <c r="GE87" s="662"/>
      <c r="GF87" s="662"/>
      <c r="GG87" s="662"/>
      <c r="GH87" s="662"/>
      <c r="GI87" s="662"/>
      <c r="GJ87" s="662"/>
      <c r="GK87" s="662"/>
      <c r="GL87" s="662"/>
      <c r="GM87" s="662"/>
      <c r="GN87" s="662"/>
      <c r="GO87" s="662"/>
      <c r="GP87" s="662"/>
      <c r="GQ87" s="662"/>
      <c r="GR87" s="662"/>
      <c r="GS87" s="662"/>
      <c r="GT87" s="662"/>
      <c r="GU87" s="662"/>
      <c r="GV87" s="662"/>
      <c r="GW87" s="662"/>
      <c r="GX87" s="662"/>
      <c r="GY87" s="662"/>
      <c r="GZ87" s="662"/>
      <c r="HA87" s="662"/>
      <c r="HB87" s="662"/>
      <c r="HC87" s="662"/>
      <c r="HD87" s="662"/>
      <c r="HE87" s="662"/>
      <c r="HF87" s="662"/>
      <c r="HG87" s="662"/>
      <c r="HH87" s="662"/>
      <c r="HI87" s="662"/>
      <c r="HJ87" s="662"/>
      <c r="HK87" s="662"/>
      <c r="HL87" s="662"/>
      <c r="HM87" s="662"/>
      <c r="HN87" s="662"/>
      <c r="HO87" s="662"/>
      <c r="HP87" s="662"/>
      <c r="HQ87" s="662"/>
      <c r="HR87" s="662"/>
      <c r="HS87" s="662"/>
      <c r="HT87" s="662"/>
      <c r="HU87" s="662"/>
      <c r="HV87" s="662"/>
      <c r="HW87" s="662"/>
      <c r="HX87" s="662"/>
      <c r="HY87" s="662"/>
      <c r="HZ87" s="662"/>
      <c r="IA87" s="662"/>
      <c r="IB87" s="662"/>
      <c r="IC87" s="662"/>
      <c r="ID87" s="662"/>
      <c r="IE87" s="662"/>
      <c r="IF87" s="662"/>
      <c r="IG87" s="662"/>
      <c r="IH87" s="662"/>
      <c r="II87" s="662"/>
      <c r="IJ87" s="662"/>
      <c r="IK87" s="662"/>
      <c r="IL87" s="662"/>
      <c r="IM87" s="662"/>
      <c r="IN87" s="662"/>
      <c r="IO87" s="662"/>
      <c r="IP87" s="662"/>
      <c r="IQ87" s="662"/>
      <c r="IR87" s="662"/>
      <c r="IS87" s="662"/>
      <c r="IT87" s="662"/>
      <c r="IU87" s="662"/>
      <c r="IV87" s="662"/>
      <c r="IW87" s="662"/>
      <c r="IX87" s="662"/>
    </row>
    <row r="88" spans="1:258" s="719" customFormat="1" x14ac:dyDescent="0.2">
      <c r="A88" s="716"/>
      <c r="B88" s="717"/>
      <c r="C88" s="1365"/>
      <c r="D88" s="718"/>
      <c r="E88" s="1366"/>
      <c r="F88" s="1366"/>
      <c r="G88" s="1367" t="s">
        <v>1662</v>
      </c>
      <c r="H88" s="1368">
        <v>0.7</v>
      </c>
      <c r="I88" s="1369" t="s">
        <v>424</v>
      </c>
      <c r="J88" s="1369">
        <v>1.35</v>
      </c>
      <c r="K88" s="1369" t="s">
        <v>424</v>
      </c>
      <c r="L88" s="1369">
        <v>12</v>
      </c>
      <c r="M88" s="1369"/>
      <c r="N88" s="1369"/>
      <c r="O88" s="1369"/>
      <c r="P88" s="1369"/>
      <c r="Q88" s="1369" t="s">
        <v>696</v>
      </c>
      <c r="R88" s="1370">
        <f t="shared" si="31"/>
        <v>11.34</v>
      </c>
      <c r="S88" s="1371"/>
      <c r="T88" s="723"/>
      <c r="U88" s="662"/>
      <c r="V88" s="685"/>
      <c r="W88" s="662"/>
      <c r="X88" s="662"/>
      <c r="Y88" s="662"/>
      <c r="Z88" s="662"/>
      <c r="AA88" s="662"/>
      <c r="AB88" s="662"/>
      <c r="AC88" s="662"/>
      <c r="AD88" s="662"/>
      <c r="AE88" s="662"/>
      <c r="AF88" s="662"/>
      <c r="AG88" s="662"/>
      <c r="AH88" s="662"/>
      <c r="AI88" s="662"/>
      <c r="AJ88" s="662"/>
      <c r="AK88" s="662"/>
      <c r="AL88" s="662"/>
      <c r="AM88" s="662"/>
      <c r="AN88" s="662"/>
      <c r="AO88" s="662"/>
      <c r="AP88" s="662"/>
      <c r="AQ88" s="662"/>
      <c r="AR88" s="662"/>
      <c r="AS88" s="662"/>
      <c r="AT88" s="662"/>
      <c r="AU88" s="662"/>
      <c r="AV88" s="662"/>
      <c r="AW88" s="662"/>
      <c r="AX88" s="662"/>
      <c r="AY88" s="662"/>
      <c r="AZ88" s="662"/>
      <c r="BA88" s="662"/>
      <c r="BB88" s="662"/>
      <c r="BC88" s="662"/>
      <c r="BD88" s="662"/>
      <c r="BE88" s="662"/>
      <c r="BF88" s="662"/>
      <c r="BG88" s="662"/>
      <c r="BH88" s="662"/>
      <c r="BI88" s="662"/>
      <c r="BJ88" s="662"/>
      <c r="BK88" s="662"/>
      <c r="BL88" s="662"/>
      <c r="BM88" s="662"/>
      <c r="BN88" s="662"/>
      <c r="BO88" s="662"/>
      <c r="BP88" s="662"/>
      <c r="BQ88" s="662"/>
      <c r="BR88" s="662"/>
      <c r="BS88" s="662"/>
      <c r="BT88" s="662"/>
      <c r="BU88" s="662"/>
      <c r="BV88" s="662"/>
      <c r="BW88" s="662"/>
      <c r="BX88" s="662"/>
      <c r="BY88" s="662"/>
      <c r="BZ88" s="662"/>
      <c r="CA88" s="662"/>
      <c r="CB88" s="662"/>
      <c r="CC88" s="662"/>
      <c r="CD88" s="662"/>
      <c r="CE88" s="662"/>
      <c r="CF88" s="662"/>
      <c r="CG88" s="662"/>
      <c r="CH88" s="662"/>
      <c r="CI88" s="662"/>
      <c r="CJ88" s="662"/>
      <c r="CK88" s="662"/>
      <c r="CL88" s="662"/>
      <c r="CM88" s="662"/>
      <c r="CN88" s="662"/>
      <c r="CO88" s="662"/>
      <c r="CP88" s="662"/>
      <c r="CQ88" s="662"/>
      <c r="CR88" s="662"/>
      <c r="CS88" s="662"/>
      <c r="CT88" s="662"/>
      <c r="CU88" s="662"/>
      <c r="CV88" s="662"/>
      <c r="CW88" s="662"/>
      <c r="CX88" s="662"/>
      <c r="CY88" s="662"/>
      <c r="CZ88" s="662"/>
      <c r="DA88" s="662"/>
      <c r="DB88" s="662"/>
      <c r="DC88" s="662"/>
      <c r="DD88" s="662"/>
      <c r="DE88" s="662"/>
      <c r="DF88" s="662"/>
      <c r="DG88" s="662"/>
      <c r="DH88" s="662"/>
      <c r="DI88" s="662"/>
      <c r="DJ88" s="662"/>
      <c r="DK88" s="662"/>
      <c r="DL88" s="662"/>
      <c r="DM88" s="662"/>
      <c r="DN88" s="662"/>
      <c r="DO88" s="662"/>
      <c r="DP88" s="662"/>
      <c r="DQ88" s="662"/>
      <c r="DR88" s="662"/>
      <c r="DS88" s="662"/>
      <c r="DT88" s="662"/>
      <c r="DU88" s="662"/>
      <c r="DV88" s="662"/>
      <c r="DW88" s="662"/>
      <c r="DX88" s="662"/>
      <c r="DY88" s="662"/>
      <c r="DZ88" s="662"/>
      <c r="EA88" s="662"/>
      <c r="EB88" s="662"/>
      <c r="EC88" s="662"/>
      <c r="ED88" s="662"/>
      <c r="EE88" s="662"/>
      <c r="EF88" s="662"/>
      <c r="EG88" s="662"/>
      <c r="EH88" s="662"/>
      <c r="EI88" s="662"/>
      <c r="EJ88" s="662"/>
      <c r="EK88" s="662"/>
      <c r="EL88" s="662"/>
      <c r="EM88" s="662"/>
      <c r="EN88" s="662"/>
      <c r="EO88" s="662"/>
      <c r="EP88" s="662"/>
      <c r="EQ88" s="662"/>
      <c r="ER88" s="662"/>
      <c r="ES88" s="662"/>
      <c r="ET88" s="662"/>
      <c r="EU88" s="662"/>
      <c r="EV88" s="662"/>
      <c r="EW88" s="662"/>
      <c r="EX88" s="662"/>
      <c r="EY88" s="662"/>
      <c r="EZ88" s="662"/>
      <c r="FA88" s="662"/>
      <c r="FB88" s="662"/>
      <c r="FC88" s="662"/>
      <c r="FD88" s="662"/>
      <c r="FE88" s="662"/>
      <c r="FF88" s="662"/>
      <c r="FG88" s="662"/>
      <c r="FH88" s="662"/>
      <c r="FI88" s="662"/>
      <c r="FJ88" s="662"/>
      <c r="FK88" s="662"/>
      <c r="FL88" s="662"/>
      <c r="FM88" s="662"/>
      <c r="FN88" s="662"/>
      <c r="FO88" s="662"/>
      <c r="FP88" s="662"/>
      <c r="FQ88" s="662"/>
      <c r="FR88" s="662"/>
      <c r="FS88" s="662"/>
      <c r="FT88" s="662"/>
      <c r="FU88" s="662"/>
      <c r="FV88" s="662"/>
      <c r="FW88" s="662"/>
      <c r="FX88" s="662"/>
      <c r="FY88" s="662"/>
      <c r="FZ88" s="662"/>
      <c r="GA88" s="662"/>
      <c r="GB88" s="662"/>
      <c r="GC88" s="662"/>
      <c r="GD88" s="662"/>
      <c r="GE88" s="662"/>
      <c r="GF88" s="662"/>
      <c r="GG88" s="662"/>
      <c r="GH88" s="662"/>
      <c r="GI88" s="662"/>
      <c r="GJ88" s="662"/>
      <c r="GK88" s="662"/>
      <c r="GL88" s="662"/>
      <c r="GM88" s="662"/>
      <c r="GN88" s="662"/>
      <c r="GO88" s="662"/>
      <c r="GP88" s="662"/>
      <c r="GQ88" s="662"/>
      <c r="GR88" s="662"/>
      <c r="GS88" s="662"/>
      <c r="GT88" s="662"/>
      <c r="GU88" s="662"/>
      <c r="GV88" s="662"/>
      <c r="GW88" s="662"/>
      <c r="GX88" s="662"/>
      <c r="GY88" s="662"/>
      <c r="GZ88" s="662"/>
      <c r="HA88" s="662"/>
      <c r="HB88" s="662"/>
      <c r="HC88" s="662"/>
      <c r="HD88" s="662"/>
      <c r="HE88" s="662"/>
      <c r="HF88" s="662"/>
      <c r="HG88" s="662"/>
      <c r="HH88" s="662"/>
      <c r="HI88" s="662"/>
      <c r="HJ88" s="662"/>
      <c r="HK88" s="662"/>
      <c r="HL88" s="662"/>
      <c r="HM88" s="662"/>
      <c r="HN88" s="662"/>
      <c r="HO88" s="662"/>
      <c r="HP88" s="662"/>
      <c r="HQ88" s="662"/>
      <c r="HR88" s="662"/>
      <c r="HS88" s="662"/>
      <c r="HT88" s="662"/>
      <c r="HU88" s="662"/>
      <c r="HV88" s="662"/>
      <c r="HW88" s="662"/>
      <c r="HX88" s="662"/>
      <c r="HY88" s="662"/>
      <c r="HZ88" s="662"/>
      <c r="IA88" s="662"/>
      <c r="IB88" s="662"/>
      <c r="IC88" s="662"/>
      <c r="ID88" s="662"/>
      <c r="IE88" s="662"/>
      <c r="IF88" s="662"/>
      <c r="IG88" s="662"/>
      <c r="IH88" s="662"/>
      <c r="II88" s="662"/>
      <c r="IJ88" s="662"/>
      <c r="IK88" s="662"/>
      <c r="IL88" s="662"/>
      <c r="IM88" s="662"/>
      <c r="IN88" s="662"/>
      <c r="IO88" s="662"/>
      <c r="IP88" s="662"/>
      <c r="IQ88" s="662"/>
      <c r="IR88" s="662"/>
      <c r="IS88" s="662"/>
      <c r="IT88" s="662"/>
      <c r="IU88" s="662"/>
      <c r="IV88" s="662"/>
      <c r="IW88" s="662"/>
      <c r="IX88" s="662"/>
    </row>
    <row r="89" spans="1:258" s="719" customFormat="1" x14ac:dyDescent="0.2">
      <c r="A89" s="716"/>
      <c r="B89" s="717"/>
      <c r="C89" s="1365"/>
      <c r="D89" s="718"/>
      <c r="E89" s="1366"/>
      <c r="F89" s="1366"/>
      <c r="G89" s="1367" t="s">
        <v>1702</v>
      </c>
      <c r="H89" s="1368">
        <v>1.85</v>
      </c>
      <c r="I89" s="1369" t="s">
        <v>424</v>
      </c>
      <c r="J89" s="1369">
        <v>0.55000000000000004</v>
      </c>
      <c r="K89" s="1369" t="s">
        <v>424</v>
      </c>
      <c r="L89" s="1369">
        <v>2</v>
      </c>
      <c r="M89" s="1369"/>
      <c r="N89" s="1369"/>
      <c r="O89" s="1369"/>
      <c r="P89" s="1369"/>
      <c r="Q89" s="1369" t="s">
        <v>696</v>
      </c>
      <c r="R89" s="1370">
        <f t="shared" ref="R89" si="32">H89*J89*L89</f>
        <v>2.0350000000000001</v>
      </c>
      <c r="S89" s="1371"/>
      <c r="T89" s="723"/>
      <c r="U89" s="662"/>
      <c r="V89" s="685"/>
      <c r="W89" s="662"/>
      <c r="X89" s="662"/>
      <c r="Y89" s="662"/>
      <c r="Z89" s="662"/>
      <c r="AA89" s="662"/>
      <c r="AB89" s="662"/>
      <c r="AC89" s="662"/>
      <c r="AD89" s="662"/>
      <c r="AE89" s="662"/>
      <c r="AF89" s="662"/>
      <c r="AG89" s="662"/>
      <c r="AH89" s="662"/>
      <c r="AI89" s="662"/>
      <c r="AJ89" s="662"/>
      <c r="AK89" s="662"/>
      <c r="AL89" s="662"/>
      <c r="AM89" s="662"/>
      <c r="AN89" s="662"/>
      <c r="AO89" s="662"/>
      <c r="AP89" s="662"/>
      <c r="AQ89" s="662"/>
      <c r="AR89" s="662"/>
      <c r="AS89" s="662"/>
      <c r="AT89" s="662"/>
      <c r="AU89" s="662"/>
      <c r="AV89" s="662"/>
      <c r="AW89" s="662"/>
      <c r="AX89" s="662"/>
      <c r="AY89" s="662"/>
      <c r="AZ89" s="662"/>
      <c r="BA89" s="662"/>
      <c r="BB89" s="662"/>
      <c r="BC89" s="662"/>
      <c r="BD89" s="662"/>
      <c r="BE89" s="662"/>
      <c r="BF89" s="662"/>
      <c r="BG89" s="662"/>
      <c r="BH89" s="662"/>
      <c r="BI89" s="662"/>
      <c r="BJ89" s="662"/>
      <c r="BK89" s="662"/>
      <c r="BL89" s="662"/>
      <c r="BM89" s="662"/>
      <c r="BN89" s="662"/>
      <c r="BO89" s="662"/>
      <c r="BP89" s="662"/>
      <c r="BQ89" s="662"/>
      <c r="BR89" s="662"/>
      <c r="BS89" s="662"/>
      <c r="BT89" s="662"/>
      <c r="BU89" s="662"/>
      <c r="BV89" s="662"/>
      <c r="BW89" s="662"/>
      <c r="BX89" s="662"/>
      <c r="BY89" s="662"/>
      <c r="BZ89" s="662"/>
      <c r="CA89" s="662"/>
      <c r="CB89" s="662"/>
      <c r="CC89" s="662"/>
      <c r="CD89" s="662"/>
      <c r="CE89" s="662"/>
      <c r="CF89" s="662"/>
      <c r="CG89" s="662"/>
      <c r="CH89" s="662"/>
      <c r="CI89" s="662"/>
      <c r="CJ89" s="662"/>
      <c r="CK89" s="662"/>
      <c r="CL89" s="662"/>
      <c r="CM89" s="662"/>
      <c r="CN89" s="662"/>
      <c r="CO89" s="662"/>
      <c r="CP89" s="662"/>
      <c r="CQ89" s="662"/>
      <c r="CR89" s="662"/>
      <c r="CS89" s="662"/>
      <c r="CT89" s="662"/>
      <c r="CU89" s="662"/>
      <c r="CV89" s="662"/>
      <c r="CW89" s="662"/>
      <c r="CX89" s="662"/>
      <c r="CY89" s="662"/>
      <c r="CZ89" s="662"/>
      <c r="DA89" s="662"/>
      <c r="DB89" s="662"/>
      <c r="DC89" s="662"/>
      <c r="DD89" s="662"/>
      <c r="DE89" s="662"/>
      <c r="DF89" s="662"/>
      <c r="DG89" s="662"/>
      <c r="DH89" s="662"/>
      <c r="DI89" s="662"/>
      <c r="DJ89" s="662"/>
      <c r="DK89" s="662"/>
      <c r="DL89" s="662"/>
      <c r="DM89" s="662"/>
      <c r="DN89" s="662"/>
      <c r="DO89" s="662"/>
      <c r="DP89" s="662"/>
      <c r="DQ89" s="662"/>
      <c r="DR89" s="662"/>
      <c r="DS89" s="662"/>
      <c r="DT89" s="662"/>
      <c r="DU89" s="662"/>
      <c r="DV89" s="662"/>
      <c r="DW89" s="662"/>
      <c r="DX89" s="662"/>
      <c r="DY89" s="662"/>
      <c r="DZ89" s="662"/>
      <c r="EA89" s="662"/>
      <c r="EB89" s="662"/>
      <c r="EC89" s="662"/>
      <c r="ED89" s="662"/>
      <c r="EE89" s="662"/>
      <c r="EF89" s="662"/>
      <c r="EG89" s="662"/>
      <c r="EH89" s="662"/>
      <c r="EI89" s="662"/>
      <c r="EJ89" s="662"/>
      <c r="EK89" s="662"/>
      <c r="EL89" s="662"/>
      <c r="EM89" s="662"/>
      <c r="EN89" s="662"/>
      <c r="EO89" s="662"/>
      <c r="EP89" s="662"/>
      <c r="EQ89" s="662"/>
      <c r="ER89" s="662"/>
      <c r="ES89" s="662"/>
      <c r="ET89" s="662"/>
      <c r="EU89" s="662"/>
      <c r="EV89" s="662"/>
      <c r="EW89" s="662"/>
      <c r="EX89" s="662"/>
      <c r="EY89" s="662"/>
      <c r="EZ89" s="662"/>
      <c r="FA89" s="662"/>
      <c r="FB89" s="662"/>
      <c r="FC89" s="662"/>
      <c r="FD89" s="662"/>
      <c r="FE89" s="662"/>
      <c r="FF89" s="662"/>
      <c r="FG89" s="662"/>
      <c r="FH89" s="662"/>
      <c r="FI89" s="662"/>
      <c r="FJ89" s="662"/>
      <c r="FK89" s="662"/>
      <c r="FL89" s="662"/>
      <c r="FM89" s="662"/>
      <c r="FN89" s="662"/>
      <c r="FO89" s="662"/>
      <c r="FP89" s="662"/>
      <c r="FQ89" s="662"/>
      <c r="FR89" s="662"/>
      <c r="FS89" s="662"/>
      <c r="FT89" s="662"/>
      <c r="FU89" s="662"/>
      <c r="FV89" s="662"/>
      <c r="FW89" s="662"/>
      <c r="FX89" s="662"/>
      <c r="FY89" s="662"/>
      <c r="FZ89" s="662"/>
      <c r="GA89" s="662"/>
      <c r="GB89" s="662"/>
      <c r="GC89" s="662"/>
      <c r="GD89" s="662"/>
      <c r="GE89" s="662"/>
      <c r="GF89" s="662"/>
      <c r="GG89" s="662"/>
      <c r="GH89" s="662"/>
      <c r="GI89" s="662"/>
      <c r="GJ89" s="662"/>
      <c r="GK89" s="662"/>
      <c r="GL89" s="662"/>
      <c r="GM89" s="662"/>
      <c r="GN89" s="662"/>
      <c r="GO89" s="662"/>
      <c r="GP89" s="662"/>
      <c r="GQ89" s="662"/>
      <c r="GR89" s="662"/>
      <c r="GS89" s="662"/>
      <c r="GT89" s="662"/>
      <c r="GU89" s="662"/>
      <c r="GV89" s="662"/>
      <c r="GW89" s="662"/>
      <c r="GX89" s="662"/>
      <c r="GY89" s="662"/>
      <c r="GZ89" s="662"/>
      <c r="HA89" s="662"/>
      <c r="HB89" s="662"/>
      <c r="HC89" s="662"/>
      <c r="HD89" s="662"/>
      <c r="HE89" s="662"/>
      <c r="HF89" s="662"/>
      <c r="HG89" s="662"/>
      <c r="HH89" s="662"/>
      <c r="HI89" s="662"/>
      <c r="HJ89" s="662"/>
      <c r="HK89" s="662"/>
      <c r="HL89" s="662"/>
      <c r="HM89" s="662"/>
      <c r="HN89" s="662"/>
      <c r="HO89" s="662"/>
      <c r="HP89" s="662"/>
      <c r="HQ89" s="662"/>
      <c r="HR89" s="662"/>
      <c r="HS89" s="662"/>
      <c r="HT89" s="662"/>
      <c r="HU89" s="662"/>
      <c r="HV89" s="662"/>
      <c r="HW89" s="662"/>
      <c r="HX89" s="662"/>
      <c r="HY89" s="662"/>
      <c r="HZ89" s="662"/>
      <c r="IA89" s="662"/>
      <c r="IB89" s="662"/>
      <c r="IC89" s="662"/>
      <c r="ID89" s="662"/>
      <c r="IE89" s="662"/>
      <c r="IF89" s="662"/>
      <c r="IG89" s="662"/>
      <c r="IH89" s="662"/>
      <c r="II89" s="662"/>
      <c r="IJ89" s="662"/>
      <c r="IK89" s="662"/>
      <c r="IL89" s="662"/>
      <c r="IM89" s="662"/>
      <c r="IN89" s="662"/>
      <c r="IO89" s="662"/>
      <c r="IP89" s="662"/>
      <c r="IQ89" s="662"/>
      <c r="IR89" s="662"/>
      <c r="IS89" s="662"/>
      <c r="IT89" s="662"/>
      <c r="IU89" s="662"/>
      <c r="IV89" s="662"/>
      <c r="IW89" s="662"/>
      <c r="IX89" s="662"/>
    </row>
    <row r="90" spans="1:258" s="719" customFormat="1" x14ac:dyDescent="0.2">
      <c r="A90" s="716"/>
      <c r="B90" s="717"/>
      <c r="C90" s="1365"/>
      <c r="D90" s="718"/>
      <c r="E90" s="1366"/>
      <c r="F90" s="1366"/>
      <c r="G90" s="1367" t="s">
        <v>1703</v>
      </c>
      <c r="H90" s="1368">
        <v>0.65</v>
      </c>
      <c r="I90" s="1369" t="s">
        <v>424</v>
      </c>
      <c r="J90" s="1369">
        <v>0.55000000000000004</v>
      </c>
      <c r="K90" s="1369" t="s">
        <v>424</v>
      </c>
      <c r="L90" s="1369">
        <v>10</v>
      </c>
      <c r="M90" s="1369"/>
      <c r="N90" s="1369"/>
      <c r="O90" s="1369"/>
      <c r="P90" s="1369"/>
      <c r="Q90" s="1369" t="s">
        <v>696</v>
      </c>
      <c r="R90" s="1370">
        <f t="shared" ref="R90" si="33">H90*J90*L90</f>
        <v>3.5750000000000002</v>
      </c>
      <c r="S90" s="1371"/>
      <c r="T90" s="723"/>
      <c r="U90" s="662"/>
      <c r="V90" s="685"/>
      <c r="W90" s="662"/>
      <c r="X90" s="662"/>
      <c r="Y90" s="662"/>
      <c r="Z90" s="662"/>
      <c r="AA90" s="662"/>
      <c r="AB90" s="662"/>
      <c r="AC90" s="662"/>
      <c r="AD90" s="662"/>
      <c r="AE90" s="662"/>
      <c r="AF90" s="662"/>
      <c r="AG90" s="662"/>
      <c r="AH90" s="662"/>
      <c r="AI90" s="662"/>
      <c r="AJ90" s="662"/>
      <c r="AK90" s="662"/>
      <c r="AL90" s="662"/>
      <c r="AM90" s="662"/>
      <c r="AN90" s="662"/>
      <c r="AO90" s="662"/>
      <c r="AP90" s="662"/>
      <c r="AQ90" s="662"/>
      <c r="AR90" s="662"/>
      <c r="AS90" s="662"/>
      <c r="AT90" s="662"/>
      <c r="AU90" s="662"/>
      <c r="AV90" s="662"/>
      <c r="AW90" s="662"/>
      <c r="AX90" s="662"/>
      <c r="AY90" s="662"/>
      <c r="AZ90" s="662"/>
      <c r="BA90" s="662"/>
      <c r="BB90" s="662"/>
      <c r="BC90" s="662"/>
      <c r="BD90" s="662"/>
      <c r="BE90" s="662"/>
      <c r="BF90" s="662"/>
      <c r="BG90" s="662"/>
      <c r="BH90" s="662"/>
      <c r="BI90" s="662"/>
      <c r="BJ90" s="662"/>
      <c r="BK90" s="662"/>
      <c r="BL90" s="662"/>
      <c r="BM90" s="662"/>
      <c r="BN90" s="662"/>
      <c r="BO90" s="662"/>
      <c r="BP90" s="662"/>
      <c r="BQ90" s="662"/>
      <c r="BR90" s="662"/>
      <c r="BS90" s="662"/>
      <c r="BT90" s="662"/>
      <c r="BU90" s="662"/>
      <c r="BV90" s="662"/>
      <c r="BW90" s="662"/>
      <c r="BX90" s="662"/>
      <c r="BY90" s="662"/>
      <c r="BZ90" s="662"/>
      <c r="CA90" s="662"/>
      <c r="CB90" s="662"/>
      <c r="CC90" s="662"/>
      <c r="CD90" s="662"/>
      <c r="CE90" s="662"/>
      <c r="CF90" s="662"/>
      <c r="CG90" s="662"/>
      <c r="CH90" s="662"/>
      <c r="CI90" s="662"/>
      <c r="CJ90" s="662"/>
      <c r="CK90" s="662"/>
      <c r="CL90" s="662"/>
      <c r="CM90" s="662"/>
      <c r="CN90" s="662"/>
      <c r="CO90" s="662"/>
      <c r="CP90" s="662"/>
      <c r="CQ90" s="662"/>
      <c r="CR90" s="662"/>
      <c r="CS90" s="662"/>
      <c r="CT90" s="662"/>
      <c r="CU90" s="662"/>
      <c r="CV90" s="662"/>
      <c r="CW90" s="662"/>
      <c r="CX90" s="662"/>
      <c r="CY90" s="662"/>
      <c r="CZ90" s="662"/>
      <c r="DA90" s="662"/>
      <c r="DB90" s="662"/>
      <c r="DC90" s="662"/>
      <c r="DD90" s="662"/>
      <c r="DE90" s="662"/>
      <c r="DF90" s="662"/>
      <c r="DG90" s="662"/>
      <c r="DH90" s="662"/>
      <c r="DI90" s="662"/>
      <c r="DJ90" s="662"/>
      <c r="DK90" s="662"/>
      <c r="DL90" s="662"/>
      <c r="DM90" s="662"/>
      <c r="DN90" s="662"/>
      <c r="DO90" s="662"/>
      <c r="DP90" s="662"/>
      <c r="DQ90" s="662"/>
      <c r="DR90" s="662"/>
      <c r="DS90" s="662"/>
      <c r="DT90" s="662"/>
      <c r="DU90" s="662"/>
      <c r="DV90" s="662"/>
      <c r="DW90" s="662"/>
      <c r="DX90" s="662"/>
      <c r="DY90" s="662"/>
      <c r="DZ90" s="662"/>
      <c r="EA90" s="662"/>
      <c r="EB90" s="662"/>
      <c r="EC90" s="662"/>
      <c r="ED90" s="662"/>
      <c r="EE90" s="662"/>
      <c r="EF90" s="662"/>
      <c r="EG90" s="662"/>
      <c r="EH90" s="662"/>
      <c r="EI90" s="662"/>
      <c r="EJ90" s="662"/>
      <c r="EK90" s="662"/>
      <c r="EL90" s="662"/>
      <c r="EM90" s="662"/>
      <c r="EN90" s="662"/>
      <c r="EO90" s="662"/>
      <c r="EP90" s="662"/>
      <c r="EQ90" s="662"/>
      <c r="ER90" s="662"/>
      <c r="ES90" s="662"/>
      <c r="ET90" s="662"/>
      <c r="EU90" s="662"/>
      <c r="EV90" s="662"/>
      <c r="EW90" s="662"/>
      <c r="EX90" s="662"/>
      <c r="EY90" s="662"/>
      <c r="EZ90" s="662"/>
      <c r="FA90" s="662"/>
      <c r="FB90" s="662"/>
      <c r="FC90" s="662"/>
      <c r="FD90" s="662"/>
      <c r="FE90" s="662"/>
      <c r="FF90" s="662"/>
      <c r="FG90" s="662"/>
      <c r="FH90" s="662"/>
      <c r="FI90" s="662"/>
      <c r="FJ90" s="662"/>
      <c r="FK90" s="662"/>
      <c r="FL90" s="662"/>
      <c r="FM90" s="662"/>
      <c r="FN90" s="662"/>
      <c r="FO90" s="662"/>
      <c r="FP90" s="662"/>
      <c r="FQ90" s="662"/>
      <c r="FR90" s="662"/>
      <c r="FS90" s="662"/>
      <c r="FT90" s="662"/>
      <c r="FU90" s="662"/>
      <c r="FV90" s="662"/>
      <c r="FW90" s="662"/>
      <c r="FX90" s="662"/>
      <c r="FY90" s="662"/>
      <c r="FZ90" s="662"/>
      <c r="GA90" s="662"/>
      <c r="GB90" s="662"/>
      <c r="GC90" s="662"/>
      <c r="GD90" s="662"/>
      <c r="GE90" s="662"/>
      <c r="GF90" s="662"/>
      <c r="GG90" s="662"/>
      <c r="GH90" s="662"/>
      <c r="GI90" s="662"/>
      <c r="GJ90" s="662"/>
      <c r="GK90" s="662"/>
      <c r="GL90" s="662"/>
      <c r="GM90" s="662"/>
      <c r="GN90" s="662"/>
      <c r="GO90" s="662"/>
      <c r="GP90" s="662"/>
      <c r="GQ90" s="662"/>
      <c r="GR90" s="662"/>
      <c r="GS90" s="662"/>
      <c r="GT90" s="662"/>
      <c r="GU90" s="662"/>
      <c r="GV90" s="662"/>
      <c r="GW90" s="662"/>
      <c r="GX90" s="662"/>
      <c r="GY90" s="662"/>
      <c r="GZ90" s="662"/>
      <c r="HA90" s="662"/>
      <c r="HB90" s="662"/>
      <c r="HC90" s="662"/>
      <c r="HD90" s="662"/>
      <c r="HE90" s="662"/>
      <c r="HF90" s="662"/>
      <c r="HG90" s="662"/>
      <c r="HH90" s="662"/>
      <c r="HI90" s="662"/>
      <c r="HJ90" s="662"/>
      <c r="HK90" s="662"/>
      <c r="HL90" s="662"/>
      <c r="HM90" s="662"/>
      <c r="HN90" s="662"/>
      <c r="HO90" s="662"/>
      <c r="HP90" s="662"/>
      <c r="HQ90" s="662"/>
      <c r="HR90" s="662"/>
      <c r="HS90" s="662"/>
      <c r="HT90" s="662"/>
      <c r="HU90" s="662"/>
      <c r="HV90" s="662"/>
      <c r="HW90" s="662"/>
      <c r="HX90" s="662"/>
      <c r="HY90" s="662"/>
      <c r="HZ90" s="662"/>
      <c r="IA90" s="662"/>
      <c r="IB90" s="662"/>
      <c r="IC90" s="662"/>
      <c r="ID90" s="662"/>
      <c r="IE90" s="662"/>
      <c r="IF90" s="662"/>
      <c r="IG90" s="662"/>
      <c r="IH90" s="662"/>
      <c r="II90" s="662"/>
      <c r="IJ90" s="662"/>
      <c r="IK90" s="662"/>
      <c r="IL90" s="662"/>
      <c r="IM90" s="662"/>
      <c r="IN90" s="662"/>
      <c r="IO90" s="662"/>
      <c r="IP90" s="662"/>
      <c r="IQ90" s="662"/>
      <c r="IR90" s="662"/>
      <c r="IS90" s="662"/>
      <c r="IT90" s="662"/>
      <c r="IU90" s="662"/>
      <c r="IV90" s="662"/>
      <c r="IW90" s="662"/>
      <c r="IX90" s="662"/>
    </row>
    <row r="91" spans="1:258" s="719" customFormat="1" x14ac:dyDescent="0.2">
      <c r="A91" s="716"/>
      <c r="B91" s="717"/>
      <c r="C91" s="1365"/>
      <c r="D91" s="718"/>
      <c r="E91" s="1366"/>
      <c r="F91" s="1366"/>
      <c r="G91" s="1367" t="s">
        <v>959</v>
      </c>
      <c r="H91" s="1368">
        <f>H118</f>
        <v>1.75</v>
      </c>
      <c r="I91" s="1369" t="s">
        <v>424</v>
      </c>
      <c r="J91" s="1369">
        <f>J118</f>
        <v>1.5</v>
      </c>
      <c r="K91" s="1369"/>
      <c r="L91" s="1369"/>
      <c r="M91" s="1369"/>
      <c r="N91" s="1369"/>
      <c r="O91" s="1369"/>
      <c r="P91" s="1369"/>
      <c r="Q91" s="1369" t="s">
        <v>696</v>
      </c>
      <c r="R91" s="1370">
        <f>H91*J91</f>
        <v>2.625</v>
      </c>
      <c r="S91" s="1371"/>
      <c r="T91" s="723"/>
      <c r="U91" s="662"/>
      <c r="V91" s="685"/>
      <c r="W91" s="662"/>
      <c r="X91" s="662"/>
      <c r="Y91" s="662"/>
      <c r="Z91" s="662"/>
      <c r="AA91" s="662"/>
      <c r="AB91" s="662"/>
      <c r="AC91" s="662"/>
      <c r="AD91" s="662"/>
      <c r="AE91" s="662"/>
      <c r="AF91" s="662"/>
      <c r="AG91" s="662"/>
      <c r="AH91" s="662"/>
      <c r="AI91" s="662"/>
      <c r="AJ91" s="662"/>
      <c r="AK91" s="662"/>
      <c r="AL91" s="662"/>
      <c r="AM91" s="662"/>
      <c r="AN91" s="662"/>
      <c r="AO91" s="662"/>
      <c r="AP91" s="662"/>
      <c r="AQ91" s="662"/>
      <c r="AR91" s="662"/>
      <c r="AS91" s="662"/>
      <c r="AT91" s="662"/>
      <c r="AU91" s="662"/>
      <c r="AV91" s="662"/>
      <c r="AW91" s="662"/>
      <c r="AX91" s="662"/>
      <c r="AY91" s="662"/>
      <c r="AZ91" s="662"/>
      <c r="BA91" s="662"/>
      <c r="BB91" s="662"/>
      <c r="BC91" s="662"/>
      <c r="BD91" s="662"/>
      <c r="BE91" s="662"/>
      <c r="BF91" s="662"/>
      <c r="BG91" s="662"/>
      <c r="BH91" s="662"/>
      <c r="BI91" s="662"/>
      <c r="BJ91" s="662"/>
      <c r="BK91" s="662"/>
      <c r="BL91" s="662"/>
      <c r="BM91" s="662"/>
      <c r="BN91" s="662"/>
      <c r="BO91" s="662"/>
      <c r="BP91" s="662"/>
      <c r="BQ91" s="662"/>
      <c r="BR91" s="662"/>
      <c r="BS91" s="662"/>
      <c r="BT91" s="662"/>
      <c r="BU91" s="662"/>
      <c r="BV91" s="662"/>
      <c r="BW91" s="662"/>
      <c r="BX91" s="662"/>
      <c r="BY91" s="662"/>
      <c r="BZ91" s="662"/>
      <c r="CA91" s="662"/>
      <c r="CB91" s="662"/>
      <c r="CC91" s="662"/>
      <c r="CD91" s="662"/>
      <c r="CE91" s="662"/>
      <c r="CF91" s="662"/>
      <c r="CG91" s="662"/>
      <c r="CH91" s="662"/>
      <c r="CI91" s="662"/>
      <c r="CJ91" s="662"/>
      <c r="CK91" s="662"/>
      <c r="CL91" s="662"/>
      <c r="CM91" s="662"/>
      <c r="CN91" s="662"/>
      <c r="CO91" s="662"/>
      <c r="CP91" s="662"/>
      <c r="CQ91" s="662"/>
      <c r="CR91" s="662"/>
      <c r="CS91" s="662"/>
      <c r="CT91" s="662"/>
      <c r="CU91" s="662"/>
      <c r="CV91" s="662"/>
      <c r="CW91" s="662"/>
      <c r="CX91" s="662"/>
      <c r="CY91" s="662"/>
      <c r="CZ91" s="662"/>
      <c r="DA91" s="662"/>
      <c r="DB91" s="662"/>
      <c r="DC91" s="662"/>
      <c r="DD91" s="662"/>
      <c r="DE91" s="662"/>
      <c r="DF91" s="662"/>
      <c r="DG91" s="662"/>
      <c r="DH91" s="662"/>
      <c r="DI91" s="662"/>
      <c r="DJ91" s="662"/>
      <c r="DK91" s="662"/>
      <c r="DL91" s="662"/>
      <c r="DM91" s="662"/>
      <c r="DN91" s="662"/>
      <c r="DO91" s="662"/>
      <c r="DP91" s="662"/>
      <c r="DQ91" s="662"/>
      <c r="DR91" s="662"/>
      <c r="DS91" s="662"/>
      <c r="DT91" s="662"/>
      <c r="DU91" s="662"/>
      <c r="DV91" s="662"/>
      <c r="DW91" s="662"/>
      <c r="DX91" s="662"/>
      <c r="DY91" s="662"/>
      <c r="DZ91" s="662"/>
      <c r="EA91" s="662"/>
      <c r="EB91" s="662"/>
      <c r="EC91" s="662"/>
      <c r="ED91" s="662"/>
      <c r="EE91" s="662"/>
      <c r="EF91" s="662"/>
      <c r="EG91" s="662"/>
      <c r="EH91" s="662"/>
      <c r="EI91" s="662"/>
      <c r="EJ91" s="662"/>
      <c r="EK91" s="662"/>
      <c r="EL91" s="662"/>
      <c r="EM91" s="662"/>
      <c r="EN91" s="662"/>
      <c r="EO91" s="662"/>
      <c r="EP91" s="662"/>
      <c r="EQ91" s="662"/>
      <c r="ER91" s="662"/>
      <c r="ES91" s="662"/>
      <c r="ET91" s="662"/>
      <c r="EU91" s="662"/>
      <c r="EV91" s="662"/>
      <c r="EW91" s="662"/>
      <c r="EX91" s="662"/>
      <c r="EY91" s="662"/>
      <c r="EZ91" s="662"/>
      <c r="FA91" s="662"/>
      <c r="FB91" s="662"/>
      <c r="FC91" s="662"/>
      <c r="FD91" s="662"/>
      <c r="FE91" s="662"/>
      <c r="FF91" s="662"/>
      <c r="FG91" s="662"/>
      <c r="FH91" s="662"/>
      <c r="FI91" s="662"/>
      <c r="FJ91" s="662"/>
      <c r="FK91" s="662"/>
      <c r="FL91" s="662"/>
      <c r="FM91" s="662"/>
      <c r="FN91" s="662"/>
      <c r="FO91" s="662"/>
      <c r="FP91" s="662"/>
      <c r="FQ91" s="662"/>
      <c r="FR91" s="662"/>
      <c r="FS91" s="662"/>
      <c r="FT91" s="662"/>
      <c r="FU91" s="662"/>
      <c r="FV91" s="662"/>
      <c r="FW91" s="662"/>
      <c r="FX91" s="662"/>
      <c r="FY91" s="662"/>
      <c r="FZ91" s="662"/>
      <c r="GA91" s="662"/>
      <c r="GB91" s="662"/>
      <c r="GC91" s="662"/>
      <c r="GD91" s="662"/>
      <c r="GE91" s="662"/>
      <c r="GF91" s="662"/>
      <c r="GG91" s="662"/>
      <c r="GH91" s="662"/>
      <c r="GI91" s="662"/>
      <c r="GJ91" s="662"/>
      <c r="GK91" s="662"/>
      <c r="GL91" s="662"/>
      <c r="GM91" s="662"/>
      <c r="GN91" s="662"/>
      <c r="GO91" s="662"/>
      <c r="GP91" s="662"/>
      <c r="GQ91" s="662"/>
      <c r="GR91" s="662"/>
      <c r="GS91" s="662"/>
      <c r="GT91" s="662"/>
      <c r="GU91" s="662"/>
      <c r="GV91" s="662"/>
      <c r="GW91" s="662"/>
      <c r="GX91" s="662"/>
      <c r="GY91" s="662"/>
      <c r="GZ91" s="662"/>
      <c r="HA91" s="662"/>
      <c r="HB91" s="662"/>
      <c r="HC91" s="662"/>
      <c r="HD91" s="662"/>
      <c r="HE91" s="662"/>
      <c r="HF91" s="662"/>
      <c r="HG91" s="662"/>
      <c r="HH91" s="662"/>
      <c r="HI91" s="662"/>
      <c r="HJ91" s="662"/>
      <c r="HK91" s="662"/>
      <c r="HL91" s="662"/>
      <c r="HM91" s="662"/>
      <c r="HN91" s="662"/>
      <c r="HO91" s="662"/>
      <c r="HP91" s="662"/>
      <c r="HQ91" s="662"/>
      <c r="HR91" s="662"/>
      <c r="HS91" s="662"/>
      <c r="HT91" s="662"/>
      <c r="HU91" s="662"/>
      <c r="HV91" s="662"/>
      <c r="HW91" s="662"/>
      <c r="HX91" s="662"/>
      <c r="HY91" s="662"/>
      <c r="HZ91" s="662"/>
      <c r="IA91" s="662"/>
      <c r="IB91" s="662"/>
      <c r="IC91" s="662"/>
      <c r="ID91" s="662"/>
      <c r="IE91" s="662"/>
      <c r="IF91" s="662"/>
      <c r="IG91" s="662"/>
      <c r="IH91" s="662"/>
      <c r="II91" s="662"/>
      <c r="IJ91" s="662"/>
      <c r="IK91" s="662"/>
      <c r="IL91" s="662"/>
      <c r="IM91" s="662"/>
      <c r="IN91" s="662"/>
      <c r="IO91" s="662"/>
      <c r="IP91" s="662"/>
      <c r="IQ91" s="662"/>
      <c r="IR91" s="662"/>
      <c r="IS91" s="662"/>
      <c r="IT91" s="662"/>
      <c r="IU91" s="662"/>
      <c r="IV91" s="662"/>
      <c r="IW91" s="662"/>
      <c r="IX91" s="662"/>
    </row>
    <row r="92" spans="1:258" s="719" customFormat="1" x14ac:dyDescent="0.2">
      <c r="A92" s="716"/>
      <c r="B92" s="717"/>
      <c r="C92" s="1365"/>
      <c r="D92" s="718"/>
      <c r="E92" s="1366"/>
      <c r="F92" s="1366"/>
      <c r="G92" s="1367"/>
      <c r="H92" s="1368"/>
      <c r="I92" s="1369"/>
      <c r="J92" s="1369"/>
      <c r="K92" s="1369"/>
      <c r="L92" s="1369"/>
      <c r="M92" s="1369"/>
      <c r="N92" s="1369"/>
      <c r="O92" s="1369"/>
      <c r="P92" s="1369"/>
      <c r="Q92" s="1369"/>
      <c r="R92" s="1370">
        <f>SUM(R81:R91)</f>
        <v>103.12500000000001</v>
      </c>
      <c r="S92" s="1371"/>
      <c r="T92" s="723"/>
      <c r="U92" s="662"/>
      <c r="V92" s="685"/>
      <c r="W92" s="662"/>
      <c r="X92" s="662"/>
      <c r="Y92" s="662"/>
      <c r="Z92" s="662"/>
      <c r="AA92" s="662"/>
      <c r="AB92" s="662"/>
      <c r="AC92" s="662"/>
      <c r="AD92" s="662"/>
      <c r="AE92" s="662"/>
      <c r="AF92" s="662"/>
      <c r="AG92" s="662"/>
      <c r="AH92" s="662"/>
      <c r="AI92" s="662"/>
      <c r="AJ92" s="662"/>
      <c r="AK92" s="662"/>
      <c r="AL92" s="662"/>
      <c r="AM92" s="662"/>
      <c r="AN92" s="662"/>
      <c r="AO92" s="662"/>
      <c r="AP92" s="662"/>
      <c r="AQ92" s="662"/>
      <c r="AR92" s="662"/>
      <c r="AS92" s="662"/>
      <c r="AT92" s="662"/>
      <c r="AU92" s="662"/>
      <c r="AV92" s="662"/>
      <c r="AW92" s="662"/>
      <c r="AX92" s="662"/>
      <c r="AY92" s="662"/>
      <c r="AZ92" s="662"/>
      <c r="BA92" s="662"/>
      <c r="BB92" s="662"/>
      <c r="BC92" s="662"/>
      <c r="BD92" s="662"/>
      <c r="BE92" s="662"/>
      <c r="BF92" s="662"/>
      <c r="BG92" s="662"/>
      <c r="BH92" s="662"/>
      <c r="BI92" s="662"/>
      <c r="BJ92" s="662"/>
      <c r="BK92" s="662"/>
      <c r="BL92" s="662"/>
      <c r="BM92" s="662"/>
      <c r="BN92" s="662"/>
      <c r="BO92" s="662"/>
      <c r="BP92" s="662"/>
      <c r="BQ92" s="662"/>
      <c r="BR92" s="662"/>
      <c r="BS92" s="662"/>
      <c r="BT92" s="662"/>
      <c r="BU92" s="662"/>
      <c r="BV92" s="662"/>
      <c r="BW92" s="662"/>
      <c r="BX92" s="662"/>
      <c r="BY92" s="662"/>
      <c r="BZ92" s="662"/>
      <c r="CA92" s="662"/>
      <c r="CB92" s="662"/>
      <c r="CC92" s="662"/>
      <c r="CD92" s="662"/>
      <c r="CE92" s="662"/>
      <c r="CF92" s="662"/>
      <c r="CG92" s="662"/>
      <c r="CH92" s="662"/>
      <c r="CI92" s="662"/>
      <c r="CJ92" s="662"/>
      <c r="CK92" s="662"/>
      <c r="CL92" s="662"/>
      <c r="CM92" s="662"/>
      <c r="CN92" s="662"/>
      <c r="CO92" s="662"/>
      <c r="CP92" s="662"/>
      <c r="CQ92" s="662"/>
      <c r="CR92" s="662"/>
      <c r="CS92" s="662"/>
      <c r="CT92" s="662"/>
      <c r="CU92" s="662"/>
      <c r="CV92" s="662"/>
      <c r="CW92" s="662"/>
      <c r="CX92" s="662"/>
      <c r="CY92" s="662"/>
      <c r="CZ92" s="662"/>
      <c r="DA92" s="662"/>
      <c r="DB92" s="662"/>
      <c r="DC92" s="662"/>
      <c r="DD92" s="662"/>
      <c r="DE92" s="662"/>
      <c r="DF92" s="662"/>
      <c r="DG92" s="662"/>
      <c r="DH92" s="662"/>
      <c r="DI92" s="662"/>
      <c r="DJ92" s="662"/>
      <c r="DK92" s="662"/>
      <c r="DL92" s="662"/>
      <c r="DM92" s="662"/>
      <c r="DN92" s="662"/>
      <c r="DO92" s="662"/>
      <c r="DP92" s="662"/>
      <c r="DQ92" s="662"/>
      <c r="DR92" s="662"/>
      <c r="DS92" s="662"/>
      <c r="DT92" s="662"/>
      <c r="DU92" s="662"/>
      <c r="DV92" s="662"/>
      <c r="DW92" s="662"/>
      <c r="DX92" s="662"/>
      <c r="DY92" s="662"/>
      <c r="DZ92" s="662"/>
      <c r="EA92" s="662"/>
      <c r="EB92" s="662"/>
      <c r="EC92" s="662"/>
      <c r="ED92" s="662"/>
      <c r="EE92" s="662"/>
      <c r="EF92" s="662"/>
      <c r="EG92" s="662"/>
      <c r="EH92" s="662"/>
      <c r="EI92" s="662"/>
      <c r="EJ92" s="662"/>
      <c r="EK92" s="662"/>
      <c r="EL92" s="662"/>
      <c r="EM92" s="662"/>
      <c r="EN92" s="662"/>
      <c r="EO92" s="662"/>
      <c r="EP92" s="662"/>
      <c r="EQ92" s="662"/>
      <c r="ER92" s="662"/>
      <c r="ES92" s="662"/>
      <c r="ET92" s="662"/>
      <c r="EU92" s="662"/>
      <c r="EV92" s="662"/>
      <c r="EW92" s="662"/>
      <c r="EX92" s="662"/>
      <c r="EY92" s="662"/>
      <c r="EZ92" s="662"/>
      <c r="FA92" s="662"/>
      <c r="FB92" s="662"/>
      <c r="FC92" s="662"/>
      <c r="FD92" s="662"/>
      <c r="FE92" s="662"/>
      <c r="FF92" s="662"/>
      <c r="FG92" s="662"/>
      <c r="FH92" s="662"/>
      <c r="FI92" s="662"/>
      <c r="FJ92" s="662"/>
      <c r="FK92" s="662"/>
      <c r="FL92" s="662"/>
      <c r="FM92" s="662"/>
      <c r="FN92" s="662"/>
      <c r="FO92" s="662"/>
      <c r="FP92" s="662"/>
      <c r="FQ92" s="662"/>
      <c r="FR92" s="662"/>
      <c r="FS92" s="662"/>
      <c r="FT92" s="662"/>
      <c r="FU92" s="662"/>
      <c r="FV92" s="662"/>
      <c r="FW92" s="662"/>
      <c r="FX92" s="662"/>
      <c r="FY92" s="662"/>
      <c r="FZ92" s="662"/>
      <c r="GA92" s="662"/>
      <c r="GB92" s="662"/>
      <c r="GC92" s="662"/>
      <c r="GD92" s="662"/>
      <c r="GE92" s="662"/>
      <c r="GF92" s="662"/>
      <c r="GG92" s="662"/>
      <c r="GH92" s="662"/>
      <c r="GI92" s="662"/>
      <c r="GJ92" s="662"/>
      <c r="GK92" s="662"/>
      <c r="GL92" s="662"/>
      <c r="GM92" s="662"/>
      <c r="GN92" s="662"/>
      <c r="GO92" s="662"/>
      <c r="GP92" s="662"/>
      <c r="GQ92" s="662"/>
      <c r="GR92" s="662"/>
      <c r="GS92" s="662"/>
      <c r="GT92" s="662"/>
      <c r="GU92" s="662"/>
      <c r="GV92" s="662"/>
      <c r="GW92" s="662"/>
      <c r="GX92" s="662"/>
      <c r="GY92" s="662"/>
      <c r="GZ92" s="662"/>
      <c r="HA92" s="662"/>
      <c r="HB92" s="662"/>
      <c r="HC92" s="662"/>
      <c r="HD92" s="662"/>
      <c r="HE92" s="662"/>
      <c r="HF92" s="662"/>
      <c r="HG92" s="662"/>
      <c r="HH92" s="662"/>
      <c r="HI92" s="662"/>
      <c r="HJ92" s="662"/>
      <c r="HK92" s="662"/>
      <c r="HL92" s="662"/>
      <c r="HM92" s="662"/>
      <c r="HN92" s="662"/>
      <c r="HO92" s="662"/>
      <c r="HP92" s="662"/>
      <c r="HQ92" s="662"/>
      <c r="HR92" s="662"/>
      <c r="HS92" s="662"/>
      <c r="HT92" s="662"/>
      <c r="HU92" s="662"/>
      <c r="HV92" s="662"/>
      <c r="HW92" s="662"/>
      <c r="HX92" s="662"/>
      <c r="HY92" s="662"/>
      <c r="HZ92" s="662"/>
      <c r="IA92" s="662"/>
      <c r="IB92" s="662"/>
      <c r="IC92" s="662"/>
      <c r="ID92" s="662"/>
      <c r="IE92" s="662"/>
      <c r="IF92" s="662"/>
      <c r="IG92" s="662"/>
      <c r="IH92" s="662"/>
      <c r="II92" s="662"/>
      <c r="IJ92" s="662"/>
      <c r="IK92" s="662"/>
      <c r="IL92" s="662"/>
      <c r="IM92" s="662"/>
      <c r="IN92" s="662"/>
      <c r="IO92" s="662"/>
      <c r="IP92" s="662"/>
      <c r="IQ92" s="662"/>
      <c r="IR92" s="662"/>
      <c r="IS92" s="662"/>
      <c r="IT92" s="662"/>
      <c r="IU92" s="662"/>
      <c r="IV92" s="662"/>
      <c r="IW92" s="662"/>
      <c r="IX92" s="662"/>
    </row>
    <row r="93" spans="1:258" s="203" customFormat="1" x14ac:dyDescent="0.2">
      <c r="A93" s="669"/>
      <c r="B93" s="670"/>
      <c r="C93" s="1358"/>
      <c r="D93" s="672"/>
      <c r="E93" s="1359"/>
      <c r="F93" s="1359"/>
      <c r="G93" s="1360"/>
      <c r="H93" s="1372">
        <f>R78</f>
        <v>752.4</v>
      </c>
      <c r="I93" s="1362" t="s">
        <v>805</v>
      </c>
      <c r="J93" s="1373">
        <f>R92</f>
        <v>103.12500000000001</v>
      </c>
      <c r="K93" s="1362"/>
      <c r="L93" s="1362"/>
      <c r="M93" s="1362"/>
      <c r="N93" s="1362"/>
      <c r="O93" s="1362"/>
      <c r="P93" s="1362"/>
      <c r="Q93" s="1362" t="s">
        <v>696</v>
      </c>
      <c r="R93" s="1363">
        <f>H93-J93</f>
        <v>649.27499999999998</v>
      </c>
      <c r="S93" s="1364">
        <f>R93</f>
        <v>649.27499999999998</v>
      </c>
      <c r="T93" s="722" t="s">
        <v>338</v>
      </c>
      <c r="U93" s="205"/>
      <c r="V93" s="721"/>
      <c r="W93" s="205"/>
      <c r="X93" s="205"/>
      <c r="Y93" s="205"/>
      <c r="Z93" s="205"/>
      <c r="AA93" s="205"/>
      <c r="AB93" s="205"/>
      <c r="AC93" s="205"/>
      <c r="AD93" s="205"/>
      <c r="AE93" s="205"/>
      <c r="AF93" s="205"/>
      <c r="AG93" s="205"/>
      <c r="AH93" s="205"/>
      <c r="AI93" s="205"/>
      <c r="AJ93" s="205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BA93" s="205"/>
      <c r="BB93" s="205"/>
      <c r="BC93" s="205"/>
      <c r="BD93" s="20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205"/>
      <c r="IJ93" s="205"/>
      <c r="IK93" s="205"/>
      <c r="IL93" s="205"/>
      <c r="IM93" s="205"/>
      <c r="IN93" s="205"/>
      <c r="IO93" s="205"/>
      <c r="IP93" s="205"/>
      <c r="IQ93" s="205"/>
      <c r="IR93" s="205"/>
      <c r="IS93" s="205"/>
      <c r="IT93" s="205"/>
      <c r="IU93" s="205"/>
      <c r="IV93" s="205"/>
      <c r="IW93" s="205"/>
      <c r="IX93" s="205"/>
    </row>
    <row r="94" spans="1:258" s="203" customFormat="1" x14ac:dyDescent="0.2">
      <c r="A94" s="669"/>
      <c r="B94" s="670"/>
      <c r="C94" s="1358"/>
      <c r="D94" s="672"/>
      <c r="E94" s="1359"/>
      <c r="F94" s="1359"/>
      <c r="G94" s="1360"/>
      <c r="H94" s="1361"/>
      <c r="I94" s="1362"/>
      <c r="J94" s="1362"/>
      <c r="K94" s="1362"/>
      <c r="L94" s="1362"/>
      <c r="M94" s="1362"/>
      <c r="N94" s="1362"/>
      <c r="O94" s="1362"/>
      <c r="P94" s="1362"/>
      <c r="Q94" s="1362"/>
      <c r="R94" s="1363"/>
      <c r="S94" s="1364"/>
      <c r="T94" s="722"/>
      <c r="U94" s="205"/>
      <c r="V94" s="685"/>
      <c r="W94" s="205"/>
      <c r="X94" s="205"/>
      <c r="Y94" s="205"/>
      <c r="Z94" s="205"/>
      <c r="AA94" s="205"/>
      <c r="AB94" s="205"/>
      <c r="AC94" s="205"/>
      <c r="AD94" s="205"/>
      <c r="AE94" s="205"/>
      <c r="AF94" s="205"/>
      <c r="AG94" s="205"/>
      <c r="AH94" s="205"/>
      <c r="AI94" s="205"/>
      <c r="AJ94" s="205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BA94" s="205"/>
      <c r="BB94" s="205"/>
      <c r="BC94" s="205"/>
      <c r="BD94" s="20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5"/>
      <c r="BP94" s="205"/>
      <c r="BQ94" s="205"/>
      <c r="BR94" s="205"/>
      <c r="BS94" s="205"/>
      <c r="BT94" s="205"/>
      <c r="BU94" s="205"/>
      <c r="BV94" s="205"/>
      <c r="BW94" s="205"/>
      <c r="BX94" s="205"/>
      <c r="BY94" s="205"/>
      <c r="BZ94" s="205"/>
      <c r="CA94" s="205"/>
      <c r="CB94" s="205"/>
      <c r="CC94" s="205"/>
      <c r="CD94" s="205"/>
      <c r="CE94" s="205"/>
      <c r="CF94" s="205"/>
      <c r="CG94" s="205"/>
      <c r="CH94" s="205"/>
      <c r="CI94" s="205"/>
      <c r="CJ94" s="205"/>
      <c r="CK94" s="205"/>
      <c r="CL94" s="205"/>
      <c r="CM94" s="205"/>
      <c r="CN94" s="205"/>
      <c r="CO94" s="205"/>
      <c r="CP94" s="205"/>
      <c r="CQ94" s="205"/>
      <c r="CR94" s="205"/>
      <c r="CS94" s="205"/>
      <c r="CT94" s="205"/>
      <c r="CU94" s="205"/>
      <c r="CV94" s="205"/>
      <c r="CW94" s="205"/>
      <c r="CX94" s="205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205"/>
      <c r="IJ94" s="205"/>
      <c r="IK94" s="205"/>
      <c r="IL94" s="205"/>
      <c r="IM94" s="205"/>
      <c r="IN94" s="205"/>
      <c r="IO94" s="205"/>
      <c r="IP94" s="205"/>
      <c r="IQ94" s="205"/>
      <c r="IR94" s="205"/>
      <c r="IS94" s="205"/>
      <c r="IT94" s="205"/>
      <c r="IU94" s="205"/>
      <c r="IV94" s="205"/>
      <c r="IW94" s="205"/>
      <c r="IX94" s="205"/>
    </row>
    <row r="95" spans="1:258" s="203" customFormat="1" x14ac:dyDescent="0.2">
      <c r="A95" s="669"/>
      <c r="B95" s="670">
        <f>RAB!B50</f>
        <v>4</v>
      </c>
      <c r="C95" s="686" t="e">
        <f>RAB!D50</f>
        <v>#REF!</v>
      </c>
      <c r="D95" s="672"/>
      <c r="E95" s="673"/>
      <c r="F95" s="673"/>
      <c r="G95" s="674"/>
      <c r="H95" s="675"/>
      <c r="I95" s="676"/>
      <c r="J95" s="676"/>
      <c r="K95" s="676"/>
      <c r="L95" s="676"/>
      <c r="M95" s="676"/>
      <c r="N95" s="676"/>
      <c r="O95" s="676"/>
      <c r="P95" s="676"/>
      <c r="Q95" s="676"/>
      <c r="R95" s="677"/>
      <c r="S95" s="678"/>
      <c r="T95" s="684"/>
      <c r="U95" s="205"/>
      <c r="V95" s="685"/>
      <c r="W95" s="205"/>
      <c r="X95" s="205"/>
      <c r="Y95" s="205"/>
      <c r="Z95" s="205"/>
      <c r="AA95" s="205"/>
      <c r="AB95" s="205"/>
      <c r="AC95" s="205"/>
      <c r="AD95" s="205"/>
      <c r="AE95" s="205"/>
      <c r="AF95" s="205"/>
      <c r="AG95" s="205"/>
      <c r="AH95" s="205"/>
      <c r="AI95" s="205"/>
      <c r="AJ95" s="205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BA95" s="205"/>
      <c r="BB95" s="205"/>
      <c r="BC95" s="205"/>
      <c r="BD95" s="20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5"/>
      <c r="BZ95" s="205"/>
      <c r="CA95" s="205"/>
      <c r="CB95" s="205"/>
      <c r="CC95" s="205"/>
      <c r="CD95" s="205"/>
      <c r="CE95" s="205"/>
      <c r="CF95" s="205"/>
      <c r="CG95" s="205"/>
      <c r="CH95" s="205"/>
      <c r="CI95" s="205"/>
      <c r="CJ95" s="205"/>
      <c r="CK95" s="205"/>
      <c r="CL95" s="205"/>
      <c r="CM95" s="205"/>
      <c r="CN95" s="205"/>
      <c r="CO95" s="205"/>
      <c r="CP95" s="205"/>
      <c r="CQ95" s="205"/>
      <c r="CR95" s="205"/>
      <c r="CS95" s="205"/>
      <c r="CT95" s="205"/>
      <c r="CU95" s="205"/>
      <c r="CV95" s="205"/>
      <c r="CW95" s="205"/>
      <c r="CX95" s="205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205"/>
      <c r="IJ95" s="205"/>
      <c r="IK95" s="205"/>
      <c r="IL95" s="205"/>
      <c r="IM95" s="205"/>
      <c r="IN95" s="205"/>
      <c r="IO95" s="205"/>
      <c r="IP95" s="205"/>
      <c r="IQ95" s="205"/>
      <c r="IR95" s="205"/>
      <c r="IS95" s="205"/>
      <c r="IT95" s="205"/>
      <c r="IU95" s="205"/>
      <c r="IV95" s="205"/>
      <c r="IW95" s="205"/>
      <c r="IX95" s="205"/>
    </row>
    <row r="96" spans="1:258" s="203" customFormat="1" x14ac:dyDescent="0.2">
      <c r="A96" s="669"/>
      <c r="B96" s="670"/>
      <c r="C96" s="1358"/>
      <c r="D96" s="672"/>
      <c r="E96" s="1359"/>
      <c r="F96" s="1359"/>
      <c r="G96" s="1360"/>
      <c r="H96" s="1372">
        <f>S93</f>
        <v>649.27499999999998</v>
      </c>
      <c r="I96" s="1362" t="s">
        <v>424</v>
      </c>
      <c r="J96" s="1362">
        <v>2</v>
      </c>
      <c r="K96" s="1362"/>
      <c r="L96" s="1362"/>
      <c r="M96" s="1362"/>
      <c r="N96" s="1362"/>
      <c r="O96" s="1362"/>
      <c r="P96" s="1362"/>
      <c r="Q96" s="1362" t="s">
        <v>696</v>
      </c>
      <c r="R96" s="1363">
        <f>H96*J96</f>
        <v>1298.55</v>
      </c>
      <c r="S96" s="1364">
        <f>R96</f>
        <v>1298.55</v>
      </c>
      <c r="T96" s="722" t="s">
        <v>338</v>
      </c>
      <c r="U96" s="205"/>
      <c r="V96" s="685"/>
      <c r="W96" s="205"/>
      <c r="X96" s="205"/>
      <c r="Y96" s="205"/>
      <c r="Z96" s="205"/>
      <c r="AA96" s="205"/>
      <c r="AB96" s="205"/>
      <c r="AC96" s="205"/>
      <c r="AD96" s="205"/>
      <c r="AE96" s="205"/>
      <c r="AF96" s="205"/>
      <c r="AG96" s="205"/>
      <c r="AH96" s="205"/>
      <c r="AI96" s="205"/>
      <c r="AJ96" s="205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BA96" s="205"/>
      <c r="BB96" s="205"/>
      <c r="BC96" s="205"/>
      <c r="BD96" s="20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5"/>
      <c r="BP96" s="205"/>
      <c r="BQ96" s="205"/>
      <c r="BR96" s="205"/>
      <c r="BS96" s="205"/>
      <c r="BT96" s="205"/>
      <c r="BU96" s="205"/>
      <c r="BV96" s="205"/>
      <c r="BW96" s="205"/>
      <c r="BX96" s="205"/>
      <c r="BY96" s="205"/>
      <c r="BZ96" s="205"/>
      <c r="CA96" s="205"/>
      <c r="CB96" s="205"/>
      <c r="CC96" s="205"/>
      <c r="CD96" s="205"/>
      <c r="CE96" s="205"/>
      <c r="CF96" s="205"/>
      <c r="CG96" s="205"/>
      <c r="CH96" s="205"/>
      <c r="CI96" s="205"/>
      <c r="CJ96" s="205"/>
      <c r="CK96" s="205"/>
      <c r="CL96" s="205"/>
      <c r="CM96" s="205"/>
      <c r="CN96" s="205"/>
      <c r="CO96" s="205"/>
      <c r="CP96" s="205"/>
      <c r="CQ96" s="205"/>
      <c r="CR96" s="205"/>
      <c r="CS96" s="205"/>
      <c r="CT96" s="205"/>
      <c r="CU96" s="205"/>
      <c r="CV96" s="205"/>
      <c r="CW96" s="205"/>
      <c r="CX96" s="205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205"/>
      <c r="IJ96" s="205"/>
      <c r="IK96" s="205"/>
      <c r="IL96" s="205"/>
      <c r="IM96" s="205"/>
      <c r="IN96" s="205"/>
      <c r="IO96" s="205"/>
      <c r="IP96" s="205"/>
      <c r="IQ96" s="205"/>
      <c r="IR96" s="205"/>
      <c r="IS96" s="205"/>
      <c r="IT96" s="205"/>
      <c r="IU96" s="205"/>
      <c r="IV96" s="205"/>
      <c r="IW96" s="205"/>
      <c r="IX96" s="205"/>
    </row>
    <row r="97" spans="1:258" s="203" customFormat="1" x14ac:dyDescent="0.2">
      <c r="A97" s="669"/>
      <c r="B97" s="670"/>
      <c r="C97" s="1358"/>
      <c r="D97" s="672"/>
      <c r="E97" s="1359"/>
      <c r="F97" s="1359"/>
      <c r="G97" s="1360"/>
      <c r="H97" s="1361"/>
      <c r="I97" s="1362"/>
      <c r="J97" s="1362"/>
      <c r="K97" s="1362"/>
      <c r="L97" s="1362"/>
      <c r="M97" s="1362"/>
      <c r="N97" s="1362"/>
      <c r="O97" s="1362"/>
      <c r="P97" s="1362"/>
      <c r="Q97" s="1362"/>
      <c r="R97" s="1363"/>
      <c r="S97" s="1364"/>
      <c r="T97" s="722"/>
      <c r="U97" s="205"/>
      <c r="V97" s="685"/>
      <c r="W97" s="205"/>
      <c r="X97" s="205"/>
      <c r="Y97" s="205"/>
      <c r="Z97" s="205"/>
      <c r="AA97" s="205"/>
      <c r="AB97" s="205"/>
      <c r="AC97" s="205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205"/>
      <c r="IJ97" s="205"/>
      <c r="IK97" s="205"/>
      <c r="IL97" s="205"/>
      <c r="IM97" s="205"/>
      <c r="IN97" s="205"/>
      <c r="IO97" s="205"/>
      <c r="IP97" s="205"/>
      <c r="IQ97" s="205"/>
      <c r="IR97" s="205"/>
      <c r="IS97" s="205"/>
      <c r="IT97" s="205"/>
      <c r="IU97" s="205"/>
      <c r="IV97" s="205"/>
      <c r="IW97" s="205"/>
      <c r="IX97" s="205"/>
    </row>
    <row r="98" spans="1:258" s="203" customFormat="1" x14ac:dyDescent="0.2">
      <c r="A98" s="669"/>
      <c r="B98" s="670">
        <f>RAB!B51</f>
        <v>5</v>
      </c>
      <c r="C98" s="686" t="str">
        <f>RAB!D51</f>
        <v>Memasang acian</v>
      </c>
      <c r="D98" s="672"/>
      <c r="E98" s="673"/>
      <c r="F98" s="673"/>
      <c r="G98" s="674"/>
      <c r="H98" s="675"/>
      <c r="I98" s="676"/>
      <c r="J98" s="676"/>
      <c r="K98" s="676"/>
      <c r="L98" s="676"/>
      <c r="M98" s="676"/>
      <c r="N98" s="676"/>
      <c r="O98" s="676"/>
      <c r="P98" s="676"/>
      <c r="Q98" s="676"/>
      <c r="R98" s="677"/>
      <c r="S98" s="678"/>
      <c r="T98" s="684"/>
      <c r="U98" s="205"/>
      <c r="V98" s="685"/>
      <c r="W98" s="205"/>
      <c r="X98" s="205"/>
      <c r="Y98" s="205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  <c r="BO98" s="205"/>
      <c r="BP98" s="205"/>
      <c r="BQ98" s="205"/>
      <c r="BR98" s="205"/>
      <c r="BS98" s="205"/>
      <c r="BT98" s="205"/>
      <c r="BU98" s="205"/>
      <c r="BV98" s="205"/>
      <c r="BW98" s="205"/>
      <c r="BX98" s="205"/>
      <c r="BY98" s="205"/>
      <c r="BZ98" s="205"/>
      <c r="CA98" s="205"/>
      <c r="CB98" s="205"/>
      <c r="CC98" s="205"/>
      <c r="CD98" s="205"/>
      <c r="CE98" s="205"/>
      <c r="CF98" s="205"/>
      <c r="CG98" s="205"/>
      <c r="CH98" s="205"/>
      <c r="CI98" s="205"/>
      <c r="CJ98" s="205"/>
      <c r="CK98" s="205"/>
      <c r="CL98" s="205"/>
      <c r="CM98" s="205"/>
      <c r="CN98" s="205"/>
      <c r="CO98" s="205"/>
      <c r="CP98" s="205"/>
      <c r="CQ98" s="205"/>
      <c r="CR98" s="205"/>
      <c r="CS98" s="205"/>
      <c r="CT98" s="205"/>
      <c r="CU98" s="205"/>
      <c r="CV98" s="205"/>
      <c r="CW98" s="205"/>
      <c r="CX98" s="205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205"/>
      <c r="IJ98" s="205"/>
      <c r="IK98" s="205"/>
      <c r="IL98" s="205"/>
      <c r="IM98" s="205"/>
      <c r="IN98" s="205"/>
      <c r="IO98" s="205"/>
      <c r="IP98" s="205"/>
      <c r="IQ98" s="205"/>
      <c r="IR98" s="205"/>
      <c r="IS98" s="205"/>
      <c r="IT98" s="205"/>
      <c r="IU98" s="205"/>
      <c r="IV98" s="205"/>
      <c r="IW98" s="205"/>
      <c r="IX98" s="205"/>
    </row>
    <row r="99" spans="1:258" s="719" customFormat="1" x14ac:dyDescent="0.2">
      <c r="A99" s="716"/>
      <c r="B99" s="717"/>
      <c r="C99" s="1365"/>
      <c r="D99" s="718"/>
      <c r="E99" s="1366"/>
      <c r="F99" s="1366" t="s">
        <v>1647</v>
      </c>
      <c r="G99" s="1367"/>
      <c r="H99" s="1368"/>
      <c r="I99" s="1369"/>
      <c r="J99" s="1369"/>
      <c r="K99" s="1369"/>
      <c r="L99" s="1369"/>
      <c r="M99" s="1369"/>
      <c r="N99" s="1369"/>
      <c r="O99" s="1369"/>
      <c r="P99" s="1369"/>
      <c r="Q99" s="1369"/>
      <c r="R99" s="1370"/>
      <c r="S99" s="1371"/>
      <c r="T99" s="723"/>
      <c r="U99" s="662"/>
      <c r="V99" s="685"/>
      <c r="W99" s="662"/>
      <c r="X99" s="662"/>
      <c r="Y99" s="662"/>
      <c r="Z99" s="662"/>
      <c r="AA99" s="662"/>
      <c r="AB99" s="662"/>
      <c r="AC99" s="662"/>
      <c r="AD99" s="662"/>
      <c r="AE99" s="662"/>
      <c r="AF99" s="662"/>
      <c r="AG99" s="662"/>
      <c r="AH99" s="662"/>
      <c r="AI99" s="662"/>
      <c r="AJ99" s="662"/>
      <c r="AK99" s="662"/>
      <c r="AL99" s="662"/>
      <c r="AM99" s="662"/>
      <c r="AN99" s="662"/>
      <c r="AO99" s="662"/>
      <c r="AP99" s="662"/>
      <c r="AQ99" s="662"/>
      <c r="AR99" s="662"/>
      <c r="AS99" s="662"/>
      <c r="AT99" s="662"/>
      <c r="AU99" s="662"/>
      <c r="AV99" s="662"/>
      <c r="AW99" s="662"/>
      <c r="AX99" s="662"/>
      <c r="AY99" s="662"/>
      <c r="AZ99" s="662"/>
      <c r="BA99" s="662"/>
      <c r="BB99" s="662"/>
      <c r="BC99" s="662"/>
      <c r="BD99" s="662"/>
      <c r="BE99" s="662"/>
      <c r="BF99" s="662"/>
      <c r="BG99" s="662"/>
      <c r="BH99" s="662"/>
      <c r="BI99" s="662"/>
      <c r="BJ99" s="662"/>
      <c r="BK99" s="662"/>
      <c r="BL99" s="662"/>
      <c r="BM99" s="662"/>
      <c r="BN99" s="662"/>
      <c r="BO99" s="662"/>
      <c r="BP99" s="662"/>
      <c r="BQ99" s="662"/>
      <c r="BR99" s="662"/>
      <c r="BS99" s="662"/>
      <c r="BT99" s="662"/>
      <c r="BU99" s="662"/>
      <c r="BV99" s="662"/>
      <c r="BW99" s="662"/>
      <c r="BX99" s="662"/>
      <c r="BY99" s="662"/>
      <c r="BZ99" s="662"/>
      <c r="CA99" s="662"/>
      <c r="CB99" s="662"/>
      <c r="CC99" s="662"/>
      <c r="CD99" s="662"/>
      <c r="CE99" s="662"/>
      <c r="CF99" s="662"/>
      <c r="CG99" s="662"/>
      <c r="CH99" s="662"/>
      <c r="CI99" s="662"/>
      <c r="CJ99" s="662"/>
      <c r="CK99" s="662"/>
      <c r="CL99" s="662"/>
      <c r="CM99" s="662"/>
      <c r="CN99" s="662"/>
      <c r="CO99" s="662"/>
      <c r="CP99" s="662"/>
      <c r="CQ99" s="662"/>
      <c r="CR99" s="662"/>
      <c r="CS99" s="662"/>
      <c r="CT99" s="662"/>
      <c r="CU99" s="662"/>
      <c r="CV99" s="662"/>
      <c r="CW99" s="662"/>
      <c r="CX99" s="662"/>
      <c r="CY99" s="662"/>
      <c r="CZ99" s="662"/>
      <c r="DA99" s="662"/>
      <c r="DB99" s="662"/>
      <c r="DC99" s="662"/>
      <c r="DD99" s="662"/>
      <c r="DE99" s="662"/>
      <c r="DF99" s="662"/>
      <c r="DG99" s="662"/>
      <c r="DH99" s="662"/>
      <c r="DI99" s="662"/>
      <c r="DJ99" s="662"/>
      <c r="DK99" s="662"/>
      <c r="DL99" s="662"/>
      <c r="DM99" s="662"/>
      <c r="DN99" s="662"/>
      <c r="DO99" s="662"/>
      <c r="DP99" s="662"/>
      <c r="DQ99" s="662"/>
      <c r="DR99" s="662"/>
      <c r="DS99" s="662"/>
      <c r="DT99" s="662"/>
      <c r="DU99" s="662"/>
      <c r="DV99" s="662"/>
      <c r="DW99" s="662"/>
      <c r="DX99" s="662"/>
      <c r="DY99" s="662"/>
      <c r="DZ99" s="662"/>
      <c r="EA99" s="662"/>
      <c r="EB99" s="662"/>
      <c r="EC99" s="662"/>
      <c r="ED99" s="662"/>
      <c r="EE99" s="662"/>
      <c r="EF99" s="662"/>
      <c r="EG99" s="662"/>
      <c r="EH99" s="662"/>
      <c r="EI99" s="662"/>
      <c r="EJ99" s="662"/>
      <c r="EK99" s="662"/>
      <c r="EL99" s="662"/>
      <c r="EM99" s="662"/>
      <c r="EN99" s="662"/>
      <c r="EO99" s="662"/>
      <c r="EP99" s="662"/>
      <c r="EQ99" s="662"/>
      <c r="ER99" s="662"/>
      <c r="ES99" s="662"/>
      <c r="ET99" s="662"/>
      <c r="EU99" s="662"/>
      <c r="EV99" s="662"/>
      <c r="EW99" s="662"/>
      <c r="EX99" s="662"/>
      <c r="EY99" s="662"/>
      <c r="EZ99" s="662"/>
      <c r="FA99" s="662"/>
      <c r="FB99" s="662"/>
      <c r="FC99" s="662"/>
      <c r="FD99" s="662"/>
      <c r="FE99" s="662"/>
      <c r="FF99" s="662"/>
      <c r="FG99" s="662"/>
      <c r="FH99" s="662"/>
      <c r="FI99" s="662"/>
      <c r="FJ99" s="662"/>
      <c r="FK99" s="662"/>
      <c r="FL99" s="662"/>
      <c r="FM99" s="662"/>
      <c r="FN99" s="662"/>
      <c r="FO99" s="662"/>
      <c r="FP99" s="662"/>
      <c r="FQ99" s="662"/>
      <c r="FR99" s="662"/>
      <c r="FS99" s="662"/>
      <c r="FT99" s="662"/>
      <c r="FU99" s="662"/>
      <c r="FV99" s="662"/>
      <c r="FW99" s="662"/>
      <c r="FX99" s="662"/>
      <c r="FY99" s="662"/>
      <c r="FZ99" s="662"/>
      <c r="GA99" s="662"/>
      <c r="GB99" s="662"/>
      <c r="GC99" s="662"/>
      <c r="GD99" s="662"/>
      <c r="GE99" s="662"/>
      <c r="GF99" s="662"/>
      <c r="GG99" s="662"/>
      <c r="GH99" s="662"/>
      <c r="GI99" s="662"/>
      <c r="GJ99" s="662"/>
      <c r="GK99" s="662"/>
      <c r="GL99" s="662"/>
      <c r="GM99" s="662"/>
      <c r="GN99" s="662"/>
      <c r="GO99" s="662"/>
      <c r="GP99" s="662"/>
      <c r="GQ99" s="662"/>
      <c r="GR99" s="662"/>
      <c r="GS99" s="662"/>
      <c r="GT99" s="662"/>
      <c r="GU99" s="662"/>
      <c r="GV99" s="662"/>
      <c r="GW99" s="662"/>
      <c r="GX99" s="662"/>
      <c r="GY99" s="662"/>
      <c r="GZ99" s="662"/>
      <c r="HA99" s="662"/>
      <c r="HB99" s="662"/>
      <c r="HC99" s="662"/>
      <c r="HD99" s="662"/>
      <c r="HE99" s="662"/>
      <c r="HF99" s="662"/>
      <c r="HG99" s="662"/>
      <c r="HH99" s="662"/>
      <c r="HI99" s="662"/>
      <c r="HJ99" s="662"/>
      <c r="HK99" s="662"/>
      <c r="HL99" s="662"/>
      <c r="HM99" s="662"/>
      <c r="HN99" s="662"/>
      <c r="HO99" s="662"/>
      <c r="HP99" s="662"/>
      <c r="HQ99" s="662"/>
      <c r="HR99" s="662"/>
      <c r="HS99" s="662"/>
      <c r="HT99" s="662"/>
      <c r="HU99" s="662"/>
      <c r="HV99" s="662"/>
      <c r="HW99" s="662"/>
      <c r="HX99" s="662"/>
      <c r="HY99" s="662"/>
      <c r="HZ99" s="662"/>
      <c r="IA99" s="662"/>
      <c r="IB99" s="662"/>
      <c r="IC99" s="662"/>
      <c r="ID99" s="662"/>
      <c r="IE99" s="662"/>
      <c r="IF99" s="662"/>
      <c r="IG99" s="662"/>
      <c r="IH99" s="662"/>
      <c r="II99" s="662"/>
      <c r="IJ99" s="662"/>
      <c r="IK99" s="662"/>
      <c r="IL99" s="662"/>
      <c r="IM99" s="662"/>
      <c r="IN99" s="662"/>
      <c r="IO99" s="662"/>
      <c r="IP99" s="662"/>
      <c r="IQ99" s="662"/>
      <c r="IR99" s="662"/>
      <c r="IS99" s="662"/>
      <c r="IT99" s="662"/>
      <c r="IU99" s="662"/>
      <c r="IV99" s="662"/>
      <c r="IW99" s="662"/>
      <c r="IX99" s="662"/>
    </row>
    <row r="100" spans="1:258" s="719" customFormat="1" x14ac:dyDescent="0.2">
      <c r="A100" s="716"/>
      <c r="B100" s="717"/>
      <c r="C100" s="1365"/>
      <c r="D100" s="718"/>
      <c r="E100" s="1366"/>
      <c r="F100" s="1366"/>
      <c r="G100" s="1367" t="s">
        <v>1704</v>
      </c>
      <c r="H100" s="1368">
        <f>6-0.8</f>
        <v>5.2</v>
      </c>
      <c r="I100" s="1369" t="s">
        <v>424</v>
      </c>
      <c r="J100" s="1369">
        <v>1.75</v>
      </c>
      <c r="K100" s="1369" t="s">
        <v>424</v>
      </c>
      <c r="L100" s="1369">
        <v>7</v>
      </c>
      <c r="M100" s="1369"/>
      <c r="N100" s="1369"/>
      <c r="O100" s="1369"/>
      <c r="P100" s="1369"/>
      <c r="Q100" s="1369" t="s">
        <v>696</v>
      </c>
      <c r="R100" s="1370">
        <f t="shared" ref="R100:R101" si="34">H100*J100*L100</f>
        <v>63.699999999999996</v>
      </c>
      <c r="S100" s="1371"/>
      <c r="T100" s="723"/>
      <c r="U100" s="662"/>
      <c r="V100" s="685"/>
      <c r="W100" s="662"/>
      <c r="X100" s="662"/>
      <c r="Y100" s="662"/>
      <c r="Z100" s="662"/>
      <c r="AA100" s="662"/>
      <c r="AB100" s="662"/>
      <c r="AC100" s="662"/>
      <c r="AD100" s="662"/>
      <c r="AE100" s="662"/>
      <c r="AF100" s="662"/>
      <c r="AG100" s="662"/>
      <c r="AH100" s="662"/>
      <c r="AI100" s="662"/>
      <c r="AJ100" s="662"/>
      <c r="AK100" s="662"/>
      <c r="AL100" s="662"/>
      <c r="AM100" s="662"/>
      <c r="AN100" s="662"/>
      <c r="AO100" s="662"/>
      <c r="AP100" s="662"/>
      <c r="AQ100" s="662"/>
      <c r="AR100" s="662"/>
      <c r="AS100" s="662"/>
      <c r="AT100" s="662"/>
      <c r="AU100" s="662"/>
      <c r="AV100" s="662"/>
      <c r="AW100" s="662"/>
      <c r="AX100" s="662"/>
      <c r="AY100" s="662"/>
      <c r="AZ100" s="662"/>
      <c r="BA100" s="662"/>
      <c r="BB100" s="662"/>
      <c r="BC100" s="662"/>
      <c r="BD100" s="662"/>
      <c r="BE100" s="662"/>
      <c r="BF100" s="662"/>
      <c r="BG100" s="662"/>
      <c r="BH100" s="662"/>
      <c r="BI100" s="662"/>
      <c r="BJ100" s="662"/>
      <c r="BK100" s="662"/>
      <c r="BL100" s="662"/>
      <c r="BM100" s="662"/>
      <c r="BN100" s="662"/>
      <c r="BO100" s="662"/>
      <c r="BP100" s="662"/>
      <c r="BQ100" s="662"/>
      <c r="BR100" s="662"/>
      <c r="BS100" s="662"/>
      <c r="BT100" s="662"/>
      <c r="BU100" s="662"/>
      <c r="BV100" s="662"/>
      <c r="BW100" s="662"/>
      <c r="BX100" s="662"/>
      <c r="BY100" s="662"/>
      <c r="BZ100" s="662"/>
      <c r="CA100" s="662"/>
      <c r="CB100" s="662"/>
      <c r="CC100" s="662"/>
      <c r="CD100" s="662"/>
      <c r="CE100" s="662"/>
      <c r="CF100" s="662"/>
      <c r="CG100" s="662"/>
      <c r="CH100" s="662"/>
      <c r="CI100" s="662"/>
      <c r="CJ100" s="662"/>
      <c r="CK100" s="662"/>
      <c r="CL100" s="662"/>
      <c r="CM100" s="662"/>
      <c r="CN100" s="662"/>
      <c r="CO100" s="662"/>
      <c r="CP100" s="662"/>
      <c r="CQ100" s="662"/>
      <c r="CR100" s="662"/>
      <c r="CS100" s="662"/>
      <c r="CT100" s="662"/>
      <c r="CU100" s="662"/>
      <c r="CV100" s="662"/>
      <c r="CW100" s="662"/>
      <c r="CX100" s="662"/>
      <c r="CY100" s="662"/>
      <c r="CZ100" s="662"/>
      <c r="DA100" s="662"/>
      <c r="DB100" s="662"/>
      <c r="DC100" s="662"/>
      <c r="DD100" s="662"/>
      <c r="DE100" s="662"/>
      <c r="DF100" s="662"/>
      <c r="DG100" s="662"/>
      <c r="DH100" s="662"/>
      <c r="DI100" s="662"/>
      <c r="DJ100" s="662"/>
      <c r="DK100" s="662"/>
      <c r="DL100" s="662"/>
      <c r="DM100" s="662"/>
      <c r="DN100" s="662"/>
      <c r="DO100" s="662"/>
      <c r="DP100" s="662"/>
      <c r="DQ100" s="662"/>
      <c r="DR100" s="662"/>
      <c r="DS100" s="662"/>
      <c r="DT100" s="662"/>
      <c r="DU100" s="662"/>
      <c r="DV100" s="662"/>
      <c r="DW100" s="662"/>
      <c r="DX100" s="662"/>
      <c r="DY100" s="662"/>
      <c r="DZ100" s="662"/>
      <c r="EA100" s="662"/>
      <c r="EB100" s="662"/>
      <c r="EC100" s="662"/>
      <c r="ED100" s="662"/>
      <c r="EE100" s="662"/>
      <c r="EF100" s="662"/>
      <c r="EG100" s="662"/>
      <c r="EH100" s="662"/>
      <c r="EI100" s="662"/>
      <c r="EJ100" s="662"/>
      <c r="EK100" s="662"/>
      <c r="EL100" s="662"/>
      <c r="EM100" s="662"/>
      <c r="EN100" s="662"/>
      <c r="EO100" s="662"/>
      <c r="EP100" s="662"/>
      <c r="EQ100" s="662"/>
      <c r="ER100" s="662"/>
      <c r="ES100" s="662"/>
      <c r="ET100" s="662"/>
      <c r="EU100" s="662"/>
      <c r="EV100" s="662"/>
      <c r="EW100" s="662"/>
      <c r="EX100" s="662"/>
      <c r="EY100" s="662"/>
      <c r="EZ100" s="662"/>
      <c r="FA100" s="662"/>
      <c r="FB100" s="662"/>
      <c r="FC100" s="662"/>
      <c r="FD100" s="662"/>
      <c r="FE100" s="662"/>
      <c r="FF100" s="662"/>
      <c r="FG100" s="662"/>
      <c r="FH100" s="662"/>
      <c r="FI100" s="662"/>
      <c r="FJ100" s="662"/>
      <c r="FK100" s="662"/>
      <c r="FL100" s="662"/>
      <c r="FM100" s="662"/>
      <c r="FN100" s="662"/>
      <c r="FO100" s="662"/>
      <c r="FP100" s="662"/>
      <c r="FQ100" s="662"/>
      <c r="FR100" s="662"/>
      <c r="FS100" s="662"/>
      <c r="FT100" s="662"/>
      <c r="FU100" s="662"/>
      <c r="FV100" s="662"/>
      <c r="FW100" s="662"/>
      <c r="FX100" s="662"/>
      <c r="FY100" s="662"/>
      <c r="FZ100" s="662"/>
      <c r="GA100" s="662"/>
      <c r="GB100" s="662"/>
      <c r="GC100" s="662"/>
      <c r="GD100" s="662"/>
      <c r="GE100" s="662"/>
      <c r="GF100" s="662"/>
      <c r="GG100" s="662"/>
      <c r="GH100" s="662"/>
      <c r="GI100" s="662"/>
      <c r="GJ100" s="662"/>
      <c r="GK100" s="662"/>
      <c r="GL100" s="662"/>
      <c r="GM100" s="662"/>
      <c r="GN100" s="662"/>
      <c r="GO100" s="662"/>
      <c r="GP100" s="662"/>
      <c r="GQ100" s="662"/>
      <c r="GR100" s="662"/>
      <c r="GS100" s="662"/>
      <c r="GT100" s="662"/>
      <c r="GU100" s="662"/>
      <c r="GV100" s="662"/>
      <c r="GW100" s="662"/>
      <c r="GX100" s="662"/>
      <c r="GY100" s="662"/>
      <c r="GZ100" s="662"/>
      <c r="HA100" s="662"/>
      <c r="HB100" s="662"/>
      <c r="HC100" s="662"/>
      <c r="HD100" s="662"/>
      <c r="HE100" s="662"/>
      <c r="HF100" s="662"/>
      <c r="HG100" s="662"/>
      <c r="HH100" s="662"/>
      <c r="HI100" s="662"/>
      <c r="HJ100" s="662"/>
      <c r="HK100" s="662"/>
      <c r="HL100" s="662"/>
      <c r="HM100" s="662"/>
      <c r="HN100" s="662"/>
      <c r="HO100" s="662"/>
      <c r="HP100" s="662"/>
      <c r="HQ100" s="662"/>
      <c r="HR100" s="662"/>
      <c r="HS100" s="662"/>
      <c r="HT100" s="662"/>
      <c r="HU100" s="662"/>
      <c r="HV100" s="662"/>
      <c r="HW100" s="662"/>
      <c r="HX100" s="662"/>
      <c r="HY100" s="662"/>
      <c r="HZ100" s="662"/>
      <c r="IA100" s="662"/>
      <c r="IB100" s="662"/>
      <c r="IC100" s="662"/>
      <c r="ID100" s="662"/>
      <c r="IE100" s="662"/>
      <c r="IF100" s="662"/>
      <c r="IG100" s="662"/>
      <c r="IH100" s="662"/>
      <c r="II100" s="662"/>
      <c r="IJ100" s="662"/>
      <c r="IK100" s="662"/>
      <c r="IL100" s="662"/>
      <c r="IM100" s="662"/>
      <c r="IN100" s="662"/>
      <c r="IO100" s="662"/>
      <c r="IP100" s="662"/>
      <c r="IQ100" s="662"/>
      <c r="IR100" s="662"/>
      <c r="IS100" s="662"/>
      <c r="IT100" s="662"/>
      <c r="IU100" s="662"/>
      <c r="IV100" s="662"/>
      <c r="IW100" s="662"/>
      <c r="IX100" s="662"/>
    </row>
    <row r="101" spans="1:258" s="719" customFormat="1" x14ac:dyDescent="0.2">
      <c r="A101" s="716"/>
      <c r="B101" s="717"/>
      <c r="C101" s="1365"/>
      <c r="D101" s="718"/>
      <c r="E101" s="1366"/>
      <c r="F101" s="1366"/>
      <c r="G101" s="1367" t="s">
        <v>1705</v>
      </c>
      <c r="H101" s="1368">
        <f>6.5-0.8</f>
        <v>5.7</v>
      </c>
      <c r="I101" s="1369" t="s">
        <v>424</v>
      </c>
      <c r="J101" s="1369">
        <v>1.75</v>
      </c>
      <c r="K101" s="1369" t="s">
        <v>424</v>
      </c>
      <c r="L101" s="1369">
        <v>1</v>
      </c>
      <c r="M101" s="1369"/>
      <c r="N101" s="1369"/>
      <c r="O101" s="1369"/>
      <c r="P101" s="1369"/>
      <c r="Q101" s="1369" t="s">
        <v>696</v>
      </c>
      <c r="R101" s="1370">
        <f t="shared" si="34"/>
        <v>9.9749999999999996</v>
      </c>
      <c r="S101" s="1371"/>
      <c r="T101" s="723"/>
      <c r="U101" s="662"/>
      <c r="V101" s="685"/>
      <c r="W101" s="662"/>
      <c r="X101" s="662"/>
      <c r="Y101" s="662"/>
      <c r="Z101" s="662"/>
      <c r="AA101" s="662"/>
      <c r="AB101" s="662"/>
      <c r="AC101" s="662"/>
      <c r="AD101" s="662"/>
      <c r="AE101" s="662"/>
      <c r="AF101" s="662"/>
      <c r="AG101" s="662"/>
      <c r="AH101" s="662"/>
      <c r="AI101" s="662"/>
      <c r="AJ101" s="662"/>
      <c r="AK101" s="662"/>
      <c r="AL101" s="662"/>
      <c r="AM101" s="662"/>
      <c r="AN101" s="662"/>
      <c r="AO101" s="662"/>
      <c r="AP101" s="662"/>
      <c r="AQ101" s="662"/>
      <c r="AR101" s="662"/>
      <c r="AS101" s="662"/>
      <c r="AT101" s="662"/>
      <c r="AU101" s="662"/>
      <c r="AV101" s="662"/>
      <c r="AW101" s="662"/>
      <c r="AX101" s="662"/>
      <c r="AY101" s="662"/>
      <c r="AZ101" s="662"/>
      <c r="BA101" s="662"/>
      <c r="BB101" s="662"/>
      <c r="BC101" s="662"/>
      <c r="BD101" s="662"/>
      <c r="BE101" s="662"/>
      <c r="BF101" s="662"/>
      <c r="BG101" s="662"/>
      <c r="BH101" s="662"/>
      <c r="BI101" s="662"/>
      <c r="BJ101" s="662"/>
      <c r="BK101" s="662"/>
      <c r="BL101" s="662"/>
      <c r="BM101" s="662"/>
      <c r="BN101" s="662"/>
      <c r="BO101" s="662"/>
      <c r="BP101" s="662"/>
      <c r="BQ101" s="662"/>
      <c r="BR101" s="662"/>
      <c r="BS101" s="662"/>
      <c r="BT101" s="662"/>
      <c r="BU101" s="662"/>
      <c r="BV101" s="662"/>
      <c r="BW101" s="662"/>
      <c r="BX101" s="662"/>
      <c r="BY101" s="662"/>
      <c r="BZ101" s="662"/>
      <c r="CA101" s="662"/>
      <c r="CB101" s="662"/>
      <c r="CC101" s="662"/>
      <c r="CD101" s="662"/>
      <c r="CE101" s="662"/>
      <c r="CF101" s="662"/>
      <c r="CG101" s="662"/>
      <c r="CH101" s="662"/>
      <c r="CI101" s="662"/>
      <c r="CJ101" s="662"/>
      <c r="CK101" s="662"/>
      <c r="CL101" s="662"/>
      <c r="CM101" s="662"/>
      <c r="CN101" s="662"/>
      <c r="CO101" s="662"/>
      <c r="CP101" s="662"/>
      <c r="CQ101" s="662"/>
      <c r="CR101" s="662"/>
      <c r="CS101" s="662"/>
      <c r="CT101" s="662"/>
      <c r="CU101" s="662"/>
      <c r="CV101" s="662"/>
      <c r="CW101" s="662"/>
      <c r="CX101" s="662"/>
      <c r="CY101" s="662"/>
      <c r="CZ101" s="662"/>
      <c r="DA101" s="662"/>
      <c r="DB101" s="662"/>
      <c r="DC101" s="662"/>
      <c r="DD101" s="662"/>
      <c r="DE101" s="662"/>
      <c r="DF101" s="662"/>
      <c r="DG101" s="662"/>
      <c r="DH101" s="662"/>
      <c r="DI101" s="662"/>
      <c r="DJ101" s="662"/>
      <c r="DK101" s="662"/>
      <c r="DL101" s="662"/>
      <c r="DM101" s="662"/>
      <c r="DN101" s="662"/>
      <c r="DO101" s="662"/>
      <c r="DP101" s="662"/>
      <c r="DQ101" s="662"/>
      <c r="DR101" s="662"/>
      <c r="DS101" s="662"/>
      <c r="DT101" s="662"/>
      <c r="DU101" s="662"/>
      <c r="DV101" s="662"/>
      <c r="DW101" s="662"/>
      <c r="DX101" s="662"/>
      <c r="DY101" s="662"/>
      <c r="DZ101" s="662"/>
      <c r="EA101" s="662"/>
      <c r="EB101" s="662"/>
      <c r="EC101" s="662"/>
      <c r="ED101" s="662"/>
      <c r="EE101" s="662"/>
      <c r="EF101" s="662"/>
      <c r="EG101" s="662"/>
      <c r="EH101" s="662"/>
      <c r="EI101" s="662"/>
      <c r="EJ101" s="662"/>
      <c r="EK101" s="662"/>
      <c r="EL101" s="662"/>
      <c r="EM101" s="662"/>
      <c r="EN101" s="662"/>
      <c r="EO101" s="662"/>
      <c r="EP101" s="662"/>
      <c r="EQ101" s="662"/>
      <c r="ER101" s="662"/>
      <c r="ES101" s="662"/>
      <c r="ET101" s="662"/>
      <c r="EU101" s="662"/>
      <c r="EV101" s="662"/>
      <c r="EW101" s="662"/>
      <c r="EX101" s="662"/>
      <c r="EY101" s="662"/>
      <c r="EZ101" s="662"/>
      <c r="FA101" s="662"/>
      <c r="FB101" s="662"/>
      <c r="FC101" s="662"/>
      <c r="FD101" s="662"/>
      <c r="FE101" s="662"/>
      <c r="FF101" s="662"/>
      <c r="FG101" s="662"/>
      <c r="FH101" s="662"/>
      <c r="FI101" s="662"/>
      <c r="FJ101" s="662"/>
      <c r="FK101" s="662"/>
      <c r="FL101" s="662"/>
      <c r="FM101" s="662"/>
      <c r="FN101" s="662"/>
      <c r="FO101" s="662"/>
      <c r="FP101" s="662"/>
      <c r="FQ101" s="662"/>
      <c r="FR101" s="662"/>
      <c r="FS101" s="662"/>
      <c r="FT101" s="662"/>
      <c r="FU101" s="662"/>
      <c r="FV101" s="662"/>
      <c r="FW101" s="662"/>
      <c r="FX101" s="662"/>
      <c r="FY101" s="662"/>
      <c r="FZ101" s="662"/>
      <c r="GA101" s="662"/>
      <c r="GB101" s="662"/>
      <c r="GC101" s="662"/>
      <c r="GD101" s="662"/>
      <c r="GE101" s="662"/>
      <c r="GF101" s="662"/>
      <c r="GG101" s="662"/>
      <c r="GH101" s="662"/>
      <c r="GI101" s="662"/>
      <c r="GJ101" s="662"/>
      <c r="GK101" s="662"/>
      <c r="GL101" s="662"/>
      <c r="GM101" s="662"/>
      <c r="GN101" s="662"/>
      <c r="GO101" s="662"/>
      <c r="GP101" s="662"/>
      <c r="GQ101" s="662"/>
      <c r="GR101" s="662"/>
      <c r="GS101" s="662"/>
      <c r="GT101" s="662"/>
      <c r="GU101" s="662"/>
      <c r="GV101" s="662"/>
      <c r="GW101" s="662"/>
      <c r="GX101" s="662"/>
      <c r="GY101" s="662"/>
      <c r="GZ101" s="662"/>
      <c r="HA101" s="662"/>
      <c r="HB101" s="662"/>
      <c r="HC101" s="662"/>
      <c r="HD101" s="662"/>
      <c r="HE101" s="662"/>
      <c r="HF101" s="662"/>
      <c r="HG101" s="662"/>
      <c r="HH101" s="662"/>
      <c r="HI101" s="662"/>
      <c r="HJ101" s="662"/>
      <c r="HK101" s="662"/>
      <c r="HL101" s="662"/>
      <c r="HM101" s="662"/>
      <c r="HN101" s="662"/>
      <c r="HO101" s="662"/>
      <c r="HP101" s="662"/>
      <c r="HQ101" s="662"/>
      <c r="HR101" s="662"/>
      <c r="HS101" s="662"/>
      <c r="HT101" s="662"/>
      <c r="HU101" s="662"/>
      <c r="HV101" s="662"/>
      <c r="HW101" s="662"/>
      <c r="HX101" s="662"/>
      <c r="HY101" s="662"/>
      <c r="HZ101" s="662"/>
      <c r="IA101" s="662"/>
      <c r="IB101" s="662"/>
      <c r="IC101" s="662"/>
      <c r="ID101" s="662"/>
      <c r="IE101" s="662"/>
      <c r="IF101" s="662"/>
      <c r="IG101" s="662"/>
      <c r="IH101" s="662"/>
      <c r="II101" s="662"/>
      <c r="IJ101" s="662"/>
      <c r="IK101" s="662"/>
      <c r="IL101" s="662"/>
      <c r="IM101" s="662"/>
      <c r="IN101" s="662"/>
      <c r="IO101" s="662"/>
      <c r="IP101" s="662"/>
      <c r="IQ101" s="662"/>
      <c r="IR101" s="662"/>
      <c r="IS101" s="662"/>
      <c r="IT101" s="662"/>
      <c r="IU101" s="662"/>
      <c r="IV101" s="662"/>
      <c r="IW101" s="662"/>
      <c r="IX101" s="662"/>
    </row>
    <row r="102" spans="1:258" s="203" customFormat="1" x14ac:dyDescent="0.2">
      <c r="A102" s="669"/>
      <c r="B102" s="670"/>
      <c r="C102" s="1358"/>
      <c r="D102" s="672"/>
      <c r="E102" s="1359"/>
      <c r="F102" s="1359"/>
      <c r="G102" s="1360"/>
      <c r="H102" s="1361"/>
      <c r="I102" s="1362"/>
      <c r="J102" s="1362"/>
      <c r="K102" s="1362"/>
      <c r="L102" s="1362"/>
      <c r="M102" s="1362"/>
      <c r="N102" s="1362"/>
      <c r="O102" s="1362"/>
      <c r="P102" s="1362"/>
      <c r="Q102" s="1362"/>
      <c r="R102" s="1370">
        <f>SUM(R100:R101)</f>
        <v>73.674999999999997</v>
      </c>
      <c r="S102" s="1364"/>
      <c r="T102" s="722"/>
      <c r="U102" s="205"/>
      <c r="V102" s="685"/>
      <c r="W102" s="205"/>
      <c r="X102" s="205"/>
      <c r="Y102" s="205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5"/>
      <c r="BW102" s="205"/>
      <c r="BX102" s="205"/>
      <c r="BY102" s="205"/>
      <c r="BZ102" s="205"/>
      <c r="CA102" s="205"/>
      <c r="CB102" s="205"/>
      <c r="CC102" s="205"/>
      <c r="CD102" s="205"/>
      <c r="CE102" s="205"/>
      <c r="CF102" s="205"/>
      <c r="CG102" s="205"/>
      <c r="CH102" s="205"/>
      <c r="CI102" s="205"/>
      <c r="CJ102" s="205"/>
      <c r="CK102" s="205"/>
      <c r="CL102" s="205"/>
      <c r="CM102" s="205"/>
      <c r="CN102" s="205"/>
      <c r="CO102" s="205"/>
      <c r="CP102" s="205"/>
      <c r="CQ102" s="205"/>
      <c r="CR102" s="205"/>
      <c r="CS102" s="205"/>
      <c r="CT102" s="205"/>
      <c r="CU102" s="205"/>
      <c r="CV102" s="205"/>
      <c r="CW102" s="205"/>
      <c r="CX102" s="205"/>
      <c r="CY102" s="205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205"/>
      <c r="IJ102" s="205"/>
      <c r="IK102" s="205"/>
      <c r="IL102" s="205"/>
      <c r="IM102" s="205"/>
      <c r="IN102" s="205"/>
      <c r="IO102" s="205"/>
      <c r="IP102" s="205"/>
      <c r="IQ102" s="205"/>
      <c r="IR102" s="205"/>
      <c r="IS102" s="205"/>
      <c r="IT102" s="205"/>
      <c r="IU102" s="205"/>
      <c r="IV102" s="205"/>
      <c r="IW102" s="205"/>
      <c r="IX102" s="205"/>
    </row>
    <row r="103" spans="1:258" s="203" customFormat="1" x14ac:dyDescent="0.2">
      <c r="A103" s="669"/>
      <c r="B103" s="670"/>
      <c r="C103" s="1358"/>
      <c r="D103" s="672"/>
      <c r="E103" s="1359"/>
      <c r="F103" s="1359"/>
      <c r="G103" s="1360"/>
      <c r="H103" s="1372">
        <f>S96</f>
        <v>1298.55</v>
      </c>
      <c r="I103" s="1362" t="s">
        <v>805</v>
      </c>
      <c r="J103" s="1373">
        <f>R102</f>
        <v>73.674999999999997</v>
      </c>
      <c r="K103" s="1362"/>
      <c r="L103" s="1362"/>
      <c r="M103" s="1362"/>
      <c r="N103" s="1362"/>
      <c r="O103" s="1362"/>
      <c r="P103" s="1362"/>
      <c r="Q103" s="1362" t="s">
        <v>696</v>
      </c>
      <c r="R103" s="1363">
        <f>H103-J103</f>
        <v>1224.875</v>
      </c>
      <c r="S103" s="1364">
        <f>R103</f>
        <v>1224.875</v>
      </c>
      <c r="T103" s="722" t="s">
        <v>338</v>
      </c>
      <c r="U103" s="205"/>
      <c r="V103" s="685"/>
      <c r="W103" s="205"/>
      <c r="X103" s="205"/>
      <c r="Y103" s="205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205"/>
      <c r="IJ103" s="205"/>
      <c r="IK103" s="205"/>
      <c r="IL103" s="205"/>
      <c r="IM103" s="205"/>
      <c r="IN103" s="205"/>
      <c r="IO103" s="205"/>
      <c r="IP103" s="205"/>
      <c r="IQ103" s="205"/>
      <c r="IR103" s="205"/>
      <c r="IS103" s="205"/>
      <c r="IT103" s="205"/>
      <c r="IU103" s="205"/>
      <c r="IV103" s="205"/>
      <c r="IW103" s="205"/>
      <c r="IX103" s="205"/>
    </row>
    <row r="104" spans="1:258" s="203" customFormat="1" x14ac:dyDescent="0.2">
      <c r="A104" s="669"/>
      <c r="B104" s="670"/>
      <c r="C104" s="1358"/>
      <c r="D104" s="672"/>
      <c r="E104" s="1359"/>
      <c r="F104" s="1359"/>
      <c r="G104" s="1360"/>
      <c r="H104" s="1361"/>
      <c r="I104" s="1362"/>
      <c r="J104" s="1362"/>
      <c r="K104" s="1362"/>
      <c r="L104" s="1362"/>
      <c r="M104" s="1362"/>
      <c r="N104" s="1362"/>
      <c r="O104" s="1362"/>
      <c r="P104" s="1362"/>
      <c r="Q104" s="1362"/>
      <c r="R104" s="1363"/>
      <c r="S104" s="1364"/>
      <c r="T104" s="722"/>
      <c r="U104" s="205"/>
      <c r="V104" s="68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205"/>
      <c r="IJ104" s="205"/>
      <c r="IK104" s="205"/>
      <c r="IL104" s="205"/>
      <c r="IM104" s="205"/>
      <c r="IN104" s="205"/>
      <c r="IO104" s="205"/>
      <c r="IP104" s="205"/>
      <c r="IQ104" s="205"/>
      <c r="IR104" s="205"/>
      <c r="IS104" s="205"/>
      <c r="IT104" s="205"/>
      <c r="IU104" s="205"/>
      <c r="IV104" s="205"/>
      <c r="IW104" s="205"/>
      <c r="IX104" s="205"/>
    </row>
    <row r="105" spans="1:258" s="203" customFormat="1" x14ac:dyDescent="0.2">
      <c r="A105" s="669"/>
      <c r="B105" s="670">
        <f>RAB!B52</f>
        <v>6</v>
      </c>
      <c r="C105" s="686" t="str">
        <f>RAB!D52</f>
        <v>Sponengan</v>
      </c>
      <c r="D105" s="672"/>
      <c r="E105" s="673"/>
      <c r="F105" s="673"/>
      <c r="G105" s="674"/>
      <c r="H105" s="675"/>
      <c r="I105" s="676"/>
      <c r="J105" s="676" t="s">
        <v>1706</v>
      </c>
      <c r="K105" s="676"/>
      <c r="L105" s="676"/>
      <c r="M105" s="676"/>
      <c r="N105" s="676"/>
      <c r="O105" s="676"/>
      <c r="P105" s="676"/>
      <c r="Q105" s="676"/>
      <c r="R105" s="677"/>
      <c r="S105" s="678"/>
      <c r="T105" s="684"/>
      <c r="U105" s="205"/>
      <c r="V105" s="68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205"/>
      <c r="IJ105" s="205"/>
      <c r="IK105" s="205"/>
      <c r="IL105" s="205"/>
      <c r="IM105" s="205"/>
      <c r="IN105" s="205"/>
      <c r="IO105" s="205"/>
      <c r="IP105" s="205"/>
      <c r="IQ105" s="205"/>
      <c r="IR105" s="205"/>
      <c r="IS105" s="205"/>
      <c r="IT105" s="205"/>
      <c r="IU105" s="205"/>
      <c r="IV105" s="205"/>
      <c r="IW105" s="205"/>
      <c r="IX105" s="205"/>
    </row>
    <row r="106" spans="1:258" s="203" customFormat="1" x14ac:dyDescent="0.2">
      <c r="A106" s="669"/>
      <c r="B106" s="670"/>
      <c r="C106" s="1358"/>
      <c r="D106" s="672"/>
      <c r="E106" s="1359"/>
      <c r="F106" s="1359"/>
      <c r="G106" s="1360" t="str">
        <f t="shared" ref="G106:G114" si="35">G82</f>
        <v>P1</v>
      </c>
      <c r="H106" s="1361">
        <f>H82+J82+J82</f>
        <v>5.7</v>
      </c>
      <c r="I106" s="1362" t="s">
        <v>424</v>
      </c>
      <c r="J106" s="1362">
        <v>2</v>
      </c>
      <c r="K106" s="1362" t="s">
        <v>424</v>
      </c>
      <c r="L106" s="1362">
        <f t="shared" ref="L106:L114" si="36">L82</f>
        <v>12</v>
      </c>
      <c r="M106" s="1362"/>
      <c r="N106" s="1362"/>
      <c r="O106" s="1362"/>
      <c r="P106" s="1362"/>
      <c r="Q106" s="1362" t="s">
        <v>696</v>
      </c>
      <c r="R106" s="1363">
        <f t="shared" ref="R106:R114" si="37">H106*J106*L106</f>
        <v>136.80000000000001</v>
      </c>
      <c r="S106" s="1364"/>
      <c r="T106" s="722"/>
      <c r="U106" s="205"/>
      <c r="V106" s="68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  <c r="CY106" s="205"/>
      <c r="CZ106" s="205"/>
      <c r="DA106" s="205"/>
      <c r="DB106" s="205"/>
      <c r="DC106" s="205"/>
      <c r="DD106" s="205"/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205"/>
      <c r="IJ106" s="205"/>
      <c r="IK106" s="205"/>
      <c r="IL106" s="205"/>
      <c r="IM106" s="205"/>
      <c r="IN106" s="205"/>
      <c r="IO106" s="205"/>
      <c r="IP106" s="205"/>
      <c r="IQ106" s="205"/>
      <c r="IR106" s="205"/>
      <c r="IS106" s="205"/>
      <c r="IT106" s="205"/>
      <c r="IU106" s="205"/>
      <c r="IV106" s="205"/>
      <c r="IW106" s="205"/>
      <c r="IX106" s="205"/>
    </row>
    <row r="107" spans="1:258" s="203" customFormat="1" x14ac:dyDescent="0.2">
      <c r="A107" s="669"/>
      <c r="B107" s="670"/>
      <c r="C107" s="1358"/>
      <c r="D107" s="672"/>
      <c r="E107" s="1359"/>
      <c r="F107" s="1359"/>
      <c r="G107" s="1360" t="str">
        <f t="shared" si="35"/>
        <v>P2</v>
      </c>
      <c r="H107" s="1361">
        <f>H83+J83+J83</f>
        <v>5.7</v>
      </c>
      <c r="I107" s="1362" t="s">
        <v>424</v>
      </c>
      <c r="J107" s="1362">
        <v>2</v>
      </c>
      <c r="K107" s="1362" t="s">
        <v>424</v>
      </c>
      <c r="L107" s="1362">
        <f t="shared" si="36"/>
        <v>1</v>
      </c>
      <c r="M107" s="1362"/>
      <c r="N107" s="1362"/>
      <c r="O107" s="1362"/>
      <c r="P107" s="1362"/>
      <c r="Q107" s="1362" t="s">
        <v>696</v>
      </c>
      <c r="R107" s="1363">
        <f t="shared" si="37"/>
        <v>11.4</v>
      </c>
      <c r="S107" s="1364"/>
      <c r="T107" s="722"/>
      <c r="U107" s="205"/>
      <c r="V107" s="68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205"/>
      <c r="CU107" s="205"/>
      <c r="CV107" s="205"/>
      <c r="CW107" s="205"/>
      <c r="CX107" s="205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205"/>
      <c r="IH107" s="205"/>
      <c r="II107" s="205"/>
      <c r="IJ107" s="205"/>
      <c r="IK107" s="205"/>
      <c r="IL107" s="205"/>
      <c r="IM107" s="205"/>
      <c r="IN107" s="205"/>
      <c r="IO107" s="205"/>
      <c r="IP107" s="205"/>
      <c r="IQ107" s="205"/>
      <c r="IR107" s="205"/>
      <c r="IS107" s="205"/>
      <c r="IT107" s="205"/>
      <c r="IU107" s="205"/>
      <c r="IV107" s="205"/>
      <c r="IW107" s="205"/>
      <c r="IX107" s="205"/>
    </row>
    <row r="108" spans="1:258" s="203" customFormat="1" x14ac:dyDescent="0.2">
      <c r="A108" s="669"/>
      <c r="B108" s="670"/>
      <c r="C108" s="1358"/>
      <c r="D108" s="672"/>
      <c r="E108" s="1359"/>
      <c r="F108" s="1359"/>
      <c r="G108" s="1360" t="str">
        <f t="shared" si="35"/>
        <v>P3</v>
      </c>
      <c r="H108" s="1361">
        <f>H84+J84+J84</f>
        <v>5</v>
      </c>
      <c r="I108" s="1362" t="s">
        <v>424</v>
      </c>
      <c r="J108" s="1362">
        <v>2</v>
      </c>
      <c r="K108" s="1362" t="s">
        <v>424</v>
      </c>
      <c r="L108" s="1362">
        <f t="shared" si="36"/>
        <v>9</v>
      </c>
      <c r="M108" s="1362"/>
      <c r="N108" s="1362"/>
      <c r="O108" s="1362"/>
      <c r="P108" s="1362"/>
      <c r="Q108" s="1362" t="s">
        <v>696</v>
      </c>
      <c r="R108" s="1363">
        <f t="shared" si="37"/>
        <v>90</v>
      </c>
      <c r="S108" s="1364"/>
      <c r="T108" s="722"/>
      <c r="U108" s="205"/>
      <c r="V108" s="68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205"/>
      <c r="CU108" s="205"/>
      <c r="CV108" s="205"/>
      <c r="CW108" s="205"/>
      <c r="CX108" s="205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205"/>
      <c r="II108" s="205"/>
      <c r="IJ108" s="205"/>
      <c r="IK108" s="205"/>
      <c r="IL108" s="205"/>
      <c r="IM108" s="205"/>
      <c r="IN108" s="205"/>
      <c r="IO108" s="205"/>
      <c r="IP108" s="205"/>
      <c r="IQ108" s="205"/>
      <c r="IR108" s="205"/>
      <c r="IS108" s="205"/>
      <c r="IT108" s="205"/>
      <c r="IU108" s="205"/>
      <c r="IV108" s="205"/>
      <c r="IW108" s="205"/>
      <c r="IX108" s="205"/>
    </row>
    <row r="109" spans="1:258" s="203" customFormat="1" x14ac:dyDescent="0.2">
      <c r="A109" s="669"/>
      <c r="B109" s="670"/>
      <c r="C109" s="1390"/>
      <c r="D109" s="672"/>
      <c r="E109" s="1391"/>
      <c r="F109" s="1391"/>
      <c r="G109" s="1360" t="str">
        <f t="shared" si="35"/>
        <v>P4</v>
      </c>
      <c r="H109" s="1361">
        <f>H85+J85+J85</f>
        <v>5.0999999999999996</v>
      </c>
      <c r="I109" s="1362" t="s">
        <v>424</v>
      </c>
      <c r="J109" s="1362">
        <v>2</v>
      </c>
      <c r="K109" s="1362" t="s">
        <v>424</v>
      </c>
      <c r="L109" s="1362">
        <f t="shared" si="36"/>
        <v>6</v>
      </c>
      <c r="M109" s="1362"/>
      <c r="N109" s="1362"/>
      <c r="O109" s="1362"/>
      <c r="P109" s="1362"/>
      <c r="Q109" s="1362" t="s">
        <v>696</v>
      </c>
      <c r="R109" s="1363">
        <f t="shared" ref="R109" si="38">H109*J109*L109</f>
        <v>61.199999999999996</v>
      </c>
      <c r="S109" s="1396"/>
      <c r="T109" s="1397"/>
      <c r="U109" s="205"/>
      <c r="V109" s="685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C109" s="205"/>
      <c r="BD109" s="205"/>
      <c r="BE109" s="205"/>
      <c r="BF109" s="205"/>
      <c r="BG109" s="205"/>
      <c r="BH109" s="205"/>
      <c r="BI109" s="205"/>
      <c r="BJ109" s="205"/>
      <c r="BK109" s="205"/>
      <c r="BL109" s="205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5"/>
      <c r="BW109" s="205"/>
      <c r="BX109" s="205"/>
      <c r="BY109" s="205"/>
      <c r="BZ109" s="205"/>
      <c r="CA109" s="205"/>
      <c r="CB109" s="205"/>
      <c r="CC109" s="205"/>
      <c r="CD109" s="205"/>
      <c r="CE109" s="205"/>
      <c r="CF109" s="205"/>
      <c r="CG109" s="205"/>
      <c r="CH109" s="205"/>
      <c r="CI109" s="205"/>
      <c r="CJ109" s="205"/>
      <c r="CK109" s="205"/>
      <c r="CL109" s="205"/>
      <c r="CM109" s="205"/>
      <c r="CN109" s="205"/>
      <c r="CO109" s="205"/>
      <c r="CP109" s="205"/>
      <c r="CQ109" s="205"/>
      <c r="CR109" s="205"/>
      <c r="CS109" s="205"/>
      <c r="CT109" s="205"/>
      <c r="CU109" s="205"/>
      <c r="CV109" s="205"/>
      <c r="CW109" s="205"/>
      <c r="CX109" s="205"/>
      <c r="CY109" s="205"/>
      <c r="CZ109" s="205"/>
      <c r="DA109" s="205"/>
      <c r="DB109" s="205"/>
      <c r="DC109" s="205"/>
      <c r="DD109" s="205"/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205"/>
      <c r="II109" s="205"/>
      <c r="IJ109" s="205"/>
      <c r="IK109" s="205"/>
      <c r="IL109" s="205"/>
      <c r="IM109" s="205"/>
      <c r="IN109" s="205"/>
      <c r="IO109" s="205"/>
      <c r="IP109" s="205"/>
      <c r="IQ109" s="205"/>
      <c r="IR109" s="205"/>
      <c r="IS109" s="205"/>
      <c r="IT109" s="205"/>
      <c r="IU109" s="205"/>
      <c r="IV109" s="205"/>
      <c r="IW109" s="205"/>
      <c r="IX109" s="205"/>
    </row>
    <row r="110" spans="1:258" s="203" customFormat="1" x14ac:dyDescent="0.2">
      <c r="A110" s="669"/>
      <c r="B110" s="670"/>
      <c r="C110" s="1358"/>
      <c r="D110" s="672"/>
      <c r="E110" s="1359"/>
      <c r="F110" s="1359"/>
      <c r="G110" s="1360" t="str">
        <f t="shared" si="35"/>
        <v>J1</v>
      </c>
      <c r="H110" s="1361">
        <f>H86+H86+J86+J86</f>
        <v>8.8000000000000007</v>
      </c>
      <c r="I110" s="1362" t="s">
        <v>424</v>
      </c>
      <c r="J110" s="1362">
        <v>2</v>
      </c>
      <c r="K110" s="1362" t="s">
        <v>424</v>
      </c>
      <c r="L110" s="1362">
        <f t="shared" si="36"/>
        <v>1</v>
      </c>
      <c r="M110" s="1362"/>
      <c r="N110" s="1362"/>
      <c r="O110" s="1362"/>
      <c r="P110" s="1362"/>
      <c r="Q110" s="1362" t="s">
        <v>696</v>
      </c>
      <c r="R110" s="1363">
        <f t="shared" si="37"/>
        <v>17.600000000000001</v>
      </c>
      <c r="S110" s="1364"/>
      <c r="T110" s="722"/>
      <c r="U110" s="205"/>
      <c r="V110" s="685"/>
      <c r="W110" s="205"/>
      <c r="X110" s="205"/>
      <c r="Y110" s="205"/>
      <c r="Z110" s="205"/>
      <c r="AA110" s="205"/>
      <c r="AB110" s="205"/>
      <c r="AC110" s="205"/>
      <c r="AD110" s="205"/>
      <c r="AE110" s="205"/>
      <c r="AF110" s="205"/>
      <c r="AG110" s="205"/>
      <c r="AH110" s="205"/>
      <c r="AI110" s="205"/>
      <c r="AJ110" s="205"/>
      <c r="AK110" s="205"/>
      <c r="AL110" s="205"/>
      <c r="AM110" s="205"/>
      <c r="AN110" s="205"/>
      <c r="AO110" s="205"/>
      <c r="AP110" s="205"/>
      <c r="AQ110" s="205"/>
      <c r="AR110" s="205"/>
      <c r="AS110" s="205"/>
      <c r="AT110" s="205"/>
      <c r="AU110" s="205"/>
      <c r="AV110" s="205"/>
      <c r="AW110" s="205"/>
      <c r="AX110" s="205"/>
      <c r="AY110" s="205"/>
      <c r="AZ110" s="205"/>
      <c r="BA110" s="205"/>
      <c r="BB110" s="205"/>
      <c r="BC110" s="205"/>
      <c r="BD110" s="205"/>
      <c r="BE110" s="205"/>
      <c r="BF110" s="205"/>
      <c r="BG110" s="205"/>
      <c r="BH110" s="205"/>
      <c r="BI110" s="205"/>
      <c r="BJ110" s="205"/>
      <c r="BK110" s="205"/>
      <c r="BL110" s="205"/>
      <c r="BM110" s="205"/>
      <c r="BN110" s="205"/>
      <c r="BO110" s="205"/>
      <c r="BP110" s="205"/>
      <c r="BQ110" s="205"/>
      <c r="BR110" s="205"/>
      <c r="BS110" s="205"/>
      <c r="BT110" s="205"/>
      <c r="BU110" s="205"/>
      <c r="BV110" s="205"/>
      <c r="BW110" s="205"/>
      <c r="BX110" s="205"/>
      <c r="BY110" s="205"/>
      <c r="BZ110" s="205"/>
      <c r="CA110" s="205"/>
      <c r="CB110" s="205"/>
      <c r="CC110" s="205"/>
      <c r="CD110" s="205"/>
      <c r="CE110" s="205"/>
      <c r="CF110" s="205"/>
      <c r="CG110" s="205"/>
      <c r="CH110" s="205"/>
      <c r="CI110" s="205"/>
      <c r="CJ110" s="205"/>
      <c r="CK110" s="205"/>
      <c r="CL110" s="205"/>
      <c r="CM110" s="205"/>
      <c r="CN110" s="205"/>
      <c r="CO110" s="205"/>
      <c r="CP110" s="205"/>
      <c r="CQ110" s="205"/>
      <c r="CR110" s="205"/>
      <c r="CS110" s="205"/>
      <c r="CT110" s="205"/>
      <c r="CU110" s="205"/>
      <c r="CV110" s="205"/>
      <c r="CW110" s="205"/>
      <c r="CX110" s="205"/>
      <c r="CY110" s="205"/>
      <c r="CZ110" s="205"/>
      <c r="DA110" s="205"/>
      <c r="DB110" s="205"/>
      <c r="DC110" s="205"/>
      <c r="DD110" s="205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205"/>
      <c r="IJ110" s="205"/>
      <c r="IK110" s="205"/>
      <c r="IL110" s="205"/>
      <c r="IM110" s="205"/>
      <c r="IN110" s="205"/>
      <c r="IO110" s="205"/>
      <c r="IP110" s="205"/>
      <c r="IQ110" s="205"/>
      <c r="IR110" s="205"/>
      <c r="IS110" s="205"/>
      <c r="IT110" s="205"/>
      <c r="IU110" s="205"/>
      <c r="IV110" s="205"/>
      <c r="IW110" s="205"/>
      <c r="IX110" s="205"/>
    </row>
    <row r="111" spans="1:258" s="203" customFormat="1" x14ac:dyDescent="0.2">
      <c r="A111" s="669"/>
      <c r="B111" s="670"/>
      <c r="C111" s="1358"/>
      <c r="D111" s="672"/>
      <c r="E111" s="1359"/>
      <c r="F111" s="1359"/>
      <c r="G111" s="1360" t="str">
        <f t="shared" si="35"/>
        <v>J2</v>
      </c>
      <c r="H111" s="1361">
        <f>H87+H87+J87+J87</f>
        <v>5.2</v>
      </c>
      <c r="I111" s="1362" t="s">
        <v>424</v>
      </c>
      <c r="J111" s="1362">
        <v>2</v>
      </c>
      <c r="K111" s="1362" t="s">
        <v>424</v>
      </c>
      <c r="L111" s="1362">
        <f t="shared" si="36"/>
        <v>3</v>
      </c>
      <c r="M111" s="1362"/>
      <c r="N111" s="1362"/>
      <c r="O111" s="1362"/>
      <c r="P111" s="1362"/>
      <c r="Q111" s="1362" t="s">
        <v>696</v>
      </c>
      <c r="R111" s="1363">
        <f t="shared" si="37"/>
        <v>31.200000000000003</v>
      </c>
      <c r="S111" s="1364"/>
      <c r="T111" s="722"/>
      <c r="U111" s="205"/>
      <c r="V111" s="685"/>
      <c r="W111" s="205"/>
      <c r="X111" s="205"/>
      <c r="Y111" s="205"/>
      <c r="Z111" s="205"/>
      <c r="AA111" s="205"/>
      <c r="AB111" s="205"/>
      <c r="AC111" s="205"/>
      <c r="AD111" s="205"/>
      <c r="AE111" s="205"/>
      <c r="AF111" s="205"/>
      <c r="AG111" s="205"/>
      <c r="AH111" s="205"/>
      <c r="AI111" s="205"/>
      <c r="AJ111" s="205"/>
      <c r="AK111" s="205"/>
      <c r="AL111" s="205"/>
      <c r="AM111" s="205"/>
      <c r="AN111" s="205"/>
      <c r="AO111" s="205"/>
      <c r="AP111" s="205"/>
      <c r="AQ111" s="205"/>
      <c r="AR111" s="205"/>
      <c r="AS111" s="205"/>
      <c r="AT111" s="205"/>
      <c r="AU111" s="205"/>
      <c r="AV111" s="205"/>
      <c r="AW111" s="205"/>
      <c r="AX111" s="205"/>
      <c r="AY111" s="205"/>
      <c r="AZ111" s="205"/>
      <c r="BA111" s="205"/>
      <c r="BB111" s="205"/>
      <c r="BC111" s="205"/>
      <c r="BD111" s="205"/>
      <c r="BE111" s="205"/>
      <c r="BF111" s="205"/>
      <c r="BG111" s="205"/>
      <c r="BH111" s="205"/>
      <c r="BI111" s="205"/>
      <c r="BJ111" s="205"/>
      <c r="BK111" s="205"/>
      <c r="BL111" s="205"/>
      <c r="BM111" s="205"/>
      <c r="BN111" s="205"/>
      <c r="BO111" s="205"/>
      <c r="BP111" s="205"/>
      <c r="BQ111" s="205"/>
      <c r="BR111" s="205"/>
      <c r="BS111" s="205"/>
      <c r="BT111" s="205"/>
      <c r="BU111" s="205"/>
      <c r="BV111" s="205"/>
      <c r="BW111" s="205"/>
      <c r="BX111" s="205"/>
      <c r="BY111" s="205"/>
      <c r="BZ111" s="205"/>
      <c r="CA111" s="205"/>
      <c r="CB111" s="205"/>
      <c r="CC111" s="205"/>
      <c r="CD111" s="205"/>
      <c r="CE111" s="205"/>
      <c r="CF111" s="205"/>
      <c r="CG111" s="205"/>
      <c r="CH111" s="205"/>
      <c r="CI111" s="205"/>
      <c r="CJ111" s="205"/>
      <c r="CK111" s="205"/>
      <c r="CL111" s="205"/>
      <c r="CM111" s="205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C111" s="205"/>
      <c r="DD111" s="205"/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205"/>
      <c r="II111" s="205"/>
      <c r="IJ111" s="205"/>
      <c r="IK111" s="205"/>
      <c r="IL111" s="205"/>
      <c r="IM111" s="205"/>
      <c r="IN111" s="205"/>
      <c r="IO111" s="205"/>
      <c r="IP111" s="205"/>
      <c r="IQ111" s="205"/>
      <c r="IR111" s="205"/>
      <c r="IS111" s="205"/>
      <c r="IT111" s="205"/>
      <c r="IU111" s="205"/>
      <c r="IV111" s="205"/>
      <c r="IW111" s="205"/>
      <c r="IX111" s="205"/>
    </row>
    <row r="112" spans="1:258" s="203" customFormat="1" x14ac:dyDescent="0.2">
      <c r="A112" s="669"/>
      <c r="B112" s="670"/>
      <c r="C112" s="1358"/>
      <c r="D112" s="672"/>
      <c r="E112" s="1359"/>
      <c r="F112" s="1359"/>
      <c r="G112" s="1360" t="str">
        <f t="shared" si="35"/>
        <v>J3</v>
      </c>
      <c r="H112" s="1361">
        <f>H88+H88+J88+J88</f>
        <v>4.0999999999999996</v>
      </c>
      <c r="I112" s="1362" t="s">
        <v>424</v>
      </c>
      <c r="J112" s="1362">
        <v>2</v>
      </c>
      <c r="K112" s="1362" t="s">
        <v>424</v>
      </c>
      <c r="L112" s="1362">
        <f t="shared" si="36"/>
        <v>12</v>
      </c>
      <c r="M112" s="1362"/>
      <c r="N112" s="1362"/>
      <c r="O112" s="1362"/>
      <c r="P112" s="1362"/>
      <c r="Q112" s="1362" t="s">
        <v>696</v>
      </c>
      <c r="R112" s="1363">
        <f t="shared" si="37"/>
        <v>98.399999999999991</v>
      </c>
      <c r="S112" s="1364"/>
      <c r="T112" s="722"/>
      <c r="U112" s="205"/>
      <c r="V112" s="685"/>
      <c r="W112" s="205"/>
      <c r="X112" s="205"/>
      <c r="Y112" s="205"/>
      <c r="Z112" s="205"/>
      <c r="AA112" s="205"/>
      <c r="AB112" s="205"/>
      <c r="AC112" s="205"/>
      <c r="AD112" s="205"/>
      <c r="AE112" s="205"/>
      <c r="AF112" s="205"/>
      <c r="AG112" s="205"/>
      <c r="AH112" s="205"/>
      <c r="AI112" s="205"/>
      <c r="AJ112" s="205"/>
      <c r="AK112" s="205"/>
      <c r="AL112" s="205"/>
      <c r="AM112" s="205"/>
      <c r="AN112" s="205"/>
      <c r="AO112" s="205"/>
      <c r="AP112" s="205"/>
      <c r="AQ112" s="205"/>
      <c r="AR112" s="205"/>
      <c r="AS112" s="205"/>
      <c r="AT112" s="205"/>
      <c r="AU112" s="205"/>
      <c r="AV112" s="205"/>
      <c r="AW112" s="205"/>
      <c r="AX112" s="205"/>
      <c r="AY112" s="205"/>
      <c r="AZ112" s="205"/>
      <c r="BA112" s="205"/>
      <c r="BB112" s="205"/>
      <c r="BC112" s="205"/>
      <c r="BD112" s="205"/>
      <c r="BE112" s="205"/>
      <c r="BF112" s="205"/>
      <c r="BG112" s="205"/>
      <c r="BH112" s="205"/>
      <c r="BI112" s="205"/>
      <c r="BJ112" s="205"/>
      <c r="BK112" s="205"/>
      <c r="BL112" s="205"/>
      <c r="BM112" s="205"/>
      <c r="BN112" s="205"/>
      <c r="BO112" s="205"/>
      <c r="BP112" s="205"/>
      <c r="BQ112" s="205"/>
      <c r="BR112" s="205"/>
      <c r="BS112" s="205"/>
      <c r="BT112" s="205"/>
      <c r="BU112" s="205"/>
      <c r="BV112" s="205"/>
      <c r="BW112" s="205"/>
      <c r="BX112" s="205"/>
      <c r="BY112" s="205"/>
      <c r="BZ112" s="205"/>
      <c r="CA112" s="205"/>
      <c r="CB112" s="205"/>
      <c r="CC112" s="205"/>
      <c r="CD112" s="205"/>
      <c r="CE112" s="205"/>
      <c r="CF112" s="205"/>
      <c r="CG112" s="205"/>
      <c r="CH112" s="205"/>
      <c r="CI112" s="205"/>
      <c r="CJ112" s="205"/>
      <c r="CK112" s="205"/>
      <c r="CL112" s="205"/>
      <c r="CM112" s="205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C112" s="205"/>
      <c r="DD112" s="205"/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205"/>
      <c r="IH112" s="205"/>
      <c r="II112" s="205"/>
      <c r="IJ112" s="205"/>
      <c r="IK112" s="205"/>
      <c r="IL112" s="205"/>
      <c r="IM112" s="205"/>
      <c r="IN112" s="205"/>
      <c r="IO112" s="205"/>
      <c r="IP112" s="205"/>
      <c r="IQ112" s="205"/>
      <c r="IR112" s="205"/>
      <c r="IS112" s="205"/>
      <c r="IT112" s="205"/>
      <c r="IU112" s="205"/>
      <c r="IV112" s="205"/>
      <c r="IW112" s="205"/>
      <c r="IX112" s="205"/>
    </row>
    <row r="113" spans="1:258" s="203" customFormat="1" x14ac:dyDescent="0.2">
      <c r="A113" s="669"/>
      <c r="B113" s="670"/>
      <c r="C113" s="1358"/>
      <c r="D113" s="672"/>
      <c r="E113" s="1359"/>
      <c r="F113" s="1359"/>
      <c r="G113" s="1360" t="str">
        <f t="shared" si="35"/>
        <v>BV 1</v>
      </c>
      <c r="H113" s="1361">
        <f>H89+H89+J89+J89</f>
        <v>4.8</v>
      </c>
      <c r="I113" s="1362" t="s">
        <v>424</v>
      </c>
      <c r="J113" s="1362">
        <v>2</v>
      </c>
      <c r="K113" s="1362" t="s">
        <v>424</v>
      </c>
      <c r="L113" s="1362">
        <f t="shared" si="36"/>
        <v>2</v>
      </c>
      <c r="M113" s="1362"/>
      <c r="N113" s="1362"/>
      <c r="O113" s="1362"/>
      <c r="P113" s="1362"/>
      <c r="Q113" s="1362" t="s">
        <v>696</v>
      </c>
      <c r="R113" s="1363">
        <f t="shared" si="37"/>
        <v>19.2</v>
      </c>
      <c r="S113" s="1364"/>
      <c r="T113" s="722"/>
      <c r="U113" s="205"/>
      <c r="V113" s="685"/>
      <c r="W113" s="205"/>
      <c r="X113" s="205"/>
      <c r="Y113" s="205"/>
      <c r="Z113" s="205"/>
      <c r="AA113" s="205"/>
      <c r="AB113" s="205"/>
      <c r="AC113" s="205"/>
      <c r="AD113" s="205"/>
      <c r="AE113" s="205"/>
      <c r="AF113" s="205"/>
      <c r="AG113" s="205"/>
      <c r="AH113" s="205"/>
      <c r="AI113" s="205"/>
      <c r="AJ113" s="205"/>
      <c r="AK113" s="205"/>
      <c r="AL113" s="205"/>
      <c r="AM113" s="205"/>
      <c r="AN113" s="205"/>
      <c r="AO113" s="205"/>
      <c r="AP113" s="205"/>
      <c r="AQ113" s="205"/>
      <c r="AR113" s="205"/>
      <c r="AS113" s="205"/>
      <c r="AT113" s="205"/>
      <c r="AU113" s="205"/>
      <c r="AV113" s="205"/>
      <c r="AW113" s="205"/>
      <c r="AX113" s="205"/>
      <c r="AY113" s="205"/>
      <c r="AZ113" s="205"/>
      <c r="BA113" s="205"/>
      <c r="BB113" s="205"/>
      <c r="BC113" s="205"/>
      <c r="BD113" s="20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  <c r="BO113" s="205"/>
      <c r="BP113" s="205"/>
      <c r="BQ113" s="205"/>
      <c r="BR113" s="205"/>
      <c r="BS113" s="205"/>
      <c r="BT113" s="205"/>
      <c r="BU113" s="205"/>
      <c r="BV113" s="205"/>
      <c r="BW113" s="205"/>
      <c r="BX113" s="205"/>
      <c r="BY113" s="205"/>
      <c r="BZ113" s="205"/>
      <c r="CA113" s="205"/>
      <c r="CB113" s="205"/>
      <c r="CC113" s="205"/>
      <c r="CD113" s="205"/>
      <c r="CE113" s="205"/>
      <c r="CF113" s="205"/>
      <c r="CG113" s="205"/>
      <c r="CH113" s="205"/>
      <c r="CI113" s="205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205"/>
      <c r="II113" s="205"/>
      <c r="IJ113" s="205"/>
      <c r="IK113" s="205"/>
      <c r="IL113" s="205"/>
      <c r="IM113" s="205"/>
      <c r="IN113" s="205"/>
      <c r="IO113" s="205"/>
      <c r="IP113" s="205"/>
      <c r="IQ113" s="205"/>
      <c r="IR113" s="205"/>
      <c r="IS113" s="205"/>
      <c r="IT113" s="205"/>
      <c r="IU113" s="205"/>
      <c r="IV113" s="205"/>
      <c r="IW113" s="205"/>
      <c r="IX113" s="205"/>
    </row>
    <row r="114" spans="1:258" s="203" customFormat="1" x14ac:dyDescent="0.2">
      <c r="A114" s="669"/>
      <c r="B114" s="670"/>
      <c r="C114" s="1358"/>
      <c r="D114" s="672"/>
      <c r="E114" s="1359"/>
      <c r="F114" s="1359"/>
      <c r="G114" s="1360" t="str">
        <f t="shared" si="35"/>
        <v>BV 2</v>
      </c>
      <c r="H114" s="1361">
        <f>H90+H90+J90+J90</f>
        <v>2.4000000000000004</v>
      </c>
      <c r="I114" s="1362" t="s">
        <v>424</v>
      </c>
      <c r="J114" s="1362">
        <v>2</v>
      </c>
      <c r="K114" s="1362" t="s">
        <v>424</v>
      </c>
      <c r="L114" s="1362">
        <f t="shared" si="36"/>
        <v>10</v>
      </c>
      <c r="M114" s="1362"/>
      <c r="N114" s="1362"/>
      <c r="O114" s="1362"/>
      <c r="P114" s="1362"/>
      <c r="Q114" s="1362" t="s">
        <v>696</v>
      </c>
      <c r="R114" s="1363">
        <f t="shared" si="37"/>
        <v>48.000000000000007</v>
      </c>
      <c r="S114" s="1364"/>
      <c r="T114" s="722"/>
      <c r="U114" s="205"/>
      <c r="V114" s="685"/>
      <c r="W114" s="205"/>
      <c r="X114" s="205"/>
      <c r="Y114" s="205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205"/>
      <c r="AJ114" s="205"/>
      <c r="AK114" s="205"/>
      <c r="AL114" s="205"/>
      <c r="AM114" s="205"/>
      <c r="AN114" s="205"/>
      <c r="AO114" s="205"/>
      <c r="AP114" s="205"/>
      <c r="AQ114" s="205"/>
      <c r="AR114" s="205"/>
      <c r="AS114" s="205"/>
      <c r="AT114" s="205"/>
      <c r="AU114" s="205"/>
      <c r="AV114" s="205"/>
      <c r="AW114" s="205"/>
      <c r="AX114" s="205"/>
      <c r="AY114" s="205"/>
      <c r="AZ114" s="205"/>
      <c r="BA114" s="205"/>
      <c r="BB114" s="205"/>
      <c r="BC114" s="205"/>
      <c r="BD114" s="20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205"/>
      <c r="IJ114" s="205"/>
      <c r="IK114" s="205"/>
      <c r="IL114" s="205"/>
      <c r="IM114" s="205"/>
      <c r="IN114" s="205"/>
      <c r="IO114" s="205"/>
      <c r="IP114" s="205"/>
      <c r="IQ114" s="205"/>
      <c r="IR114" s="205"/>
      <c r="IS114" s="205"/>
      <c r="IT114" s="205"/>
      <c r="IU114" s="205"/>
      <c r="IV114" s="205"/>
      <c r="IW114" s="205"/>
      <c r="IX114" s="205"/>
    </row>
    <row r="115" spans="1:258" s="203" customFormat="1" x14ac:dyDescent="0.2">
      <c r="A115" s="669"/>
      <c r="B115" s="670"/>
      <c r="C115" s="1358"/>
      <c r="D115" s="672"/>
      <c r="E115" s="1359"/>
      <c r="F115" s="1359"/>
      <c r="G115" s="1360"/>
      <c r="H115" s="1361"/>
      <c r="I115" s="1362"/>
      <c r="J115" s="1362"/>
      <c r="K115" s="1362"/>
      <c r="L115" s="1362"/>
      <c r="M115" s="1362"/>
      <c r="N115" s="1362"/>
      <c r="O115" s="1362"/>
      <c r="P115" s="1362"/>
      <c r="Q115" s="1362"/>
      <c r="R115" s="1363">
        <f>SUM(R106:R114)</f>
        <v>513.80000000000007</v>
      </c>
      <c r="S115" s="1364">
        <f>R115</f>
        <v>513.80000000000007</v>
      </c>
      <c r="T115" s="722" t="s">
        <v>247</v>
      </c>
      <c r="U115" s="205"/>
      <c r="V115" s="685"/>
      <c r="W115" s="205"/>
      <c r="X115" s="205"/>
      <c r="Y115" s="205"/>
      <c r="Z115" s="205"/>
      <c r="AA115" s="205"/>
      <c r="AB115" s="205"/>
      <c r="AC115" s="205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205"/>
      <c r="IJ115" s="205"/>
      <c r="IK115" s="205"/>
      <c r="IL115" s="205"/>
      <c r="IM115" s="205"/>
      <c r="IN115" s="205"/>
      <c r="IO115" s="205"/>
      <c r="IP115" s="205"/>
      <c r="IQ115" s="205"/>
      <c r="IR115" s="205"/>
      <c r="IS115" s="205"/>
      <c r="IT115" s="205"/>
      <c r="IU115" s="205"/>
      <c r="IV115" s="205"/>
      <c r="IW115" s="205"/>
      <c r="IX115" s="205"/>
    </row>
    <row r="116" spans="1:258" s="203" customFormat="1" x14ac:dyDescent="0.2">
      <c r="A116" s="669"/>
      <c r="B116" s="670"/>
      <c r="C116" s="1358"/>
      <c r="D116" s="672"/>
      <c r="E116" s="1359"/>
      <c r="F116" s="1359"/>
      <c r="G116" s="1360"/>
      <c r="H116" s="1361"/>
      <c r="I116" s="1362"/>
      <c r="J116" s="1362"/>
      <c r="K116" s="1362"/>
      <c r="L116" s="1362"/>
      <c r="M116" s="1362"/>
      <c r="N116" s="1362"/>
      <c r="O116" s="1362"/>
      <c r="P116" s="1362"/>
      <c r="Q116" s="1362"/>
      <c r="R116" s="1363"/>
      <c r="S116" s="1364"/>
      <c r="T116" s="722"/>
      <c r="U116" s="205"/>
      <c r="V116" s="68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  <c r="CF116" s="205"/>
      <c r="CG116" s="205"/>
      <c r="CH116" s="205"/>
      <c r="CI116" s="205"/>
      <c r="CJ116" s="205"/>
      <c r="CK116" s="205"/>
      <c r="CL116" s="205"/>
      <c r="CM116" s="205"/>
      <c r="CN116" s="205"/>
      <c r="CO116" s="205"/>
      <c r="CP116" s="205"/>
      <c r="CQ116" s="205"/>
      <c r="CR116" s="205"/>
      <c r="CS116" s="205"/>
      <c r="CT116" s="205"/>
      <c r="CU116" s="205"/>
      <c r="CV116" s="205"/>
      <c r="CW116" s="205"/>
      <c r="CX116" s="205"/>
      <c r="CY116" s="205"/>
      <c r="CZ116" s="205"/>
      <c r="DA116" s="205"/>
      <c r="DB116" s="205"/>
      <c r="DC116" s="205"/>
      <c r="DD116" s="205"/>
      <c r="DE116" s="205"/>
      <c r="DF116" s="205"/>
      <c r="DG116" s="205"/>
      <c r="DH116" s="205"/>
      <c r="DI116" s="205"/>
      <c r="DJ116" s="205"/>
      <c r="DK116" s="205"/>
      <c r="DL116" s="205"/>
      <c r="DM116" s="205"/>
      <c r="DN116" s="205"/>
      <c r="DO116" s="205"/>
      <c r="DP116" s="205"/>
      <c r="DQ116" s="205"/>
      <c r="DR116" s="205"/>
      <c r="DS116" s="205"/>
      <c r="DT116" s="205"/>
      <c r="DU116" s="205"/>
      <c r="DV116" s="205"/>
      <c r="DW116" s="205"/>
      <c r="DX116" s="205"/>
      <c r="DY116" s="205"/>
      <c r="DZ116" s="205"/>
      <c r="EA116" s="205"/>
      <c r="EB116" s="205"/>
      <c r="EC116" s="205"/>
      <c r="ED116" s="205"/>
      <c r="EE116" s="205"/>
      <c r="EF116" s="205"/>
      <c r="EG116" s="205"/>
      <c r="EH116" s="205"/>
      <c r="EI116" s="205"/>
      <c r="EJ116" s="205"/>
      <c r="EK116" s="205"/>
      <c r="EL116" s="205"/>
      <c r="EM116" s="205"/>
      <c r="EN116" s="205"/>
      <c r="EO116" s="205"/>
      <c r="EP116" s="205"/>
      <c r="EQ116" s="205"/>
      <c r="ER116" s="205"/>
      <c r="ES116" s="205"/>
      <c r="ET116" s="205"/>
      <c r="EU116" s="205"/>
      <c r="EV116" s="205"/>
      <c r="EW116" s="205"/>
      <c r="EX116" s="205"/>
      <c r="EY116" s="205"/>
      <c r="EZ116" s="205"/>
      <c r="FA116" s="205"/>
      <c r="FB116" s="205"/>
      <c r="FC116" s="205"/>
      <c r="FD116" s="205"/>
      <c r="FE116" s="205"/>
      <c r="FF116" s="205"/>
      <c r="FG116" s="205"/>
      <c r="FH116" s="205"/>
      <c r="FI116" s="205"/>
      <c r="FJ116" s="205"/>
      <c r="FK116" s="205"/>
      <c r="FL116" s="205"/>
      <c r="FM116" s="205"/>
      <c r="FN116" s="205"/>
      <c r="FO116" s="205"/>
      <c r="FP116" s="205"/>
      <c r="FQ116" s="205"/>
      <c r="FR116" s="205"/>
      <c r="FS116" s="205"/>
      <c r="FT116" s="205"/>
      <c r="FU116" s="205"/>
      <c r="FV116" s="205"/>
      <c r="FW116" s="205"/>
      <c r="FX116" s="205"/>
      <c r="FY116" s="205"/>
      <c r="FZ116" s="205"/>
      <c r="GA116" s="205"/>
      <c r="GB116" s="205"/>
      <c r="GC116" s="205"/>
      <c r="GD116" s="205"/>
      <c r="GE116" s="205"/>
      <c r="GF116" s="205"/>
      <c r="GG116" s="205"/>
      <c r="GH116" s="205"/>
      <c r="GI116" s="205"/>
      <c r="GJ116" s="205"/>
      <c r="GK116" s="205"/>
      <c r="GL116" s="205"/>
      <c r="GM116" s="205"/>
      <c r="GN116" s="205"/>
      <c r="GO116" s="205"/>
      <c r="GP116" s="205"/>
      <c r="GQ116" s="205"/>
      <c r="GR116" s="205"/>
      <c r="GS116" s="205"/>
      <c r="GT116" s="205"/>
      <c r="GU116" s="205"/>
      <c r="GV116" s="205"/>
      <c r="GW116" s="205"/>
      <c r="GX116" s="205"/>
      <c r="GY116" s="205"/>
      <c r="GZ116" s="205"/>
      <c r="HA116" s="205"/>
      <c r="HB116" s="205"/>
      <c r="HC116" s="205"/>
      <c r="HD116" s="205"/>
      <c r="HE116" s="205"/>
      <c r="HF116" s="205"/>
      <c r="HG116" s="205"/>
      <c r="HH116" s="205"/>
      <c r="HI116" s="205"/>
      <c r="HJ116" s="205"/>
      <c r="HK116" s="205"/>
      <c r="HL116" s="205"/>
      <c r="HM116" s="205"/>
      <c r="HN116" s="205"/>
      <c r="HO116" s="205"/>
      <c r="HP116" s="205"/>
      <c r="HQ116" s="205"/>
      <c r="HR116" s="205"/>
      <c r="HS116" s="205"/>
      <c r="HT116" s="205"/>
      <c r="HU116" s="205"/>
      <c r="HV116" s="205"/>
      <c r="HW116" s="205"/>
      <c r="HX116" s="205"/>
      <c r="HY116" s="205"/>
      <c r="HZ116" s="205"/>
      <c r="IA116" s="205"/>
      <c r="IB116" s="205"/>
      <c r="IC116" s="205"/>
      <c r="ID116" s="205"/>
      <c r="IE116" s="205"/>
      <c r="IF116" s="205"/>
      <c r="IG116" s="205"/>
      <c r="IH116" s="205"/>
      <c r="II116" s="205"/>
      <c r="IJ116" s="205"/>
      <c r="IK116" s="205"/>
      <c r="IL116" s="205"/>
      <c r="IM116" s="205"/>
      <c r="IN116" s="205"/>
      <c r="IO116" s="205"/>
      <c r="IP116" s="205"/>
      <c r="IQ116" s="205"/>
      <c r="IR116" s="205"/>
      <c r="IS116" s="205"/>
      <c r="IT116" s="205"/>
      <c r="IU116" s="205"/>
      <c r="IV116" s="205"/>
      <c r="IW116" s="205"/>
      <c r="IX116" s="205"/>
    </row>
    <row r="117" spans="1:258" s="203" customFormat="1" x14ac:dyDescent="0.2">
      <c r="A117" s="669"/>
      <c r="B117" s="670">
        <f>RAB!B53</f>
        <v>7</v>
      </c>
      <c r="C117" s="686" t="e">
        <f>RAB!D53</f>
        <v>#REF!</v>
      </c>
      <c r="D117" s="672"/>
      <c r="E117" s="673"/>
      <c r="F117" s="673"/>
      <c r="G117" s="674"/>
      <c r="H117" s="675"/>
      <c r="I117" s="676"/>
      <c r="J117" s="676"/>
      <c r="K117" s="676"/>
      <c r="L117" s="676"/>
      <c r="M117" s="676"/>
      <c r="N117" s="676"/>
      <c r="O117" s="676"/>
      <c r="P117" s="676"/>
      <c r="Q117" s="676"/>
      <c r="R117" s="677"/>
      <c r="S117" s="678"/>
      <c r="T117" s="684"/>
      <c r="U117" s="205"/>
      <c r="V117" s="685"/>
      <c r="W117" s="205"/>
      <c r="X117" s="205"/>
      <c r="Y117" s="205"/>
      <c r="Z117" s="205"/>
      <c r="AA117" s="205"/>
      <c r="AB117" s="205"/>
      <c r="AC117" s="205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05"/>
      <c r="BN117" s="205"/>
      <c r="BO117" s="205"/>
      <c r="BP117" s="205"/>
      <c r="BQ117" s="205"/>
      <c r="BR117" s="205"/>
      <c r="BS117" s="205"/>
      <c r="BT117" s="205"/>
      <c r="BU117" s="205"/>
      <c r="BV117" s="205"/>
      <c r="BW117" s="205"/>
      <c r="BX117" s="205"/>
      <c r="BY117" s="205"/>
      <c r="BZ117" s="205"/>
      <c r="CA117" s="205"/>
      <c r="CB117" s="205"/>
      <c r="CC117" s="205"/>
      <c r="CD117" s="205"/>
      <c r="CE117" s="205"/>
      <c r="CF117" s="205"/>
      <c r="CG117" s="205"/>
      <c r="CH117" s="205"/>
      <c r="CI117" s="205"/>
      <c r="CJ117" s="205"/>
      <c r="CK117" s="205"/>
      <c r="CL117" s="205"/>
      <c r="CM117" s="205"/>
      <c r="CN117" s="205"/>
      <c r="CO117" s="205"/>
      <c r="CP117" s="205"/>
      <c r="CQ117" s="205"/>
      <c r="CR117" s="205"/>
      <c r="CS117" s="205"/>
      <c r="CT117" s="205"/>
      <c r="CU117" s="205"/>
      <c r="CV117" s="205"/>
      <c r="CW117" s="205"/>
      <c r="CX117" s="205"/>
      <c r="CY117" s="205"/>
      <c r="CZ117" s="205"/>
      <c r="DA117" s="205"/>
      <c r="DB117" s="205"/>
      <c r="DC117" s="205"/>
      <c r="DD117" s="205"/>
      <c r="DE117" s="205"/>
      <c r="DF117" s="205"/>
      <c r="DG117" s="205"/>
      <c r="DH117" s="205"/>
      <c r="DI117" s="205"/>
      <c r="DJ117" s="205"/>
      <c r="DK117" s="205"/>
      <c r="DL117" s="205"/>
      <c r="DM117" s="205"/>
      <c r="DN117" s="205"/>
      <c r="DO117" s="205"/>
      <c r="DP117" s="205"/>
      <c r="DQ117" s="205"/>
      <c r="DR117" s="205"/>
      <c r="DS117" s="205"/>
      <c r="DT117" s="205"/>
      <c r="DU117" s="205"/>
      <c r="DV117" s="205"/>
      <c r="DW117" s="205"/>
      <c r="DX117" s="205"/>
      <c r="DY117" s="205"/>
      <c r="DZ117" s="205"/>
      <c r="EA117" s="205"/>
      <c r="EB117" s="205"/>
      <c r="EC117" s="205"/>
      <c r="ED117" s="205"/>
      <c r="EE117" s="205"/>
      <c r="EF117" s="205"/>
      <c r="EG117" s="205"/>
      <c r="EH117" s="205"/>
      <c r="EI117" s="205"/>
      <c r="EJ117" s="205"/>
      <c r="EK117" s="205"/>
      <c r="EL117" s="205"/>
      <c r="EM117" s="205"/>
      <c r="EN117" s="205"/>
      <c r="EO117" s="205"/>
      <c r="EP117" s="205"/>
      <c r="EQ117" s="205"/>
      <c r="ER117" s="205"/>
      <c r="ES117" s="205"/>
      <c r="ET117" s="205"/>
      <c r="EU117" s="205"/>
      <c r="EV117" s="205"/>
      <c r="EW117" s="205"/>
      <c r="EX117" s="205"/>
      <c r="EY117" s="205"/>
      <c r="EZ117" s="205"/>
      <c r="FA117" s="205"/>
      <c r="FB117" s="205"/>
      <c r="FC117" s="205"/>
      <c r="FD117" s="205"/>
      <c r="FE117" s="205"/>
      <c r="FF117" s="205"/>
      <c r="FG117" s="205"/>
      <c r="FH117" s="205"/>
      <c r="FI117" s="205"/>
      <c r="FJ117" s="205"/>
      <c r="FK117" s="205"/>
      <c r="FL117" s="205"/>
      <c r="FM117" s="205"/>
      <c r="FN117" s="205"/>
      <c r="FO117" s="205"/>
      <c r="FP117" s="205"/>
      <c r="FQ117" s="205"/>
      <c r="FR117" s="205"/>
      <c r="FS117" s="205"/>
      <c r="FT117" s="205"/>
      <c r="FU117" s="205"/>
      <c r="FV117" s="205"/>
      <c r="FW117" s="205"/>
      <c r="FX117" s="205"/>
      <c r="FY117" s="205"/>
      <c r="FZ117" s="205"/>
      <c r="GA117" s="205"/>
      <c r="GB117" s="205"/>
      <c r="GC117" s="205"/>
      <c r="GD117" s="205"/>
      <c r="GE117" s="205"/>
      <c r="GF117" s="205"/>
      <c r="GG117" s="205"/>
      <c r="GH117" s="205"/>
      <c r="GI117" s="205"/>
      <c r="GJ117" s="205"/>
      <c r="GK117" s="205"/>
      <c r="GL117" s="205"/>
      <c r="GM117" s="205"/>
      <c r="GN117" s="205"/>
      <c r="GO117" s="205"/>
      <c r="GP117" s="205"/>
      <c r="GQ117" s="205"/>
      <c r="GR117" s="205"/>
      <c r="GS117" s="205"/>
      <c r="GT117" s="205"/>
      <c r="GU117" s="205"/>
      <c r="GV117" s="205"/>
      <c r="GW117" s="205"/>
      <c r="GX117" s="205"/>
      <c r="GY117" s="205"/>
      <c r="GZ117" s="205"/>
      <c r="HA117" s="205"/>
      <c r="HB117" s="205"/>
      <c r="HC117" s="205"/>
      <c r="HD117" s="205"/>
      <c r="HE117" s="205"/>
      <c r="HF117" s="205"/>
      <c r="HG117" s="205"/>
      <c r="HH117" s="205"/>
      <c r="HI117" s="205"/>
      <c r="HJ117" s="205"/>
      <c r="HK117" s="205"/>
      <c r="HL117" s="205"/>
      <c r="HM117" s="205"/>
      <c r="HN117" s="205"/>
      <c r="HO117" s="205"/>
      <c r="HP117" s="205"/>
      <c r="HQ117" s="205"/>
      <c r="HR117" s="205"/>
      <c r="HS117" s="205"/>
      <c r="HT117" s="205"/>
      <c r="HU117" s="205"/>
      <c r="HV117" s="205"/>
      <c r="HW117" s="205"/>
      <c r="HX117" s="205"/>
      <c r="HY117" s="205"/>
      <c r="HZ117" s="205"/>
      <c r="IA117" s="205"/>
      <c r="IB117" s="205"/>
      <c r="IC117" s="205"/>
      <c r="ID117" s="205"/>
      <c r="IE117" s="205"/>
      <c r="IF117" s="205"/>
      <c r="IG117" s="205"/>
      <c r="IH117" s="205"/>
      <c r="II117" s="205"/>
      <c r="IJ117" s="205"/>
      <c r="IK117" s="205"/>
      <c r="IL117" s="205"/>
      <c r="IM117" s="205"/>
      <c r="IN117" s="205"/>
      <c r="IO117" s="205"/>
      <c r="IP117" s="205"/>
      <c r="IQ117" s="205"/>
      <c r="IR117" s="205"/>
      <c r="IS117" s="205"/>
      <c r="IT117" s="205"/>
      <c r="IU117" s="205"/>
      <c r="IV117" s="205"/>
      <c r="IW117" s="205"/>
      <c r="IX117" s="205"/>
    </row>
    <row r="118" spans="1:258" s="203" customFormat="1" x14ac:dyDescent="0.2">
      <c r="A118" s="669"/>
      <c r="B118" s="670"/>
      <c r="C118" s="686"/>
      <c r="D118" s="672"/>
      <c r="E118" s="673"/>
      <c r="F118" s="673"/>
      <c r="G118" s="674"/>
      <c r="H118" s="675">
        <f>2-0.25</f>
        <v>1.75</v>
      </c>
      <c r="I118" s="676" t="s">
        <v>424</v>
      </c>
      <c r="J118" s="676">
        <v>1.5</v>
      </c>
      <c r="K118" s="676"/>
      <c r="L118" s="676"/>
      <c r="M118" s="676"/>
      <c r="N118" s="676"/>
      <c r="O118" s="676"/>
      <c r="P118" s="676"/>
      <c r="Q118" s="676" t="s">
        <v>696</v>
      </c>
      <c r="R118" s="677">
        <f>H118*J118</f>
        <v>2.625</v>
      </c>
      <c r="S118" s="678">
        <f>R118</f>
        <v>2.625</v>
      </c>
      <c r="T118" s="684" t="s">
        <v>338</v>
      </c>
      <c r="U118" s="205"/>
      <c r="V118" s="68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5"/>
      <c r="BN118" s="205"/>
      <c r="BO118" s="205"/>
      <c r="BP118" s="205"/>
      <c r="BQ118" s="205"/>
      <c r="BR118" s="205"/>
      <c r="BS118" s="205"/>
      <c r="BT118" s="205"/>
      <c r="BU118" s="205"/>
      <c r="BV118" s="205"/>
      <c r="BW118" s="205"/>
      <c r="BX118" s="205"/>
      <c r="BY118" s="205"/>
      <c r="BZ118" s="205"/>
      <c r="CA118" s="205"/>
      <c r="CB118" s="205"/>
      <c r="CC118" s="205"/>
      <c r="CD118" s="205"/>
      <c r="CE118" s="205"/>
      <c r="CF118" s="205"/>
      <c r="CG118" s="205"/>
      <c r="CH118" s="205"/>
      <c r="CI118" s="205"/>
      <c r="CJ118" s="205"/>
      <c r="CK118" s="205"/>
      <c r="CL118" s="205"/>
      <c r="CM118" s="205"/>
      <c r="CN118" s="205"/>
      <c r="CO118" s="205"/>
      <c r="CP118" s="205"/>
      <c r="CQ118" s="205"/>
      <c r="CR118" s="205"/>
      <c r="CS118" s="205"/>
      <c r="CT118" s="205"/>
      <c r="CU118" s="205"/>
      <c r="CV118" s="205"/>
      <c r="CW118" s="205"/>
      <c r="CX118" s="205"/>
      <c r="CY118" s="205"/>
      <c r="CZ118" s="205"/>
      <c r="DA118" s="205"/>
      <c r="DB118" s="205"/>
      <c r="DC118" s="205"/>
      <c r="DD118" s="205"/>
      <c r="DE118" s="205"/>
      <c r="DF118" s="205"/>
      <c r="DG118" s="205"/>
      <c r="DH118" s="205"/>
      <c r="DI118" s="205"/>
      <c r="DJ118" s="205"/>
      <c r="DK118" s="205"/>
      <c r="DL118" s="205"/>
      <c r="DM118" s="205"/>
      <c r="DN118" s="205"/>
      <c r="DO118" s="205"/>
      <c r="DP118" s="205"/>
      <c r="DQ118" s="205"/>
      <c r="DR118" s="205"/>
      <c r="DS118" s="205"/>
      <c r="DT118" s="205"/>
      <c r="DU118" s="205"/>
      <c r="DV118" s="205"/>
      <c r="DW118" s="205"/>
      <c r="DX118" s="205"/>
      <c r="DY118" s="205"/>
      <c r="DZ118" s="205"/>
      <c r="EA118" s="205"/>
      <c r="EB118" s="205"/>
      <c r="EC118" s="205"/>
      <c r="ED118" s="205"/>
      <c r="EE118" s="205"/>
      <c r="EF118" s="205"/>
      <c r="EG118" s="205"/>
      <c r="EH118" s="205"/>
      <c r="EI118" s="205"/>
      <c r="EJ118" s="205"/>
      <c r="EK118" s="205"/>
      <c r="EL118" s="205"/>
      <c r="EM118" s="205"/>
      <c r="EN118" s="205"/>
      <c r="EO118" s="205"/>
      <c r="EP118" s="205"/>
      <c r="EQ118" s="205"/>
      <c r="ER118" s="205"/>
      <c r="ES118" s="205"/>
      <c r="ET118" s="205"/>
      <c r="EU118" s="205"/>
      <c r="EV118" s="205"/>
      <c r="EW118" s="205"/>
      <c r="EX118" s="205"/>
      <c r="EY118" s="205"/>
      <c r="EZ118" s="205"/>
      <c r="FA118" s="205"/>
      <c r="FB118" s="205"/>
      <c r="FC118" s="205"/>
      <c r="FD118" s="205"/>
      <c r="FE118" s="205"/>
      <c r="FF118" s="205"/>
      <c r="FG118" s="205"/>
      <c r="FH118" s="205"/>
      <c r="FI118" s="205"/>
      <c r="FJ118" s="205"/>
      <c r="FK118" s="205"/>
      <c r="FL118" s="205"/>
      <c r="FM118" s="205"/>
      <c r="FN118" s="205"/>
      <c r="FO118" s="205"/>
      <c r="FP118" s="205"/>
      <c r="FQ118" s="205"/>
      <c r="FR118" s="205"/>
      <c r="FS118" s="205"/>
      <c r="FT118" s="205"/>
      <c r="FU118" s="205"/>
      <c r="FV118" s="205"/>
      <c r="FW118" s="205"/>
      <c r="FX118" s="205"/>
      <c r="FY118" s="205"/>
      <c r="FZ118" s="205"/>
      <c r="GA118" s="205"/>
      <c r="GB118" s="205"/>
      <c r="GC118" s="205"/>
      <c r="GD118" s="205"/>
      <c r="GE118" s="205"/>
      <c r="GF118" s="205"/>
      <c r="GG118" s="205"/>
      <c r="GH118" s="205"/>
      <c r="GI118" s="205"/>
      <c r="GJ118" s="205"/>
      <c r="GK118" s="205"/>
      <c r="GL118" s="205"/>
      <c r="GM118" s="205"/>
      <c r="GN118" s="205"/>
      <c r="GO118" s="205"/>
      <c r="GP118" s="205"/>
      <c r="GQ118" s="205"/>
      <c r="GR118" s="205"/>
      <c r="GS118" s="205"/>
      <c r="GT118" s="205"/>
      <c r="GU118" s="205"/>
      <c r="GV118" s="205"/>
      <c r="GW118" s="205"/>
      <c r="GX118" s="205"/>
      <c r="GY118" s="205"/>
      <c r="GZ118" s="205"/>
      <c r="HA118" s="205"/>
      <c r="HB118" s="205"/>
      <c r="HC118" s="205"/>
      <c r="HD118" s="205"/>
      <c r="HE118" s="205"/>
      <c r="HF118" s="205"/>
      <c r="HG118" s="205"/>
      <c r="HH118" s="205"/>
      <c r="HI118" s="205"/>
      <c r="HJ118" s="205"/>
      <c r="HK118" s="205"/>
      <c r="HL118" s="205"/>
      <c r="HM118" s="205"/>
      <c r="HN118" s="205"/>
      <c r="HO118" s="205"/>
      <c r="HP118" s="205"/>
      <c r="HQ118" s="205"/>
      <c r="HR118" s="205"/>
      <c r="HS118" s="205"/>
      <c r="HT118" s="205"/>
      <c r="HU118" s="205"/>
      <c r="HV118" s="205"/>
      <c r="HW118" s="205"/>
      <c r="HX118" s="205"/>
      <c r="HY118" s="205"/>
      <c r="HZ118" s="205"/>
      <c r="IA118" s="205"/>
      <c r="IB118" s="205"/>
      <c r="IC118" s="205"/>
      <c r="ID118" s="205"/>
      <c r="IE118" s="205"/>
      <c r="IF118" s="205"/>
      <c r="IG118" s="205"/>
      <c r="IH118" s="205"/>
      <c r="II118" s="205"/>
      <c r="IJ118" s="205"/>
      <c r="IK118" s="205"/>
      <c r="IL118" s="205"/>
      <c r="IM118" s="205"/>
      <c r="IN118" s="205"/>
      <c r="IO118" s="205"/>
      <c r="IP118" s="205"/>
      <c r="IQ118" s="205"/>
      <c r="IR118" s="205"/>
      <c r="IS118" s="205"/>
      <c r="IT118" s="205"/>
      <c r="IU118" s="205"/>
      <c r="IV118" s="205"/>
      <c r="IW118" s="205"/>
      <c r="IX118" s="205"/>
    </row>
    <row r="119" spans="1:258" s="203" customFormat="1" x14ac:dyDescent="0.2">
      <c r="A119" s="669"/>
      <c r="B119" s="670"/>
      <c r="C119" s="686"/>
      <c r="D119" s="672"/>
      <c r="E119" s="673"/>
      <c r="F119" s="673"/>
      <c r="G119" s="674"/>
      <c r="H119" s="675"/>
      <c r="I119" s="676"/>
      <c r="J119" s="676"/>
      <c r="K119" s="676"/>
      <c r="L119" s="676"/>
      <c r="M119" s="676"/>
      <c r="N119" s="676"/>
      <c r="O119" s="676"/>
      <c r="P119" s="676"/>
      <c r="Q119" s="676"/>
      <c r="R119" s="677"/>
      <c r="S119" s="678"/>
      <c r="T119" s="684"/>
      <c r="U119" s="205"/>
      <c r="V119" s="68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5"/>
      <c r="BN119" s="205"/>
      <c r="BO119" s="205"/>
      <c r="BP119" s="205"/>
      <c r="BQ119" s="205"/>
      <c r="BR119" s="205"/>
      <c r="BS119" s="205"/>
      <c r="BT119" s="205"/>
      <c r="BU119" s="205"/>
      <c r="BV119" s="205"/>
      <c r="BW119" s="205"/>
      <c r="BX119" s="205"/>
      <c r="BY119" s="205"/>
      <c r="BZ119" s="205"/>
      <c r="CA119" s="205"/>
      <c r="CB119" s="205"/>
      <c r="CC119" s="205"/>
      <c r="CD119" s="205"/>
      <c r="CE119" s="205"/>
      <c r="CF119" s="205"/>
      <c r="CG119" s="205"/>
      <c r="CH119" s="205"/>
      <c r="CI119" s="205"/>
      <c r="CJ119" s="205"/>
      <c r="CK119" s="205"/>
      <c r="CL119" s="205"/>
      <c r="CM119" s="205"/>
      <c r="CN119" s="205"/>
      <c r="CO119" s="205"/>
      <c r="CP119" s="205"/>
      <c r="CQ119" s="205"/>
      <c r="CR119" s="205"/>
      <c r="CS119" s="205"/>
      <c r="CT119" s="205"/>
      <c r="CU119" s="205"/>
      <c r="CV119" s="205"/>
      <c r="CW119" s="205"/>
      <c r="CX119" s="205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205"/>
      <c r="DM119" s="205"/>
      <c r="DN119" s="205"/>
      <c r="DO119" s="205"/>
      <c r="DP119" s="205"/>
      <c r="DQ119" s="205"/>
      <c r="DR119" s="205"/>
      <c r="DS119" s="205"/>
      <c r="DT119" s="205"/>
      <c r="DU119" s="205"/>
      <c r="DV119" s="205"/>
      <c r="DW119" s="205"/>
      <c r="DX119" s="205"/>
      <c r="DY119" s="205"/>
      <c r="DZ119" s="205"/>
      <c r="EA119" s="205"/>
      <c r="EB119" s="205"/>
      <c r="EC119" s="205"/>
      <c r="ED119" s="205"/>
      <c r="EE119" s="205"/>
      <c r="EF119" s="205"/>
      <c r="EG119" s="205"/>
      <c r="EH119" s="205"/>
      <c r="EI119" s="205"/>
      <c r="EJ119" s="205"/>
      <c r="EK119" s="205"/>
      <c r="EL119" s="205"/>
      <c r="EM119" s="205"/>
      <c r="EN119" s="205"/>
      <c r="EO119" s="205"/>
      <c r="EP119" s="205"/>
      <c r="EQ119" s="205"/>
      <c r="ER119" s="205"/>
      <c r="ES119" s="205"/>
      <c r="ET119" s="205"/>
      <c r="EU119" s="205"/>
      <c r="EV119" s="205"/>
      <c r="EW119" s="205"/>
      <c r="EX119" s="205"/>
      <c r="EY119" s="205"/>
      <c r="EZ119" s="205"/>
      <c r="FA119" s="205"/>
      <c r="FB119" s="205"/>
      <c r="FC119" s="205"/>
      <c r="FD119" s="205"/>
      <c r="FE119" s="205"/>
      <c r="FF119" s="205"/>
      <c r="FG119" s="205"/>
      <c r="FH119" s="205"/>
      <c r="FI119" s="205"/>
      <c r="FJ119" s="205"/>
      <c r="FK119" s="205"/>
      <c r="FL119" s="205"/>
      <c r="FM119" s="205"/>
      <c r="FN119" s="205"/>
      <c r="FO119" s="205"/>
      <c r="FP119" s="205"/>
      <c r="FQ119" s="205"/>
      <c r="FR119" s="205"/>
      <c r="FS119" s="205"/>
      <c r="FT119" s="205"/>
      <c r="FU119" s="205"/>
      <c r="FV119" s="205"/>
      <c r="FW119" s="205"/>
      <c r="FX119" s="205"/>
      <c r="FY119" s="205"/>
      <c r="FZ119" s="205"/>
      <c r="GA119" s="205"/>
      <c r="GB119" s="205"/>
      <c r="GC119" s="205"/>
      <c r="GD119" s="205"/>
      <c r="GE119" s="205"/>
      <c r="GF119" s="205"/>
      <c r="GG119" s="205"/>
      <c r="GH119" s="205"/>
      <c r="GI119" s="205"/>
      <c r="GJ119" s="205"/>
      <c r="GK119" s="205"/>
      <c r="GL119" s="205"/>
      <c r="GM119" s="205"/>
      <c r="GN119" s="205"/>
      <c r="GO119" s="205"/>
      <c r="GP119" s="205"/>
      <c r="GQ119" s="205"/>
      <c r="GR119" s="205"/>
      <c r="GS119" s="205"/>
      <c r="GT119" s="205"/>
      <c r="GU119" s="205"/>
      <c r="GV119" s="205"/>
      <c r="GW119" s="205"/>
      <c r="GX119" s="205"/>
      <c r="GY119" s="205"/>
      <c r="GZ119" s="205"/>
      <c r="HA119" s="205"/>
      <c r="HB119" s="205"/>
      <c r="HC119" s="205"/>
      <c r="HD119" s="205"/>
      <c r="HE119" s="205"/>
      <c r="HF119" s="205"/>
      <c r="HG119" s="205"/>
      <c r="HH119" s="205"/>
      <c r="HI119" s="205"/>
      <c r="HJ119" s="205"/>
      <c r="HK119" s="205"/>
      <c r="HL119" s="205"/>
      <c r="HM119" s="205"/>
      <c r="HN119" s="205"/>
      <c r="HO119" s="205"/>
      <c r="HP119" s="205"/>
      <c r="HQ119" s="205"/>
      <c r="HR119" s="205"/>
      <c r="HS119" s="205"/>
      <c r="HT119" s="205"/>
      <c r="HU119" s="205"/>
      <c r="HV119" s="205"/>
      <c r="HW119" s="205"/>
      <c r="HX119" s="205"/>
      <c r="HY119" s="205"/>
      <c r="HZ119" s="205"/>
      <c r="IA119" s="205"/>
      <c r="IB119" s="205"/>
      <c r="IC119" s="205"/>
      <c r="ID119" s="205"/>
      <c r="IE119" s="205"/>
      <c r="IF119" s="205"/>
      <c r="IG119" s="205"/>
      <c r="IH119" s="205"/>
      <c r="II119" s="205"/>
      <c r="IJ119" s="205"/>
      <c r="IK119" s="205"/>
      <c r="IL119" s="205"/>
      <c r="IM119" s="205"/>
      <c r="IN119" s="205"/>
      <c r="IO119" s="205"/>
      <c r="IP119" s="205"/>
      <c r="IQ119" s="205"/>
      <c r="IR119" s="205"/>
      <c r="IS119" s="205"/>
      <c r="IT119" s="205"/>
      <c r="IU119" s="205"/>
      <c r="IV119" s="205"/>
      <c r="IW119" s="205"/>
      <c r="IX119" s="205"/>
    </row>
    <row r="120" spans="1:258" s="203" customFormat="1" x14ac:dyDescent="0.2">
      <c r="A120" s="669"/>
      <c r="B120" s="681" t="str">
        <f>RAB!B56</f>
        <v>IV</v>
      </c>
      <c r="C120" s="682" t="str">
        <f>RAB!D56</f>
        <v>PEKERJAAN BETON</v>
      </c>
      <c r="D120" s="672"/>
      <c r="E120" s="673"/>
      <c r="F120" s="673"/>
      <c r="G120" s="674"/>
      <c r="H120" s="675"/>
      <c r="I120" s="676"/>
      <c r="J120" s="676"/>
      <c r="K120" s="676"/>
      <c r="L120" s="676"/>
      <c r="M120" s="676"/>
      <c r="N120" s="676"/>
      <c r="O120" s="676"/>
      <c r="P120" s="676"/>
      <c r="Q120" s="676"/>
      <c r="R120" s="677"/>
      <c r="S120" s="678"/>
      <c r="T120" s="684"/>
      <c r="U120" s="205"/>
      <c r="V120" s="68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5"/>
      <c r="BN120" s="205"/>
      <c r="BO120" s="205"/>
      <c r="BP120" s="205"/>
      <c r="BQ120" s="205"/>
      <c r="BR120" s="205"/>
      <c r="BS120" s="205"/>
      <c r="BT120" s="205"/>
      <c r="BU120" s="205"/>
      <c r="BV120" s="205"/>
      <c r="BW120" s="205"/>
      <c r="BX120" s="205"/>
      <c r="BY120" s="205"/>
      <c r="BZ120" s="205"/>
      <c r="CA120" s="205"/>
      <c r="CB120" s="205"/>
      <c r="CC120" s="205"/>
      <c r="CD120" s="205"/>
      <c r="CE120" s="205"/>
      <c r="CF120" s="205"/>
      <c r="CG120" s="205"/>
      <c r="CH120" s="205"/>
      <c r="CI120" s="205"/>
      <c r="CJ120" s="205"/>
      <c r="CK120" s="205"/>
      <c r="CL120" s="205"/>
      <c r="CM120" s="205"/>
      <c r="CN120" s="205"/>
      <c r="CO120" s="205"/>
      <c r="CP120" s="205"/>
      <c r="CQ120" s="205"/>
      <c r="CR120" s="205"/>
      <c r="CS120" s="205"/>
      <c r="CT120" s="205"/>
      <c r="CU120" s="205"/>
      <c r="CV120" s="205"/>
      <c r="CW120" s="205"/>
      <c r="CX120" s="205"/>
      <c r="CY120" s="205"/>
      <c r="CZ120" s="205"/>
      <c r="DA120" s="205"/>
      <c r="DB120" s="205"/>
      <c r="DC120" s="205"/>
      <c r="DD120" s="205"/>
      <c r="DE120" s="205"/>
      <c r="DF120" s="205"/>
      <c r="DG120" s="205"/>
      <c r="DH120" s="205"/>
      <c r="DI120" s="205"/>
      <c r="DJ120" s="205"/>
      <c r="DK120" s="205"/>
      <c r="DL120" s="205"/>
      <c r="DM120" s="205"/>
      <c r="DN120" s="205"/>
      <c r="DO120" s="205"/>
      <c r="DP120" s="205"/>
      <c r="DQ120" s="205"/>
      <c r="DR120" s="205"/>
      <c r="DS120" s="205"/>
      <c r="DT120" s="205"/>
      <c r="DU120" s="205"/>
      <c r="DV120" s="205"/>
      <c r="DW120" s="205"/>
      <c r="DX120" s="205"/>
      <c r="DY120" s="205"/>
      <c r="DZ120" s="205"/>
      <c r="EA120" s="205"/>
      <c r="EB120" s="205"/>
      <c r="EC120" s="205"/>
      <c r="ED120" s="205"/>
      <c r="EE120" s="205"/>
      <c r="EF120" s="205"/>
      <c r="EG120" s="205"/>
      <c r="EH120" s="205"/>
      <c r="EI120" s="205"/>
      <c r="EJ120" s="205"/>
      <c r="EK120" s="205"/>
      <c r="EL120" s="205"/>
      <c r="EM120" s="205"/>
      <c r="EN120" s="205"/>
      <c r="EO120" s="205"/>
      <c r="EP120" s="205"/>
      <c r="EQ120" s="205"/>
      <c r="ER120" s="205"/>
      <c r="ES120" s="205"/>
      <c r="ET120" s="205"/>
      <c r="EU120" s="205"/>
      <c r="EV120" s="205"/>
      <c r="EW120" s="205"/>
      <c r="EX120" s="205"/>
      <c r="EY120" s="205"/>
      <c r="EZ120" s="205"/>
      <c r="FA120" s="205"/>
      <c r="FB120" s="205"/>
      <c r="FC120" s="205"/>
      <c r="FD120" s="205"/>
      <c r="FE120" s="205"/>
      <c r="FF120" s="205"/>
      <c r="FG120" s="205"/>
      <c r="FH120" s="205"/>
      <c r="FI120" s="205"/>
      <c r="FJ120" s="205"/>
      <c r="FK120" s="205"/>
      <c r="FL120" s="205"/>
      <c r="FM120" s="205"/>
      <c r="FN120" s="205"/>
      <c r="FO120" s="205"/>
      <c r="FP120" s="205"/>
      <c r="FQ120" s="205"/>
      <c r="FR120" s="205"/>
      <c r="FS120" s="205"/>
      <c r="FT120" s="205"/>
      <c r="FU120" s="205"/>
      <c r="FV120" s="205"/>
      <c r="FW120" s="205"/>
      <c r="FX120" s="205"/>
      <c r="FY120" s="205"/>
      <c r="FZ120" s="205"/>
      <c r="GA120" s="205"/>
      <c r="GB120" s="205"/>
      <c r="GC120" s="205"/>
      <c r="GD120" s="205"/>
      <c r="GE120" s="205"/>
      <c r="GF120" s="205"/>
      <c r="GG120" s="205"/>
      <c r="GH120" s="205"/>
      <c r="GI120" s="205"/>
      <c r="GJ120" s="205"/>
      <c r="GK120" s="205"/>
      <c r="GL120" s="205"/>
      <c r="GM120" s="205"/>
      <c r="GN120" s="205"/>
      <c r="GO120" s="205"/>
      <c r="GP120" s="205"/>
      <c r="GQ120" s="205"/>
      <c r="GR120" s="205"/>
      <c r="GS120" s="205"/>
      <c r="GT120" s="205"/>
      <c r="GU120" s="205"/>
      <c r="GV120" s="205"/>
      <c r="GW120" s="205"/>
      <c r="GX120" s="205"/>
      <c r="GY120" s="205"/>
      <c r="GZ120" s="205"/>
      <c r="HA120" s="205"/>
      <c r="HB120" s="205"/>
      <c r="HC120" s="205"/>
      <c r="HD120" s="205"/>
      <c r="HE120" s="205"/>
      <c r="HF120" s="205"/>
      <c r="HG120" s="205"/>
      <c r="HH120" s="205"/>
      <c r="HI120" s="205"/>
      <c r="HJ120" s="205"/>
      <c r="HK120" s="205"/>
      <c r="HL120" s="205"/>
      <c r="HM120" s="205"/>
      <c r="HN120" s="205"/>
      <c r="HO120" s="205"/>
      <c r="HP120" s="205"/>
      <c r="HQ120" s="205"/>
      <c r="HR120" s="205"/>
      <c r="HS120" s="205"/>
      <c r="HT120" s="205"/>
      <c r="HU120" s="205"/>
      <c r="HV120" s="205"/>
      <c r="HW120" s="205"/>
      <c r="HX120" s="205"/>
      <c r="HY120" s="205"/>
      <c r="HZ120" s="205"/>
      <c r="IA120" s="205"/>
      <c r="IB120" s="205"/>
      <c r="IC120" s="205"/>
      <c r="ID120" s="205"/>
      <c r="IE120" s="205"/>
      <c r="IF120" s="205"/>
      <c r="IG120" s="205"/>
      <c r="IH120" s="205"/>
      <c r="II120" s="205"/>
      <c r="IJ120" s="205"/>
      <c r="IK120" s="205"/>
      <c r="IL120" s="205"/>
      <c r="IM120" s="205"/>
      <c r="IN120" s="205"/>
      <c r="IO120" s="205"/>
      <c r="IP120" s="205"/>
      <c r="IQ120" s="205"/>
      <c r="IR120" s="205"/>
      <c r="IS120" s="205"/>
      <c r="IT120" s="205"/>
      <c r="IU120" s="205"/>
      <c r="IV120" s="205"/>
      <c r="IW120" s="205"/>
      <c r="IX120" s="205"/>
    </row>
    <row r="121" spans="1:258" s="203" customFormat="1" x14ac:dyDescent="0.2">
      <c r="A121" s="669"/>
      <c r="B121" s="670"/>
      <c r="C121" s="682" t="str">
        <f>RAB!D57</f>
        <v>Beton lantai kerja footplat</v>
      </c>
      <c r="D121" s="672"/>
      <c r="E121" s="673"/>
      <c r="F121" s="673"/>
      <c r="G121" s="674"/>
      <c r="H121" s="675"/>
      <c r="I121" s="676"/>
      <c r="J121" s="676"/>
      <c r="K121" s="676"/>
      <c r="L121" s="676"/>
      <c r="M121" s="676"/>
      <c r="N121" s="676"/>
      <c r="O121" s="676"/>
      <c r="P121" s="676"/>
      <c r="Q121" s="676"/>
      <c r="R121" s="677"/>
      <c r="S121" s="678"/>
      <c r="T121" s="684"/>
      <c r="U121" s="205"/>
      <c r="V121" s="68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5"/>
      <c r="BN121" s="205"/>
      <c r="BO121" s="205"/>
      <c r="BP121" s="205"/>
      <c r="BQ121" s="205"/>
      <c r="BR121" s="205"/>
      <c r="BS121" s="205"/>
      <c r="BT121" s="205"/>
      <c r="BU121" s="205"/>
      <c r="BV121" s="205"/>
      <c r="BW121" s="205"/>
      <c r="BX121" s="205"/>
      <c r="BY121" s="205"/>
      <c r="BZ121" s="205"/>
      <c r="CA121" s="205"/>
      <c r="CB121" s="205"/>
      <c r="CC121" s="205"/>
      <c r="CD121" s="205"/>
      <c r="CE121" s="205"/>
      <c r="CF121" s="205"/>
      <c r="CG121" s="205"/>
      <c r="CH121" s="205"/>
      <c r="CI121" s="205"/>
      <c r="CJ121" s="205"/>
      <c r="CK121" s="205"/>
      <c r="CL121" s="205"/>
      <c r="CM121" s="205"/>
      <c r="CN121" s="205"/>
      <c r="CO121" s="205"/>
      <c r="CP121" s="205"/>
      <c r="CQ121" s="205"/>
      <c r="CR121" s="205"/>
      <c r="CS121" s="205"/>
      <c r="CT121" s="205"/>
      <c r="CU121" s="205"/>
      <c r="CV121" s="205"/>
      <c r="CW121" s="205"/>
      <c r="CX121" s="205"/>
      <c r="CY121" s="205"/>
      <c r="CZ121" s="205"/>
      <c r="DA121" s="205"/>
      <c r="DB121" s="205"/>
      <c r="DC121" s="205"/>
      <c r="DD121" s="205"/>
      <c r="DE121" s="205"/>
      <c r="DF121" s="205"/>
      <c r="DG121" s="205"/>
      <c r="DH121" s="205"/>
      <c r="DI121" s="205"/>
      <c r="DJ121" s="205"/>
      <c r="DK121" s="205"/>
      <c r="DL121" s="205"/>
      <c r="DM121" s="205"/>
      <c r="DN121" s="205"/>
      <c r="DO121" s="205"/>
      <c r="DP121" s="205"/>
      <c r="DQ121" s="205"/>
      <c r="DR121" s="205"/>
      <c r="DS121" s="205"/>
      <c r="DT121" s="205"/>
      <c r="DU121" s="205"/>
      <c r="DV121" s="205"/>
      <c r="DW121" s="205"/>
      <c r="DX121" s="205"/>
      <c r="DY121" s="205"/>
      <c r="DZ121" s="205"/>
      <c r="EA121" s="205"/>
      <c r="EB121" s="205"/>
      <c r="EC121" s="205"/>
      <c r="ED121" s="205"/>
      <c r="EE121" s="205"/>
      <c r="EF121" s="205"/>
      <c r="EG121" s="205"/>
      <c r="EH121" s="205"/>
      <c r="EI121" s="205"/>
      <c r="EJ121" s="205"/>
      <c r="EK121" s="205"/>
      <c r="EL121" s="205"/>
      <c r="EM121" s="205"/>
      <c r="EN121" s="205"/>
      <c r="EO121" s="205"/>
      <c r="EP121" s="205"/>
      <c r="EQ121" s="205"/>
      <c r="ER121" s="205"/>
      <c r="ES121" s="205"/>
      <c r="ET121" s="205"/>
      <c r="EU121" s="205"/>
      <c r="EV121" s="205"/>
      <c r="EW121" s="205"/>
      <c r="EX121" s="205"/>
      <c r="EY121" s="205"/>
      <c r="EZ121" s="205"/>
      <c r="FA121" s="205"/>
      <c r="FB121" s="205"/>
      <c r="FC121" s="205"/>
      <c r="FD121" s="205"/>
      <c r="FE121" s="205"/>
      <c r="FF121" s="205"/>
      <c r="FG121" s="205"/>
      <c r="FH121" s="205"/>
      <c r="FI121" s="205"/>
      <c r="FJ121" s="205"/>
      <c r="FK121" s="205"/>
      <c r="FL121" s="205"/>
      <c r="FM121" s="205"/>
      <c r="FN121" s="205"/>
      <c r="FO121" s="205"/>
      <c r="FP121" s="205"/>
      <c r="FQ121" s="205"/>
      <c r="FR121" s="205"/>
      <c r="FS121" s="205"/>
      <c r="FT121" s="205"/>
      <c r="FU121" s="205"/>
      <c r="FV121" s="205"/>
      <c r="FW121" s="205"/>
      <c r="FX121" s="205"/>
      <c r="FY121" s="205"/>
      <c r="FZ121" s="205"/>
      <c r="GA121" s="205"/>
      <c r="GB121" s="205"/>
      <c r="GC121" s="205"/>
      <c r="GD121" s="205"/>
      <c r="GE121" s="205"/>
      <c r="GF121" s="205"/>
      <c r="GG121" s="205"/>
      <c r="GH121" s="205"/>
      <c r="GI121" s="205"/>
      <c r="GJ121" s="205"/>
      <c r="GK121" s="205"/>
      <c r="GL121" s="205"/>
      <c r="GM121" s="205"/>
      <c r="GN121" s="205"/>
      <c r="GO121" s="205"/>
      <c r="GP121" s="205"/>
      <c r="GQ121" s="205"/>
      <c r="GR121" s="205"/>
      <c r="GS121" s="205"/>
      <c r="GT121" s="205"/>
      <c r="GU121" s="205"/>
      <c r="GV121" s="205"/>
      <c r="GW121" s="205"/>
      <c r="GX121" s="205"/>
      <c r="GY121" s="205"/>
      <c r="GZ121" s="205"/>
      <c r="HA121" s="205"/>
      <c r="HB121" s="205"/>
      <c r="HC121" s="205"/>
      <c r="HD121" s="205"/>
      <c r="HE121" s="205"/>
      <c r="HF121" s="205"/>
      <c r="HG121" s="205"/>
      <c r="HH121" s="205"/>
      <c r="HI121" s="205"/>
      <c r="HJ121" s="205"/>
      <c r="HK121" s="205"/>
      <c r="HL121" s="205"/>
      <c r="HM121" s="205"/>
      <c r="HN121" s="205"/>
      <c r="HO121" s="205"/>
      <c r="HP121" s="205"/>
      <c r="HQ121" s="205"/>
      <c r="HR121" s="205"/>
      <c r="HS121" s="205"/>
      <c r="HT121" s="205"/>
      <c r="HU121" s="205"/>
      <c r="HV121" s="205"/>
      <c r="HW121" s="205"/>
      <c r="HX121" s="205"/>
      <c r="HY121" s="205"/>
      <c r="HZ121" s="205"/>
      <c r="IA121" s="205"/>
      <c r="IB121" s="205"/>
      <c r="IC121" s="205"/>
      <c r="ID121" s="205"/>
      <c r="IE121" s="205"/>
      <c r="IF121" s="205"/>
      <c r="IG121" s="205"/>
      <c r="IH121" s="205"/>
      <c r="II121" s="205"/>
      <c r="IJ121" s="205"/>
      <c r="IK121" s="205"/>
      <c r="IL121" s="205"/>
      <c r="IM121" s="205"/>
      <c r="IN121" s="205"/>
      <c r="IO121" s="205"/>
      <c r="IP121" s="205"/>
      <c r="IQ121" s="205"/>
      <c r="IR121" s="205"/>
      <c r="IS121" s="205"/>
      <c r="IT121" s="205"/>
      <c r="IU121" s="205"/>
      <c r="IV121" s="205"/>
      <c r="IW121" s="205"/>
      <c r="IX121" s="205"/>
    </row>
    <row r="122" spans="1:258" s="203" customFormat="1" x14ac:dyDescent="0.2">
      <c r="A122" s="669"/>
      <c r="B122" s="670">
        <f>RAB!B58</f>
        <v>1</v>
      </c>
      <c r="C122" s="686" t="str">
        <f>RAB!D58</f>
        <v>Membuat beton mutu f'c = 7,4 Mpa - K 100</v>
      </c>
      <c r="D122" s="672"/>
      <c r="E122" s="673"/>
      <c r="F122" s="673"/>
      <c r="G122" s="674"/>
      <c r="H122" s="675"/>
      <c r="I122" s="676"/>
      <c r="J122" s="676"/>
      <c r="K122" s="676"/>
      <c r="L122" s="676"/>
      <c r="M122" s="676"/>
      <c r="N122" s="676"/>
      <c r="O122" s="676"/>
      <c r="P122" s="676"/>
      <c r="Q122" s="676"/>
      <c r="R122" s="677"/>
      <c r="S122" s="678"/>
      <c r="T122" s="684"/>
      <c r="U122" s="205"/>
      <c r="V122" s="68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5"/>
      <c r="BN122" s="205"/>
      <c r="BO122" s="205"/>
      <c r="BP122" s="205"/>
      <c r="BQ122" s="205"/>
      <c r="BR122" s="205"/>
      <c r="BS122" s="205"/>
      <c r="BT122" s="205"/>
      <c r="BU122" s="205"/>
      <c r="BV122" s="205"/>
      <c r="BW122" s="205"/>
      <c r="BX122" s="205"/>
      <c r="BY122" s="205"/>
      <c r="BZ122" s="205"/>
      <c r="CA122" s="205"/>
      <c r="CB122" s="205"/>
      <c r="CC122" s="205"/>
      <c r="CD122" s="205"/>
      <c r="CE122" s="205"/>
      <c r="CF122" s="205"/>
      <c r="CG122" s="205"/>
      <c r="CH122" s="205"/>
      <c r="CI122" s="205"/>
      <c r="CJ122" s="205"/>
      <c r="CK122" s="205"/>
      <c r="CL122" s="205"/>
      <c r="CM122" s="205"/>
      <c r="CN122" s="205"/>
      <c r="CO122" s="205"/>
      <c r="CP122" s="205"/>
      <c r="CQ122" s="205"/>
      <c r="CR122" s="205"/>
      <c r="CS122" s="205"/>
      <c r="CT122" s="205"/>
      <c r="CU122" s="205"/>
      <c r="CV122" s="205"/>
      <c r="CW122" s="205"/>
      <c r="CX122" s="205"/>
      <c r="CY122" s="205"/>
      <c r="CZ122" s="205"/>
      <c r="DA122" s="205"/>
      <c r="DB122" s="205"/>
      <c r="DC122" s="205"/>
      <c r="DD122" s="205"/>
      <c r="DE122" s="205"/>
      <c r="DF122" s="205"/>
      <c r="DG122" s="205"/>
      <c r="DH122" s="205"/>
      <c r="DI122" s="205"/>
      <c r="DJ122" s="205"/>
      <c r="DK122" s="205"/>
      <c r="DL122" s="205"/>
      <c r="DM122" s="205"/>
      <c r="DN122" s="205"/>
      <c r="DO122" s="205"/>
      <c r="DP122" s="205"/>
      <c r="DQ122" s="205"/>
      <c r="DR122" s="205"/>
      <c r="DS122" s="205"/>
      <c r="DT122" s="205"/>
      <c r="DU122" s="205"/>
      <c r="DV122" s="205"/>
      <c r="DW122" s="205"/>
      <c r="DX122" s="205"/>
      <c r="DY122" s="205"/>
      <c r="DZ122" s="205"/>
      <c r="EA122" s="205"/>
      <c r="EB122" s="205"/>
      <c r="EC122" s="205"/>
      <c r="ED122" s="205"/>
      <c r="EE122" s="205"/>
      <c r="EF122" s="205"/>
      <c r="EG122" s="205"/>
      <c r="EH122" s="205"/>
      <c r="EI122" s="205"/>
      <c r="EJ122" s="205"/>
      <c r="EK122" s="205"/>
      <c r="EL122" s="205"/>
      <c r="EM122" s="205"/>
      <c r="EN122" s="205"/>
      <c r="EO122" s="205"/>
      <c r="EP122" s="205"/>
      <c r="EQ122" s="205"/>
      <c r="ER122" s="205"/>
      <c r="ES122" s="205"/>
      <c r="ET122" s="205"/>
      <c r="EU122" s="205"/>
      <c r="EV122" s="205"/>
      <c r="EW122" s="205"/>
      <c r="EX122" s="205"/>
      <c r="EY122" s="205"/>
      <c r="EZ122" s="205"/>
      <c r="FA122" s="205"/>
      <c r="FB122" s="205"/>
      <c r="FC122" s="205"/>
      <c r="FD122" s="205"/>
      <c r="FE122" s="205"/>
      <c r="FF122" s="205"/>
      <c r="FG122" s="205"/>
      <c r="FH122" s="205"/>
      <c r="FI122" s="205"/>
      <c r="FJ122" s="205"/>
      <c r="FK122" s="205"/>
      <c r="FL122" s="205"/>
      <c r="FM122" s="205"/>
      <c r="FN122" s="205"/>
      <c r="FO122" s="205"/>
      <c r="FP122" s="205"/>
      <c r="FQ122" s="205"/>
      <c r="FR122" s="205"/>
      <c r="FS122" s="205"/>
      <c r="FT122" s="205"/>
      <c r="FU122" s="205"/>
      <c r="FV122" s="205"/>
      <c r="FW122" s="205"/>
      <c r="FX122" s="205"/>
      <c r="FY122" s="205"/>
      <c r="FZ122" s="205"/>
      <c r="GA122" s="205"/>
      <c r="GB122" s="205"/>
      <c r="GC122" s="205"/>
      <c r="GD122" s="205"/>
      <c r="GE122" s="205"/>
      <c r="GF122" s="205"/>
      <c r="GG122" s="205"/>
      <c r="GH122" s="205"/>
      <c r="GI122" s="205"/>
      <c r="GJ122" s="205"/>
      <c r="GK122" s="205"/>
      <c r="GL122" s="205"/>
      <c r="GM122" s="205"/>
      <c r="GN122" s="205"/>
      <c r="GO122" s="205"/>
      <c r="GP122" s="205"/>
      <c r="GQ122" s="205"/>
      <c r="GR122" s="205"/>
      <c r="GS122" s="205"/>
      <c r="GT122" s="205"/>
      <c r="GU122" s="205"/>
      <c r="GV122" s="205"/>
      <c r="GW122" s="205"/>
      <c r="GX122" s="205"/>
      <c r="GY122" s="205"/>
      <c r="GZ122" s="205"/>
      <c r="HA122" s="205"/>
      <c r="HB122" s="205"/>
      <c r="HC122" s="205"/>
      <c r="HD122" s="205"/>
      <c r="HE122" s="205"/>
      <c r="HF122" s="205"/>
      <c r="HG122" s="205"/>
      <c r="HH122" s="205"/>
      <c r="HI122" s="205"/>
      <c r="HJ122" s="205"/>
      <c r="HK122" s="205"/>
      <c r="HL122" s="205"/>
      <c r="HM122" s="205"/>
      <c r="HN122" s="205"/>
      <c r="HO122" s="205"/>
      <c r="HP122" s="205"/>
      <c r="HQ122" s="205"/>
      <c r="HR122" s="205"/>
      <c r="HS122" s="205"/>
      <c r="HT122" s="205"/>
      <c r="HU122" s="205"/>
      <c r="HV122" s="205"/>
      <c r="HW122" s="205"/>
      <c r="HX122" s="205"/>
      <c r="HY122" s="205"/>
      <c r="HZ122" s="205"/>
      <c r="IA122" s="205"/>
      <c r="IB122" s="205"/>
      <c r="IC122" s="205"/>
      <c r="ID122" s="205"/>
      <c r="IE122" s="205"/>
      <c r="IF122" s="205"/>
      <c r="IG122" s="205"/>
      <c r="IH122" s="205"/>
      <c r="II122" s="205"/>
      <c r="IJ122" s="205"/>
      <c r="IK122" s="205"/>
      <c r="IL122" s="205"/>
      <c r="IM122" s="205"/>
      <c r="IN122" s="205"/>
      <c r="IO122" s="205"/>
      <c r="IP122" s="205"/>
      <c r="IQ122" s="205"/>
      <c r="IR122" s="205"/>
      <c r="IS122" s="205"/>
      <c r="IT122" s="205"/>
      <c r="IU122" s="205"/>
      <c r="IV122" s="205"/>
      <c r="IW122" s="205"/>
      <c r="IX122" s="205"/>
    </row>
    <row r="123" spans="1:258" s="203" customFormat="1" x14ac:dyDescent="0.2">
      <c r="A123" s="669"/>
      <c r="B123" s="670"/>
      <c r="C123" s="1358"/>
      <c r="D123" s="672"/>
      <c r="E123" s="1359"/>
      <c r="F123" s="1359"/>
      <c r="G123" s="1360" t="str">
        <f>G32</f>
        <v>FP1</v>
      </c>
      <c r="H123" s="1361">
        <f>H32</f>
        <v>0.9</v>
      </c>
      <c r="I123" s="1362" t="s">
        <v>424</v>
      </c>
      <c r="J123" s="1362">
        <f>J32</f>
        <v>0.9</v>
      </c>
      <c r="K123" s="1362" t="s">
        <v>424</v>
      </c>
      <c r="L123" s="1362">
        <v>0.1</v>
      </c>
      <c r="M123" s="1362" t="s">
        <v>424</v>
      </c>
      <c r="N123" s="1362">
        <f>N32</f>
        <v>9</v>
      </c>
      <c r="O123" s="1362"/>
      <c r="P123" s="1362"/>
      <c r="Q123" s="1362" t="s">
        <v>696</v>
      </c>
      <c r="R123" s="1363">
        <f>H123*J123*L123*N123</f>
        <v>0.72900000000000009</v>
      </c>
      <c r="S123" s="1364"/>
      <c r="T123" s="722"/>
      <c r="U123" s="205"/>
      <c r="V123" s="685"/>
      <c r="W123" s="205"/>
      <c r="X123" s="205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205"/>
      <c r="BN123" s="205"/>
      <c r="BO123" s="205"/>
      <c r="BP123" s="205"/>
      <c r="BQ123" s="205"/>
      <c r="BR123" s="205"/>
      <c r="BS123" s="205"/>
      <c r="BT123" s="205"/>
      <c r="BU123" s="205"/>
      <c r="BV123" s="205"/>
      <c r="BW123" s="205"/>
      <c r="BX123" s="205"/>
      <c r="BY123" s="205"/>
      <c r="BZ123" s="205"/>
      <c r="CA123" s="205"/>
      <c r="CB123" s="205"/>
      <c r="CC123" s="205"/>
      <c r="CD123" s="205"/>
      <c r="CE123" s="205"/>
      <c r="CF123" s="205"/>
      <c r="CG123" s="205"/>
      <c r="CH123" s="205"/>
      <c r="CI123" s="205"/>
      <c r="CJ123" s="205"/>
      <c r="CK123" s="205"/>
      <c r="CL123" s="205"/>
      <c r="CM123" s="205"/>
      <c r="CN123" s="205"/>
      <c r="CO123" s="205"/>
      <c r="CP123" s="205"/>
      <c r="CQ123" s="205"/>
      <c r="CR123" s="205"/>
      <c r="CS123" s="205"/>
      <c r="CT123" s="205"/>
      <c r="CU123" s="205"/>
      <c r="CV123" s="205"/>
      <c r="CW123" s="205"/>
      <c r="CX123" s="205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205"/>
      <c r="DK123" s="205"/>
      <c r="DL123" s="205"/>
      <c r="DM123" s="205"/>
      <c r="DN123" s="205"/>
      <c r="DO123" s="205"/>
      <c r="DP123" s="205"/>
      <c r="DQ123" s="205"/>
      <c r="DR123" s="205"/>
      <c r="DS123" s="205"/>
      <c r="DT123" s="205"/>
      <c r="DU123" s="205"/>
      <c r="DV123" s="205"/>
      <c r="DW123" s="205"/>
      <c r="DX123" s="205"/>
      <c r="DY123" s="205"/>
      <c r="DZ123" s="205"/>
      <c r="EA123" s="205"/>
      <c r="EB123" s="205"/>
      <c r="EC123" s="205"/>
      <c r="ED123" s="205"/>
      <c r="EE123" s="205"/>
      <c r="EF123" s="205"/>
      <c r="EG123" s="205"/>
      <c r="EH123" s="205"/>
      <c r="EI123" s="205"/>
      <c r="EJ123" s="205"/>
      <c r="EK123" s="205"/>
      <c r="EL123" s="205"/>
      <c r="EM123" s="205"/>
      <c r="EN123" s="205"/>
      <c r="EO123" s="205"/>
      <c r="EP123" s="205"/>
      <c r="EQ123" s="205"/>
      <c r="ER123" s="205"/>
      <c r="ES123" s="205"/>
      <c r="ET123" s="205"/>
      <c r="EU123" s="205"/>
      <c r="EV123" s="205"/>
      <c r="EW123" s="205"/>
      <c r="EX123" s="205"/>
      <c r="EY123" s="205"/>
      <c r="EZ123" s="205"/>
      <c r="FA123" s="205"/>
      <c r="FB123" s="205"/>
      <c r="FC123" s="205"/>
      <c r="FD123" s="205"/>
      <c r="FE123" s="205"/>
      <c r="FF123" s="205"/>
      <c r="FG123" s="205"/>
      <c r="FH123" s="205"/>
      <c r="FI123" s="205"/>
      <c r="FJ123" s="205"/>
      <c r="FK123" s="205"/>
      <c r="FL123" s="205"/>
      <c r="FM123" s="205"/>
      <c r="FN123" s="205"/>
      <c r="FO123" s="205"/>
      <c r="FP123" s="205"/>
      <c r="FQ123" s="205"/>
      <c r="FR123" s="205"/>
      <c r="FS123" s="205"/>
      <c r="FT123" s="205"/>
      <c r="FU123" s="205"/>
      <c r="FV123" s="205"/>
      <c r="FW123" s="205"/>
      <c r="FX123" s="205"/>
      <c r="FY123" s="205"/>
      <c r="FZ123" s="205"/>
      <c r="GA123" s="205"/>
      <c r="GB123" s="205"/>
      <c r="GC123" s="205"/>
      <c r="GD123" s="205"/>
      <c r="GE123" s="205"/>
      <c r="GF123" s="205"/>
      <c r="GG123" s="205"/>
      <c r="GH123" s="205"/>
      <c r="GI123" s="205"/>
      <c r="GJ123" s="205"/>
      <c r="GK123" s="205"/>
      <c r="GL123" s="205"/>
      <c r="GM123" s="205"/>
      <c r="GN123" s="205"/>
      <c r="GO123" s="205"/>
      <c r="GP123" s="205"/>
      <c r="GQ123" s="205"/>
      <c r="GR123" s="205"/>
      <c r="GS123" s="205"/>
      <c r="GT123" s="205"/>
      <c r="GU123" s="205"/>
      <c r="GV123" s="205"/>
      <c r="GW123" s="205"/>
      <c r="GX123" s="205"/>
      <c r="GY123" s="205"/>
      <c r="GZ123" s="205"/>
      <c r="HA123" s="205"/>
      <c r="HB123" s="205"/>
      <c r="HC123" s="205"/>
      <c r="HD123" s="205"/>
      <c r="HE123" s="205"/>
      <c r="HF123" s="205"/>
      <c r="HG123" s="205"/>
      <c r="HH123" s="205"/>
      <c r="HI123" s="205"/>
      <c r="HJ123" s="205"/>
      <c r="HK123" s="205"/>
      <c r="HL123" s="205"/>
      <c r="HM123" s="205"/>
      <c r="HN123" s="205"/>
      <c r="HO123" s="205"/>
      <c r="HP123" s="205"/>
      <c r="HQ123" s="205"/>
      <c r="HR123" s="205"/>
      <c r="HS123" s="205"/>
      <c r="HT123" s="205"/>
      <c r="HU123" s="205"/>
      <c r="HV123" s="205"/>
      <c r="HW123" s="205"/>
      <c r="HX123" s="205"/>
      <c r="HY123" s="205"/>
      <c r="HZ123" s="205"/>
      <c r="IA123" s="205"/>
      <c r="IB123" s="205"/>
      <c r="IC123" s="205"/>
      <c r="ID123" s="205"/>
      <c r="IE123" s="205"/>
      <c r="IF123" s="205"/>
      <c r="IG123" s="205"/>
      <c r="IH123" s="205"/>
      <c r="II123" s="205"/>
      <c r="IJ123" s="205"/>
      <c r="IK123" s="205"/>
      <c r="IL123" s="205"/>
      <c r="IM123" s="205"/>
      <c r="IN123" s="205"/>
      <c r="IO123" s="205"/>
      <c r="IP123" s="205"/>
      <c r="IQ123" s="205"/>
      <c r="IR123" s="205"/>
      <c r="IS123" s="205"/>
      <c r="IT123" s="205"/>
      <c r="IU123" s="205"/>
      <c r="IV123" s="205"/>
      <c r="IW123" s="205"/>
      <c r="IX123" s="205"/>
    </row>
    <row r="124" spans="1:258" s="203" customFormat="1" x14ac:dyDescent="0.2">
      <c r="A124" s="669"/>
      <c r="B124" s="670"/>
      <c r="C124" s="1358"/>
      <c r="D124" s="672"/>
      <c r="E124" s="1359"/>
      <c r="F124" s="1359"/>
      <c r="G124" s="1360" t="str">
        <f t="shared" ref="G124:H124" si="39">G33</f>
        <v>FP2</v>
      </c>
      <c r="H124" s="1361">
        <f t="shared" si="39"/>
        <v>0.9</v>
      </c>
      <c r="I124" s="1362" t="s">
        <v>424</v>
      </c>
      <c r="J124" s="1362">
        <f>J33</f>
        <v>0.9</v>
      </c>
      <c r="K124" s="1362" t="s">
        <v>424</v>
      </c>
      <c r="L124" s="1362">
        <v>0.1</v>
      </c>
      <c r="M124" s="1362" t="s">
        <v>424</v>
      </c>
      <c r="N124" s="1362">
        <f>N33</f>
        <v>10</v>
      </c>
      <c r="O124" s="1362"/>
      <c r="P124" s="1362"/>
      <c r="Q124" s="1362" t="s">
        <v>696</v>
      </c>
      <c r="R124" s="1363">
        <f t="shared" ref="R124:R125" si="40">H124*J124*L124*N124</f>
        <v>0.81000000000000016</v>
      </c>
      <c r="S124" s="1364"/>
      <c r="T124" s="722"/>
      <c r="U124" s="205"/>
      <c r="V124" s="685"/>
      <c r="W124" s="205"/>
      <c r="X124" s="205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205"/>
      <c r="BN124" s="205"/>
      <c r="BO124" s="205"/>
      <c r="BP124" s="205"/>
      <c r="BQ124" s="205"/>
      <c r="BR124" s="205"/>
      <c r="BS124" s="205"/>
      <c r="BT124" s="205"/>
      <c r="BU124" s="205"/>
      <c r="BV124" s="205"/>
      <c r="BW124" s="205"/>
      <c r="BX124" s="205"/>
      <c r="BY124" s="205"/>
      <c r="BZ124" s="205"/>
      <c r="CA124" s="205"/>
      <c r="CB124" s="205"/>
      <c r="CC124" s="205"/>
      <c r="CD124" s="205"/>
      <c r="CE124" s="205"/>
      <c r="CF124" s="205"/>
      <c r="CG124" s="205"/>
      <c r="CH124" s="205"/>
      <c r="CI124" s="205"/>
      <c r="CJ124" s="205"/>
      <c r="CK124" s="205"/>
      <c r="CL124" s="205"/>
      <c r="CM124" s="205"/>
      <c r="CN124" s="205"/>
      <c r="CO124" s="205"/>
      <c r="CP124" s="205"/>
      <c r="CQ124" s="205"/>
      <c r="CR124" s="205"/>
      <c r="CS124" s="205"/>
      <c r="CT124" s="205"/>
      <c r="CU124" s="205"/>
      <c r="CV124" s="205"/>
      <c r="CW124" s="205"/>
      <c r="CX124" s="205"/>
      <c r="CY124" s="205"/>
      <c r="CZ124" s="205"/>
      <c r="DA124" s="205"/>
      <c r="DB124" s="205"/>
      <c r="DC124" s="205"/>
      <c r="DD124" s="205"/>
      <c r="DE124" s="205"/>
      <c r="DF124" s="205"/>
      <c r="DG124" s="205"/>
      <c r="DH124" s="205"/>
      <c r="DI124" s="205"/>
      <c r="DJ124" s="205"/>
      <c r="DK124" s="205"/>
      <c r="DL124" s="205"/>
      <c r="DM124" s="205"/>
      <c r="DN124" s="205"/>
      <c r="DO124" s="205"/>
      <c r="DP124" s="205"/>
      <c r="DQ124" s="205"/>
      <c r="DR124" s="205"/>
      <c r="DS124" s="205"/>
      <c r="DT124" s="205"/>
      <c r="DU124" s="205"/>
      <c r="DV124" s="205"/>
      <c r="DW124" s="205"/>
      <c r="DX124" s="205"/>
      <c r="DY124" s="205"/>
      <c r="DZ124" s="205"/>
      <c r="EA124" s="205"/>
      <c r="EB124" s="205"/>
      <c r="EC124" s="205"/>
      <c r="ED124" s="205"/>
      <c r="EE124" s="205"/>
      <c r="EF124" s="205"/>
      <c r="EG124" s="205"/>
      <c r="EH124" s="205"/>
      <c r="EI124" s="205"/>
      <c r="EJ124" s="205"/>
      <c r="EK124" s="205"/>
      <c r="EL124" s="205"/>
      <c r="EM124" s="205"/>
      <c r="EN124" s="205"/>
      <c r="EO124" s="205"/>
      <c r="EP124" s="205"/>
      <c r="EQ124" s="205"/>
      <c r="ER124" s="205"/>
      <c r="ES124" s="205"/>
      <c r="ET124" s="205"/>
      <c r="EU124" s="205"/>
      <c r="EV124" s="205"/>
      <c r="EW124" s="205"/>
      <c r="EX124" s="205"/>
      <c r="EY124" s="205"/>
      <c r="EZ124" s="205"/>
      <c r="FA124" s="205"/>
      <c r="FB124" s="205"/>
      <c r="FC124" s="205"/>
      <c r="FD124" s="205"/>
      <c r="FE124" s="205"/>
      <c r="FF124" s="205"/>
      <c r="FG124" s="205"/>
      <c r="FH124" s="205"/>
      <c r="FI124" s="205"/>
      <c r="FJ124" s="205"/>
      <c r="FK124" s="205"/>
      <c r="FL124" s="205"/>
      <c r="FM124" s="205"/>
      <c r="FN124" s="205"/>
      <c r="FO124" s="205"/>
      <c r="FP124" s="205"/>
      <c r="FQ124" s="205"/>
      <c r="FR124" s="205"/>
      <c r="FS124" s="205"/>
      <c r="FT124" s="205"/>
      <c r="FU124" s="205"/>
      <c r="FV124" s="205"/>
      <c r="FW124" s="205"/>
      <c r="FX124" s="205"/>
      <c r="FY124" s="205"/>
      <c r="FZ124" s="205"/>
      <c r="GA124" s="205"/>
      <c r="GB124" s="205"/>
      <c r="GC124" s="205"/>
      <c r="GD124" s="205"/>
      <c r="GE124" s="205"/>
      <c r="GF124" s="205"/>
      <c r="GG124" s="205"/>
      <c r="GH124" s="205"/>
      <c r="GI124" s="205"/>
      <c r="GJ124" s="205"/>
      <c r="GK124" s="205"/>
      <c r="GL124" s="205"/>
      <c r="GM124" s="205"/>
      <c r="GN124" s="205"/>
      <c r="GO124" s="205"/>
      <c r="GP124" s="205"/>
      <c r="GQ124" s="205"/>
      <c r="GR124" s="205"/>
      <c r="GS124" s="205"/>
      <c r="GT124" s="205"/>
      <c r="GU124" s="205"/>
      <c r="GV124" s="205"/>
      <c r="GW124" s="205"/>
      <c r="GX124" s="205"/>
      <c r="GY124" s="205"/>
      <c r="GZ124" s="205"/>
      <c r="HA124" s="205"/>
      <c r="HB124" s="205"/>
      <c r="HC124" s="205"/>
      <c r="HD124" s="205"/>
      <c r="HE124" s="205"/>
      <c r="HF124" s="205"/>
      <c r="HG124" s="205"/>
      <c r="HH124" s="205"/>
      <c r="HI124" s="205"/>
      <c r="HJ124" s="205"/>
      <c r="HK124" s="205"/>
      <c r="HL124" s="205"/>
      <c r="HM124" s="205"/>
      <c r="HN124" s="205"/>
      <c r="HO124" s="205"/>
      <c r="HP124" s="205"/>
      <c r="HQ124" s="205"/>
      <c r="HR124" s="205"/>
      <c r="HS124" s="205"/>
      <c r="HT124" s="205"/>
      <c r="HU124" s="205"/>
      <c r="HV124" s="205"/>
      <c r="HW124" s="205"/>
      <c r="HX124" s="205"/>
      <c r="HY124" s="205"/>
      <c r="HZ124" s="205"/>
      <c r="IA124" s="205"/>
      <c r="IB124" s="205"/>
      <c r="IC124" s="205"/>
      <c r="ID124" s="205"/>
      <c r="IE124" s="205"/>
      <c r="IF124" s="205"/>
      <c r="IG124" s="205"/>
      <c r="IH124" s="205"/>
      <c r="II124" s="205"/>
      <c r="IJ124" s="205"/>
      <c r="IK124" s="205"/>
      <c r="IL124" s="205"/>
      <c r="IM124" s="205"/>
      <c r="IN124" s="205"/>
      <c r="IO124" s="205"/>
      <c r="IP124" s="205"/>
      <c r="IQ124" s="205"/>
      <c r="IR124" s="205"/>
      <c r="IS124" s="205"/>
      <c r="IT124" s="205"/>
      <c r="IU124" s="205"/>
      <c r="IV124" s="205"/>
      <c r="IW124" s="205"/>
      <c r="IX124" s="205"/>
    </row>
    <row r="125" spans="1:258" s="203" customFormat="1" x14ac:dyDescent="0.2">
      <c r="A125" s="669"/>
      <c r="B125" s="670"/>
      <c r="C125" s="1358"/>
      <c r="D125" s="672"/>
      <c r="E125" s="1359"/>
      <c r="F125" s="1359"/>
      <c r="G125" s="1360" t="str">
        <f t="shared" ref="G125:H125" si="41">G34</f>
        <v>FP3</v>
      </c>
      <c r="H125" s="1361">
        <f t="shared" si="41"/>
        <v>0.9</v>
      </c>
      <c r="I125" s="1362" t="s">
        <v>424</v>
      </c>
      <c r="J125" s="1362">
        <f>J34</f>
        <v>0.9</v>
      </c>
      <c r="K125" s="1362" t="s">
        <v>424</v>
      </c>
      <c r="L125" s="1362">
        <v>0.1</v>
      </c>
      <c r="M125" s="1362" t="s">
        <v>424</v>
      </c>
      <c r="N125" s="1362">
        <f>N34</f>
        <v>8</v>
      </c>
      <c r="O125" s="1362"/>
      <c r="P125" s="1362"/>
      <c r="Q125" s="1362" t="s">
        <v>696</v>
      </c>
      <c r="R125" s="1363">
        <f t="shared" si="40"/>
        <v>0.64800000000000013</v>
      </c>
      <c r="S125" s="1364"/>
      <c r="T125" s="722"/>
      <c r="U125" s="205"/>
      <c r="V125" s="685"/>
      <c r="W125" s="205"/>
      <c r="X125" s="205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205"/>
      <c r="BN125" s="205"/>
      <c r="BO125" s="205"/>
      <c r="BP125" s="205"/>
      <c r="BQ125" s="205"/>
      <c r="BR125" s="205"/>
      <c r="BS125" s="205"/>
      <c r="BT125" s="205"/>
      <c r="BU125" s="205"/>
      <c r="BV125" s="205"/>
      <c r="BW125" s="205"/>
      <c r="BX125" s="205"/>
      <c r="BY125" s="205"/>
      <c r="BZ125" s="205"/>
      <c r="CA125" s="205"/>
      <c r="CB125" s="205"/>
      <c r="CC125" s="205"/>
      <c r="CD125" s="205"/>
      <c r="CE125" s="205"/>
      <c r="CF125" s="205"/>
      <c r="CG125" s="205"/>
      <c r="CH125" s="205"/>
      <c r="CI125" s="205"/>
      <c r="CJ125" s="205"/>
      <c r="CK125" s="205"/>
      <c r="CL125" s="205"/>
      <c r="CM125" s="205"/>
      <c r="CN125" s="205"/>
      <c r="CO125" s="205"/>
      <c r="CP125" s="205"/>
      <c r="CQ125" s="205"/>
      <c r="CR125" s="205"/>
      <c r="CS125" s="205"/>
      <c r="CT125" s="205"/>
      <c r="CU125" s="205"/>
      <c r="CV125" s="205"/>
      <c r="CW125" s="205"/>
      <c r="CX125" s="205"/>
      <c r="CY125" s="205"/>
      <c r="CZ125" s="205"/>
      <c r="DA125" s="205"/>
      <c r="DB125" s="205"/>
      <c r="DC125" s="205"/>
      <c r="DD125" s="205"/>
      <c r="DE125" s="205"/>
      <c r="DF125" s="205"/>
      <c r="DG125" s="205"/>
      <c r="DH125" s="205"/>
      <c r="DI125" s="205"/>
      <c r="DJ125" s="205"/>
      <c r="DK125" s="205"/>
      <c r="DL125" s="205"/>
      <c r="DM125" s="205"/>
      <c r="DN125" s="205"/>
      <c r="DO125" s="205"/>
      <c r="DP125" s="205"/>
      <c r="DQ125" s="205"/>
      <c r="DR125" s="205"/>
      <c r="DS125" s="205"/>
      <c r="DT125" s="205"/>
      <c r="DU125" s="205"/>
      <c r="DV125" s="205"/>
      <c r="DW125" s="205"/>
      <c r="DX125" s="205"/>
      <c r="DY125" s="205"/>
      <c r="DZ125" s="205"/>
      <c r="EA125" s="205"/>
      <c r="EB125" s="205"/>
      <c r="EC125" s="205"/>
      <c r="ED125" s="205"/>
      <c r="EE125" s="205"/>
      <c r="EF125" s="205"/>
      <c r="EG125" s="205"/>
      <c r="EH125" s="205"/>
      <c r="EI125" s="205"/>
      <c r="EJ125" s="205"/>
      <c r="EK125" s="205"/>
      <c r="EL125" s="205"/>
      <c r="EM125" s="205"/>
      <c r="EN125" s="205"/>
      <c r="EO125" s="205"/>
      <c r="EP125" s="205"/>
      <c r="EQ125" s="205"/>
      <c r="ER125" s="205"/>
      <c r="ES125" s="205"/>
      <c r="ET125" s="205"/>
      <c r="EU125" s="205"/>
      <c r="EV125" s="205"/>
      <c r="EW125" s="205"/>
      <c r="EX125" s="205"/>
      <c r="EY125" s="205"/>
      <c r="EZ125" s="205"/>
      <c r="FA125" s="205"/>
      <c r="FB125" s="205"/>
      <c r="FC125" s="205"/>
      <c r="FD125" s="205"/>
      <c r="FE125" s="205"/>
      <c r="FF125" s="205"/>
      <c r="FG125" s="205"/>
      <c r="FH125" s="205"/>
      <c r="FI125" s="205"/>
      <c r="FJ125" s="205"/>
      <c r="FK125" s="205"/>
      <c r="FL125" s="205"/>
      <c r="FM125" s="205"/>
      <c r="FN125" s="205"/>
      <c r="FO125" s="205"/>
      <c r="FP125" s="205"/>
      <c r="FQ125" s="205"/>
      <c r="FR125" s="205"/>
      <c r="FS125" s="205"/>
      <c r="FT125" s="205"/>
      <c r="FU125" s="205"/>
      <c r="FV125" s="205"/>
      <c r="FW125" s="205"/>
      <c r="FX125" s="205"/>
      <c r="FY125" s="205"/>
      <c r="FZ125" s="205"/>
      <c r="GA125" s="205"/>
      <c r="GB125" s="205"/>
      <c r="GC125" s="205"/>
      <c r="GD125" s="205"/>
      <c r="GE125" s="205"/>
      <c r="GF125" s="205"/>
      <c r="GG125" s="205"/>
      <c r="GH125" s="205"/>
      <c r="GI125" s="205"/>
      <c r="GJ125" s="205"/>
      <c r="GK125" s="205"/>
      <c r="GL125" s="205"/>
      <c r="GM125" s="205"/>
      <c r="GN125" s="205"/>
      <c r="GO125" s="205"/>
      <c r="GP125" s="205"/>
      <c r="GQ125" s="205"/>
      <c r="GR125" s="205"/>
      <c r="GS125" s="205"/>
      <c r="GT125" s="205"/>
      <c r="GU125" s="205"/>
      <c r="GV125" s="205"/>
      <c r="GW125" s="205"/>
      <c r="GX125" s="205"/>
      <c r="GY125" s="205"/>
      <c r="GZ125" s="205"/>
      <c r="HA125" s="205"/>
      <c r="HB125" s="205"/>
      <c r="HC125" s="205"/>
      <c r="HD125" s="205"/>
      <c r="HE125" s="205"/>
      <c r="HF125" s="205"/>
      <c r="HG125" s="205"/>
      <c r="HH125" s="205"/>
      <c r="HI125" s="205"/>
      <c r="HJ125" s="205"/>
      <c r="HK125" s="205"/>
      <c r="HL125" s="205"/>
      <c r="HM125" s="205"/>
      <c r="HN125" s="205"/>
      <c r="HO125" s="205"/>
      <c r="HP125" s="205"/>
      <c r="HQ125" s="205"/>
      <c r="HR125" s="205"/>
      <c r="HS125" s="205"/>
      <c r="HT125" s="205"/>
      <c r="HU125" s="205"/>
      <c r="HV125" s="205"/>
      <c r="HW125" s="205"/>
      <c r="HX125" s="205"/>
      <c r="HY125" s="205"/>
      <c r="HZ125" s="205"/>
      <c r="IA125" s="205"/>
      <c r="IB125" s="205"/>
      <c r="IC125" s="205"/>
      <c r="ID125" s="205"/>
      <c r="IE125" s="205"/>
      <c r="IF125" s="205"/>
      <c r="IG125" s="205"/>
      <c r="IH125" s="205"/>
      <c r="II125" s="205"/>
      <c r="IJ125" s="205"/>
      <c r="IK125" s="205"/>
      <c r="IL125" s="205"/>
      <c r="IM125" s="205"/>
      <c r="IN125" s="205"/>
      <c r="IO125" s="205"/>
      <c r="IP125" s="205"/>
      <c r="IQ125" s="205"/>
      <c r="IR125" s="205"/>
      <c r="IS125" s="205"/>
      <c r="IT125" s="205"/>
      <c r="IU125" s="205"/>
      <c r="IV125" s="205"/>
      <c r="IW125" s="205"/>
      <c r="IX125" s="205"/>
    </row>
    <row r="126" spans="1:258" s="203" customFormat="1" x14ac:dyDescent="0.2">
      <c r="A126" s="669"/>
      <c r="B126" s="670"/>
      <c r="C126" s="1358"/>
      <c r="D126" s="672"/>
      <c r="E126" s="1359"/>
      <c r="F126" s="1359"/>
      <c r="G126" s="1360"/>
      <c r="H126" s="1361"/>
      <c r="I126" s="1362"/>
      <c r="J126" s="1362"/>
      <c r="K126" s="1362"/>
      <c r="L126" s="1362"/>
      <c r="M126" s="1362"/>
      <c r="N126" s="1362"/>
      <c r="O126" s="1362"/>
      <c r="P126" s="1362"/>
      <c r="Q126" s="1362"/>
      <c r="R126" s="1363">
        <f>SUM(R123:R125)</f>
        <v>2.1870000000000003</v>
      </c>
      <c r="S126" s="1364">
        <f>R126</f>
        <v>2.1870000000000003</v>
      </c>
      <c r="T126" s="722" t="s">
        <v>293</v>
      </c>
      <c r="U126" s="205"/>
      <c r="V126" s="685"/>
      <c r="W126" s="205"/>
      <c r="X126" s="205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205"/>
      <c r="BN126" s="205"/>
      <c r="BO126" s="205"/>
      <c r="BP126" s="205"/>
      <c r="BQ126" s="205"/>
      <c r="BR126" s="205"/>
      <c r="BS126" s="205"/>
      <c r="BT126" s="205"/>
      <c r="BU126" s="205"/>
      <c r="BV126" s="205"/>
      <c r="BW126" s="205"/>
      <c r="BX126" s="205"/>
      <c r="BY126" s="205"/>
      <c r="BZ126" s="205"/>
      <c r="CA126" s="205"/>
      <c r="CB126" s="205"/>
      <c r="CC126" s="205"/>
      <c r="CD126" s="205"/>
      <c r="CE126" s="205"/>
      <c r="CF126" s="205"/>
      <c r="CG126" s="205"/>
      <c r="CH126" s="205"/>
      <c r="CI126" s="205"/>
      <c r="CJ126" s="205"/>
      <c r="CK126" s="205"/>
      <c r="CL126" s="205"/>
      <c r="CM126" s="205"/>
      <c r="CN126" s="205"/>
      <c r="CO126" s="205"/>
      <c r="CP126" s="205"/>
      <c r="CQ126" s="205"/>
      <c r="CR126" s="205"/>
      <c r="CS126" s="205"/>
      <c r="CT126" s="205"/>
      <c r="CU126" s="205"/>
      <c r="CV126" s="205"/>
      <c r="CW126" s="205"/>
      <c r="CX126" s="205"/>
      <c r="CY126" s="205"/>
      <c r="CZ126" s="205"/>
      <c r="DA126" s="205"/>
      <c r="DB126" s="205"/>
      <c r="DC126" s="205"/>
      <c r="DD126" s="205"/>
      <c r="DE126" s="205"/>
      <c r="DF126" s="205"/>
      <c r="DG126" s="205"/>
      <c r="DH126" s="205"/>
      <c r="DI126" s="205"/>
      <c r="DJ126" s="205"/>
      <c r="DK126" s="205"/>
      <c r="DL126" s="205"/>
      <c r="DM126" s="205"/>
      <c r="DN126" s="205"/>
      <c r="DO126" s="205"/>
      <c r="DP126" s="205"/>
      <c r="DQ126" s="205"/>
      <c r="DR126" s="205"/>
      <c r="DS126" s="205"/>
      <c r="DT126" s="205"/>
      <c r="DU126" s="205"/>
      <c r="DV126" s="205"/>
      <c r="DW126" s="205"/>
      <c r="DX126" s="205"/>
      <c r="DY126" s="205"/>
      <c r="DZ126" s="205"/>
      <c r="EA126" s="205"/>
      <c r="EB126" s="205"/>
      <c r="EC126" s="205"/>
      <c r="ED126" s="205"/>
      <c r="EE126" s="205"/>
      <c r="EF126" s="205"/>
      <c r="EG126" s="205"/>
      <c r="EH126" s="205"/>
      <c r="EI126" s="205"/>
      <c r="EJ126" s="205"/>
      <c r="EK126" s="205"/>
      <c r="EL126" s="205"/>
      <c r="EM126" s="205"/>
      <c r="EN126" s="205"/>
      <c r="EO126" s="205"/>
      <c r="EP126" s="205"/>
      <c r="EQ126" s="205"/>
      <c r="ER126" s="205"/>
      <c r="ES126" s="205"/>
      <c r="ET126" s="205"/>
      <c r="EU126" s="205"/>
      <c r="EV126" s="205"/>
      <c r="EW126" s="205"/>
      <c r="EX126" s="205"/>
      <c r="EY126" s="205"/>
      <c r="EZ126" s="205"/>
      <c r="FA126" s="205"/>
      <c r="FB126" s="205"/>
      <c r="FC126" s="205"/>
      <c r="FD126" s="205"/>
      <c r="FE126" s="205"/>
      <c r="FF126" s="205"/>
      <c r="FG126" s="205"/>
      <c r="FH126" s="205"/>
      <c r="FI126" s="205"/>
      <c r="FJ126" s="205"/>
      <c r="FK126" s="205"/>
      <c r="FL126" s="205"/>
      <c r="FM126" s="205"/>
      <c r="FN126" s="205"/>
      <c r="FO126" s="205"/>
      <c r="FP126" s="205"/>
      <c r="FQ126" s="205"/>
      <c r="FR126" s="205"/>
      <c r="FS126" s="205"/>
      <c r="FT126" s="205"/>
      <c r="FU126" s="205"/>
      <c r="FV126" s="205"/>
      <c r="FW126" s="205"/>
      <c r="FX126" s="205"/>
      <c r="FY126" s="205"/>
      <c r="FZ126" s="205"/>
      <c r="GA126" s="205"/>
      <c r="GB126" s="205"/>
      <c r="GC126" s="205"/>
      <c r="GD126" s="205"/>
      <c r="GE126" s="205"/>
      <c r="GF126" s="205"/>
      <c r="GG126" s="205"/>
      <c r="GH126" s="205"/>
      <c r="GI126" s="205"/>
      <c r="GJ126" s="205"/>
      <c r="GK126" s="205"/>
      <c r="GL126" s="205"/>
      <c r="GM126" s="205"/>
      <c r="GN126" s="205"/>
      <c r="GO126" s="205"/>
      <c r="GP126" s="205"/>
      <c r="GQ126" s="205"/>
      <c r="GR126" s="205"/>
      <c r="GS126" s="205"/>
      <c r="GT126" s="205"/>
      <c r="GU126" s="205"/>
      <c r="GV126" s="205"/>
      <c r="GW126" s="205"/>
      <c r="GX126" s="205"/>
      <c r="GY126" s="205"/>
      <c r="GZ126" s="205"/>
      <c r="HA126" s="205"/>
      <c r="HB126" s="205"/>
      <c r="HC126" s="205"/>
      <c r="HD126" s="205"/>
      <c r="HE126" s="205"/>
      <c r="HF126" s="205"/>
      <c r="HG126" s="205"/>
      <c r="HH126" s="205"/>
      <c r="HI126" s="205"/>
      <c r="HJ126" s="205"/>
      <c r="HK126" s="205"/>
      <c r="HL126" s="205"/>
      <c r="HM126" s="205"/>
      <c r="HN126" s="205"/>
      <c r="HO126" s="205"/>
      <c r="HP126" s="205"/>
      <c r="HQ126" s="205"/>
      <c r="HR126" s="205"/>
      <c r="HS126" s="205"/>
      <c r="HT126" s="205"/>
      <c r="HU126" s="205"/>
      <c r="HV126" s="205"/>
      <c r="HW126" s="205"/>
      <c r="HX126" s="205"/>
      <c r="HY126" s="205"/>
      <c r="HZ126" s="205"/>
      <c r="IA126" s="205"/>
      <c r="IB126" s="205"/>
      <c r="IC126" s="205"/>
      <c r="ID126" s="205"/>
      <c r="IE126" s="205"/>
      <c r="IF126" s="205"/>
      <c r="IG126" s="205"/>
      <c r="IH126" s="205"/>
      <c r="II126" s="205"/>
      <c r="IJ126" s="205"/>
      <c r="IK126" s="205"/>
      <c r="IL126" s="205"/>
      <c r="IM126" s="205"/>
      <c r="IN126" s="205"/>
      <c r="IO126" s="205"/>
      <c r="IP126" s="205"/>
      <c r="IQ126" s="205"/>
      <c r="IR126" s="205"/>
      <c r="IS126" s="205"/>
      <c r="IT126" s="205"/>
      <c r="IU126" s="205"/>
      <c r="IV126" s="205"/>
      <c r="IW126" s="205"/>
      <c r="IX126" s="205"/>
    </row>
    <row r="127" spans="1:258" s="203" customFormat="1" x14ac:dyDescent="0.2">
      <c r="A127" s="669"/>
      <c r="B127" s="670"/>
      <c r="C127" s="682" t="str">
        <f>RAB!D59</f>
        <v>Beton lantai kerja</v>
      </c>
      <c r="D127" s="672"/>
      <c r="E127" s="673"/>
      <c r="F127" s="673"/>
      <c r="G127" s="674"/>
      <c r="H127" s="675"/>
      <c r="I127" s="676"/>
      <c r="J127" s="676"/>
      <c r="K127" s="676"/>
      <c r="L127" s="676"/>
      <c r="M127" s="676"/>
      <c r="N127" s="676"/>
      <c r="O127" s="676"/>
      <c r="P127" s="676"/>
      <c r="Q127" s="676"/>
      <c r="R127" s="677"/>
      <c r="S127" s="678"/>
      <c r="T127" s="684"/>
      <c r="U127" s="205"/>
      <c r="V127" s="685"/>
      <c r="W127" s="205"/>
      <c r="X127" s="205"/>
      <c r="Y127" s="205"/>
      <c r="Z127" s="205"/>
      <c r="AA127" s="205"/>
      <c r="AB127" s="205"/>
      <c r="AC127" s="205"/>
      <c r="AD127" s="205"/>
      <c r="AE127" s="205"/>
      <c r="AF127" s="205"/>
      <c r="AG127" s="205"/>
      <c r="AH127" s="205"/>
      <c r="AI127" s="205"/>
      <c r="AJ127" s="205"/>
      <c r="AK127" s="205"/>
      <c r="AL127" s="205"/>
      <c r="AM127" s="205"/>
      <c r="AN127" s="205"/>
      <c r="AO127" s="205"/>
      <c r="AP127" s="205"/>
      <c r="AQ127" s="205"/>
      <c r="AR127" s="205"/>
      <c r="AS127" s="205"/>
      <c r="AT127" s="205"/>
      <c r="AU127" s="205"/>
      <c r="AV127" s="205"/>
      <c r="AW127" s="205"/>
      <c r="AX127" s="205"/>
      <c r="AY127" s="205"/>
      <c r="AZ127" s="205"/>
      <c r="BA127" s="205"/>
      <c r="BB127" s="205"/>
      <c r="BC127" s="205"/>
      <c r="BD127" s="205"/>
      <c r="BE127" s="205"/>
      <c r="BF127" s="205"/>
      <c r="BG127" s="205"/>
      <c r="BH127" s="205"/>
      <c r="BI127" s="205"/>
      <c r="BJ127" s="205"/>
      <c r="BK127" s="205"/>
      <c r="BL127" s="205"/>
      <c r="BM127" s="205"/>
      <c r="BN127" s="205"/>
      <c r="BO127" s="205"/>
      <c r="BP127" s="205"/>
      <c r="BQ127" s="205"/>
      <c r="BR127" s="205"/>
      <c r="BS127" s="205"/>
      <c r="BT127" s="205"/>
      <c r="BU127" s="205"/>
      <c r="BV127" s="205"/>
      <c r="BW127" s="205"/>
      <c r="BX127" s="205"/>
      <c r="BY127" s="205"/>
      <c r="BZ127" s="205"/>
      <c r="CA127" s="205"/>
      <c r="CB127" s="205"/>
      <c r="CC127" s="205"/>
      <c r="CD127" s="205"/>
      <c r="CE127" s="205"/>
      <c r="CF127" s="205"/>
      <c r="CG127" s="205"/>
      <c r="CH127" s="205"/>
      <c r="CI127" s="205"/>
      <c r="CJ127" s="205"/>
      <c r="CK127" s="205"/>
      <c r="CL127" s="205"/>
      <c r="CM127" s="205"/>
      <c r="CN127" s="205"/>
      <c r="CO127" s="205"/>
      <c r="CP127" s="205"/>
      <c r="CQ127" s="205"/>
      <c r="CR127" s="205"/>
      <c r="CS127" s="205"/>
      <c r="CT127" s="205"/>
      <c r="CU127" s="205"/>
      <c r="CV127" s="205"/>
      <c r="CW127" s="205"/>
      <c r="CX127" s="205"/>
      <c r="CY127" s="205"/>
      <c r="CZ127" s="205"/>
      <c r="DA127" s="205"/>
      <c r="DB127" s="205"/>
      <c r="DC127" s="205"/>
      <c r="DD127" s="205"/>
      <c r="DE127" s="205"/>
      <c r="DF127" s="205"/>
      <c r="DG127" s="205"/>
      <c r="DH127" s="205"/>
      <c r="DI127" s="205"/>
      <c r="DJ127" s="205"/>
      <c r="DK127" s="205"/>
      <c r="DL127" s="205"/>
      <c r="DM127" s="205"/>
      <c r="DN127" s="205"/>
      <c r="DO127" s="205"/>
      <c r="DP127" s="205"/>
      <c r="DQ127" s="205"/>
      <c r="DR127" s="205"/>
      <c r="DS127" s="205"/>
      <c r="DT127" s="205"/>
      <c r="DU127" s="205"/>
      <c r="DV127" s="205"/>
      <c r="DW127" s="205"/>
      <c r="DX127" s="205"/>
      <c r="DY127" s="205"/>
      <c r="DZ127" s="205"/>
      <c r="EA127" s="205"/>
      <c r="EB127" s="205"/>
      <c r="EC127" s="205"/>
      <c r="ED127" s="205"/>
      <c r="EE127" s="205"/>
      <c r="EF127" s="205"/>
      <c r="EG127" s="205"/>
      <c r="EH127" s="205"/>
      <c r="EI127" s="205"/>
      <c r="EJ127" s="205"/>
      <c r="EK127" s="205"/>
      <c r="EL127" s="205"/>
      <c r="EM127" s="205"/>
      <c r="EN127" s="205"/>
      <c r="EO127" s="205"/>
      <c r="EP127" s="205"/>
      <c r="EQ127" s="205"/>
      <c r="ER127" s="205"/>
      <c r="ES127" s="205"/>
      <c r="ET127" s="205"/>
      <c r="EU127" s="205"/>
      <c r="EV127" s="205"/>
      <c r="EW127" s="205"/>
      <c r="EX127" s="205"/>
      <c r="EY127" s="205"/>
      <c r="EZ127" s="205"/>
      <c r="FA127" s="205"/>
      <c r="FB127" s="205"/>
      <c r="FC127" s="205"/>
      <c r="FD127" s="205"/>
      <c r="FE127" s="205"/>
      <c r="FF127" s="205"/>
      <c r="FG127" s="205"/>
      <c r="FH127" s="205"/>
      <c r="FI127" s="205"/>
      <c r="FJ127" s="205"/>
      <c r="FK127" s="205"/>
      <c r="FL127" s="205"/>
      <c r="FM127" s="205"/>
      <c r="FN127" s="205"/>
      <c r="FO127" s="205"/>
      <c r="FP127" s="205"/>
      <c r="FQ127" s="205"/>
      <c r="FR127" s="205"/>
      <c r="FS127" s="205"/>
      <c r="FT127" s="205"/>
      <c r="FU127" s="205"/>
      <c r="FV127" s="205"/>
      <c r="FW127" s="205"/>
      <c r="FX127" s="205"/>
      <c r="FY127" s="205"/>
      <c r="FZ127" s="205"/>
      <c r="GA127" s="205"/>
      <c r="GB127" s="205"/>
      <c r="GC127" s="205"/>
      <c r="GD127" s="205"/>
      <c r="GE127" s="205"/>
      <c r="GF127" s="205"/>
      <c r="GG127" s="205"/>
      <c r="GH127" s="205"/>
      <c r="GI127" s="205"/>
      <c r="GJ127" s="205"/>
      <c r="GK127" s="205"/>
      <c r="GL127" s="205"/>
      <c r="GM127" s="205"/>
      <c r="GN127" s="205"/>
      <c r="GO127" s="205"/>
      <c r="GP127" s="205"/>
      <c r="GQ127" s="205"/>
      <c r="GR127" s="205"/>
      <c r="GS127" s="205"/>
      <c r="GT127" s="205"/>
      <c r="GU127" s="205"/>
      <c r="GV127" s="205"/>
      <c r="GW127" s="205"/>
      <c r="GX127" s="205"/>
      <c r="GY127" s="205"/>
      <c r="GZ127" s="205"/>
      <c r="HA127" s="205"/>
      <c r="HB127" s="205"/>
      <c r="HC127" s="205"/>
      <c r="HD127" s="205"/>
      <c r="HE127" s="205"/>
      <c r="HF127" s="205"/>
      <c r="HG127" s="205"/>
      <c r="HH127" s="205"/>
      <c r="HI127" s="205"/>
      <c r="HJ127" s="205"/>
      <c r="HK127" s="205"/>
      <c r="HL127" s="205"/>
      <c r="HM127" s="205"/>
      <c r="HN127" s="205"/>
      <c r="HO127" s="205"/>
      <c r="HP127" s="205"/>
      <c r="HQ127" s="205"/>
      <c r="HR127" s="205"/>
      <c r="HS127" s="205"/>
      <c r="HT127" s="205"/>
      <c r="HU127" s="205"/>
      <c r="HV127" s="205"/>
      <c r="HW127" s="205"/>
      <c r="HX127" s="205"/>
      <c r="HY127" s="205"/>
      <c r="HZ127" s="205"/>
      <c r="IA127" s="205"/>
      <c r="IB127" s="205"/>
      <c r="IC127" s="205"/>
      <c r="ID127" s="205"/>
      <c r="IE127" s="205"/>
      <c r="IF127" s="205"/>
      <c r="IG127" s="205"/>
      <c r="IH127" s="205"/>
      <c r="II127" s="205"/>
      <c r="IJ127" s="205"/>
      <c r="IK127" s="205"/>
      <c r="IL127" s="205"/>
      <c r="IM127" s="205"/>
      <c r="IN127" s="205"/>
      <c r="IO127" s="205"/>
      <c r="IP127" s="205"/>
      <c r="IQ127" s="205"/>
      <c r="IR127" s="205"/>
      <c r="IS127" s="205"/>
      <c r="IT127" s="205"/>
      <c r="IU127" s="205"/>
      <c r="IV127" s="205"/>
      <c r="IW127" s="205"/>
      <c r="IX127" s="205"/>
    </row>
    <row r="128" spans="1:258" s="203" customFormat="1" x14ac:dyDescent="0.2">
      <c r="A128" s="669"/>
      <c r="B128" s="670">
        <f>RAB!B60</f>
        <v>2</v>
      </c>
      <c r="C128" s="686" t="str">
        <f>RAB!D60</f>
        <v>Membuat beton mutu f'c = 7,4 Mpa - K 100</v>
      </c>
      <c r="D128" s="672"/>
      <c r="E128" s="673"/>
      <c r="F128" s="673"/>
      <c r="G128" s="674"/>
      <c r="H128" s="675"/>
      <c r="I128" s="676"/>
      <c r="J128" s="676"/>
      <c r="K128" s="676"/>
      <c r="L128" s="676"/>
      <c r="M128" s="676"/>
      <c r="N128" s="676"/>
      <c r="O128" s="676"/>
      <c r="P128" s="676"/>
      <c r="Q128" s="676"/>
      <c r="R128" s="677"/>
      <c r="S128" s="678"/>
      <c r="T128" s="684"/>
      <c r="U128" s="205"/>
      <c r="V128" s="685"/>
      <c r="W128" s="205"/>
      <c r="X128" s="205"/>
      <c r="Y128" s="205"/>
      <c r="Z128" s="205"/>
      <c r="AA128" s="205"/>
      <c r="AB128" s="205"/>
      <c r="AC128" s="205"/>
      <c r="AD128" s="205"/>
      <c r="AE128" s="205"/>
      <c r="AF128" s="205"/>
      <c r="AG128" s="205"/>
      <c r="AH128" s="205"/>
      <c r="AI128" s="205"/>
      <c r="AJ128" s="205"/>
      <c r="AK128" s="205"/>
      <c r="AL128" s="205"/>
      <c r="AM128" s="205"/>
      <c r="AN128" s="205"/>
      <c r="AO128" s="205"/>
      <c r="AP128" s="205"/>
      <c r="AQ128" s="205"/>
      <c r="AR128" s="205"/>
      <c r="AS128" s="205"/>
      <c r="AT128" s="205"/>
      <c r="AU128" s="205"/>
      <c r="AV128" s="205"/>
      <c r="AW128" s="205"/>
      <c r="AX128" s="205"/>
      <c r="AY128" s="205"/>
      <c r="AZ128" s="205"/>
      <c r="BA128" s="205"/>
      <c r="BB128" s="205"/>
      <c r="BC128" s="205"/>
      <c r="BD128" s="205"/>
      <c r="BE128" s="205"/>
      <c r="BF128" s="205"/>
      <c r="BG128" s="205"/>
      <c r="BH128" s="205"/>
      <c r="BI128" s="205"/>
      <c r="BJ128" s="205"/>
      <c r="BK128" s="205"/>
      <c r="BL128" s="205"/>
      <c r="BM128" s="205"/>
      <c r="BN128" s="205"/>
      <c r="BO128" s="205"/>
      <c r="BP128" s="205"/>
      <c r="BQ128" s="205"/>
      <c r="BR128" s="205"/>
      <c r="BS128" s="205"/>
      <c r="BT128" s="205"/>
      <c r="BU128" s="205"/>
      <c r="BV128" s="205"/>
      <c r="BW128" s="205"/>
      <c r="BX128" s="205"/>
      <c r="BY128" s="205"/>
      <c r="BZ128" s="205"/>
      <c r="CA128" s="205"/>
      <c r="CB128" s="205"/>
      <c r="CC128" s="205"/>
      <c r="CD128" s="205"/>
      <c r="CE128" s="205"/>
      <c r="CF128" s="205"/>
      <c r="CG128" s="205"/>
      <c r="CH128" s="205"/>
      <c r="CI128" s="205"/>
      <c r="CJ128" s="205"/>
      <c r="CK128" s="205"/>
      <c r="CL128" s="205"/>
      <c r="CM128" s="205"/>
      <c r="CN128" s="205"/>
      <c r="CO128" s="205"/>
      <c r="CP128" s="205"/>
      <c r="CQ128" s="205"/>
      <c r="CR128" s="205"/>
      <c r="CS128" s="205"/>
      <c r="CT128" s="205"/>
      <c r="CU128" s="205"/>
      <c r="CV128" s="205"/>
      <c r="CW128" s="205"/>
      <c r="CX128" s="205"/>
      <c r="CY128" s="205"/>
      <c r="CZ128" s="205"/>
      <c r="DA128" s="205"/>
      <c r="DB128" s="205"/>
      <c r="DC128" s="205"/>
      <c r="DD128" s="205"/>
      <c r="DE128" s="205"/>
      <c r="DF128" s="205"/>
      <c r="DG128" s="205"/>
      <c r="DH128" s="205"/>
      <c r="DI128" s="205"/>
      <c r="DJ128" s="205"/>
      <c r="DK128" s="205"/>
      <c r="DL128" s="205"/>
      <c r="DM128" s="205"/>
      <c r="DN128" s="205"/>
      <c r="DO128" s="205"/>
      <c r="DP128" s="205"/>
      <c r="DQ128" s="205"/>
      <c r="DR128" s="205"/>
      <c r="DS128" s="205"/>
      <c r="DT128" s="205"/>
      <c r="DU128" s="205"/>
      <c r="DV128" s="205"/>
      <c r="DW128" s="205"/>
      <c r="DX128" s="205"/>
      <c r="DY128" s="205"/>
      <c r="DZ128" s="205"/>
      <c r="EA128" s="205"/>
      <c r="EB128" s="205"/>
      <c r="EC128" s="205"/>
      <c r="ED128" s="205"/>
      <c r="EE128" s="205"/>
      <c r="EF128" s="205"/>
      <c r="EG128" s="205"/>
      <c r="EH128" s="205"/>
      <c r="EI128" s="205"/>
      <c r="EJ128" s="205"/>
      <c r="EK128" s="205"/>
      <c r="EL128" s="205"/>
      <c r="EM128" s="205"/>
      <c r="EN128" s="205"/>
      <c r="EO128" s="205"/>
      <c r="EP128" s="205"/>
      <c r="EQ128" s="205"/>
      <c r="ER128" s="205"/>
      <c r="ES128" s="205"/>
      <c r="ET128" s="205"/>
      <c r="EU128" s="205"/>
      <c r="EV128" s="205"/>
      <c r="EW128" s="205"/>
      <c r="EX128" s="205"/>
      <c r="EY128" s="205"/>
      <c r="EZ128" s="205"/>
      <c r="FA128" s="205"/>
      <c r="FB128" s="205"/>
      <c r="FC128" s="205"/>
      <c r="FD128" s="205"/>
      <c r="FE128" s="205"/>
      <c r="FF128" s="205"/>
      <c r="FG128" s="205"/>
      <c r="FH128" s="205"/>
      <c r="FI128" s="205"/>
      <c r="FJ128" s="205"/>
      <c r="FK128" s="205"/>
      <c r="FL128" s="205"/>
      <c r="FM128" s="205"/>
      <c r="FN128" s="205"/>
      <c r="FO128" s="205"/>
      <c r="FP128" s="205"/>
      <c r="FQ128" s="205"/>
      <c r="FR128" s="205"/>
      <c r="FS128" s="205"/>
      <c r="FT128" s="205"/>
      <c r="FU128" s="205"/>
      <c r="FV128" s="205"/>
      <c r="FW128" s="205"/>
      <c r="FX128" s="205"/>
      <c r="FY128" s="205"/>
      <c r="FZ128" s="205"/>
      <c r="GA128" s="205"/>
      <c r="GB128" s="205"/>
      <c r="GC128" s="205"/>
      <c r="GD128" s="205"/>
      <c r="GE128" s="205"/>
      <c r="GF128" s="205"/>
      <c r="GG128" s="205"/>
      <c r="GH128" s="205"/>
      <c r="GI128" s="205"/>
      <c r="GJ128" s="205"/>
      <c r="GK128" s="205"/>
      <c r="GL128" s="205"/>
      <c r="GM128" s="205"/>
      <c r="GN128" s="205"/>
      <c r="GO128" s="205"/>
      <c r="GP128" s="205"/>
      <c r="GQ128" s="205"/>
      <c r="GR128" s="205"/>
      <c r="GS128" s="205"/>
      <c r="GT128" s="205"/>
      <c r="GU128" s="205"/>
      <c r="GV128" s="205"/>
      <c r="GW128" s="205"/>
      <c r="GX128" s="205"/>
      <c r="GY128" s="205"/>
      <c r="GZ128" s="205"/>
      <c r="HA128" s="205"/>
      <c r="HB128" s="205"/>
      <c r="HC128" s="205"/>
      <c r="HD128" s="205"/>
      <c r="HE128" s="205"/>
      <c r="HF128" s="205"/>
      <c r="HG128" s="205"/>
      <c r="HH128" s="205"/>
      <c r="HI128" s="205"/>
      <c r="HJ128" s="205"/>
      <c r="HK128" s="205"/>
      <c r="HL128" s="205"/>
      <c r="HM128" s="205"/>
      <c r="HN128" s="205"/>
      <c r="HO128" s="205"/>
      <c r="HP128" s="205"/>
      <c r="HQ128" s="205"/>
      <c r="HR128" s="205"/>
      <c r="HS128" s="205"/>
      <c r="HT128" s="205"/>
      <c r="HU128" s="205"/>
      <c r="HV128" s="205"/>
      <c r="HW128" s="205"/>
      <c r="HX128" s="205"/>
      <c r="HY128" s="205"/>
      <c r="HZ128" s="205"/>
      <c r="IA128" s="205"/>
      <c r="IB128" s="205"/>
      <c r="IC128" s="205"/>
      <c r="ID128" s="205"/>
      <c r="IE128" s="205"/>
      <c r="IF128" s="205"/>
      <c r="IG128" s="205"/>
      <c r="IH128" s="205"/>
      <c r="II128" s="205"/>
      <c r="IJ128" s="205"/>
      <c r="IK128" s="205"/>
      <c r="IL128" s="205"/>
      <c r="IM128" s="205"/>
      <c r="IN128" s="205"/>
      <c r="IO128" s="205"/>
      <c r="IP128" s="205"/>
      <c r="IQ128" s="205"/>
      <c r="IR128" s="205"/>
      <c r="IS128" s="205"/>
      <c r="IT128" s="205"/>
      <c r="IU128" s="205"/>
      <c r="IV128" s="205"/>
      <c r="IW128" s="205"/>
      <c r="IX128" s="205"/>
    </row>
    <row r="129" spans="1:258" s="203" customFormat="1" x14ac:dyDescent="0.2">
      <c r="A129" s="669"/>
      <c r="B129" s="670"/>
      <c r="C129" s="1358"/>
      <c r="D129" s="672"/>
      <c r="E129" s="1359"/>
      <c r="F129" s="1359"/>
      <c r="G129" s="1360" t="str">
        <f>G53</f>
        <v>depan</v>
      </c>
      <c r="H129" s="1361">
        <f>H53</f>
        <v>13</v>
      </c>
      <c r="I129" s="1362" t="s">
        <v>424</v>
      </c>
      <c r="J129" s="1362">
        <f>J53</f>
        <v>11.5</v>
      </c>
      <c r="K129" s="1362" t="s">
        <v>424</v>
      </c>
      <c r="L129" s="1362">
        <v>0.05</v>
      </c>
      <c r="M129" s="1362"/>
      <c r="N129" s="1362"/>
      <c r="O129" s="1362"/>
      <c r="P129" s="1362"/>
      <c r="Q129" s="1362" t="s">
        <v>696</v>
      </c>
      <c r="R129" s="1363">
        <f>H129*J129*L129</f>
        <v>7.4750000000000005</v>
      </c>
      <c r="S129" s="1364"/>
      <c r="T129" s="722"/>
      <c r="U129" s="205"/>
      <c r="V129" s="685"/>
      <c r="W129" s="205"/>
      <c r="X129" s="205"/>
      <c r="Y129" s="205"/>
      <c r="Z129" s="205"/>
      <c r="AA129" s="205"/>
      <c r="AB129" s="205"/>
      <c r="AC129" s="205"/>
      <c r="AD129" s="205"/>
      <c r="AE129" s="205"/>
      <c r="AF129" s="205"/>
      <c r="AG129" s="205"/>
      <c r="AH129" s="205"/>
      <c r="AI129" s="205"/>
      <c r="AJ129" s="205"/>
      <c r="AK129" s="205"/>
      <c r="AL129" s="205"/>
      <c r="AM129" s="205"/>
      <c r="AN129" s="205"/>
      <c r="AO129" s="205"/>
      <c r="AP129" s="205"/>
      <c r="AQ129" s="205"/>
      <c r="AR129" s="205"/>
      <c r="AS129" s="205"/>
      <c r="AT129" s="205"/>
      <c r="AU129" s="205"/>
      <c r="AV129" s="205"/>
      <c r="AW129" s="205"/>
      <c r="AX129" s="205"/>
      <c r="AY129" s="205"/>
      <c r="AZ129" s="205"/>
      <c r="BA129" s="205"/>
      <c r="BB129" s="205"/>
      <c r="BC129" s="205"/>
      <c r="BD129" s="205"/>
      <c r="BE129" s="205"/>
      <c r="BF129" s="205"/>
      <c r="BG129" s="205"/>
      <c r="BH129" s="205"/>
      <c r="BI129" s="205"/>
      <c r="BJ129" s="205"/>
      <c r="BK129" s="205"/>
      <c r="BL129" s="205"/>
      <c r="BM129" s="205"/>
      <c r="BN129" s="205"/>
      <c r="BO129" s="205"/>
      <c r="BP129" s="205"/>
      <c r="BQ129" s="205"/>
      <c r="BR129" s="205"/>
      <c r="BS129" s="205"/>
      <c r="BT129" s="205"/>
      <c r="BU129" s="205"/>
      <c r="BV129" s="205"/>
      <c r="BW129" s="205"/>
      <c r="BX129" s="205"/>
      <c r="BY129" s="205"/>
      <c r="BZ129" s="205"/>
      <c r="CA129" s="205"/>
      <c r="CB129" s="205"/>
      <c r="CC129" s="205"/>
      <c r="CD129" s="205"/>
      <c r="CE129" s="205"/>
      <c r="CF129" s="205"/>
      <c r="CG129" s="205"/>
      <c r="CH129" s="205"/>
      <c r="CI129" s="205"/>
      <c r="CJ129" s="205"/>
      <c r="CK129" s="205"/>
      <c r="CL129" s="205"/>
      <c r="CM129" s="205"/>
      <c r="CN129" s="205"/>
      <c r="CO129" s="205"/>
      <c r="CP129" s="205"/>
      <c r="CQ129" s="205"/>
      <c r="CR129" s="205"/>
      <c r="CS129" s="205"/>
      <c r="CT129" s="205"/>
      <c r="CU129" s="205"/>
      <c r="CV129" s="205"/>
      <c r="CW129" s="205"/>
      <c r="CX129" s="205"/>
      <c r="CY129" s="205"/>
      <c r="CZ129" s="205"/>
      <c r="DA129" s="205"/>
      <c r="DB129" s="205"/>
      <c r="DC129" s="205"/>
      <c r="DD129" s="205"/>
      <c r="DE129" s="205"/>
      <c r="DF129" s="205"/>
      <c r="DG129" s="205"/>
      <c r="DH129" s="205"/>
      <c r="DI129" s="205"/>
      <c r="DJ129" s="205"/>
      <c r="DK129" s="205"/>
      <c r="DL129" s="205"/>
      <c r="DM129" s="205"/>
      <c r="DN129" s="205"/>
      <c r="DO129" s="205"/>
      <c r="DP129" s="205"/>
      <c r="DQ129" s="205"/>
      <c r="DR129" s="205"/>
      <c r="DS129" s="205"/>
      <c r="DT129" s="205"/>
      <c r="DU129" s="205"/>
      <c r="DV129" s="205"/>
      <c r="DW129" s="205"/>
      <c r="DX129" s="205"/>
      <c r="DY129" s="205"/>
      <c r="DZ129" s="205"/>
      <c r="EA129" s="205"/>
      <c r="EB129" s="205"/>
      <c r="EC129" s="205"/>
      <c r="ED129" s="205"/>
      <c r="EE129" s="205"/>
      <c r="EF129" s="205"/>
      <c r="EG129" s="205"/>
      <c r="EH129" s="205"/>
      <c r="EI129" s="205"/>
      <c r="EJ129" s="205"/>
      <c r="EK129" s="205"/>
      <c r="EL129" s="205"/>
      <c r="EM129" s="205"/>
      <c r="EN129" s="205"/>
      <c r="EO129" s="205"/>
      <c r="EP129" s="205"/>
      <c r="EQ129" s="205"/>
      <c r="ER129" s="205"/>
      <c r="ES129" s="205"/>
      <c r="ET129" s="205"/>
      <c r="EU129" s="205"/>
      <c r="EV129" s="205"/>
      <c r="EW129" s="205"/>
      <c r="EX129" s="205"/>
      <c r="EY129" s="205"/>
      <c r="EZ129" s="205"/>
      <c r="FA129" s="205"/>
      <c r="FB129" s="205"/>
      <c r="FC129" s="205"/>
      <c r="FD129" s="205"/>
      <c r="FE129" s="205"/>
      <c r="FF129" s="205"/>
      <c r="FG129" s="205"/>
      <c r="FH129" s="205"/>
      <c r="FI129" s="205"/>
      <c r="FJ129" s="205"/>
      <c r="FK129" s="205"/>
      <c r="FL129" s="205"/>
      <c r="FM129" s="205"/>
      <c r="FN129" s="205"/>
      <c r="FO129" s="205"/>
      <c r="FP129" s="205"/>
      <c r="FQ129" s="205"/>
      <c r="FR129" s="205"/>
      <c r="FS129" s="205"/>
      <c r="FT129" s="205"/>
      <c r="FU129" s="205"/>
      <c r="FV129" s="205"/>
      <c r="FW129" s="205"/>
      <c r="FX129" s="205"/>
      <c r="FY129" s="205"/>
      <c r="FZ129" s="205"/>
      <c r="GA129" s="205"/>
      <c r="GB129" s="205"/>
      <c r="GC129" s="205"/>
      <c r="GD129" s="205"/>
      <c r="GE129" s="205"/>
      <c r="GF129" s="205"/>
      <c r="GG129" s="205"/>
      <c r="GH129" s="205"/>
      <c r="GI129" s="205"/>
      <c r="GJ129" s="205"/>
      <c r="GK129" s="205"/>
      <c r="GL129" s="205"/>
      <c r="GM129" s="205"/>
      <c r="GN129" s="205"/>
      <c r="GO129" s="205"/>
      <c r="GP129" s="205"/>
      <c r="GQ129" s="205"/>
      <c r="GR129" s="205"/>
      <c r="GS129" s="205"/>
      <c r="GT129" s="205"/>
      <c r="GU129" s="205"/>
      <c r="GV129" s="205"/>
      <c r="GW129" s="205"/>
      <c r="GX129" s="205"/>
      <c r="GY129" s="205"/>
      <c r="GZ129" s="205"/>
      <c r="HA129" s="205"/>
      <c r="HB129" s="205"/>
      <c r="HC129" s="205"/>
      <c r="HD129" s="205"/>
      <c r="HE129" s="205"/>
      <c r="HF129" s="205"/>
      <c r="HG129" s="205"/>
      <c r="HH129" s="205"/>
      <c r="HI129" s="205"/>
      <c r="HJ129" s="205"/>
      <c r="HK129" s="205"/>
      <c r="HL129" s="205"/>
      <c r="HM129" s="205"/>
      <c r="HN129" s="205"/>
      <c r="HO129" s="205"/>
      <c r="HP129" s="205"/>
      <c r="HQ129" s="205"/>
      <c r="HR129" s="205"/>
      <c r="HS129" s="205"/>
      <c r="HT129" s="205"/>
      <c r="HU129" s="205"/>
      <c r="HV129" s="205"/>
      <c r="HW129" s="205"/>
      <c r="HX129" s="205"/>
      <c r="HY129" s="205"/>
      <c r="HZ129" s="205"/>
      <c r="IA129" s="205"/>
      <c r="IB129" s="205"/>
      <c r="IC129" s="205"/>
      <c r="ID129" s="205"/>
      <c r="IE129" s="205"/>
      <c r="IF129" s="205"/>
      <c r="IG129" s="205"/>
      <c r="IH129" s="205"/>
      <c r="II129" s="205"/>
      <c r="IJ129" s="205"/>
      <c r="IK129" s="205"/>
      <c r="IL129" s="205"/>
      <c r="IM129" s="205"/>
      <c r="IN129" s="205"/>
      <c r="IO129" s="205"/>
      <c r="IP129" s="205"/>
      <c r="IQ129" s="205"/>
      <c r="IR129" s="205"/>
      <c r="IS129" s="205"/>
      <c r="IT129" s="205"/>
      <c r="IU129" s="205"/>
      <c r="IV129" s="205"/>
      <c r="IW129" s="205"/>
      <c r="IX129" s="205"/>
    </row>
    <row r="130" spans="1:258" s="203" customFormat="1" x14ac:dyDescent="0.2">
      <c r="A130" s="669"/>
      <c r="B130" s="670"/>
      <c r="C130" s="1358"/>
      <c r="D130" s="672"/>
      <c r="E130" s="1359"/>
      <c r="F130" s="1359"/>
      <c r="G130" s="1360" t="str">
        <f>G54</f>
        <v>belakang</v>
      </c>
      <c r="H130" s="1361">
        <f>H54</f>
        <v>22</v>
      </c>
      <c r="I130" s="1362" t="s">
        <v>424</v>
      </c>
      <c r="J130" s="1362">
        <f>J54</f>
        <v>7</v>
      </c>
      <c r="K130" s="1362" t="s">
        <v>424</v>
      </c>
      <c r="L130" s="1362">
        <f>L129</f>
        <v>0.05</v>
      </c>
      <c r="M130" s="1362"/>
      <c r="N130" s="1362"/>
      <c r="O130" s="1362"/>
      <c r="P130" s="1362"/>
      <c r="Q130" s="1362" t="s">
        <v>696</v>
      </c>
      <c r="R130" s="1363">
        <f t="shared" ref="R130:R131" si="42">H130*J130*L130</f>
        <v>7.7</v>
      </c>
      <c r="S130" s="1364"/>
      <c r="T130" s="722"/>
      <c r="U130" s="205"/>
      <c r="V130" s="685"/>
      <c r="W130" s="205"/>
      <c r="X130" s="205"/>
      <c r="Y130" s="205"/>
      <c r="Z130" s="205"/>
      <c r="AA130" s="205"/>
      <c r="AB130" s="205"/>
      <c r="AC130" s="205"/>
      <c r="AD130" s="205"/>
      <c r="AE130" s="205"/>
      <c r="AF130" s="205"/>
      <c r="AG130" s="205"/>
      <c r="AH130" s="205"/>
      <c r="AI130" s="205"/>
      <c r="AJ130" s="205"/>
      <c r="AK130" s="205"/>
      <c r="AL130" s="205"/>
      <c r="AM130" s="205"/>
      <c r="AN130" s="205"/>
      <c r="AO130" s="205"/>
      <c r="AP130" s="205"/>
      <c r="AQ130" s="205"/>
      <c r="AR130" s="205"/>
      <c r="AS130" s="205"/>
      <c r="AT130" s="205"/>
      <c r="AU130" s="205"/>
      <c r="AV130" s="205"/>
      <c r="AW130" s="205"/>
      <c r="AX130" s="205"/>
      <c r="AY130" s="205"/>
      <c r="AZ130" s="205"/>
      <c r="BA130" s="205"/>
      <c r="BB130" s="205"/>
      <c r="BC130" s="205"/>
      <c r="BD130" s="205"/>
      <c r="BE130" s="205"/>
      <c r="BF130" s="205"/>
      <c r="BG130" s="205"/>
      <c r="BH130" s="205"/>
      <c r="BI130" s="205"/>
      <c r="BJ130" s="205"/>
      <c r="BK130" s="205"/>
      <c r="BL130" s="205"/>
      <c r="BM130" s="205"/>
      <c r="BN130" s="205"/>
      <c r="BO130" s="205"/>
      <c r="BP130" s="205"/>
      <c r="BQ130" s="205"/>
      <c r="BR130" s="205"/>
      <c r="BS130" s="205"/>
      <c r="BT130" s="205"/>
      <c r="BU130" s="205"/>
      <c r="BV130" s="205"/>
      <c r="BW130" s="205"/>
      <c r="BX130" s="205"/>
      <c r="BY130" s="205"/>
      <c r="BZ130" s="205"/>
      <c r="CA130" s="205"/>
      <c r="CB130" s="205"/>
      <c r="CC130" s="205"/>
      <c r="CD130" s="205"/>
      <c r="CE130" s="205"/>
      <c r="CF130" s="205"/>
      <c r="CG130" s="205"/>
      <c r="CH130" s="205"/>
      <c r="CI130" s="205"/>
      <c r="CJ130" s="205"/>
      <c r="CK130" s="205"/>
      <c r="CL130" s="205"/>
      <c r="CM130" s="205"/>
      <c r="CN130" s="205"/>
      <c r="CO130" s="205"/>
      <c r="CP130" s="205"/>
      <c r="CQ130" s="205"/>
      <c r="CR130" s="205"/>
      <c r="CS130" s="205"/>
      <c r="CT130" s="205"/>
      <c r="CU130" s="205"/>
      <c r="CV130" s="205"/>
      <c r="CW130" s="205"/>
      <c r="CX130" s="205"/>
      <c r="CY130" s="205"/>
      <c r="CZ130" s="205"/>
      <c r="DA130" s="205"/>
      <c r="DB130" s="205"/>
      <c r="DC130" s="205"/>
      <c r="DD130" s="205"/>
      <c r="DE130" s="205"/>
      <c r="DF130" s="205"/>
      <c r="DG130" s="205"/>
      <c r="DH130" s="205"/>
      <c r="DI130" s="205"/>
      <c r="DJ130" s="205"/>
      <c r="DK130" s="205"/>
      <c r="DL130" s="205"/>
      <c r="DM130" s="205"/>
      <c r="DN130" s="205"/>
      <c r="DO130" s="205"/>
      <c r="DP130" s="205"/>
      <c r="DQ130" s="205"/>
      <c r="DR130" s="205"/>
      <c r="DS130" s="205"/>
      <c r="DT130" s="205"/>
      <c r="DU130" s="205"/>
      <c r="DV130" s="205"/>
      <c r="DW130" s="205"/>
      <c r="DX130" s="205"/>
      <c r="DY130" s="205"/>
      <c r="DZ130" s="205"/>
      <c r="EA130" s="205"/>
      <c r="EB130" s="205"/>
      <c r="EC130" s="205"/>
      <c r="ED130" s="205"/>
      <c r="EE130" s="205"/>
      <c r="EF130" s="205"/>
      <c r="EG130" s="205"/>
      <c r="EH130" s="205"/>
      <c r="EI130" s="205"/>
      <c r="EJ130" s="205"/>
      <c r="EK130" s="205"/>
      <c r="EL130" s="205"/>
      <c r="EM130" s="205"/>
      <c r="EN130" s="205"/>
      <c r="EO130" s="205"/>
      <c r="EP130" s="205"/>
      <c r="EQ130" s="205"/>
      <c r="ER130" s="205"/>
      <c r="ES130" s="205"/>
      <c r="ET130" s="205"/>
      <c r="EU130" s="205"/>
      <c r="EV130" s="205"/>
      <c r="EW130" s="205"/>
      <c r="EX130" s="205"/>
      <c r="EY130" s="205"/>
      <c r="EZ130" s="205"/>
      <c r="FA130" s="205"/>
      <c r="FB130" s="205"/>
      <c r="FC130" s="205"/>
      <c r="FD130" s="205"/>
      <c r="FE130" s="205"/>
      <c r="FF130" s="205"/>
      <c r="FG130" s="205"/>
      <c r="FH130" s="205"/>
      <c r="FI130" s="205"/>
      <c r="FJ130" s="205"/>
      <c r="FK130" s="205"/>
      <c r="FL130" s="205"/>
      <c r="FM130" s="205"/>
      <c r="FN130" s="205"/>
      <c r="FO130" s="205"/>
      <c r="FP130" s="205"/>
      <c r="FQ130" s="205"/>
      <c r="FR130" s="205"/>
      <c r="FS130" s="205"/>
      <c r="FT130" s="205"/>
      <c r="FU130" s="205"/>
      <c r="FV130" s="205"/>
      <c r="FW130" s="205"/>
      <c r="FX130" s="205"/>
      <c r="FY130" s="205"/>
      <c r="FZ130" s="205"/>
      <c r="GA130" s="205"/>
      <c r="GB130" s="205"/>
      <c r="GC130" s="205"/>
      <c r="GD130" s="205"/>
      <c r="GE130" s="205"/>
      <c r="GF130" s="205"/>
      <c r="GG130" s="205"/>
      <c r="GH130" s="205"/>
      <c r="GI130" s="205"/>
      <c r="GJ130" s="205"/>
      <c r="GK130" s="205"/>
      <c r="GL130" s="205"/>
      <c r="GM130" s="205"/>
      <c r="GN130" s="205"/>
      <c r="GO130" s="205"/>
      <c r="GP130" s="205"/>
      <c r="GQ130" s="205"/>
      <c r="GR130" s="205"/>
      <c r="GS130" s="205"/>
      <c r="GT130" s="205"/>
      <c r="GU130" s="205"/>
      <c r="GV130" s="205"/>
      <c r="GW130" s="205"/>
      <c r="GX130" s="205"/>
      <c r="GY130" s="205"/>
      <c r="GZ130" s="205"/>
      <c r="HA130" s="205"/>
      <c r="HB130" s="205"/>
      <c r="HC130" s="205"/>
      <c r="HD130" s="205"/>
      <c r="HE130" s="205"/>
      <c r="HF130" s="205"/>
      <c r="HG130" s="205"/>
      <c r="HH130" s="205"/>
      <c r="HI130" s="205"/>
      <c r="HJ130" s="205"/>
      <c r="HK130" s="205"/>
      <c r="HL130" s="205"/>
      <c r="HM130" s="205"/>
      <c r="HN130" s="205"/>
      <c r="HO130" s="205"/>
      <c r="HP130" s="205"/>
      <c r="HQ130" s="205"/>
      <c r="HR130" s="205"/>
      <c r="HS130" s="205"/>
      <c r="HT130" s="205"/>
      <c r="HU130" s="205"/>
      <c r="HV130" s="205"/>
      <c r="HW130" s="205"/>
      <c r="HX130" s="205"/>
      <c r="HY130" s="205"/>
      <c r="HZ130" s="205"/>
      <c r="IA130" s="205"/>
      <c r="IB130" s="205"/>
      <c r="IC130" s="205"/>
      <c r="ID130" s="205"/>
      <c r="IE130" s="205"/>
      <c r="IF130" s="205"/>
      <c r="IG130" s="205"/>
      <c r="IH130" s="205"/>
      <c r="II130" s="205"/>
      <c r="IJ130" s="205"/>
      <c r="IK130" s="205"/>
      <c r="IL130" s="205"/>
      <c r="IM130" s="205"/>
      <c r="IN130" s="205"/>
      <c r="IO130" s="205"/>
      <c r="IP130" s="205"/>
      <c r="IQ130" s="205"/>
      <c r="IR130" s="205"/>
      <c r="IS130" s="205"/>
      <c r="IT130" s="205"/>
      <c r="IU130" s="205"/>
      <c r="IV130" s="205"/>
      <c r="IW130" s="205"/>
      <c r="IX130" s="205"/>
    </row>
    <row r="131" spans="1:258" s="203" customFormat="1" x14ac:dyDescent="0.2">
      <c r="A131" s="669"/>
      <c r="B131" s="670"/>
      <c r="C131" s="1358"/>
      <c r="D131" s="672"/>
      <c r="E131" s="1359"/>
      <c r="F131" s="1359"/>
      <c r="G131" s="1360"/>
      <c r="H131" s="1361">
        <f>H55</f>
        <v>10</v>
      </c>
      <c r="I131" s="1362" t="s">
        <v>424</v>
      </c>
      <c r="J131" s="1362">
        <f>J55</f>
        <v>1</v>
      </c>
      <c r="K131" s="1362" t="s">
        <v>424</v>
      </c>
      <c r="L131" s="1362">
        <f>L130</f>
        <v>0.05</v>
      </c>
      <c r="M131" s="1362"/>
      <c r="N131" s="1362"/>
      <c r="O131" s="1362"/>
      <c r="P131" s="1362"/>
      <c r="Q131" s="1362" t="s">
        <v>696</v>
      </c>
      <c r="R131" s="1363">
        <f t="shared" si="42"/>
        <v>0.5</v>
      </c>
      <c r="S131" s="1364"/>
      <c r="T131" s="722"/>
      <c r="U131" s="205"/>
      <c r="V131" s="685"/>
      <c r="W131" s="205"/>
      <c r="X131" s="205"/>
      <c r="Y131" s="205"/>
      <c r="Z131" s="205"/>
      <c r="AA131" s="205"/>
      <c r="AB131" s="205"/>
      <c r="AC131" s="205"/>
      <c r="AD131" s="205"/>
      <c r="AE131" s="205"/>
      <c r="AF131" s="205"/>
      <c r="AG131" s="205"/>
      <c r="AH131" s="205"/>
      <c r="AI131" s="205"/>
      <c r="AJ131" s="205"/>
      <c r="AK131" s="205"/>
      <c r="AL131" s="205"/>
      <c r="AM131" s="205"/>
      <c r="AN131" s="205"/>
      <c r="AO131" s="205"/>
      <c r="AP131" s="205"/>
      <c r="AQ131" s="205"/>
      <c r="AR131" s="205"/>
      <c r="AS131" s="205"/>
      <c r="AT131" s="205"/>
      <c r="AU131" s="205"/>
      <c r="AV131" s="205"/>
      <c r="AW131" s="205"/>
      <c r="AX131" s="205"/>
      <c r="AY131" s="205"/>
      <c r="AZ131" s="205"/>
      <c r="BA131" s="205"/>
      <c r="BB131" s="205"/>
      <c r="BC131" s="205"/>
      <c r="BD131" s="205"/>
      <c r="BE131" s="205"/>
      <c r="BF131" s="205"/>
      <c r="BG131" s="205"/>
      <c r="BH131" s="205"/>
      <c r="BI131" s="205"/>
      <c r="BJ131" s="205"/>
      <c r="BK131" s="205"/>
      <c r="BL131" s="205"/>
      <c r="BM131" s="205"/>
      <c r="BN131" s="205"/>
      <c r="BO131" s="205"/>
      <c r="BP131" s="205"/>
      <c r="BQ131" s="205"/>
      <c r="BR131" s="205"/>
      <c r="BS131" s="205"/>
      <c r="BT131" s="205"/>
      <c r="BU131" s="205"/>
      <c r="BV131" s="205"/>
      <c r="BW131" s="205"/>
      <c r="BX131" s="205"/>
      <c r="BY131" s="205"/>
      <c r="BZ131" s="205"/>
      <c r="CA131" s="205"/>
      <c r="CB131" s="205"/>
      <c r="CC131" s="205"/>
      <c r="CD131" s="205"/>
      <c r="CE131" s="205"/>
      <c r="CF131" s="205"/>
      <c r="CG131" s="205"/>
      <c r="CH131" s="205"/>
      <c r="CI131" s="205"/>
      <c r="CJ131" s="205"/>
      <c r="CK131" s="205"/>
      <c r="CL131" s="205"/>
      <c r="CM131" s="205"/>
      <c r="CN131" s="205"/>
      <c r="CO131" s="205"/>
      <c r="CP131" s="205"/>
      <c r="CQ131" s="205"/>
      <c r="CR131" s="205"/>
      <c r="CS131" s="205"/>
      <c r="CT131" s="205"/>
      <c r="CU131" s="205"/>
      <c r="CV131" s="205"/>
      <c r="CW131" s="205"/>
      <c r="CX131" s="205"/>
      <c r="CY131" s="205"/>
      <c r="CZ131" s="205"/>
      <c r="DA131" s="205"/>
      <c r="DB131" s="205"/>
      <c r="DC131" s="205"/>
      <c r="DD131" s="205"/>
      <c r="DE131" s="205"/>
      <c r="DF131" s="205"/>
      <c r="DG131" s="205"/>
      <c r="DH131" s="205"/>
      <c r="DI131" s="205"/>
      <c r="DJ131" s="205"/>
      <c r="DK131" s="205"/>
      <c r="DL131" s="205"/>
      <c r="DM131" s="205"/>
      <c r="DN131" s="205"/>
      <c r="DO131" s="205"/>
      <c r="DP131" s="205"/>
      <c r="DQ131" s="205"/>
      <c r="DR131" s="205"/>
      <c r="DS131" s="205"/>
      <c r="DT131" s="205"/>
      <c r="DU131" s="205"/>
      <c r="DV131" s="205"/>
      <c r="DW131" s="205"/>
      <c r="DX131" s="205"/>
      <c r="DY131" s="205"/>
      <c r="DZ131" s="205"/>
      <c r="EA131" s="205"/>
      <c r="EB131" s="205"/>
      <c r="EC131" s="205"/>
      <c r="ED131" s="205"/>
      <c r="EE131" s="205"/>
      <c r="EF131" s="205"/>
      <c r="EG131" s="205"/>
      <c r="EH131" s="205"/>
      <c r="EI131" s="205"/>
      <c r="EJ131" s="205"/>
      <c r="EK131" s="205"/>
      <c r="EL131" s="205"/>
      <c r="EM131" s="205"/>
      <c r="EN131" s="205"/>
      <c r="EO131" s="205"/>
      <c r="EP131" s="205"/>
      <c r="EQ131" s="205"/>
      <c r="ER131" s="205"/>
      <c r="ES131" s="205"/>
      <c r="ET131" s="205"/>
      <c r="EU131" s="205"/>
      <c r="EV131" s="205"/>
      <c r="EW131" s="205"/>
      <c r="EX131" s="205"/>
      <c r="EY131" s="205"/>
      <c r="EZ131" s="205"/>
      <c r="FA131" s="205"/>
      <c r="FB131" s="205"/>
      <c r="FC131" s="205"/>
      <c r="FD131" s="205"/>
      <c r="FE131" s="205"/>
      <c r="FF131" s="205"/>
      <c r="FG131" s="205"/>
      <c r="FH131" s="205"/>
      <c r="FI131" s="205"/>
      <c r="FJ131" s="205"/>
      <c r="FK131" s="205"/>
      <c r="FL131" s="205"/>
      <c r="FM131" s="205"/>
      <c r="FN131" s="205"/>
      <c r="FO131" s="205"/>
      <c r="FP131" s="205"/>
      <c r="FQ131" s="205"/>
      <c r="FR131" s="205"/>
      <c r="FS131" s="205"/>
      <c r="FT131" s="205"/>
      <c r="FU131" s="205"/>
      <c r="FV131" s="205"/>
      <c r="FW131" s="205"/>
      <c r="FX131" s="205"/>
      <c r="FY131" s="205"/>
      <c r="FZ131" s="205"/>
      <c r="GA131" s="205"/>
      <c r="GB131" s="205"/>
      <c r="GC131" s="205"/>
      <c r="GD131" s="205"/>
      <c r="GE131" s="205"/>
      <c r="GF131" s="205"/>
      <c r="GG131" s="205"/>
      <c r="GH131" s="205"/>
      <c r="GI131" s="205"/>
      <c r="GJ131" s="205"/>
      <c r="GK131" s="205"/>
      <c r="GL131" s="205"/>
      <c r="GM131" s="205"/>
      <c r="GN131" s="205"/>
      <c r="GO131" s="205"/>
      <c r="GP131" s="205"/>
      <c r="GQ131" s="205"/>
      <c r="GR131" s="205"/>
      <c r="GS131" s="205"/>
      <c r="GT131" s="205"/>
      <c r="GU131" s="205"/>
      <c r="GV131" s="205"/>
      <c r="GW131" s="205"/>
      <c r="GX131" s="205"/>
      <c r="GY131" s="205"/>
      <c r="GZ131" s="205"/>
      <c r="HA131" s="205"/>
      <c r="HB131" s="205"/>
      <c r="HC131" s="205"/>
      <c r="HD131" s="205"/>
      <c r="HE131" s="205"/>
      <c r="HF131" s="205"/>
      <c r="HG131" s="205"/>
      <c r="HH131" s="205"/>
      <c r="HI131" s="205"/>
      <c r="HJ131" s="205"/>
      <c r="HK131" s="205"/>
      <c r="HL131" s="205"/>
      <c r="HM131" s="205"/>
      <c r="HN131" s="205"/>
      <c r="HO131" s="205"/>
      <c r="HP131" s="205"/>
      <c r="HQ131" s="205"/>
      <c r="HR131" s="205"/>
      <c r="HS131" s="205"/>
      <c r="HT131" s="205"/>
      <c r="HU131" s="205"/>
      <c r="HV131" s="205"/>
      <c r="HW131" s="205"/>
      <c r="HX131" s="205"/>
      <c r="HY131" s="205"/>
      <c r="HZ131" s="205"/>
      <c r="IA131" s="205"/>
      <c r="IB131" s="205"/>
      <c r="IC131" s="205"/>
      <c r="ID131" s="205"/>
      <c r="IE131" s="205"/>
      <c r="IF131" s="205"/>
      <c r="IG131" s="205"/>
      <c r="IH131" s="205"/>
      <c r="II131" s="205"/>
      <c r="IJ131" s="205"/>
      <c r="IK131" s="205"/>
      <c r="IL131" s="205"/>
      <c r="IM131" s="205"/>
      <c r="IN131" s="205"/>
      <c r="IO131" s="205"/>
      <c r="IP131" s="205"/>
      <c r="IQ131" s="205"/>
      <c r="IR131" s="205"/>
      <c r="IS131" s="205"/>
      <c r="IT131" s="205"/>
      <c r="IU131" s="205"/>
      <c r="IV131" s="205"/>
      <c r="IW131" s="205"/>
      <c r="IX131" s="205"/>
    </row>
    <row r="132" spans="1:258" s="203" customFormat="1" x14ac:dyDescent="0.2">
      <c r="A132" s="669"/>
      <c r="B132" s="670"/>
      <c r="C132" s="1358"/>
      <c r="D132" s="672"/>
      <c r="E132" s="1359"/>
      <c r="F132" s="1359"/>
      <c r="G132" s="1360"/>
      <c r="H132" s="1361"/>
      <c r="I132" s="1362"/>
      <c r="J132" s="1362"/>
      <c r="K132" s="1362"/>
      <c r="L132" s="1362"/>
      <c r="M132" s="1362"/>
      <c r="N132" s="1362"/>
      <c r="O132" s="1362"/>
      <c r="P132" s="1362"/>
      <c r="Q132" s="1362"/>
      <c r="R132" s="1363">
        <f>SUM(R129:R131)</f>
        <v>15.675000000000001</v>
      </c>
      <c r="S132" s="1364">
        <f>R132</f>
        <v>15.675000000000001</v>
      </c>
      <c r="T132" s="722" t="s">
        <v>293</v>
      </c>
      <c r="U132" s="205"/>
      <c r="V132" s="68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5"/>
      <c r="BN132" s="205"/>
      <c r="BO132" s="205"/>
      <c r="BP132" s="205"/>
      <c r="BQ132" s="205"/>
      <c r="BR132" s="205"/>
      <c r="BS132" s="205"/>
      <c r="BT132" s="205"/>
      <c r="BU132" s="205"/>
      <c r="BV132" s="205"/>
      <c r="BW132" s="205"/>
      <c r="BX132" s="205"/>
      <c r="BY132" s="205"/>
      <c r="BZ132" s="205"/>
      <c r="CA132" s="205"/>
      <c r="CB132" s="205"/>
      <c r="CC132" s="205"/>
      <c r="CD132" s="205"/>
      <c r="CE132" s="205"/>
      <c r="CF132" s="205"/>
      <c r="CG132" s="205"/>
      <c r="CH132" s="205"/>
      <c r="CI132" s="205"/>
      <c r="CJ132" s="205"/>
      <c r="CK132" s="205"/>
      <c r="CL132" s="205"/>
      <c r="CM132" s="205"/>
      <c r="CN132" s="205"/>
      <c r="CO132" s="205"/>
      <c r="CP132" s="205"/>
      <c r="CQ132" s="205"/>
      <c r="CR132" s="205"/>
      <c r="CS132" s="205"/>
      <c r="CT132" s="205"/>
      <c r="CU132" s="205"/>
      <c r="CV132" s="205"/>
      <c r="CW132" s="205"/>
      <c r="CX132" s="205"/>
      <c r="CY132" s="205"/>
      <c r="CZ132" s="205"/>
      <c r="DA132" s="205"/>
      <c r="DB132" s="205"/>
      <c r="DC132" s="205"/>
      <c r="DD132" s="205"/>
      <c r="DE132" s="205"/>
      <c r="DF132" s="205"/>
      <c r="DG132" s="205"/>
      <c r="DH132" s="205"/>
      <c r="DI132" s="205"/>
      <c r="DJ132" s="205"/>
      <c r="DK132" s="205"/>
      <c r="DL132" s="205"/>
      <c r="DM132" s="205"/>
      <c r="DN132" s="205"/>
      <c r="DO132" s="205"/>
      <c r="DP132" s="205"/>
      <c r="DQ132" s="205"/>
      <c r="DR132" s="205"/>
      <c r="DS132" s="205"/>
      <c r="DT132" s="205"/>
      <c r="DU132" s="205"/>
      <c r="DV132" s="205"/>
      <c r="DW132" s="205"/>
      <c r="DX132" s="205"/>
      <c r="DY132" s="205"/>
      <c r="DZ132" s="205"/>
      <c r="EA132" s="205"/>
      <c r="EB132" s="205"/>
      <c r="EC132" s="205"/>
      <c r="ED132" s="205"/>
      <c r="EE132" s="205"/>
      <c r="EF132" s="205"/>
      <c r="EG132" s="205"/>
      <c r="EH132" s="205"/>
      <c r="EI132" s="205"/>
      <c r="EJ132" s="205"/>
      <c r="EK132" s="205"/>
      <c r="EL132" s="205"/>
      <c r="EM132" s="205"/>
      <c r="EN132" s="205"/>
      <c r="EO132" s="205"/>
      <c r="EP132" s="205"/>
      <c r="EQ132" s="205"/>
      <c r="ER132" s="205"/>
      <c r="ES132" s="205"/>
      <c r="ET132" s="205"/>
      <c r="EU132" s="205"/>
      <c r="EV132" s="205"/>
      <c r="EW132" s="205"/>
      <c r="EX132" s="205"/>
      <c r="EY132" s="205"/>
      <c r="EZ132" s="205"/>
      <c r="FA132" s="205"/>
      <c r="FB132" s="205"/>
      <c r="FC132" s="205"/>
      <c r="FD132" s="205"/>
      <c r="FE132" s="205"/>
      <c r="FF132" s="205"/>
      <c r="FG132" s="205"/>
      <c r="FH132" s="205"/>
      <c r="FI132" s="205"/>
      <c r="FJ132" s="205"/>
      <c r="FK132" s="205"/>
      <c r="FL132" s="205"/>
      <c r="FM132" s="205"/>
      <c r="FN132" s="205"/>
      <c r="FO132" s="205"/>
      <c r="FP132" s="205"/>
      <c r="FQ132" s="205"/>
      <c r="FR132" s="205"/>
      <c r="FS132" s="205"/>
      <c r="FT132" s="205"/>
      <c r="FU132" s="205"/>
      <c r="FV132" s="205"/>
      <c r="FW132" s="205"/>
      <c r="FX132" s="205"/>
      <c r="FY132" s="205"/>
      <c r="FZ132" s="205"/>
      <c r="GA132" s="205"/>
      <c r="GB132" s="205"/>
      <c r="GC132" s="205"/>
      <c r="GD132" s="205"/>
      <c r="GE132" s="205"/>
      <c r="GF132" s="205"/>
      <c r="GG132" s="205"/>
      <c r="GH132" s="205"/>
      <c r="GI132" s="205"/>
      <c r="GJ132" s="205"/>
      <c r="GK132" s="205"/>
      <c r="GL132" s="205"/>
      <c r="GM132" s="205"/>
      <c r="GN132" s="205"/>
      <c r="GO132" s="205"/>
      <c r="GP132" s="205"/>
      <c r="GQ132" s="205"/>
      <c r="GR132" s="205"/>
      <c r="GS132" s="205"/>
      <c r="GT132" s="205"/>
      <c r="GU132" s="205"/>
      <c r="GV132" s="205"/>
      <c r="GW132" s="205"/>
      <c r="GX132" s="205"/>
      <c r="GY132" s="205"/>
      <c r="GZ132" s="205"/>
      <c r="HA132" s="205"/>
      <c r="HB132" s="205"/>
      <c r="HC132" s="205"/>
      <c r="HD132" s="205"/>
      <c r="HE132" s="205"/>
      <c r="HF132" s="205"/>
      <c r="HG132" s="205"/>
      <c r="HH132" s="205"/>
      <c r="HI132" s="205"/>
      <c r="HJ132" s="205"/>
      <c r="HK132" s="205"/>
      <c r="HL132" s="205"/>
      <c r="HM132" s="205"/>
      <c r="HN132" s="205"/>
      <c r="HO132" s="205"/>
      <c r="HP132" s="205"/>
      <c r="HQ132" s="205"/>
      <c r="HR132" s="205"/>
      <c r="HS132" s="205"/>
      <c r="HT132" s="205"/>
      <c r="HU132" s="205"/>
      <c r="HV132" s="205"/>
      <c r="HW132" s="205"/>
      <c r="HX132" s="205"/>
      <c r="HY132" s="205"/>
      <c r="HZ132" s="205"/>
      <c r="IA132" s="205"/>
      <c r="IB132" s="205"/>
      <c r="IC132" s="205"/>
      <c r="ID132" s="205"/>
      <c r="IE132" s="205"/>
      <c r="IF132" s="205"/>
      <c r="IG132" s="205"/>
      <c r="IH132" s="205"/>
      <c r="II132" s="205"/>
      <c r="IJ132" s="205"/>
      <c r="IK132" s="205"/>
      <c r="IL132" s="205"/>
      <c r="IM132" s="205"/>
      <c r="IN132" s="205"/>
      <c r="IO132" s="205"/>
      <c r="IP132" s="205"/>
      <c r="IQ132" s="205"/>
      <c r="IR132" s="205"/>
      <c r="IS132" s="205"/>
      <c r="IT132" s="205"/>
      <c r="IU132" s="205"/>
      <c r="IV132" s="205"/>
      <c r="IW132" s="205"/>
      <c r="IX132" s="205"/>
    </row>
    <row r="133" spans="1:258" s="203" customFormat="1" x14ac:dyDescent="0.2">
      <c r="A133" s="669"/>
      <c r="B133" s="670"/>
      <c r="C133" s="1358"/>
      <c r="D133" s="672"/>
      <c r="E133" s="1359"/>
      <c r="F133" s="1359"/>
      <c r="G133" s="1360"/>
      <c r="H133" s="1361"/>
      <c r="I133" s="1362"/>
      <c r="J133" s="1362"/>
      <c r="K133" s="1362"/>
      <c r="L133" s="1362"/>
      <c r="M133" s="1362"/>
      <c r="N133" s="1362"/>
      <c r="O133" s="1362"/>
      <c r="P133" s="1362"/>
      <c r="Q133" s="1362"/>
      <c r="R133" s="1363"/>
      <c r="S133" s="1364"/>
      <c r="T133" s="722"/>
      <c r="U133" s="205"/>
      <c r="V133" s="68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205"/>
      <c r="DP133" s="205"/>
      <c r="DQ133" s="205"/>
      <c r="DR133" s="205"/>
      <c r="DS133" s="205"/>
      <c r="DT133" s="205"/>
      <c r="DU133" s="205"/>
      <c r="DV133" s="205"/>
      <c r="DW133" s="205"/>
      <c r="DX133" s="205"/>
      <c r="DY133" s="205"/>
      <c r="DZ133" s="205"/>
      <c r="EA133" s="205"/>
      <c r="EB133" s="205"/>
      <c r="EC133" s="205"/>
      <c r="ED133" s="205"/>
      <c r="EE133" s="205"/>
      <c r="EF133" s="205"/>
      <c r="EG133" s="205"/>
      <c r="EH133" s="205"/>
      <c r="EI133" s="205"/>
      <c r="EJ133" s="205"/>
      <c r="EK133" s="205"/>
      <c r="EL133" s="205"/>
      <c r="EM133" s="205"/>
      <c r="EN133" s="205"/>
      <c r="EO133" s="205"/>
      <c r="EP133" s="205"/>
      <c r="EQ133" s="205"/>
      <c r="ER133" s="205"/>
      <c r="ES133" s="205"/>
      <c r="ET133" s="205"/>
      <c r="EU133" s="205"/>
      <c r="EV133" s="205"/>
      <c r="EW133" s="205"/>
      <c r="EX133" s="205"/>
      <c r="EY133" s="205"/>
      <c r="EZ133" s="205"/>
      <c r="FA133" s="205"/>
      <c r="FB133" s="205"/>
      <c r="FC133" s="205"/>
      <c r="FD133" s="205"/>
      <c r="FE133" s="205"/>
      <c r="FF133" s="205"/>
      <c r="FG133" s="205"/>
      <c r="FH133" s="205"/>
      <c r="FI133" s="205"/>
      <c r="FJ133" s="205"/>
      <c r="FK133" s="205"/>
      <c r="FL133" s="205"/>
      <c r="FM133" s="205"/>
      <c r="FN133" s="205"/>
      <c r="FO133" s="205"/>
      <c r="FP133" s="205"/>
      <c r="FQ133" s="205"/>
      <c r="FR133" s="205"/>
      <c r="FS133" s="205"/>
      <c r="FT133" s="205"/>
      <c r="FU133" s="205"/>
      <c r="FV133" s="205"/>
      <c r="FW133" s="205"/>
      <c r="FX133" s="205"/>
      <c r="FY133" s="205"/>
      <c r="FZ133" s="205"/>
      <c r="GA133" s="205"/>
      <c r="GB133" s="205"/>
      <c r="GC133" s="205"/>
      <c r="GD133" s="205"/>
      <c r="GE133" s="205"/>
      <c r="GF133" s="205"/>
      <c r="GG133" s="205"/>
      <c r="GH133" s="205"/>
      <c r="GI133" s="205"/>
      <c r="GJ133" s="205"/>
      <c r="GK133" s="205"/>
      <c r="GL133" s="205"/>
      <c r="GM133" s="205"/>
      <c r="GN133" s="205"/>
      <c r="GO133" s="205"/>
      <c r="GP133" s="205"/>
      <c r="GQ133" s="205"/>
      <c r="GR133" s="205"/>
      <c r="GS133" s="205"/>
      <c r="GT133" s="205"/>
      <c r="GU133" s="205"/>
      <c r="GV133" s="205"/>
      <c r="GW133" s="205"/>
      <c r="GX133" s="205"/>
      <c r="GY133" s="205"/>
      <c r="GZ133" s="205"/>
      <c r="HA133" s="205"/>
      <c r="HB133" s="205"/>
      <c r="HC133" s="205"/>
      <c r="HD133" s="205"/>
      <c r="HE133" s="205"/>
      <c r="HF133" s="205"/>
      <c r="HG133" s="205"/>
      <c r="HH133" s="205"/>
      <c r="HI133" s="205"/>
      <c r="HJ133" s="205"/>
      <c r="HK133" s="205"/>
      <c r="HL133" s="205"/>
      <c r="HM133" s="205"/>
      <c r="HN133" s="205"/>
      <c r="HO133" s="205"/>
      <c r="HP133" s="205"/>
      <c r="HQ133" s="205"/>
      <c r="HR133" s="205"/>
      <c r="HS133" s="205"/>
      <c r="HT133" s="205"/>
      <c r="HU133" s="205"/>
      <c r="HV133" s="205"/>
      <c r="HW133" s="205"/>
      <c r="HX133" s="205"/>
      <c r="HY133" s="205"/>
      <c r="HZ133" s="205"/>
      <c r="IA133" s="205"/>
      <c r="IB133" s="205"/>
      <c r="IC133" s="205"/>
      <c r="ID133" s="205"/>
      <c r="IE133" s="205"/>
      <c r="IF133" s="205"/>
      <c r="IG133" s="205"/>
      <c r="IH133" s="205"/>
      <c r="II133" s="205"/>
      <c r="IJ133" s="205"/>
      <c r="IK133" s="205"/>
      <c r="IL133" s="205"/>
      <c r="IM133" s="205"/>
      <c r="IN133" s="205"/>
      <c r="IO133" s="205"/>
      <c r="IP133" s="205"/>
      <c r="IQ133" s="205"/>
      <c r="IR133" s="205"/>
      <c r="IS133" s="205"/>
      <c r="IT133" s="205"/>
      <c r="IU133" s="205"/>
      <c r="IV133" s="205"/>
      <c r="IW133" s="205"/>
      <c r="IX133" s="205"/>
    </row>
    <row r="134" spans="1:258" s="203" customFormat="1" x14ac:dyDescent="0.2">
      <c r="A134" s="669"/>
      <c r="B134" s="670"/>
      <c r="C134" s="682" t="str">
        <f>RAB!D61</f>
        <v>Footplat</v>
      </c>
      <c r="D134" s="672"/>
      <c r="E134" s="673"/>
      <c r="F134" s="673"/>
      <c r="G134" s="674"/>
      <c r="H134" s="675"/>
      <c r="I134" s="676"/>
      <c r="J134" s="676"/>
      <c r="K134" s="676"/>
      <c r="L134" s="676"/>
      <c r="M134" s="676"/>
      <c r="N134" s="676"/>
      <c r="O134" s="676"/>
      <c r="P134" s="676"/>
      <c r="Q134" s="676"/>
      <c r="R134" s="677"/>
      <c r="S134" s="678"/>
      <c r="T134" s="684"/>
      <c r="U134" s="205"/>
      <c r="V134" s="68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5"/>
      <c r="BN134" s="205"/>
      <c r="BO134" s="205"/>
      <c r="BP134" s="205"/>
      <c r="BQ134" s="205"/>
      <c r="BR134" s="205"/>
      <c r="BS134" s="205"/>
      <c r="BT134" s="205"/>
      <c r="BU134" s="205"/>
      <c r="BV134" s="205"/>
      <c r="BW134" s="205"/>
      <c r="BX134" s="205"/>
      <c r="BY134" s="205"/>
      <c r="BZ134" s="205"/>
      <c r="CA134" s="205"/>
      <c r="CB134" s="205"/>
      <c r="CC134" s="205"/>
      <c r="CD134" s="205"/>
      <c r="CE134" s="205"/>
      <c r="CF134" s="205"/>
      <c r="CG134" s="205"/>
      <c r="CH134" s="205"/>
      <c r="CI134" s="205"/>
      <c r="CJ134" s="205"/>
      <c r="CK134" s="205"/>
      <c r="CL134" s="205"/>
      <c r="CM134" s="205"/>
      <c r="CN134" s="205"/>
      <c r="CO134" s="205"/>
      <c r="CP134" s="205"/>
      <c r="CQ134" s="205"/>
      <c r="CR134" s="205"/>
      <c r="CS134" s="205"/>
      <c r="CT134" s="205"/>
      <c r="CU134" s="205"/>
      <c r="CV134" s="205"/>
      <c r="CW134" s="205"/>
      <c r="CX134" s="205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205"/>
      <c r="DO134" s="205"/>
      <c r="DP134" s="205"/>
      <c r="DQ134" s="205"/>
      <c r="DR134" s="205"/>
      <c r="DS134" s="205"/>
      <c r="DT134" s="205"/>
      <c r="DU134" s="205"/>
      <c r="DV134" s="205"/>
      <c r="DW134" s="205"/>
      <c r="DX134" s="205"/>
      <c r="DY134" s="205"/>
      <c r="DZ134" s="205"/>
      <c r="EA134" s="205"/>
      <c r="EB134" s="205"/>
      <c r="EC134" s="205"/>
      <c r="ED134" s="205"/>
      <c r="EE134" s="205"/>
      <c r="EF134" s="205"/>
      <c r="EG134" s="205"/>
      <c r="EH134" s="205"/>
      <c r="EI134" s="205"/>
      <c r="EJ134" s="205"/>
      <c r="EK134" s="205"/>
      <c r="EL134" s="205"/>
      <c r="EM134" s="205"/>
      <c r="EN134" s="205"/>
      <c r="EO134" s="205"/>
      <c r="EP134" s="205"/>
      <c r="EQ134" s="205"/>
      <c r="ER134" s="205"/>
      <c r="ES134" s="205"/>
      <c r="ET134" s="205"/>
      <c r="EU134" s="205"/>
      <c r="EV134" s="205"/>
      <c r="EW134" s="205"/>
      <c r="EX134" s="205"/>
      <c r="EY134" s="205"/>
      <c r="EZ134" s="205"/>
      <c r="FA134" s="205"/>
      <c r="FB134" s="205"/>
      <c r="FC134" s="205"/>
      <c r="FD134" s="205"/>
      <c r="FE134" s="205"/>
      <c r="FF134" s="205"/>
      <c r="FG134" s="205"/>
      <c r="FH134" s="205"/>
      <c r="FI134" s="205"/>
      <c r="FJ134" s="205"/>
      <c r="FK134" s="205"/>
      <c r="FL134" s="205"/>
      <c r="FM134" s="205"/>
      <c r="FN134" s="205"/>
      <c r="FO134" s="205"/>
      <c r="FP134" s="205"/>
      <c r="FQ134" s="205"/>
      <c r="FR134" s="205"/>
      <c r="FS134" s="205"/>
      <c r="FT134" s="205"/>
      <c r="FU134" s="205"/>
      <c r="FV134" s="205"/>
      <c r="FW134" s="205"/>
      <c r="FX134" s="205"/>
      <c r="FY134" s="205"/>
      <c r="FZ134" s="205"/>
      <c r="GA134" s="205"/>
      <c r="GB134" s="205"/>
      <c r="GC134" s="205"/>
      <c r="GD134" s="205"/>
      <c r="GE134" s="205"/>
      <c r="GF134" s="205"/>
      <c r="GG134" s="205"/>
      <c r="GH134" s="205"/>
      <c r="GI134" s="205"/>
      <c r="GJ134" s="205"/>
      <c r="GK134" s="205"/>
      <c r="GL134" s="205"/>
      <c r="GM134" s="205"/>
      <c r="GN134" s="205"/>
      <c r="GO134" s="205"/>
      <c r="GP134" s="205"/>
      <c r="GQ134" s="205"/>
      <c r="GR134" s="205"/>
      <c r="GS134" s="205"/>
      <c r="GT134" s="205"/>
      <c r="GU134" s="205"/>
      <c r="GV134" s="205"/>
      <c r="GW134" s="205"/>
      <c r="GX134" s="205"/>
      <c r="GY134" s="205"/>
      <c r="GZ134" s="205"/>
      <c r="HA134" s="205"/>
      <c r="HB134" s="205"/>
      <c r="HC134" s="205"/>
      <c r="HD134" s="205"/>
      <c r="HE134" s="205"/>
      <c r="HF134" s="205"/>
      <c r="HG134" s="205"/>
      <c r="HH134" s="205"/>
      <c r="HI134" s="205"/>
      <c r="HJ134" s="205"/>
      <c r="HK134" s="205"/>
      <c r="HL134" s="205"/>
      <c r="HM134" s="205"/>
      <c r="HN134" s="205"/>
      <c r="HO134" s="205"/>
      <c r="HP134" s="205"/>
      <c r="HQ134" s="205"/>
      <c r="HR134" s="205"/>
      <c r="HS134" s="205"/>
      <c r="HT134" s="205"/>
      <c r="HU134" s="205"/>
      <c r="HV134" s="205"/>
      <c r="HW134" s="205"/>
      <c r="HX134" s="205"/>
      <c r="HY134" s="205"/>
      <c r="HZ134" s="205"/>
      <c r="IA134" s="205"/>
      <c r="IB134" s="205"/>
      <c r="IC134" s="205"/>
      <c r="ID134" s="205"/>
      <c r="IE134" s="205"/>
      <c r="IF134" s="205"/>
      <c r="IG134" s="205"/>
      <c r="IH134" s="205"/>
      <c r="II134" s="205"/>
      <c r="IJ134" s="205"/>
      <c r="IK134" s="205"/>
      <c r="IL134" s="205"/>
      <c r="IM134" s="205"/>
      <c r="IN134" s="205"/>
      <c r="IO134" s="205"/>
      <c r="IP134" s="205"/>
      <c r="IQ134" s="205"/>
      <c r="IR134" s="205"/>
      <c r="IS134" s="205"/>
      <c r="IT134" s="205"/>
      <c r="IU134" s="205"/>
      <c r="IV134" s="205"/>
      <c r="IW134" s="205"/>
      <c r="IX134" s="205"/>
    </row>
    <row r="135" spans="1:258" s="203" customFormat="1" x14ac:dyDescent="0.2">
      <c r="A135" s="669"/>
      <c r="B135" s="670">
        <f>RAB!B62</f>
        <v>3</v>
      </c>
      <c r="C135" s="686" t="e">
        <f>RAB!D62</f>
        <v>#REF!</v>
      </c>
      <c r="D135" s="672"/>
      <c r="E135" s="673"/>
      <c r="F135" s="673"/>
      <c r="G135" s="674"/>
      <c r="H135" s="675"/>
      <c r="I135" s="676"/>
      <c r="J135" s="676"/>
      <c r="K135" s="676"/>
      <c r="L135" s="676"/>
      <c r="M135" s="676"/>
      <c r="N135" s="676"/>
      <c r="O135" s="676"/>
      <c r="P135" s="676"/>
      <c r="Q135" s="676"/>
      <c r="R135" s="677"/>
      <c r="S135" s="678"/>
      <c r="T135" s="684"/>
      <c r="U135" s="205"/>
      <c r="V135" s="68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5"/>
      <c r="BN135" s="205"/>
      <c r="BO135" s="205"/>
      <c r="BP135" s="205"/>
      <c r="BQ135" s="205"/>
      <c r="BR135" s="205"/>
      <c r="BS135" s="205"/>
      <c r="BT135" s="205"/>
      <c r="BU135" s="205"/>
      <c r="BV135" s="205"/>
      <c r="BW135" s="205"/>
      <c r="BX135" s="205"/>
      <c r="BY135" s="205"/>
      <c r="BZ135" s="205"/>
      <c r="CA135" s="205"/>
      <c r="CB135" s="205"/>
      <c r="CC135" s="205"/>
      <c r="CD135" s="205"/>
      <c r="CE135" s="205"/>
      <c r="CF135" s="205"/>
      <c r="CG135" s="205"/>
      <c r="CH135" s="205"/>
      <c r="CI135" s="205"/>
      <c r="CJ135" s="205"/>
      <c r="CK135" s="205"/>
      <c r="CL135" s="205"/>
      <c r="CM135" s="205"/>
      <c r="CN135" s="205"/>
      <c r="CO135" s="205"/>
      <c r="CP135" s="205"/>
      <c r="CQ135" s="205"/>
      <c r="CR135" s="205"/>
      <c r="CS135" s="205"/>
      <c r="CT135" s="205"/>
      <c r="CU135" s="205"/>
      <c r="CV135" s="205"/>
      <c r="CW135" s="205"/>
      <c r="CX135" s="205"/>
      <c r="CY135" s="205"/>
      <c r="CZ135" s="205"/>
      <c r="DA135" s="205"/>
      <c r="DB135" s="205"/>
      <c r="DC135" s="205"/>
      <c r="DD135" s="205"/>
      <c r="DE135" s="205"/>
      <c r="DF135" s="205"/>
      <c r="DG135" s="205"/>
      <c r="DH135" s="205"/>
      <c r="DI135" s="205"/>
      <c r="DJ135" s="205"/>
      <c r="DK135" s="205"/>
      <c r="DL135" s="205"/>
      <c r="DM135" s="205"/>
      <c r="DN135" s="205"/>
      <c r="DO135" s="205"/>
      <c r="DP135" s="205"/>
      <c r="DQ135" s="205"/>
      <c r="DR135" s="205"/>
      <c r="DS135" s="205"/>
      <c r="DT135" s="205"/>
      <c r="DU135" s="205"/>
      <c r="DV135" s="205"/>
      <c r="DW135" s="205"/>
      <c r="DX135" s="205"/>
      <c r="DY135" s="205"/>
      <c r="DZ135" s="205"/>
      <c r="EA135" s="205"/>
      <c r="EB135" s="205"/>
      <c r="EC135" s="205"/>
      <c r="ED135" s="205"/>
      <c r="EE135" s="205"/>
      <c r="EF135" s="205"/>
      <c r="EG135" s="205"/>
      <c r="EH135" s="205"/>
      <c r="EI135" s="205"/>
      <c r="EJ135" s="205"/>
      <c r="EK135" s="205"/>
      <c r="EL135" s="205"/>
      <c r="EM135" s="205"/>
      <c r="EN135" s="205"/>
      <c r="EO135" s="205"/>
      <c r="EP135" s="205"/>
      <c r="EQ135" s="205"/>
      <c r="ER135" s="205"/>
      <c r="ES135" s="205"/>
      <c r="ET135" s="205"/>
      <c r="EU135" s="205"/>
      <c r="EV135" s="205"/>
      <c r="EW135" s="205"/>
      <c r="EX135" s="205"/>
      <c r="EY135" s="205"/>
      <c r="EZ135" s="205"/>
      <c r="FA135" s="205"/>
      <c r="FB135" s="205"/>
      <c r="FC135" s="205"/>
      <c r="FD135" s="205"/>
      <c r="FE135" s="205"/>
      <c r="FF135" s="205"/>
      <c r="FG135" s="205"/>
      <c r="FH135" s="205"/>
      <c r="FI135" s="205"/>
      <c r="FJ135" s="205"/>
      <c r="FK135" s="205"/>
      <c r="FL135" s="205"/>
      <c r="FM135" s="205"/>
      <c r="FN135" s="205"/>
      <c r="FO135" s="205"/>
      <c r="FP135" s="205"/>
      <c r="FQ135" s="205"/>
      <c r="FR135" s="205"/>
      <c r="FS135" s="205"/>
      <c r="FT135" s="205"/>
      <c r="FU135" s="205"/>
      <c r="FV135" s="205"/>
      <c r="FW135" s="205"/>
      <c r="FX135" s="205"/>
      <c r="FY135" s="205"/>
      <c r="FZ135" s="205"/>
      <c r="GA135" s="205"/>
      <c r="GB135" s="205"/>
      <c r="GC135" s="205"/>
      <c r="GD135" s="205"/>
      <c r="GE135" s="205"/>
      <c r="GF135" s="205"/>
      <c r="GG135" s="205"/>
      <c r="GH135" s="205"/>
      <c r="GI135" s="205"/>
      <c r="GJ135" s="205"/>
      <c r="GK135" s="205"/>
      <c r="GL135" s="205"/>
      <c r="GM135" s="205"/>
      <c r="GN135" s="205"/>
      <c r="GO135" s="205"/>
      <c r="GP135" s="205"/>
      <c r="GQ135" s="205"/>
      <c r="GR135" s="205"/>
      <c r="GS135" s="205"/>
      <c r="GT135" s="205"/>
      <c r="GU135" s="205"/>
      <c r="GV135" s="205"/>
      <c r="GW135" s="205"/>
      <c r="GX135" s="205"/>
      <c r="GY135" s="205"/>
      <c r="GZ135" s="205"/>
      <c r="HA135" s="205"/>
      <c r="HB135" s="205"/>
      <c r="HC135" s="205"/>
      <c r="HD135" s="205"/>
      <c r="HE135" s="205"/>
      <c r="HF135" s="205"/>
      <c r="HG135" s="205"/>
      <c r="HH135" s="205"/>
      <c r="HI135" s="205"/>
      <c r="HJ135" s="205"/>
      <c r="HK135" s="205"/>
      <c r="HL135" s="205"/>
      <c r="HM135" s="205"/>
      <c r="HN135" s="205"/>
      <c r="HO135" s="205"/>
      <c r="HP135" s="205"/>
      <c r="HQ135" s="205"/>
      <c r="HR135" s="205"/>
      <c r="HS135" s="205"/>
      <c r="HT135" s="205"/>
      <c r="HU135" s="205"/>
      <c r="HV135" s="205"/>
      <c r="HW135" s="205"/>
      <c r="HX135" s="205"/>
      <c r="HY135" s="205"/>
      <c r="HZ135" s="205"/>
      <c r="IA135" s="205"/>
      <c r="IB135" s="205"/>
      <c r="IC135" s="205"/>
      <c r="ID135" s="205"/>
      <c r="IE135" s="205"/>
      <c r="IF135" s="205"/>
      <c r="IG135" s="205"/>
      <c r="IH135" s="205"/>
      <c r="II135" s="205"/>
      <c r="IJ135" s="205"/>
      <c r="IK135" s="205"/>
      <c r="IL135" s="205"/>
      <c r="IM135" s="205"/>
      <c r="IN135" s="205"/>
      <c r="IO135" s="205"/>
      <c r="IP135" s="205"/>
      <c r="IQ135" s="205"/>
      <c r="IR135" s="205"/>
      <c r="IS135" s="205"/>
      <c r="IT135" s="205"/>
      <c r="IU135" s="205"/>
      <c r="IV135" s="205"/>
      <c r="IW135" s="205"/>
      <c r="IX135" s="205"/>
    </row>
    <row r="136" spans="1:258" s="203" customFormat="1" x14ac:dyDescent="0.2">
      <c r="A136" s="669"/>
      <c r="B136" s="670"/>
      <c r="C136" s="1358"/>
      <c r="D136" s="672"/>
      <c r="E136" s="1359"/>
      <c r="F136" s="1359" t="s">
        <v>1651</v>
      </c>
      <c r="G136" s="1360"/>
      <c r="H136" s="1361"/>
      <c r="I136" s="1362"/>
      <c r="J136" s="1362"/>
      <c r="K136" s="1362"/>
      <c r="L136" s="1362"/>
      <c r="M136" s="1362"/>
      <c r="N136" s="1362"/>
      <c r="O136" s="1362"/>
      <c r="P136" s="1362"/>
      <c r="Q136" s="1362"/>
      <c r="R136" s="1363"/>
      <c r="S136" s="1364"/>
      <c r="T136" s="722"/>
      <c r="U136" s="205"/>
      <c r="V136" s="68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5"/>
      <c r="BN136" s="205"/>
      <c r="BO136" s="205"/>
      <c r="BP136" s="205"/>
      <c r="BQ136" s="205"/>
      <c r="BR136" s="205"/>
      <c r="BS136" s="205"/>
      <c r="BT136" s="205"/>
      <c r="BU136" s="205"/>
      <c r="BV136" s="205"/>
      <c r="BW136" s="205"/>
      <c r="BX136" s="205"/>
      <c r="BY136" s="205"/>
      <c r="BZ136" s="205"/>
      <c r="CA136" s="205"/>
      <c r="CB136" s="205"/>
      <c r="CC136" s="205"/>
      <c r="CD136" s="205"/>
      <c r="CE136" s="205"/>
      <c r="CF136" s="205"/>
      <c r="CG136" s="205"/>
      <c r="CH136" s="205"/>
      <c r="CI136" s="205"/>
      <c r="CJ136" s="205"/>
      <c r="CK136" s="205"/>
      <c r="CL136" s="205"/>
      <c r="CM136" s="205"/>
      <c r="CN136" s="205"/>
      <c r="CO136" s="205"/>
      <c r="CP136" s="205"/>
      <c r="CQ136" s="205"/>
      <c r="CR136" s="205"/>
      <c r="CS136" s="205"/>
      <c r="CT136" s="205"/>
      <c r="CU136" s="205"/>
      <c r="CV136" s="205"/>
      <c r="CW136" s="205"/>
      <c r="CX136" s="205"/>
      <c r="CY136" s="205"/>
      <c r="CZ136" s="205"/>
      <c r="DA136" s="205"/>
      <c r="DB136" s="205"/>
      <c r="DC136" s="205"/>
      <c r="DD136" s="205"/>
      <c r="DE136" s="205"/>
      <c r="DF136" s="205"/>
      <c r="DG136" s="205"/>
      <c r="DH136" s="205"/>
      <c r="DI136" s="205"/>
      <c r="DJ136" s="205"/>
      <c r="DK136" s="205"/>
      <c r="DL136" s="205"/>
      <c r="DM136" s="205"/>
      <c r="DN136" s="205"/>
      <c r="DO136" s="205"/>
      <c r="DP136" s="205"/>
      <c r="DQ136" s="205"/>
      <c r="DR136" s="205"/>
      <c r="DS136" s="205"/>
      <c r="DT136" s="205"/>
      <c r="DU136" s="205"/>
      <c r="DV136" s="205"/>
      <c r="DW136" s="205"/>
      <c r="DX136" s="205"/>
      <c r="DY136" s="205"/>
      <c r="DZ136" s="205"/>
      <c r="EA136" s="205"/>
      <c r="EB136" s="205"/>
      <c r="EC136" s="205"/>
      <c r="ED136" s="205"/>
      <c r="EE136" s="205"/>
      <c r="EF136" s="205"/>
      <c r="EG136" s="205"/>
      <c r="EH136" s="205"/>
      <c r="EI136" s="205"/>
      <c r="EJ136" s="205"/>
      <c r="EK136" s="205"/>
      <c r="EL136" s="205"/>
      <c r="EM136" s="205"/>
      <c r="EN136" s="205"/>
      <c r="EO136" s="205"/>
      <c r="EP136" s="205"/>
      <c r="EQ136" s="205"/>
      <c r="ER136" s="205"/>
      <c r="ES136" s="205"/>
      <c r="ET136" s="205"/>
      <c r="EU136" s="205"/>
      <c r="EV136" s="205"/>
      <c r="EW136" s="205"/>
      <c r="EX136" s="205"/>
      <c r="EY136" s="205"/>
      <c r="EZ136" s="205"/>
      <c r="FA136" s="205"/>
      <c r="FB136" s="205"/>
      <c r="FC136" s="205"/>
      <c r="FD136" s="205"/>
      <c r="FE136" s="205"/>
      <c r="FF136" s="205"/>
      <c r="FG136" s="205"/>
      <c r="FH136" s="205"/>
      <c r="FI136" s="205"/>
      <c r="FJ136" s="205"/>
      <c r="FK136" s="205"/>
      <c r="FL136" s="205"/>
      <c r="FM136" s="205"/>
      <c r="FN136" s="205"/>
      <c r="FO136" s="205"/>
      <c r="FP136" s="205"/>
      <c r="FQ136" s="205"/>
      <c r="FR136" s="205"/>
      <c r="FS136" s="205"/>
      <c r="FT136" s="205"/>
      <c r="FU136" s="205"/>
      <c r="FV136" s="205"/>
      <c r="FW136" s="205"/>
      <c r="FX136" s="205"/>
      <c r="FY136" s="205"/>
      <c r="FZ136" s="205"/>
      <c r="GA136" s="205"/>
      <c r="GB136" s="205"/>
      <c r="GC136" s="205"/>
      <c r="GD136" s="205"/>
      <c r="GE136" s="205"/>
      <c r="GF136" s="205"/>
      <c r="GG136" s="205"/>
      <c r="GH136" s="205"/>
      <c r="GI136" s="205"/>
      <c r="GJ136" s="205"/>
      <c r="GK136" s="205"/>
      <c r="GL136" s="205"/>
      <c r="GM136" s="205"/>
      <c r="GN136" s="205"/>
      <c r="GO136" s="205"/>
      <c r="GP136" s="205"/>
      <c r="GQ136" s="205"/>
      <c r="GR136" s="205"/>
      <c r="GS136" s="205"/>
      <c r="GT136" s="205"/>
      <c r="GU136" s="205"/>
      <c r="GV136" s="205"/>
      <c r="GW136" s="205"/>
      <c r="GX136" s="205"/>
      <c r="GY136" s="205"/>
      <c r="GZ136" s="205"/>
      <c r="HA136" s="205"/>
      <c r="HB136" s="205"/>
      <c r="HC136" s="205"/>
      <c r="HD136" s="205"/>
      <c r="HE136" s="205"/>
      <c r="HF136" s="205"/>
      <c r="HG136" s="205"/>
      <c r="HH136" s="205"/>
      <c r="HI136" s="205"/>
      <c r="HJ136" s="205"/>
      <c r="HK136" s="205"/>
      <c r="HL136" s="205"/>
      <c r="HM136" s="205"/>
      <c r="HN136" s="205"/>
      <c r="HO136" s="205"/>
      <c r="HP136" s="205"/>
      <c r="HQ136" s="205"/>
      <c r="HR136" s="205"/>
      <c r="HS136" s="205"/>
      <c r="HT136" s="205"/>
      <c r="HU136" s="205"/>
      <c r="HV136" s="205"/>
      <c r="HW136" s="205"/>
      <c r="HX136" s="205"/>
      <c r="HY136" s="205"/>
      <c r="HZ136" s="205"/>
      <c r="IA136" s="205"/>
      <c r="IB136" s="205"/>
      <c r="IC136" s="205"/>
      <c r="ID136" s="205"/>
      <c r="IE136" s="205"/>
      <c r="IF136" s="205"/>
      <c r="IG136" s="205"/>
      <c r="IH136" s="205"/>
      <c r="II136" s="205"/>
      <c r="IJ136" s="205"/>
      <c r="IK136" s="205"/>
      <c r="IL136" s="205"/>
      <c r="IM136" s="205"/>
      <c r="IN136" s="205"/>
      <c r="IO136" s="205"/>
      <c r="IP136" s="205"/>
      <c r="IQ136" s="205"/>
      <c r="IR136" s="205"/>
      <c r="IS136" s="205"/>
      <c r="IT136" s="205"/>
      <c r="IU136" s="205"/>
      <c r="IV136" s="205"/>
      <c r="IW136" s="205"/>
      <c r="IX136" s="205"/>
    </row>
    <row r="137" spans="1:258" s="203" customFormat="1" x14ac:dyDescent="0.2">
      <c r="A137" s="669"/>
      <c r="B137" s="670"/>
      <c r="C137" s="1358"/>
      <c r="D137" s="672"/>
      <c r="E137" s="1359"/>
      <c r="F137" s="1359"/>
      <c r="G137" s="1360" t="str">
        <f>G123</f>
        <v>FP1</v>
      </c>
      <c r="H137" s="1361">
        <v>0.8</v>
      </c>
      <c r="I137" s="1362" t="s">
        <v>424</v>
      </c>
      <c r="J137" s="1362">
        <v>0.8</v>
      </c>
      <c r="K137" s="1362" t="s">
        <v>424</v>
      </c>
      <c r="L137" s="1362">
        <v>0.25</v>
      </c>
      <c r="M137" s="1362" t="s">
        <v>424</v>
      </c>
      <c r="N137" s="1362">
        <f>N123</f>
        <v>9</v>
      </c>
      <c r="O137" s="1362"/>
      <c r="P137" s="1362"/>
      <c r="Q137" s="1362" t="s">
        <v>696</v>
      </c>
      <c r="R137" s="1363">
        <f t="shared" ref="R137:R139" si="43">H137*J137*L137*N137</f>
        <v>1.4400000000000004</v>
      </c>
      <c r="S137" s="1364"/>
      <c r="T137" s="722"/>
      <c r="U137" s="205"/>
      <c r="V137" s="685"/>
      <c r="W137" s="205"/>
      <c r="X137" s="205"/>
      <c r="Y137" s="205"/>
      <c r="Z137" s="205"/>
      <c r="AA137" s="205"/>
      <c r="AB137" s="205"/>
      <c r="AC137" s="205"/>
      <c r="AD137" s="205"/>
      <c r="AE137" s="205"/>
      <c r="AF137" s="205"/>
      <c r="AG137" s="205"/>
      <c r="AH137" s="205"/>
      <c r="AI137" s="205"/>
      <c r="AJ137" s="205"/>
      <c r="AK137" s="205"/>
      <c r="AL137" s="205"/>
      <c r="AM137" s="205"/>
      <c r="AN137" s="205"/>
      <c r="AO137" s="205"/>
      <c r="AP137" s="205"/>
      <c r="AQ137" s="205"/>
      <c r="AR137" s="205"/>
      <c r="AS137" s="205"/>
      <c r="AT137" s="205"/>
      <c r="AU137" s="205"/>
      <c r="AV137" s="205"/>
      <c r="AW137" s="205"/>
      <c r="AX137" s="205"/>
      <c r="AY137" s="205"/>
      <c r="AZ137" s="205"/>
      <c r="BA137" s="205"/>
      <c r="BB137" s="205"/>
      <c r="BC137" s="205"/>
      <c r="BD137" s="205"/>
      <c r="BE137" s="205"/>
      <c r="BF137" s="205"/>
      <c r="BG137" s="205"/>
      <c r="BH137" s="205"/>
      <c r="BI137" s="205"/>
      <c r="BJ137" s="205"/>
      <c r="BK137" s="205"/>
      <c r="BL137" s="205"/>
      <c r="BM137" s="205"/>
      <c r="BN137" s="205"/>
      <c r="BO137" s="205"/>
      <c r="BP137" s="205"/>
      <c r="BQ137" s="205"/>
      <c r="BR137" s="205"/>
      <c r="BS137" s="205"/>
      <c r="BT137" s="205"/>
      <c r="BU137" s="205"/>
      <c r="BV137" s="205"/>
      <c r="BW137" s="205"/>
      <c r="BX137" s="205"/>
      <c r="BY137" s="205"/>
      <c r="BZ137" s="205"/>
      <c r="CA137" s="205"/>
      <c r="CB137" s="205"/>
      <c r="CC137" s="205"/>
      <c r="CD137" s="205"/>
      <c r="CE137" s="205"/>
      <c r="CF137" s="205"/>
      <c r="CG137" s="205"/>
      <c r="CH137" s="205"/>
      <c r="CI137" s="205"/>
      <c r="CJ137" s="205"/>
      <c r="CK137" s="205"/>
      <c r="CL137" s="205"/>
      <c r="CM137" s="205"/>
      <c r="CN137" s="205"/>
      <c r="CO137" s="205"/>
      <c r="CP137" s="205"/>
      <c r="CQ137" s="205"/>
      <c r="CR137" s="205"/>
      <c r="CS137" s="205"/>
      <c r="CT137" s="205"/>
      <c r="CU137" s="205"/>
      <c r="CV137" s="205"/>
      <c r="CW137" s="205"/>
      <c r="CX137" s="205"/>
      <c r="CY137" s="205"/>
      <c r="CZ137" s="205"/>
      <c r="DA137" s="205"/>
      <c r="DB137" s="205"/>
      <c r="DC137" s="205"/>
      <c r="DD137" s="205"/>
      <c r="DE137" s="205"/>
      <c r="DF137" s="205"/>
      <c r="DG137" s="205"/>
      <c r="DH137" s="205"/>
      <c r="DI137" s="205"/>
      <c r="DJ137" s="205"/>
      <c r="DK137" s="205"/>
      <c r="DL137" s="205"/>
      <c r="DM137" s="205"/>
      <c r="DN137" s="205"/>
      <c r="DO137" s="205"/>
      <c r="DP137" s="205"/>
      <c r="DQ137" s="205"/>
      <c r="DR137" s="205"/>
      <c r="DS137" s="205"/>
      <c r="DT137" s="205"/>
      <c r="DU137" s="205"/>
      <c r="DV137" s="205"/>
      <c r="DW137" s="205"/>
      <c r="DX137" s="205"/>
      <c r="DY137" s="205"/>
      <c r="DZ137" s="205"/>
      <c r="EA137" s="205"/>
      <c r="EB137" s="205"/>
      <c r="EC137" s="205"/>
      <c r="ED137" s="205"/>
      <c r="EE137" s="205"/>
      <c r="EF137" s="205"/>
      <c r="EG137" s="205"/>
      <c r="EH137" s="205"/>
      <c r="EI137" s="205"/>
      <c r="EJ137" s="205"/>
      <c r="EK137" s="205"/>
      <c r="EL137" s="205"/>
      <c r="EM137" s="205"/>
      <c r="EN137" s="205"/>
      <c r="EO137" s="205"/>
      <c r="EP137" s="205"/>
      <c r="EQ137" s="205"/>
      <c r="ER137" s="205"/>
      <c r="ES137" s="205"/>
      <c r="ET137" s="205"/>
      <c r="EU137" s="205"/>
      <c r="EV137" s="205"/>
      <c r="EW137" s="205"/>
      <c r="EX137" s="205"/>
      <c r="EY137" s="205"/>
      <c r="EZ137" s="205"/>
      <c r="FA137" s="205"/>
      <c r="FB137" s="205"/>
      <c r="FC137" s="205"/>
      <c r="FD137" s="205"/>
      <c r="FE137" s="205"/>
      <c r="FF137" s="205"/>
      <c r="FG137" s="205"/>
      <c r="FH137" s="205"/>
      <c r="FI137" s="205"/>
      <c r="FJ137" s="205"/>
      <c r="FK137" s="205"/>
      <c r="FL137" s="205"/>
      <c r="FM137" s="205"/>
      <c r="FN137" s="205"/>
      <c r="FO137" s="205"/>
      <c r="FP137" s="205"/>
      <c r="FQ137" s="205"/>
      <c r="FR137" s="205"/>
      <c r="FS137" s="205"/>
      <c r="FT137" s="205"/>
      <c r="FU137" s="205"/>
      <c r="FV137" s="205"/>
      <c r="FW137" s="205"/>
      <c r="FX137" s="205"/>
      <c r="FY137" s="205"/>
      <c r="FZ137" s="205"/>
      <c r="GA137" s="205"/>
      <c r="GB137" s="205"/>
      <c r="GC137" s="205"/>
      <c r="GD137" s="205"/>
      <c r="GE137" s="205"/>
      <c r="GF137" s="205"/>
      <c r="GG137" s="205"/>
      <c r="GH137" s="205"/>
      <c r="GI137" s="205"/>
      <c r="GJ137" s="205"/>
      <c r="GK137" s="205"/>
      <c r="GL137" s="205"/>
      <c r="GM137" s="205"/>
      <c r="GN137" s="205"/>
      <c r="GO137" s="205"/>
      <c r="GP137" s="205"/>
      <c r="GQ137" s="205"/>
      <c r="GR137" s="205"/>
      <c r="GS137" s="205"/>
      <c r="GT137" s="205"/>
      <c r="GU137" s="205"/>
      <c r="GV137" s="205"/>
      <c r="GW137" s="205"/>
      <c r="GX137" s="205"/>
      <c r="GY137" s="205"/>
      <c r="GZ137" s="205"/>
      <c r="HA137" s="205"/>
      <c r="HB137" s="205"/>
      <c r="HC137" s="205"/>
      <c r="HD137" s="205"/>
      <c r="HE137" s="205"/>
      <c r="HF137" s="205"/>
      <c r="HG137" s="205"/>
      <c r="HH137" s="205"/>
      <c r="HI137" s="205"/>
      <c r="HJ137" s="205"/>
      <c r="HK137" s="205"/>
      <c r="HL137" s="205"/>
      <c r="HM137" s="205"/>
      <c r="HN137" s="205"/>
      <c r="HO137" s="205"/>
      <c r="HP137" s="205"/>
      <c r="HQ137" s="205"/>
      <c r="HR137" s="205"/>
      <c r="HS137" s="205"/>
      <c r="HT137" s="205"/>
      <c r="HU137" s="205"/>
      <c r="HV137" s="205"/>
      <c r="HW137" s="205"/>
      <c r="HX137" s="205"/>
      <c r="HY137" s="205"/>
      <c r="HZ137" s="205"/>
      <c r="IA137" s="205"/>
      <c r="IB137" s="205"/>
      <c r="IC137" s="205"/>
      <c r="ID137" s="205"/>
      <c r="IE137" s="205"/>
      <c r="IF137" s="205"/>
      <c r="IG137" s="205"/>
      <c r="IH137" s="205"/>
      <c r="II137" s="205"/>
      <c r="IJ137" s="205"/>
      <c r="IK137" s="205"/>
      <c r="IL137" s="205"/>
      <c r="IM137" s="205"/>
      <c r="IN137" s="205"/>
      <c r="IO137" s="205"/>
      <c r="IP137" s="205"/>
      <c r="IQ137" s="205"/>
      <c r="IR137" s="205"/>
      <c r="IS137" s="205"/>
      <c r="IT137" s="205"/>
      <c r="IU137" s="205"/>
      <c r="IV137" s="205"/>
      <c r="IW137" s="205"/>
      <c r="IX137" s="205"/>
    </row>
    <row r="138" spans="1:258" s="203" customFormat="1" x14ac:dyDescent="0.2">
      <c r="A138" s="669"/>
      <c r="B138" s="670"/>
      <c r="C138" s="1358"/>
      <c r="D138" s="672"/>
      <c r="E138" s="1359"/>
      <c r="F138" s="1359"/>
      <c r="G138" s="1360" t="str">
        <f>G124</f>
        <v>FP2</v>
      </c>
      <c r="H138" s="1361">
        <v>0.8</v>
      </c>
      <c r="I138" s="1362" t="s">
        <v>424</v>
      </c>
      <c r="J138" s="1362">
        <v>0.8</v>
      </c>
      <c r="K138" s="1362" t="s">
        <v>424</v>
      </c>
      <c r="L138" s="1362">
        <v>0.25</v>
      </c>
      <c r="M138" s="1362" t="s">
        <v>424</v>
      </c>
      <c r="N138" s="1362">
        <f t="shared" ref="N138:N139" si="44">N124</f>
        <v>10</v>
      </c>
      <c r="O138" s="1362"/>
      <c r="P138" s="1362"/>
      <c r="Q138" s="1362" t="s">
        <v>696</v>
      </c>
      <c r="R138" s="1363">
        <f t="shared" si="43"/>
        <v>1.6000000000000003</v>
      </c>
      <c r="S138" s="1364"/>
      <c r="T138" s="722"/>
      <c r="U138" s="205"/>
      <c r="V138" s="685"/>
      <c r="W138" s="205"/>
      <c r="X138" s="205"/>
      <c r="Y138" s="205"/>
      <c r="Z138" s="205"/>
      <c r="AA138" s="205"/>
      <c r="AB138" s="205"/>
      <c r="AC138" s="205"/>
      <c r="AD138" s="205"/>
      <c r="AE138" s="205"/>
      <c r="AF138" s="205"/>
      <c r="AG138" s="205"/>
      <c r="AH138" s="205"/>
      <c r="AI138" s="205"/>
      <c r="AJ138" s="205"/>
      <c r="AK138" s="205"/>
      <c r="AL138" s="205"/>
      <c r="AM138" s="205"/>
      <c r="AN138" s="205"/>
      <c r="AO138" s="205"/>
      <c r="AP138" s="205"/>
      <c r="AQ138" s="205"/>
      <c r="AR138" s="205"/>
      <c r="AS138" s="205"/>
      <c r="AT138" s="205"/>
      <c r="AU138" s="205"/>
      <c r="AV138" s="205"/>
      <c r="AW138" s="205"/>
      <c r="AX138" s="205"/>
      <c r="AY138" s="205"/>
      <c r="AZ138" s="205"/>
      <c r="BA138" s="205"/>
      <c r="BB138" s="205"/>
      <c r="BC138" s="205"/>
      <c r="BD138" s="205"/>
      <c r="BE138" s="205"/>
      <c r="BF138" s="205"/>
      <c r="BG138" s="205"/>
      <c r="BH138" s="205"/>
      <c r="BI138" s="205"/>
      <c r="BJ138" s="205"/>
      <c r="BK138" s="205"/>
      <c r="BL138" s="205"/>
      <c r="BM138" s="205"/>
      <c r="BN138" s="205"/>
      <c r="BO138" s="205"/>
      <c r="BP138" s="205"/>
      <c r="BQ138" s="205"/>
      <c r="BR138" s="205"/>
      <c r="BS138" s="205"/>
      <c r="BT138" s="205"/>
      <c r="BU138" s="205"/>
      <c r="BV138" s="205"/>
      <c r="BW138" s="205"/>
      <c r="BX138" s="205"/>
      <c r="BY138" s="205"/>
      <c r="BZ138" s="205"/>
      <c r="CA138" s="205"/>
      <c r="CB138" s="205"/>
      <c r="CC138" s="205"/>
      <c r="CD138" s="205"/>
      <c r="CE138" s="205"/>
      <c r="CF138" s="205"/>
      <c r="CG138" s="205"/>
      <c r="CH138" s="205"/>
      <c r="CI138" s="205"/>
      <c r="CJ138" s="205"/>
      <c r="CK138" s="205"/>
      <c r="CL138" s="205"/>
      <c r="CM138" s="205"/>
      <c r="CN138" s="205"/>
      <c r="CO138" s="205"/>
      <c r="CP138" s="205"/>
      <c r="CQ138" s="205"/>
      <c r="CR138" s="205"/>
      <c r="CS138" s="205"/>
      <c r="CT138" s="205"/>
      <c r="CU138" s="205"/>
      <c r="CV138" s="205"/>
      <c r="CW138" s="205"/>
      <c r="CX138" s="205"/>
      <c r="CY138" s="205"/>
      <c r="CZ138" s="205"/>
      <c r="DA138" s="205"/>
      <c r="DB138" s="205"/>
      <c r="DC138" s="205"/>
      <c r="DD138" s="205"/>
      <c r="DE138" s="205"/>
      <c r="DF138" s="205"/>
      <c r="DG138" s="205"/>
      <c r="DH138" s="205"/>
      <c r="DI138" s="205"/>
      <c r="DJ138" s="205"/>
      <c r="DK138" s="205"/>
      <c r="DL138" s="205"/>
      <c r="DM138" s="205"/>
      <c r="DN138" s="205"/>
      <c r="DO138" s="205"/>
      <c r="DP138" s="205"/>
      <c r="DQ138" s="205"/>
      <c r="DR138" s="205"/>
      <c r="DS138" s="205"/>
      <c r="DT138" s="205"/>
      <c r="DU138" s="205"/>
      <c r="DV138" s="205"/>
      <c r="DW138" s="205"/>
      <c r="DX138" s="205"/>
      <c r="DY138" s="205"/>
      <c r="DZ138" s="205"/>
      <c r="EA138" s="205"/>
      <c r="EB138" s="205"/>
      <c r="EC138" s="205"/>
      <c r="ED138" s="205"/>
      <c r="EE138" s="205"/>
      <c r="EF138" s="205"/>
      <c r="EG138" s="205"/>
      <c r="EH138" s="205"/>
      <c r="EI138" s="205"/>
      <c r="EJ138" s="205"/>
      <c r="EK138" s="205"/>
      <c r="EL138" s="205"/>
      <c r="EM138" s="205"/>
      <c r="EN138" s="205"/>
      <c r="EO138" s="205"/>
      <c r="EP138" s="205"/>
      <c r="EQ138" s="205"/>
      <c r="ER138" s="205"/>
      <c r="ES138" s="205"/>
      <c r="ET138" s="205"/>
      <c r="EU138" s="205"/>
      <c r="EV138" s="205"/>
      <c r="EW138" s="205"/>
      <c r="EX138" s="205"/>
      <c r="EY138" s="205"/>
      <c r="EZ138" s="205"/>
      <c r="FA138" s="205"/>
      <c r="FB138" s="205"/>
      <c r="FC138" s="205"/>
      <c r="FD138" s="205"/>
      <c r="FE138" s="205"/>
      <c r="FF138" s="205"/>
      <c r="FG138" s="205"/>
      <c r="FH138" s="205"/>
      <c r="FI138" s="205"/>
      <c r="FJ138" s="205"/>
      <c r="FK138" s="205"/>
      <c r="FL138" s="205"/>
      <c r="FM138" s="205"/>
      <c r="FN138" s="205"/>
      <c r="FO138" s="205"/>
      <c r="FP138" s="205"/>
      <c r="FQ138" s="205"/>
      <c r="FR138" s="205"/>
      <c r="FS138" s="205"/>
      <c r="FT138" s="205"/>
      <c r="FU138" s="205"/>
      <c r="FV138" s="205"/>
      <c r="FW138" s="205"/>
      <c r="FX138" s="205"/>
      <c r="FY138" s="205"/>
      <c r="FZ138" s="205"/>
      <c r="GA138" s="205"/>
      <c r="GB138" s="205"/>
      <c r="GC138" s="205"/>
      <c r="GD138" s="205"/>
      <c r="GE138" s="205"/>
      <c r="GF138" s="205"/>
      <c r="GG138" s="205"/>
      <c r="GH138" s="205"/>
      <c r="GI138" s="205"/>
      <c r="GJ138" s="205"/>
      <c r="GK138" s="205"/>
      <c r="GL138" s="205"/>
      <c r="GM138" s="205"/>
      <c r="GN138" s="205"/>
      <c r="GO138" s="205"/>
      <c r="GP138" s="205"/>
      <c r="GQ138" s="205"/>
      <c r="GR138" s="205"/>
      <c r="GS138" s="205"/>
      <c r="GT138" s="205"/>
      <c r="GU138" s="205"/>
      <c r="GV138" s="205"/>
      <c r="GW138" s="205"/>
      <c r="GX138" s="205"/>
      <c r="GY138" s="205"/>
      <c r="GZ138" s="205"/>
      <c r="HA138" s="205"/>
      <c r="HB138" s="205"/>
      <c r="HC138" s="205"/>
      <c r="HD138" s="205"/>
      <c r="HE138" s="205"/>
      <c r="HF138" s="205"/>
      <c r="HG138" s="205"/>
      <c r="HH138" s="205"/>
      <c r="HI138" s="205"/>
      <c r="HJ138" s="205"/>
      <c r="HK138" s="205"/>
      <c r="HL138" s="205"/>
      <c r="HM138" s="205"/>
      <c r="HN138" s="205"/>
      <c r="HO138" s="205"/>
      <c r="HP138" s="205"/>
      <c r="HQ138" s="205"/>
      <c r="HR138" s="205"/>
      <c r="HS138" s="205"/>
      <c r="HT138" s="205"/>
      <c r="HU138" s="205"/>
      <c r="HV138" s="205"/>
      <c r="HW138" s="205"/>
      <c r="HX138" s="205"/>
      <c r="HY138" s="205"/>
      <c r="HZ138" s="205"/>
      <c r="IA138" s="205"/>
      <c r="IB138" s="205"/>
      <c r="IC138" s="205"/>
      <c r="ID138" s="205"/>
      <c r="IE138" s="205"/>
      <c r="IF138" s="205"/>
      <c r="IG138" s="205"/>
      <c r="IH138" s="205"/>
      <c r="II138" s="205"/>
      <c r="IJ138" s="205"/>
      <c r="IK138" s="205"/>
      <c r="IL138" s="205"/>
      <c r="IM138" s="205"/>
      <c r="IN138" s="205"/>
      <c r="IO138" s="205"/>
      <c r="IP138" s="205"/>
      <c r="IQ138" s="205"/>
      <c r="IR138" s="205"/>
      <c r="IS138" s="205"/>
      <c r="IT138" s="205"/>
      <c r="IU138" s="205"/>
      <c r="IV138" s="205"/>
      <c r="IW138" s="205"/>
      <c r="IX138" s="205"/>
    </row>
    <row r="139" spans="1:258" s="203" customFormat="1" x14ac:dyDescent="0.2">
      <c r="A139" s="669"/>
      <c r="B139" s="670"/>
      <c r="C139" s="1358"/>
      <c r="D139" s="672"/>
      <c r="E139" s="1359"/>
      <c r="F139" s="1359"/>
      <c r="G139" s="1360" t="str">
        <f>G125</f>
        <v>FP3</v>
      </c>
      <c r="H139" s="1361">
        <v>0.8</v>
      </c>
      <c r="I139" s="1362" t="s">
        <v>424</v>
      </c>
      <c r="J139" s="1362">
        <v>0.8</v>
      </c>
      <c r="K139" s="1362" t="s">
        <v>424</v>
      </c>
      <c r="L139" s="1362">
        <v>0.25</v>
      </c>
      <c r="M139" s="1362" t="s">
        <v>424</v>
      </c>
      <c r="N139" s="1362">
        <f t="shared" si="44"/>
        <v>8</v>
      </c>
      <c r="O139" s="1362"/>
      <c r="P139" s="1362"/>
      <c r="Q139" s="1362" t="s">
        <v>696</v>
      </c>
      <c r="R139" s="1363">
        <f t="shared" si="43"/>
        <v>1.2800000000000002</v>
      </c>
      <c r="S139" s="1364"/>
      <c r="T139" s="722"/>
      <c r="U139" s="205"/>
      <c r="V139" s="685"/>
      <c r="W139" s="205"/>
      <c r="X139" s="205"/>
      <c r="Y139" s="205"/>
      <c r="Z139" s="205"/>
      <c r="AA139" s="205"/>
      <c r="AB139" s="205"/>
      <c r="AC139" s="205"/>
      <c r="AD139" s="205"/>
      <c r="AE139" s="205"/>
      <c r="AF139" s="205"/>
      <c r="AG139" s="205"/>
      <c r="AH139" s="205"/>
      <c r="AI139" s="205"/>
      <c r="AJ139" s="205"/>
      <c r="AK139" s="205"/>
      <c r="AL139" s="205"/>
      <c r="AM139" s="205"/>
      <c r="AN139" s="205"/>
      <c r="AO139" s="205"/>
      <c r="AP139" s="205"/>
      <c r="AQ139" s="205"/>
      <c r="AR139" s="205"/>
      <c r="AS139" s="205"/>
      <c r="AT139" s="205"/>
      <c r="AU139" s="205"/>
      <c r="AV139" s="205"/>
      <c r="AW139" s="205"/>
      <c r="AX139" s="205"/>
      <c r="AY139" s="205"/>
      <c r="AZ139" s="205"/>
      <c r="BA139" s="205"/>
      <c r="BB139" s="205"/>
      <c r="BC139" s="205"/>
      <c r="BD139" s="205"/>
      <c r="BE139" s="205"/>
      <c r="BF139" s="205"/>
      <c r="BG139" s="205"/>
      <c r="BH139" s="205"/>
      <c r="BI139" s="205"/>
      <c r="BJ139" s="205"/>
      <c r="BK139" s="205"/>
      <c r="BL139" s="205"/>
      <c r="BM139" s="205"/>
      <c r="BN139" s="205"/>
      <c r="BO139" s="205"/>
      <c r="BP139" s="205"/>
      <c r="BQ139" s="205"/>
      <c r="BR139" s="205"/>
      <c r="BS139" s="205"/>
      <c r="BT139" s="205"/>
      <c r="BU139" s="205"/>
      <c r="BV139" s="205"/>
      <c r="BW139" s="205"/>
      <c r="BX139" s="205"/>
      <c r="BY139" s="205"/>
      <c r="BZ139" s="205"/>
      <c r="CA139" s="205"/>
      <c r="CB139" s="205"/>
      <c r="CC139" s="205"/>
      <c r="CD139" s="205"/>
      <c r="CE139" s="205"/>
      <c r="CF139" s="205"/>
      <c r="CG139" s="205"/>
      <c r="CH139" s="205"/>
      <c r="CI139" s="205"/>
      <c r="CJ139" s="205"/>
      <c r="CK139" s="205"/>
      <c r="CL139" s="205"/>
      <c r="CM139" s="205"/>
      <c r="CN139" s="205"/>
      <c r="CO139" s="205"/>
      <c r="CP139" s="205"/>
      <c r="CQ139" s="205"/>
      <c r="CR139" s="205"/>
      <c r="CS139" s="205"/>
      <c r="CT139" s="205"/>
      <c r="CU139" s="205"/>
      <c r="CV139" s="205"/>
      <c r="CW139" s="205"/>
      <c r="CX139" s="205"/>
      <c r="CY139" s="205"/>
      <c r="CZ139" s="205"/>
      <c r="DA139" s="205"/>
      <c r="DB139" s="205"/>
      <c r="DC139" s="205"/>
      <c r="DD139" s="205"/>
      <c r="DE139" s="205"/>
      <c r="DF139" s="205"/>
      <c r="DG139" s="205"/>
      <c r="DH139" s="205"/>
      <c r="DI139" s="205"/>
      <c r="DJ139" s="205"/>
      <c r="DK139" s="205"/>
      <c r="DL139" s="205"/>
      <c r="DM139" s="205"/>
      <c r="DN139" s="205"/>
      <c r="DO139" s="205"/>
      <c r="DP139" s="205"/>
      <c r="DQ139" s="205"/>
      <c r="DR139" s="205"/>
      <c r="DS139" s="205"/>
      <c r="DT139" s="205"/>
      <c r="DU139" s="205"/>
      <c r="DV139" s="205"/>
      <c r="DW139" s="205"/>
      <c r="DX139" s="205"/>
      <c r="DY139" s="205"/>
      <c r="DZ139" s="205"/>
      <c r="EA139" s="205"/>
      <c r="EB139" s="205"/>
      <c r="EC139" s="205"/>
      <c r="ED139" s="205"/>
      <c r="EE139" s="205"/>
      <c r="EF139" s="205"/>
      <c r="EG139" s="205"/>
      <c r="EH139" s="205"/>
      <c r="EI139" s="205"/>
      <c r="EJ139" s="205"/>
      <c r="EK139" s="205"/>
      <c r="EL139" s="205"/>
      <c r="EM139" s="205"/>
      <c r="EN139" s="205"/>
      <c r="EO139" s="205"/>
      <c r="EP139" s="205"/>
      <c r="EQ139" s="205"/>
      <c r="ER139" s="205"/>
      <c r="ES139" s="205"/>
      <c r="ET139" s="205"/>
      <c r="EU139" s="205"/>
      <c r="EV139" s="205"/>
      <c r="EW139" s="205"/>
      <c r="EX139" s="205"/>
      <c r="EY139" s="205"/>
      <c r="EZ139" s="205"/>
      <c r="FA139" s="205"/>
      <c r="FB139" s="205"/>
      <c r="FC139" s="205"/>
      <c r="FD139" s="205"/>
      <c r="FE139" s="205"/>
      <c r="FF139" s="205"/>
      <c r="FG139" s="205"/>
      <c r="FH139" s="205"/>
      <c r="FI139" s="205"/>
      <c r="FJ139" s="205"/>
      <c r="FK139" s="205"/>
      <c r="FL139" s="205"/>
      <c r="FM139" s="205"/>
      <c r="FN139" s="205"/>
      <c r="FO139" s="205"/>
      <c r="FP139" s="205"/>
      <c r="FQ139" s="205"/>
      <c r="FR139" s="205"/>
      <c r="FS139" s="205"/>
      <c r="FT139" s="205"/>
      <c r="FU139" s="205"/>
      <c r="FV139" s="205"/>
      <c r="FW139" s="205"/>
      <c r="FX139" s="205"/>
      <c r="FY139" s="205"/>
      <c r="FZ139" s="205"/>
      <c r="GA139" s="205"/>
      <c r="GB139" s="205"/>
      <c r="GC139" s="205"/>
      <c r="GD139" s="205"/>
      <c r="GE139" s="205"/>
      <c r="GF139" s="205"/>
      <c r="GG139" s="205"/>
      <c r="GH139" s="205"/>
      <c r="GI139" s="205"/>
      <c r="GJ139" s="205"/>
      <c r="GK139" s="205"/>
      <c r="GL139" s="205"/>
      <c r="GM139" s="205"/>
      <c r="GN139" s="205"/>
      <c r="GO139" s="205"/>
      <c r="GP139" s="205"/>
      <c r="GQ139" s="205"/>
      <c r="GR139" s="205"/>
      <c r="GS139" s="205"/>
      <c r="GT139" s="205"/>
      <c r="GU139" s="205"/>
      <c r="GV139" s="205"/>
      <c r="GW139" s="205"/>
      <c r="GX139" s="205"/>
      <c r="GY139" s="205"/>
      <c r="GZ139" s="205"/>
      <c r="HA139" s="205"/>
      <c r="HB139" s="205"/>
      <c r="HC139" s="205"/>
      <c r="HD139" s="205"/>
      <c r="HE139" s="205"/>
      <c r="HF139" s="205"/>
      <c r="HG139" s="205"/>
      <c r="HH139" s="205"/>
      <c r="HI139" s="205"/>
      <c r="HJ139" s="205"/>
      <c r="HK139" s="205"/>
      <c r="HL139" s="205"/>
      <c r="HM139" s="205"/>
      <c r="HN139" s="205"/>
      <c r="HO139" s="205"/>
      <c r="HP139" s="205"/>
      <c r="HQ139" s="205"/>
      <c r="HR139" s="205"/>
      <c r="HS139" s="205"/>
      <c r="HT139" s="205"/>
      <c r="HU139" s="205"/>
      <c r="HV139" s="205"/>
      <c r="HW139" s="205"/>
      <c r="HX139" s="205"/>
      <c r="HY139" s="205"/>
      <c r="HZ139" s="205"/>
      <c r="IA139" s="205"/>
      <c r="IB139" s="205"/>
      <c r="IC139" s="205"/>
      <c r="ID139" s="205"/>
      <c r="IE139" s="205"/>
      <c r="IF139" s="205"/>
      <c r="IG139" s="205"/>
      <c r="IH139" s="205"/>
      <c r="II139" s="205"/>
      <c r="IJ139" s="205"/>
      <c r="IK139" s="205"/>
      <c r="IL139" s="205"/>
      <c r="IM139" s="205"/>
      <c r="IN139" s="205"/>
      <c r="IO139" s="205"/>
      <c r="IP139" s="205"/>
      <c r="IQ139" s="205"/>
      <c r="IR139" s="205"/>
      <c r="IS139" s="205"/>
      <c r="IT139" s="205"/>
      <c r="IU139" s="205"/>
      <c r="IV139" s="205"/>
      <c r="IW139" s="205"/>
      <c r="IX139" s="205"/>
    </row>
    <row r="140" spans="1:258" s="203" customFormat="1" x14ac:dyDescent="0.2">
      <c r="A140" s="669"/>
      <c r="B140" s="670"/>
      <c r="C140" s="1358"/>
      <c r="D140" s="672"/>
      <c r="E140" s="1359"/>
      <c r="F140" s="1359" t="s">
        <v>1652</v>
      </c>
      <c r="G140" s="1360"/>
      <c r="H140" s="1361"/>
      <c r="I140" s="1362"/>
      <c r="J140" s="1362"/>
      <c r="K140" s="1362"/>
      <c r="L140" s="1362"/>
      <c r="M140" s="1362"/>
      <c r="N140" s="1362"/>
      <c r="O140" s="1362"/>
      <c r="P140" s="1362"/>
      <c r="Q140" s="1362"/>
      <c r="R140" s="1363"/>
      <c r="S140" s="1364"/>
      <c r="T140" s="722"/>
      <c r="U140" s="205"/>
      <c r="V140" s="685"/>
      <c r="W140" s="205"/>
      <c r="X140" s="205"/>
      <c r="Y140" s="205"/>
      <c r="Z140" s="205"/>
      <c r="AA140" s="205"/>
      <c r="AB140" s="205"/>
      <c r="AC140" s="205"/>
      <c r="AD140" s="205"/>
      <c r="AE140" s="205"/>
      <c r="AF140" s="205"/>
      <c r="AG140" s="205"/>
      <c r="AH140" s="205"/>
      <c r="AI140" s="205"/>
      <c r="AJ140" s="205"/>
      <c r="AK140" s="205"/>
      <c r="AL140" s="205"/>
      <c r="AM140" s="205"/>
      <c r="AN140" s="205"/>
      <c r="AO140" s="205"/>
      <c r="AP140" s="205"/>
      <c r="AQ140" s="205"/>
      <c r="AR140" s="205"/>
      <c r="AS140" s="205"/>
      <c r="AT140" s="205"/>
      <c r="AU140" s="205"/>
      <c r="AV140" s="205"/>
      <c r="AW140" s="205"/>
      <c r="AX140" s="205"/>
      <c r="AY140" s="205"/>
      <c r="AZ140" s="205"/>
      <c r="BA140" s="205"/>
      <c r="BB140" s="205"/>
      <c r="BC140" s="205"/>
      <c r="BD140" s="205"/>
      <c r="BE140" s="205"/>
      <c r="BF140" s="205"/>
      <c r="BG140" s="205"/>
      <c r="BH140" s="205"/>
      <c r="BI140" s="205"/>
      <c r="BJ140" s="205"/>
      <c r="BK140" s="205"/>
      <c r="BL140" s="205"/>
      <c r="BM140" s="205"/>
      <c r="BN140" s="205"/>
      <c r="BO140" s="205"/>
      <c r="BP140" s="205"/>
      <c r="BQ140" s="205"/>
      <c r="BR140" s="205"/>
      <c r="BS140" s="205"/>
      <c r="BT140" s="205"/>
      <c r="BU140" s="205"/>
      <c r="BV140" s="205"/>
      <c r="BW140" s="205"/>
      <c r="BX140" s="205"/>
      <c r="BY140" s="205"/>
      <c r="BZ140" s="205"/>
      <c r="CA140" s="205"/>
      <c r="CB140" s="205"/>
      <c r="CC140" s="205"/>
      <c r="CD140" s="205"/>
      <c r="CE140" s="205"/>
      <c r="CF140" s="205"/>
      <c r="CG140" s="205"/>
      <c r="CH140" s="205"/>
      <c r="CI140" s="205"/>
      <c r="CJ140" s="205"/>
      <c r="CK140" s="205"/>
      <c r="CL140" s="205"/>
      <c r="CM140" s="205"/>
      <c r="CN140" s="205"/>
      <c r="CO140" s="205"/>
      <c r="CP140" s="205"/>
      <c r="CQ140" s="205"/>
      <c r="CR140" s="205"/>
      <c r="CS140" s="205"/>
      <c r="CT140" s="205"/>
      <c r="CU140" s="205"/>
      <c r="CV140" s="205"/>
      <c r="CW140" s="205"/>
      <c r="CX140" s="205"/>
      <c r="CY140" s="205"/>
      <c r="CZ140" s="205"/>
      <c r="DA140" s="205"/>
      <c r="DB140" s="205"/>
      <c r="DC140" s="205"/>
      <c r="DD140" s="205"/>
      <c r="DE140" s="205"/>
      <c r="DF140" s="205"/>
      <c r="DG140" s="205"/>
      <c r="DH140" s="205"/>
      <c r="DI140" s="205"/>
      <c r="DJ140" s="205"/>
      <c r="DK140" s="205"/>
      <c r="DL140" s="205"/>
      <c r="DM140" s="205"/>
      <c r="DN140" s="205"/>
      <c r="DO140" s="205"/>
      <c r="DP140" s="205"/>
      <c r="DQ140" s="205"/>
      <c r="DR140" s="205"/>
      <c r="DS140" s="205"/>
      <c r="DT140" s="205"/>
      <c r="DU140" s="205"/>
      <c r="DV140" s="205"/>
      <c r="DW140" s="205"/>
      <c r="DX140" s="205"/>
      <c r="DY140" s="205"/>
      <c r="DZ140" s="205"/>
      <c r="EA140" s="205"/>
      <c r="EB140" s="205"/>
      <c r="EC140" s="205"/>
      <c r="ED140" s="205"/>
      <c r="EE140" s="205"/>
      <c r="EF140" s="205"/>
      <c r="EG140" s="205"/>
      <c r="EH140" s="205"/>
      <c r="EI140" s="205"/>
      <c r="EJ140" s="205"/>
      <c r="EK140" s="205"/>
      <c r="EL140" s="205"/>
      <c r="EM140" s="205"/>
      <c r="EN140" s="205"/>
      <c r="EO140" s="205"/>
      <c r="EP140" s="205"/>
      <c r="EQ140" s="205"/>
      <c r="ER140" s="205"/>
      <c r="ES140" s="205"/>
      <c r="ET140" s="205"/>
      <c r="EU140" s="205"/>
      <c r="EV140" s="205"/>
      <c r="EW140" s="205"/>
      <c r="EX140" s="205"/>
      <c r="EY140" s="205"/>
      <c r="EZ140" s="205"/>
      <c r="FA140" s="205"/>
      <c r="FB140" s="205"/>
      <c r="FC140" s="205"/>
      <c r="FD140" s="205"/>
      <c r="FE140" s="205"/>
      <c r="FF140" s="205"/>
      <c r="FG140" s="205"/>
      <c r="FH140" s="205"/>
      <c r="FI140" s="205"/>
      <c r="FJ140" s="205"/>
      <c r="FK140" s="205"/>
      <c r="FL140" s="205"/>
      <c r="FM140" s="205"/>
      <c r="FN140" s="205"/>
      <c r="FO140" s="205"/>
      <c r="FP140" s="205"/>
      <c r="FQ140" s="205"/>
      <c r="FR140" s="205"/>
      <c r="FS140" s="205"/>
      <c r="FT140" s="205"/>
      <c r="FU140" s="205"/>
      <c r="FV140" s="205"/>
      <c r="FW140" s="205"/>
      <c r="FX140" s="205"/>
      <c r="FY140" s="205"/>
      <c r="FZ140" s="205"/>
      <c r="GA140" s="205"/>
      <c r="GB140" s="205"/>
      <c r="GC140" s="205"/>
      <c r="GD140" s="205"/>
      <c r="GE140" s="205"/>
      <c r="GF140" s="205"/>
      <c r="GG140" s="205"/>
      <c r="GH140" s="205"/>
      <c r="GI140" s="205"/>
      <c r="GJ140" s="205"/>
      <c r="GK140" s="205"/>
      <c r="GL140" s="205"/>
      <c r="GM140" s="205"/>
      <c r="GN140" s="205"/>
      <c r="GO140" s="205"/>
      <c r="GP140" s="205"/>
      <c r="GQ140" s="205"/>
      <c r="GR140" s="205"/>
      <c r="GS140" s="205"/>
      <c r="GT140" s="205"/>
      <c r="GU140" s="205"/>
      <c r="GV140" s="205"/>
      <c r="GW140" s="205"/>
      <c r="GX140" s="205"/>
      <c r="GY140" s="205"/>
      <c r="GZ140" s="205"/>
      <c r="HA140" s="205"/>
      <c r="HB140" s="205"/>
      <c r="HC140" s="205"/>
      <c r="HD140" s="205"/>
      <c r="HE140" s="205"/>
      <c r="HF140" s="205"/>
      <c r="HG140" s="205"/>
      <c r="HH140" s="205"/>
      <c r="HI140" s="205"/>
      <c r="HJ140" s="205"/>
      <c r="HK140" s="205"/>
      <c r="HL140" s="205"/>
      <c r="HM140" s="205"/>
      <c r="HN140" s="205"/>
      <c r="HO140" s="205"/>
      <c r="HP140" s="205"/>
      <c r="HQ140" s="205"/>
      <c r="HR140" s="205"/>
      <c r="HS140" s="205"/>
      <c r="HT140" s="205"/>
      <c r="HU140" s="205"/>
      <c r="HV140" s="205"/>
      <c r="HW140" s="205"/>
      <c r="HX140" s="205"/>
      <c r="HY140" s="205"/>
      <c r="HZ140" s="205"/>
      <c r="IA140" s="205"/>
      <c r="IB140" s="205"/>
      <c r="IC140" s="205"/>
      <c r="ID140" s="205"/>
      <c r="IE140" s="205"/>
      <c r="IF140" s="205"/>
      <c r="IG140" s="205"/>
      <c r="IH140" s="205"/>
      <c r="II140" s="205"/>
      <c r="IJ140" s="205"/>
      <c r="IK140" s="205"/>
      <c r="IL140" s="205"/>
      <c r="IM140" s="205"/>
      <c r="IN140" s="205"/>
      <c r="IO140" s="205"/>
      <c r="IP140" s="205"/>
      <c r="IQ140" s="205"/>
      <c r="IR140" s="205"/>
      <c r="IS140" s="205"/>
      <c r="IT140" s="205"/>
      <c r="IU140" s="205"/>
      <c r="IV140" s="205"/>
      <c r="IW140" s="205"/>
      <c r="IX140" s="205"/>
    </row>
    <row r="141" spans="1:258" s="203" customFormat="1" x14ac:dyDescent="0.2">
      <c r="A141" s="669"/>
      <c r="B141" s="670"/>
      <c r="C141" s="1358"/>
      <c r="D141" s="672"/>
      <c r="E141" s="1359"/>
      <c r="F141" s="1359"/>
      <c r="G141" s="1360" t="str">
        <f>G137</f>
        <v>FP1</v>
      </c>
      <c r="H141" s="1361">
        <v>0.2</v>
      </c>
      <c r="I141" s="1362" t="s">
        <v>424</v>
      </c>
      <c r="J141" s="1362">
        <v>0.2</v>
      </c>
      <c r="K141" s="1362" t="s">
        <v>424</v>
      </c>
      <c r="L141" s="1362">
        <v>1.5</v>
      </c>
      <c r="M141" s="1362" t="s">
        <v>424</v>
      </c>
      <c r="N141" s="1362">
        <f>N137</f>
        <v>9</v>
      </c>
      <c r="O141" s="1362"/>
      <c r="P141" s="1362"/>
      <c r="Q141" s="1362" t="s">
        <v>696</v>
      </c>
      <c r="R141" s="1363">
        <f t="shared" ref="R141:R143" si="45">H141*J141*L141*N141</f>
        <v>0.54000000000000015</v>
      </c>
      <c r="S141" s="1364"/>
      <c r="T141" s="722"/>
      <c r="U141" s="205"/>
      <c r="V141" s="685"/>
      <c r="W141" s="205"/>
      <c r="X141" s="205"/>
      <c r="Y141" s="205"/>
      <c r="Z141" s="205"/>
      <c r="AA141" s="205"/>
      <c r="AB141" s="205"/>
      <c r="AC141" s="205"/>
      <c r="AD141" s="205"/>
      <c r="AE141" s="205"/>
      <c r="AF141" s="205"/>
      <c r="AG141" s="205"/>
      <c r="AH141" s="205"/>
      <c r="AI141" s="205"/>
      <c r="AJ141" s="205"/>
      <c r="AK141" s="205"/>
      <c r="AL141" s="205"/>
      <c r="AM141" s="205"/>
      <c r="AN141" s="205"/>
      <c r="AO141" s="205"/>
      <c r="AP141" s="205"/>
      <c r="AQ141" s="205"/>
      <c r="AR141" s="205"/>
      <c r="AS141" s="205"/>
      <c r="AT141" s="205"/>
      <c r="AU141" s="205"/>
      <c r="AV141" s="205"/>
      <c r="AW141" s="205"/>
      <c r="AX141" s="205"/>
      <c r="AY141" s="205"/>
      <c r="AZ141" s="205"/>
      <c r="BA141" s="205"/>
      <c r="BB141" s="205"/>
      <c r="BC141" s="205"/>
      <c r="BD141" s="205"/>
      <c r="BE141" s="205"/>
      <c r="BF141" s="205"/>
      <c r="BG141" s="205"/>
      <c r="BH141" s="205"/>
      <c r="BI141" s="205"/>
      <c r="BJ141" s="205"/>
      <c r="BK141" s="205"/>
      <c r="BL141" s="205"/>
      <c r="BM141" s="205"/>
      <c r="BN141" s="205"/>
      <c r="BO141" s="205"/>
      <c r="BP141" s="205"/>
      <c r="BQ141" s="205"/>
      <c r="BR141" s="205"/>
      <c r="BS141" s="205"/>
      <c r="BT141" s="205"/>
      <c r="BU141" s="205"/>
      <c r="BV141" s="205"/>
      <c r="BW141" s="205"/>
      <c r="BX141" s="205"/>
      <c r="BY141" s="205"/>
      <c r="BZ141" s="205"/>
      <c r="CA141" s="205"/>
      <c r="CB141" s="205"/>
      <c r="CC141" s="205"/>
      <c r="CD141" s="205"/>
      <c r="CE141" s="205"/>
      <c r="CF141" s="205"/>
      <c r="CG141" s="205"/>
      <c r="CH141" s="205"/>
      <c r="CI141" s="205"/>
      <c r="CJ141" s="205"/>
      <c r="CK141" s="205"/>
      <c r="CL141" s="205"/>
      <c r="CM141" s="205"/>
      <c r="CN141" s="205"/>
      <c r="CO141" s="205"/>
      <c r="CP141" s="205"/>
      <c r="CQ141" s="205"/>
      <c r="CR141" s="205"/>
      <c r="CS141" s="205"/>
      <c r="CT141" s="205"/>
      <c r="CU141" s="205"/>
      <c r="CV141" s="205"/>
      <c r="CW141" s="205"/>
      <c r="CX141" s="205"/>
      <c r="CY141" s="205"/>
      <c r="CZ141" s="205"/>
      <c r="DA141" s="205"/>
      <c r="DB141" s="205"/>
      <c r="DC141" s="205"/>
      <c r="DD141" s="205"/>
      <c r="DE141" s="205"/>
      <c r="DF141" s="205"/>
      <c r="DG141" s="205"/>
      <c r="DH141" s="205"/>
      <c r="DI141" s="205"/>
      <c r="DJ141" s="205"/>
      <c r="DK141" s="205"/>
      <c r="DL141" s="205"/>
      <c r="DM141" s="205"/>
      <c r="DN141" s="205"/>
      <c r="DO141" s="205"/>
      <c r="DP141" s="205"/>
      <c r="DQ141" s="205"/>
      <c r="DR141" s="205"/>
      <c r="DS141" s="205"/>
      <c r="DT141" s="205"/>
      <c r="DU141" s="205"/>
      <c r="DV141" s="205"/>
      <c r="DW141" s="205"/>
      <c r="DX141" s="205"/>
      <c r="DY141" s="205"/>
      <c r="DZ141" s="205"/>
      <c r="EA141" s="205"/>
      <c r="EB141" s="205"/>
      <c r="EC141" s="205"/>
      <c r="ED141" s="205"/>
      <c r="EE141" s="205"/>
      <c r="EF141" s="205"/>
      <c r="EG141" s="205"/>
      <c r="EH141" s="205"/>
      <c r="EI141" s="205"/>
      <c r="EJ141" s="205"/>
      <c r="EK141" s="205"/>
      <c r="EL141" s="205"/>
      <c r="EM141" s="205"/>
      <c r="EN141" s="205"/>
      <c r="EO141" s="205"/>
      <c r="EP141" s="205"/>
      <c r="EQ141" s="205"/>
      <c r="ER141" s="205"/>
      <c r="ES141" s="205"/>
      <c r="ET141" s="205"/>
      <c r="EU141" s="205"/>
      <c r="EV141" s="205"/>
      <c r="EW141" s="205"/>
      <c r="EX141" s="205"/>
      <c r="EY141" s="205"/>
      <c r="EZ141" s="205"/>
      <c r="FA141" s="205"/>
      <c r="FB141" s="205"/>
      <c r="FC141" s="205"/>
      <c r="FD141" s="205"/>
      <c r="FE141" s="205"/>
      <c r="FF141" s="205"/>
      <c r="FG141" s="205"/>
      <c r="FH141" s="205"/>
      <c r="FI141" s="205"/>
      <c r="FJ141" s="205"/>
      <c r="FK141" s="205"/>
      <c r="FL141" s="205"/>
      <c r="FM141" s="205"/>
      <c r="FN141" s="205"/>
      <c r="FO141" s="205"/>
      <c r="FP141" s="205"/>
      <c r="FQ141" s="205"/>
      <c r="FR141" s="205"/>
      <c r="FS141" s="205"/>
      <c r="FT141" s="205"/>
      <c r="FU141" s="205"/>
      <c r="FV141" s="205"/>
      <c r="FW141" s="205"/>
      <c r="FX141" s="205"/>
      <c r="FY141" s="205"/>
      <c r="FZ141" s="205"/>
      <c r="GA141" s="205"/>
      <c r="GB141" s="205"/>
      <c r="GC141" s="205"/>
      <c r="GD141" s="205"/>
      <c r="GE141" s="205"/>
      <c r="GF141" s="205"/>
      <c r="GG141" s="205"/>
      <c r="GH141" s="205"/>
      <c r="GI141" s="205"/>
      <c r="GJ141" s="205"/>
      <c r="GK141" s="205"/>
      <c r="GL141" s="205"/>
      <c r="GM141" s="205"/>
      <c r="GN141" s="205"/>
      <c r="GO141" s="205"/>
      <c r="GP141" s="205"/>
      <c r="GQ141" s="205"/>
      <c r="GR141" s="205"/>
      <c r="GS141" s="205"/>
      <c r="GT141" s="205"/>
      <c r="GU141" s="205"/>
      <c r="GV141" s="205"/>
      <c r="GW141" s="205"/>
      <c r="GX141" s="205"/>
      <c r="GY141" s="205"/>
      <c r="GZ141" s="205"/>
      <c r="HA141" s="205"/>
      <c r="HB141" s="205"/>
      <c r="HC141" s="205"/>
      <c r="HD141" s="205"/>
      <c r="HE141" s="205"/>
      <c r="HF141" s="205"/>
      <c r="HG141" s="205"/>
      <c r="HH141" s="205"/>
      <c r="HI141" s="205"/>
      <c r="HJ141" s="205"/>
      <c r="HK141" s="205"/>
      <c r="HL141" s="205"/>
      <c r="HM141" s="205"/>
      <c r="HN141" s="205"/>
      <c r="HO141" s="205"/>
      <c r="HP141" s="205"/>
      <c r="HQ141" s="205"/>
      <c r="HR141" s="205"/>
      <c r="HS141" s="205"/>
      <c r="HT141" s="205"/>
      <c r="HU141" s="205"/>
      <c r="HV141" s="205"/>
      <c r="HW141" s="205"/>
      <c r="HX141" s="205"/>
      <c r="HY141" s="205"/>
      <c r="HZ141" s="205"/>
      <c r="IA141" s="205"/>
      <c r="IB141" s="205"/>
      <c r="IC141" s="205"/>
      <c r="ID141" s="205"/>
      <c r="IE141" s="205"/>
      <c r="IF141" s="205"/>
      <c r="IG141" s="205"/>
      <c r="IH141" s="205"/>
      <c r="II141" s="205"/>
      <c r="IJ141" s="205"/>
      <c r="IK141" s="205"/>
      <c r="IL141" s="205"/>
      <c r="IM141" s="205"/>
      <c r="IN141" s="205"/>
      <c r="IO141" s="205"/>
      <c r="IP141" s="205"/>
      <c r="IQ141" s="205"/>
      <c r="IR141" s="205"/>
      <c r="IS141" s="205"/>
      <c r="IT141" s="205"/>
      <c r="IU141" s="205"/>
      <c r="IV141" s="205"/>
      <c r="IW141" s="205"/>
      <c r="IX141" s="205"/>
    </row>
    <row r="142" spans="1:258" s="203" customFormat="1" x14ac:dyDescent="0.2">
      <c r="A142" s="669"/>
      <c r="B142" s="670"/>
      <c r="C142" s="1358"/>
      <c r="D142" s="672"/>
      <c r="E142" s="1359"/>
      <c r="F142" s="1359"/>
      <c r="G142" s="1360" t="str">
        <f t="shared" ref="G142:G143" si="46">G138</f>
        <v>FP2</v>
      </c>
      <c r="H142" s="1361">
        <v>0.2</v>
      </c>
      <c r="I142" s="1362" t="s">
        <v>424</v>
      </c>
      <c r="J142" s="1362">
        <v>0.2</v>
      </c>
      <c r="K142" s="1362" t="s">
        <v>424</v>
      </c>
      <c r="L142" s="1362">
        <v>1.5</v>
      </c>
      <c r="M142" s="1362" t="s">
        <v>424</v>
      </c>
      <c r="N142" s="1362">
        <f t="shared" ref="N142:N143" si="47">N138</f>
        <v>10</v>
      </c>
      <c r="O142" s="1362"/>
      <c r="P142" s="1362"/>
      <c r="Q142" s="1362" t="s">
        <v>696</v>
      </c>
      <c r="R142" s="1363">
        <f t="shared" si="45"/>
        <v>0.60000000000000009</v>
      </c>
      <c r="S142" s="1364"/>
      <c r="T142" s="722"/>
      <c r="U142" s="205"/>
      <c r="V142" s="685"/>
      <c r="W142" s="205"/>
      <c r="X142" s="205"/>
      <c r="Y142" s="205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205"/>
      <c r="BN142" s="205"/>
      <c r="BO142" s="205"/>
      <c r="BP142" s="205"/>
      <c r="BQ142" s="205"/>
      <c r="BR142" s="205"/>
      <c r="BS142" s="205"/>
      <c r="BT142" s="205"/>
      <c r="BU142" s="205"/>
      <c r="BV142" s="205"/>
      <c r="BW142" s="205"/>
      <c r="BX142" s="205"/>
      <c r="BY142" s="205"/>
      <c r="BZ142" s="205"/>
      <c r="CA142" s="205"/>
      <c r="CB142" s="205"/>
      <c r="CC142" s="205"/>
      <c r="CD142" s="205"/>
      <c r="CE142" s="205"/>
      <c r="CF142" s="205"/>
      <c r="CG142" s="205"/>
      <c r="CH142" s="205"/>
      <c r="CI142" s="205"/>
      <c r="CJ142" s="205"/>
      <c r="CK142" s="205"/>
      <c r="CL142" s="205"/>
      <c r="CM142" s="205"/>
      <c r="CN142" s="205"/>
      <c r="CO142" s="205"/>
      <c r="CP142" s="205"/>
      <c r="CQ142" s="205"/>
      <c r="CR142" s="205"/>
      <c r="CS142" s="205"/>
      <c r="CT142" s="205"/>
      <c r="CU142" s="205"/>
      <c r="CV142" s="205"/>
      <c r="CW142" s="205"/>
      <c r="CX142" s="205"/>
      <c r="CY142" s="205"/>
      <c r="CZ142" s="205"/>
      <c r="DA142" s="205"/>
      <c r="DB142" s="205"/>
      <c r="DC142" s="205"/>
      <c r="DD142" s="205"/>
      <c r="DE142" s="205"/>
      <c r="DF142" s="205"/>
      <c r="DG142" s="205"/>
      <c r="DH142" s="205"/>
      <c r="DI142" s="205"/>
      <c r="DJ142" s="205"/>
      <c r="DK142" s="205"/>
      <c r="DL142" s="205"/>
      <c r="DM142" s="205"/>
      <c r="DN142" s="205"/>
      <c r="DO142" s="205"/>
      <c r="DP142" s="205"/>
      <c r="DQ142" s="205"/>
      <c r="DR142" s="205"/>
      <c r="DS142" s="205"/>
      <c r="DT142" s="205"/>
      <c r="DU142" s="205"/>
      <c r="DV142" s="205"/>
      <c r="DW142" s="205"/>
      <c r="DX142" s="205"/>
      <c r="DY142" s="205"/>
      <c r="DZ142" s="205"/>
      <c r="EA142" s="205"/>
      <c r="EB142" s="205"/>
      <c r="EC142" s="205"/>
      <c r="ED142" s="205"/>
      <c r="EE142" s="205"/>
      <c r="EF142" s="205"/>
      <c r="EG142" s="205"/>
      <c r="EH142" s="205"/>
      <c r="EI142" s="205"/>
      <c r="EJ142" s="205"/>
      <c r="EK142" s="205"/>
      <c r="EL142" s="205"/>
      <c r="EM142" s="205"/>
      <c r="EN142" s="205"/>
      <c r="EO142" s="205"/>
      <c r="EP142" s="205"/>
      <c r="EQ142" s="205"/>
      <c r="ER142" s="205"/>
      <c r="ES142" s="205"/>
      <c r="ET142" s="205"/>
      <c r="EU142" s="205"/>
      <c r="EV142" s="205"/>
      <c r="EW142" s="205"/>
      <c r="EX142" s="205"/>
      <c r="EY142" s="205"/>
      <c r="EZ142" s="205"/>
      <c r="FA142" s="205"/>
      <c r="FB142" s="205"/>
      <c r="FC142" s="205"/>
      <c r="FD142" s="205"/>
      <c r="FE142" s="205"/>
      <c r="FF142" s="205"/>
      <c r="FG142" s="205"/>
      <c r="FH142" s="205"/>
      <c r="FI142" s="205"/>
      <c r="FJ142" s="205"/>
      <c r="FK142" s="205"/>
      <c r="FL142" s="205"/>
      <c r="FM142" s="205"/>
      <c r="FN142" s="205"/>
      <c r="FO142" s="205"/>
      <c r="FP142" s="205"/>
      <c r="FQ142" s="205"/>
      <c r="FR142" s="205"/>
      <c r="FS142" s="205"/>
      <c r="FT142" s="205"/>
      <c r="FU142" s="205"/>
      <c r="FV142" s="205"/>
      <c r="FW142" s="205"/>
      <c r="FX142" s="205"/>
      <c r="FY142" s="205"/>
      <c r="FZ142" s="205"/>
      <c r="GA142" s="205"/>
      <c r="GB142" s="205"/>
      <c r="GC142" s="205"/>
      <c r="GD142" s="205"/>
      <c r="GE142" s="205"/>
      <c r="GF142" s="205"/>
      <c r="GG142" s="205"/>
      <c r="GH142" s="205"/>
      <c r="GI142" s="205"/>
      <c r="GJ142" s="205"/>
      <c r="GK142" s="205"/>
      <c r="GL142" s="205"/>
      <c r="GM142" s="205"/>
      <c r="GN142" s="205"/>
      <c r="GO142" s="205"/>
      <c r="GP142" s="205"/>
      <c r="GQ142" s="205"/>
      <c r="GR142" s="205"/>
      <c r="GS142" s="205"/>
      <c r="GT142" s="205"/>
      <c r="GU142" s="205"/>
      <c r="GV142" s="205"/>
      <c r="GW142" s="205"/>
      <c r="GX142" s="205"/>
      <c r="GY142" s="205"/>
      <c r="GZ142" s="205"/>
      <c r="HA142" s="205"/>
      <c r="HB142" s="205"/>
      <c r="HC142" s="205"/>
      <c r="HD142" s="205"/>
      <c r="HE142" s="205"/>
      <c r="HF142" s="205"/>
      <c r="HG142" s="205"/>
      <c r="HH142" s="205"/>
      <c r="HI142" s="205"/>
      <c r="HJ142" s="205"/>
      <c r="HK142" s="205"/>
      <c r="HL142" s="205"/>
      <c r="HM142" s="205"/>
      <c r="HN142" s="205"/>
      <c r="HO142" s="205"/>
      <c r="HP142" s="205"/>
      <c r="HQ142" s="205"/>
      <c r="HR142" s="205"/>
      <c r="HS142" s="205"/>
      <c r="HT142" s="205"/>
      <c r="HU142" s="205"/>
      <c r="HV142" s="205"/>
      <c r="HW142" s="205"/>
      <c r="HX142" s="205"/>
      <c r="HY142" s="205"/>
      <c r="HZ142" s="205"/>
      <c r="IA142" s="205"/>
      <c r="IB142" s="205"/>
      <c r="IC142" s="205"/>
      <c r="ID142" s="205"/>
      <c r="IE142" s="205"/>
      <c r="IF142" s="205"/>
      <c r="IG142" s="205"/>
      <c r="IH142" s="205"/>
      <c r="II142" s="205"/>
      <c r="IJ142" s="205"/>
      <c r="IK142" s="205"/>
      <c r="IL142" s="205"/>
      <c r="IM142" s="205"/>
      <c r="IN142" s="205"/>
      <c r="IO142" s="205"/>
      <c r="IP142" s="205"/>
      <c r="IQ142" s="205"/>
      <c r="IR142" s="205"/>
      <c r="IS142" s="205"/>
      <c r="IT142" s="205"/>
      <c r="IU142" s="205"/>
      <c r="IV142" s="205"/>
      <c r="IW142" s="205"/>
      <c r="IX142" s="205"/>
    </row>
    <row r="143" spans="1:258" s="203" customFormat="1" x14ac:dyDescent="0.2">
      <c r="A143" s="669"/>
      <c r="B143" s="670"/>
      <c r="C143" s="1358"/>
      <c r="D143" s="672"/>
      <c r="E143" s="1359"/>
      <c r="F143" s="1359"/>
      <c r="G143" s="1360" t="str">
        <f t="shared" si="46"/>
        <v>FP3</v>
      </c>
      <c r="H143" s="1361">
        <v>0.12</v>
      </c>
      <c r="I143" s="1362" t="s">
        <v>424</v>
      </c>
      <c r="J143" s="1362">
        <v>0.25</v>
      </c>
      <c r="K143" s="1362" t="s">
        <v>424</v>
      </c>
      <c r="L143" s="1362">
        <v>1.5</v>
      </c>
      <c r="M143" s="1362" t="s">
        <v>424</v>
      </c>
      <c r="N143" s="1362">
        <f t="shared" si="47"/>
        <v>8</v>
      </c>
      <c r="O143" s="1362"/>
      <c r="P143" s="1362"/>
      <c r="Q143" s="1362" t="s">
        <v>696</v>
      </c>
      <c r="R143" s="1363">
        <f t="shared" si="45"/>
        <v>0.36</v>
      </c>
      <c r="S143" s="1364"/>
      <c r="T143" s="722"/>
      <c r="U143" s="205"/>
      <c r="V143" s="685"/>
      <c r="W143" s="205"/>
      <c r="X143" s="205"/>
      <c r="Y143" s="205"/>
      <c r="Z143" s="205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205"/>
      <c r="BN143" s="205"/>
      <c r="BO143" s="205"/>
      <c r="BP143" s="205"/>
      <c r="BQ143" s="205"/>
      <c r="BR143" s="205"/>
      <c r="BS143" s="205"/>
      <c r="BT143" s="205"/>
      <c r="BU143" s="205"/>
      <c r="BV143" s="205"/>
      <c r="BW143" s="205"/>
      <c r="BX143" s="205"/>
      <c r="BY143" s="205"/>
      <c r="BZ143" s="205"/>
      <c r="CA143" s="205"/>
      <c r="CB143" s="205"/>
      <c r="CC143" s="205"/>
      <c r="CD143" s="205"/>
      <c r="CE143" s="205"/>
      <c r="CF143" s="205"/>
      <c r="CG143" s="205"/>
      <c r="CH143" s="205"/>
      <c r="CI143" s="205"/>
      <c r="CJ143" s="205"/>
      <c r="CK143" s="205"/>
      <c r="CL143" s="205"/>
      <c r="CM143" s="205"/>
      <c r="CN143" s="205"/>
      <c r="CO143" s="205"/>
      <c r="CP143" s="205"/>
      <c r="CQ143" s="205"/>
      <c r="CR143" s="205"/>
      <c r="CS143" s="205"/>
      <c r="CT143" s="205"/>
      <c r="CU143" s="205"/>
      <c r="CV143" s="205"/>
      <c r="CW143" s="205"/>
      <c r="CX143" s="205"/>
      <c r="CY143" s="205"/>
      <c r="CZ143" s="205"/>
      <c r="DA143" s="205"/>
      <c r="DB143" s="205"/>
      <c r="DC143" s="205"/>
      <c r="DD143" s="205"/>
      <c r="DE143" s="205"/>
      <c r="DF143" s="205"/>
      <c r="DG143" s="205"/>
      <c r="DH143" s="205"/>
      <c r="DI143" s="205"/>
      <c r="DJ143" s="205"/>
      <c r="DK143" s="205"/>
      <c r="DL143" s="205"/>
      <c r="DM143" s="205"/>
      <c r="DN143" s="205"/>
      <c r="DO143" s="205"/>
      <c r="DP143" s="205"/>
      <c r="DQ143" s="205"/>
      <c r="DR143" s="205"/>
      <c r="DS143" s="205"/>
      <c r="DT143" s="205"/>
      <c r="DU143" s="205"/>
      <c r="DV143" s="205"/>
      <c r="DW143" s="205"/>
      <c r="DX143" s="205"/>
      <c r="DY143" s="205"/>
      <c r="DZ143" s="205"/>
      <c r="EA143" s="205"/>
      <c r="EB143" s="205"/>
      <c r="EC143" s="205"/>
      <c r="ED143" s="205"/>
      <c r="EE143" s="205"/>
      <c r="EF143" s="205"/>
      <c r="EG143" s="205"/>
      <c r="EH143" s="205"/>
      <c r="EI143" s="205"/>
      <c r="EJ143" s="205"/>
      <c r="EK143" s="205"/>
      <c r="EL143" s="205"/>
      <c r="EM143" s="205"/>
      <c r="EN143" s="205"/>
      <c r="EO143" s="205"/>
      <c r="EP143" s="205"/>
      <c r="EQ143" s="205"/>
      <c r="ER143" s="205"/>
      <c r="ES143" s="205"/>
      <c r="ET143" s="205"/>
      <c r="EU143" s="205"/>
      <c r="EV143" s="205"/>
      <c r="EW143" s="205"/>
      <c r="EX143" s="205"/>
      <c r="EY143" s="205"/>
      <c r="EZ143" s="205"/>
      <c r="FA143" s="205"/>
      <c r="FB143" s="205"/>
      <c r="FC143" s="205"/>
      <c r="FD143" s="205"/>
      <c r="FE143" s="205"/>
      <c r="FF143" s="205"/>
      <c r="FG143" s="205"/>
      <c r="FH143" s="205"/>
      <c r="FI143" s="205"/>
      <c r="FJ143" s="205"/>
      <c r="FK143" s="205"/>
      <c r="FL143" s="205"/>
      <c r="FM143" s="205"/>
      <c r="FN143" s="205"/>
      <c r="FO143" s="205"/>
      <c r="FP143" s="205"/>
      <c r="FQ143" s="205"/>
      <c r="FR143" s="205"/>
      <c r="FS143" s="205"/>
      <c r="FT143" s="205"/>
      <c r="FU143" s="205"/>
      <c r="FV143" s="205"/>
      <c r="FW143" s="205"/>
      <c r="FX143" s="205"/>
      <c r="FY143" s="205"/>
      <c r="FZ143" s="205"/>
      <c r="GA143" s="205"/>
      <c r="GB143" s="205"/>
      <c r="GC143" s="205"/>
      <c r="GD143" s="205"/>
      <c r="GE143" s="205"/>
      <c r="GF143" s="205"/>
      <c r="GG143" s="205"/>
      <c r="GH143" s="205"/>
      <c r="GI143" s="205"/>
      <c r="GJ143" s="205"/>
      <c r="GK143" s="205"/>
      <c r="GL143" s="205"/>
      <c r="GM143" s="205"/>
      <c r="GN143" s="205"/>
      <c r="GO143" s="205"/>
      <c r="GP143" s="205"/>
      <c r="GQ143" s="205"/>
      <c r="GR143" s="205"/>
      <c r="GS143" s="205"/>
      <c r="GT143" s="205"/>
      <c r="GU143" s="205"/>
      <c r="GV143" s="205"/>
      <c r="GW143" s="205"/>
      <c r="GX143" s="205"/>
      <c r="GY143" s="205"/>
      <c r="GZ143" s="205"/>
      <c r="HA143" s="205"/>
      <c r="HB143" s="205"/>
      <c r="HC143" s="205"/>
      <c r="HD143" s="205"/>
      <c r="HE143" s="205"/>
      <c r="HF143" s="205"/>
      <c r="HG143" s="205"/>
      <c r="HH143" s="205"/>
      <c r="HI143" s="205"/>
      <c r="HJ143" s="205"/>
      <c r="HK143" s="205"/>
      <c r="HL143" s="205"/>
      <c r="HM143" s="205"/>
      <c r="HN143" s="205"/>
      <c r="HO143" s="205"/>
      <c r="HP143" s="205"/>
      <c r="HQ143" s="205"/>
      <c r="HR143" s="205"/>
      <c r="HS143" s="205"/>
      <c r="HT143" s="205"/>
      <c r="HU143" s="205"/>
      <c r="HV143" s="205"/>
      <c r="HW143" s="205"/>
      <c r="HX143" s="205"/>
      <c r="HY143" s="205"/>
      <c r="HZ143" s="205"/>
      <c r="IA143" s="205"/>
      <c r="IB143" s="205"/>
      <c r="IC143" s="205"/>
      <c r="ID143" s="205"/>
      <c r="IE143" s="205"/>
      <c r="IF143" s="205"/>
      <c r="IG143" s="205"/>
      <c r="IH143" s="205"/>
      <c r="II143" s="205"/>
      <c r="IJ143" s="205"/>
      <c r="IK143" s="205"/>
      <c r="IL143" s="205"/>
      <c r="IM143" s="205"/>
      <c r="IN143" s="205"/>
      <c r="IO143" s="205"/>
      <c r="IP143" s="205"/>
      <c r="IQ143" s="205"/>
      <c r="IR143" s="205"/>
      <c r="IS143" s="205"/>
      <c r="IT143" s="205"/>
      <c r="IU143" s="205"/>
      <c r="IV143" s="205"/>
      <c r="IW143" s="205"/>
      <c r="IX143" s="205"/>
    </row>
    <row r="144" spans="1:258" s="203" customFormat="1" x14ac:dyDescent="0.2">
      <c r="A144" s="669"/>
      <c r="B144" s="670"/>
      <c r="C144" s="1358"/>
      <c r="D144" s="672"/>
      <c r="E144" s="1359"/>
      <c r="F144" s="1359"/>
      <c r="G144" s="1360"/>
      <c r="H144" s="1361"/>
      <c r="I144" s="1362"/>
      <c r="J144" s="1362"/>
      <c r="K144" s="1362"/>
      <c r="L144" s="1362"/>
      <c r="M144" s="1362"/>
      <c r="N144" s="1362"/>
      <c r="O144" s="1362"/>
      <c r="P144" s="1362"/>
      <c r="Q144" s="1362"/>
      <c r="R144" s="1363">
        <f>SUM(R137:R143)</f>
        <v>5.8200000000000012</v>
      </c>
      <c r="S144" s="1364">
        <f>R144</f>
        <v>5.8200000000000012</v>
      </c>
      <c r="T144" s="722" t="s">
        <v>293</v>
      </c>
      <c r="U144" s="205"/>
      <c r="V144" s="685">
        <f>S159/S144</f>
        <v>106.26838242010309</v>
      </c>
      <c r="W144" s="205"/>
      <c r="X144" s="205"/>
      <c r="Y144" s="205"/>
      <c r="Z144" s="205"/>
      <c r="AA144" s="205"/>
      <c r="AB144" s="205"/>
      <c r="AC144" s="205"/>
      <c r="AD144" s="205"/>
      <c r="AE144" s="205"/>
      <c r="AF144" s="205"/>
      <c r="AG144" s="205"/>
      <c r="AH144" s="205"/>
      <c r="AI144" s="205"/>
      <c r="AJ144" s="205"/>
      <c r="AK144" s="205"/>
      <c r="AL144" s="205"/>
      <c r="AM144" s="205"/>
      <c r="AN144" s="205"/>
      <c r="AO144" s="205"/>
      <c r="AP144" s="205"/>
      <c r="AQ144" s="205"/>
      <c r="AR144" s="205"/>
      <c r="AS144" s="205"/>
      <c r="AT144" s="205"/>
      <c r="AU144" s="205"/>
      <c r="AV144" s="205"/>
      <c r="AW144" s="205"/>
      <c r="AX144" s="205"/>
      <c r="AY144" s="205"/>
      <c r="AZ144" s="205"/>
      <c r="BA144" s="205"/>
      <c r="BB144" s="205"/>
      <c r="BC144" s="205"/>
      <c r="BD144" s="205"/>
      <c r="BE144" s="205"/>
      <c r="BF144" s="205"/>
      <c r="BG144" s="205"/>
      <c r="BH144" s="205"/>
      <c r="BI144" s="205"/>
      <c r="BJ144" s="205"/>
      <c r="BK144" s="205"/>
      <c r="BL144" s="205"/>
      <c r="BM144" s="205"/>
      <c r="BN144" s="205"/>
      <c r="BO144" s="205"/>
      <c r="BP144" s="205"/>
      <c r="BQ144" s="205"/>
      <c r="BR144" s="205"/>
      <c r="BS144" s="205"/>
      <c r="BT144" s="205"/>
      <c r="BU144" s="205"/>
      <c r="BV144" s="205"/>
      <c r="BW144" s="205"/>
      <c r="BX144" s="205"/>
      <c r="BY144" s="205"/>
      <c r="BZ144" s="205"/>
      <c r="CA144" s="205"/>
      <c r="CB144" s="205"/>
      <c r="CC144" s="205"/>
      <c r="CD144" s="205"/>
      <c r="CE144" s="205"/>
      <c r="CF144" s="205"/>
      <c r="CG144" s="205"/>
      <c r="CH144" s="205"/>
      <c r="CI144" s="205"/>
      <c r="CJ144" s="205"/>
      <c r="CK144" s="205"/>
      <c r="CL144" s="205"/>
      <c r="CM144" s="205"/>
      <c r="CN144" s="205"/>
      <c r="CO144" s="205"/>
      <c r="CP144" s="205"/>
      <c r="CQ144" s="205"/>
      <c r="CR144" s="205"/>
      <c r="CS144" s="205"/>
      <c r="CT144" s="205"/>
      <c r="CU144" s="205"/>
      <c r="CV144" s="205"/>
      <c r="CW144" s="205"/>
      <c r="CX144" s="205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205"/>
      <c r="DM144" s="205"/>
      <c r="DN144" s="205"/>
      <c r="DO144" s="205"/>
      <c r="DP144" s="205"/>
      <c r="DQ144" s="205"/>
      <c r="DR144" s="205"/>
      <c r="DS144" s="205"/>
      <c r="DT144" s="205"/>
      <c r="DU144" s="205"/>
      <c r="DV144" s="205"/>
      <c r="DW144" s="205"/>
      <c r="DX144" s="205"/>
      <c r="DY144" s="205"/>
      <c r="DZ144" s="205"/>
      <c r="EA144" s="205"/>
      <c r="EB144" s="205"/>
      <c r="EC144" s="205"/>
      <c r="ED144" s="205"/>
      <c r="EE144" s="205"/>
      <c r="EF144" s="205"/>
      <c r="EG144" s="205"/>
      <c r="EH144" s="205"/>
      <c r="EI144" s="205"/>
      <c r="EJ144" s="205"/>
      <c r="EK144" s="205"/>
      <c r="EL144" s="205"/>
      <c r="EM144" s="205"/>
      <c r="EN144" s="205"/>
      <c r="EO144" s="205"/>
      <c r="EP144" s="205"/>
      <c r="EQ144" s="205"/>
      <c r="ER144" s="205"/>
      <c r="ES144" s="205"/>
      <c r="ET144" s="205"/>
      <c r="EU144" s="205"/>
      <c r="EV144" s="205"/>
      <c r="EW144" s="205"/>
      <c r="EX144" s="205"/>
      <c r="EY144" s="205"/>
      <c r="EZ144" s="205"/>
      <c r="FA144" s="205"/>
      <c r="FB144" s="205"/>
      <c r="FC144" s="205"/>
      <c r="FD144" s="205"/>
      <c r="FE144" s="205"/>
      <c r="FF144" s="205"/>
      <c r="FG144" s="205"/>
      <c r="FH144" s="205"/>
      <c r="FI144" s="205"/>
      <c r="FJ144" s="205"/>
      <c r="FK144" s="205"/>
      <c r="FL144" s="205"/>
      <c r="FM144" s="205"/>
      <c r="FN144" s="205"/>
      <c r="FO144" s="205"/>
      <c r="FP144" s="205"/>
      <c r="FQ144" s="205"/>
      <c r="FR144" s="205"/>
      <c r="FS144" s="205"/>
      <c r="FT144" s="205"/>
      <c r="FU144" s="205"/>
      <c r="FV144" s="205"/>
      <c r="FW144" s="205"/>
      <c r="FX144" s="205"/>
      <c r="FY144" s="205"/>
      <c r="FZ144" s="205"/>
      <c r="GA144" s="205"/>
      <c r="GB144" s="205"/>
      <c r="GC144" s="205"/>
      <c r="GD144" s="205"/>
      <c r="GE144" s="205"/>
      <c r="GF144" s="205"/>
      <c r="GG144" s="205"/>
      <c r="GH144" s="205"/>
      <c r="GI144" s="205"/>
      <c r="GJ144" s="205"/>
      <c r="GK144" s="205"/>
      <c r="GL144" s="205"/>
      <c r="GM144" s="205"/>
      <c r="GN144" s="205"/>
      <c r="GO144" s="205"/>
      <c r="GP144" s="205"/>
      <c r="GQ144" s="205"/>
      <c r="GR144" s="205"/>
      <c r="GS144" s="205"/>
      <c r="GT144" s="205"/>
      <c r="GU144" s="205"/>
      <c r="GV144" s="205"/>
      <c r="GW144" s="205"/>
      <c r="GX144" s="205"/>
      <c r="GY144" s="205"/>
      <c r="GZ144" s="205"/>
      <c r="HA144" s="205"/>
      <c r="HB144" s="205"/>
      <c r="HC144" s="205"/>
      <c r="HD144" s="205"/>
      <c r="HE144" s="205"/>
      <c r="HF144" s="205"/>
      <c r="HG144" s="205"/>
      <c r="HH144" s="205"/>
      <c r="HI144" s="205"/>
      <c r="HJ144" s="205"/>
      <c r="HK144" s="205"/>
      <c r="HL144" s="205"/>
      <c r="HM144" s="205"/>
      <c r="HN144" s="205"/>
      <c r="HO144" s="205"/>
      <c r="HP144" s="205"/>
      <c r="HQ144" s="205"/>
      <c r="HR144" s="205"/>
      <c r="HS144" s="205"/>
      <c r="HT144" s="205"/>
      <c r="HU144" s="205"/>
      <c r="HV144" s="205"/>
      <c r="HW144" s="205"/>
      <c r="HX144" s="205"/>
      <c r="HY144" s="205"/>
      <c r="HZ144" s="205"/>
      <c r="IA144" s="205"/>
      <c r="IB144" s="205"/>
      <c r="IC144" s="205"/>
      <c r="ID144" s="205"/>
      <c r="IE144" s="205"/>
      <c r="IF144" s="205"/>
      <c r="IG144" s="205"/>
      <c r="IH144" s="205"/>
      <c r="II144" s="205"/>
      <c r="IJ144" s="205"/>
      <c r="IK144" s="205"/>
      <c r="IL144" s="205"/>
      <c r="IM144" s="205"/>
      <c r="IN144" s="205"/>
      <c r="IO144" s="205"/>
      <c r="IP144" s="205"/>
      <c r="IQ144" s="205"/>
      <c r="IR144" s="205"/>
      <c r="IS144" s="205"/>
      <c r="IT144" s="205"/>
      <c r="IU144" s="205"/>
      <c r="IV144" s="205"/>
      <c r="IW144" s="205"/>
      <c r="IX144" s="205"/>
    </row>
    <row r="145" spans="1:258" s="203" customFormat="1" x14ac:dyDescent="0.2">
      <c r="A145" s="669"/>
      <c r="B145" s="670"/>
      <c r="C145" s="1358"/>
      <c r="D145" s="672"/>
      <c r="E145" s="1359"/>
      <c r="F145" s="1359"/>
      <c r="G145" s="1360"/>
      <c r="H145" s="1361"/>
      <c r="I145" s="1362"/>
      <c r="J145" s="1362"/>
      <c r="K145" s="1362"/>
      <c r="L145" s="1362"/>
      <c r="M145" s="1362"/>
      <c r="N145" s="1362"/>
      <c r="O145" s="1362"/>
      <c r="P145" s="1362"/>
      <c r="Q145" s="1362"/>
      <c r="R145" s="1363"/>
      <c r="S145" s="1364"/>
      <c r="T145" s="722"/>
      <c r="U145" s="205"/>
      <c r="V145" s="685"/>
      <c r="W145" s="205"/>
      <c r="X145" s="205"/>
      <c r="Y145" s="205"/>
      <c r="Z145" s="205"/>
      <c r="AA145" s="205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05"/>
      <c r="BI145" s="205"/>
      <c r="BJ145" s="205"/>
      <c r="BK145" s="205"/>
      <c r="BL145" s="205"/>
      <c r="BM145" s="205"/>
      <c r="BN145" s="205"/>
      <c r="BO145" s="205"/>
      <c r="BP145" s="205"/>
      <c r="BQ145" s="205"/>
      <c r="BR145" s="205"/>
      <c r="BS145" s="205"/>
      <c r="BT145" s="205"/>
      <c r="BU145" s="205"/>
      <c r="BV145" s="205"/>
      <c r="BW145" s="205"/>
      <c r="BX145" s="205"/>
      <c r="BY145" s="205"/>
      <c r="BZ145" s="205"/>
      <c r="CA145" s="205"/>
      <c r="CB145" s="205"/>
      <c r="CC145" s="205"/>
      <c r="CD145" s="205"/>
      <c r="CE145" s="205"/>
      <c r="CF145" s="205"/>
      <c r="CG145" s="205"/>
      <c r="CH145" s="205"/>
      <c r="CI145" s="205"/>
      <c r="CJ145" s="205"/>
      <c r="CK145" s="205"/>
      <c r="CL145" s="205"/>
      <c r="CM145" s="205"/>
      <c r="CN145" s="205"/>
      <c r="CO145" s="205"/>
      <c r="CP145" s="205"/>
      <c r="CQ145" s="205"/>
      <c r="CR145" s="205"/>
      <c r="CS145" s="205"/>
      <c r="CT145" s="205"/>
      <c r="CU145" s="205"/>
      <c r="CV145" s="205"/>
      <c r="CW145" s="205"/>
      <c r="CX145" s="205"/>
      <c r="CY145" s="205"/>
      <c r="CZ145" s="205"/>
      <c r="DA145" s="205"/>
      <c r="DB145" s="205"/>
      <c r="DC145" s="205"/>
      <c r="DD145" s="205"/>
      <c r="DE145" s="205"/>
      <c r="DF145" s="205"/>
      <c r="DG145" s="205"/>
      <c r="DH145" s="205"/>
      <c r="DI145" s="205"/>
      <c r="DJ145" s="205"/>
      <c r="DK145" s="205"/>
      <c r="DL145" s="205"/>
      <c r="DM145" s="205"/>
      <c r="DN145" s="205"/>
      <c r="DO145" s="205"/>
      <c r="DP145" s="205"/>
      <c r="DQ145" s="205"/>
      <c r="DR145" s="205"/>
      <c r="DS145" s="205"/>
      <c r="DT145" s="205"/>
      <c r="DU145" s="205"/>
      <c r="DV145" s="205"/>
      <c r="DW145" s="205"/>
      <c r="DX145" s="205"/>
      <c r="DY145" s="205"/>
      <c r="DZ145" s="205"/>
      <c r="EA145" s="205"/>
      <c r="EB145" s="205"/>
      <c r="EC145" s="205"/>
      <c r="ED145" s="205"/>
      <c r="EE145" s="205"/>
      <c r="EF145" s="205"/>
      <c r="EG145" s="205"/>
      <c r="EH145" s="205"/>
      <c r="EI145" s="205"/>
      <c r="EJ145" s="205"/>
      <c r="EK145" s="205"/>
      <c r="EL145" s="205"/>
      <c r="EM145" s="205"/>
      <c r="EN145" s="205"/>
      <c r="EO145" s="205"/>
      <c r="EP145" s="205"/>
      <c r="EQ145" s="205"/>
      <c r="ER145" s="205"/>
      <c r="ES145" s="205"/>
      <c r="ET145" s="205"/>
      <c r="EU145" s="205"/>
      <c r="EV145" s="205"/>
      <c r="EW145" s="205"/>
      <c r="EX145" s="205"/>
      <c r="EY145" s="205"/>
      <c r="EZ145" s="205"/>
      <c r="FA145" s="205"/>
      <c r="FB145" s="205"/>
      <c r="FC145" s="205"/>
      <c r="FD145" s="205"/>
      <c r="FE145" s="205"/>
      <c r="FF145" s="205"/>
      <c r="FG145" s="205"/>
      <c r="FH145" s="205"/>
      <c r="FI145" s="205"/>
      <c r="FJ145" s="205"/>
      <c r="FK145" s="205"/>
      <c r="FL145" s="205"/>
      <c r="FM145" s="205"/>
      <c r="FN145" s="205"/>
      <c r="FO145" s="205"/>
      <c r="FP145" s="205"/>
      <c r="FQ145" s="205"/>
      <c r="FR145" s="205"/>
      <c r="FS145" s="205"/>
      <c r="FT145" s="205"/>
      <c r="FU145" s="205"/>
      <c r="FV145" s="205"/>
      <c r="FW145" s="205"/>
      <c r="FX145" s="205"/>
      <c r="FY145" s="205"/>
      <c r="FZ145" s="205"/>
      <c r="GA145" s="205"/>
      <c r="GB145" s="205"/>
      <c r="GC145" s="205"/>
      <c r="GD145" s="205"/>
      <c r="GE145" s="205"/>
      <c r="GF145" s="205"/>
      <c r="GG145" s="205"/>
      <c r="GH145" s="205"/>
      <c r="GI145" s="205"/>
      <c r="GJ145" s="205"/>
      <c r="GK145" s="205"/>
      <c r="GL145" s="205"/>
      <c r="GM145" s="205"/>
      <c r="GN145" s="205"/>
      <c r="GO145" s="205"/>
      <c r="GP145" s="205"/>
      <c r="GQ145" s="205"/>
      <c r="GR145" s="205"/>
      <c r="GS145" s="205"/>
      <c r="GT145" s="205"/>
      <c r="GU145" s="205"/>
      <c r="GV145" s="205"/>
      <c r="GW145" s="205"/>
      <c r="GX145" s="205"/>
      <c r="GY145" s="205"/>
      <c r="GZ145" s="205"/>
      <c r="HA145" s="205"/>
      <c r="HB145" s="205"/>
      <c r="HC145" s="205"/>
      <c r="HD145" s="205"/>
      <c r="HE145" s="205"/>
      <c r="HF145" s="205"/>
      <c r="HG145" s="205"/>
      <c r="HH145" s="205"/>
      <c r="HI145" s="205"/>
      <c r="HJ145" s="205"/>
      <c r="HK145" s="205"/>
      <c r="HL145" s="205"/>
      <c r="HM145" s="205"/>
      <c r="HN145" s="205"/>
      <c r="HO145" s="205"/>
      <c r="HP145" s="205"/>
      <c r="HQ145" s="205"/>
      <c r="HR145" s="205"/>
      <c r="HS145" s="205"/>
      <c r="HT145" s="205"/>
      <c r="HU145" s="205"/>
      <c r="HV145" s="205"/>
      <c r="HW145" s="205"/>
      <c r="HX145" s="205"/>
      <c r="HY145" s="205"/>
      <c r="HZ145" s="205"/>
      <c r="IA145" s="205"/>
      <c r="IB145" s="205"/>
      <c r="IC145" s="205"/>
      <c r="ID145" s="205"/>
      <c r="IE145" s="205"/>
      <c r="IF145" s="205"/>
      <c r="IG145" s="205"/>
      <c r="IH145" s="205"/>
      <c r="II145" s="205"/>
      <c r="IJ145" s="205"/>
      <c r="IK145" s="205"/>
      <c r="IL145" s="205"/>
      <c r="IM145" s="205"/>
      <c r="IN145" s="205"/>
      <c r="IO145" s="205"/>
      <c r="IP145" s="205"/>
      <c r="IQ145" s="205"/>
      <c r="IR145" s="205"/>
      <c r="IS145" s="205"/>
      <c r="IT145" s="205"/>
      <c r="IU145" s="205"/>
      <c r="IV145" s="205"/>
      <c r="IW145" s="205"/>
      <c r="IX145" s="205"/>
    </row>
    <row r="146" spans="1:258" s="203" customFormat="1" x14ac:dyDescent="0.2">
      <c r="A146" s="669"/>
      <c r="B146" s="670">
        <f>RAB!B63</f>
        <v>4</v>
      </c>
      <c r="C146" s="686" t="str">
        <f>RAB!D63</f>
        <v>Pembesian 1 kg dengan besi polos atau besi ulir</v>
      </c>
      <c r="D146" s="672"/>
      <c r="E146" s="673"/>
      <c r="F146" s="673"/>
      <c r="G146" s="674"/>
      <c r="H146" s="675"/>
      <c r="I146" s="676"/>
      <c r="J146" s="676"/>
      <c r="K146" s="676"/>
      <c r="L146" s="676"/>
      <c r="M146" s="676"/>
      <c r="N146" s="676"/>
      <c r="O146" s="676"/>
      <c r="P146" s="676"/>
      <c r="Q146" s="676"/>
      <c r="R146" s="677"/>
      <c r="S146" s="678"/>
      <c r="T146" s="684"/>
      <c r="U146" s="205"/>
      <c r="V146" s="68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05"/>
      <c r="BN146" s="205"/>
      <c r="BO146" s="205"/>
      <c r="BP146" s="205"/>
      <c r="BQ146" s="205"/>
      <c r="BR146" s="205"/>
      <c r="BS146" s="205"/>
      <c r="BT146" s="205"/>
      <c r="BU146" s="205"/>
      <c r="BV146" s="205"/>
      <c r="BW146" s="205"/>
      <c r="BX146" s="205"/>
      <c r="BY146" s="205"/>
      <c r="BZ146" s="205"/>
      <c r="CA146" s="205"/>
      <c r="CB146" s="205"/>
      <c r="CC146" s="205"/>
      <c r="CD146" s="205"/>
      <c r="CE146" s="205"/>
      <c r="CF146" s="205"/>
      <c r="CG146" s="205"/>
      <c r="CH146" s="205"/>
      <c r="CI146" s="205"/>
      <c r="CJ146" s="205"/>
      <c r="CK146" s="205"/>
      <c r="CL146" s="205"/>
      <c r="CM146" s="205"/>
      <c r="CN146" s="205"/>
      <c r="CO146" s="205"/>
      <c r="CP146" s="205"/>
      <c r="CQ146" s="205"/>
      <c r="CR146" s="205"/>
      <c r="CS146" s="205"/>
      <c r="CT146" s="205"/>
      <c r="CU146" s="205"/>
      <c r="CV146" s="205"/>
      <c r="CW146" s="205"/>
      <c r="CX146" s="205"/>
      <c r="CY146" s="205"/>
      <c r="CZ146" s="205"/>
      <c r="DA146" s="205"/>
      <c r="DB146" s="205"/>
      <c r="DC146" s="205"/>
      <c r="DD146" s="205"/>
      <c r="DE146" s="205"/>
      <c r="DF146" s="205"/>
      <c r="DG146" s="205"/>
      <c r="DH146" s="205"/>
      <c r="DI146" s="205"/>
      <c r="DJ146" s="205"/>
      <c r="DK146" s="205"/>
      <c r="DL146" s="205"/>
      <c r="DM146" s="205"/>
      <c r="DN146" s="205"/>
      <c r="DO146" s="205"/>
      <c r="DP146" s="205"/>
      <c r="DQ146" s="205"/>
      <c r="DR146" s="205"/>
      <c r="DS146" s="205"/>
      <c r="DT146" s="205"/>
      <c r="DU146" s="205"/>
      <c r="DV146" s="205"/>
      <c r="DW146" s="205"/>
      <c r="DX146" s="205"/>
      <c r="DY146" s="205"/>
      <c r="DZ146" s="205"/>
      <c r="EA146" s="205"/>
      <c r="EB146" s="205"/>
      <c r="EC146" s="205"/>
      <c r="ED146" s="205"/>
      <c r="EE146" s="205"/>
      <c r="EF146" s="205"/>
      <c r="EG146" s="205"/>
      <c r="EH146" s="205"/>
      <c r="EI146" s="205"/>
      <c r="EJ146" s="205"/>
      <c r="EK146" s="205"/>
      <c r="EL146" s="205"/>
      <c r="EM146" s="205"/>
      <c r="EN146" s="205"/>
      <c r="EO146" s="205"/>
      <c r="EP146" s="205"/>
      <c r="EQ146" s="205"/>
      <c r="ER146" s="205"/>
      <c r="ES146" s="205"/>
      <c r="ET146" s="205"/>
      <c r="EU146" s="205"/>
      <c r="EV146" s="205"/>
      <c r="EW146" s="205"/>
      <c r="EX146" s="205"/>
      <c r="EY146" s="205"/>
      <c r="EZ146" s="205"/>
      <c r="FA146" s="205"/>
      <c r="FB146" s="205"/>
      <c r="FC146" s="205"/>
      <c r="FD146" s="205"/>
      <c r="FE146" s="205"/>
      <c r="FF146" s="205"/>
      <c r="FG146" s="205"/>
      <c r="FH146" s="205"/>
      <c r="FI146" s="205"/>
      <c r="FJ146" s="205"/>
      <c r="FK146" s="205"/>
      <c r="FL146" s="205"/>
      <c r="FM146" s="205"/>
      <c r="FN146" s="205"/>
      <c r="FO146" s="205"/>
      <c r="FP146" s="205"/>
      <c r="FQ146" s="205"/>
      <c r="FR146" s="205"/>
      <c r="FS146" s="205"/>
      <c r="FT146" s="205"/>
      <c r="FU146" s="205"/>
      <c r="FV146" s="205"/>
      <c r="FW146" s="205"/>
      <c r="FX146" s="205"/>
      <c r="FY146" s="205"/>
      <c r="FZ146" s="205"/>
      <c r="GA146" s="205"/>
      <c r="GB146" s="205"/>
      <c r="GC146" s="205"/>
      <c r="GD146" s="205"/>
      <c r="GE146" s="205"/>
      <c r="GF146" s="205"/>
      <c r="GG146" s="205"/>
      <c r="GH146" s="205"/>
      <c r="GI146" s="205"/>
      <c r="GJ146" s="205"/>
      <c r="GK146" s="205"/>
      <c r="GL146" s="205"/>
      <c r="GM146" s="205"/>
      <c r="GN146" s="205"/>
      <c r="GO146" s="205"/>
      <c r="GP146" s="205"/>
      <c r="GQ146" s="205"/>
      <c r="GR146" s="205"/>
      <c r="GS146" s="205"/>
      <c r="GT146" s="205"/>
      <c r="GU146" s="205"/>
      <c r="GV146" s="205"/>
      <c r="GW146" s="205"/>
      <c r="GX146" s="205"/>
      <c r="GY146" s="205"/>
      <c r="GZ146" s="205"/>
      <c r="HA146" s="205"/>
      <c r="HB146" s="205"/>
      <c r="HC146" s="205"/>
      <c r="HD146" s="205"/>
      <c r="HE146" s="205"/>
      <c r="HF146" s="205"/>
      <c r="HG146" s="205"/>
      <c r="HH146" s="205"/>
      <c r="HI146" s="205"/>
      <c r="HJ146" s="205"/>
      <c r="HK146" s="205"/>
      <c r="HL146" s="205"/>
      <c r="HM146" s="205"/>
      <c r="HN146" s="205"/>
      <c r="HO146" s="205"/>
      <c r="HP146" s="205"/>
      <c r="HQ146" s="205"/>
      <c r="HR146" s="205"/>
      <c r="HS146" s="205"/>
      <c r="HT146" s="205"/>
      <c r="HU146" s="205"/>
      <c r="HV146" s="205"/>
      <c r="HW146" s="205"/>
      <c r="HX146" s="205"/>
      <c r="HY146" s="205"/>
      <c r="HZ146" s="205"/>
      <c r="IA146" s="205"/>
      <c r="IB146" s="205"/>
      <c r="IC146" s="205"/>
      <c r="ID146" s="205"/>
      <c r="IE146" s="205"/>
      <c r="IF146" s="205"/>
      <c r="IG146" s="205"/>
      <c r="IH146" s="205"/>
      <c r="II146" s="205"/>
      <c r="IJ146" s="205"/>
      <c r="IK146" s="205"/>
      <c r="IL146" s="205"/>
      <c r="IM146" s="205"/>
      <c r="IN146" s="205"/>
      <c r="IO146" s="205"/>
      <c r="IP146" s="205"/>
      <c r="IQ146" s="205"/>
      <c r="IR146" s="205"/>
      <c r="IS146" s="205"/>
      <c r="IT146" s="205"/>
      <c r="IU146" s="205"/>
      <c r="IV146" s="205"/>
      <c r="IW146" s="205"/>
      <c r="IX146" s="205"/>
    </row>
    <row r="147" spans="1:258" s="203" customFormat="1" x14ac:dyDescent="0.2">
      <c r="A147" s="669"/>
      <c r="B147" s="670"/>
      <c r="C147" s="1358"/>
      <c r="D147" s="672"/>
      <c r="E147" s="1359"/>
      <c r="F147" s="1359" t="str">
        <f>F136</f>
        <v>Tapak</v>
      </c>
      <c r="G147" s="1360"/>
      <c r="H147" s="1361"/>
      <c r="I147" s="1362"/>
      <c r="J147" s="1362"/>
      <c r="K147" s="1362"/>
      <c r="L147" s="1362" t="s">
        <v>1653</v>
      </c>
      <c r="M147" s="1362"/>
      <c r="N147" s="1362"/>
      <c r="O147" s="1362"/>
      <c r="P147" s="1362" t="s">
        <v>1707</v>
      </c>
      <c r="Q147" s="1362"/>
      <c r="R147" s="1363"/>
      <c r="S147" s="1364"/>
      <c r="T147" s="722"/>
      <c r="U147" s="205"/>
      <c r="V147" s="68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05"/>
      <c r="BN147" s="205"/>
      <c r="BO147" s="205"/>
      <c r="BP147" s="205"/>
      <c r="BQ147" s="205"/>
      <c r="BR147" s="205"/>
      <c r="BS147" s="205"/>
      <c r="BT147" s="205"/>
      <c r="BU147" s="205"/>
      <c r="BV147" s="205"/>
      <c r="BW147" s="205"/>
      <c r="BX147" s="205"/>
      <c r="BY147" s="205"/>
      <c r="BZ147" s="205"/>
      <c r="CA147" s="205"/>
      <c r="CB147" s="205"/>
      <c r="CC147" s="205"/>
      <c r="CD147" s="205"/>
      <c r="CE147" s="205"/>
      <c r="CF147" s="205"/>
      <c r="CG147" s="205"/>
      <c r="CH147" s="205"/>
      <c r="CI147" s="205"/>
      <c r="CJ147" s="205"/>
      <c r="CK147" s="205"/>
      <c r="CL147" s="205"/>
      <c r="CM147" s="205"/>
      <c r="CN147" s="205"/>
      <c r="CO147" s="205"/>
      <c r="CP147" s="205"/>
      <c r="CQ147" s="205"/>
      <c r="CR147" s="205"/>
      <c r="CS147" s="205"/>
      <c r="CT147" s="205"/>
      <c r="CU147" s="205"/>
      <c r="CV147" s="205"/>
      <c r="CW147" s="205"/>
      <c r="CX147" s="205"/>
      <c r="CY147" s="205"/>
      <c r="CZ147" s="205"/>
      <c r="DA147" s="205"/>
      <c r="DB147" s="205"/>
      <c r="DC147" s="205"/>
      <c r="DD147" s="205"/>
      <c r="DE147" s="205"/>
      <c r="DF147" s="205"/>
      <c r="DG147" s="205"/>
      <c r="DH147" s="205"/>
      <c r="DI147" s="205"/>
      <c r="DJ147" s="205"/>
      <c r="DK147" s="205"/>
      <c r="DL147" s="205"/>
      <c r="DM147" s="205"/>
      <c r="DN147" s="205"/>
      <c r="DO147" s="205"/>
      <c r="DP147" s="205"/>
      <c r="DQ147" s="205"/>
      <c r="DR147" s="205"/>
      <c r="DS147" s="205"/>
      <c r="DT147" s="205"/>
      <c r="DU147" s="205"/>
      <c r="DV147" s="205"/>
      <c r="DW147" s="205"/>
      <c r="DX147" s="205"/>
      <c r="DY147" s="205"/>
      <c r="DZ147" s="205"/>
      <c r="EA147" s="205"/>
      <c r="EB147" s="205"/>
      <c r="EC147" s="205"/>
      <c r="ED147" s="205"/>
      <c r="EE147" s="205"/>
      <c r="EF147" s="205"/>
      <c r="EG147" s="205"/>
      <c r="EH147" s="205"/>
      <c r="EI147" s="205"/>
      <c r="EJ147" s="205"/>
      <c r="EK147" s="205"/>
      <c r="EL147" s="205"/>
      <c r="EM147" s="205"/>
      <c r="EN147" s="205"/>
      <c r="EO147" s="205"/>
      <c r="EP147" s="205"/>
      <c r="EQ147" s="205"/>
      <c r="ER147" s="205"/>
      <c r="ES147" s="205"/>
      <c r="ET147" s="205"/>
      <c r="EU147" s="205"/>
      <c r="EV147" s="205"/>
      <c r="EW147" s="205"/>
      <c r="EX147" s="205"/>
      <c r="EY147" s="205"/>
      <c r="EZ147" s="205"/>
      <c r="FA147" s="205"/>
      <c r="FB147" s="205"/>
      <c r="FC147" s="205"/>
      <c r="FD147" s="205"/>
      <c r="FE147" s="205"/>
      <c r="FF147" s="205"/>
      <c r="FG147" s="205"/>
      <c r="FH147" s="205"/>
      <c r="FI147" s="205"/>
      <c r="FJ147" s="205"/>
      <c r="FK147" s="205"/>
      <c r="FL147" s="205"/>
      <c r="FM147" s="205"/>
      <c r="FN147" s="205"/>
      <c r="FO147" s="205"/>
      <c r="FP147" s="205"/>
      <c r="FQ147" s="205"/>
      <c r="FR147" s="205"/>
      <c r="FS147" s="205"/>
      <c r="FT147" s="205"/>
      <c r="FU147" s="205"/>
      <c r="FV147" s="205"/>
      <c r="FW147" s="205"/>
      <c r="FX147" s="205"/>
      <c r="FY147" s="205"/>
      <c r="FZ147" s="205"/>
      <c r="GA147" s="205"/>
      <c r="GB147" s="205"/>
      <c r="GC147" s="205"/>
      <c r="GD147" s="205"/>
      <c r="GE147" s="205"/>
      <c r="GF147" s="205"/>
      <c r="GG147" s="205"/>
      <c r="GH147" s="205"/>
      <c r="GI147" s="205"/>
      <c r="GJ147" s="205"/>
      <c r="GK147" s="205"/>
      <c r="GL147" s="205"/>
      <c r="GM147" s="205"/>
      <c r="GN147" s="205"/>
      <c r="GO147" s="205"/>
      <c r="GP147" s="205"/>
      <c r="GQ147" s="205"/>
      <c r="GR147" s="205"/>
      <c r="GS147" s="205"/>
      <c r="GT147" s="205"/>
      <c r="GU147" s="205"/>
      <c r="GV147" s="205"/>
      <c r="GW147" s="205"/>
      <c r="GX147" s="205"/>
      <c r="GY147" s="205"/>
      <c r="GZ147" s="205"/>
      <c r="HA147" s="205"/>
      <c r="HB147" s="205"/>
      <c r="HC147" s="205"/>
      <c r="HD147" s="205"/>
      <c r="HE147" s="205"/>
      <c r="HF147" s="205"/>
      <c r="HG147" s="205"/>
      <c r="HH147" s="205"/>
      <c r="HI147" s="205"/>
      <c r="HJ147" s="205"/>
      <c r="HK147" s="205"/>
      <c r="HL147" s="205"/>
      <c r="HM147" s="205"/>
      <c r="HN147" s="205"/>
      <c r="HO147" s="205"/>
      <c r="HP147" s="205"/>
      <c r="HQ147" s="205"/>
      <c r="HR147" s="205"/>
      <c r="HS147" s="205"/>
      <c r="HT147" s="205"/>
      <c r="HU147" s="205"/>
      <c r="HV147" s="205"/>
      <c r="HW147" s="205"/>
      <c r="HX147" s="205"/>
      <c r="HY147" s="205"/>
      <c r="HZ147" s="205"/>
      <c r="IA147" s="205"/>
      <c r="IB147" s="205"/>
      <c r="IC147" s="205"/>
      <c r="ID147" s="205"/>
      <c r="IE147" s="205"/>
      <c r="IF147" s="205"/>
      <c r="IG147" s="205"/>
      <c r="IH147" s="205"/>
      <c r="II147" s="205"/>
      <c r="IJ147" s="205"/>
      <c r="IK147" s="205"/>
      <c r="IL147" s="205"/>
      <c r="IM147" s="205"/>
      <c r="IN147" s="205"/>
      <c r="IO147" s="205"/>
      <c r="IP147" s="205"/>
      <c r="IQ147" s="205"/>
      <c r="IR147" s="205"/>
      <c r="IS147" s="205"/>
      <c r="IT147" s="205"/>
      <c r="IU147" s="205"/>
      <c r="IV147" s="205"/>
      <c r="IW147" s="205"/>
      <c r="IX147" s="205"/>
    </row>
    <row r="148" spans="1:258" s="203" customFormat="1" x14ac:dyDescent="0.2">
      <c r="A148" s="669"/>
      <c r="B148" s="670"/>
      <c r="C148" s="1358"/>
      <c r="D148" s="672"/>
      <c r="E148" s="1359"/>
      <c r="F148" s="1359"/>
      <c r="G148" s="1360" t="str">
        <f>G137</f>
        <v>FP1</v>
      </c>
      <c r="H148" s="1361">
        <f>((H137-0.1)*2)+((L137-0.1)*2*(0.1))</f>
        <v>1.4300000000000002</v>
      </c>
      <c r="I148" s="1362" t="s">
        <v>424</v>
      </c>
      <c r="J148" s="1374">
        <f>H137/0.15</f>
        <v>5.3333333333333339</v>
      </c>
      <c r="K148" s="1362" t="s">
        <v>424</v>
      </c>
      <c r="L148" s="1375">
        <f>Z148</f>
        <v>0.88736400000000004</v>
      </c>
      <c r="M148" s="1362" t="s">
        <v>424</v>
      </c>
      <c r="N148" s="1362">
        <f>N137</f>
        <v>9</v>
      </c>
      <c r="O148" s="1362" t="s">
        <v>424</v>
      </c>
      <c r="P148" s="1362">
        <v>2</v>
      </c>
      <c r="Q148" s="1362" t="s">
        <v>696</v>
      </c>
      <c r="R148" s="1363">
        <f>H148*J148*L148*N148*P148</f>
        <v>121.81732992000003</v>
      </c>
      <c r="S148" s="1364"/>
      <c r="T148" s="722"/>
      <c r="U148" s="205"/>
      <c r="V148" s="687" t="s">
        <v>1553</v>
      </c>
      <c r="W148" s="688">
        <v>1.2E-2</v>
      </c>
      <c r="X148" s="689">
        <v>7850</v>
      </c>
      <c r="Y148" s="690">
        <f>0.25*3.14*(W148*W148)</f>
        <v>1.1304E-4</v>
      </c>
      <c r="Z148" s="691">
        <f>X148*Y148*AA148</f>
        <v>0.88736400000000004</v>
      </c>
      <c r="AA148" s="689">
        <v>1</v>
      </c>
      <c r="AB148" s="692">
        <f>Z148*12</f>
        <v>10.648368000000001</v>
      </c>
      <c r="AC148" s="693" t="s">
        <v>1554</v>
      </c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05"/>
      <c r="BN148" s="205"/>
      <c r="BO148" s="205"/>
      <c r="BP148" s="205"/>
      <c r="BQ148" s="205"/>
      <c r="BR148" s="205"/>
      <c r="BS148" s="205"/>
      <c r="BT148" s="205"/>
      <c r="BU148" s="205"/>
      <c r="BV148" s="205"/>
      <c r="BW148" s="205"/>
      <c r="BX148" s="205"/>
      <c r="BY148" s="205"/>
      <c r="BZ148" s="205"/>
      <c r="CA148" s="205"/>
      <c r="CB148" s="205"/>
      <c r="CC148" s="205"/>
      <c r="CD148" s="205"/>
      <c r="CE148" s="205"/>
      <c r="CF148" s="205"/>
      <c r="CG148" s="205"/>
      <c r="CH148" s="205"/>
      <c r="CI148" s="205"/>
      <c r="CJ148" s="205"/>
      <c r="CK148" s="205"/>
      <c r="CL148" s="205"/>
      <c r="CM148" s="205"/>
      <c r="CN148" s="205"/>
      <c r="CO148" s="205"/>
      <c r="CP148" s="205"/>
      <c r="CQ148" s="205"/>
      <c r="CR148" s="205"/>
      <c r="CS148" s="205"/>
      <c r="CT148" s="205"/>
      <c r="CU148" s="205"/>
      <c r="CV148" s="205"/>
      <c r="CW148" s="205"/>
      <c r="CX148" s="205"/>
      <c r="CY148" s="205"/>
      <c r="CZ148" s="205"/>
      <c r="DA148" s="205"/>
      <c r="DB148" s="205"/>
      <c r="DC148" s="205"/>
      <c r="DD148" s="205"/>
      <c r="DE148" s="205"/>
      <c r="DF148" s="205"/>
      <c r="DG148" s="205"/>
      <c r="DH148" s="205"/>
      <c r="DI148" s="205"/>
      <c r="DJ148" s="205"/>
      <c r="DK148" s="205"/>
      <c r="DL148" s="205"/>
      <c r="DM148" s="205"/>
      <c r="DN148" s="205"/>
      <c r="DO148" s="205"/>
      <c r="DP148" s="205"/>
      <c r="DQ148" s="205"/>
      <c r="DR148" s="205"/>
      <c r="DS148" s="205"/>
      <c r="DT148" s="205"/>
      <c r="DU148" s="205"/>
      <c r="DV148" s="205"/>
      <c r="DW148" s="205"/>
      <c r="DX148" s="205"/>
      <c r="DY148" s="205"/>
      <c r="DZ148" s="205"/>
      <c r="EA148" s="205"/>
      <c r="EB148" s="205"/>
      <c r="EC148" s="205"/>
      <c r="ED148" s="205"/>
      <c r="EE148" s="205"/>
      <c r="EF148" s="205"/>
      <c r="EG148" s="205"/>
      <c r="EH148" s="205"/>
      <c r="EI148" s="205"/>
      <c r="EJ148" s="205"/>
      <c r="EK148" s="205"/>
      <c r="EL148" s="205"/>
      <c r="EM148" s="205"/>
      <c r="EN148" s="205"/>
      <c r="EO148" s="205"/>
      <c r="EP148" s="205"/>
      <c r="EQ148" s="205"/>
      <c r="ER148" s="205"/>
      <c r="ES148" s="205"/>
      <c r="ET148" s="205"/>
      <c r="EU148" s="205"/>
      <c r="EV148" s="205"/>
      <c r="EW148" s="205"/>
      <c r="EX148" s="205"/>
      <c r="EY148" s="205"/>
      <c r="EZ148" s="205"/>
      <c r="FA148" s="205"/>
      <c r="FB148" s="205"/>
      <c r="FC148" s="205"/>
      <c r="FD148" s="205"/>
      <c r="FE148" s="205"/>
      <c r="FF148" s="205"/>
      <c r="FG148" s="205"/>
      <c r="FH148" s="205"/>
      <c r="FI148" s="205"/>
      <c r="FJ148" s="205"/>
      <c r="FK148" s="205"/>
      <c r="FL148" s="205"/>
      <c r="FM148" s="205"/>
      <c r="FN148" s="205"/>
      <c r="FO148" s="205"/>
      <c r="FP148" s="205"/>
      <c r="FQ148" s="205"/>
      <c r="FR148" s="205"/>
      <c r="FS148" s="205"/>
      <c r="FT148" s="205"/>
      <c r="FU148" s="205"/>
      <c r="FV148" s="205"/>
      <c r="FW148" s="205"/>
      <c r="FX148" s="205"/>
      <c r="FY148" s="205"/>
      <c r="FZ148" s="205"/>
      <c r="GA148" s="205"/>
      <c r="GB148" s="205"/>
      <c r="GC148" s="205"/>
      <c r="GD148" s="205"/>
      <c r="GE148" s="205"/>
      <c r="GF148" s="205"/>
      <c r="GG148" s="205"/>
      <c r="GH148" s="205"/>
      <c r="GI148" s="205"/>
      <c r="GJ148" s="205"/>
      <c r="GK148" s="205"/>
      <c r="GL148" s="205"/>
      <c r="GM148" s="205"/>
      <c r="GN148" s="205"/>
      <c r="GO148" s="205"/>
      <c r="GP148" s="205"/>
      <c r="GQ148" s="205"/>
      <c r="GR148" s="205"/>
      <c r="GS148" s="205"/>
      <c r="GT148" s="205"/>
      <c r="GU148" s="205"/>
      <c r="GV148" s="205"/>
      <c r="GW148" s="205"/>
      <c r="GX148" s="205"/>
      <c r="GY148" s="205"/>
      <c r="GZ148" s="205"/>
      <c r="HA148" s="205"/>
      <c r="HB148" s="205"/>
      <c r="HC148" s="205"/>
      <c r="HD148" s="205"/>
      <c r="HE148" s="205"/>
      <c r="HF148" s="205"/>
      <c r="HG148" s="205"/>
      <c r="HH148" s="205"/>
      <c r="HI148" s="205"/>
      <c r="HJ148" s="205"/>
      <c r="HK148" s="205"/>
      <c r="HL148" s="205"/>
      <c r="HM148" s="205"/>
      <c r="HN148" s="205"/>
      <c r="HO148" s="205"/>
      <c r="HP148" s="205"/>
      <c r="HQ148" s="205"/>
      <c r="HR148" s="205"/>
      <c r="HS148" s="205"/>
      <c r="HT148" s="205"/>
      <c r="HU148" s="205"/>
      <c r="HV148" s="205"/>
      <c r="HW148" s="205"/>
      <c r="HX148" s="205"/>
      <c r="HY148" s="205"/>
      <c r="HZ148" s="205"/>
      <c r="IA148" s="205"/>
      <c r="IB148" s="205"/>
      <c r="IC148" s="205"/>
      <c r="ID148" s="205"/>
      <c r="IE148" s="205"/>
      <c r="IF148" s="205"/>
      <c r="IG148" s="205"/>
      <c r="IH148" s="205"/>
      <c r="II148" s="205"/>
      <c r="IJ148" s="205"/>
      <c r="IK148" s="205"/>
      <c r="IL148" s="205"/>
      <c r="IM148" s="205"/>
      <c r="IN148" s="205"/>
      <c r="IO148" s="205"/>
      <c r="IP148" s="205"/>
      <c r="IQ148" s="205"/>
      <c r="IR148" s="205"/>
      <c r="IS148" s="205"/>
      <c r="IT148" s="205"/>
      <c r="IU148" s="205"/>
      <c r="IV148" s="205"/>
      <c r="IW148" s="205"/>
      <c r="IX148" s="205"/>
    </row>
    <row r="149" spans="1:258" s="203" customFormat="1" x14ac:dyDescent="0.2">
      <c r="A149" s="669"/>
      <c r="B149" s="670"/>
      <c r="C149" s="1358"/>
      <c r="D149" s="672"/>
      <c r="E149" s="1359"/>
      <c r="F149" s="1359"/>
      <c r="G149" s="1360" t="str">
        <f t="shared" ref="G149:G150" si="48">G138</f>
        <v>FP2</v>
      </c>
      <c r="H149" s="1361">
        <f t="shared" ref="H149:H150" si="49">((H138-0.1)*2)+((L138-0.1)*2*(0.1))</f>
        <v>1.4300000000000002</v>
      </c>
      <c r="I149" s="1362" t="s">
        <v>424</v>
      </c>
      <c r="J149" s="1374">
        <f t="shared" ref="J149:J150" si="50">H138/0.15</f>
        <v>5.3333333333333339</v>
      </c>
      <c r="K149" s="1362" t="s">
        <v>424</v>
      </c>
      <c r="L149" s="1375">
        <f t="shared" ref="L149:L152" si="51">Z149</f>
        <v>0.88736400000000004</v>
      </c>
      <c r="M149" s="1362" t="s">
        <v>424</v>
      </c>
      <c r="N149" s="1362">
        <f t="shared" ref="N149:N150" si="52">N138</f>
        <v>10</v>
      </c>
      <c r="O149" s="1362" t="s">
        <v>424</v>
      </c>
      <c r="P149" s="1362">
        <v>2</v>
      </c>
      <c r="Q149" s="1362" t="s">
        <v>696</v>
      </c>
      <c r="R149" s="1363">
        <f t="shared" ref="R149:R150" si="53">H149*J149*L149*N149*P149</f>
        <v>135.35258880000004</v>
      </c>
      <c r="S149" s="1364"/>
      <c r="T149" s="722"/>
      <c r="U149" s="205"/>
      <c r="V149" s="687" t="s">
        <v>1553</v>
      </c>
      <c r="W149" s="688">
        <v>1.2E-2</v>
      </c>
      <c r="X149" s="689">
        <v>7850</v>
      </c>
      <c r="Y149" s="690">
        <f t="shared" ref="Y149:Y150" si="54">0.25*3.14*(W149*W149)</f>
        <v>1.1304E-4</v>
      </c>
      <c r="Z149" s="691">
        <f t="shared" ref="Z149:Z150" si="55">X149*Y149*AA149</f>
        <v>0.88736400000000004</v>
      </c>
      <c r="AA149" s="689">
        <v>1</v>
      </c>
      <c r="AB149" s="692">
        <f t="shared" ref="AB149:AB150" si="56">Z149*12</f>
        <v>10.648368000000001</v>
      </c>
      <c r="AC149" s="693" t="s">
        <v>1554</v>
      </c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05"/>
      <c r="BN149" s="205"/>
      <c r="BO149" s="205"/>
      <c r="BP149" s="205"/>
      <c r="BQ149" s="205"/>
      <c r="BR149" s="205"/>
      <c r="BS149" s="205"/>
      <c r="BT149" s="205"/>
      <c r="BU149" s="205"/>
      <c r="BV149" s="205"/>
      <c r="BW149" s="205"/>
      <c r="BX149" s="205"/>
      <c r="BY149" s="205"/>
      <c r="BZ149" s="205"/>
      <c r="CA149" s="205"/>
      <c r="CB149" s="205"/>
      <c r="CC149" s="205"/>
      <c r="CD149" s="205"/>
      <c r="CE149" s="205"/>
      <c r="CF149" s="205"/>
      <c r="CG149" s="205"/>
      <c r="CH149" s="205"/>
      <c r="CI149" s="205"/>
      <c r="CJ149" s="205"/>
      <c r="CK149" s="205"/>
      <c r="CL149" s="205"/>
      <c r="CM149" s="205"/>
      <c r="CN149" s="205"/>
      <c r="CO149" s="205"/>
      <c r="CP149" s="205"/>
      <c r="CQ149" s="205"/>
      <c r="CR149" s="205"/>
      <c r="CS149" s="205"/>
      <c r="CT149" s="205"/>
      <c r="CU149" s="205"/>
      <c r="CV149" s="205"/>
      <c r="CW149" s="205"/>
      <c r="CX149" s="205"/>
      <c r="CY149" s="205"/>
      <c r="CZ149" s="205"/>
      <c r="DA149" s="205"/>
      <c r="DB149" s="205"/>
      <c r="DC149" s="205"/>
      <c r="DD149" s="205"/>
      <c r="DE149" s="205"/>
      <c r="DF149" s="205"/>
      <c r="DG149" s="205"/>
      <c r="DH149" s="205"/>
      <c r="DI149" s="205"/>
      <c r="DJ149" s="205"/>
      <c r="DK149" s="205"/>
      <c r="DL149" s="205"/>
      <c r="DM149" s="205"/>
      <c r="DN149" s="205"/>
      <c r="DO149" s="205"/>
      <c r="DP149" s="205"/>
      <c r="DQ149" s="205"/>
      <c r="DR149" s="205"/>
      <c r="DS149" s="205"/>
      <c r="DT149" s="205"/>
      <c r="DU149" s="205"/>
      <c r="DV149" s="205"/>
      <c r="DW149" s="205"/>
      <c r="DX149" s="205"/>
      <c r="DY149" s="205"/>
      <c r="DZ149" s="205"/>
      <c r="EA149" s="205"/>
      <c r="EB149" s="205"/>
      <c r="EC149" s="205"/>
      <c r="ED149" s="205"/>
      <c r="EE149" s="205"/>
      <c r="EF149" s="205"/>
      <c r="EG149" s="205"/>
      <c r="EH149" s="205"/>
      <c r="EI149" s="205"/>
      <c r="EJ149" s="205"/>
      <c r="EK149" s="205"/>
      <c r="EL149" s="205"/>
      <c r="EM149" s="205"/>
      <c r="EN149" s="205"/>
      <c r="EO149" s="205"/>
      <c r="EP149" s="205"/>
      <c r="EQ149" s="205"/>
      <c r="ER149" s="205"/>
      <c r="ES149" s="205"/>
      <c r="ET149" s="205"/>
      <c r="EU149" s="205"/>
      <c r="EV149" s="205"/>
      <c r="EW149" s="205"/>
      <c r="EX149" s="205"/>
      <c r="EY149" s="205"/>
      <c r="EZ149" s="205"/>
      <c r="FA149" s="205"/>
      <c r="FB149" s="205"/>
      <c r="FC149" s="205"/>
      <c r="FD149" s="205"/>
      <c r="FE149" s="205"/>
      <c r="FF149" s="205"/>
      <c r="FG149" s="205"/>
      <c r="FH149" s="205"/>
      <c r="FI149" s="205"/>
      <c r="FJ149" s="205"/>
      <c r="FK149" s="205"/>
      <c r="FL149" s="205"/>
      <c r="FM149" s="205"/>
      <c r="FN149" s="205"/>
      <c r="FO149" s="205"/>
      <c r="FP149" s="205"/>
      <c r="FQ149" s="205"/>
      <c r="FR149" s="205"/>
      <c r="FS149" s="205"/>
      <c r="FT149" s="205"/>
      <c r="FU149" s="205"/>
      <c r="FV149" s="205"/>
      <c r="FW149" s="205"/>
      <c r="FX149" s="205"/>
      <c r="FY149" s="205"/>
      <c r="FZ149" s="205"/>
      <c r="GA149" s="205"/>
      <c r="GB149" s="205"/>
      <c r="GC149" s="205"/>
      <c r="GD149" s="205"/>
      <c r="GE149" s="205"/>
      <c r="GF149" s="205"/>
      <c r="GG149" s="205"/>
      <c r="GH149" s="205"/>
      <c r="GI149" s="205"/>
      <c r="GJ149" s="205"/>
      <c r="GK149" s="205"/>
      <c r="GL149" s="205"/>
      <c r="GM149" s="205"/>
      <c r="GN149" s="205"/>
      <c r="GO149" s="205"/>
      <c r="GP149" s="205"/>
      <c r="GQ149" s="205"/>
      <c r="GR149" s="205"/>
      <c r="GS149" s="205"/>
      <c r="GT149" s="205"/>
      <c r="GU149" s="205"/>
      <c r="GV149" s="205"/>
      <c r="GW149" s="205"/>
      <c r="GX149" s="205"/>
      <c r="GY149" s="205"/>
      <c r="GZ149" s="205"/>
      <c r="HA149" s="205"/>
      <c r="HB149" s="205"/>
      <c r="HC149" s="205"/>
      <c r="HD149" s="205"/>
      <c r="HE149" s="205"/>
      <c r="HF149" s="205"/>
      <c r="HG149" s="205"/>
      <c r="HH149" s="205"/>
      <c r="HI149" s="205"/>
      <c r="HJ149" s="205"/>
      <c r="HK149" s="205"/>
      <c r="HL149" s="205"/>
      <c r="HM149" s="205"/>
      <c r="HN149" s="205"/>
      <c r="HO149" s="205"/>
      <c r="HP149" s="205"/>
      <c r="HQ149" s="205"/>
      <c r="HR149" s="205"/>
      <c r="HS149" s="205"/>
      <c r="HT149" s="205"/>
      <c r="HU149" s="205"/>
      <c r="HV149" s="205"/>
      <c r="HW149" s="205"/>
      <c r="HX149" s="205"/>
      <c r="HY149" s="205"/>
      <c r="HZ149" s="205"/>
      <c r="IA149" s="205"/>
      <c r="IB149" s="205"/>
      <c r="IC149" s="205"/>
      <c r="ID149" s="205"/>
      <c r="IE149" s="205"/>
      <c r="IF149" s="205"/>
      <c r="IG149" s="205"/>
      <c r="IH149" s="205"/>
      <c r="II149" s="205"/>
      <c r="IJ149" s="205"/>
      <c r="IK149" s="205"/>
      <c r="IL149" s="205"/>
      <c r="IM149" s="205"/>
      <c r="IN149" s="205"/>
      <c r="IO149" s="205"/>
      <c r="IP149" s="205"/>
      <c r="IQ149" s="205"/>
      <c r="IR149" s="205"/>
      <c r="IS149" s="205"/>
      <c r="IT149" s="205"/>
      <c r="IU149" s="205"/>
      <c r="IV149" s="205"/>
      <c r="IW149" s="205"/>
      <c r="IX149" s="205"/>
    </row>
    <row r="150" spans="1:258" s="203" customFormat="1" x14ac:dyDescent="0.2">
      <c r="A150" s="669"/>
      <c r="B150" s="670"/>
      <c r="C150" s="1358"/>
      <c r="D150" s="672"/>
      <c r="E150" s="1359"/>
      <c r="F150" s="1359"/>
      <c r="G150" s="1360" t="str">
        <f t="shared" si="48"/>
        <v>FP3</v>
      </c>
      <c r="H150" s="1361">
        <f t="shared" si="49"/>
        <v>1.4300000000000002</v>
      </c>
      <c r="I150" s="1362" t="s">
        <v>424</v>
      </c>
      <c r="J150" s="1374">
        <f t="shared" si="50"/>
        <v>5.3333333333333339</v>
      </c>
      <c r="K150" s="1362" t="s">
        <v>424</v>
      </c>
      <c r="L150" s="1375">
        <f t="shared" si="51"/>
        <v>0.88736400000000004</v>
      </c>
      <c r="M150" s="1362" t="s">
        <v>424</v>
      </c>
      <c r="N150" s="1362">
        <f t="shared" si="52"/>
        <v>8</v>
      </c>
      <c r="O150" s="1362" t="s">
        <v>424</v>
      </c>
      <c r="P150" s="1362">
        <v>2</v>
      </c>
      <c r="Q150" s="1362" t="s">
        <v>696</v>
      </c>
      <c r="R150" s="1363">
        <f t="shared" si="53"/>
        <v>108.28207104000003</v>
      </c>
      <c r="S150" s="1364"/>
      <c r="T150" s="722"/>
      <c r="U150" s="205"/>
      <c r="V150" s="687" t="s">
        <v>1553</v>
      </c>
      <c r="W150" s="688">
        <v>1.2E-2</v>
      </c>
      <c r="X150" s="689">
        <v>7850</v>
      </c>
      <c r="Y150" s="690">
        <f t="shared" si="54"/>
        <v>1.1304E-4</v>
      </c>
      <c r="Z150" s="691">
        <f t="shared" si="55"/>
        <v>0.88736400000000004</v>
      </c>
      <c r="AA150" s="689">
        <v>1</v>
      </c>
      <c r="AB150" s="692">
        <f t="shared" si="56"/>
        <v>10.648368000000001</v>
      </c>
      <c r="AC150" s="693" t="s">
        <v>1554</v>
      </c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05"/>
      <c r="BN150" s="205"/>
      <c r="BO150" s="205"/>
      <c r="BP150" s="205"/>
      <c r="BQ150" s="205"/>
      <c r="BR150" s="205"/>
      <c r="BS150" s="205"/>
      <c r="BT150" s="205"/>
      <c r="BU150" s="205"/>
      <c r="BV150" s="205"/>
      <c r="BW150" s="205"/>
      <c r="BX150" s="205"/>
      <c r="BY150" s="205"/>
      <c r="BZ150" s="205"/>
      <c r="CA150" s="205"/>
      <c r="CB150" s="205"/>
      <c r="CC150" s="205"/>
      <c r="CD150" s="205"/>
      <c r="CE150" s="205"/>
      <c r="CF150" s="205"/>
      <c r="CG150" s="205"/>
      <c r="CH150" s="205"/>
      <c r="CI150" s="205"/>
      <c r="CJ150" s="205"/>
      <c r="CK150" s="205"/>
      <c r="CL150" s="205"/>
      <c r="CM150" s="205"/>
      <c r="CN150" s="205"/>
      <c r="CO150" s="205"/>
      <c r="CP150" s="205"/>
      <c r="CQ150" s="205"/>
      <c r="CR150" s="205"/>
      <c r="CS150" s="205"/>
      <c r="CT150" s="205"/>
      <c r="CU150" s="205"/>
      <c r="CV150" s="205"/>
      <c r="CW150" s="205"/>
      <c r="CX150" s="205"/>
      <c r="CY150" s="205"/>
      <c r="CZ150" s="205"/>
      <c r="DA150" s="205"/>
      <c r="DB150" s="205"/>
      <c r="DC150" s="205"/>
      <c r="DD150" s="205"/>
      <c r="DE150" s="205"/>
      <c r="DF150" s="205"/>
      <c r="DG150" s="205"/>
      <c r="DH150" s="205"/>
      <c r="DI150" s="205"/>
      <c r="DJ150" s="205"/>
      <c r="DK150" s="205"/>
      <c r="DL150" s="205"/>
      <c r="DM150" s="205"/>
      <c r="DN150" s="205"/>
      <c r="DO150" s="205"/>
      <c r="DP150" s="205"/>
      <c r="DQ150" s="205"/>
      <c r="DR150" s="205"/>
      <c r="DS150" s="205"/>
      <c r="DT150" s="205"/>
      <c r="DU150" s="205"/>
      <c r="DV150" s="205"/>
      <c r="DW150" s="205"/>
      <c r="DX150" s="205"/>
      <c r="DY150" s="205"/>
      <c r="DZ150" s="205"/>
      <c r="EA150" s="205"/>
      <c r="EB150" s="205"/>
      <c r="EC150" s="205"/>
      <c r="ED150" s="205"/>
      <c r="EE150" s="205"/>
      <c r="EF150" s="205"/>
      <c r="EG150" s="205"/>
      <c r="EH150" s="205"/>
      <c r="EI150" s="205"/>
      <c r="EJ150" s="205"/>
      <c r="EK150" s="205"/>
      <c r="EL150" s="205"/>
      <c r="EM150" s="205"/>
      <c r="EN150" s="205"/>
      <c r="EO150" s="205"/>
      <c r="EP150" s="205"/>
      <c r="EQ150" s="205"/>
      <c r="ER150" s="205"/>
      <c r="ES150" s="205"/>
      <c r="ET150" s="205"/>
      <c r="EU150" s="205"/>
      <c r="EV150" s="205"/>
      <c r="EW150" s="205"/>
      <c r="EX150" s="205"/>
      <c r="EY150" s="205"/>
      <c r="EZ150" s="205"/>
      <c r="FA150" s="205"/>
      <c r="FB150" s="205"/>
      <c r="FC150" s="205"/>
      <c r="FD150" s="205"/>
      <c r="FE150" s="205"/>
      <c r="FF150" s="205"/>
      <c r="FG150" s="205"/>
      <c r="FH150" s="205"/>
      <c r="FI150" s="205"/>
      <c r="FJ150" s="205"/>
      <c r="FK150" s="205"/>
      <c r="FL150" s="205"/>
      <c r="FM150" s="205"/>
      <c r="FN150" s="205"/>
      <c r="FO150" s="205"/>
      <c r="FP150" s="205"/>
      <c r="FQ150" s="205"/>
      <c r="FR150" s="205"/>
      <c r="FS150" s="205"/>
      <c r="FT150" s="205"/>
      <c r="FU150" s="205"/>
      <c r="FV150" s="205"/>
      <c r="FW150" s="205"/>
      <c r="FX150" s="205"/>
      <c r="FY150" s="205"/>
      <c r="FZ150" s="205"/>
      <c r="GA150" s="205"/>
      <c r="GB150" s="205"/>
      <c r="GC150" s="205"/>
      <c r="GD150" s="205"/>
      <c r="GE150" s="205"/>
      <c r="GF150" s="205"/>
      <c r="GG150" s="205"/>
      <c r="GH150" s="205"/>
      <c r="GI150" s="205"/>
      <c r="GJ150" s="205"/>
      <c r="GK150" s="205"/>
      <c r="GL150" s="205"/>
      <c r="GM150" s="205"/>
      <c r="GN150" s="205"/>
      <c r="GO150" s="205"/>
      <c r="GP150" s="205"/>
      <c r="GQ150" s="205"/>
      <c r="GR150" s="205"/>
      <c r="GS150" s="205"/>
      <c r="GT150" s="205"/>
      <c r="GU150" s="205"/>
      <c r="GV150" s="205"/>
      <c r="GW150" s="205"/>
      <c r="GX150" s="205"/>
      <c r="GY150" s="205"/>
      <c r="GZ150" s="205"/>
      <c r="HA150" s="205"/>
      <c r="HB150" s="205"/>
      <c r="HC150" s="205"/>
      <c r="HD150" s="205"/>
      <c r="HE150" s="205"/>
      <c r="HF150" s="205"/>
      <c r="HG150" s="205"/>
      <c r="HH150" s="205"/>
      <c r="HI150" s="205"/>
      <c r="HJ150" s="205"/>
      <c r="HK150" s="205"/>
      <c r="HL150" s="205"/>
      <c r="HM150" s="205"/>
      <c r="HN150" s="205"/>
      <c r="HO150" s="205"/>
      <c r="HP150" s="205"/>
      <c r="HQ150" s="205"/>
      <c r="HR150" s="205"/>
      <c r="HS150" s="205"/>
      <c r="HT150" s="205"/>
      <c r="HU150" s="205"/>
      <c r="HV150" s="205"/>
      <c r="HW150" s="205"/>
      <c r="HX150" s="205"/>
      <c r="HY150" s="205"/>
      <c r="HZ150" s="205"/>
      <c r="IA150" s="205"/>
      <c r="IB150" s="205"/>
      <c r="IC150" s="205"/>
      <c r="ID150" s="205"/>
      <c r="IE150" s="205"/>
      <c r="IF150" s="205"/>
      <c r="IG150" s="205"/>
      <c r="IH150" s="205"/>
      <c r="II150" s="205"/>
      <c r="IJ150" s="205"/>
      <c r="IK150" s="205"/>
      <c r="IL150" s="205"/>
      <c r="IM150" s="205"/>
      <c r="IN150" s="205"/>
      <c r="IO150" s="205"/>
      <c r="IP150" s="205"/>
      <c r="IQ150" s="205"/>
      <c r="IR150" s="205"/>
      <c r="IS150" s="205"/>
      <c r="IT150" s="205"/>
      <c r="IU150" s="205"/>
      <c r="IV150" s="205"/>
      <c r="IW150" s="205"/>
      <c r="IX150" s="205"/>
    </row>
    <row r="151" spans="1:258" s="203" customFormat="1" x14ac:dyDescent="0.2">
      <c r="A151" s="669"/>
      <c r="B151" s="670"/>
      <c r="C151" s="1358"/>
      <c r="D151" s="672"/>
      <c r="E151" s="1359"/>
      <c r="F151" s="1359" t="str">
        <f>F140</f>
        <v>Pedestal</v>
      </c>
      <c r="G151" s="1360"/>
      <c r="H151" s="1361"/>
      <c r="I151" s="1362"/>
      <c r="J151" s="1362"/>
      <c r="K151" s="1362"/>
      <c r="L151" s="1362"/>
      <c r="M151" s="1362"/>
      <c r="N151" s="1362"/>
      <c r="O151" s="1362"/>
      <c r="P151" s="1362"/>
      <c r="Q151" s="1362"/>
      <c r="R151" s="1363"/>
      <c r="S151" s="1364"/>
      <c r="T151" s="722"/>
      <c r="U151" s="205"/>
      <c r="V151" s="685"/>
      <c r="W151" s="205"/>
      <c r="X151" s="205"/>
      <c r="Y151" s="205"/>
      <c r="Z151" s="205"/>
      <c r="AA151" s="205"/>
      <c r="AB151" s="205"/>
      <c r="AC151" s="205"/>
      <c r="AD151" s="205"/>
      <c r="AE151" s="205"/>
      <c r="AF151" s="205"/>
      <c r="AG151" s="205"/>
      <c r="AH151" s="205"/>
      <c r="AI151" s="205"/>
      <c r="AJ151" s="205"/>
      <c r="AK151" s="205"/>
      <c r="AL151" s="205"/>
      <c r="AM151" s="205"/>
      <c r="AN151" s="205"/>
      <c r="AO151" s="205"/>
      <c r="AP151" s="205"/>
      <c r="AQ151" s="205"/>
      <c r="AR151" s="205"/>
      <c r="AS151" s="205"/>
      <c r="AT151" s="205"/>
      <c r="AU151" s="205"/>
      <c r="AV151" s="205"/>
      <c r="AW151" s="205"/>
      <c r="AX151" s="205"/>
      <c r="AY151" s="205"/>
      <c r="AZ151" s="205"/>
      <c r="BA151" s="205"/>
      <c r="BB151" s="205"/>
      <c r="BC151" s="205"/>
      <c r="BD151" s="205"/>
      <c r="BE151" s="205"/>
      <c r="BF151" s="205"/>
      <c r="BG151" s="205"/>
      <c r="BH151" s="205"/>
      <c r="BI151" s="205"/>
      <c r="BJ151" s="205"/>
      <c r="BK151" s="205"/>
      <c r="BL151" s="205"/>
      <c r="BM151" s="205"/>
      <c r="BN151" s="205"/>
      <c r="BO151" s="205"/>
      <c r="BP151" s="205"/>
      <c r="BQ151" s="205"/>
      <c r="BR151" s="205"/>
      <c r="BS151" s="205"/>
      <c r="BT151" s="205"/>
      <c r="BU151" s="205"/>
      <c r="BV151" s="205"/>
      <c r="BW151" s="205"/>
      <c r="BX151" s="205"/>
      <c r="BY151" s="205"/>
      <c r="BZ151" s="205"/>
      <c r="CA151" s="205"/>
      <c r="CB151" s="205"/>
      <c r="CC151" s="205"/>
      <c r="CD151" s="205"/>
      <c r="CE151" s="205"/>
      <c r="CF151" s="205"/>
      <c r="CG151" s="205"/>
      <c r="CH151" s="205"/>
      <c r="CI151" s="205"/>
      <c r="CJ151" s="205"/>
      <c r="CK151" s="205"/>
      <c r="CL151" s="205"/>
      <c r="CM151" s="205"/>
      <c r="CN151" s="205"/>
      <c r="CO151" s="205"/>
      <c r="CP151" s="205"/>
      <c r="CQ151" s="205"/>
      <c r="CR151" s="205"/>
      <c r="CS151" s="205"/>
      <c r="CT151" s="205"/>
      <c r="CU151" s="205"/>
      <c r="CV151" s="205"/>
      <c r="CW151" s="205"/>
      <c r="CX151" s="205"/>
      <c r="CY151" s="205"/>
      <c r="CZ151" s="205"/>
      <c r="DA151" s="205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205"/>
      <c r="DN151" s="205"/>
      <c r="DO151" s="205"/>
      <c r="DP151" s="205"/>
      <c r="DQ151" s="205"/>
      <c r="DR151" s="205"/>
      <c r="DS151" s="205"/>
      <c r="DT151" s="205"/>
      <c r="DU151" s="205"/>
      <c r="DV151" s="205"/>
      <c r="DW151" s="205"/>
      <c r="DX151" s="205"/>
      <c r="DY151" s="205"/>
      <c r="DZ151" s="205"/>
      <c r="EA151" s="205"/>
      <c r="EB151" s="205"/>
      <c r="EC151" s="205"/>
      <c r="ED151" s="205"/>
      <c r="EE151" s="205"/>
      <c r="EF151" s="205"/>
      <c r="EG151" s="205"/>
      <c r="EH151" s="205"/>
      <c r="EI151" s="205"/>
      <c r="EJ151" s="205"/>
      <c r="EK151" s="205"/>
      <c r="EL151" s="205"/>
      <c r="EM151" s="205"/>
      <c r="EN151" s="205"/>
      <c r="EO151" s="205"/>
      <c r="EP151" s="205"/>
      <c r="EQ151" s="205"/>
      <c r="ER151" s="205"/>
      <c r="ES151" s="205"/>
      <c r="ET151" s="205"/>
      <c r="EU151" s="205"/>
      <c r="EV151" s="205"/>
      <c r="EW151" s="205"/>
      <c r="EX151" s="205"/>
      <c r="EY151" s="205"/>
      <c r="EZ151" s="205"/>
      <c r="FA151" s="205"/>
      <c r="FB151" s="205"/>
      <c r="FC151" s="205"/>
      <c r="FD151" s="205"/>
      <c r="FE151" s="205"/>
      <c r="FF151" s="205"/>
      <c r="FG151" s="205"/>
      <c r="FH151" s="205"/>
      <c r="FI151" s="205"/>
      <c r="FJ151" s="205"/>
      <c r="FK151" s="205"/>
      <c r="FL151" s="205"/>
      <c r="FM151" s="205"/>
      <c r="FN151" s="205"/>
      <c r="FO151" s="205"/>
      <c r="FP151" s="205"/>
      <c r="FQ151" s="205"/>
      <c r="FR151" s="205"/>
      <c r="FS151" s="205"/>
      <c r="FT151" s="205"/>
      <c r="FU151" s="205"/>
      <c r="FV151" s="205"/>
      <c r="FW151" s="205"/>
      <c r="FX151" s="205"/>
      <c r="FY151" s="205"/>
      <c r="FZ151" s="205"/>
      <c r="GA151" s="205"/>
      <c r="GB151" s="205"/>
      <c r="GC151" s="205"/>
      <c r="GD151" s="205"/>
      <c r="GE151" s="205"/>
      <c r="GF151" s="205"/>
      <c r="GG151" s="205"/>
      <c r="GH151" s="205"/>
      <c r="GI151" s="205"/>
      <c r="GJ151" s="205"/>
      <c r="GK151" s="205"/>
      <c r="GL151" s="205"/>
      <c r="GM151" s="205"/>
      <c r="GN151" s="205"/>
      <c r="GO151" s="205"/>
      <c r="GP151" s="205"/>
      <c r="GQ151" s="205"/>
      <c r="GR151" s="205"/>
      <c r="GS151" s="205"/>
      <c r="GT151" s="205"/>
      <c r="GU151" s="205"/>
      <c r="GV151" s="205"/>
      <c r="GW151" s="205"/>
      <c r="GX151" s="205"/>
      <c r="GY151" s="205"/>
      <c r="GZ151" s="205"/>
      <c r="HA151" s="205"/>
      <c r="HB151" s="205"/>
      <c r="HC151" s="205"/>
      <c r="HD151" s="205"/>
      <c r="HE151" s="205"/>
      <c r="HF151" s="205"/>
      <c r="HG151" s="205"/>
      <c r="HH151" s="205"/>
      <c r="HI151" s="205"/>
      <c r="HJ151" s="205"/>
      <c r="HK151" s="205"/>
      <c r="HL151" s="205"/>
      <c r="HM151" s="205"/>
      <c r="HN151" s="205"/>
      <c r="HO151" s="205"/>
      <c r="HP151" s="205"/>
      <c r="HQ151" s="205"/>
      <c r="HR151" s="205"/>
      <c r="HS151" s="205"/>
      <c r="HT151" s="205"/>
      <c r="HU151" s="205"/>
      <c r="HV151" s="205"/>
      <c r="HW151" s="205"/>
      <c r="HX151" s="205"/>
      <c r="HY151" s="205"/>
      <c r="HZ151" s="205"/>
      <c r="IA151" s="205"/>
      <c r="IB151" s="205"/>
      <c r="IC151" s="205"/>
      <c r="ID151" s="205"/>
      <c r="IE151" s="205"/>
      <c r="IF151" s="205"/>
      <c r="IG151" s="205"/>
      <c r="IH151" s="205"/>
      <c r="II151" s="205"/>
      <c r="IJ151" s="205"/>
      <c r="IK151" s="205"/>
      <c r="IL151" s="205"/>
      <c r="IM151" s="205"/>
      <c r="IN151" s="205"/>
      <c r="IO151" s="205"/>
      <c r="IP151" s="205"/>
      <c r="IQ151" s="205"/>
      <c r="IR151" s="205"/>
      <c r="IS151" s="205"/>
      <c r="IT151" s="205"/>
      <c r="IU151" s="205"/>
      <c r="IV151" s="205"/>
      <c r="IW151" s="205"/>
      <c r="IX151" s="205"/>
    </row>
    <row r="152" spans="1:258" s="203" customFormat="1" x14ac:dyDescent="0.2">
      <c r="A152" s="669"/>
      <c r="B152" s="670"/>
      <c r="C152" s="1358"/>
      <c r="D152" s="672"/>
      <c r="E152" s="1359"/>
      <c r="F152" s="1359"/>
      <c r="G152" s="1360" t="str">
        <f>G141</f>
        <v>FP1</v>
      </c>
      <c r="H152" s="1361">
        <f>L141+0.4</f>
        <v>1.9</v>
      </c>
      <c r="I152" s="1362" t="s">
        <v>424</v>
      </c>
      <c r="J152" s="1362">
        <v>4</v>
      </c>
      <c r="K152" s="1362" t="s">
        <v>424</v>
      </c>
      <c r="L152" s="1375">
        <f t="shared" si="51"/>
        <v>0.88736400000000004</v>
      </c>
      <c r="M152" s="1362" t="s">
        <v>424</v>
      </c>
      <c r="N152" s="1362">
        <f>N141</f>
        <v>9</v>
      </c>
      <c r="O152" s="1362"/>
      <c r="P152" s="1362"/>
      <c r="Q152" s="1362" t="s">
        <v>696</v>
      </c>
      <c r="R152" s="1363">
        <f>H152*J152*L152*N152</f>
        <v>60.695697599999995</v>
      </c>
      <c r="S152" s="1364"/>
      <c r="T152" s="722"/>
      <c r="U152" s="205"/>
      <c r="V152" s="687" t="s">
        <v>1553</v>
      </c>
      <c r="W152" s="688">
        <v>1.2E-2</v>
      </c>
      <c r="X152" s="689">
        <v>7850</v>
      </c>
      <c r="Y152" s="690">
        <f t="shared" ref="Y152:Y154" si="57">0.25*3.14*(W152*W152)</f>
        <v>1.1304E-4</v>
      </c>
      <c r="Z152" s="691">
        <f t="shared" ref="Z152:Z154" si="58">X152*Y152*AA152</f>
        <v>0.88736400000000004</v>
      </c>
      <c r="AA152" s="689">
        <v>1</v>
      </c>
      <c r="AB152" s="692">
        <f t="shared" ref="AB152:AB154" si="59">Z152*12</f>
        <v>10.648368000000001</v>
      </c>
      <c r="AC152" s="693" t="s">
        <v>1554</v>
      </c>
      <c r="AD152" s="205"/>
      <c r="AE152" s="205"/>
      <c r="AF152" s="205"/>
      <c r="AG152" s="205"/>
      <c r="AH152" s="205"/>
      <c r="AI152" s="205"/>
      <c r="AJ152" s="205"/>
      <c r="AK152" s="205"/>
      <c r="AL152" s="205"/>
      <c r="AM152" s="205"/>
      <c r="AN152" s="205"/>
      <c r="AO152" s="205"/>
      <c r="AP152" s="205"/>
      <c r="AQ152" s="205"/>
      <c r="AR152" s="205"/>
      <c r="AS152" s="205"/>
      <c r="AT152" s="205"/>
      <c r="AU152" s="205"/>
      <c r="AV152" s="205"/>
      <c r="AW152" s="205"/>
      <c r="AX152" s="205"/>
      <c r="AY152" s="205"/>
      <c r="AZ152" s="205"/>
      <c r="BA152" s="205"/>
      <c r="BB152" s="205"/>
      <c r="BC152" s="205"/>
      <c r="BD152" s="205"/>
      <c r="BE152" s="205"/>
      <c r="BF152" s="205"/>
      <c r="BG152" s="205"/>
      <c r="BH152" s="205"/>
      <c r="BI152" s="205"/>
      <c r="BJ152" s="205"/>
      <c r="BK152" s="205"/>
      <c r="BL152" s="205"/>
      <c r="BM152" s="205"/>
      <c r="BN152" s="205"/>
      <c r="BO152" s="205"/>
      <c r="BP152" s="205"/>
      <c r="BQ152" s="205"/>
      <c r="BR152" s="205"/>
      <c r="BS152" s="205"/>
      <c r="BT152" s="205"/>
      <c r="BU152" s="205"/>
      <c r="BV152" s="205"/>
      <c r="BW152" s="205"/>
      <c r="BX152" s="205"/>
      <c r="BY152" s="205"/>
      <c r="BZ152" s="205"/>
      <c r="CA152" s="205"/>
      <c r="CB152" s="205"/>
      <c r="CC152" s="205"/>
      <c r="CD152" s="205"/>
      <c r="CE152" s="205"/>
      <c r="CF152" s="205"/>
      <c r="CG152" s="205"/>
      <c r="CH152" s="205"/>
      <c r="CI152" s="205"/>
      <c r="CJ152" s="205"/>
      <c r="CK152" s="205"/>
      <c r="CL152" s="205"/>
      <c r="CM152" s="205"/>
      <c r="CN152" s="205"/>
      <c r="CO152" s="205"/>
      <c r="CP152" s="205"/>
      <c r="CQ152" s="205"/>
      <c r="CR152" s="205"/>
      <c r="CS152" s="205"/>
      <c r="CT152" s="205"/>
      <c r="CU152" s="205"/>
      <c r="CV152" s="205"/>
      <c r="CW152" s="205"/>
      <c r="CX152" s="205"/>
      <c r="CY152" s="205"/>
      <c r="CZ152" s="205"/>
      <c r="DA152" s="205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205"/>
      <c r="DN152" s="205"/>
      <c r="DO152" s="205"/>
      <c r="DP152" s="205"/>
      <c r="DQ152" s="205"/>
      <c r="DR152" s="205"/>
      <c r="DS152" s="205"/>
      <c r="DT152" s="205"/>
      <c r="DU152" s="205"/>
      <c r="DV152" s="205"/>
      <c r="DW152" s="205"/>
      <c r="DX152" s="205"/>
      <c r="DY152" s="205"/>
      <c r="DZ152" s="205"/>
      <c r="EA152" s="205"/>
      <c r="EB152" s="205"/>
      <c r="EC152" s="205"/>
      <c r="ED152" s="205"/>
      <c r="EE152" s="205"/>
      <c r="EF152" s="205"/>
      <c r="EG152" s="205"/>
      <c r="EH152" s="205"/>
      <c r="EI152" s="205"/>
      <c r="EJ152" s="205"/>
      <c r="EK152" s="205"/>
      <c r="EL152" s="205"/>
      <c r="EM152" s="205"/>
      <c r="EN152" s="205"/>
      <c r="EO152" s="205"/>
      <c r="EP152" s="205"/>
      <c r="EQ152" s="205"/>
      <c r="ER152" s="205"/>
      <c r="ES152" s="205"/>
      <c r="ET152" s="205"/>
      <c r="EU152" s="205"/>
      <c r="EV152" s="205"/>
      <c r="EW152" s="205"/>
      <c r="EX152" s="205"/>
      <c r="EY152" s="205"/>
      <c r="EZ152" s="205"/>
      <c r="FA152" s="205"/>
      <c r="FB152" s="205"/>
      <c r="FC152" s="205"/>
      <c r="FD152" s="205"/>
      <c r="FE152" s="205"/>
      <c r="FF152" s="205"/>
      <c r="FG152" s="205"/>
      <c r="FH152" s="205"/>
      <c r="FI152" s="205"/>
      <c r="FJ152" s="205"/>
      <c r="FK152" s="205"/>
      <c r="FL152" s="205"/>
      <c r="FM152" s="205"/>
      <c r="FN152" s="205"/>
      <c r="FO152" s="205"/>
      <c r="FP152" s="205"/>
      <c r="FQ152" s="205"/>
      <c r="FR152" s="205"/>
      <c r="FS152" s="205"/>
      <c r="FT152" s="205"/>
      <c r="FU152" s="205"/>
      <c r="FV152" s="205"/>
      <c r="FW152" s="205"/>
      <c r="FX152" s="205"/>
      <c r="FY152" s="205"/>
      <c r="FZ152" s="205"/>
      <c r="GA152" s="205"/>
      <c r="GB152" s="205"/>
      <c r="GC152" s="205"/>
      <c r="GD152" s="205"/>
      <c r="GE152" s="205"/>
      <c r="GF152" s="205"/>
      <c r="GG152" s="205"/>
      <c r="GH152" s="205"/>
      <c r="GI152" s="205"/>
      <c r="GJ152" s="205"/>
      <c r="GK152" s="205"/>
      <c r="GL152" s="205"/>
      <c r="GM152" s="205"/>
      <c r="GN152" s="205"/>
      <c r="GO152" s="205"/>
      <c r="GP152" s="205"/>
      <c r="GQ152" s="205"/>
      <c r="GR152" s="205"/>
      <c r="GS152" s="205"/>
      <c r="GT152" s="205"/>
      <c r="GU152" s="205"/>
      <c r="GV152" s="205"/>
      <c r="GW152" s="205"/>
      <c r="GX152" s="205"/>
      <c r="GY152" s="205"/>
      <c r="GZ152" s="205"/>
      <c r="HA152" s="205"/>
      <c r="HB152" s="205"/>
      <c r="HC152" s="205"/>
      <c r="HD152" s="205"/>
      <c r="HE152" s="205"/>
      <c r="HF152" s="205"/>
      <c r="HG152" s="205"/>
      <c r="HH152" s="205"/>
      <c r="HI152" s="205"/>
      <c r="HJ152" s="205"/>
      <c r="HK152" s="205"/>
      <c r="HL152" s="205"/>
      <c r="HM152" s="205"/>
      <c r="HN152" s="205"/>
      <c r="HO152" s="205"/>
      <c r="HP152" s="205"/>
      <c r="HQ152" s="205"/>
      <c r="HR152" s="205"/>
      <c r="HS152" s="205"/>
      <c r="HT152" s="205"/>
      <c r="HU152" s="205"/>
      <c r="HV152" s="205"/>
      <c r="HW152" s="205"/>
      <c r="HX152" s="205"/>
      <c r="HY152" s="205"/>
      <c r="HZ152" s="205"/>
      <c r="IA152" s="205"/>
      <c r="IB152" s="205"/>
      <c r="IC152" s="205"/>
      <c r="ID152" s="205"/>
      <c r="IE152" s="205"/>
      <c r="IF152" s="205"/>
      <c r="IG152" s="205"/>
      <c r="IH152" s="205"/>
      <c r="II152" s="205"/>
      <c r="IJ152" s="205"/>
      <c r="IK152" s="205"/>
      <c r="IL152" s="205"/>
      <c r="IM152" s="205"/>
      <c r="IN152" s="205"/>
      <c r="IO152" s="205"/>
      <c r="IP152" s="205"/>
      <c r="IQ152" s="205"/>
      <c r="IR152" s="205"/>
      <c r="IS152" s="205"/>
      <c r="IT152" s="205"/>
      <c r="IU152" s="205"/>
      <c r="IV152" s="205"/>
      <c r="IW152" s="205"/>
      <c r="IX152" s="205"/>
    </row>
    <row r="153" spans="1:258" s="203" customFormat="1" x14ac:dyDescent="0.2">
      <c r="A153" s="669"/>
      <c r="B153" s="670"/>
      <c r="C153" s="1358"/>
      <c r="D153" s="672"/>
      <c r="E153" s="1359"/>
      <c r="F153" s="1359"/>
      <c r="G153" s="1360" t="str">
        <f t="shared" ref="G153:G154" si="60">G142</f>
        <v>FP2</v>
      </c>
      <c r="H153" s="1361">
        <f t="shared" ref="H153:H154" si="61">L142+0.4</f>
        <v>1.9</v>
      </c>
      <c r="I153" s="1362" t="s">
        <v>424</v>
      </c>
      <c r="J153" s="1362">
        <v>4</v>
      </c>
      <c r="K153" s="1362" t="s">
        <v>424</v>
      </c>
      <c r="L153" s="1375">
        <f t="shared" ref="L153:L156" si="62">Z153</f>
        <v>0.88736400000000004</v>
      </c>
      <c r="M153" s="1362" t="s">
        <v>424</v>
      </c>
      <c r="N153" s="1362">
        <f t="shared" ref="N153:N154" si="63">N142</f>
        <v>10</v>
      </c>
      <c r="O153" s="1362"/>
      <c r="P153" s="1362"/>
      <c r="Q153" s="1362" t="s">
        <v>696</v>
      </c>
      <c r="R153" s="1363">
        <f t="shared" ref="R153:R154" si="64">H153*J153*L153*N153</f>
        <v>67.439663999999993</v>
      </c>
      <c r="S153" s="1364"/>
      <c r="T153" s="722"/>
      <c r="U153" s="205"/>
      <c r="V153" s="687" t="s">
        <v>1553</v>
      </c>
      <c r="W153" s="688">
        <v>1.2E-2</v>
      </c>
      <c r="X153" s="689">
        <v>7850</v>
      </c>
      <c r="Y153" s="690">
        <f t="shared" si="57"/>
        <v>1.1304E-4</v>
      </c>
      <c r="Z153" s="691">
        <f t="shared" si="58"/>
        <v>0.88736400000000004</v>
      </c>
      <c r="AA153" s="689">
        <v>1</v>
      </c>
      <c r="AB153" s="692">
        <f t="shared" si="59"/>
        <v>10.648368000000001</v>
      </c>
      <c r="AC153" s="693" t="s">
        <v>1554</v>
      </c>
      <c r="AD153" s="205"/>
      <c r="AE153" s="205"/>
      <c r="AF153" s="205"/>
      <c r="AG153" s="205"/>
      <c r="AH153" s="205"/>
      <c r="AI153" s="205"/>
      <c r="AJ153" s="205"/>
      <c r="AK153" s="205"/>
      <c r="AL153" s="205"/>
      <c r="AM153" s="205"/>
      <c r="AN153" s="205"/>
      <c r="AO153" s="205"/>
      <c r="AP153" s="205"/>
      <c r="AQ153" s="205"/>
      <c r="AR153" s="205"/>
      <c r="AS153" s="205"/>
      <c r="AT153" s="205"/>
      <c r="AU153" s="205"/>
      <c r="AV153" s="205"/>
      <c r="AW153" s="205"/>
      <c r="AX153" s="205"/>
      <c r="AY153" s="205"/>
      <c r="AZ153" s="205"/>
      <c r="BA153" s="205"/>
      <c r="BB153" s="205"/>
      <c r="BC153" s="205"/>
      <c r="BD153" s="205"/>
      <c r="BE153" s="205"/>
      <c r="BF153" s="205"/>
      <c r="BG153" s="205"/>
      <c r="BH153" s="205"/>
      <c r="BI153" s="205"/>
      <c r="BJ153" s="205"/>
      <c r="BK153" s="205"/>
      <c r="BL153" s="205"/>
      <c r="BM153" s="205"/>
      <c r="BN153" s="205"/>
      <c r="BO153" s="205"/>
      <c r="BP153" s="205"/>
      <c r="BQ153" s="205"/>
      <c r="BR153" s="205"/>
      <c r="BS153" s="205"/>
      <c r="BT153" s="205"/>
      <c r="BU153" s="205"/>
      <c r="BV153" s="205"/>
      <c r="BW153" s="205"/>
      <c r="BX153" s="205"/>
      <c r="BY153" s="205"/>
      <c r="BZ153" s="205"/>
      <c r="CA153" s="205"/>
      <c r="CB153" s="205"/>
      <c r="CC153" s="205"/>
      <c r="CD153" s="205"/>
      <c r="CE153" s="205"/>
      <c r="CF153" s="205"/>
      <c r="CG153" s="205"/>
      <c r="CH153" s="205"/>
      <c r="CI153" s="205"/>
      <c r="CJ153" s="205"/>
      <c r="CK153" s="205"/>
      <c r="CL153" s="205"/>
      <c r="CM153" s="205"/>
      <c r="CN153" s="205"/>
      <c r="CO153" s="205"/>
      <c r="CP153" s="205"/>
      <c r="CQ153" s="205"/>
      <c r="CR153" s="205"/>
      <c r="CS153" s="205"/>
      <c r="CT153" s="205"/>
      <c r="CU153" s="205"/>
      <c r="CV153" s="205"/>
      <c r="CW153" s="205"/>
      <c r="CX153" s="205"/>
      <c r="CY153" s="205"/>
      <c r="CZ153" s="205"/>
      <c r="DA153" s="20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205"/>
      <c r="DN153" s="205"/>
      <c r="DO153" s="205"/>
      <c r="DP153" s="205"/>
      <c r="DQ153" s="205"/>
      <c r="DR153" s="205"/>
      <c r="DS153" s="205"/>
      <c r="DT153" s="205"/>
      <c r="DU153" s="205"/>
      <c r="DV153" s="205"/>
      <c r="DW153" s="205"/>
      <c r="DX153" s="205"/>
      <c r="DY153" s="205"/>
      <c r="DZ153" s="205"/>
      <c r="EA153" s="205"/>
      <c r="EB153" s="205"/>
      <c r="EC153" s="205"/>
      <c r="ED153" s="205"/>
      <c r="EE153" s="205"/>
      <c r="EF153" s="205"/>
      <c r="EG153" s="205"/>
      <c r="EH153" s="205"/>
      <c r="EI153" s="205"/>
      <c r="EJ153" s="205"/>
      <c r="EK153" s="205"/>
      <c r="EL153" s="205"/>
      <c r="EM153" s="205"/>
      <c r="EN153" s="205"/>
      <c r="EO153" s="205"/>
      <c r="EP153" s="205"/>
      <c r="EQ153" s="205"/>
      <c r="ER153" s="205"/>
      <c r="ES153" s="205"/>
      <c r="ET153" s="205"/>
      <c r="EU153" s="205"/>
      <c r="EV153" s="205"/>
      <c r="EW153" s="205"/>
      <c r="EX153" s="205"/>
      <c r="EY153" s="205"/>
      <c r="EZ153" s="205"/>
      <c r="FA153" s="205"/>
      <c r="FB153" s="205"/>
      <c r="FC153" s="205"/>
      <c r="FD153" s="205"/>
      <c r="FE153" s="205"/>
      <c r="FF153" s="205"/>
      <c r="FG153" s="205"/>
      <c r="FH153" s="205"/>
      <c r="FI153" s="205"/>
      <c r="FJ153" s="205"/>
      <c r="FK153" s="205"/>
      <c r="FL153" s="205"/>
      <c r="FM153" s="205"/>
      <c r="FN153" s="205"/>
      <c r="FO153" s="205"/>
      <c r="FP153" s="205"/>
      <c r="FQ153" s="205"/>
      <c r="FR153" s="205"/>
      <c r="FS153" s="205"/>
      <c r="FT153" s="205"/>
      <c r="FU153" s="205"/>
      <c r="FV153" s="205"/>
      <c r="FW153" s="205"/>
      <c r="FX153" s="205"/>
      <c r="FY153" s="205"/>
      <c r="FZ153" s="205"/>
      <c r="GA153" s="205"/>
      <c r="GB153" s="205"/>
      <c r="GC153" s="205"/>
      <c r="GD153" s="205"/>
      <c r="GE153" s="205"/>
      <c r="GF153" s="205"/>
      <c r="GG153" s="205"/>
      <c r="GH153" s="205"/>
      <c r="GI153" s="205"/>
      <c r="GJ153" s="205"/>
      <c r="GK153" s="205"/>
      <c r="GL153" s="205"/>
      <c r="GM153" s="205"/>
      <c r="GN153" s="205"/>
      <c r="GO153" s="205"/>
      <c r="GP153" s="205"/>
      <c r="GQ153" s="205"/>
      <c r="GR153" s="205"/>
      <c r="GS153" s="205"/>
      <c r="GT153" s="205"/>
      <c r="GU153" s="205"/>
      <c r="GV153" s="205"/>
      <c r="GW153" s="205"/>
      <c r="GX153" s="205"/>
      <c r="GY153" s="205"/>
      <c r="GZ153" s="205"/>
      <c r="HA153" s="205"/>
      <c r="HB153" s="205"/>
      <c r="HC153" s="205"/>
      <c r="HD153" s="205"/>
      <c r="HE153" s="205"/>
      <c r="HF153" s="205"/>
      <c r="HG153" s="205"/>
      <c r="HH153" s="205"/>
      <c r="HI153" s="205"/>
      <c r="HJ153" s="205"/>
      <c r="HK153" s="205"/>
      <c r="HL153" s="205"/>
      <c r="HM153" s="205"/>
      <c r="HN153" s="205"/>
      <c r="HO153" s="205"/>
      <c r="HP153" s="205"/>
      <c r="HQ153" s="205"/>
      <c r="HR153" s="205"/>
      <c r="HS153" s="205"/>
      <c r="HT153" s="205"/>
      <c r="HU153" s="205"/>
      <c r="HV153" s="205"/>
      <c r="HW153" s="205"/>
      <c r="HX153" s="205"/>
      <c r="HY153" s="205"/>
      <c r="HZ153" s="205"/>
      <c r="IA153" s="205"/>
      <c r="IB153" s="205"/>
      <c r="IC153" s="205"/>
      <c r="ID153" s="205"/>
      <c r="IE153" s="205"/>
      <c r="IF153" s="205"/>
      <c r="IG153" s="205"/>
      <c r="IH153" s="205"/>
      <c r="II153" s="205"/>
      <c r="IJ153" s="205"/>
      <c r="IK153" s="205"/>
      <c r="IL153" s="205"/>
      <c r="IM153" s="205"/>
      <c r="IN153" s="205"/>
      <c r="IO153" s="205"/>
      <c r="IP153" s="205"/>
      <c r="IQ153" s="205"/>
      <c r="IR153" s="205"/>
      <c r="IS153" s="205"/>
      <c r="IT153" s="205"/>
      <c r="IU153" s="205"/>
      <c r="IV153" s="205"/>
      <c r="IW153" s="205"/>
      <c r="IX153" s="205"/>
    </row>
    <row r="154" spans="1:258" s="203" customFormat="1" x14ac:dyDescent="0.2">
      <c r="A154" s="669"/>
      <c r="B154" s="670"/>
      <c r="C154" s="1358"/>
      <c r="D154" s="672"/>
      <c r="E154" s="1359"/>
      <c r="F154" s="1359"/>
      <c r="G154" s="1360" t="str">
        <f t="shared" si="60"/>
        <v>FP3</v>
      </c>
      <c r="H154" s="1361">
        <f t="shared" si="61"/>
        <v>1.9</v>
      </c>
      <c r="I154" s="1362" t="s">
        <v>424</v>
      </c>
      <c r="J154" s="1362">
        <v>4</v>
      </c>
      <c r="K154" s="1362" t="s">
        <v>424</v>
      </c>
      <c r="L154" s="1375">
        <f t="shared" si="62"/>
        <v>0.88736400000000004</v>
      </c>
      <c r="M154" s="1362" t="s">
        <v>424</v>
      </c>
      <c r="N154" s="1362">
        <f t="shared" si="63"/>
        <v>8</v>
      </c>
      <c r="O154" s="1362"/>
      <c r="P154" s="1362"/>
      <c r="Q154" s="1362" t="s">
        <v>696</v>
      </c>
      <c r="R154" s="1363">
        <f t="shared" si="64"/>
        <v>53.951731199999998</v>
      </c>
      <c r="S154" s="1364"/>
      <c r="T154" s="722"/>
      <c r="U154" s="205"/>
      <c r="V154" s="687" t="s">
        <v>1553</v>
      </c>
      <c r="W154" s="688">
        <v>1.2E-2</v>
      </c>
      <c r="X154" s="689">
        <v>7850</v>
      </c>
      <c r="Y154" s="690">
        <f t="shared" si="57"/>
        <v>1.1304E-4</v>
      </c>
      <c r="Z154" s="691">
        <f t="shared" si="58"/>
        <v>0.88736400000000004</v>
      </c>
      <c r="AA154" s="689">
        <v>1</v>
      </c>
      <c r="AB154" s="692">
        <f t="shared" si="59"/>
        <v>10.648368000000001</v>
      </c>
      <c r="AC154" s="693" t="s">
        <v>1554</v>
      </c>
      <c r="AD154" s="205"/>
      <c r="AE154" s="205"/>
      <c r="AF154" s="205"/>
      <c r="AG154" s="205"/>
      <c r="AH154" s="205"/>
      <c r="AI154" s="205"/>
      <c r="AJ154" s="205"/>
      <c r="AK154" s="205"/>
      <c r="AL154" s="205"/>
      <c r="AM154" s="205"/>
      <c r="AN154" s="205"/>
      <c r="AO154" s="205"/>
      <c r="AP154" s="205"/>
      <c r="AQ154" s="205"/>
      <c r="AR154" s="205"/>
      <c r="AS154" s="205"/>
      <c r="AT154" s="205"/>
      <c r="AU154" s="205"/>
      <c r="AV154" s="205"/>
      <c r="AW154" s="205"/>
      <c r="AX154" s="205"/>
      <c r="AY154" s="205"/>
      <c r="AZ154" s="205"/>
      <c r="BA154" s="205"/>
      <c r="BB154" s="205"/>
      <c r="BC154" s="205"/>
      <c r="BD154" s="205"/>
      <c r="BE154" s="205"/>
      <c r="BF154" s="205"/>
      <c r="BG154" s="205"/>
      <c r="BH154" s="205"/>
      <c r="BI154" s="205"/>
      <c r="BJ154" s="205"/>
      <c r="BK154" s="205"/>
      <c r="BL154" s="205"/>
      <c r="BM154" s="205"/>
      <c r="BN154" s="205"/>
      <c r="BO154" s="205"/>
      <c r="BP154" s="205"/>
      <c r="BQ154" s="205"/>
      <c r="BR154" s="205"/>
      <c r="BS154" s="205"/>
      <c r="BT154" s="205"/>
      <c r="BU154" s="205"/>
      <c r="BV154" s="205"/>
      <c r="BW154" s="205"/>
      <c r="BX154" s="205"/>
      <c r="BY154" s="205"/>
      <c r="BZ154" s="205"/>
      <c r="CA154" s="205"/>
      <c r="CB154" s="205"/>
      <c r="CC154" s="205"/>
      <c r="CD154" s="205"/>
      <c r="CE154" s="205"/>
      <c r="CF154" s="205"/>
      <c r="CG154" s="205"/>
      <c r="CH154" s="205"/>
      <c r="CI154" s="205"/>
      <c r="CJ154" s="205"/>
      <c r="CK154" s="205"/>
      <c r="CL154" s="205"/>
      <c r="CM154" s="205"/>
      <c r="CN154" s="205"/>
      <c r="CO154" s="205"/>
      <c r="CP154" s="205"/>
      <c r="CQ154" s="205"/>
      <c r="CR154" s="205"/>
      <c r="CS154" s="205"/>
      <c r="CT154" s="205"/>
      <c r="CU154" s="205"/>
      <c r="CV154" s="205"/>
      <c r="CW154" s="205"/>
      <c r="CX154" s="205"/>
      <c r="CY154" s="205"/>
      <c r="CZ154" s="205"/>
      <c r="DA154" s="205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205"/>
      <c r="DN154" s="205"/>
      <c r="DO154" s="205"/>
      <c r="DP154" s="205"/>
      <c r="DQ154" s="205"/>
      <c r="DR154" s="205"/>
      <c r="DS154" s="205"/>
      <c r="DT154" s="205"/>
      <c r="DU154" s="205"/>
      <c r="DV154" s="205"/>
      <c r="DW154" s="205"/>
      <c r="DX154" s="205"/>
      <c r="DY154" s="205"/>
      <c r="DZ154" s="205"/>
      <c r="EA154" s="205"/>
      <c r="EB154" s="205"/>
      <c r="EC154" s="205"/>
      <c r="ED154" s="205"/>
      <c r="EE154" s="205"/>
      <c r="EF154" s="205"/>
      <c r="EG154" s="205"/>
      <c r="EH154" s="205"/>
      <c r="EI154" s="205"/>
      <c r="EJ154" s="205"/>
      <c r="EK154" s="205"/>
      <c r="EL154" s="205"/>
      <c r="EM154" s="205"/>
      <c r="EN154" s="205"/>
      <c r="EO154" s="205"/>
      <c r="EP154" s="205"/>
      <c r="EQ154" s="205"/>
      <c r="ER154" s="205"/>
      <c r="ES154" s="205"/>
      <c r="ET154" s="205"/>
      <c r="EU154" s="205"/>
      <c r="EV154" s="205"/>
      <c r="EW154" s="205"/>
      <c r="EX154" s="205"/>
      <c r="EY154" s="205"/>
      <c r="EZ154" s="205"/>
      <c r="FA154" s="205"/>
      <c r="FB154" s="205"/>
      <c r="FC154" s="205"/>
      <c r="FD154" s="205"/>
      <c r="FE154" s="205"/>
      <c r="FF154" s="205"/>
      <c r="FG154" s="205"/>
      <c r="FH154" s="205"/>
      <c r="FI154" s="205"/>
      <c r="FJ154" s="205"/>
      <c r="FK154" s="205"/>
      <c r="FL154" s="205"/>
      <c r="FM154" s="205"/>
      <c r="FN154" s="205"/>
      <c r="FO154" s="205"/>
      <c r="FP154" s="205"/>
      <c r="FQ154" s="205"/>
      <c r="FR154" s="205"/>
      <c r="FS154" s="205"/>
      <c r="FT154" s="205"/>
      <c r="FU154" s="205"/>
      <c r="FV154" s="205"/>
      <c r="FW154" s="205"/>
      <c r="FX154" s="205"/>
      <c r="FY154" s="205"/>
      <c r="FZ154" s="205"/>
      <c r="GA154" s="205"/>
      <c r="GB154" s="205"/>
      <c r="GC154" s="205"/>
      <c r="GD154" s="205"/>
      <c r="GE154" s="205"/>
      <c r="GF154" s="205"/>
      <c r="GG154" s="205"/>
      <c r="GH154" s="205"/>
      <c r="GI154" s="205"/>
      <c r="GJ154" s="205"/>
      <c r="GK154" s="205"/>
      <c r="GL154" s="205"/>
      <c r="GM154" s="205"/>
      <c r="GN154" s="205"/>
      <c r="GO154" s="205"/>
      <c r="GP154" s="205"/>
      <c r="GQ154" s="205"/>
      <c r="GR154" s="205"/>
      <c r="GS154" s="205"/>
      <c r="GT154" s="205"/>
      <c r="GU154" s="205"/>
      <c r="GV154" s="205"/>
      <c r="GW154" s="205"/>
      <c r="GX154" s="205"/>
      <c r="GY154" s="205"/>
      <c r="GZ154" s="205"/>
      <c r="HA154" s="205"/>
      <c r="HB154" s="205"/>
      <c r="HC154" s="205"/>
      <c r="HD154" s="205"/>
      <c r="HE154" s="205"/>
      <c r="HF154" s="205"/>
      <c r="HG154" s="205"/>
      <c r="HH154" s="205"/>
      <c r="HI154" s="205"/>
      <c r="HJ154" s="205"/>
      <c r="HK154" s="205"/>
      <c r="HL154" s="205"/>
      <c r="HM154" s="205"/>
      <c r="HN154" s="205"/>
      <c r="HO154" s="205"/>
      <c r="HP154" s="205"/>
      <c r="HQ154" s="205"/>
      <c r="HR154" s="205"/>
      <c r="HS154" s="205"/>
      <c r="HT154" s="205"/>
      <c r="HU154" s="205"/>
      <c r="HV154" s="205"/>
      <c r="HW154" s="205"/>
      <c r="HX154" s="205"/>
      <c r="HY154" s="205"/>
      <c r="HZ154" s="205"/>
      <c r="IA154" s="205"/>
      <c r="IB154" s="205"/>
      <c r="IC154" s="205"/>
      <c r="ID154" s="205"/>
      <c r="IE154" s="205"/>
      <c r="IF154" s="205"/>
      <c r="IG154" s="205"/>
      <c r="IH154" s="205"/>
      <c r="II154" s="205"/>
      <c r="IJ154" s="205"/>
      <c r="IK154" s="205"/>
      <c r="IL154" s="205"/>
      <c r="IM154" s="205"/>
      <c r="IN154" s="205"/>
      <c r="IO154" s="205"/>
      <c r="IP154" s="205"/>
      <c r="IQ154" s="205"/>
      <c r="IR154" s="205"/>
      <c r="IS154" s="205"/>
      <c r="IT154" s="205"/>
      <c r="IU154" s="205"/>
      <c r="IV154" s="205"/>
      <c r="IW154" s="205"/>
      <c r="IX154" s="205"/>
    </row>
    <row r="155" spans="1:258" s="203" customFormat="1" x14ac:dyDescent="0.2">
      <c r="A155" s="669"/>
      <c r="B155" s="670"/>
      <c r="C155" s="1358"/>
      <c r="D155" s="672"/>
      <c r="E155" s="1359"/>
      <c r="F155" s="1359" t="s">
        <v>1708</v>
      </c>
      <c r="G155" s="1360"/>
      <c r="H155" s="1361"/>
      <c r="I155" s="1362"/>
      <c r="J155" s="1362"/>
      <c r="K155" s="1362"/>
      <c r="L155" s="1375"/>
      <c r="M155" s="1362"/>
      <c r="N155" s="1362"/>
      <c r="O155" s="1362"/>
      <c r="P155" s="1362"/>
      <c r="Q155" s="1362"/>
      <c r="R155" s="1363"/>
      <c r="S155" s="1364"/>
      <c r="T155" s="722"/>
      <c r="U155" s="205"/>
      <c r="V155" s="687"/>
      <c r="W155" s="688"/>
      <c r="X155" s="689"/>
      <c r="Y155" s="690"/>
      <c r="Z155" s="691"/>
      <c r="AA155" s="689"/>
      <c r="AB155" s="692"/>
      <c r="AC155" s="693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5"/>
      <c r="BN155" s="205"/>
      <c r="BO155" s="205"/>
      <c r="BP155" s="205"/>
      <c r="BQ155" s="205"/>
      <c r="BR155" s="205"/>
      <c r="BS155" s="205"/>
      <c r="BT155" s="205"/>
      <c r="BU155" s="205"/>
      <c r="BV155" s="205"/>
      <c r="BW155" s="205"/>
      <c r="BX155" s="205"/>
      <c r="BY155" s="205"/>
      <c r="BZ155" s="205"/>
      <c r="CA155" s="205"/>
      <c r="CB155" s="205"/>
      <c r="CC155" s="205"/>
      <c r="CD155" s="205"/>
      <c r="CE155" s="205"/>
      <c r="CF155" s="205"/>
      <c r="CG155" s="205"/>
      <c r="CH155" s="205"/>
      <c r="CI155" s="205"/>
      <c r="CJ155" s="205"/>
      <c r="CK155" s="205"/>
      <c r="CL155" s="205"/>
      <c r="CM155" s="205"/>
      <c r="CN155" s="205"/>
      <c r="CO155" s="205"/>
      <c r="CP155" s="205"/>
      <c r="CQ155" s="205"/>
      <c r="CR155" s="205"/>
      <c r="CS155" s="205"/>
      <c r="CT155" s="205"/>
      <c r="CU155" s="205"/>
      <c r="CV155" s="205"/>
      <c r="CW155" s="205"/>
      <c r="CX155" s="205"/>
      <c r="CY155" s="205"/>
      <c r="CZ155" s="205"/>
      <c r="DA155" s="205"/>
      <c r="DB155" s="205"/>
      <c r="DC155" s="205"/>
      <c r="DD155" s="205"/>
      <c r="DE155" s="205"/>
      <c r="DF155" s="205"/>
      <c r="DG155" s="205"/>
      <c r="DH155" s="205"/>
      <c r="DI155" s="205"/>
      <c r="DJ155" s="205"/>
      <c r="DK155" s="205"/>
      <c r="DL155" s="205"/>
      <c r="DM155" s="205"/>
      <c r="DN155" s="205"/>
      <c r="DO155" s="205"/>
      <c r="DP155" s="205"/>
      <c r="DQ155" s="205"/>
      <c r="DR155" s="205"/>
      <c r="DS155" s="205"/>
      <c r="DT155" s="205"/>
      <c r="DU155" s="205"/>
      <c r="DV155" s="205"/>
      <c r="DW155" s="205"/>
      <c r="DX155" s="205"/>
      <c r="DY155" s="205"/>
      <c r="DZ155" s="205"/>
      <c r="EA155" s="205"/>
      <c r="EB155" s="205"/>
      <c r="EC155" s="205"/>
      <c r="ED155" s="205"/>
      <c r="EE155" s="205"/>
      <c r="EF155" s="205"/>
      <c r="EG155" s="205"/>
      <c r="EH155" s="205"/>
      <c r="EI155" s="205"/>
      <c r="EJ155" s="205"/>
      <c r="EK155" s="205"/>
      <c r="EL155" s="205"/>
      <c r="EM155" s="205"/>
      <c r="EN155" s="205"/>
      <c r="EO155" s="205"/>
      <c r="EP155" s="205"/>
      <c r="EQ155" s="205"/>
      <c r="ER155" s="205"/>
      <c r="ES155" s="205"/>
      <c r="ET155" s="205"/>
      <c r="EU155" s="205"/>
      <c r="EV155" s="205"/>
      <c r="EW155" s="205"/>
      <c r="EX155" s="205"/>
      <c r="EY155" s="205"/>
      <c r="EZ155" s="205"/>
      <c r="FA155" s="205"/>
      <c r="FB155" s="205"/>
      <c r="FC155" s="205"/>
      <c r="FD155" s="205"/>
      <c r="FE155" s="205"/>
      <c r="FF155" s="205"/>
      <c r="FG155" s="205"/>
      <c r="FH155" s="205"/>
      <c r="FI155" s="205"/>
      <c r="FJ155" s="205"/>
      <c r="FK155" s="205"/>
      <c r="FL155" s="205"/>
      <c r="FM155" s="205"/>
      <c r="FN155" s="205"/>
      <c r="FO155" s="205"/>
      <c r="FP155" s="205"/>
      <c r="FQ155" s="205"/>
      <c r="FR155" s="205"/>
      <c r="FS155" s="205"/>
      <c r="FT155" s="205"/>
      <c r="FU155" s="205"/>
      <c r="FV155" s="205"/>
      <c r="FW155" s="205"/>
      <c r="FX155" s="205"/>
      <c r="FY155" s="205"/>
      <c r="FZ155" s="205"/>
      <c r="GA155" s="205"/>
      <c r="GB155" s="205"/>
      <c r="GC155" s="205"/>
      <c r="GD155" s="205"/>
      <c r="GE155" s="205"/>
      <c r="GF155" s="205"/>
      <c r="GG155" s="205"/>
      <c r="GH155" s="205"/>
      <c r="GI155" s="205"/>
      <c r="GJ155" s="205"/>
      <c r="GK155" s="205"/>
      <c r="GL155" s="205"/>
      <c r="GM155" s="205"/>
      <c r="GN155" s="205"/>
      <c r="GO155" s="205"/>
      <c r="GP155" s="205"/>
      <c r="GQ155" s="205"/>
      <c r="GR155" s="205"/>
      <c r="GS155" s="205"/>
      <c r="GT155" s="205"/>
      <c r="GU155" s="205"/>
      <c r="GV155" s="205"/>
      <c r="GW155" s="205"/>
      <c r="GX155" s="205"/>
      <c r="GY155" s="205"/>
      <c r="GZ155" s="205"/>
      <c r="HA155" s="205"/>
      <c r="HB155" s="205"/>
      <c r="HC155" s="205"/>
      <c r="HD155" s="205"/>
      <c r="HE155" s="205"/>
      <c r="HF155" s="205"/>
      <c r="HG155" s="205"/>
      <c r="HH155" s="205"/>
      <c r="HI155" s="205"/>
      <c r="HJ155" s="205"/>
      <c r="HK155" s="205"/>
      <c r="HL155" s="205"/>
      <c r="HM155" s="205"/>
      <c r="HN155" s="205"/>
      <c r="HO155" s="205"/>
      <c r="HP155" s="205"/>
      <c r="HQ155" s="205"/>
      <c r="HR155" s="205"/>
      <c r="HS155" s="205"/>
      <c r="HT155" s="205"/>
      <c r="HU155" s="205"/>
      <c r="HV155" s="205"/>
      <c r="HW155" s="205"/>
      <c r="HX155" s="205"/>
      <c r="HY155" s="205"/>
      <c r="HZ155" s="205"/>
      <c r="IA155" s="205"/>
      <c r="IB155" s="205"/>
      <c r="IC155" s="205"/>
      <c r="ID155" s="205"/>
      <c r="IE155" s="205"/>
      <c r="IF155" s="205"/>
      <c r="IG155" s="205"/>
      <c r="IH155" s="205"/>
      <c r="II155" s="205"/>
      <c r="IJ155" s="205"/>
      <c r="IK155" s="205"/>
      <c r="IL155" s="205"/>
      <c r="IM155" s="205"/>
      <c r="IN155" s="205"/>
      <c r="IO155" s="205"/>
      <c r="IP155" s="205"/>
      <c r="IQ155" s="205"/>
      <c r="IR155" s="205"/>
      <c r="IS155" s="205"/>
      <c r="IT155" s="205"/>
      <c r="IU155" s="205"/>
      <c r="IV155" s="205"/>
      <c r="IW155" s="205"/>
      <c r="IX155" s="205"/>
    </row>
    <row r="156" spans="1:258" s="203" customFormat="1" x14ac:dyDescent="0.2">
      <c r="A156" s="669"/>
      <c r="B156" s="670"/>
      <c r="C156" s="1358"/>
      <c r="D156" s="672"/>
      <c r="E156" s="1359"/>
      <c r="F156" s="1359"/>
      <c r="G156" s="1360" t="str">
        <f>G152</f>
        <v>FP1</v>
      </c>
      <c r="H156" s="1361">
        <f>((H141-0.05)*4)+0.1</f>
        <v>0.70000000000000007</v>
      </c>
      <c r="I156" s="1362" t="s">
        <v>424</v>
      </c>
      <c r="J156" s="1376">
        <f>(L141-L137)/0.2</f>
        <v>6.25</v>
      </c>
      <c r="K156" s="1362" t="s">
        <v>424</v>
      </c>
      <c r="L156" s="1375">
        <f t="shared" si="62"/>
        <v>0.61622500000000013</v>
      </c>
      <c r="M156" s="1362" t="s">
        <v>424</v>
      </c>
      <c r="N156" s="1362">
        <f>N152</f>
        <v>9</v>
      </c>
      <c r="O156" s="1362"/>
      <c r="P156" s="1362"/>
      <c r="Q156" s="1362" t="s">
        <v>696</v>
      </c>
      <c r="R156" s="1363">
        <f>H156*J156*L156*N156</f>
        <v>24.263859375000006</v>
      </c>
      <c r="S156" s="1364"/>
      <c r="T156" s="722"/>
      <c r="U156" s="205"/>
      <c r="V156" s="687" t="s">
        <v>1556</v>
      </c>
      <c r="W156" s="688">
        <v>0.01</v>
      </c>
      <c r="X156" s="689">
        <v>7850</v>
      </c>
      <c r="Y156" s="690">
        <f t="shared" ref="Y156:Y158" si="65">0.25*3.14*(W156*W156)</f>
        <v>7.8500000000000011E-5</v>
      </c>
      <c r="Z156" s="691">
        <f t="shared" ref="Z156:Z158" si="66">X156*Y156*AA156</f>
        <v>0.61622500000000013</v>
      </c>
      <c r="AA156" s="689">
        <v>1</v>
      </c>
      <c r="AB156" s="692">
        <f t="shared" ref="AB156:AB158" si="67">Z156*12</f>
        <v>7.394700000000002</v>
      </c>
      <c r="AC156" s="693" t="s">
        <v>1554</v>
      </c>
      <c r="AD156" s="205"/>
      <c r="AE156" s="205"/>
      <c r="AF156" s="205"/>
      <c r="AG156" s="205"/>
      <c r="AH156" s="205"/>
      <c r="AI156" s="205"/>
      <c r="AJ156" s="205"/>
      <c r="AK156" s="205"/>
      <c r="AL156" s="205"/>
      <c r="AM156" s="205"/>
      <c r="AN156" s="205"/>
      <c r="AO156" s="205"/>
      <c r="AP156" s="205"/>
      <c r="AQ156" s="205"/>
      <c r="AR156" s="205"/>
      <c r="AS156" s="205"/>
      <c r="AT156" s="205"/>
      <c r="AU156" s="205"/>
      <c r="AV156" s="205"/>
      <c r="AW156" s="205"/>
      <c r="AX156" s="205"/>
      <c r="AY156" s="205"/>
      <c r="AZ156" s="205"/>
      <c r="BA156" s="205"/>
      <c r="BB156" s="205"/>
      <c r="BC156" s="205"/>
      <c r="BD156" s="205"/>
      <c r="BE156" s="205"/>
      <c r="BF156" s="205"/>
      <c r="BG156" s="205"/>
      <c r="BH156" s="205"/>
      <c r="BI156" s="205"/>
      <c r="BJ156" s="205"/>
      <c r="BK156" s="205"/>
      <c r="BL156" s="205"/>
      <c r="BM156" s="205"/>
      <c r="BN156" s="205"/>
      <c r="BO156" s="205"/>
      <c r="BP156" s="205"/>
      <c r="BQ156" s="205"/>
      <c r="BR156" s="205"/>
      <c r="BS156" s="205"/>
      <c r="BT156" s="205"/>
      <c r="BU156" s="205"/>
      <c r="BV156" s="205"/>
      <c r="BW156" s="205"/>
      <c r="BX156" s="205"/>
      <c r="BY156" s="205"/>
      <c r="BZ156" s="205"/>
      <c r="CA156" s="205"/>
      <c r="CB156" s="205"/>
      <c r="CC156" s="205"/>
      <c r="CD156" s="205"/>
      <c r="CE156" s="205"/>
      <c r="CF156" s="205"/>
      <c r="CG156" s="205"/>
      <c r="CH156" s="205"/>
      <c r="CI156" s="205"/>
      <c r="CJ156" s="205"/>
      <c r="CK156" s="205"/>
      <c r="CL156" s="205"/>
      <c r="CM156" s="205"/>
      <c r="CN156" s="205"/>
      <c r="CO156" s="205"/>
      <c r="CP156" s="205"/>
      <c r="CQ156" s="205"/>
      <c r="CR156" s="205"/>
      <c r="CS156" s="205"/>
      <c r="CT156" s="205"/>
      <c r="CU156" s="205"/>
      <c r="CV156" s="205"/>
      <c r="CW156" s="205"/>
      <c r="CX156" s="205"/>
      <c r="CY156" s="205"/>
      <c r="CZ156" s="205"/>
      <c r="DA156" s="205"/>
      <c r="DB156" s="205"/>
      <c r="DC156" s="205"/>
      <c r="DD156" s="205"/>
      <c r="DE156" s="205"/>
      <c r="DF156" s="205"/>
      <c r="DG156" s="205"/>
      <c r="DH156" s="205"/>
      <c r="DI156" s="205"/>
      <c r="DJ156" s="205"/>
      <c r="DK156" s="205"/>
      <c r="DL156" s="205"/>
      <c r="DM156" s="205"/>
      <c r="DN156" s="205"/>
      <c r="DO156" s="205"/>
      <c r="DP156" s="205"/>
      <c r="DQ156" s="205"/>
      <c r="DR156" s="205"/>
      <c r="DS156" s="205"/>
      <c r="DT156" s="205"/>
      <c r="DU156" s="205"/>
      <c r="DV156" s="205"/>
      <c r="DW156" s="205"/>
      <c r="DX156" s="205"/>
      <c r="DY156" s="205"/>
      <c r="DZ156" s="205"/>
      <c r="EA156" s="205"/>
      <c r="EB156" s="205"/>
      <c r="EC156" s="205"/>
      <c r="ED156" s="205"/>
      <c r="EE156" s="205"/>
      <c r="EF156" s="205"/>
      <c r="EG156" s="205"/>
      <c r="EH156" s="205"/>
      <c r="EI156" s="205"/>
      <c r="EJ156" s="205"/>
      <c r="EK156" s="205"/>
      <c r="EL156" s="205"/>
      <c r="EM156" s="205"/>
      <c r="EN156" s="205"/>
      <c r="EO156" s="205"/>
      <c r="EP156" s="205"/>
      <c r="EQ156" s="205"/>
      <c r="ER156" s="205"/>
      <c r="ES156" s="205"/>
      <c r="ET156" s="205"/>
      <c r="EU156" s="205"/>
      <c r="EV156" s="205"/>
      <c r="EW156" s="205"/>
      <c r="EX156" s="205"/>
      <c r="EY156" s="205"/>
      <c r="EZ156" s="205"/>
      <c r="FA156" s="205"/>
      <c r="FB156" s="205"/>
      <c r="FC156" s="205"/>
      <c r="FD156" s="205"/>
      <c r="FE156" s="205"/>
      <c r="FF156" s="205"/>
      <c r="FG156" s="205"/>
      <c r="FH156" s="205"/>
      <c r="FI156" s="205"/>
      <c r="FJ156" s="205"/>
      <c r="FK156" s="205"/>
      <c r="FL156" s="205"/>
      <c r="FM156" s="205"/>
      <c r="FN156" s="205"/>
      <c r="FO156" s="205"/>
      <c r="FP156" s="205"/>
      <c r="FQ156" s="205"/>
      <c r="FR156" s="205"/>
      <c r="FS156" s="205"/>
      <c r="FT156" s="205"/>
      <c r="FU156" s="205"/>
      <c r="FV156" s="205"/>
      <c r="FW156" s="205"/>
      <c r="FX156" s="205"/>
      <c r="FY156" s="205"/>
      <c r="FZ156" s="205"/>
      <c r="GA156" s="205"/>
      <c r="GB156" s="205"/>
      <c r="GC156" s="205"/>
      <c r="GD156" s="205"/>
      <c r="GE156" s="205"/>
      <c r="GF156" s="205"/>
      <c r="GG156" s="205"/>
      <c r="GH156" s="205"/>
      <c r="GI156" s="205"/>
      <c r="GJ156" s="205"/>
      <c r="GK156" s="205"/>
      <c r="GL156" s="205"/>
      <c r="GM156" s="205"/>
      <c r="GN156" s="205"/>
      <c r="GO156" s="205"/>
      <c r="GP156" s="205"/>
      <c r="GQ156" s="205"/>
      <c r="GR156" s="205"/>
      <c r="GS156" s="205"/>
      <c r="GT156" s="205"/>
      <c r="GU156" s="205"/>
      <c r="GV156" s="205"/>
      <c r="GW156" s="205"/>
      <c r="GX156" s="205"/>
      <c r="GY156" s="205"/>
      <c r="GZ156" s="205"/>
      <c r="HA156" s="205"/>
      <c r="HB156" s="205"/>
      <c r="HC156" s="205"/>
      <c r="HD156" s="205"/>
      <c r="HE156" s="205"/>
      <c r="HF156" s="205"/>
      <c r="HG156" s="205"/>
      <c r="HH156" s="205"/>
      <c r="HI156" s="205"/>
      <c r="HJ156" s="205"/>
      <c r="HK156" s="205"/>
      <c r="HL156" s="205"/>
      <c r="HM156" s="205"/>
      <c r="HN156" s="205"/>
      <c r="HO156" s="205"/>
      <c r="HP156" s="205"/>
      <c r="HQ156" s="205"/>
      <c r="HR156" s="205"/>
      <c r="HS156" s="205"/>
      <c r="HT156" s="205"/>
      <c r="HU156" s="205"/>
      <c r="HV156" s="205"/>
      <c r="HW156" s="205"/>
      <c r="HX156" s="205"/>
      <c r="HY156" s="205"/>
      <c r="HZ156" s="205"/>
      <c r="IA156" s="205"/>
      <c r="IB156" s="205"/>
      <c r="IC156" s="205"/>
      <c r="ID156" s="205"/>
      <c r="IE156" s="205"/>
      <c r="IF156" s="205"/>
      <c r="IG156" s="205"/>
      <c r="IH156" s="205"/>
      <c r="II156" s="205"/>
      <c r="IJ156" s="205"/>
      <c r="IK156" s="205"/>
      <c r="IL156" s="205"/>
      <c r="IM156" s="205"/>
      <c r="IN156" s="205"/>
      <c r="IO156" s="205"/>
      <c r="IP156" s="205"/>
      <c r="IQ156" s="205"/>
      <c r="IR156" s="205"/>
      <c r="IS156" s="205"/>
      <c r="IT156" s="205"/>
      <c r="IU156" s="205"/>
      <c r="IV156" s="205"/>
      <c r="IW156" s="205"/>
      <c r="IX156" s="205"/>
    </row>
    <row r="157" spans="1:258" s="203" customFormat="1" x14ac:dyDescent="0.2">
      <c r="A157" s="669"/>
      <c r="B157" s="670"/>
      <c r="C157" s="1358"/>
      <c r="D157" s="672"/>
      <c r="E157" s="1359"/>
      <c r="F157" s="1359"/>
      <c r="G157" s="1360" t="str">
        <f t="shared" ref="G157:G158" si="68">G153</f>
        <v>FP2</v>
      </c>
      <c r="H157" s="1361">
        <f t="shared" ref="H157" si="69">((H142-0.05)*4)+0.1</f>
        <v>0.70000000000000007</v>
      </c>
      <c r="I157" s="1362" t="s">
        <v>424</v>
      </c>
      <c r="J157" s="1376">
        <f t="shared" ref="J157:J158" si="70">(L142-L138)/0.2</f>
        <v>6.25</v>
      </c>
      <c r="K157" s="1362" t="s">
        <v>424</v>
      </c>
      <c r="L157" s="1375">
        <f t="shared" ref="L157:L158" si="71">Z157</f>
        <v>0.61622500000000013</v>
      </c>
      <c r="M157" s="1362" t="s">
        <v>424</v>
      </c>
      <c r="N157" s="1362">
        <f t="shared" ref="N157:N158" si="72">N153</f>
        <v>10</v>
      </c>
      <c r="O157" s="1362"/>
      <c r="P157" s="1362"/>
      <c r="Q157" s="1362" t="s">
        <v>696</v>
      </c>
      <c r="R157" s="1363">
        <f t="shared" ref="R157:R158" si="73">H157*J157*L157*N157</f>
        <v>26.959843750000005</v>
      </c>
      <c r="S157" s="1364"/>
      <c r="T157" s="722"/>
      <c r="U157" s="205"/>
      <c r="V157" s="687" t="s">
        <v>1556</v>
      </c>
      <c r="W157" s="688">
        <v>0.01</v>
      </c>
      <c r="X157" s="689">
        <v>7850</v>
      </c>
      <c r="Y157" s="690">
        <f t="shared" si="65"/>
        <v>7.8500000000000011E-5</v>
      </c>
      <c r="Z157" s="691">
        <f t="shared" si="66"/>
        <v>0.61622500000000013</v>
      </c>
      <c r="AA157" s="689">
        <v>1</v>
      </c>
      <c r="AB157" s="692">
        <f t="shared" si="67"/>
        <v>7.394700000000002</v>
      </c>
      <c r="AC157" s="693" t="s">
        <v>1554</v>
      </c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5"/>
      <c r="BN157" s="205"/>
      <c r="BO157" s="205"/>
      <c r="BP157" s="205"/>
      <c r="BQ157" s="205"/>
      <c r="BR157" s="205"/>
      <c r="BS157" s="205"/>
      <c r="BT157" s="205"/>
      <c r="BU157" s="205"/>
      <c r="BV157" s="205"/>
      <c r="BW157" s="205"/>
      <c r="BX157" s="205"/>
      <c r="BY157" s="205"/>
      <c r="BZ157" s="205"/>
      <c r="CA157" s="205"/>
      <c r="CB157" s="205"/>
      <c r="CC157" s="205"/>
      <c r="CD157" s="205"/>
      <c r="CE157" s="205"/>
      <c r="CF157" s="205"/>
      <c r="CG157" s="205"/>
      <c r="CH157" s="205"/>
      <c r="CI157" s="205"/>
      <c r="CJ157" s="205"/>
      <c r="CK157" s="205"/>
      <c r="CL157" s="205"/>
      <c r="CM157" s="205"/>
      <c r="CN157" s="205"/>
      <c r="CO157" s="205"/>
      <c r="CP157" s="205"/>
      <c r="CQ157" s="205"/>
      <c r="CR157" s="205"/>
      <c r="CS157" s="205"/>
      <c r="CT157" s="205"/>
      <c r="CU157" s="205"/>
      <c r="CV157" s="205"/>
      <c r="CW157" s="205"/>
      <c r="CX157" s="205"/>
      <c r="CY157" s="205"/>
      <c r="CZ157" s="205"/>
      <c r="DA157" s="205"/>
      <c r="DB157" s="205"/>
      <c r="DC157" s="205"/>
      <c r="DD157" s="205"/>
      <c r="DE157" s="205"/>
      <c r="DF157" s="205"/>
      <c r="DG157" s="205"/>
      <c r="DH157" s="205"/>
      <c r="DI157" s="205"/>
      <c r="DJ157" s="205"/>
      <c r="DK157" s="205"/>
      <c r="DL157" s="205"/>
      <c r="DM157" s="205"/>
      <c r="DN157" s="205"/>
      <c r="DO157" s="205"/>
      <c r="DP157" s="205"/>
      <c r="DQ157" s="205"/>
      <c r="DR157" s="205"/>
      <c r="DS157" s="205"/>
      <c r="DT157" s="205"/>
      <c r="DU157" s="205"/>
      <c r="DV157" s="205"/>
      <c r="DW157" s="205"/>
      <c r="DX157" s="205"/>
      <c r="DY157" s="205"/>
      <c r="DZ157" s="205"/>
      <c r="EA157" s="205"/>
      <c r="EB157" s="205"/>
      <c r="EC157" s="205"/>
      <c r="ED157" s="205"/>
      <c r="EE157" s="205"/>
      <c r="EF157" s="205"/>
      <c r="EG157" s="205"/>
      <c r="EH157" s="205"/>
      <c r="EI157" s="205"/>
      <c r="EJ157" s="205"/>
      <c r="EK157" s="205"/>
      <c r="EL157" s="205"/>
      <c r="EM157" s="205"/>
      <c r="EN157" s="205"/>
      <c r="EO157" s="205"/>
      <c r="EP157" s="205"/>
      <c r="EQ157" s="205"/>
      <c r="ER157" s="205"/>
      <c r="ES157" s="205"/>
      <c r="ET157" s="205"/>
      <c r="EU157" s="205"/>
      <c r="EV157" s="205"/>
      <c r="EW157" s="205"/>
      <c r="EX157" s="205"/>
      <c r="EY157" s="205"/>
      <c r="EZ157" s="205"/>
      <c r="FA157" s="205"/>
      <c r="FB157" s="205"/>
      <c r="FC157" s="205"/>
      <c r="FD157" s="205"/>
      <c r="FE157" s="205"/>
      <c r="FF157" s="205"/>
      <c r="FG157" s="205"/>
      <c r="FH157" s="205"/>
      <c r="FI157" s="205"/>
      <c r="FJ157" s="205"/>
      <c r="FK157" s="205"/>
      <c r="FL157" s="205"/>
      <c r="FM157" s="205"/>
      <c r="FN157" s="205"/>
      <c r="FO157" s="205"/>
      <c r="FP157" s="205"/>
      <c r="FQ157" s="205"/>
      <c r="FR157" s="205"/>
      <c r="FS157" s="205"/>
      <c r="FT157" s="205"/>
      <c r="FU157" s="205"/>
      <c r="FV157" s="205"/>
      <c r="FW157" s="205"/>
      <c r="FX157" s="205"/>
      <c r="FY157" s="205"/>
      <c r="FZ157" s="205"/>
      <c r="GA157" s="205"/>
      <c r="GB157" s="205"/>
      <c r="GC157" s="205"/>
      <c r="GD157" s="205"/>
      <c r="GE157" s="205"/>
      <c r="GF157" s="205"/>
      <c r="GG157" s="205"/>
      <c r="GH157" s="205"/>
      <c r="GI157" s="205"/>
      <c r="GJ157" s="205"/>
      <c r="GK157" s="205"/>
      <c r="GL157" s="205"/>
      <c r="GM157" s="205"/>
      <c r="GN157" s="205"/>
      <c r="GO157" s="205"/>
      <c r="GP157" s="205"/>
      <c r="GQ157" s="205"/>
      <c r="GR157" s="205"/>
      <c r="GS157" s="205"/>
      <c r="GT157" s="205"/>
      <c r="GU157" s="205"/>
      <c r="GV157" s="205"/>
      <c r="GW157" s="205"/>
      <c r="GX157" s="205"/>
      <c r="GY157" s="205"/>
      <c r="GZ157" s="205"/>
      <c r="HA157" s="205"/>
      <c r="HB157" s="205"/>
      <c r="HC157" s="205"/>
      <c r="HD157" s="205"/>
      <c r="HE157" s="205"/>
      <c r="HF157" s="205"/>
      <c r="HG157" s="205"/>
      <c r="HH157" s="205"/>
      <c r="HI157" s="205"/>
      <c r="HJ157" s="205"/>
      <c r="HK157" s="205"/>
      <c r="HL157" s="205"/>
      <c r="HM157" s="205"/>
      <c r="HN157" s="205"/>
      <c r="HO157" s="205"/>
      <c r="HP157" s="205"/>
      <c r="HQ157" s="205"/>
      <c r="HR157" s="205"/>
      <c r="HS157" s="205"/>
      <c r="HT157" s="205"/>
      <c r="HU157" s="205"/>
      <c r="HV157" s="205"/>
      <c r="HW157" s="205"/>
      <c r="HX157" s="205"/>
      <c r="HY157" s="205"/>
      <c r="HZ157" s="205"/>
      <c r="IA157" s="205"/>
      <c r="IB157" s="205"/>
      <c r="IC157" s="205"/>
      <c r="ID157" s="205"/>
      <c r="IE157" s="205"/>
      <c r="IF157" s="205"/>
      <c r="IG157" s="205"/>
      <c r="IH157" s="205"/>
      <c r="II157" s="205"/>
      <c r="IJ157" s="205"/>
      <c r="IK157" s="205"/>
      <c r="IL157" s="205"/>
      <c r="IM157" s="205"/>
      <c r="IN157" s="205"/>
      <c r="IO157" s="205"/>
      <c r="IP157" s="205"/>
      <c r="IQ157" s="205"/>
      <c r="IR157" s="205"/>
      <c r="IS157" s="205"/>
      <c r="IT157" s="205"/>
      <c r="IU157" s="205"/>
      <c r="IV157" s="205"/>
      <c r="IW157" s="205"/>
      <c r="IX157" s="205"/>
    </row>
    <row r="158" spans="1:258" s="203" customFormat="1" x14ac:dyDescent="0.2">
      <c r="A158" s="669"/>
      <c r="B158" s="670"/>
      <c r="C158" s="1358"/>
      <c r="D158" s="672"/>
      <c r="E158" s="1359"/>
      <c r="F158" s="1359"/>
      <c r="G158" s="1360" t="str">
        <f t="shared" si="68"/>
        <v>FP3</v>
      </c>
      <c r="H158" s="1361">
        <f>(((H143-0.05)*2)+((J143-0.05)*2)+0.1)</f>
        <v>0.64</v>
      </c>
      <c r="I158" s="1362" t="s">
        <v>424</v>
      </c>
      <c r="J158" s="1376">
        <f t="shared" si="70"/>
        <v>6.25</v>
      </c>
      <c r="K158" s="1362" t="s">
        <v>424</v>
      </c>
      <c r="L158" s="1375">
        <f t="shared" si="71"/>
        <v>0.61622500000000013</v>
      </c>
      <c r="M158" s="1362" t="s">
        <v>424</v>
      </c>
      <c r="N158" s="1362">
        <f t="shared" si="72"/>
        <v>8</v>
      </c>
      <c r="O158" s="1362"/>
      <c r="P158" s="1362"/>
      <c r="Q158" s="1362" t="s">
        <v>696</v>
      </c>
      <c r="R158" s="1363">
        <f t="shared" si="73"/>
        <v>19.719200000000004</v>
      </c>
      <c r="S158" s="1364"/>
      <c r="T158" s="722"/>
      <c r="U158" s="205"/>
      <c r="V158" s="687" t="s">
        <v>1556</v>
      </c>
      <c r="W158" s="688">
        <v>0.01</v>
      </c>
      <c r="X158" s="689">
        <v>7850</v>
      </c>
      <c r="Y158" s="690">
        <f t="shared" si="65"/>
        <v>7.8500000000000011E-5</v>
      </c>
      <c r="Z158" s="691">
        <f t="shared" si="66"/>
        <v>0.61622500000000013</v>
      </c>
      <c r="AA158" s="689">
        <v>1</v>
      </c>
      <c r="AB158" s="692">
        <f t="shared" si="67"/>
        <v>7.394700000000002</v>
      </c>
      <c r="AC158" s="693" t="s">
        <v>1554</v>
      </c>
      <c r="AD158" s="205"/>
      <c r="AE158" s="205"/>
      <c r="AF158" s="205"/>
      <c r="AG158" s="205"/>
      <c r="AH158" s="205"/>
      <c r="AI158" s="205"/>
      <c r="AJ158" s="205"/>
      <c r="AK158" s="205"/>
      <c r="AL158" s="205"/>
      <c r="AM158" s="205"/>
      <c r="AN158" s="205"/>
      <c r="AO158" s="205"/>
      <c r="AP158" s="205"/>
      <c r="AQ158" s="205"/>
      <c r="AR158" s="205"/>
      <c r="AS158" s="205"/>
      <c r="AT158" s="205"/>
      <c r="AU158" s="205"/>
      <c r="AV158" s="205"/>
      <c r="AW158" s="205"/>
      <c r="AX158" s="205"/>
      <c r="AY158" s="205"/>
      <c r="AZ158" s="205"/>
      <c r="BA158" s="205"/>
      <c r="BB158" s="205"/>
      <c r="BC158" s="205"/>
      <c r="BD158" s="205"/>
      <c r="BE158" s="205"/>
      <c r="BF158" s="205"/>
      <c r="BG158" s="205"/>
      <c r="BH158" s="205"/>
      <c r="BI158" s="205"/>
      <c r="BJ158" s="205"/>
      <c r="BK158" s="205"/>
      <c r="BL158" s="205"/>
      <c r="BM158" s="205"/>
      <c r="BN158" s="205"/>
      <c r="BO158" s="205"/>
      <c r="BP158" s="205"/>
      <c r="BQ158" s="205"/>
      <c r="BR158" s="205"/>
      <c r="BS158" s="205"/>
      <c r="BT158" s="205"/>
      <c r="BU158" s="205"/>
      <c r="BV158" s="205"/>
      <c r="BW158" s="205"/>
      <c r="BX158" s="205"/>
      <c r="BY158" s="205"/>
      <c r="BZ158" s="205"/>
      <c r="CA158" s="205"/>
      <c r="CB158" s="205"/>
      <c r="CC158" s="205"/>
      <c r="CD158" s="205"/>
      <c r="CE158" s="205"/>
      <c r="CF158" s="205"/>
      <c r="CG158" s="205"/>
      <c r="CH158" s="205"/>
      <c r="CI158" s="205"/>
      <c r="CJ158" s="205"/>
      <c r="CK158" s="205"/>
      <c r="CL158" s="205"/>
      <c r="CM158" s="205"/>
      <c r="CN158" s="205"/>
      <c r="CO158" s="205"/>
      <c r="CP158" s="205"/>
      <c r="CQ158" s="205"/>
      <c r="CR158" s="205"/>
      <c r="CS158" s="205"/>
      <c r="CT158" s="205"/>
      <c r="CU158" s="205"/>
      <c r="CV158" s="205"/>
      <c r="CW158" s="205"/>
      <c r="CX158" s="205"/>
      <c r="CY158" s="205"/>
      <c r="CZ158" s="205"/>
      <c r="DA158" s="205"/>
      <c r="DB158" s="205"/>
      <c r="DC158" s="205"/>
      <c r="DD158" s="205"/>
      <c r="DE158" s="205"/>
      <c r="DF158" s="205"/>
      <c r="DG158" s="205"/>
      <c r="DH158" s="205"/>
      <c r="DI158" s="205"/>
      <c r="DJ158" s="205"/>
      <c r="DK158" s="205"/>
      <c r="DL158" s="205"/>
      <c r="DM158" s="205"/>
      <c r="DN158" s="205"/>
      <c r="DO158" s="205"/>
      <c r="DP158" s="205"/>
      <c r="DQ158" s="205"/>
      <c r="DR158" s="205"/>
      <c r="DS158" s="205"/>
      <c r="DT158" s="205"/>
      <c r="DU158" s="205"/>
      <c r="DV158" s="205"/>
      <c r="DW158" s="205"/>
      <c r="DX158" s="205"/>
      <c r="DY158" s="205"/>
      <c r="DZ158" s="205"/>
      <c r="EA158" s="205"/>
      <c r="EB158" s="205"/>
      <c r="EC158" s="205"/>
      <c r="ED158" s="205"/>
      <c r="EE158" s="205"/>
      <c r="EF158" s="205"/>
      <c r="EG158" s="205"/>
      <c r="EH158" s="205"/>
      <c r="EI158" s="205"/>
      <c r="EJ158" s="205"/>
      <c r="EK158" s="205"/>
      <c r="EL158" s="205"/>
      <c r="EM158" s="205"/>
      <c r="EN158" s="205"/>
      <c r="EO158" s="205"/>
      <c r="EP158" s="205"/>
      <c r="EQ158" s="205"/>
      <c r="ER158" s="205"/>
      <c r="ES158" s="205"/>
      <c r="ET158" s="205"/>
      <c r="EU158" s="205"/>
      <c r="EV158" s="205"/>
      <c r="EW158" s="205"/>
      <c r="EX158" s="205"/>
      <c r="EY158" s="205"/>
      <c r="EZ158" s="205"/>
      <c r="FA158" s="205"/>
      <c r="FB158" s="205"/>
      <c r="FC158" s="205"/>
      <c r="FD158" s="205"/>
      <c r="FE158" s="205"/>
      <c r="FF158" s="205"/>
      <c r="FG158" s="205"/>
      <c r="FH158" s="205"/>
      <c r="FI158" s="205"/>
      <c r="FJ158" s="205"/>
      <c r="FK158" s="205"/>
      <c r="FL158" s="205"/>
      <c r="FM158" s="205"/>
      <c r="FN158" s="205"/>
      <c r="FO158" s="205"/>
      <c r="FP158" s="205"/>
      <c r="FQ158" s="205"/>
      <c r="FR158" s="205"/>
      <c r="FS158" s="205"/>
      <c r="FT158" s="205"/>
      <c r="FU158" s="205"/>
      <c r="FV158" s="205"/>
      <c r="FW158" s="205"/>
      <c r="FX158" s="205"/>
      <c r="FY158" s="205"/>
      <c r="FZ158" s="205"/>
      <c r="GA158" s="205"/>
      <c r="GB158" s="205"/>
      <c r="GC158" s="205"/>
      <c r="GD158" s="205"/>
      <c r="GE158" s="205"/>
      <c r="GF158" s="205"/>
      <c r="GG158" s="205"/>
      <c r="GH158" s="205"/>
      <c r="GI158" s="205"/>
      <c r="GJ158" s="205"/>
      <c r="GK158" s="205"/>
      <c r="GL158" s="205"/>
      <c r="GM158" s="205"/>
      <c r="GN158" s="205"/>
      <c r="GO158" s="205"/>
      <c r="GP158" s="205"/>
      <c r="GQ158" s="205"/>
      <c r="GR158" s="205"/>
      <c r="GS158" s="205"/>
      <c r="GT158" s="205"/>
      <c r="GU158" s="205"/>
      <c r="GV158" s="205"/>
      <c r="GW158" s="205"/>
      <c r="GX158" s="205"/>
      <c r="GY158" s="205"/>
      <c r="GZ158" s="205"/>
      <c r="HA158" s="205"/>
      <c r="HB158" s="205"/>
      <c r="HC158" s="205"/>
      <c r="HD158" s="205"/>
      <c r="HE158" s="205"/>
      <c r="HF158" s="205"/>
      <c r="HG158" s="205"/>
      <c r="HH158" s="205"/>
      <c r="HI158" s="205"/>
      <c r="HJ158" s="205"/>
      <c r="HK158" s="205"/>
      <c r="HL158" s="205"/>
      <c r="HM158" s="205"/>
      <c r="HN158" s="205"/>
      <c r="HO158" s="205"/>
      <c r="HP158" s="205"/>
      <c r="HQ158" s="205"/>
      <c r="HR158" s="205"/>
      <c r="HS158" s="205"/>
      <c r="HT158" s="205"/>
      <c r="HU158" s="205"/>
      <c r="HV158" s="205"/>
      <c r="HW158" s="205"/>
      <c r="HX158" s="205"/>
      <c r="HY158" s="205"/>
      <c r="HZ158" s="205"/>
      <c r="IA158" s="205"/>
      <c r="IB158" s="205"/>
      <c r="IC158" s="205"/>
      <c r="ID158" s="205"/>
      <c r="IE158" s="205"/>
      <c r="IF158" s="205"/>
      <c r="IG158" s="205"/>
      <c r="IH158" s="205"/>
      <c r="II158" s="205"/>
      <c r="IJ158" s="205"/>
      <c r="IK158" s="205"/>
      <c r="IL158" s="205"/>
      <c r="IM158" s="205"/>
      <c r="IN158" s="205"/>
      <c r="IO158" s="205"/>
      <c r="IP158" s="205"/>
      <c r="IQ158" s="205"/>
      <c r="IR158" s="205"/>
      <c r="IS158" s="205"/>
      <c r="IT158" s="205"/>
      <c r="IU158" s="205"/>
      <c r="IV158" s="205"/>
      <c r="IW158" s="205"/>
      <c r="IX158" s="205"/>
    </row>
    <row r="159" spans="1:258" s="203" customFormat="1" x14ac:dyDescent="0.2">
      <c r="A159" s="669"/>
      <c r="B159" s="670"/>
      <c r="C159" s="1358"/>
      <c r="D159" s="672"/>
      <c r="E159" s="1359"/>
      <c r="F159" s="1359"/>
      <c r="G159" s="1360"/>
      <c r="H159" s="1361"/>
      <c r="I159" s="1362"/>
      <c r="J159" s="1362"/>
      <c r="K159" s="1362"/>
      <c r="L159" s="1362"/>
      <c r="M159" s="1362"/>
      <c r="N159" s="1362"/>
      <c r="O159" s="1362"/>
      <c r="P159" s="1362"/>
      <c r="Q159" s="1362"/>
      <c r="R159" s="1363">
        <f>SUM(R148:R158)</f>
        <v>618.48198568500015</v>
      </c>
      <c r="S159" s="1364">
        <f>R159</f>
        <v>618.48198568500015</v>
      </c>
      <c r="T159" s="722" t="s">
        <v>298</v>
      </c>
      <c r="U159" s="205"/>
      <c r="V159" s="685"/>
      <c r="W159" s="205"/>
      <c r="X159" s="205"/>
      <c r="Y159" s="205"/>
      <c r="Z159" s="205"/>
      <c r="AA159" s="205"/>
      <c r="AB159" s="205"/>
      <c r="AC159" s="205"/>
      <c r="AD159" s="205"/>
      <c r="AE159" s="205"/>
      <c r="AF159" s="205"/>
      <c r="AG159" s="205"/>
      <c r="AH159" s="205"/>
      <c r="AI159" s="205"/>
      <c r="AJ159" s="205"/>
      <c r="AK159" s="205"/>
      <c r="AL159" s="205"/>
      <c r="AM159" s="205"/>
      <c r="AN159" s="205"/>
      <c r="AO159" s="205"/>
      <c r="AP159" s="205"/>
      <c r="AQ159" s="205"/>
      <c r="AR159" s="205"/>
      <c r="AS159" s="205"/>
      <c r="AT159" s="205"/>
      <c r="AU159" s="205"/>
      <c r="AV159" s="205"/>
      <c r="AW159" s="205"/>
      <c r="AX159" s="205"/>
      <c r="AY159" s="205"/>
      <c r="AZ159" s="205"/>
      <c r="BA159" s="205"/>
      <c r="BB159" s="205"/>
      <c r="BC159" s="205"/>
      <c r="BD159" s="205"/>
      <c r="BE159" s="205"/>
      <c r="BF159" s="205"/>
      <c r="BG159" s="205"/>
      <c r="BH159" s="205"/>
      <c r="BI159" s="205"/>
      <c r="BJ159" s="205"/>
      <c r="BK159" s="205"/>
      <c r="BL159" s="205"/>
      <c r="BM159" s="205"/>
      <c r="BN159" s="205"/>
      <c r="BO159" s="205"/>
      <c r="BP159" s="205"/>
      <c r="BQ159" s="205"/>
      <c r="BR159" s="205"/>
      <c r="BS159" s="205"/>
      <c r="BT159" s="205"/>
      <c r="BU159" s="205"/>
      <c r="BV159" s="205"/>
      <c r="BW159" s="205"/>
      <c r="BX159" s="205"/>
      <c r="BY159" s="205"/>
      <c r="BZ159" s="205"/>
      <c r="CA159" s="205"/>
      <c r="CB159" s="205"/>
      <c r="CC159" s="205"/>
      <c r="CD159" s="205"/>
      <c r="CE159" s="205"/>
      <c r="CF159" s="205"/>
      <c r="CG159" s="205"/>
      <c r="CH159" s="205"/>
      <c r="CI159" s="205"/>
      <c r="CJ159" s="205"/>
      <c r="CK159" s="205"/>
      <c r="CL159" s="205"/>
      <c r="CM159" s="205"/>
      <c r="CN159" s="205"/>
      <c r="CO159" s="205"/>
      <c r="CP159" s="205"/>
      <c r="CQ159" s="205"/>
      <c r="CR159" s="205"/>
      <c r="CS159" s="205"/>
      <c r="CT159" s="205"/>
      <c r="CU159" s="205"/>
      <c r="CV159" s="205"/>
      <c r="CW159" s="205"/>
      <c r="CX159" s="205"/>
      <c r="CY159" s="205"/>
      <c r="CZ159" s="205"/>
      <c r="DA159" s="205"/>
      <c r="DB159" s="205"/>
      <c r="DC159" s="205"/>
      <c r="DD159" s="205"/>
      <c r="DE159" s="205"/>
      <c r="DF159" s="205"/>
      <c r="DG159" s="205"/>
      <c r="DH159" s="205"/>
      <c r="DI159" s="205"/>
      <c r="DJ159" s="205"/>
      <c r="DK159" s="205"/>
      <c r="DL159" s="205"/>
      <c r="DM159" s="205"/>
      <c r="DN159" s="205"/>
      <c r="DO159" s="205"/>
      <c r="DP159" s="205"/>
      <c r="DQ159" s="205"/>
      <c r="DR159" s="205"/>
      <c r="DS159" s="205"/>
      <c r="DT159" s="205"/>
      <c r="DU159" s="205"/>
      <c r="DV159" s="205"/>
      <c r="DW159" s="205"/>
      <c r="DX159" s="205"/>
      <c r="DY159" s="205"/>
      <c r="DZ159" s="205"/>
      <c r="EA159" s="205"/>
      <c r="EB159" s="205"/>
      <c r="EC159" s="205"/>
      <c r="ED159" s="205"/>
      <c r="EE159" s="205"/>
      <c r="EF159" s="205"/>
      <c r="EG159" s="205"/>
      <c r="EH159" s="205"/>
      <c r="EI159" s="205"/>
      <c r="EJ159" s="205"/>
      <c r="EK159" s="205"/>
      <c r="EL159" s="205"/>
      <c r="EM159" s="205"/>
      <c r="EN159" s="205"/>
      <c r="EO159" s="205"/>
      <c r="EP159" s="205"/>
      <c r="EQ159" s="205"/>
      <c r="ER159" s="205"/>
      <c r="ES159" s="205"/>
      <c r="ET159" s="205"/>
      <c r="EU159" s="205"/>
      <c r="EV159" s="205"/>
      <c r="EW159" s="205"/>
      <c r="EX159" s="205"/>
      <c r="EY159" s="205"/>
      <c r="EZ159" s="205"/>
      <c r="FA159" s="205"/>
      <c r="FB159" s="205"/>
      <c r="FC159" s="205"/>
      <c r="FD159" s="205"/>
      <c r="FE159" s="205"/>
      <c r="FF159" s="205"/>
      <c r="FG159" s="205"/>
      <c r="FH159" s="205"/>
      <c r="FI159" s="205"/>
      <c r="FJ159" s="205"/>
      <c r="FK159" s="205"/>
      <c r="FL159" s="205"/>
      <c r="FM159" s="205"/>
      <c r="FN159" s="205"/>
      <c r="FO159" s="205"/>
      <c r="FP159" s="205"/>
      <c r="FQ159" s="205"/>
      <c r="FR159" s="205"/>
      <c r="FS159" s="205"/>
      <c r="FT159" s="205"/>
      <c r="FU159" s="205"/>
      <c r="FV159" s="205"/>
      <c r="FW159" s="205"/>
      <c r="FX159" s="205"/>
      <c r="FY159" s="205"/>
      <c r="FZ159" s="205"/>
      <c r="GA159" s="205"/>
      <c r="GB159" s="205"/>
      <c r="GC159" s="205"/>
      <c r="GD159" s="205"/>
      <c r="GE159" s="205"/>
      <c r="GF159" s="205"/>
      <c r="GG159" s="205"/>
      <c r="GH159" s="205"/>
      <c r="GI159" s="205"/>
      <c r="GJ159" s="205"/>
      <c r="GK159" s="205"/>
      <c r="GL159" s="205"/>
      <c r="GM159" s="205"/>
      <c r="GN159" s="205"/>
      <c r="GO159" s="205"/>
      <c r="GP159" s="205"/>
      <c r="GQ159" s="205"/>
      <c r="GR159" s="205"/>
      <c r="GS159" s="205"/>
      <c r="GT159" s="205"/>
      <c r="GU159" s="205"/>
      <c r="GV159" s="205"/>
      <c r="GW159" s="205"/>
      <c r="GX159" s="205"/>
      <c r="GY159" s="205"/>
      <c r="GZ159" s="205"/>
      <c r="HA159" s="205"/>
      <c r="HB159" s="205"/>
      <c r="HC159" s="205"/>
      <c r="HD159" s="205"/>
      <c r="HE159" s="205"/>
      <c r="HF159" s="205"/>
      <c r="HG159" s="205"/>
      <c r="HH159" s="205"/>
      <c r="HI159" s="205"/>
      <c r="HJ159" s="205"/>
      <c r="HK159" s="205"/>
      <c r="HL159" s="205"/>
      <c r="HM159" s="205"/>
      <c r="HN159" s="205"/>
      <c r="HO159" s="205"/>
      <c r="HP159" s="205"/>
      <c r="HQ159" s="205"/>
      <c r="HR159" s="205"/>
      <c r="HS159" s="205"/>
      <c r="HT159" s="205"/>
      <c r="HU159" s="205"/>
      <c r="HV159" s="205"/>
      <c r="HW159" s="205"/>
      <c r="HX159" s="205"/>
      <c r="HY159" s="205"/>
      <c r="HZ159" s="205"/>
      <c r="IA159" s="205"/>
      <c r="IB159" s="205"/>
      <c r="IC159" s="205"/>
      <c r="ID159" s="205"/>
      <c r="IE159" s="205"/>
      <c r="IF159" s="205"/>
      <c r="IG159" s="205"/>
      <c r="IH159" s="205"/>
      <c r="II159" s="205"/>
      <c r="IJ159" s="205"/>
      <c r="IK159" s="205"/>
      <c r="IL159" s="205"/>
      <c r="IM159" s="205"/>
      <c r="IN159" s="205"/>
      <c r="IO159" s="205"/>
      <c r="IP159" s="205"/>
      <c r="IQ159" s="205"/>
      <c r="IR159" s="205"/>
      <c r="IS159" s="205"/>
      <c r="IT159" s="205"/>
      <c r="IU159" s="205"/>
      <c r="IV159" s="205"/>
      <c r="IW159" s="205"/>
      <c r="IX159" s="205"/>
    </row>
    <row r="160" spans="1:258" s="203" customFormat="1" x14ac:dyDescent="0.2">
      <c r="A160" s="669"/>
      <c r="B160" s="670"/>
      <c r="C160" s="1358"/>
      <c r="D160" s="672"/>
      <c r="E160" s="1359"/>
      <c r="F160" s="1359"/>
      <c r="G160" s="1360"/>
      <c r="H160" s="1361"/>
      <c r="I160" s="1362"/>
      <c r="J160" s="1362"/>
      <c r="K160" s="1362"/>
      <c r="L160" s="1362"/>
      <c r="M160" s="1362"/>
      <c r="N160" s="1362"/>
      <c r="O160" s="1362"/>
      <c r="P160" s="1362"/>
      <c r="Q160" s="1362"/>
      <c r="R160" s="1363"/>
      <c r="S160" s="1364"/>
      <c r="T160" s="722"/>
      <c r="U160" s="205"/>
      <c r="V160" s="68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05"/>
      <c r="BN160" s="205"/>
      <c r="BO160" s="205"/>
      <c r="BP160" s="205"/>
      <c r="BQ160" s="205"/>
      <c r="BR160" s="205"/>
      <c r="BS160" s="205"/>
      <c r="BT160" s="205"/>
      <c r="BU160" s="205"/>
      <c r="BV160" s="205"/>
      <c r="BW160" s="205"/>
      <c r="BX160" s="205"/>
      <c r="BY160" s="205"/>
      <c r="BZ160" s="205"/>
      <c r="CA160" s="205"/>
      <c r="CB160" s="205"/>
      <c r="CC160" s="205"/>
      <c r="CD160" s="205"/>
      <c r="CE160" s="205"/>
      <c r="CF160" s="205"/>
      <c r="CG160" s="205"/>
      <c r="CH160" s="205"/>
      <c r="CI160" s="205"/>
      <c r="CJ160" s="205"/>
      <c r="CK160" s="205"/>
      <c r="CL160" s="205"/>
      <c r="CM160" s="205"/>
      <c r="CN160" s="205"/>
      <c r="CO160" s="205"/>
      <c r="CP160" s="205"/>
      <c r="CQ160" s="205"/>
      <c r="CR160" s="205"/>
      <c r="CS160" s="205"/>
      <c r="CT160" s="205"/>
      <c r="CU160" s="205"/>
      <c r="CV160" s="205"/>
      <c r="CW160" s="205"/>
      <c r="CX160" s="205"/>
      <c r="CY160" s="205"/>
      <c r="CZ160" s="205"/>
      <c r="DA160" s="205"/>
      <c r="DB160" s="205"/>
      <c r="DC160" s="205"/>
      <c r="DD160" s="205"/>
      <c r="DE160" s="205"/>
      <c r="DF160" s="205"/>
      <c r="DG160" s="205"/>
      <c r="DH160" s="205"/>
      <c r="DI160" s="205"/>
      <c r="DJ160" s="205"/>
      <c r="DK160" s="205"/>
      <c r="DL160" s="205"/>
      <c r="DM160" s="205"/>
      <c r="DN160" s="205"/>
      <c r="DO160" s="205"/>
      <c r="DP160" s="205"/>
      <c r="DQ160" s="205"/>
      <c r="DR160" s="205"/>
      <c r="DS160" s="205"/>
      <c r="DT160" s="205"/>
      <c r="DU160" s="205"/>
      <c r="DV160" s="205"/>
      <c r="DW160" s="205"/>
      <c r="DX160" s="205"/>
      <c r="DY160" s="205"/>
      <c r="DZ160" s="205"/>
      <c r="EA160" s="205"/>
      <c r="EB160" s="205"/>
      <c r="EC160" s="205"/>
      <c r="ED160" s="205"/>
      <c r="EE160" s="205"/>
      <c r="EF160" s="205"/>
      <c r="EG160" s="205"/>
      <c r="EH160" s="205"/>
      <c r="EI160" s="205"/>
      <c r="EJ160" s="205"/>
      <c r="EK160" s="205"/>
      <c r="EL160" s="205"/>
      <c r="EM160" s="205"/>
      <c r="EN160" s="205"/>
      <c r="EO160" s="205"/>
      <c r="EP160" s="205"/>
      <c r="EQ160" s="205"/>
      <c r="ER160" s="205"/>
      <c r="ES160" s="205"/>
      <c r="ET160" s="205"/>
      <c r="EU160" s="205"/>
      <c r="EV160" s="205"/>
      <c r="EW160" s="205"/>
      <c r="EX160" s="205"/>
      <c r="EY160" s="205"/>
      <c r="EZ160" s="205"/>
      <c r="FA160" s="205"/>
      <c r="FB160" s="205"/>
      <c r="FC160" s="205"/>
      <c r="FD160" s="205"/>
      <c r="FE160" s="205"/>
      <c r="FF160" s="205"/>
      <c r="FG160" s="205"/>
      <c r="FH160" s="205"/>
      <c r="FI160" s="205"/>
      <c r="FJ160" s="205"/>
      <c r="FK160" s="205"/>
      <c r="FL160" s="205"/>
      <c r="FM160" s="205"/>
      <c r="FN160" s="205"/>
      <c r="FO160" s="205"/>
      <c r="FP160" s="205"/>
      <c r="FQ160" s="205"/>
      <c r="FR160" s="205"/>
      <c r="FS160" s="205"/>
      <c r="FT160" s="205"/>
      <c r="FU160" s="205"/>
      <c r="FV160" s="205"/>
      <c r="FW160" s="205"/>
      <c r="FX160" s="205"/>
      <c r="FY160" s="205"/>
      <c r="FZ160" s="205"/>
      <c r="GA160" s="205"/>
      <c r="GB160" s="205"/>
      <c r="GC160" s="205"/>
      <c r="GD160" s="205"/>
      <c r="GE160" s="205"/>
      <c r="GF160" s="205"/>
      <c r="GG160" s="205"/>
      <c r="GH160" s="205"/>
      <c r="GI160" s="205"/>
      <c r="GJ160" s="205"/>
      <c r="GK160" s="205"/>
      <c r="GL160" s="205"/>
      <c r="GM160" s="205"/>
      <c r="GN160" s="205"/>
      <c r="GO160" s="205"/>
      <c r="GP160" s="205"/>
      <c r="GQ160" s="205"/>
      <c r="GR160" s="205"/>
      <c r="GS160" s="205"/>
      <c r="GT160" s="205"/>
      <c r="GU160" s="205"/>
      <c r="GV160" s="205"/>
      <c r="GW160" s="205"/>
      <c r="GX160" s="205"/>
      <c r="GY160" s="205"/>
      <c r="GZ160" s="205"/>
      <c r="HA160" s="205"/>
      <c r="HB160" s="205"/>
      <c r="HC160" s="205"/>
      <c r="HD160" s="205"/>
      <c r="HE160" s="205"/>
      <c r="HF160" s="205"/>
      <c r="HG160" s="205"/>
      <c r="HH160" s="205"/>
      <c r="HI160" s="205"/>
      <c r="HJ160" s="205"/>
      <c r="HK160" s="205"/>
      <c r="HL160" s="205"/>
      <c r="HM160" s="205"/>
      <c r="HN160" s="205"/>
      <c r="HO160" s="205"/>
      <c r="HP160" s="205"/>
      <c r="HQ160" s="205"/>
      <c r="HR160" s="205"/>
      <c r="HS160" s="205"/>
      <c r="HT160" s="205"/>
      <c r="HU160" s="205"/>
      <c r="HV160" s="205"/>
      <c r="HW160" s="205"/>
      <c r="HX160" s="205"/>
      <c r="HY160" s="205"/>
      <c r="HZ160" s="205"/>
      <c r="IA160" s="205"/>
      <c r="IB160" s="205"/>
      <c r="IC160" s="205"/>
      <c r="ID160" s="205"/>
      <c r="IE160" s="205"/>
      <c r="IF160" s="205"/>
      <c r="IG160" s="205"/>
      <c r="IH160" s="205"/>
      <c r="II160" s="205"/>
      <c r="IJ160" s="205"/>
      <c r="IK160" s="205"/>
      <c r="IL160" s="205"/>
      <c r="IM160" s="205"/>
      <c r="IN160" s="205"/>
      <c r="IO160" s="205"/>
      <c r="IP160" s="205"/>
      <c r="IQ160" s="205"/>
      <c r="IR160" s="205"/>
      <c r="IS160" s="205"/>
      <c r="IT160" s="205"/>
      <c r="IU160" s="205"/>
      <c r="IV160" s="205"/>
      <c r="IW160" s="205"/>
      <c r="IX160" s="205"/>
    </row>
    <row r="161" spans="1:258" s="203" customFormat="1" x14ac:dyDescent="0.2">
      <c r="A161" s="669"/>
      <c r="B161" s="670">
        <f>RAB!B64</f>
        <v>5</v>
      </c>
      <c r="C161" s="686" t="str">
        <f>RAB!D64</f>
        <v>Memasang bekisting untuk pondasi ( 2x pakai )</v>
      </c>
      <c r="D161" s="672"/>
      <c r="E161" s="673"/>
      <c r="F161" s="673"/>
      <c r="G161" s="674"/>
      <c r="H161" s="675"/>
      <c r="I161" s="676"/>
      <c r="J161" s="676"/>
      <c r="K161" s="676"/>
      <c r="L161" s="676"/>
      <c r="M161" s="676"/>
      <c r="N161" s="676"/>
      <c r="O161" s="676"/>
      <c r="P161" s="676"/>
      <c r="Q161" s="676"/>
      <c r="R161" s="677"/>
      <c r="S161" s="678"/>
      <c r="T161" s="684"/>
      <c r="U161" s="205"/>
      <c r="V161" s="68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05"/>
      <c r="BN161" s="205"/>
      <c r="BO161" s="205"/>
      <c r="BP161" s="205"/>
      <c r="BQ161" s="205"/>
      <c r="BR161" s="205"/>
      <c r="BS161" s="205"/>
      <c r="BT161" s="205"/>
      <c r="BU161" s="205"/>
      <c r="BV161" s="205"/>
      <c r="BW161" s="205"/>
      <c r="BX161" s="205"/>
      <c r="BY161" s="205"/>
      <c r="BZ161" s="205"/>
      <c r="CA161" s="205"/>
      <c r="CB161" s="205"/>
      <c r="CC161" s="205"/>
      <c r="CD161" s="205"/>
      <c r="CE161" s="205"/>
      <c r="CF161" s="205"/>
      <c r="CG161" s="205"/>
      <c r="CH161" s="205"/>
      <c r="CI161" s="205"/>
      <c r="CJ161" s="205"/>
      <c r="CK161" s="205"/>
      <c r="CL161" s="205"/>
      <c r="CM161" s="205"/>
      <c r="CN161" s="205"/>
      <c r="CO161" s="205"/>
      <c r="CP161" s="205"/>
      <c r="CQ161" s="205"/>
      <c r="CR161" s="205"/>
      <c r="CS161" s="205"/>
      <c r="CT161" s="205"/>
      <c r="CU161" s="205"/>
      <c r="CV161" s="205"/>
      <c r="CW161" s="205"/>
      <c r="CX161" s="205"/>
      <c r="CY161" s="205"/>
      <c r="CZ161" s="205"/>
      <c r="DA161" s="205"/>
      <c r="DB161" s="205"/>
      <c r="DC161" s="205"/>
      <c r="DD161" s="205"/>
      <c r="DE161" s="205"/>
      <c r="DF161" s="205"/>
      <c r="DG161" s="205"/>
      <c r="DH161" s="205"/>
      <c r="DI161" s="205"/>
      <c r="DJ161" s="205"/>
      <c r="DK161" s="205"/>
      <c r="DL161" s="205"/>
      <c r="DM161" s="205"/>
      <c r="DN161" s="205"/>
      <c r="DO161" s="205"/>
      <c r="DP161" s="205"/>
      <c r="DQ161" s="205"/>
      <c r="DR161" s="205"/>
      <c r="DS161" s="205"/>
      <c r="DT161" s="205"/>
      <c r="DU161" s="205"/>
      <c r="DV161" s="205"/>
      <c r="DW161" s="205"/>
      <c r="DX161" s="205"/>
      <c r="DY161" s="205"/>
      <c r="DZ161" s="205"/>
      <c r="EA161" s="205"/>
      <c r="EB161" s="205"/>
      <c r="EC161" s="205"/>
      <c r="ED161" s="205"/>
      <c r="EE161" s="205"/>
      <c r="EF161" s="205"/>
      <c r="EG161" s="205"/>
      <c r="EH161" s="205"/>
      <c r="EI161" s="205"/>
      <c r="EJ161" s="205"/>
      <c r="EK161" s="205"/>
      <c r="EL161" s="205"/>
      <c r="EM161" s="205"/>
      <c r="EN161" s="205"/>
      <c r="EO161" s="205"/>
      <c r="EP161" s="205"/>
      <c r="EQ161" s="205"/>
      <c r="ER161" s="205"/>
      <c r="ES161" s="205"/>
      <c r="ET161" s="205"/>
      <c r="EU161" s="205"/>
      <c r="EV161" s="205"/>
      <c r="EW161" s="205"/>
      <c r="EX161" s="205"/>
      <c r="EY161" s="205"/>
      <c r="EZ161" s="205"/>
      <c r="FA161" s="205"/>
      <c r="FB161" s="205"/>
      <c r="FC161" s="205"/>
      <c r="FD161" s="205"/>
      <c r="FE161" s="205"/>
      <c r="FF161" s="205"/>
      <c r="FG161" s="205"/>
      <c r="FH161" s="205"/>
      <c r="FI161" s="205"/>
      <c r="FJ161" s="205"/>
      <c r="FK161" s="205"/>
      <c r="FL161" s="205"/>
      <c r="FM161" s="205"/>
      <c r="FN161" s="205"/>
      <c r="FO161" s="205"/>
      <c r="FP161" s="205"/>
      <c r="FQ161" s="205"/>
      <c r="FR161" s="205"/>
      <c r="FS161" s="205"/>
      <c r="FT161" s="205"/>
      <c r="FU161" s="205"/>
      <c r="FV161" s="205"/>
      <c r="FW161" s="205"/>
      <c r="FX161" s="205"/>
      <c r="FY161" s="205"/>
      <c r="FZ161" s="205"/>
      <c r="GA161" s="205"/>
      <c r="GB161" s="205"/>
      <c r="GC161" s="205"/>
      <c r="GD161" s="205"/>
      <c r="GE161" s="205"/>
      <c r="GF161" s="205"/>
      <c r="GG161" s="205"/>
      <c r="GH161" s="205"/>
      <c r="GI161" s="205"/>
      <c r="GJ161" s="205"/>
      <c r="GK161" s="205"/>
      <c r="GL161" s="205"/>
      <c r="GM161" s="205"/>
      <c r="GN161" s="205"/>
      <c r="GO161" s="205"/>
      <c r="GP161" s="205"/>
      <c r="GQ161" s="205"/>
      <c r="GR161" s="205"/>
      <c r="GS161" s="205"/>
      <c r="GT161" s="205"/>
      <c r="GU161" s="205"/>
      <c r="GV161" s="205"/>
      <c r="GW161" s="205"/>
      <c r="GX161" s="205"/>
      <c r="GY161" s="205"/>
      <c r="GZ161" s="205"/>
      <c r="HA161" s="205"/>
      <c r="HB161" s="205"/>
      <c r="HC161" s="205"/>
      <c r="HD161" s="205"/>
      <c r="HE161" s="205"/>
      <c r="HF161" s="205"/>
      <c r="HG161" s="205"/>
      <c r="HH161" s="205"/>
      <c r="HI161" s="205"/>
      <c r="HJ161" s="205"/>
      <c r="HK161" s="205"/>
      <c r="HL161" s="205"/>
      <c r="HM161" s="205"/>
      <c r="HN161" s="205"/>
      <c r="HO161" s="205"/>
      <c r="HP161" s="205"/>
      <c r="HQ161" s="205"/>
      <c r="HR161" s="205"/>
      <c r="HS161" s="205"/>
      <c r="HT161" s="205"/>
      <c r="HU161" s="205"/>
      <c r="HV161" s="205"/>
      <c r="HW161" s="205"/>
      <c r="HX161" s="205"/>
      <c r="HY161" s="205"/>
      <c r="HZ161" s="205"/>
      <c r="IA161" s="205"/>
      <c r="IB161" s="205"/>
      <c r="IC161" s="205"/>
      <c r="ID161" s="205"/>
      <c r="IE161" s="205"/>
      <c r="IF161" s="205"/>
      <c r="IG161" s="205"/>
      <c r="IH161" s="205"/>
      <c r="II161" s="205"/>
      <c r="IJ161" s="205"/>
      <c r="IK161" s="205"/>
      <c r="IL161" s="205"/>
      <c r="IM161" s="205"/>
      <c r="IN161" s="205"/>
      <c r="IO161" s="205"/>
      <c r="IP161" s="205"/>
      <c r="IQ161" s="205"/>
      <c r="IR161" s="205"/>
      <c r="IS161" s="205"/>
      <c r="IT161" s="205"/>
      <c r="IU161" s="205"/>
      <c r="IV161" s="205"/>
      <c r="IW161" s="205"/>
      <c r="IX161" s="205"/>
    </row>
    <row r="162" spans="1:258" s="203" customFormat="1" x14ac:dyDescent="0.2">
      <c r="A162" s="669"/>
      <c r="B162" s="670"/>
      <c r="C162" s="1358"/>
      <c r="D162" s="672"/>
      <c r="E162" s="1359"/>
      <c r="F162" s="1359" t="str">
        <f>F147</f>
        <v>Tapak</v>
      </c>
      <c r="G162" s="1360"/>
      <c r="H162" s="1361"/>
      <c r="I162" s="1362"/>
      <c r="J162" s="1362"/>
      <c r="K162" s="1362"/>
      <c r="L162" s="1362"/>
      <c r="M162" s="1362"/>
      <c r="N162" s="1362"/>
      <c r="O162" s="1362"/>
      <c r="P162" s="1362"/>
      <c r="Q162" s="1362"/>
      <c r="R162" s="1363"/>
      <c r="S162" s="1364"/>
      <c r="T162" s="722"/>
      <c r="U162" s="205"/>
      <c r="V162" s="68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05"/>
      <c r="BN162" s="205"/>
      <c r="BO162" s="205"/>
      <c r="BP162" s="205"/>
      <c r="BQ162" s="205"/>
      <c r="BR162" s="205"/>
      <c r="BS162" s="205"/>
      <c r="BT162" s="205"/>
      <c r="BU162" s="205"/>
      <c r="BV162" s="205"/>
      <c r="BW162" s="205"/>
      <c r="BX162" s="205"/>
      <c r="BY162" s="205"/>
      <c r="BZ162" s="205"/>
      <c r="CA162" s="205"/>
      <c r="CB162" s="205"/>
      <c r="CC162" s="205"/>
      <c r="CD162" s="205"/>
      <c r="CE162" s="205"/>
      <c r="CF162" s="205"/>
      <c r="CG162" s="205"/>
      <c r="CH162" s="205"/>
      <c r="CI162" s="205"/>
      <c r="CJ162" s="205"/>
      <c r="CK162" s="205"/>
      <c r="CL162" s="205"/>
      <c r="CM162" s="205"/>
      <c r="CN162" s="205"/>
      <c r="CO162" s="205"/>
      <c r="CP162" s="205"/>
      <c r="CQ162" s="205"/>
      <c r="CR162" s="205"/>
      <c r="CS162" s="205"/>
      <c r="CT162" s="205"/>
      <c r="CU162" s="205"/>
      <c r="CV162" s="205"/>
      <c r="CW162" s="205"/>
      <c r="CX162" s="205"/>
      <c r="CY162" s="205"/>
      <c r="CZ162" s="205"/>
      <c r="DA162" s="205"/>
      <c r="DB162" s="205"/>
      <c r="DC162" s="205"/>
      <c r="DD162" s="205"/>
      <c r="DE162" s="205"/>
      <c r="DF162" s="205"/>
      <c r="DG162" s="205"/>
      <c r="DH162" s="205"/>
      <c r="DI162" s="205"/>
      <c r="DJ162" s="205"/>
      <c r="DK162" s="205"/>
      <c r="DL162" s="205"/>
      <c r="DM162" s="205"/>
      <c r="DN162" s="205"/>
      <c r="DO162" s="205"/>
      <c r="DP162" s="205"/>
      <c r="DQ162" s="205"/>
      <c r="DR162" s="205"/>
      <c r="DS162" s="205"/>
      <c r="DT162" s="205"/>
      <c r="DU162" s="205"/>
      <c r="DV162" s="205"/>
      <c r="DW162" s="205"/>
      <c r="DX162" s="205"/>
      <c r="DY162" s="205"/>
      <c r="DZ162" s="205"/>
      <c r="EA162" s="205"/>
      <c r="EB162" s="205"/>
      <c r="EC162" s="205"/>
      <c r="ED162" s="205"/>
      <c r="EE162" s="205"/>
      <c r="EF162" s="205"/>
      <c r="EG162" s="205"/>
      <c r="EH162" s="205"/>
      <c r="EI162" s="205"/>
      <c r="EJ162" s="205"/>
      <c r="EK162" s="205"/>
      <c r="EL162" s="205"/>
      <c r="EM162" s="205"/>
      <c r="EN162" s="205"/>
      <c r="EO162" s="205"/>
      <c r="EP162" s="205"/>
      <c r="EQ162" s="205"/>
      <c r="ER162" s="205"/>
      <c r="ES162" s="205"/>
      <c r="ET162" s="205"/>
      <c r="EU162" s="205"/>
      <c r="EV162" s="205"/>
      <c r="EW162" s="205"/>
      <c r="EX162" s="205"/>
      <c r="EY162" s="205"/>
      <c r="EZ162" s="205"/>
      <c r="FA162" s="205"/>
      <c r="FB162" s="205"/>
      <c r="FC162" s="205"/>
      <c r="FD162" s="205"/>
      <c r="FE162" s="205"/>
      <c r="FF162" s="205"/>
      <c r="FG162" s="205"/>
      <c r="FH162" s="205"/>
      <c r="FI162" s="205"/>
      <c r="FJ162" s="205"/>
      <c r="FK162" s="205"/>
      <c r="FL162" s="205"/>
      <c r="FM162" s="205"/>
      <c r="FN162" s="205"/>
      <c r="FO162" s="205"/>
      <c r="FP162" s="205"/>
      <c r="FQ162" s="205"/>
      <c r="FR162" s="205"/>
      <c r="FS162" s="205"/>
      <c r="FT162" s="205"/>
      <c r="FU162" s="205"/>
      <c r="FV162" s="205"/>
      <c r="FW162" s="205"/>
      <c r="FX162" s="205"/>
      <c r="FY162" s="205"/>
      <c r="FZ162" s="205"/>
      <c r="GA162" s="205"/>
      <c r="GB162" s="205"/>
      <c r="GC162" s="205"/>
      <c r="GD162" s="205"/>
      <c r="GE162" s="205"/>
      <c r="GF162" s="205"/>
      <c r="GG162" s="205"/>
      <c r="GH162" s="205"/>
      <c r="GI162" s="205"/>
      <c r="GJ162" s="205"/>
      <c r="GK162" s="205"/>
      <c r="GL162" s="205"/>
      <c r="GM162" s="205"/>
      <c r="GN162" s="205"/>
      <c r="GO162" s="205"/>
      <c r="GP162" s="205"/>
      <c r="GQ162" s="205"/>
      <c r="GR162" s="205"/>
      <c r="GS162" s="205"/>
      <c r="GT162" s="205"/>
      <c r="GU162" s="205"/>
      <c r="GV162" s="205"/>
      <c r="GW162" s="205"/>
      <c r="GX162" s="205"/>
      <c r="GY162" s="205"/>
      <c r="GZ162" s="205"/>
      <c r="HA162" s="205"/>
      <c r="HB162" s="205"/>
      <c r="HC162" s="205"/>
      <c r="HD162" s="205"/>
      <c r="HE162" s="205"/>
      <c r="HF162" s="205"/>
      <c r="HG162" s="205"/>
      <c r="HH162" s="205"/>
      <c r="HI162" s="205"/>
      <c r="HJ162" s="205"/>
      <c r="HK162" s="205"/>
      <c r="HL162" s="205"/>
      <c r="HM162" s="205"/>
      <c r="HN162" s="205"/>
      <c r="HO162" s="205"/>
      <c r="HP162" s="205"/>
      <c r="HQ162" s="205"/>
      <c r="HR162" s="205"/>
      <c r="HS162" s="205"/>
      <c r="HT162" s="205"/>
      <c r="HU162" s="205"/>
      <c r="HV162" s="205"/>
      <c r="HW162" s="205"/>
      <c r="HX162" s="205"/>
      <c r="HY162" s="205"/>
      <c r="HZ162" s="205"/>
      <c r="IA162" s="205"/>
      <c r="IB162" s="205"/>
      <c r="IC162" s="205"/>
      <c r="ID162" s="205"/>
      <c r="IE162" s="205"/>
      <c r="IF162" s="205"/>
      <c r="IG162" s="205"/>
      <c r="IH162" s="205"/>
      <c r="II162" s="205"/>
      <c r="IJ162" s="205"/>
      <c r="IK162" s="205"/>
      <c r="IL162" s="205"/>
      <c r="IM162" s="205"/>
      <c r="IN162" s="205"/>
      <c r="IO162" s="205"/>
      <c r="IP162" s="205"/>
      <c r="IQ162" s="205"/>
      <c r="IR162" s="205"/>
      <c r="IS162" s="205"/>
      <c r="IT162" s="205"/>
      <c r="IU162" s="205"/>
      <c r="IV162" s="205"/>
      <c r="IW162" s="205"/>
      <c r="IX162" s="205"/>
    </row>
    <row r="163" spans="1:258" s="203" customFormat="1" x14ac:dyDescent="0.2">
      <c r="A163" s="669"/>
      <c r="B163" s="670"/>
      <c r="C163" s="1358"/>
      <c r="D163" s="672"/>
      <c r="E163" s="1359"/>
      <c r="F163" s="1359"/>
      <c r="G163" s="1360" t="str">
        <f>G148</f>
        <v>FP1</v>
      </c>
      <c r="H163" s="1361">
        <f>H137*4</f>
        <v>3.2</v>
      </c>
      <c r="I163" s="1362" t="s">
        <v>424</v>
      </c>
      <c r="J163" s="1362">
        <f>L137</f>
        <v>0.25</v>
      </c>
      <c r="K163" s="1362" t="s">
        <v>424</v>
      </c>
      <c r="L163" s="1362">
        <f>N137</f>
        <v>9</v>
      </c>
      <c r="M163" s="1362"/>
      <c r="N163" s="1362"/>
      <c r="O163" s="1362"/>
      <c r="P163" s="1362"/>
      <c r="Q163" s="1362" t="s">
        <v>696</v>
      </c>
      <c r="R163" s="1363">
        <f>H163*J163*L163</f>
        <v>7.2</v>
      </c>
      <c r="S163" s="1364"/>
      <c r="T163" s="722"/>
      <c r="U163" s="205"/>
      <c r="V163" s="68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05"/>
      <c r="BN163" s="205"/>
      <c r="BO163" s="205"/>
      <c r="BP163" s="205"/>
      <c r="BQ163" s="205"/>
      <c r="BR163" s="205"/>
      <c r="BS163" s="205"/>
      <c r="BT163" s="205"/>
      <c r="BU163" s="205"/>
      <c r="BV163" s="205"/>
      <c r="BW163" s="205"/>
      <c r="BX163" s="205"/>
      <c r="BY163" s="205"/>
      <c r="BZ163" s="205"/>
      <c r="CA163" s="205"/>
      <c r="CB163" s="205"/>
      <c r="CC163" s="205"/>
      <c r="CD163" s="205"/>
      <c r="CE163" s="205"/>
      <c r="CF163" s="205"/>
      <c r="CG163" s="205"/>
      <c r="CH163" s="205"/>
      <c r="CI163" s="205"/>
      <c r="CJ163" s="205"/>
      <c r="CK163" s="205"/>
      <c r="CL163" s="205"/>
      <c r="CM163" s="205"/>
      <c r="CN163" s="205"/>
      <c r="CO163" s="205"/>
      <c r="CP163" s="205"/>
      <c r="CQ163" s="205"/>
      <c r="CR163" s="205"/>
      <c r="CS163" s="205"/>
      <c r="CT163" s="205"/>
      <c r="CU163" s="205"/>
      <c r="CV163" s="205"/>
      <c r="CW163" s="205"/>
      <c r="CX163" s="205"/>
      <c r="CY163" s="205"/>
      <c r="CZ163" s="205"/>
      <c r="DA163" s="205"/>
      <c r="DB163" s="205"/>
      <c r="DC163" s="205"/>
      <c r="DD163" s="205"/>
      <c r="DE163" s="205"/>
      <c r="DF163" s="205"/>
      <c r="DG163" s="205"/>
      <c r="DH163" s="205"/>
      <c r="DI163" s="205"/>
      <c r="DJ163" s="205"/>
      <c r="DK163" s="205"/>
      <c r="DL163" s="205"/>
      <c r="DM163" s="205"/>
      <c r="DN163" s="205"/>
      <c r="DO163" s="205"/>
      <c r="DP163" s="205"/>
      <c r="DQ163" s="205"/>
      <c r="DR163" s="205"/>
      <c r="DS163" s="205"/>
      <c r="DT163" s="205"/>
      <c r="DU163" s="205"/>
      <c r="DV163" s="205"/>
      <c r="DW163" s="205"/>
      <c r="DX163" s="205"/>
      <c r="DY163" s="205"/>
      <c r="DZ163" s="205"/>
      <c r="EA163" s="205"/>
      <c r="EB163" s="205"/>
      <c r="EC163" s="205"/>
      <c r="ED163" s="205"/>
      <c r="EE163" s="205"/>
      <c r="EF163" s="205"/>
      <c r="EG163" s="205"/>
      <c r="EH163" s="205"/>
      <c r="EI163" s="205"/>
      <c r="EJ163" s="205"/>
      <c r="EK163" s="205"/>
      <c r="EL163" s="205"/>
      <c r="EM163" s="205"/>
      <c r="EN163" s="205"/>
      <c r="EO163" s="205"/>
      <c r="EP163" s="205"/>
      <c r="EQ163" s="205"/>
      <c r="ER163" s="205"/>
      <c r="ES163" s="205"/>
      <c r="ET163" s="205"/>
      <c r="EU163" s="205"/>
      <c r="EV163" s="205"/>
      <c r="EW163" s="205"/>
      <c r="EX163" s="205"/>
      <c r="EY163" s="205"/>
      <c r="EZ163" s="205"/>
      <c r="FA163" s="205"/>
      <c r="FB163" s="205"/>
      <c r="FC163" s="205"/>
      <c r="FD163" s="205"/>
      <c r="FE163" s="205"/>
      <c r="FF163" s="205"/>
      <c r="FG163" s="205"/>
      <c r="FH163" s="205"/>
      <c r="FI163" s="205"/>
      <c r="FJ163" s="205"/>
      <c r="FK163" s="205"/>
      <c r="FL163" s="205"/>
      <c r="FM163" s="205"/>
      <c r="FN163" s="205"/>
      <c r="FO163" s="205"/>
      <c r="FP163" s="205"/>
      <c r="FQ163" s="205"/>
      <c r="FR163" s="205"/>
      <c r="FS163" s="205"/>
      <c r="FT163" s="205"/>
      <c r="FU163" s="205"/>
      <c r="FV163" s="205"/>
      <c r="FW163" s="205"/>
      <c r="FX163" s="205"/>
      <c r="FY163" s="205"/>
      <c r="FZ163" s="205"/>
      <c r="GA163" s="205"/>
      <c r="GB163" s="205"/>
      <c r="GC163" s="205"/>
      <c r="GD163" s="205"/>
      <c r="GE163" s="205"/>
      <c r="GF163" s="205"/>
      <c r="GG163" s="205"/>
      <c r="GH163" s="205"/>
      <c r="GI163" s="205"/>
      <c r="GJ163" s="205"/>
      <c r="GK163" s="205"/>
      <c r="GL163" s="205"/>
      <c r="GM163" s="205"/>
      <c r="GN163" s="205"/>
      <c r="GO163" s="205"/>
      <c r="GP163" s="205"/>
      <c r="GQ163" s="205"/>
      <c r="GR163" s="205"/>
      <c r="GS163" s="205"/>
      <c r="GT163" s="205"/>
      <c r="GU163" s="205"/>
      <c r="GV163" s="205"/>
      <c r="GW163" s="205"/>
      <c r="GX163" s="205"/>
      <c r="GY163" s="205"/>
      <c r="GZ163" s="205"/>
      <c r="HA163" s="205"/>
      <c r="HB163" s="205"/>
      <c r="HC163" s="205"/>
      <c r="HD163" s="205"/>
      <c r="HE163" s="205"/>
      <c r="HF163" s="205"/>
      <c r="HG163" s="205"/>
      <c r="HH163" s="205"/>
      <c r="HI163" s="205"/>
      <c r="HJ163" s="205"/>
      <c r="HK163" s="205"/>
      <c r="HL163" s="205"/>
      <c r="HM163" s="205"/>
      <c r="HN163" s="205"/>
      <c r="HO163" s="205"/>
      <c r="HP163" s="205"/>
      <c r="HQ163" s="205"/>
      <c r="HR163" s="205"/>
      <c r="HS163" s="205"/>
      <c r="HT163" s="205"/>
      <c r="HU163" s="205"/>
      <c r="HV163" s="205"/>
      <c r="HW163" s="205"/>
      <c r="HX163" s="205"/>
      <c r="HY163" s="205"/>
      <c r="HZ163" s="205"/>
      <c r="IA163" s="205"/>
      <c r="IB163" s="205"/>
      <c r="IC163" s="205"/>
      <c r="ID163" s="205"/>
      <c r="IE163" s="205"/>
      <c r="IF163" s="205"/>
      <c r="IG163" s="205"/>
      <c r="IH163" s="205"/>
      <c r="II163" s="205"/>
      <c r="IJ163" s="205"/>
      <c r="IK163" s="205"/>
      <c r="IL163" s="205"/>
      <c r="IM163" s="205"/>
      <c r="IN163" s="205"/>
      <c r="IO163" s="205"/>
      <c r="IP163" s="205"/>
      <c r="IQ163" s="205"/>
      <c r="IR163" s="205"/>
      <c r="IS163" s="205"/>
      <c r="IT163" s="205"/>
      <c r="IU163" s="205"/>
      <c r="IV163" s="205"/>
      <c r="IW163" s="205"/>
      <c r="IX163" s="205"/>
    </row>
    <row r="164" spans="1:258" s="203" customFormat="1" x14ac:dyDescent="0.2">
      <c r="A164" s="669"/>
      <c r="B164" s="670"/>
      <c r="C164" s="1358"/>
      <c r="D164" s="672"/>
      <c r="E164" s="1359"/>
      <c r="F164" s="1359"/>
      <c r="G164" s="1360" t="str">
        <f t="shared" ref="G164:G169" si="74">G149</f>
        <v>FP2</v>
      </c>
      <c r="H164" s="1361">
        <f t="shared" ref="H164:H165" si="75">H138*4</f>
        <v>3.2</v>
      </c>
      <c r="I164" s="1362" t="s">
        <v>424</v>
      </c>
      <c r="J164" s="1362">
        <f t="shared" ref="J164:J165" si="76">L138</f>
        <v>0.25</v>
      </c>
      <c r="K164" s="1362" t="s">
        <v>424</v>
      </c>
      <c r="L164" s="1362">
        <f t="shared" ref="L164:L165" si="77">N138</f>
        <v>10</v>
      </c>
      <c r="M164" s="1362"/>
      <c r="N164" s="1362"/>
      <c r="O164" s="1362"/>
      <c r="P164" s="1362"/>
      <c r="Q164" s="1362" t="s">
        <v>696</v>
      </c>
      <c r="R164" s="1363">
        <f t="shared" ref="R164:R165" si="78">H164*J164*L164</f>
        <v>8</v>
      </c>
      <c r="S164" s="1364"/>
      <c r="T164" s="722"/>
      <c r="U164" s="205"/>
      <c r="V164" s="68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05"/>
      <c r="BN164" s="205"/>
      <c r="BO164" s="205"/>
      <c r="BP164" s="205"/>
      <c r="BQ164" s="205"/>
      <c r="BR164" s="205"/>
      <c r="BS164" s="205"/>
      <c r="BT164" s="205"/>
      <c r="BU164" s="205"/>
      <c r="BV164" s="205"/>
      <c r="BW164" s="205"/>
      <c r="BX164" s="205"/>
      <c r="BY164" s="205"/>
      <c r="BZ164" s="205"/>
      <c r="CA164" s="205"/>
      <c r="CB164" s="205"/>
      <c r="CC164" s="205"/>
      <c r="CD164" s="205"/>
      <c r="CE164" s="205"/>
      <c r="CF164" s="205"/>
      <c r="CG164" s="205"/>
      <c r="CH164" s="205"/>
      <c r="CI164" s="205"/>
      <c r="CJ164" s="205"/>
      <c r="CK164" s="205"/>
      <c r="CL164" s="205"/>
      <c r="CM164" s="205"/>
      <c r="CN164" s="205"/>
      <c r="CO164" s="205"/>
      <c r="CP164" s="205"/>
      <c r="CQ164" s="205"/>
      <c r="CR164" s="205"/>
      <c r="CS164" s="205"/>
      <c r="CT164" s="205"/>
      <c r="CU164" s="205"/>
      <c r="CV164" s="205"/>
      <c r="CW164" s="205"/>
      <c r="CX164" s="205"/>
      <c r="CY164" s="205"/>
      <c r="CZ164" s="205"/>
      <c r="DA164" s="205"/>
      <c r="DB164" s="205"/>
      <c r="DC164" s="205"/>
      <c r="DD164" s="205"/>
      <c r="DE164" s="205"/>
      <c r="DF164" s="205"/>
      <c r="DG164" s="205"/>
      <c r="DH164" s="205"/>
      <c r="DI164" s="205"/>
      <c r="DJ164" s="205"/>
      <c r="DK164" s="205"/>
      <c r="DL164" s="205"/>
      <c r="DM164" s="205"/>
      <c r="DN164" s="205"/>
      <c r="DO164" s="205"/>
      <c r="DP164" s="205"/>
      <c r="DQ164" s="205"/>
      <c r="DR164" s="205"/>
      <c r="DS164" s="205"/>
      <c r="DT164" s="205"/>
      <c r="DU164" s="205"/>
      <c r="DV164" s="205"/>
      <c r="DW164" s="205"/>
      <c r="DX164" s="205"/>
      <c r="DY164" s="205"/>
      <c r="DZ164" s="205"/>
      <c r="EA164" s="205"/>
      <c r="EB164" s="205"/>
      <c r="EC164" s="205"/>
      <c r="ED164" s="205"/>
      <c r="EE164" s="205"/>
      <c r="EF164" s="205"/>
      <c r="EG164" s="205"/>
      <c r="EH164" s="205"/>
      <c r="EI164" s="205"/>
      <c r="EJ164" s="205"/>
      <c r="EK164" s="205"/>
      <c r="EL164" s="205"/>
      <c r="EM164" s="205"/>
      <c r="EN164" s="205"/>
      <c r="EO164" s="205"/>
      <c r="EP164" s="205"/>
      <c r="EQ164" s="205"/>
      <c r="ER164" s="205"/>
      <c r="ES164" s="205"/>
      <c r="ET164" s="205"/>
      <c r="EU164" s="205"/>
      <c r="EV164" s="205"/>
      <c r="EW164" s="205"/>
      <c r="EX164" s="205"/>
      <c r="EY164" s="205"/>
      <c r="EZ164" s="205"/>
      <c r="FA164" s="205"/>
      <c r="FB164" s="205"/>
      <c r="FC164" s="205"/>
      <c r="FD164" s="205"/>
      <c r="FE164" s="205"/>
      <c r="FF164" s="205"/>
      <c r="FG164" s="205"/>
      <c r="FH164" s="205"/>
      <c r="FI164" s="205"/>
      <c r="FJ164" s="205"/>
      <c r="FK164" s="205"/>
      <c r="FL164" s="205"/>
      <c r="FM164" s="205"/>
      <c r="FN164" s="205"/>
      <c r="FO164" s="205"/>
      <c r="FP164" s="205"/>
      <c r="FQ164" s="205"/>
      <c r="FR164" s="205"/>
      <c r="FS164" s="205"/>
      <c r="FT164" s="205"/>
      <c r="FU164" s="205"/>
      <c r="FV164" s="205"/>
      <c r="FW164" s="205"/>
      <c r="FX164" s="205"/>
      <c r="FY164" s="205"/>
      <c r="FZ164" s="205"/>
      <c r="GA164" s="205"/>
      <c r="GB164" s="205"/>
      <c r="GC164" s="205"/>
      <c r="GD164" s="205"/>
      <c r="GE164" s="205"/>
      <c r="GF164" s="205"/>
      <c r="GG164" s="205"/>
      <c r="GH164" s="205"/>
      <c r="GI164" s="205"/>
      <c r="GJ164" s="205"/>
      <c r="GK164" s="205"/>
      <c r="GL164" s="205"/>
      <c r="GM164" s="205"/>
      <c r="GN164" s="205"/>
      <c r="GO164" s="205"/>
      <c r="GP164" s="205"/>
      <c r="GQ164" s="205"/>
      <c r="GR164" s="205"/>
      <c r="GS164" s="205"/>
      <c r="GT164" s="205"/>
      <c r="GU164" s="205"/>
      <c r="GV164" s="205"/>
      <c r="GW164" s="205"/>
      <c r="GX164" s="205"/>
      <c r="GY164" s="205"/>
      <c r="GZ164" s="205"/>
      <c r="HA164" s="205"/>
      <c r="HB164" s="205"/>
      <c r="HC164" s="205"/>
      <c r="HD164" s="205"/>
      <c r="HE164" s="205"/>
      <c r="HF164" s="205"/>
      <c r="HG164" s="205"/>
      <c r="HH164" s="205"/>
      <c r="HI164" s="205"/>
      <c r="HJ164" s="205"/>
      <c r="HK164" s="205"/>
      <c r="HL164" s="205"/>
      <c r="HM164" s="205"/>
      <c r="HN164" s="205"/>
      <c r="HO164" s="205"/>
      <c r="HP164" s="205"/>
      <c r="HQ164" s="205"/>
      <c r="HR164" s="205"/>
      <c r="HS164" s="205"/>
      <c r="HT164" s="205"/>
      <c r="HU164" s="205"/>
      <c r="HV164" s="205"/>
      <c r="HW164" s="205"/>
      <c r="HX164" s="205"/>
      <c r="HY164" s="205"/>
      <c r="HZ164" s="205"/>
      <c r="IA164" s="205"/>
      <c r="IB164" s="205"/>
      <c r="IC164" s="205"/>
      <c r="ID164" s="205"/>
      <c r="IE164" s="205"/>
      <c r="IF164" s="205"/>
      <c r="IG164" s="205"/>
      <c r="IH164" s="205"/>
      <c r="II164" s="205"/>
      <c r="IJ164" s="205"/>
      <c r="IK164" s="205"/>
      <c r="IL164" s="205"/>
      <c r="IM164" s="205"/>
      <c r="IN164" s="205"/>
      <c r="IO164" s="205"/>
      <c r="IP164" s="205"/>
      <c r="IQ164" s="205"/>
      <c r="IR164" s="205"/>
      <c r="IS164" s="205"/>
      <c r="IT164" s="205"/>
      <c r="IU164" s="205"/>
      <c r="IV164" s="205"/>
      <c r="IW164" s="205"/>
      <c r="IX164" s="205"/>
    </row>
    <row r="165" spans="1:258" s="203" customFormat="1" x14ac:dyDescent="0.2">
      <c r="A165" s="669"/>
      <c r="B165" s="670"/>
      <c r="C165" s="1358"/>
      <c r="D165" s="672"/>
      <c r="E165" s="1359"/>
      <c r="F165" s="1359"/>
      <c r="G165" s="1360" t="str">
        <f t="shared" si="74"/>
        <v>FP3</v>
      </c>
      <c r="H165" s="1361">
        <f t="shared" si="75"/>
        <v>3.2</v>
      </c>
      <c r="I165" s="1362" t="s">
        <v>424</v>
      </c>
      <c r="J165" s="1362">
        <f t="shared" si="76"/>
        <v>0.25</v>
      </c>
      <c r="K165" s="1362" t="s">
        <v>424</v>
      </c>
      <c r="L165" s="1362">
        <f t="shared" si="77"/>
        <v>8</v>
      </c>
      <c r="M165" s="1362"/>
      <c r="N165" s="1362"/>
      <c r="O165" s="1362"/>
      <c r="P165" s="1362"/>
      <c r="Q165" s="1362" t="s">
        <v>696</v>
      </c>
      <c r="R165" s="1363">
        <f t="shared" si="78"/>
        <v>6.4</v>
      </c>
      <c r="S165" s="1364"/>
      <c r="T165" s="722"/>
      <c r="U165" s="205"/>
      <c r="V165" s="685"/>
      <c r="W165" s="205"/>
      <c r="X165" s="205"/>
      <c r="Y165" s="205"/>
      <c r="Z165" s="205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C165" s="205"/>
      <c r="BD165" s="205"/>
      <c r="BE165" s="205"/>
      <c r="BF165" s="205"/>
      <c r="BG165" s="205"/>
      <c r="BH165" s="205"/>
      <c r="BI165" s="205"/>
      <c r="BJ165" s="205"/>
      <c r="BK165" s="205"/>
      <c r="BL165" s="205"/>
      <c r="BM165" s="205"/>
      <c r="BN165" s="205"/>
      <c r="BO165" s="205"/>
      <c r="BP165" s="205"/>
      <c r="BQ165" s="205"/>
      <c r="BR165" s="205"/>
      <c r="BS165" s="205"/>
      <c r="BT165" s="205"/>
      <c r="BU165" s="205"/>
      <c r="BV165" s="205"/>
      <c r="BW165" s="205"/>
      <c r="BX165" s="205"/>
      <c r="BY165" s="205"/>
      <c r="BZ165" s="205"/>
      <c r="CA165" s="205"/>
      <c r="CB165" s="205"/>
      <c r="CC165" s="205"/>
      <c r="CD165" s="205"/>
      <c r="CE165" s="205"/>
      <c r="CF165" s="205"/>
      <c r="CG165" s="205"/>
      <c r="CH165" s="205"/>
      <c r="CI165" s="205"/>
      <c r="CJ165" s="205"/>
      <c r="CK165" s="205"/>
      <c r="CL165" s="205"/>
      <c r="CM165" s="205"/>
      <c r="CN165" s="205"/>
      <c r="CO165" s="205"/>
      <c r="CP165" s="205"/>
      <c r="CQ165" s="205"/>
      <c r="CR165" s="205"/>
      <c r="CS165" s="205"/>
      <c r="CT165" s="205"/>
      <c r="CU165" s="205"/>
      <c r="CV165" s="205"/>
      <c r="CW165" s="205"/>
      <c r="CX165" s="205"/>
      <c r="CY165" s="205"/>
      <c r="CZ165" s="205"/>
      <c r="DA165" s="205"/>
      <c r="DB165" s="205"/>
      <c r="DC165" s="205"/>
      <c r="DD165" s="205"/>
      <c r="DE165" s="205"/>
      <c r="DF165" s="205"/>
      <c r="DG165" s="205"/>
      <c r="DH165" s="205"/>
      <c r="DI165" s="205"/>
      <c r="DJ165" s="205"/>
      <c r="DK165" s="205"/>
      <c r="DL165" s="205"/>
      <c r="DM165" s="205"/>
      <c r="DN165" s="205"/>
      <c r="DO165" s="205"/>
      <c r="DP165" s="205"/>
      <c r="DQ165" s="205"/>
      <c r="DR165" s="205"/>
      <c r="DS165" s="205"/>
      <c r="DT165" s="205"/>
      <c r="DU165" s="205"/>
      <c r="DV165" s="205"/>
      <c r="DW165" s="205"/>
      <c r="DX165" s="205"/>
      <c r="DY165" s="205"/>
      <c r="DZ165" s="205"/>
      <c r="EA165" s="205"/>
      <c r="EB165" s="205"/>
      <c r="EC165" s="205"/>
      <c r="ED165" s="205"/>
      <c r="EE165" s="205"/>
      <c r="EF165" s="205"/>
      <c r="EG165" s="205"/>
      <c r="EH165" s="205"/>
      <c r="EI165" s="205"/>
      <c r="EJ165" s="205"/>
      <c r="EK165" s="205"/>
      <c r="EL165" s="205"/>
      <c r="EM165" s="205"/>
      <c r="EN165" s="205"/>
      <c r="EO165" s="205"/>
      <c r="EP165" s="205"/>
      <c r="EQ165" s="205"/>
      <c r="ER165" s="205"/>
      <c r="ES165" s="205"/>
      <c r="ET165" s="205"/>
      <c r="EU165" s="205"/>
      <c r="EV165" s="205"/>
      <c r="EW165" s="205"/>
      <c r="EX165" s="205"/>
      <c r="EY165" s="205"/>
      <c r="EZ165" s="205"/>
      <c r="FA165" s="205"/>
      <c r="FB165" s="205"/>
      <c r="FC165" s="205"/>
      <c r="FD165" s="205"/>
      <c r="FE165" s="205"/>
      <c r="FF165" s="205"/>
      <c r="FG165" s="205"/>
      <c r="FH165" s="205"/>
      <c r="FI165" s="205"/>
      <c r="FJ165" s="205"/>
      <c r="FK165" s="205"/>
      <c r="FL165" s="205"/>
      <c r="FM165" s="205"/>
      <c r="FN165" s="205"/>
      <c r="FO165" s="205"/>
      <c r="FP165" s="205"/>
      <c r="FQ165" s="205"/>
      <c r="FR165" s="205"/>
      <c r="FS165" s="205"/>
      <c r="FT165" s="205"/>
      <c r="FU165" s="205"/>
      <c r="FV165" s="205"/>
      <c r="FW165" s="205"/>
      <c r="FX165" s="205"/>
      <c r="FY165" s="205"/>
      <c r="FZ165" s="205"/>
      <c r="GA165" s="205"/>
      <c r="GB165" s="205"/>
      <c r="GC165" s="205"/>
      <c r="GD165" s="205"/>
      <c r="GE165" s="205"/>
      <c r="GF165" s="205"/>
      <c r="GG165" s="205"/>
      <c r="GH165" s="205"/>
      <c r="GI165" s="205"/>
      <c r="GJ165" s="205"/>
      <c r="GK165" s="205"/>
      <c r="GL165" s="205"/>
      <c r="GM165" s="205"/>
      <c r="GN165" s="205"/>
      <c r="GO165" s="205"/>
      <c r="GP165" s="205"/>
      <c r="GQ165" s="205"/>
      <c r="GR165" s="205"/>
      <c r="GS165" s="205"/>
      <c r="GT165" s="205"/>
      <c r="GU165" s="205"/>
      <c r="GV165" s="205"/>
      <c r="GW165" s="205"/>
      <c r="GX165" s="205"/>
      <c r="GY165" s="205"/>
      <c r="GZ165" s="205"/>
      <c r="HA165" s="205"/>
      <c r="HB165" s="205"/>
      <c r="HC165" s="205"/>
      <c r="HD165" s="205"/>
      <c r="HE165" s="205"/>
      <c r="HF165" s="205"/>
      <c r="HG165" s="205"/>
      <c r="HH165" s="205"/>
      <c r="HI165" s="205"/>
      <c r="HJ165" s="205"/>
      <c r="HK165" s="205"/>
      <c r="HL165" s="205"/>
      <c r="HM165" s="205"/>
      <c r="HN165" s="205"/>
      <c r="HO165" s="205"/>
      <c r="HP165" s="205"/>
      <c r="HQ165" s="205"/>
      <c r="HR165" s="205"/>
      <c r="HS165" s="205"/>
      <c r="HT165" s="205"/>
      <c r="HU165" s="205"/>
      <c r="HV165" s="205"/>
      <c r="HW165" s="205"/>
      <c r="HX165" s="205"/>
      <c r="HY165" s="205"/>
      <c r="HZ165" s="205"/>
      <c r="IA165" s="205"/>
      <c r="IB165" s="205"/>
      <c r="IC165" s="205"/>
      <c r="ID165" s="205"/>
      <c r="IE165" s="205"/>
      <c r="IF165" s="205"/>
      <c r="IG165" s="205"/>
      <c r="IH165" s="205"/>
      <c r="II165" s="205"/>
      <c r="IJ165" s="205"/>
      <c r="IK165" s="205"/>
      <c r="IL165" s="205"/>
      <c r="IM165" s="205"/>
      <c r="IN165" s="205"/>
      <c r="IO165" s="205"/>
      <c r="IP165" s="205"/>
      <c r="IQ165" s="205"/>
      <c r="IR165" s="205"/>
      <c r="IS165" s="205"/>
      <c r="IT165" s="205"/>
      <c r="IU165" s="205"/>
      <c r="IV165" s="205"/>
      <c r="IW165" s="205"/>
      <c r="IX165" s="205"/>
    </row>
    <row r="166" spans="1:258" s="203" customFormat="1" x14ac:dyDescent="0.2">
      <c r="A166" s="669"/>
      <c r="B166" s="670"/>
      <c r="C166" s="1358"/>
      <c r="D166" s="672"/>
      <c r="E166" s="1359"/>
      <c r="F166" s="1359" t="str">
        <f>F151</f>
        <v>Pedestal</v>
      </c>
      <c r="G166" s="1360"/>
      <c r="H166" s="1361"/>
      <c r="I166" s="1362"/>
      <c r="J166" s="1362"/>
      <c r="K166" s="1362"/>
      <c r="L166" s="1362"/>
      <c r="M166" s="1362"/>
      <c r="N166" s="1362"/>
      <c r="O166" s="1362"/>
      <c r="P166" s="1362"/>
      <c r="Q166" s="1362"/>
      <c r="R166" s="1363"/>
      <c r="S166" s="1364"/>
      <c r="T166" s="722"/>
      <c r="U166" s="205"/>
      <c r="V166" s="685"/>
      <c r="W166" s="205"/>
      <c r="X166" s="205"/>
      <c r="Y166" s="205"/>
      <c r="Z166" s="205"/>
      <c r="AA166" s="205"/>
      <c r="AB166" s="205"/>
      <c r="AC166" s="205"/>
      <c r="AD166" s="205"/>
      <c r="AE166" s="205"/>
      <c r="AF166" s="205"/>
      <c r="AG166" s="205"/>
      <c r="AH166" s="205"/>
      <c r="AI166" s="205"/>
      <c r="AJ166" s="205"/>
      <c r="AK166" s="205"/>
      <c r="AL166" s="205"/>
      <c r="AM166" s="205"/>
      <c r="AN166" s="205"/>
      <c r="AO166" s="205"/>
      <c r="AP166" s="205"/>
      <c r="AQ166" s="205"/>
      <c r="AR166" s="205"/>
      <c r="AS166" s="205"/>
      <c r="AT166" s="205"/>
      <c r="AU166" s="205"/>
      <c r="AV166" s="205"/>
      <c r="AW166" s="205"/>
      <c r="AX166" s="205"/>
      <c r="AY166" s="205"/>
      <c r="AZ166" s="205"/>
      <c r="BA166" s="205"/>
      <c r="BB166" s="205"/>
      <c r="BC166" s="205"/>
      <c r="BD166" s="205"/>
      <c r="BE166" s="205"/>
      <c r="BF166" s="205"/>
      <c r="BG166" s="205"/>
      <c r="BH166" s="205"/>
      <c r="BI166" s="205"/>
      <c r="BJ166" s="205"/>
      <c r="BK166" s="205"/>
      <c r="BL166" s="205"/>
      <c r="BM166" s="205"/>
      <c r="BN166" s="205"/>
      <c r="BO166" s="205"/>
      <c r="BP166" s="205"/>
      <c r="BQ166" s="205"/>
      <c r="BR166" s="205"/>
      <c r="BS166" s="205"/>
      <c r="BT166" s="205"/>
      <c r="BU166" s="205"/>
      <c r="BV166" s="205"/>
      <c r="BW166" s="205"/>
      <c r="BX166" s="205"/>
      <c r="BY166" s="205"/>
      <c r="BZ166" s="205"/>
      <c r="CA166" s="205"/>
      <c r="CB166" s="205"/>
      <c r="CC166" s="205"/>
      <c r="CD166" s="205"/>
      <c r="CE166" s="205"/>
      <c r="CF166" s="205"/>
      <c r="CG166" s="205"/>
      <c r="CH166" s="205"/>
      <c r="CI166" s="205"/>
      <c r="CJ166" s="205"/>
      <c r="CK166" s="205"/>
      <c r="CL166" s="205"/>
      <c r="CM166" s="205"/>
      <c r="CN166" s="205"/>
      <c r="CO166" s="205"/>
      <c r="CP166" s="205"/>
      <c r="CQ166" s="205"/>
      <c r="CR166" s="205"/>
      <c r="CS166" s="205"/>
      <c r="CT166" s="205"/>
      <c r="CU166" s="205"/>
      <c r="CV166" s="205"/>
      <c r="CW166" s="205"/>
      <c r="CX166" s="205"/>
      <c r="CY166" s="205"/>
      <c r="CZ166" s="205"/>
      <c r="DA166" s="205"/>
      <c r="DB166" s="205"/>
      <c r="DC166" s="205"/>
      <c r="DD166" s="205"/>
      <c r="DE166" s="205"/>
      <c r="DF166" s="205"/>
      <c r="DG166" s="205"/>
      <c r="DH166" s="205"/>
      <c r="DI166" s="205"/>
      <c r="DJ166" s="205"/>
      <c r="DK166" s="205"/>
      <c r="DL166" s="205"/>
      <c r="DM166" s="205"/>
      <c r="DN166" s="205"/>
      <c r="DO166" s="205"/>
      <c r="DP166" s="205"/>
      <c r="DQ166" s="205"/>
      <c r="DR166" s="205"/>
      <c r="DS166" s="205"/>
      <c r="DT166" s="205"/>
      <c r="DU166" s="205"/>
      <c r="DV166" s="205"/>
      <c r="DW166" s="205"/>
      <c r="DX166" s="205"/>
      <c r="DY166" s="205"/>
      <c r="DZ166" s="205"/>
      <c r="EA166" s="205"/>
      <c r="EB166" s="205"/>
      <c r="EC166" s="205"/>
      <c r="ED166" s="205"/>
      <c r="EE166" s="205"/>
      <c r="EF166" s="205"/>
      <c r="EG166" s="205"/>
      <c r="EH166" s="205"/>
      <c r="EI166" s="205"/>
      <c r="EJ166" s="205"/>
      <c r="EK166" s="205"/>
      <c r="EL166" s="205"/>
      <c r="EM166" s="205"/>
      <c r="EN166" s="205"/>
      <c r="EO166" s="205"/>
      <c r="EP166" s="205"/>
      <c r="EQ166" s="205"/>
      <c r="ER166" s="205"/>
      <c r="ES166" s="205"/>
      <c r="ET166" s="205"/>
      <c r="EU166" s="205"/>
      <c r="EV166" s="205"/>
      <c r="EW166" s="205"/>
      <c r="EX166" s="205"/>
      <c r="EY166" s="205"/>
      <c r="EZ166" s="205"/>
      <c r="FA166" s="205"/>
      <c r="FB166" s="205"/>
      <c r="FC166" s="205"/>
      <c r="FD166" s="205"/>
      <c r="FE166" s="205"/>
      <c r="FF166" s="205"/>
      <c r="FG166" s="205"/>
      <c r="FH166" s="205"/>
      <c r="FI166" s="205"/>
      <c r="FJ166" s="205"/>
      <c r="FK166" s="205"/>
      <c r="FL166" s="205"/>
      <c r="FM166" s="205"/>
      <c r="FN166" s="205"/>
      <c r="FO166" s="205"/>
      <c r="FP166" s="205"/>
      <c r="FQ166" s="205"/>
      <c r="FR166" s="205"/>
      <c r="FS166" s="205"/>
      <c r="FT166" s="205"/>
      <c r="FU166" s="205"/>
      <c r="FV166" s="205"/>
      <c r="FW166" s="205"/>
      <c r="FX166" s="205"/>
      <c r="FY166" s="205"/>
      <c r="FZ166" s="205"/>
      <c r="GA166" s="205"/>
      <c r="GB166" s="205"/>
      <c r="GC166" s="205"/>
      <c r="GD166" s="205"/>
      <c r="GE166" s="205"/>
      <c r="GF166" s="205"/>
      <c r="GG166" s="205"/>
      <c r="GH166" s="205"/>
      <c r="GI166" s="205"/>
      <c r="GJ166" s="205"/>
      <c r="GK166" s="205"/>
      <c r="GL166" s="205"/>
      <c r="GM166" s="205"/>
      <c r="GN166" s="205"/>
      <c r="GO166" s="205"/>
      <c r="GP166" s="205"/>
      <c r="GQ166" s="205"/>
      <c r="GR166" s="205"/>
      <c r="GS166" s="205"/>
      <c r="GT166" s="205"/>
      <c r="GU166" s="205"/>
      <c r="GV166" s="205"/>
      <c r="GW166" s="205"/>
      <c r="GX166" s="205"/>
      <c r="GY166" s="205"/>
      <c r="GZ166" s="205"/>
      <c r="HA166" s="205"/>
      <c r="HB166" s="205"/>
      <c r="HC166" s="205"/>
      <c r="HD166" s="205"/>
      <c r="HE166" s="205"/>
      <c r="HF166" s="205"/>
      <c r="HG166" s="205"/>
      <c r="HH166" s="205"/>
      <c r="HI166" s="205"/>
      <c r="HJ166" s="205"/>
      <c r="HK166" s="205"/>
      <c r="HL166" s="205"/>
      <c r="HM166" s="205"/>
      <c r="HN166" s="205"/>
      <c r="HO166" s="205"/>
      <c r="HP166" s="205"/>
      <c r="HQ166" s="205"/>
      <c r="HR166" s="205"/>
      <c r="HS166" s="205"/>
      <c r="HT166" s="205"/>
      <c r="HU166" s="205"/>
      <c r="HV166" s="205"/>
      <c r="HW166" s="205"/>
      <c r="HX166" s="205"/>
      <c r="HY166" s="205"/>
      <c r="HZ166" s="205"/>
      <c r="IA166" s="205"/>
      <c r="IB166" s="205"/>
      <c r="IC166" s="205"/>
      <c r="ID166" s="205"/>
      <c r="IE166" s="205"/>
      <c r="IF166" s="205"/>
      <c r="IG166" s="205"/>
      <c r="IH166" s="205"/>
      <c r="II166" s="205"/>
      <c r="IJ166" s="205"/>
      <c r="IK166" s="205"/>
      <c r="IL166" s="205"/>
      <c r="IM166" s="205"/>
      <c r="IN166" s="205"/>
      <c r="IO166" s="205"/>
      <c r="IP166" s="205"/>
      <c r="IQ166" s="205"/>
      <c r="IR166" s="205"/>
      <c r="IS166" s="205"/>
      <c r="IT166" s="205"/>
      <c r="IU166" s="205"/>
      <c r="IV166" s="205"/>
      <c r="IW166" s="205"/>
      <c r="IX166" s="205"/>
    </row>
    <row r="167" spans="1:258" s="203" customFormat="1" x14ac:dyDescent="0.2">
      <c r="A167" s="669"/>
      <c r="B167" s="670"/>
      <c r="C167" s="1358"/>
      <c r="D167" s="672"/>
      <c r="E167" s="1359"/>
      <c r="F167" s="1359"/>
      <c r="G167" s="1360" t="str">
        <f t="shared" si="74"/>
        <v>FP1</v>
      </c>
      <c r="H167" s="1361">
        <f>H141*4</f>
        <v>0.8</v>
      </c>
      <c r="I167" s="1362" t="s">
        <v>424</v>
      </c>
      <c r="J167" s="1362">
        <f>L141-L137</f>
        <v>1.25</v>
      </c>
      <c r="K167" s="1362" t="s">
        <v>424</v>
      </c>
      <c r="L167" s="1362">
        <f>N141</f>
        <v>9</v>
      </c>
      <c r="M167" s="1362"/>
      <c r="N167" s="1362"/>
      <c r="O167" s="1362"/>
      <c r="P167" s="1362"/>
      <c r="Q167" s="1362" t="s">
        <v>696</v>
      </c>
      <c r="R167" s="1363">
        <f>H167*J167*L167</f>
        <v>9</v>
      </c>
      <c r="S167" s="1364"/>
      <c r="T167" s="722"/>
      <c r="U167" s="205"/>
      <c r="V167" s="685"/>
      <c r="W167" s="205"/>
      <c r="X167" s="205"/>
      <c r="Y167" s="205"/>
      <c r="Z167" s="205"/>
      <c r="AA167" s="205"/>
      <c r="AB167" s="205"/>
      <c r="AC167" s="205"/>
      <c r="AD167" s="205"/>
      <c r="AE167" s="205"/>
      <c r="AF167" s="205"/>
      <c r="AG167" s="205"/>
      <c r="AH167" s="205"/>
      <c r="AI167" s="205"/>
      <c r="AJ167" s="205"/>
      <c r="AK167" s="205"/>
      <c r="AL167" s="205"/>
      <c r="AM167" s="205"/>
      <c r="AN167" s="205"/>
      <c r="AO167" s="205"/>
      <c r="AP167" s="205"/>
      <c r="AQ167" s="205"/>
      <c r="AR167" s="205"/>
      <c r="AS167" s="205"/>
      <c r="AT167" s="205"/>
      <c r="AU167" s="205"/>
      <c r="AV167" s="205"/>
      <c r="AW167" s="205"/>
      <c r="AX167" s="205"/>
      <c r="AY167" s="205"/>
      <c r="AZ167" s="205"/>
      <c r="BA167" s="205"/>
      <c r="BB167" s="205"/>
      <c r="BC167" s="205"/>
      <c r="BD167" s="205"/>
      <c r="BE167" s="205"/>
      <c r="BF167" s="205"/>
      <c r="BG167" s="205"/>
      <c r="BH167" s="205"/>
      <c r="BI167" s="205"/>
      <c r="BJ167" s="205"/>
      <c r="BK167" s="205"/>
      <c r="BL167" s="205"/>
      <c r="BM167" s="205"/>
      <c r="BN167" s="205"/>
      <c r="BO167" s="205"/>
      <c r="BP167" s="205"/>
      <c r="BQ167" s="205"/>
      <c r="BR167" s="205"/>
      <c r="BS167" s="205"/>
      <c r="BT167" s="205"/>
      <c r="BU167" s="205"/>
      <c r="BV167" s="205"/>
      <c r="BW167" s="205"/>
      <c r="BX167" s="205"/>
      <c r="BY167" s="205"/>
      <c r="BZ167" s="205"/>
      <c r="CA167" s="205"/>
      <c r="CB167" s="205"/>
      <c r="CC167" s="205"/>
      <c r="CD167" s="205"/>
      <c r="CE167" s="205"/>
      <c r="CF167" s="205"/>
      <c r="CG167" s="205"/>
      <c r="CH167" s="205"/>
      <c r="CI167" s="205"/>
      <c r="CJ167" s="205"/>
      <c r="CK167" s="205"/>
      <c r="CL167" s="205"/>
      <c r="CM167" s="205"/>
      <c r="CN167" s="205"/>
      <c r="CO167" s="205"/>
      <c r="CP167" s="205"/>
      <c r="CQ167" s="205"/>
      <c r="CR167" s="205"/>
      <c r="CS167" s="205"/>
      <c r="CT167" s="205"/>
      <c r="CU167" s="205"/>
      <c r="CV167" s="205"/>
      <c r="CW167" s="205"/>
      <c r="CX167" s="205"/>
      <c r="CY167" s="205"/>
      <c r="CZ167" s="205"/>
      <c r="DA167" s="205"/>
      <c r="DB167" s="205"/>
      <c r="DC167" s="205"/>
      <c r="DD167" s="205"/>
      <c r="DE167" s="205"/>
      <c r="DF167" s="205"/>
      <c r="DG167" s="205"/>
      <c r="DH167" s="205"/>
      <c r="DI167" s="205"/>
      <c r="DJ167" s="205"/>
      <c r="DK167" s="205"/>
      <c r="DL167" s="205"/>
      <c r="DM167" s="205"/>
      <c r="DN167" s="205"/>
      <c r="DO167" s="205"/>
      <c r="DP167" s="205"/>
      <c r="DQ167" s="205"/>
      <c r="DR167" s="205"/>
      <c r="DS167" s="205"/>
      <c r="DT167" s="205"/>
      <c r="DU167" s="205"/>
      <c r="DV167" s="205"/>
      <c r="DW167" s="205"/>
      <c r="DX167" s="205"/>
      <c r="DY167" s="205"/>
      <c r="DZ167" s="205"/>
      <c r="EA167" s="205"/>
      <c r="EB167" s="205"/>
      <c r="EC167" s="205"/>
      <c r="ED167" s="205"/>
      <c r="EE167" s="205"/>
      <c r="EF167" s="205"/>
      <c r="EG167" s="205"/>
      <c r="EH167" s="205"/>
      <c r="EI167" s="205"/>
      <c r="EJ167" s="205"/>
      <c r="EK167" s="205"/>
      <c r="EL167" s="205"/>
      <c r="EM167" s="205"/>
      <c r="EN167" s="205"/>
      <c r="EO167" s="205"/>
      <c r="EP167" s="205"/>
      <c r="EQ167" s="205"/>
      <c r="ER167" s="205"/>
      <c r="ES167" s="205"/>
      <c r="ET167" s="205"/>
      <c r="EU167" s="205"/>
      <c r="EV167" s="205"/>
      <c r="EW167" s="205"/>
      <c r="EX167" s="205"/>
      <c r="EY167" s="205"/>
      <c r="EZ167" s="205"/>
      <c r="FA167" s="205"/>
      <c r="FB167" s="205"/>
      <c r="FC167" s="205"/>
      <c r="FD167" s="205"/>
      <c r="FE167" s="205"/>
      <c r="FF167" s="205"/>
      <c r="FG167" s="205"/>
      <c r="FH167" s="205"/>
      <c r="FI167" s="205"/>
      <c r="FJ167" s="205"/>
      <c r="FK167" s="205"/>
      <c r="FL167" s="205"/>
      <c r="FM167" s="205"/>
      <c r="FN167" s="205"/>
      <c r="FO167" s="205"/>
      <c r="FP167" s="205"/>
      <c r="FQ167" s="205"/>
      <c r="FR167" s="205"/>
      <c r="FS167" s="205"/>
      <c r="FT167" s="205"/>
      <c r="FU167" s="205"/>
      <c r="FV167" s="205"/>
      <c r="FW167" s="205"/>
      <c r="FX167" s="205"/>
      <c r="FY167" s="205"/>
      <c r="FZ167" s="205"/>
      <c r="GA167" s="205"/>
      <c r="GB167" s="205"/>
      <c r="GC167" s="205"/>
      <c r="GD167" s="205"/>
      <c r="GE167" s="205"/>
      <c r="GF167" s="205"/>
      <c r="GG167" s="205"/>
      <c r="GH167" s="205"/>
      <c r="GI167" s="205"/>
      <c r="GJ167" s="205"/>
      <c r="GK167" s="205"/>
      <c r="GL167" s="205"/>
      <c r="GM167" s="205"/>
      <c r="GN167" s="205"/>
      <c r="GO167" s="205"/>
      <c r="GP167" s="205"/>
      <c r="GQ167" s="205"/>
      <c r="GR167" s="205"/>
      <c r="GS167" s="205"/>
      <c r="GT167" s="205"/>
      <c r="GU167" s="205"/>
      <c r="GV167" s="205"/>
      <c r="GW167" s="205"/>
      <c r="GX167" s="205"/>
      <c r="GY167" s="205"/>
      <c r="GZ167" s="205"/>
      <c r="HA167" s="205"/>
      <c r="HB167" s="205"/>
      <c r="HC167" s="205"/>
      <c r="HD167" s="205"/>
      <c r="HE167" s="205"/>
      <c r="HF167" s="205"/>
      <c r="HG167" s="205"/>
      <c r="HH167" s="205"/>
      <c r="HI167" s="205"/>
      <c r="HJ167" s="205"/>
      <c r="HK167" s="205"/>
      <c r="HL167" s="205"/>
      <c r="HM167" s="205"/>
      <c r="HN167" s="205"/>
      <c r="HO167" s="205"/>
      <c r="HP167" s="205"/>
      <c r="HQ167" s="205"/>
      <c r="HR167" s="205"/>
      <c r="HS167" s="205"/>
      <c r="HT167" s="205"/>
      <c r="HU167" s="205"/>
      <c r="HV167" s="205"/>
      <c r="HW167" s="205"/>
      <c r="HX167" s="205"/>
      <c r="HY167" s="205"/>
      <c r="HZ167" s="205"/>
      <c r="IA167" s="205"/>
      <c r="IB167" s="205"/>
      <c r="IC167" s="205"/>
      <c r="ID167" s="205"/>
      <c r="IE167" s="205"/>
      <c r="IF167" s="205"/>
      <c r="IG167" s="205"/>
      <c r="IH167" s="205"/>
      <c r="II167" s="205"/>
      <c r="IJ167" s="205"/>
      <c r="IK167" s="205"/>
      <c r="IL167" s="205"/>
      <c r="IM167" s="205"/>
      <c r="IN167" s="205"/>
      <c r="IO167" s="205"/>
      <c r="IP167" s="205"/>
      <c r="IQ167" s="205"/>
      <c r="IR167" s="205"/>
      <c r="IS167" s="205"/>
      <c r="IT167" s="205"/>
      <c r="IU167" s="205"/>
      <c r="IV167" s="205"/>
      <c r="IW167" s="205"/>
      <c r="IX167" s="205"/>
    </row>
    <row r="168" spans="1:258" s="203" customFormat="1" x14ac:dyDescent="0.2">
      <c r="A168" s="669"/>
      <c r="B168" s="670"/>
      <c r="C168" s="1358"/>
      <c r="D168" s="672"/>
      <c r="E168" s="1359"/>
      <c r="F168" s="1359"/>
      <c r="G168" s="1360" t="str">
        <f t="shared" si="74"/>
        <v>FP2</v>
      </c>
      <c r="H168" s="1361">
        <f t="shared" ref="H168:H169" si="79">H142*4</f>
        <v>0.8</v>
      </c>
      <c r="I168" s="1362" t="s">
        <v>424</v>
      </c>
      <c r="J168" s="1362">
        <f t="shared" ref="J168:J169" si="80">L142-L138</f>
        <v>1.25</v>
      </c>
      <c r="K168" s="1362" t="s">
        <v>424</v>
      </c>
      <c r="L168" s="1362">
        <f t="shared" ref="L168:L169" si="81">N142</f>
        <v>10</v>
      </c>
      <c r="M168" s="1362"/>
      <c r="N168" s="1362"/>
      <c r="O168" s="1362"/>
      <c r="P168" s="1362"/>
      <c r="Q168" s="1362" t="s">
        <v>696</v>
      </c>
      <c r="R168" s="1363">
        <f t="shared" ref="R168:R169" si="82">H168*J168*L168</f>
        <v>10</v>
      </c>
      <c r="S168" s="1364"/>
      <c r="T168" s="722"/>
      <c r="U168" s="205"/>
      <c r="V168" s="685"/>
      <c r="W168" s="205"/>
      <c r="X168" s="205"/>
      <c r="Y168" s="205"/>
      <c r="Z168" s="205"/>
      <c r="AA168" s="205"/>
      <c r="AB168" s="205"/>
      <c r="AC168" s="205"/>
      <c r="AD168" s="205"/>
      <c r="AE168" s="205"/>
      <c r="AF168" s="205"/>
      <c r="AG168" s="205"/>
      <c r="AH168" s="205"/>
      <c r="AI168" s="205"/>
      <c r="AJ168" s="205"/>
      <c r="AK168" s="205"/>
      <c r="AL168" s="205"/>
      <c r="AM168" s="205"/>
      <c r="AN168" s="205"/>
      <c r="AO168" s="205"/>
      <c r="AP168" s="205"/>
      <c r="AQ168" s="205"/>
      <c r="AR168" s="205"/>
      <c r="AS168" s="205"/>
      <c r="AT168" s="205"/>
      <c r="AU168" s="205"/>
      <c r="AV168" s="205"/>
      <c r="AW168" s="205"/>
      <c r="AX168" s="205"/>
      <c r="AY168" s="205"/>
      <c r="AZ168" s="205"/>
      <c r="BA168" s="205"/>
      <c r="BB168" s="205"/>
      <c r="BC168" s="205"/>
      <c r="BD168" s="205"/>
      <c r="BE168" s="205"/>
      <c r="BF168" s="205"/>
      <c r="BG168" s="205"/>
      <c r="BH168" s="205"/>
      <c r="BI168" s="205"/>
      <c r="BJ168" s="205"/>
      <c r="BK168" s="205"/>
      <c r="BL168" s="205"/>
      <c r="BM168" s="205"/>
      <c r="BN168" s="205"/>
      <c r="BO168" s="205"/>
      <c r="BP168" s="205"/>
      <c r="BQ168" s="205"/>
      <c r="BR168" s="205"/>
      <c r="BS168" s="205"/>
      <c r="BT168" s="205"/>
      <c r="BU168" s="205"/>
      <c r="BV168" s="205"/>
      <c r="BW168" s="205"/>
      <c r="BX168" s="205"/>
      <c r="BY168" s="205"/>
      <c r="BZ168" s="205"/>
      <c r="CA168" s="205"/>
      <c r="CB168" s="205"/>
      <c r="CC168" s="205"/>
      <c r="CD168" s="205"/>
      <c r="CE168" s="205"/>
      <c r="CF168" s="205"/>
      <c r="CG168" s="205"/>
      <c r="CH168" s="205"/>
      <c r="CI168" s="205"/>
      <c r="CJ168" s="205"/>
      <c r="CK168" s="205"/>
      <c r="CL168" s="205"/>
      <c r="CM168" s="205"/>
      <c r="CN168" s="205"/>
      <c r="CO168" s="205"/>
      <c r="CP168" s="205"/>
      <c r="CQ168" s="205"/>
      <c r="CR168" s="205"/>
      <c r="CS168" s="205"/>
      <c r="CT168" s="205"/>
      <c r="CU168" s="205"/>
      <c r="CV168" s="205"/>
      <c r="CW168" s="205"/>
      <c r="CX168" s="205"/>
      <c r="CY168" s="205"/>
      <c r="CZ168" s="205"/>
      <c r="DA168" s="205"/>
      <c r="DB168" s="205"/>
      <c r="DC168" s="205"/>
      <c r="DD168" s="205"/>
      <c r="DE168" s="205"/>
      <c r="DF168" s="205"/>
      <c r="DG168" s="205"/>
      <c r="DH168" s="205"/>
      <c r="DI168" s="205"/>
      <c r="DJ168" s="205"/>
      <c r="DK168" s="205"/>
      <c r="DL168" s="205"/>
      <c r="DM168" s="205"/>
      <c r="DN168" s="205"/>
      <c r="DO168" s="205"/>
      <c r="DP168" s="205"/>
      <c r="DQ168" s="205"/>
      <c r="DR168" s="205"/>
      <c r="DS168" s="205"/>
      <c r="DT168" s="205"/>
      <c r="DU168" s="205"/>
      <c r="DV168" s="205"/>
      <c r="DW168" s="205"/>
      <c r="DX168" s="205"/>
      <c r="DY168" s="205"/>
      <c r="DZ168" s="205"/>
      <c r="EA168" s="205"/>
      <c r="EB168" s="205"/>
      <c r="EC168" s="205"/>
      <c r="ED168" s="205"/>
      <c r="EE168" s="205"/>
      <c r="EF168" s="205"/>
      <c r="EG168" s="205"/>
      <c r="EH168" s="205"/>
      <c r="EI168" s="205"/>
      <c r="EJ168" s="205"/>
      <c r="EK168" s="205"/>
      <c r="EL168" s="205"/>
      <c r="EM168" s="205"/>
      <c r="EN168" s="205"/>
      <c r="EO168" s="205"/>
      <c r="EP168" s="205"/>
      <c r="EQ168" s="205"/>
      <c r="ER168" s="205"/>
      <c r="ES168" s="205"/>
      <c r="ET168" s="205"/>
      <c r="EU168" s="205"/>
      <c r="EV168" s="205"/>
      <c r="EW168" s="205"/>
      <c r="EX168" s="205"/>
      <c r="EY168" s="205"/>
      <c r="EZ168" s="205"/>
      <c r="FA168" s="205"/>
      <c r="FB168" s="205"/>
      <c r="FC168" s="205"/>
      <c r="FD168" s="205"/>
      <c r="FE168" s="205"/>
      <c r="FF168" s="205"/>
      <c r="FG168" s="205"/>
      <c r="FH168" s="205"/>
      <c r="FI168" s="205"/>
      <c r="FJ168" s="205"/>
      <c r="FK168" s="205"/>
      <c r="FL168" s="205"/>
      <c r="FM168" s="205"/>
      <c r="FN168" s="205"/>
      <c r="FO168" s="205"/>
      <c r="FP168" s="205"/>
      <c r="FQ168" s="205"/>
      <c r="FR168" s="205"/>
      <c r="FS168" s="205"/>
      <c r="FT168" s="205"/>
      <c r="FU168" s="205"/>
      <c r="FV168" s="205"/>
      <c r="FW168" s="205"/>
      <c r="FX168" s="205"/>
      <c r="FY168" s="205"/>
      <c r="FZ168" s="205"/>
      <c r="GA168" s="205"/>
      <c r="GB168" s="205"/>
      <c r="GC168" s="205"/>
      <c r="GD168" s="205"/>
      <c r="GE168" s="205"/>
      <c r="GF168" s="205"/>
      <c r="GG168" s="205"/>
      <c r="GH168" s="205"/>
      <c r="GI168" s="205"/>
      <c r="GJ168" s="205"/>
      <c r="GK168" s="205"/>
      <c r="GL168" s="205"/>
      <c r="GM168" s="205"/>
      <c r="GN168" s="205"/>
      <c r="GO168" s="205"/>
      <c r="GP168" s="205"/>
      <c r="GQ168" s="205"/>
      <c r="GR168" s="205"/>
      <c r="GS168" s="205"/>
      <c r="GT168" s="205"/>
      <c r="GU168" s="205"/>
      <c r="GV168" s="205"/>
      <c r="GW168" s="205"/>
      <c r="GX168" s="205"/>
      <c r="GY168" s="205"/>
      <c r="GZ168" s="205"/>
      <c r="HA168" s="205"/>
      <c r="HB168" s="205"/>
      <c r="HC168" s="205"/>
      <c r="HD168" s="205"/>
      <c r="HE168" s="205"/>
      <c r="HF168" s="205"/>
      <c r="HG168" s="205"/>
      <c r="HH168" s="205"/>
      <c r="HI168" s="205"/>
      <c r="HJ168" s="205"/>
      <c r="HK168" s="205"/>
      <c r="HL168" s="205"/>
      <c r="HM168" s="205"/>
      <c r="HN168" s="205"/>
      <c r="HO168" s="205"/>
      <c r="HP168" s="205"/>
      <c r="HQ168" s="205"/>
      <c r="HR168" s="205"/>
      <c r="HS168" s="205"/>
      <c r="HT168" s="205"/>
      <c r="HU168" s="205"/>
      <c r="HV168" s="205"/>
      <c r="HW168" s="205"/>
      <c r="HX168" s="205"/>
      <c r="HY168" s="205"/>
      <c r="HZ168" s="205"/>
      <c r="IA168" s="205"/>
      <c r="IB168" s="205"/>
      <c r="IC168" s="205"/>
      <c r="ID168" s="205"/>
      <c r="IE168" s="205"/>
      <c r="IF168" s="205"/>
      <c r="IG168" s="205"/>
      <c r="IH168" s="205"/>
      <c r="II168" s="205"/>
      <c r="IJ168" s="205"/>
      <c r="IK168" s="205"/>
      <c r="IL168" s="205"/>
      <c r="IM168" s="205"/>
      <c r="IN168" s="205"/>
      <c r="IO168" s="205"/>
      <c r="IP168" s="205"/>
      <c r="IQ168" s="205"/>
      <c r="IR168" s="205"/>
      <c r="IS168" s="205"/>
      <c r="IT168" s="205"/>
      <c r="IU168" s="205"/>
      <c r="IV168" s="205"/>
      <c r="IW168" s="205"/>
      <c r="IX168" s="205"/>
    </row>
    <row r="169" spans="1:258" s="203" customFormat="1" x14ac:dyDescent="0.2">
      <c r="A169" s="669"/>
      <c r="B169" s="670"/>
      <c r="C169" s="1358"/>
      <c r="D169" s="672"/>
      <c r="E169" s="1359"/>
      <c r="F169" s="1359"/>
      <c r="G169" s="1360" t="str">
        <f t="shared" si="74"/>
        <v>FP3</v>
      </c>
      <c r="H169" s="1361">
        <f t="shared" si="79"/>
        <v>0.48</v>
      </c>
      <c r="I169" s="1362" t="s">
        <v>424</v>
      </c>
      <c r="J169" s="1362">
        <f t="shared" si="80"/>
        <v>1.25</v>
      </c>
      <c r="K169" s="1362" t="s">
        <v>424</v>
      </c>
      <c r="L169" s="1362">
        <f t="shared" si="81"/>
        <v>8</v>
      </c>
      <c r="M169" s="1362"/>
      <c r="N169" s="1362"/>
      <c r="O169" s="1362"/>
      <c r="P169" s="1362"/>
      <c r="Q169" s="1362" t="s">
        <v>696</v>
      </c>
      <c r="R169" s="1363">
        <f t="shared" si="82"/>
        <v>4.8</v>
      </c>
      <c r="S169" s="1364"/>
      <c r="T169" s="722"/>
      <c r="U169" s="205"/>
      <c r="V169" s="685"/>
      <c r="W169" s="205"/>
      <c r="X169" s="205"/>
      <c r="Y169" s="205"/>
      <c r="Z169" s="205"/>
      <c r="AA169" s="205"/>
      <c r="AB169" s="205"/>
      <c r="AC169" s="205"/>
      <c r="AD169" s="205"/>
      <c r="AE169" s="205"/>
      <c r="AF169" s="205"/>
      <c r="AG169" s="205"/>
      <c r="AH169" s="205"/>
      <c r="AI169" s="205"/>
      <c r="AJ169" s="205"/>
      <c r="AK169" s="205"/>
      <c r="AL169" s="205"/>
      <c r="AM169" s="205"/>
      <c r="AN169" s="205"/>
      <c r="AO169" s="205"/>
      <c r="AP169" s="205"/>
      <c r="AQ169" s="205"/>
      <c r="AR169" s="205"/>
      <c r="AS169" s="205"/>
      <c r="AT169" s="205"/>
      <c r="AU169" s="205"/>
      <c r="AV169" s="205"/>
      <c r="AW169" s="205"/>
      <c r="AX169" s="205"/>
      <c r="AY169" s="205"/>
      <c r="AZ169" s="205"/>
      <c r="BA169" s="205"/>
      <c r="BB169" s="205"/>
      <c r="BC169" s="205"/>
      <c r="BD169" s="205"/>
      <c r="BE169" s="205"/>
      <c r="BF169" s="205"/>
      <c r="BG169" s="205"/>
      <c r="BH169" s="205"/>
      <c r="BI169" s="205"/>
      <c r="BJ169" s="205"/>
      <c r="BK169" s="205"/>
      <c r="BL169" s="205"/>
      <c r="BM169" s="205"/>
      <c r="BN169" s="205"/>
      <c r="BO169" s="205"/>
      <c r="BP169" s="205"/>
      <c r="BQ169" s="205"/>
      <c r="BR169" s="205"/>
      <c r="BS169" s="205"/>
      <c r="BT169" s="205"/>
      <c r="BU169" s="205"/>
      <c r="BV169" s="205"/>
      <c r="BW169" s="205"/>
      <c r="BX169" s="205"/>
      <c r="BY169" s="205"/>
      <c r="BZ169" s="205"/>
      <c r="CA169" s="205"/>
      <c r="CB169" s="205"/>
      <c r="CC169" s="205"/>
      <c r="CD169" s="205"/>
      <c r="CE169" s="205"/>
      <c r="CF169" s="205"/>
      <c r="CG169" s="205"/>
      <c r="CH169" s="205"/>
      <c r="CI169" s="205"/>
      <c r="CJ169" s="205"/>
      <c r="CK169" s="205"/>
      <c r="CL169" s="205"/>
      <c r="CM169" s="205"/>
      <c r="CN169" s="205"/>
      <c r="CO169" s="205"/>
      <c r="CP169" s="205"/>
      <c r="CQ169" s="205"/>
      <c r="CR169" s="205"/>
      <c r="CS169" s="205"/>
      <c r="CT169" s="205"/>
      <c r="CU169" s="205"/>
      <c r="CV169" s="205"/>
      <c r="CW169" s="205"/>
      <c r="CX169" s="205"/>
      <c r="CY169" s="205"/>
      <c r="CZ169" s="205"/>
      <c r="DA169" s="205"/>
      <c r="DB169" s="205"/>
      <c r="DC169" s="205"/>
      <c r="DD169" s="205"/>
      <c r="DE169" s="205"/>
      <c r="DF169" s="205"/>
      <c r="DG169" s="205"/>
      <c r="DH169" s="205"/>
      <c r="DI169" s="205"/>
      <c r="DJ169" s="205"/>
      <c r="DK169" s="205"/>
      <c r="DL169" s="205"/>
      <c r="DM169" s="205"/>
      <c r="DN169" s="205"/>
      <c r="DO169" s="205"/>
      <c r="DP169" s="205"/>
      <c r="DQ169" s="205"/>
      <c r="DR169" s="205"/>
      <c r="DS169" s="205"/>
      <c r="DT169" s="205"/>
      <c r="DU169" s="205"/>
      <c r="DV169" s="205"/>
      <c r="DW169" s="205"/>
      <c r="DX169" s="205"/>
      <c r="DY169" s="205"/>
      <c r="DZ169" s="205"/>
      <c r="EA169" s="205"/>
      <c r="EB169" s="205"/>
      <c r="EC169" s="205"/>
      <c r="ED169" s="205"/>
      <c r="EE169" s="205"/>
      <c r="EF169" s="205"/>
      <c r="EG169" s="205"/>
      <c r="EH169" s="205"/>
      <c r="EI169" s="205"/>
      <c r="EJ169" s="205"/>
      <c r="EK169" s="205"/>
      <c r="EL169" s="205"/>
      <c r="EM169" s="205"/>
      <c r="EN169" s="205"/>
      <c r="EO169" s="205"/>
      <c r="EP169" s="205"/>
      <c r="EQ169" s="205"/>
      <c r="ER169" s="205"/>
      <c r="ES169" s="205"/>
      <c r="ET169" s="205"/>
      <c r="EU169" s="205"/>
      <c r="EV169" s="205"/>
      <c r="EW169" s="205"/>
      <c r="EX169" s="205"/>
      <c r="EY169" s="205"/>
      <c r="EZ169" s="205"/>
      <c r="FA169" s="205"/>
      <c r="FB169" s="205"/>
      <c r="FC169" s="205"/>
      <c r="FD169" s="205"/>
      <c r="FE169" s="205"/>
      <c r="FF169" s="205"/>
      <c r="FG169" s="205"/>
      <c r="FH169" s="205"/>
      <c r="FI169" s="205"/>
      <c r="FJ169" s="205"/>
      <c r="FK169" s="205"/>
      <c r="FL169" s="205"/>
      <c r="FM169" s="205"/>
      <c r="FN169" s="205"/>
      <c r="FO169" s="205"/>
      <c r="FP169" s="205"/>
      <c r="FQ169" s="205"/>
      <c r="FR169" s="205"/>
      <c r="FS169" s="205"/>
      <c r="FT169" s="205"/>
      <c r="FU169" s="205"/>
      <c r="FV169" s="205"/>
      <c r="FW169" s="205"/>
      <c r="FX169" s="205"/>
      <c r="FY169" s="205"/>
      <c r="FZ169" s="205"/>
      <c r="GA169" s="205"/>
      <c r="GB169" s="205"/>
      <c r="GC169" s="205"/>
      <c r="GD169" s="205"/>
      <c r="GE169" s="205"/>
      <c r="GF169" s="205"/>
      <c r="GG169" s="205"/>
      <c r="GH169" s="205"/>
      <c r="GI169" s="205"/>
      <c r="GJ169" s="205"/>
      <c r="GK169" s="205"/>
      <c r="GL169" s="205"/>
      <c r="GM169" s="205"/>
      <c r="GN169" s="205"/>
      <c r="GO169" s="205"/>
      <c r="GP169" s="205"/>
      <c r="GQ169" s="205"/>
      <c r="GR169" s="205"/>
      <c r="GS169" s="205"/>
      <c r="GT169" s="205"/>
      <c r="GU169" s="205"/>
      <c r="GV169" s="205"/>
      <c r="GW169" s="205"/>
      <c r="GX169" s="205"/>
      <c r="GY169" s="205"/>
      <c r="GZ169" s="205"/>
      <c r="HA169" s="205"/>
      <c r="HB169" s="205"/>
      <c r="HC169" s="205"/>
      <c r="HD169" s="205"/>
      <c r="HE169" s="205"/>
      <c r="HF169" s="205"/>
      <c r="HG169" s="205"/>
      <c r="HH169" s="205"/>
      <c r="HI169" s="205"/>
      <c r="HJ169" s="205"/>
      <c r="HK169" s="205"/>
      <c r="HL169" s="205"/>
      <c r="HM169" s="205"/>
      <c r="HN169" s="205"/>
      <c r="HO169" s="205"/>
      <c r="HP169" s="205"/>
      <c r="HQ169" s="205"/>
      <c r="HR169" s="205"/>
      <c r="HS169" s="205"/>
      <c r="HT169" s="205"/>
      <c r="HU169" s="205"/>
      <c r="HV169" s="205"/>
      <c r="HW169" s="205"/>
      <c r="HX169" s="205"/>
      <c r="HY169" s="205"/>
      <c r="HZ169" s="205"/>
      <c r="IA169" s="205"/>
      <c r="IB169" s="205"/>
      <c r="IC169" s="205"/>
      <c r="ID169" s="205"/>
      <c r="IE169" s="205"/>
      <c r="IF169" s="205"/>
      <c r="IG169" s="205"/>
      <c r="IH169" s="205"/>
      <c r="II169" s="205"/>
      <c r="IJ169" s="205"/>
      <c r="IK169" s="205"/>
      <c r="IL169" s="205"/>
      <c r="IM169" s="205"/>
      <c r="IN169" s="205"/>
      <c r="IO169" s="205"/>
      <c r="IP169" s="205"/>
      <c r="IQ169" s="205"/>
      <c r="IR169" s="205"/>
      <c r="IS169" s="205"/>
      <c r="IT169" s="205"/>
      <c r="IU169" s="205"/>
      <c r="IV169" s="205"/>
      <c r="IW169" s="205"/>
      <c r="IX169" s="205"/>
    </row>
    <row r="170" spans="1:258" s="203" customFormat="1" x14ac:dyDescent="0.2">
      <c r="A170" s="669"/>
      <c r="B170" s="670"/>
      <c r="C170" s="1358"/>
      <c r="D170" s="672"/>
      <c r="E170" s="1359"/>
      <c r="F170" s="1359"/>
      <c r="G170" s="1360"/>
      <c r="H170" s="1361"/>
      <c r="I170" s="1362"/>
      <c r="J170" s="1362"/>
      <c r="K170" s="1362"/>
      <c r="L170" s="1362"/>
      <c r="M170" s="1362"/>
      <c r="N170" s="1362"/>
      <c r="O170" s="1362"/>
      <c r="P170" s="1362"/>
      <c r="Q170" s="1362"/>
      <c r="R170" s="1363">
        <f>SUM(R163:R169)</f>
        <v>45.4</v>
      </c>
      <c r="S170" s="1364">
        <f>R170</f>
        <v>45.4</v>
      </c>
      <c r="T170" s="722" t="s">
        <v>338</v>
      </c>
      <c r="U170" s="205"/>
      <c r="V170" s="685"/>
      <c r="W170" s="205"/>
      <c r="X170" s="205"/>
      <c r="Y170" s="205"/>
      <c r="Z170" s="205"/>
      <c r="AA170" s="205"/>
      <c r="AB170" s="205"/>
      <c r="AC170" s="205"/>
      <c r="AD170" s="205"/>
      <c r="AE170" s="205"/>
      <c r="AF170" s="205"/>
      <c r="AG170" s="205"/>
      <c r="AH170" s="205"/>
      <c r="AI170" s="205"/>
      <c r="AJ170" s="205"/>
      <c r="AK170" s="205"/>
      <c r="AL170" s="205"/>
      <c r="AM170" s="205"/>
      <c r="AN170" s="205"/>
      <c r="AO170" s="205"/>
      <c r="AP170" s="205"/>
      <c r="AQ170" s="205"/>
      <c r="AR170" s="205"/>
      <c r="AS170" s="205"/>
      <c r="AT170" s="205"/>
      <c r="AU170" s="205"/>
      <c r="AV170" s="205"/>
      <c r="AW170" s="205"/>
      <c r="AX170" s="205"/>
      <c r="AY170" s="205"/>
      <c r="AZ170" s="205"/>
      <c r="BA170" s="205"/>
      <c r="BB170" s="205"/>
      <c r="BC170" s="205"/>
      <c r="BD170" s="205"/>
      <c r="BE170" s="205"/>
      <c r="BF170" s="205"/>
      <c r="BG170" s="205"/>
      <c r="BH170" s="205"/>
      <c r="BI170" s="205"/>
      <c r="BJ170" s="205"/>
      <c r="BK170" s="205"/>
      <c r="BL170" s="205"/>
      <c r="BM170" s="205"/>
      <c r="BN170" s="205"/>
      <c r="BO170" s="205"/>
      <c r="BP170" s="205"/>
      <c r="BQ170" s="205"/>
      <c r="BR170" s="205"/>
      <c r="BS170" s="205"/>
      <c r="BT170" s="205"/>
      <c r="BU170" s="205"/>
      <c r="BV170" s="205"/>
      <c r="BW170" s="205"/>
      <c r="BX170" s="205"/>
      <c r="BY170" s="205"/>
      <c r="BZ170" s="205"/>
      <c r="CA170" s="205"/>
      <c r="CB170" s="205"/>
      <c r="CC170" s="205"/>
      <c r="CD170" s="205"/>
      <c r="CE170" s="205"/>
      <c r="CF170" s="205"/>
      <c r="CG170" s="205"/>
      <c r="CH170" s="205"/>
      <c r="CI170" s="205"/>
      <c r="CJ170" s="205"/>
      <c r="CK170" s="205"/>
      <c r="CL170" s="205"/>
      <c r="CM170" s="205"/>
      <c r="CN170" s="205"/>
      <c r="CO170" s="205"/>
      <c r="CP170" s="205"/>
      <c r="CQ170" s="205"/>
      <c r="CR170" s="205"/>
      <c r="CS170" s="205"/>
      <c r="CT170" s="205"/>
      <c r="CU170" s="205"/>
      <c r="CV170" s="205"/>
      <c r="CW170" s="205"/>
      <c r="CX170" s="205"/>
      <c r="CY170" s="205"/>
      <c r="CZ170" s="205"/>
      <c r="DA170" s="205"/>
      <c r="DB170" s="205"/>
      <c r="DC170" s="205"/>
      <c r="DD170" s="205"/>
      <c r="DE170" s="205"/>
      <c r="DF170" s="205"/>
      <c r="DG170" s="205"/>
      <c r="DH170" s="205"/>
      <c r="DI170" s="205"/>
      <c r="DJ170" s="205"/>
      <c r="DK170" s="205"/>
      <c r="DL170" s="205"/>
      <c r="DM170" s="205"/>
      <c r="DN170" s="205"/>
      <c r="DO170" s="205"/>
      <c r="DP170" s="205"/>
      <c r="DQ170" s="205"/>
      <c r="DR170" s="205"/>
      <c r="DS170" s="205"/>
      <c r="DT170" s="205"/>
      <c r="DU170" s="205"/>
      <c r="DV170" s="205"/>
      <c r="DW170" s="205"/>
      <c r="DX170" s="205"/>
      <c r="DY170" s="205"/>
      <c r="DZ170" s="205"/>
      <c r="EA170" s="205"/>
      <c r="EB170" s="205"/>
      <c r="EC170" s="205"/>
      <c r="ED170" s="205"/>
      <c r="EE170" s="205"/>
      <c r="EF170" s="205"/>
      <c r="EG170" s="205"/>
      <c r="EH170" s="205"/>
      <c r="EI170" s="205"/>
      <c r="EJ170" s="205"/>
      <c r="EK170" s="205"/>
      <c r="EL170" s="205"/>
      <c r="EM170" s="205"/>
      <c r="EN170" s="205"/>
      <c r="EO170" s="205"/>
      <c r="EP170" s="205"/>
      <c r="EQ170" s="205"/>
      <c r="ER170" s="205"/>
      <c r="ES170" s="205"/>
      <c r="ET170" s="205"/>
      <c r="EU170" s="205"/>
      <c r="EV170" s="205"/>
      <c r="EW170" s="205"/>
      <c r="EX170" s="205"/>
      <c r="EY170" s="205"/>
      <c r="EZ170" s="205"/>
      <c r="FA170" s="205"/>
      <c r="FB170" s="205"/>
      <c r="FC170" s="205"/>
      <c r="FD170" s="205"/>
      <c r="FE170" s="205"/>
      <c r="FF170" s="205"/>
      <c r="FG170" s="205"/>
      <c r="FH170" s="205"/>
      <c r="FI170" s="205"/>
      <c r="FJ170" s="205"/>
      <c r="FK170" s="205"/>
      <c r="FL170" s="205"/>
      <c r="FM170" s="205"/>
      <c r="FN170" s="205"/>
      <c r="FO170" s="205"/>
      <c r="FP170" s="205"/>
      <c r="FQ170" s="205"/>
      <c r="FR170" s="205"/>
      <c r="FS170" s="205"/>
      <c r="FT170" s="205"/>
      <c r="FU170" s="205"/>
      <c r="FV170" s="205"/>
      <c r="FW170" s="205"/>
      <c r="FX170" s="205"/>
      <c r="FY170" s="205"/>
      <c r="FZ170" s="205"/>
      <c r="GA170" s="205"/>
      <c r="GB170" s="205"/>
      <c r="GC170" s="205"/>
      <c r="GD170" s="205"/>
      <c r="GE170" s="205"/>
      <c r="GF170" s="205"/>
      <c r="GG170" s="205"/>
      <c r="GH170" s="205"/>
      <c r="GI170" s="205"/>
      <c r="GJ170" s="205"/>
      <c r="GK170" s="205"/>
      <c r="GL170" s="205"/>
      <c r="GM170" s="205"/>
      <c r="GN170" s="205"/>
      <c r="GO170" s="205"/>
      <c r="GP170" s="205"/>
      <c r="GQ170" s="205"/>
      <c r="GR170" s="205"/>
      <c r="GS170" s="205"/>
      <c r="GT170" s="205"/>
      <c r="GU170" s="205"/>
      <c r="GV170" s="205"/>
      <c r="GW170" s="205"/>
      <c r="GX170" s="205"/>
      <c r="GY170" s="205"/>
      <c r="GZ170" s="205"/>
      <c r="HA170" s="205"/>
      <c r="HB170" s="205"/>
      <c r="HC170" s="205"/>
      <c r="HD170" s="205"/>
      <c r="HE170" s="205"/>
      <c r="HF170" s="205"/>
      <c r="HG170" s="205"/>
      <c r="HH170" s="205"/>
      <c r="HI170" s="205"/>
      <c r="HJ170" s="205"/>
      <c r="HK170" s="205"/>
      <c r="HL170" s="205"/>
      <c r="HM170" s="205"/>
      <c r="HN170" s="205"/>
      <c r="HO170" s="205"/>
      <c r="HP170" s="205"/>
      <c r="HQ170" s="205"/>
      <c r="HR170" s="205"/>
      <c r="HS170" s="205"/>
      <c r="HT170" s="205"/>
      <c r="HU170" s="205"/>
      <c r="HV170" s="205"/>
      <c r="HW170" s="205"/>
      <c r="HX170" s="205"/>
      <c r="HY170" s="205"/>
      <c r="HZ170" s="205"/>
      <c r="IA170" s="205"/>
      <c r="IB170" s="205"/>
      <c r="IC170" s="205"/>
      <c r="ID170" s="205"/>
      <c r="IE170" s="205"/>
      <c r="IF170" s="205"/>
      <c r="IG170" s="205"/>
      <c r="IH170" s="205"/>
      <c r="II170" s="205"/>
      <c r="IJ170" s="205"/>
      <c r="IK170" s="205"/>
      <c r="IL170" s="205"/>
      <c r="IM170" s="205"/>
      <c r="IN170" s="205"/>
      <c r="IO170" s="205"/>
      <c r="IP170" s="205"/>
      <c r="IQ170" s="205"/>
      <c r="IR170" s="205"/>
      <c r="IS170" s="205"/>
      <c r="IT170" s="205"/>
      <c r="IU170" s="205"/>
      <c r="IV170" s="205"/>
      <c r="IW170" s="205"/>
      <c r="IX170" s="205"/>
    </row>
    <row r="171" spans="1:258" s="203" customFormat="1" x14ac:dyDescent="0.2">
      <c r="A171" s="669"/>
      <c r="B171" s="670"/>
      <c r="C171" s="1358"/>
      <c r="D171" s="672"/>
      <c r="E171" s="1359"/>
      <c r="F171" s="1359"/>
      <c r="G171" s="1360"/>
      <c r="H171" s="1361"/>
      <c r="I171" s="1362"/>
      <c r="J171" s="1362"/>
      <c r="K171" s="1362"/>
      <c r="L171" s="1362"/>
      <c r="M171" s="1362"/>
      <c r="N171" s="1362"/>
      <c r="O171" s="1362"/>
      <c r="P171" s="1362"/>
      <c r="Q171" s="1362"/>
      <c r="R171" s="1363"/>
      <c r="S171" s="1364"/>
      <c r="T171" s="722"/>
      <c r="U171" s="205"/>
      <c r="V171" s="685"/>
      <c r="W171" s="205"/>
      <c r="X171" s="205"/>
      <c r="Y171" s="205"/>
      <c r="Z171" s="205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5"/>
      <c r="BN171" s="205"/>
      <c r="BO171" s="205"/>
      <c r="BP171" s="205"/>
      <c r="BQ171" s="205"/>
      <c r="BR171" s="205"/>
      <c r="BS171" s="205"/>
      <c r="BT171" s="205"/>
      <c r="BU171" s="205"/>
      <c r="BV171" s="205"/>
      <c r="BW171" s="205"/>
      <c r="BX171" s="205"/>
      <c r="BY171" s="205"/>
      <c r="BZ171" s="205"/>
      <c r="CA171" s="205"/>
      <c r="CB171" s="205"/>
      <c r="CC171" s="205"/>
      <c r="CD171" s="205"/>
      <c r="CE171" s="205"/>
      <c r="CF171" s="205"/>
      <c r="CG171" s="205"/>
      <c r="CH171" s="205"/>
      <c r="CI171" s="205"/>
      <c r="CJ171" s="205"/>
      <c r="CK171" s="205"/>
      <c r="CL171" s="205"/>
      <c r="CM171" s="205"/>
      <c r="CN171" s="205"/>
      <c r="CO171" s="205"/>
      <c r="CP171" s="205"/>
      <c r="CQ171" s="205"/>
      <c r="CR171" s="205"/>
      <c r="CS171" s="205"/>
      <c r="CT171" s="205"/>
      <c r="CU171" s="205"/>
      <c r="CV171" s="205"/>
      <c r="CW171" s="205"/>
      <c r="CX171" s="205"/>
      <c r="CY171" s="205"/>
      <c r="CZ171" s="205"/>
      <c r="DA171" s="205"/>
      <c r="DB171" s="205"/>
      <c r="DC171" s="205"/>
      <c r="DD171" s="205"/>
      <c r="DE171" s="205"/>
      <c r="DF171" s="205"/>
      <c r="DG171" s="205"/>
      <c r="DH171" s="205"/>
      <c r="DI171" s="205"/>
      <c r="DJ171" s="205"/>
      <c r="DK171" s="205"/>
      <c r="DL171" s="205"/>
      <c r="DM171" s="205"/>
      <c r="DN171" s="205"/>
      <c r="DO171" s="205"/>
      <c r="DP171" s="205"/>
      <c r="DQ171" s="205"/>
      <c r="DR171" s="205"/>
      <c r="DS171" s="205"/>
      <c r="DT171" s="205"/>
      <c r="DU171" s="205"/>
      <c r="DV171" s="205"/>
      <c r="DW171" s="205"/>
      <c r="DX171" s="205"/>
      <c r="DY171" s="205"/>
      <c r="DZ171" s="205"/>
      <c r="EA171" s="205"/>
      <c r="EB171" s="205"/>
      <c r="EC171" s="205"/>
      <c r="ED171" s="205"/>
      <c r="EE171" s="205"/>
      <c r="EF171" s="205"/>
      <c r="EG171" s="205"/>
      <c r="EH171" s="205"/>
      <c r="EI171" s="205"/>
      <c r="EJ171" s="205"/>
      <c r="EK171" s="205"/>
      <c r="EL171" s="205"/>
      <c r="EM171" s="205"/>
      <c r="EN171" s="205"/>
      <c r="EO171" s="205"/>
      <c r="EP171" s="205"/>
      <c r="EQ171" s="205"/>
      <c r="ER171" s="205"/>
      <c r="ES171" s="205"/>
      <c r="ET171" s="205"/>
      <c r="EU171" s="205"/>
      <c r="EV171" s="205"/>
      <c r="EW171" s="205"/>
      <c r="EX171" s="205"/>
      <c r="EY171" s="205"/>
      <c r="EZ171" s="205"/>
      <c r="FA171" s="205"/>
      <c r="FB171" s="205"/>
      <c r="FC171" s="205"/>
      <c r="FD171" s="205"/>
      <c r="FE171" s="205"/>
      <c r="FF171" s="205"/>
      <c r="FG171" s="205"/>
      <c r="FH171" s="205"/>
      <c r="FI171" s="205"/>
      <c r="FJ171" s="205"/>
      <c r="FK171" s="205"/>
      <c r="FL171" s="205"/>
      <c r="FM171" s="205"/>
      <c r="FN171" s="205"/>
      <c r="FO171" s="205"/>
      <c r="FP171" s="205"/>
      <c r="FQ171" s="205"/>
      <c r="FR171" s="205"/>
      <c r="FS171" s="205"/>
      <c r="FT171" s="205"/>
      <c r="FU171" s="205"/>
      <c r="FV171" s="205"/>
      <c r="FW171" s="205"/>
      <c r="FX171" s="205"/>
      <c r="FY171" s="205"/>
      <c r="FZ171" s="205"/>
      <c r="GA171" s="205"/>
      <c r="GB171" s="205"/>
      <c r="GC171" s="205"/>
      <c r="GD171" s="205"/>
      <c r="GE171" s="205"/>
      <c r="GF171" s="205"/>
      <c r="GG171" s="205"/>
      <c r="GH171" s="205"/>
      <c r="GI171" s="205"/>
      <c r="GJ171" s="205"/>
      <c r="GK171" s="205"/>
      <c r="GL171" s="205"/>
      <c r="GM171" s="205"/>
      <c r="GN171" s="205"/>
      <c r="GO171" s="205"/>
      <c r="GP171" s="205"/>
      <c r="GQ171" s="205"/>
      <c r="GR171" s="205"/>
      <c r="GS171" s="205"/>
      <c r="GT171" s="205"/>
      <c r="GU171" s="205"/>
      <c r="GV171" s="205"/>
      <c r="GW171" s="205"/>
      <c r="GX171" s="205"/>
      <c r="GY171" s="205"/>
      <c r="GZ171" s="205"/>
      <c r="HA171" s="205"/>
      <c r="HB171" s="205"/>
      <c r="HC171" s="205"/>
      <c r="HD171" s="205"/>
      <c r="HE171" s="205"/>
      <c r="HF171" s="205"/>
      <c r="HG171" s="205"/>
      <c r="HH171" s="205"/>
      <c r="HI171" s="205"/>
      <c r="HJ171" s="205"/>
      <c r="HK171" s="205"/>
      <c r="HL171" s="205"/>
      <c r="HM171" s="205"/>
      <c r="HN171" s="205"/>
      <c r="HO171" s="205"/>
      <c r="HP171" s="205"/>
      <c r="HQ171" s="205"/>
      <c r="HR171" s="205"/>
      <c r="HS171" s="205"/>
      <c r="HT171" s="205"/>
      <c r="HU171" s="205"/>
      <c r="HV171" s="205"/>
      <c r="HW171" s="205"/>
      <c r="HX171" s="205"/>
      <c r="HY171" s="205"/>
      <c r="HZ171" s="205"/>
      <c r="IA171" s="205"/>
      <c r="IB171" s="205"/>
      <c r="IC171" s="205"/>
      <c r="ID171" s="205"/>
      <c r="IE171" s="205"/>
      <c r="IF171" s="205"/>
      <c r="IG171" s="205"/>
      <c r="IH171" s="205"/>
      <c r="II171" s="205"/>
      <c r="IJ171" s="205"/>
      <c r="IK171" s="205"/>
      <c r="IL171" s="205"/>
      <c r="IM171" s="205"/>
      <c r="IN171" s="205"/>
      <c r="IO171" s="205"/>
      <c r="IP171" s="205"/>
      <c r="IQ171" s="205"/>
      <c r="IR171" s="205"/>
      <c r="IS171" s="205"/>
      <c r="IT171" s="205"/>
      <c r="IU171" s="205"/>
      <c r="IV171" s="205"/>
      <c r="IW171" s="205"/>
      <c r="IX171" s="205"/>
    </row>
    <row r="172" spans="1:258" s="203" customFormat="1" x14ac:dyDescent="0.2">
      <c r="A172" s="669"/>
      <c r="B172" s="670"/>
      <c r="C172" s="682" t="str">
        <f>RAB!D65</f>
        <v>Sloof 15X20</v>
      </c>
      <c r="D172" s="672"/>
      <c r="E172" s="673"/>
      <c r="F172" s="673"/>
      <c r="G172" s="674"/>
      <c r="H172" s="675"/>
      <c r="I172" s="676"/>
      <c r="J172" s="676"/>
      <c r="K172" s="676"/>
      <c r="L172" s="676"/>
      <c r="M172" s="676"/>
      <c r="N172" s="676"/>
      <c r="O172" s="676"/>
      <c r="P172" s="676"/>
      <c r="Q172" s="676"/>
      <c r="R172" s="677"/>
      <c r="S172" s="678"/>
      <c r="T172" s="684"/>
      <c r="U172" s="205"/>
      <c r="V172" s="685"/>
      <c r="W172" s="205"/>
      <c r="X172" s="205"/>
      <c r="Y172" s="205"/>
      <c r="Z172" s="205"/>
      <c r="AA172" s="205"/>
      <c r="AB172" s="205"/>
      <c r="AC172" s="205"/>
      <c r="AD172" s="205"/>
      <c r="AE172" s="205"/>
      <c r="AF172" s="205"/>
      <c r="AG172" s="205"/>
      <c r="AH172" s="205"/>
      <c r="AI172" s="205"/>
      <c r="AJ172" s="205"/>
      <c r="AK172" s="205"/>
      <c r="AL172" s="205"/>
      <c r="AM172" s="205"/>
      <c r="AN172" s="205"/>
      <c r="AO172" s="205"/>
      <c r="AP172" s="205"/>
      <c r="AQ172" s="205"/>
      <c r="AR172" s="205"/>
      <c r="AS172" s="205"/>
      <c r="AT172" s="205"/>
      <c r="AU172" s="205"/>
      <c r="AV172" s="205"/>
      <c r="AW172" s="205"/>
      <c r="AX172" s="205"/>
      <c r="AY172" s="205"/>
      <c r="AZ172" s="205"/>
      <c r="BA172" s="205"/>
      <c r="BB172" s="205"/>
      <c r="BC172" s="205"/>
      <c r="BD172" s="205"/>
      <c r="BE172" s="205"/>
      <c r="BF172" s="205"/>
      <c r="BG172" s="205"/>
      <c r="BH172" s="205"/>
      <c r="BI172" s="205"/>
      <c r="BJ172" s="205"/>
      <c r="BK172" s="205"/>
      <c r="BL172" s="205"/>
      <c r="BM172" s="205"/>
      <c r="BN172" s="205"/>
      <c r="BO172" s="205"/>
      <c r="BP172" s="205"/>
      <c r="BQ172" s="205"/>
      <c r="BR172" s="205"/>
      <c r="BS172" s="205"/>
      <c r="BT172" s="205"/>
      <c r="BU172" s="205"/>
      <c r="BV172" s="205"/>
      <c r="BW172" s="205"/>
      <c r="BX172" s="205"/>
      <c r="BY172" s="205"/>
      <c r="BZ172" s="205"/>
      <c r="CA172" s="205"/>
      <c r="CB172" s="205"/>
      <c r="CC172" s="205"/>
      <c r="CD172" s="205"/>
      <c r="CE172" s="205"/>
      <c r="CF172" s="205"/>
      <c r="CG172" s="205"/>
      <c r="CH172" s="205"/>
      <c r="CI172" s="205"/>
      <c r="CJ172" s="205"/>
      <c r="CK172" s="205"/>
      <c r="CL172" s="205"/>
      <c r="CM172" s="205"/>
      <c r="CN172" s="205"/>
      <c r="CO172" s="205"/>
      <c r="CP172" s="205"/>
      <c r="CQ172" s="205"/>
      <c r="CR172" s="205"/>
      <c r="CS172" s="205"/>
      <c r="CT172" s="205"/>
      <c r="CU172" s="205"/>
      <c r="CV172" s="205"/>
      <c r="CW172" s="205"/>
      <c r="CX172" s="205"/>
      <c r="CY172" s="205"/>
      <c r="CZ172" s="205"/>
      <c r="DA172" s="205"/>
      <c r="DB172" s="205"/>
      <c r="DC172" s="205"/>
      <c r="DD172" s="205"/>
      <c r="DE172" s="205"/>
      <c r="DF172" s="205"/>
      <c r="DG172" s="205"/>
      <c r="DH172" s="205"/>
      <c r="DI172" s="205"/>
      <c r="DJ172" s="205"/>
      <c r="DK172" s="205"/>
      <c r="DL172" s="205"/>
      <c r="DM172" s="205"/>
      <c r="DN172" s="205"/>
      <c r="DO172" s="205"/>
      <c r="DP172" s="205"/>
      <c r="DQ172" s="205"/>
      <c r="DR172" s="205"/>
      <c r="DS172" s="205"/>
      <c r="DT172" s="205"/>
      <c r="DU172" s="205"/>
      <c r="DV172" s="205"/>
      <c r="DW172" s="205"/>
      <c r="DX172" s="205"/>
      <c r="DY172" s="205"/>
      <c r="DZ172" s="205"/>
      <c r="EA172" s="205"/>
      <c r="EB172" s="205"/>
      <c r="EC172" s="205"/>
      <c r="ED172" s="205"/>
      <c r="EE172" s="205"/>
      <c r="EF172" s="205"/>
      <c r="EG172" s="205"/>
      <c r="EH172" s="205"/>
      <c r="EI172" s="205"/>
      <c r="EJ172" s="205"/>
      <c r="EK172" s="205"/>
      <c r="EL172" s="205"/>
      <c r="EM172" s="205"/>
      <c r="EN172" s="205"/>
      <c r="EO172" s="205"/>
      <c r="EP172" s="205"/>
      <c r="EQ172" s="205"/>
      <c r="ER172" s="205"/>
      <c r="ES172" s="205"/>
      <c r="ET172" s="205"/>
      <c r="EU172" s="205"/>
      <c r="EV172" s="205"/>
      <c r="EW172" s="205"/>
      <c r="EX172" s="205"/>
      <c r="EY172" s="205"/>
      <c r="EZ172" s="205"/>
      <c r="FA172" s="205"/>
      <c r="FB172" s="205"/>
      <c r="FC172" s="205"/>
      <c r="FD172" s="205"/>
      <c r="FE172" s="205"/>
      <c r="FF172" s="205"/>
      <c r="FG172" s="205"/>
      <c r="FH172" s="205"/>
      <c r="FI172" s="205"/>
      <c r="FJ172" s="205"/>
      <c r="FK172" s="205"/>
      <c r="FL172" s="205"/>
      <c r="FM172" s="205"/>
      <c r="FN172" s="205"/>
      <c r="FO172" s="205"/>
      <c r="FP172" s="205"/>
      <c r="FQ172" s="205"/>
      <c r="FR172" s="205"/>
      <c r="FS172" s="205"/>
      <c r="FT172" s="205"/>
      <c r="FU172" s="205"/>
      <c r="FV172" s="205"/>
      <c r="FW172" s="205"/>
      <c r="FX172" s="205"/>
      <c r="FY172" s="205"/>
      <c r="FZ172" s="205"/>
      <c r="GA172" s="205"/>
      <c r="GB172" s="205"/>
      <c r="GC172" s="205"/>
      <c r="GD172" s="205"/>
      <c r="GE172" s="205"/>
      <c r="GF172" s="205"/>
      <c r="GG172" s="205"/>
      <c r="GH172" s="205"/>
      <c r="GI172" s="205"/>
      <c r="GJ172" s="205"/>
      <c r="GK172" s="205"/>
      <c r="GL172" s="205"/>
      <c r="GM172" s="205"/>
      <c r="GN172" s="205"/>
      <c r="GO172" s="205"/>
      <c r="GP172" s="205"/>
      <c r="GQ172" s="205"/>
      <c r="GR172" s="205"/>
      <c r="GS172" s="205"/>
      <c r="GT172" s="205"/>
      <c r="GU172" s="205"/>
      <c r="GV172" s="205"/>
      <c r="GW172" s="205"/>
      <c r="GX172" s="205"/>
      <c r="GY172" s="205"/>
      <c r="GZ172" s="205"/>
      <c r="HA172" s="205"/>
      <c r="HB172" s="205"/>
      <c r="HC172" s="205"/>
      <c r="HD172" s="205"/>
      <c r="HE172" s="205"/>
      <c r="HF172" s="205"/>
      <c r="HG172" s="205"/>
      <c r="HH172" s="205"/>
      <c r="HI172" s="205"/>
      <c r="HJ172" s="205"/>
      <c r="HK172" s="205"/>
      <c r="HL172" s="205"/>
      <c r="HM172" s="205"/>
      <c r="HN172" s="205"/>
      <c r="HO172" s="205"/>
      <c r="HP172" s="205"/>
      <c r="HQ172" s="205"/>
      <c r="HR172" s="205"/>
      <c r="HS172" s="205"/>
      <c r="HT172" s="205"/>
      <c r="HU172" s="205"/>
      <c r="HV172" s="205"/>
      <c r="HW172" s="205"/>
      <c r="HX172" s="205"/>
      <c r="HY172" s="205"/>
      <c r="HZ172" s="205"/>
      <c r="IA172" s="205"/>
      <c r="IB172" s="205"/>
      <c r="IC172" s="205"/>
      <c r="ID172" s="205"/>
      <c r="IE172" s="205"/>
      <c r="IF172" s="205"/>
      <c r="IG172" s="205"/>
      <c r="IH172" s="205"/>
      <c r="II172" s="205"/>
      <c r="IJ172" s="205"/>
      <c r="IK172" s="205"/>
      <c r="IL172" s="205"/>
      <c r="IM172" s="205"/>
      <c r="IN172" s="205"/>
      <c r="IO172" s="205"/>
      <c r="IP172" s="205"/>
      <c r="IQ172" s="205"/>
      <c r="IR172" s="205"/>
      <c r="IS172" s="205"/>
      <c r="IT172" s="205"/>
      <c r="IU172" s="205"/>
      <c r="IV172" s="205"/>
      <c r="IW172" s="205"/>
      <c r="IX172" s="205"/>
    </row>
    <row r="173" spans="1:258" s="203" customFormat="1" x14ac:dyDescent="0.2">
      <c r="A173" s="669"/>
      <c r="B173" s="670">
        <f>RAB!B66</f>
        <v>6</v>
      </c>
      <c r="C173" s="686" t="e">
        <f>RAB!D66</f>
        <v>#REF!</v>
      </c>
      <c r="D173" s="672"/>
      <c r="E173" s="673"/>
      <c r="F173" s="673"/>
      <c r="G173" s="674"/>
      <c r="H173" s="675"/>
      <c r="I173" s="676"/>
      <c r="J173" s="676"/>
      <c r="K173" s="676"/>
      <c r="L173" s="676"/>
      <c r="M173" s="676"/>
      <c r="N173" s="676"/>
      <c r="O173" s="676"/>
      <c r="P173" s="676"/>
      <c r="Q173" s="676"/>
      <c r="R173" s="677"/>
      <c r="S173" s="678"/>
      <c r="T173" s="684"/>
      <c r="U173" s="205"/>
      <c r="V173" s="685"/>
      <c r="W173" s="205"/>
      <c r="X173" s="205"/>
      <c r="Y173" s="205"/>
      <c r="Z173" s="205"/>
      <c r="AA173" s="205"/>
      <c r="AB173" s="205"/>
      <c r="AC173" s="205"/>
      <c r="AD173" s="205"/>
      <c r="AE173" s="205"/>
      <c r="AF173" s="205"/>
      <c r="AG173" s="205"/>
      <c r="AH173" s="205"/>
      <c r="AI173" s="205"/>
      <c r="AJ173" s="205"/>
      <c r="AK173" s="205"/>
      <c r="AL173" s="205"/>
      <c r="AM173" s="205"/>
      <c r="AN173" s="205"/>
      <c r="AO173" s="205"/>
      <c r="AP173" s="205"/>
      <c r="AQ173" s="205"/>
      <c r="AR173" s="205"/>
      <c r="AS173" s="205"/>
      <c r="AT173" s="205"/>
      <c r="AU173" s="205"/>
      <c r="AV173" s="205"/>
      <c r="AW173" s="205"/>
      <c r="AX173" s="205"/>
      <c r="AY173" s="205"/>
      <c r="AZ173" s="205"/>
      <c r="BA173" s="205"/>
      <c r="BB173" s="205"/>
      <c r="BC173" s="205"/>
      <c r="BD173" s="205"/>
      <c r="BE173" s="205"/>
      <c r="BF173" s="205"/>
      <c r="BG173" s="205"/>
      <c r="BH173" s="205"/>
      <c r="BI173" s="205"/>
      <c r="BJ173" s="205"/>
      <c r="BK173" s="205"/>
      <c r="BL173" s="205"/>
      <c r="BM173" s="205"/>
      <c r="BN173" s="205"/>
      <c r="BO173" s="205"/>
      <c r="BP173" s="205"/>
      <c r="BQ173" s="205"/>
      <c r="BR173" s="205"/>
      <c r="BS173" s="205"/>
      <c r="BT173" s="205"/>
      <c r="BU173" s="205"/>
      <c r="BV173" s="205"/>
      <c r="BW173" s="205"/>
      <c r="BX173" s="205"/>
      <c r="BY173" s="205"/>
      <c r="BZ173" s="205"/>
      <c r="CA173" s="205"/>
      <c r="CB173" s="205"/>
      <c r="CC173" s="205"/>
      <c r="CD173" s="205"/>
      <c r="CE173" s="205"/>
      <c r="CF173" s="205"/>
      <c r="CG173" s="205"/>
      <c r="CH173" s="205"/>
      <c r="CI173" s="205"/>
      <c r="CJ173" s="205"/>
      <c r="CK173" s="205"/>
      <c r="CL173" s="205"/>
      <c r="CM173" s="205"/>
      <c r="CN173" s="205"/>
      <c r="CO173" s="205"/>
      <c r="CP173" s="205"/>
      <c r="CQ173" s="205"/>
      <c r="CR173" s="205"/>
      <c r="CS173" s="205"/>
      <c r="CT173" s="205"/>
      <c r="CU173" s="205"/>
      <c r="CV173" s="205"/>
      <c r="CW173" s="205"/>
      <c r="CX173" s="205"/>
      <c r="CY173" s="205"/>
      <c r="CZ173" s="205"/>
      <c r="DA173" s="205"/>
      <c r="DB173" s="205"/>
      <c r="DC173" s="205"/>
      <c r="DD173" s="205"/>
      <c r="DE173" s="205"/>
      <c r="DF173" s="205"/>
      <c r="DG173" s="205"/>
      <c r="DH173" s="205"/>
      <c r="DI173" s="205"/>
      <c r="DJ173" s="205"/>
      <c r="DK173" s="205"/>
      <c r="DL173" s="205"/>
      <c r="DM173" s="205"/>
      <c r="DN173" s="205"/>
      <c r="DO173" s="205"/>
      <c r="DP173" s="205"/>
      <c r="DQ173" s="205"/>
      <c r="DR173" s="205"/>
      <c r="DS173" s="205"/>
      <c r="DT173" s="205"/>
      <c r="DU173" s="205"/>
      <c r="DV173" s="205"/>
      <c r="DW173" s="205"/>
      <c r="DX173" s="205"/>
      <c r="DY173" s="205"/>
      <c r="DZ173" s="205"/>
      <c r="EA173" s="205"/>
      <c r="EB173" s="205"/>
      <c r="EC173" s="205"/>
      <c r="ED173" s="205"/>
      <c r="EE173" s="205"/>
      <c r="EF173" s="205"/>
      <c r="EG173" s="205"/>
      <c r="EH173" s="205"/>
      <c r="EI173" s="205"/>
      <c r="EJ173" s="205"/>
      <c r="EK173" s="205"/>
      <c r="EL173" s="205"/>
      <c r="EM173" s="205"/>
      <c r="EN173" s="205"/>
      <c r="EO173" s="205"/>
      <c r="EP173" s="205"/>
      <c r="EQ173" s="205"/>
      <c r="ER173" s="205"/>
      <c r="ES173" s="205"/>
      <c r="ET173" s="205"/>
      <c r="EU173" s="205"/>
      <c r="EV173" s="205"/>
      <c r="EW173" s="205"/>
      <c r="EX173" s="205"/>
      <c r="EY173" s="205"/>
      <c r="EZ173" s="205"/>
      <c r="FA173" s="205"/>
      <c r="FB173" s="205"/>
      <c r="FC173" s="205"/>
      <c r="FD173" s="205"/>
      <c r="FE173" s="205"/>
      <c r="FF173" s="205"/>
      <c r="FG173" s="205"/>
      <c r="FH173" s="205"/>
      <c r="FI173" s="205"/>
      <c r="FJ173" s="205"/>
      <c r="FK173" s="205"/>
      <c r="FL173" s="205"/>
      <c r="FM173" s="205"/>
      <c r="FN173" s="205"/>
      <c r="FO173" s="205"/>
      <c r="FP173" s="205"/>
      <c r="FQ173" s="205"/>
      <c r="FR173" s="205"/>
      <c r="FS173" s="205"/>
      <c r="FT173" s="205"/>
      <c r="FU173" s="205"/>
      <c r="FV173" s="205"/>
      <c r="FW173" s="205"/>
      <c r="FX173" s="205"/>
      <c r="FY173" s="205"/>
      <c r="FZ173" s="205"/>
      <c r="GA173" s="205"/>
      <c r="GB173" s="205"/>
      <c r="GC173" s="205"/>
      <c r="GD173" s="205"/>
      <c r="GE173" s="205"/>
      <c r="GF173" s="205"/>
      <c r="GG173" s="205"/>
      <c r="GH173" s="205"/>
      <c r="GI173" s="205"/>
      <c r="GJ173" s="205"/>
      <c r="GK173" s="205"/>
      <c r="GL173" s="205"/>
      <c r="GM173" s="205"/>
      <c r="GN173" s="205"/>
      <c r="GO173" s="205"/>
      <c r="GP173" s="205"/>
      <c r="GQ173" s="205"/>
      <c r="GR173" s="205"/>
      <c r="GS173" s="205"/>
      <c r="GT173" s="205"/>
      <c r="GU173" s="205"/>
      <c r="GV173" s="205"/>
      <c r="GW173" s="205"/>
      <c r="GX173" s="205"/>
      <c r="GY173" s="205"/>
      <c r="GZ173" s="205"/>
      <c r="HA173" s="205"/>
      <c r="HB173" s="205"/>
      <c r="HC173" s="205"/>
      <c r="HD173" s="205"/>
      <c r="HE173" s="205"/>
      <c r="HF173" s="205"/>
      <c r="HG173" s="205"/>
      <c r="HH173" s="205"/>
      <c r="HI173" s="205"/>
      <c r="HJ173" s="205"/>
      <c r="HK173" s="205"/>
      <c r="HL173" s="205"/>
      <c r="HM173" s="205"/>
      <c r="HN173" s="205"/>
      <c r="HO173" s="205"/>
      <c r="HP173" s="205"/>
      <c r="HQ173" s="205"/>
      <c r="HR173" s="205"/>
      <c r="HS173" s="205"/>
      <c r="HT173" s="205"/>
      <c r="HU173" s="205"/>
      <c r="HV173" s="205"/>
      <c r="HW173" s="205"/>
      <c r="HX173" s="205"/>
      <c r="HY173" s="205"/>
      <c r="HZ173" s="205"/>
      <c r="IA173" s="205"/>
      <c r="IB173" s="205"/>
      <c r="IC173" s="205"/>
      <c r="ID173" s="205"/>
      <c r="IE173" s="205"/>
      <c r="IF173" s="205"/>
      <c r="IG173" s="205"/>
      <c r="IH173" s="205"/>
      <c r="II173" s="205"/>
      <c r="IJ173" s="205"/>
      <c r="IK173" s="205"/>
      <c r="IL173" s="205"/>
      <c r="IM173" s="205"/>
      <c r="IN173" s="205"/>
      <c r="IO173" s="205"/>
      <c r="IP173" s="205"/>
      <c r="IQ173" s="205"/>
      <c r="IR173" s="205"/>
      <c r="IS173" s="205"/>
      <c r="IT173" s="205"/>
      <c r="IU173" s="205"/>
      <c r="IV173" s="205"/>
      <c r="IW173" s="205"/>
      <c r="IX173" s="205"/>
    </row>
    <row r="174" spans="1:258" s="203" customFormat="1" x14ac:dyDescent="0.2">
      <c r="A174" s="669"/>
      <c r="B174" s="670"/>
      <c r="C174" s="1358"/>
      <c r="D174" s="672"/>
      <c r="E174" s="1359"/>
      <c r="F174" s="1359" t="str">
        <f>F43</f>
        <v>Pondasi batu</v>
      </c>
      <c r="G174" s="1360"/>
      <c r="H174" s="1361"/>
      <c r="I174" s="1362"/>
      <c r="J174" s="1362"/>
      <c r="K174" s="1362"/>
      <c r="L174" s="1362"/>
      <c r="M174" s="1362"/>
      <c r="N174" s="1362"/>
      <c r="O174" s="1362"/>
      <c r="P174" s="1362"/>
      <c r="Q174" s="1362"/>
      <c r="R174" s="1363"/>
      <c r="S174" s="1364"/>
      <c r="T174" s="722"/>
      <c r="U174" s="205"/>
      <c r="V174" s="685"/>
      <c r="W174" s="205"/>
      <c r="X174" s="205"/>
      <c r="Y174" s="205"/>
      <c r="Z174" s="205"/>
      <c r="AA174" s="205"/>
      <c r="AB174" s="205"/>
      <c r="AC174" s="205"/>
      <c r="AD174" s="205"/>
      <c r="AE174" s="205"/>
      <c r="AF174" s="205"/>
      <c r="AG174" s="205"/>
      <c r="AH174" s="205"/>
      <c r="AI174" s="205"/>
      <c r="AJ174" s="205"/>
      <c r="AK174" s="205"/>
      <c r="AL174" s="205"/>
      <c r="AM174" s="205"/>
      <c r="AN174" s="205"/>
      <c r="AO174" s="205"/>
      <c r="AP174" s="205"/>
      <c r="AQ174" s="205"/>
      <c r="AR174" s="205"/>
      <c r="AS174" s="205"/>
      <c r="AT174" s="205"/>
      <c r="AU174" s="205"/>
      <c r="AV174" s="205"/>
      <c r="AW174" s="205"/>
      <c r="AX174" s="205"/>
      <c r="AY174" s="205"/>
      <c r="AZ174" s="205"/>
      <c r="BA174" s="205"/>
      <c r="BB174" s="205"/>
      <c r="BC174" s="205"/>
      <c r="BD174" s="205"/>
      <c r="BE174" s="205"/>
      <c r="BF174" s="205"/>
      <c r="BG174" s="205"/>
      <c r="BH174" s="205"/>
      <c r="BI174" s="205"/>
      <c r="BJ174" s="205"/>
      <c r="BK174" s="205"/>
      <c r="BL174" s="205"/>
      <c r="BM174" s="205"/>
      <c r="BN174" s="205"/>
      <c r="BO174" s="205"/>
      <c r="BP174" s="205"/>
      <c r="BQ174" s="205"/>
      <c r="BR174" s="205"/>
      <c r="BS174" s="205"/>
      <c r="BT174" s="205"/>
      <c r="BU174" s="205"/>
      <c r="BV174" s="205"/>
      <c r="BW174" s="205"/>
      <c r="BX174" s="205"/>
      <c r="BY174" s="205"/>
      <c r="BZ174" s="205"/>
      <c r="CA174" s="205"/>
      <c r="CB174" s="205"/>
      <c r="CC174" s="205"/>
      <c r="CD174" s="205"/>
      <c r="CE174" s="205"/>
      <c r="CF174" s="205"/>
      <c r="CG174" s="205"/>
      <c r="CH174" s="205"/>
      <c r="CI174" s="205"/>
      <c r="CJ174" s="205"/>
      <c r="CK174" s="205"/>
      <c r="CL174" s="205"/>
      <c r="CM174" s="205"/>
      <c r="CN174" s="205"/>
      <c r="CO174" s="205"/>
      <c r="CP174" s="205"/>
      <c r="CQ174" s="205"/>
      <c r="CR174" s="205"/>
      <c r="CS174" s="205"/>
      <c r="CT174" s="205"/>
      <c r="CU174" s="205"/>
      <c r="CV174" s="205"/>
      <c r="CW174" s="205"/>
      <c r="CX174" s="205"/>
      <c r="CY174" s="205"/>
      <c r="CZ174" s="205"/>
      <c r="DA174" s="205"/>
      <c r="DB174" s="205"/>
      <c r="DC174" s="205"/>
      <c r="DD174" s="205"/>
      <c r="DE174" s="205"/>
      <c r="DF174" s="205"/>
      <c r="DG174" s="205"/>
      <c r="DH174" s="205"/>
      <c r="DI174" s="205"/>
      <c r="DJ174" s="205"/>
      <c r="DK174" s="205"/>
      <c r="DL174" s="205"/>
      <c r="DM174" s="205"/>
      <c r="DN174" s="205"/>
      <c r="DO174" s="205"/>
      <c r="DP174" s="205"/>
      <c r="DQ174" s="205"/>
      <c r="DR174" s="205"/>
      <c r="DS174" s="205"/>
      <c r="DT174" s="205"/>
      <c r="DU174" s="205"/>
      <c r="DV174" s="205"/>
      <c r="DW174" s="205"/>
      <c r="DX174" s="205"/>
      <c r="DY174" s="205"/>
      <c r="DZ174" s="205"/>
      <c r="EA174" s="205"/>
      <c r="EB174" s="205"/>
      <c r="EC174" s="205"/>
      <c r="ED174" s="205"/>
      <c r="EE174" s="205"/>
      <c r="EF174" s="205"/>
      <c r="EG174" s="205"/>
      <c r="EH174" s="205"/>
      <c r="EI174" s="205"/>
      <c r="EJ174" s="205"/>
      <c r="EK174" s="205"/>
      <c r="EL174" s="205"/>
      <c r="EM174" s="205"/>
      <c r="EN174" s="205"/>
      <c r="EO174" s="205"/>
      <c r="EP174" s="205"/>
      <c r="EQ174" s="205"/>
      <c r="ER174" s="205"/>
      <c r="ES174" s="205"/>
      <c r="ET174" s="205"/>
      <c r="EU174" s="205"/>
      <c r="EV174" s="205"/>
      <c r="EW174" s="205"/>
      <c r="EX174" s="205"/>
      <c r="EY174" s="205"/>
      <c r="EZ174" s="205"/>
      <c r="FA174" s="205"/>
      <c r="FB174" s="205"/>
      <c r="FC174" s="205"/>
      <c r="FD174" s="205"/>
      <c r="FE174" s="205"/>
      <c r="FF174" s="205"/>
      <c r="FG174" s="205"/>
      <c r="FH174" s="205"/>
      <c r="FI174" s="205"/>
      <c r="FJ174" s="205"/>
      <c r="FK174" s="205"/>
      <c r="FL174" s="205"/>
      <c r="FM174" s="205"/>
      <c r="FN174" s="205"/>
      <c r="FO174" s="205"/>
      <c r="FP174" s="205"/>
      <c r="FQ174" s="205"/>
      <c r="FR174" s="205"/>
      <c r="FS174" s="205"/>
      <c r="FT174" s="205"/>
      <c r="FU174" s="205"/>
      <c r="FV174" s="205"/>
      <c r="FW174" s="205"/>
      <c r="FX174" s="205"/>
      <c r="FY174" s="205"/>
      <c r="FZ174" s="205"/>
      <c r="GA174" s="205"/>
      <c r="GB174" s="205"/>
      <c r="GC174" s="205"/>
      <c r="GD174" s="205"/>
      <c r="GE174" s="205"/>
      <c r="GF174" s="205"/>
      <c r="GG174" s="205"/>
      <c r="GH174" s="205"/>
      <c r="GI174" s="205"/>
      <c r="GJ174" s="205"/>
      <c r="GK174" s="205"/>
      <c r="GL174" s="205"/>
      <c r="GM174" s="205"/>
      <c r="GN174" s="205"/>
      <c r="GO174" s="205"/>
      <c r="GP174" s="205"/>
      <c r="GQ174" s="205"/>
      <c r="GR174" s="205"/>
      <c r="GS174" s="205"/>
      <c r="GT174" s="205"/>
      <c r="GU174" s="205"/>
      <c r="GV174" s="205"/>
      <c r="GW174" s="205"/>
      <c r="GX174" s="205"/>
      <c r="GY174" s="205"/>
      <c r="GZ174" s="205"/>
      <c r="HA174" s="205"/>
      <c r="HB174" s="205"/>
      <c r="HC174" s="205"/>
      <c r="HD174" s="205"/>
      <c r="HE174" s="205"/>
      <c r="HF174" s="205"/>
      <c r="HG174" s="205"/>
      <c r="HH174" s="205"/>
      <c r="HI174" s="205"/>
      <c r="HJ174" s="205"/>
      <c r="HK174" s="205"/>
      <c r="HL174" s="205"/>
      <c r="HM174" s="205"/>
      <c r="HN174" s="205"/>
      <c r="HO174" s="205"/>
      <c r="HP174" s="205"/>
      <c r="HQ174" s="205"/>
      <c r="HR174" s="205"/>
      <c r="HS174" s="205"/>
      <c r="HT174" s="205"/>
      <c r="HU174" s="205"/>
      <c r="HV174" s="205"/>
      <c r="HW174" s="205"/>
      <c r="HX174" s="205"/>
      <c r="HY174" s="205"/>
      <c r="HZ174" s="205"/>
      <c r="IA174" s="205"/>
      <c r="IB174" s="205"/>
      <c r="IC174" s="205"/>
      <c r="ID174" s="205"/>
      <c r="IE174" s="205"/>
      <c r="IF174" s="205"/>
      <c r="IG174" s="205"/>
      <c r="IH174" s="205"/>
      <c r="II174" s="205"/>
      <c r="IJ174" s="205"/>
      <c r="IK174" s="205"/>
      <c r="IL174" s="205"/>
      <c r="IM174" s="205"/>
      <c r="IN174" s="205"/>
      <c r="IO174" s="205"/>
      <c r="IP174" s="205"/>
      <c r="IQ174" s="205"/>
      <c r="IR174" s="205"/>
      <c r="IS174" s="205"/>
      <c r="IT174" s="205"/>
      <c r="IU174" s="205"/>
      <c r="IV174" s="205"/>
      <c r="IW174" s="205"/>
      <c r="IX174" s="205"/>
    </row>
    <row r="175" spans="1:258" s="203" customFormat="1" x14ac:dyDescent="0.2">
      <c r="A175" s="669"/>
      <c r="B175" s="670"/>
      <c r="C175" s="1358"/>
      <c r="D175" s="672"/>
      <c r="E175" s="1359"/>
      <c r="F175" s="1359"/>
      <c r="G175" s="1360" t="str">
        <f>G60</f>
        <v>Pondasi 1</v>
      </c>
      <c r="H175" s="1361">
        <f>H66</f>
        <v>124</v>
      </c>
      <c r="I175" s="1362" t="s">
        <v>424</v>
      </c>
      <c r="J175" s="1362">
        <v>0.15</v>
      </c>
      <c r="K175" s="1362" t="s">
        <v>424</v>
      </c>
      <c r="L175" s="1362">
        <v>0.2</v>
      </c>
      <c r="M175" s="1362"/>
      <c r="N175" s="1362"/>
      <c r="O175" s="1362"/>
      <c r="P175" s="1362"/>
      <c r="Q175" s="1362" t="s">
        <v>696</v>
      </c>
      <c r="R175" s="1363">
        <f t="shared" ref="R175" si="83">H175*J175*L175</f>
        <v>3.7199999999999998</v>
      </c>
      <c r="S175" s="1364"/>
      <c r="T175" s="722"/>
      <c r="U175" s="205"/>
      <c r="V175" s="68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5"/>
      <c r="BN175" s="205"/>
      <c r="BO175" s="205"/>
      <c r="BP175" s="205"/>
      <c r="BQ175" s="205"/>
      <c r="BR175" s="205"/>
      <c r="BS175" s="205"/>
      <c r="BT175" s="205"/>
      <c r="BU175" s="205"/>
      <c r="BV175" s="205"/>
      <c r="BW175" s="205"/>
      <c r="BX175" s="205"/>
      <c r="BY175" s="205"/>
      <c r="BZ175" s="205"/>
      <c r="CA175" s="205"/>
      <c r="CB175" s="205"/>
      <c r="CC175" s="205"/>
      <c r="CD175" s="205"/>
      <c r="CE175" s="205"/>
      <c r="CF175" s="205"/>
      <c r="CG175" s="205"/>
      <c r="CH175" s="205"/>
      <c r="CI175" s="205"/>
      <c r="CJ175" s="205"/>
      <c r="CK175" s="205"/>
      <c r="CL175" s="205"/>
      <c r="CM175" s="205"/>
      <c r="CN175" s="205"/>
      <c r="CO175" s="205"/>
      <c r="CP175" s="205"/>
      <c r="CQ175" s="205"/>
      <c r="CR175" s="205"/>
      <c r="CS175" s="205"/>
      <c r="CT175" s="205"/>
      <c r="CU175" s="205"/>
      <c r="CV175" s="205"/>
      <c r="CW175" s="205"/>
      <c r="CX175" s="205"/>
      <c r="CY175" s="205"/>
      <c r="CZ175" s="205"/>
      <c r="DA175" s="205"/>
      <c r="DB175" s="205"/>
      <c r="DC175" s="205"/>
      <c r="DD175" s="205"/>
      <c r="DE175" s="205"/>
      <c r="DF175" s="205"/>
      <c r="DG175" s="205"/>
      <c r="DH175" s="205"/>
      <c r="DI175" s="205"/>
      <c r="DJ175" s="205"/>
      <c r="DK175" s="205"/>
      <c r="DL175" s="205"/>
      <c r="DM175" s="205"/>
      <c r="DN175" s="205"/>
      <c r="DO175" s="205"/>
      <c r="DP175" s="205"/>
      <c r="DQ175" s="205"/>
      <c r="DR175" s="205"/>
      <c r="DS175" s="205"/>
      <c r="DT175" s="205"/>
      <c r="DU175" s="205"/>
      <c r="DV175" s="205"/>
      <c r="DW175" s="205"/>
      <c r="DX175" s="205"/>
      <c r="DY175" s="205"/>
      <c r="DZ175" s="205"/>
      <c r="EA175" s="205"/>
      <c r="EB175" s="205"/>
      <c r="EC175" s="205"/>
      <c r="ED175" s="205"/>
      <c r="EE175" s="205"/>
      <c r="EF175" s="205"/>
      <c r="EG175" s="205"/>
      <c r="EH175" s="205"/>
      <c r="EI175" s="205"/>
      <c r="EJ175" s="205"/>
      <c r="EK175" s="205"/>
      <c r="EL175" s="205"/>
      <c r="EM175" s="205"/>
      <c r="EN175" s="205"/>
      <c r="EO175" s="205"/>
      <c r="EP175" s="205"/>
      <c r="EQ175" s="205"/>
      <c r="ER175" s="205"/>
      <c r="ES175" s="205"/>
      <c r="ET175" s="205"/>
      <c r="EU175" s="205"/>
      <c r="EV175" s="205"/>
      <c r="EW175" s="205"/>
      <c r="EX175" s="205"/>
      <c r="EY175" s="205"/>
      <c r="EZ175" s="205"/>
      <c r="FA175" s="205"/>
      <c r="FB175" s="205"/>
      <c r="FC175" s="205"/>
      <c r="FD175" s="205"/>
      <c r="FE175" s="205"/>
      <c r="FF175" s="205"/>
      <c r="FG175" s="205"/>
      <c r="FH175" s="205"/>
      <c r="FI175" s="205"/>
      <c r="FJ175" s="205"/>
      <c r="FK175" s="205"/>
      <c r="FL175" s="205"/>
      <c r="FM175" s="205"/>
      <c r="FN175" s="205"/>
      <c r="FO175" s="205"/>
      <c r="FP175" s="205"/>
      <c r="FQ175" s="205"/>
      <c r="FR175" s="205"/>
      <c r="FS175" s="205"/>
      <c r="FT175" s="205"/>
      <c r="FU175" s="205"/>
      <c r="FV175" s="205"/>
      <c r="FW175" s="205"/>
      <c r="FX175" s="205"/>
      <c r="FY175" s="205"/>
      <c r="FZ175" s="205"/>
      <c r="GA175" s="205"/>
      <c r="GB175" s="205"/>
      <c r="GC175" s="205"/>
      <c r="GD175" s="205"/>
      <c r="GE175" s="205"/>
      <c r="GF175" s="205"/>
      <c r="GG175" s="205"/>
      <c r="GH175" s="205"/>
      <c r="GI175" s="205"/>
      <c r="GJ175" s="205"/>
      <c r="GK175" s="205"/>
      <c r="GL175" s="205"/>
      <c r="GM175" s="205"/>
      <c r="GN175" s="205"/>
      <c r="GO175" s="205"/>
      <c r="GP175" s="205"/>
      <c r="GQ175" s="205"/>
      <c r="GR175" s="205"/>
      <c r="GS175" s="205"/>
      <c r="GT175" s="205"/>
      <c r="GU175" s="205"/>
      <c r="GV175" s="205"/>
      <c r="GW175" s="205"/>
      <c r="GX175" s="205"/>
      <c r="GY175" s="205"/>
      <c r="GZ175" s="205"/>
      <c r="HA175" s="205"/>
      <c r="HB175" s="205"/>
      <c r="HC175" s="205"/>
      <c r="HD175" s="205"/>
      <c r="HE175" s="205"/>
      <c r="HF175" s="205"/>
      <c r="HG175" s="205"/>
      <c r="HH175" s="205"/>
      <c r="HI175" s="205"/>
      <c r="HJ175" s="205"/>
      <c r="HK175" s="205"/>
      <c r="HL175" s="205"/>
      <c r="HM175" s="205"/>
      <c r="HN175" s="205"/>
      <c r="HO175" s="205"/>
      <c r="HP175" s="205"/>
      <c r="HQ175" s="205"/>
      <c r="HR175" s="205"/>
      <c r="HS175" s="205"/>
      <c r="HT175" s="205"/>
      <c r="HU175" s="205"/>
      <c r="HV175" s="205"/>
      <c r="HW175" s="205"/>
      <c r="HX175" s="205"/>
      <c r="HY175" s="205"/>
      <c r="HZ175" s="205"/>
      <c r="IA175" s="205"/>
      <c r="IB175" s="205"/>
      <c r="IC175" s="205"/>
      <c r="ID175" s="205"/>
      <c r="IE175" s="205"/>
      <c r="IF175" s="205"/>
      <c r="IG175" s="205"/>
      <c r="IH175" s="205"/>
      <c r="II175" s="205"/>
      <c r="IJ175" s="205"/>
      <c r="IK175" s="205"/>
      <c r="IL175" s="205"/>
      <c r="IM175" s="205"/>
      <c r="IN175" s="205"/>
      <c r="IO175" s="205"/>
      <c r="IP175" s="205"/>
      <c r="IQ175" s="205"/>
      <c r="IR175" s="205"/>
      <c r="IS175" s="205"/>
      <c r="IT175" s="205"/>
      <c r="IU175" s="205"/>
      <c r="IV175" s="205"/>
      <c r="IW175" s="205"/>
      <c r="IX175" s="205"/>
    </row>
    <row r="176" spans="1:258" s="203" customFormat="1" x14ac:dyDescent="0.2">
      <c r="A176" s="669"/>
      <c r="B176" s="670"/>
      <c r="C176" s="1358"/>
      <c r="D176" s="672"/>
      <c r="E176" s="1359"/>
      <c r="F176" s="1359"/>
      <c r="G176" s="1360" t="str">
        <f>G61</f>
        <v>Pondasi 2</v>
      </c>
      <c r="H176" s="1361">
        <f>H67</f>
        <v>11.5</v>
      </c>
      <c r="I176" s="1362" t="s">
        <v>424</v>
      </c>
      <c r="J176" s="1362">
        <v>0.15</v>
      </c>
      <c r="K176" s="1362" t="s">
        <v>424</v>
      </c>
      <c r="L176" s="1362">
        <v>0.2</v>
      </c>
      <c r="M176" s="1362"/>
      <c r="N176" s="1362"/>
      <c r="O176" s="1362"/>
      <c r="P176" s="1362"/>
      <c r="Q176" s="1362" t="s">
        <v>696</v>
      </c>
      <c r="R176" s="1363">
        <f t="shared" ref="R176:R178" si="84">H176*J176*L176</f>
        <v>0.34499999999999997</v>
      </c>
      <c r="S176" s="1364"/>
      <c r="T176" s="722"/>
      <c r="U176" s="205"/>
      <c r="V176" s="685"/>
      <c r="W176" s="205"/>
      <c r="X176" s="205"/>
      <c r="Y176" s="205"/>
      <c r="Z176" s="205"/>
      <c r="AA176" s="205"/>
      <c r="AB176" s="205"/>
      <c r="AC176" s="205"/>
      <c r="AD176" s="205"/>
      <c r="AE176" s="205"/>
      <c r="AF176" s="205"/>
      <c r="AG176" s="205"/>
      <c r="AH176" s="205"/>
      <c r="AI176" s="205"/>
      <c r="AJ176" s="205"/>
      <c r="AK176" s="205"/>
      <c r="AL176" s="205"/>
      <c r="AM176" s="205"/>
      <c r="AN176" s="205"/>
      <c r="AO176" s="205"/>
      <c r="AP176" s="205"/>
      <c r="AQ176" s="205"/>
      <c r="AR176" s="205"/>
      <c r="AS176" s="205"/>
      <c r="AT176" s="205"/>
      <c r="AU176" s="205"/>
      <c r="AV176" s="205"/>
      <c r="AW176" s="205"/>
      <c r="AX176" s="205"/>
      <c r="AY176" s="205"/>
      <c r="AZ176" s="205"/>
      <c r="BA176" s="205"/>
      <c r="BB176" s="205"/>
      <c r="BC176" s="205"/>
      <c r="BD176" s="205"/>
      <c r="BE176" s="205"/>
      <c r="BF176" s="205"/>
      <c r="BG176" s="205"/>
      <c r="BH176" s="205"/>
      <c r="BI176" s="205"/>
      <c r="BJ176" s="205"/>
      <c r="BK176" s="205"/>
      <c r="BL176" s="205"/>
      <c r="BM176" s="205"/>
      <c r="BN176" s="205"/>
      <c r="BO176" s="205"/>
      <c r="BP176" s="205"/>
      <c r="BQ176" s="205"/>
      <c r="BR176" s="205"/>
      <c r="BS176" s="205"/>
      <c r="BT176" s="205"/>
      <c r="BU176" s="205"/>
      <c r="BV176" s="205"/>
      <c r="BW176" s="205"/>
      <c r="BX176" s="205"/>
      <c r="BY176" s="205"/>
      <c r="BZ176" s="205"/>
      <c r="CA176" s="205"/>
      <c r="CB176" s="205"/>
      <c r="CC176" s="205"/>
      <c r="CD176" s="205"/>
      <c r="CE176" s="205"/>
      <c r="CF176" s="205"/>
      <c r="CG176" s="205"/>
      <c r="CH176" s="205"/>
      <c r="CI176" s="205"/>
      <c r="CJ176" s="205"/>
      <c r="CK176" s="205"/>
      <c r="CL176" s="205"/>
      <c r="CM176" s="205"/>
      <c r="CN176" s="205"/>
      <c r="CO176" s="205"/>
      <c r="CP176" s="205"/>
      <c r="CQ176" s="205"/>
      <c r="CR176" s="205"/>
      <c r="CS176" s="205"/>
      <c r="CT176" s="205"/>
      <c r="CU176" s="205"/>
      <c r="CV176" s="205"/>
      <c r="CW176" s="205"/>
      <c r="CX176" s="205"/>
      <c r="CY176" s="205"/>
      <c r="CZ176" s="205"/>
      <c r="DA176" s="205"/>
      <c r="DB176" s="205"/>
      <c r="DC176" s="205"/>
      <c r="DD176" s="205"/>
      <c r="DE176" s="205"/>
      <c r="DF176" s="205"/>
      <c r="DG176" s="205"/>
      <c r="DH176" s="205"/>
      <c r="DI176" s="205"/>
      <c r="DJ176" s="205"/>
      <c r="DK176" s="205"/>
      <c r="DL176" s="205"/>
      <c r="DM176" s="205"/>
      <c r="DN176" s="205"/>
      <c r="DO176" s="205"/>
      <c r="DP176" s="205"/>
      <c r="DQ176" s="205"/>
      <c r="DR176" s="205"/>
      <c r="DS176" s="205"/>
      <c r="DT176" s="205"/>
      <c r="DU176" s="205"/>
      <c r="DV176" s="205"/>
      <c r="DW176" s="205"/>
      <c r="DX176" s="205"/>
      <c r="DY176" s="205"/>
      <c r="DZ176" s="205"/>
      <c r="EA176" s="205"/>
      <c r="EB176" s="205"/>
      <c r="EC176" s="205"/>
      <c r="ED176" s="205"/>
      <c r="EE176" s="205"/>
      <c r="EF176" s="205"/>
      <c r="EG176" s="205"/>
      <c r="EH176" s="205"/>
      <c r="EI176" s="205"/>
      <c r="EJ176" s="205"/>
      <c r="EK176" s="205"/>
      <c r="EL176" s="205"/>
      <c r="EM176" s="205"/>
      <c r="EN176" s="205"/>
      <c r="EO176" s="205"/>
      <c r="EP176" s="205"/>
      <c r="EQ176" s="205"/>
      <c r="ER176" s="205"/>
      <c r="ES176" s="205"/>
      <c r="ET176" s="205"/>
      <c r="EU176" s="205"/>
      <c r="EV176" s="205"/>
      <c r="EW176" s="205"/>
      <c r="EX176" s="205"/>
      <c r="EY176" s="205"/>
      <c r="EZ176" s="205"/>
      <c r="FA176" s="205"/>
      <c r="FB176" s="205"/>
      <c r="FC176" s="205"/>
      <c r="FD176" s="205"/>
      <c r="FE176" s="205"/>
      <c r="FF176" s="205"/>
      <c r="FG176" s="205"/>
      <c r="FH176" s="205"/>
      <c r="FI176" s="205"/>
      <c r="FJ176" s="205"/>
      <c r="FK176" s="205"/>
      <c r="FL176" s="205"/>
      <c r="FM176" s="205"/>
      <c r="FN176" s="205"/>
      <c r="FO176" s="205"/>
      <c r="FP176" s="205"/>
      <c r="FQ176" s="205"/>
      <c r="FR176" s="205"/>
      <c r="FS176" s="205"/>
      <c r="FT176" s="205"/>
      <c r="FU176" s="205"/>
      <c r="FV176" s="205"/>
      <c r="FW176" s="205"/>
      <c r="FX176" s="205"/>
      <c r="FY176" s="205"/>
      <c r="FZ176" s="205"/>
      <c r="GA176" s="205"/>
      <c r="GB176" s="205"/>
      <c r="GC176" s="205"/>
      <c r="GD176" s="205"/>
      <c r="GE176" s="205"/>
      <c r="GF176" s="205"/>
      <c r="GG176" s="205"/>
      <c r="GH176" s="205"/>
      <c r="GI176" s="205"/>
      <c r="GJ176" s="205"/>
      <c r="GK176" s="205"/>
      <c r="GL176" s="205"/>
      <c r="GM176" s="205"/>
      <c r="GN176" s="205"/>
      <c r="GO176" s="205"/>
      <c r="GP176" s="205"/>
      <c r="GQ176" s="205"/>
      <c r="GR176" s="205"/>
      <c r="GS176" s="205"/>
      <c r="GT176" s="205"/>
      <c r="GU176" s="205"/>
      <c r="GV176" s="205"/>
      <c r="GW176" s="205"/>
      <c r="GX176" s="205"/>
      <c r="GY176" s="205"/>
      <c r="GZ176" s="205"/>
      <c r="HA176" s="205"/>
      <c r="HB176" s="205"/>
      <c r="HC176" s="205"/>
      <c r="HD176" s="205"/>
      <c r="HE176" s="205"/>
      <c r="HF176" s="205"/>
      <c r="HG176" s="205"/>
      <c r="HH176" s="205"/>
      <c r="HI176" s="205"/>
      <c r="HJ176" s="205"/>
      <c r="HK176" s="205"/>
      <c r="HL176" s="205"/>
      <c r="HM176" s="205"/>
      <c r="HN176" s="205"/>
      <c r="HO176" s="205"/>
      <c r="HP176" s="205"/>
      <c r="HQ176" s="205"/>
      <c r="HR176" s="205"/>
      <c r="HS176" s="205"/>
      <c r="HT176" s="205"/>
      <c r="HU176" s="205"/>
      <c r="HV176" s="205"/>
      <c r="HW176" s="205"/>
      <c r="HX176" s="205"/>
      <c r="HY176" s="205"/>
      <c r="HZ176" s="205"/>
      <c r="IA176" s="205"/>
      <c r="IB176" s="205"/>
      <c r="IC176" s="205"/>
      <c r="ID176" s="205"/>
      <c r="IE176" s="205"/>
      <c r="IF176" s="205"/>
      <c r="IG176" s="205"/>
      <c r="IH176" s="205"/>
      <c r="II176" s="205"/>
      <c r="IJ176" s="205"/>
      <c r="IK176" s="205"/>
      <c r="IL176" s="205"/>
      <c r="IM176" s="205"/>
      <c r="IN176" s="205"/>
      <c r="IO176" s="205"/>
      <c r="IP176" s="205"/>
      <c r="IQ176" s="205"/>
      <c r="IR176" s="205"/>
      <c r="IS176" s="205"/>
      <c r="IT176" s="205"/>
      <c r="IU176" s="205"/>
      <c r="IV176" s="205"/>
      <c r="IW176" s="205"/>
      <c r="IX176" s="205"/>
    </row>
    <row r="177" spans="1:258" s="203" customFormat="1" x14ac:dyDescent="0.2">
      <c r="A177" s="669"/>
      <c r="B177" s="670"/>
      <c r="C177" s="1358"/>
      <c r="D177" s="672"/>
      <c r="E177" s="1359"/>
      <c r="F177" s="1359"/>
      <c r="G177" s="1360" t="str">
        <f>G62</f>
        <v>Pondasi 3</v>
      </c>
      <c r="H177" s="1361">
        <f>H68</f>
        <v>34</v>
      </c>
      <c r="I177" s="1362" t="s">
        <v>424</v>
      </c>
      <c r="J177" s="1362">
        <v>0.15</v>
      </c>
      <c r="K177" s="1362" t="s">
        <v>424</v>
      </c>
      <c r="L177" s="1362">
        <v>0.2</v>
      </c>
      <c r="M177" s="1362"/>
      <c r="N177" s="1362"/>
      <c r="O177" s="1362"/>
      <c r="P177" s="1362"/>
      <c r="Q177" s="1362" t="s">
        <v>696</v>
      </c>
      <c r="R177" s="1363">
        <f t="shared" si="84"/>
        <v>1.02</v>
      </c>
      <c r="S177" s="1364"/>
      <c r="T177" s="722"/>
      <c r="U177" s="205"/>
      <c r="V177" s="685"/>
      <c r="W177" s="205"/>
      <c r="X177" s="205"/>
      <c r="Y177" s="205"/>
      <c r="Z177" s="205"/>
      <c r="AA177" s="205"/>
      <c r="AB177" s="205"/>
      <c r="AC177" s="205"/>
      <c r="AD177" s="205"/>
      <c r="AE177" s="205"/>
      <c r="AF177" s="205"/>
      <c r="AG177" s="205"/>
      <c r="AH177" s="205"/>
      <c r="AI177" s="205"/>
      <c r="AJ177" s="205"/>
      <c r="AK177" s="205"/>
      <c r="AL177" s="205"/>
      <c r="AM177" s="205"/>
      <c r="AN177" s="205"/>
      <c r="AO177" s="205"/>
      <c r="AP177" s="205"/>
      <c r="AQ177" s="205"/>
      <c r="AR177" s="205"/>
      <c r="AS177" s="205"/>
      <c r="AT177" s="205"/>
      <c r="AU177" s="205"/>
      <c r="AV177" s="205"/>
      <c r="AW177" s="205"/>
      <c r="AX177" s="205"/>
      <c r="AY177" s="205"/>
      <c r="AZ177" s="205"/>
      <c r="BA177" s="205"/>
      <c r="BB177" s="205"/>
      <c r="BC177" s="205"/>
      <c r="BD177" s="205"/>
      <c r="BE177" s="205"/>
      <c r="BF177" s="205"/>
      <c r="BG177" s="205"/>
      <c r="BH177" s="205"/>
      <c r="BI177" s="205"/>
      <c r="BJ177" s="205"/>
      <c r="BK177" s="205"/>
      <c r="BL177" s="205"/>
      <c r="BM177" s="205"/>
      <c r="BN177" s="205"/>
      <c r="BO177" s="205"/>
      <c r="BP177" s="205"/>
      <c r="BQ177" s="205"/>
      <c r="BR177" s="205"/>
      <c r="BS177" s="205"/>
      <c r="BT177" s="205"/>
      <c r="BU177" s="205"/>
      <c r="BV177" s="205"/>
      <c r="BW177" s="205"/>
      <c r="BX177" s="205"/>
      <c r="BY177" s="205"/>
      <c r="BZ177" s="205"/>
      <c r="CA177" s="205"/>
      <c r="CB177" s="205"/>
      <c r="CC177" s="205"/>
      <c r="CD177" s="205"/>
      <c r="CE177" s="205"/>
      <c r="CF177" s="205"/>
      <c r="CG177" s="205"/>
      <c r="CH177" s="205"/>
      <c r="CI177" s="205"/>
      <c r="CJ177" s="205"/>
      <c r="CK177" s="205"/>
      <c r="CL177" s="205"/>
      <c r="CM177" s="205"/>
      <c r="CN177" s="205"/>
      <c r="CO177" s="205"/>
      <c r="CP177" s="205"/>
      <c r="CQ177" s="205"/>
      <c r="CR177" s="205"/>
      <c r="CS177" s="205"/>
      <c r="CT177" s="205"/>
      <c r="CU177" s="205"/>
      <c r="CV177" s="205"/>
      <c r="CW177" s="205"/>
      <c r="CX177" s="205"/>
      <c r="CY177" s="205"/>
      <c r="CZ177" s="205"/>
      <c r="DA177" s="205"/>
      <c r="DB177" s="205"/>
      <c r="DC177" s="205"/>
      <c r="DD177" s="205"/>
      <c r="DE177" s="205"/>
      <c r="DF177" s="205"/>
      <c r="DG177" s="205"/>
      <c r="DH177" s="205"/>
      <c r="DI177" s="205"/>
      <c r="DJ177" s="205"/>
      <c r="DK177" s="205"/>
      <c r="DL177" s="205"/>
      <c r="DM177" s="205"/>
      <c r="DN177" s="205"/>
      <c r="DO177" s="205"/>
      <c r="DP177" s="205"/>
      <c r="DQ177" s="205"/>
      <c r="DR177" s="205"/>
      <c r="DS177" s="205"/>
      <c r="DT177" s="205"/>
      <c r="DU177" s="205"/>
      <c r="DV177" s="205"/>
      <c r="DW177" s="205"/>
      <c r="DX177" s="205"/>
      <c r="DY177" s="205"/>
      <c r="DZ177" s="205"/>
      <c r="EA177" s="205"/>
      <c r="EB177" s="205"/>
      <c r="EC177" s="205"/>
      <c r="ED177" s="205"/>
      <c r="EE177" s="205"/>
      <c r="EF177" s="205"/>
      <c r="EG177" s="205"/>
      <c r="EH177" s="205"/>
      <c r="EI177" s="205"/>
      <c r="EJ177" s="205"/>
      <c r="EK177" s="205"/>
      <c r="EL177" s="205"/>
      <c r="EM177" s="205"/>
      <c r="EN177" s="205"/>
      <c r="EO177" s="205"/>
      <c r="EP177" s="205"/>
      <c r="EQ177" s="205"/>
      <c r="ER177" s="205"/>
      <c r="ES177" s="205"/>
      <c r="ET177" s="205"/>
      <c r="EU177" s="205"/>
      <c r="EV177" s="205"/>
      <c r="EW177" s="205"/>
      <c r="EX177" s="205"/>
      <c r="EY177" s="205"/>
      <c r="EZ177" s="205"/>
      <c r="FA177" s="205"/>
      <c r="FB177" s="205"/>
      <c r="FC177" s="205"/>
      <c r="FD177" s="205"/>
      <c r="FE177" s="205"/>
      <c r="FF177" s="205"/>
      <c r="FG177" s="205"/>
      <c r="FH177" s="205"/>
      <c r="FI177" s="205"/>
      <c r="FJ177" s="205"/>
      <c r="FK177" s="205"/>
      <c r="FL177" s="205"/>
      <c r="FM177" s="205"/>
      <c r="FN177" s="205"/>
      <c r="FO177" s="205"/>
      <c r="FP177" s="205"/>
      <c r="FQ177" s="205"/>
      <c r="FR177" s="205"/>
      <c r="FS177" s="205"/>
      <c r="FT177" s="205"/>
      <c r="FU177" s="205"/>
      <c r="FV177" s="205"/>
      <c r="FW177" s="205"/>
      <c r="FX177" s="205"/>
      <c r="FY177" s="205"/>
      <c r="FZ177" s="205"/>
      <c r="GA177" s="205"/>
      <c r="GB177" s="205"/>
      <c r="GC177" s="205"/>
      <c r="GD177" s="205"/>
      <c r="GE177" s="205"/>
      <c r="GF177" s="205"/>
      <c r="GG177" s="205"/>
      <c r="GH177" s="205"/>
      <c r="GI177" s="205"/>
      <c r="GJ177" s="205"/>
      <c r="GK177" s="205"/>
      <c r="GL177" s="205"/>
      <c r="GM177" s="205"/>
      <c r="GN177" s="205"/>
      <c r="GO177" s="205"/>
      <c r="GP177" s="205"/>
      <c r="GQ177" s="205"/>
      <c r="GR177" s="205"/>
      <c r="GS177" s="205"/>
      <c r="GT177" s="205"/>
      <c r="GU177" s="205"/>
      <c r="GV177" s="205"/>
      <c r="GW177" s="205"/>
      <c r="GX177" s="205"/>
      <c r="GY177" s="205"/>
      <c r="GZ177" s="205"/>
      <c r="HA177" s="205"/>
      <c r="HB177" s="205"/>
      <c r="HC177" s="205"/>
      <c r="HD177" s="205"/>
      <c r="HE177" s="205"/>
      <c r="HF177" s="205"/>
      <c r="HG177" s="205"/>
      <c r="HH177" s="205"/>
      <c r="HI177" s="205"/>
      <c r="HJ177" s="205"/>
      <c r="HK177" s="205"/>
      <c r="HL177" s="205"/>
      <c r="HM177" s="205"/>
      <c r="HN177" s="205"/>
      <c r="HO177" s="205"/>
      <c r="HP177" s="205"/>
      <c r="HQ177" s="205"/>
      <c r="HR177" s="205"/>
      <c r="HS177" s="205"/>
      <c r="HT177" s="205"/>
      <c r="HU177" s="205"/>
      <c r="HV177" s="205"/>
      <c r="HW177" s="205"/>
      <c r="HX177" s="205"/>
      <c r="HY177" s="205"/>
      <c r="HZ177" s="205"/>
      <c r="IA177" s="205"/>
      <c r="IB177" s="205"/>
      <c r="IC177" s="205"/>
      <c r="ID177" s="205"/>
      <c r="IE177" s="205"/>
      <c r="IF177" s="205"/>
      <c r="IG177" s="205"/>
      <c r="IH177" s="205"/>
      <c r="II177" s="205"/>
      <c r="IJ177" s="205"/>
      <c r="IK177" s="205"/>
      <c r="IL177" s="205"/>
      <c r="IM177" s="205"/>
      <c r="IN177" s="205"/>
      <c r="IO177" s="205"/>
      <c r="IP177" s="205"/>
      <c r="IQ177" s="205"/>
      <c r="IR177" s="205"/>
      <c r="IS177" s="205"/>
      <c r="IT177" s="205"/>
      <c r="IU177" s="205"/>
      <c r="IV177" s="205"/>
      <c r="IW177" s="205"/>
      <c r="IX177" s="205"/>
    </row>
    <row r="178" spans="1:258" s="203" customFormat="1" x14ac:dyDescent="0.2">
      <c r="A178" s="669"/>
      <c r="B178" s="670"/>
      <c r="C178" s="1358"/>
      <c r="D178" s="672"/>
      <c r="E178" s="1359"/>
      <c r="F178" s="1359"/>
      <c r="G178" s="1360" t="str">
        <f>G63</f>
        <v>Pondasi 4</v>
      </c>
      <c r="H178" s="1361">
        <f>H69</f>
        <v>22</v>
      </c>
      <c r="I178" s="1362" t="s">
        <v>424</v>
      </c>
      <c r="J178" s="1362">
        <v>0.15</v>
      </c>
      <c r="K178" s="1362" t="s">
        <v>424</v>
      </c>
      <c r="L178" s="1362">
        <v>0.2</v>
      </c>
      <c r="M178" s="1362"/>
      <c r="N178" s="1362"/>
      <c r="O178" s="1362"/>
      <c r="P178" s="1362"/>
      <c r="Q178" s="1362" t="s">
        <v>696</v>
      </c>
      <c r="R178" s="1363">
        <f t="shared" si="84"/>
        <v>0.66</v>
      </c>
      <c r="S178" s="1364"/>
      <c r="T178" s="722"/>
      <c r="U178" s="205"/>
      <c r="V178" s="685"/>
      <c r="W178" s="205"/>
      <c r="X178" s="205"/>
      <c r="Y178" s="205"/>
      <c r="Z178" s="205"/>
      <c r="AA178" s="205"/>
      <c r="AB178" s="205"/>
      <c r="AC178" s="205"/>
      <c r="AD178" s="205"/>
      <c r="AE178" s="205"/>
      <c r="AF178" s="205"/>
      <c r="AG178" s="205"/>
      <c r="AH178" s="205"/>
      <c r="AI178" s="205"/>
      <c r="AJ178" s="205"/>
      <c r="AK178" s="205"/>
      <c r="AL178" s="205"/>
      <c r="AM178" s="205"/>
      <c r="AN178" s="205"/>
      <c r="AO178" s="205"/>
      <c r="AP178" s="205"/>
      <c r="AQ178" s="205"/>
      <c r="AR178" s="205"/>
      <c r="AS178" s="205"/>
      <c r="AT178" s="205"/>
      <c r="AU178" s="205"/>
      <c r="AV178" s="205"/>
      <c r="AW178" s="205"/>
      <c r="AX178" s="205"/>
      <c r="AY178" s="205"/>
      <c r="AZ178" s="205"/>
      <c r="BA178" s="205"/>
      <c r="BB178" s="205"/>
      <c r="BC178" s="205"/>
      <c r="BD178" s="205"/>
      <c r="BE178" s="205"/>
      <c r="BF178" s="205"/>
      <c r="BG178" s="205"/>
      <c r="BH178" s="205"/>
      <c r="BI178" s="205"/>
      <c r="BJ178" s="205"/>
      <c r="BK178" s="205"/>
      <c r="BL178" s="205"/>
      <c r="BM178" s="205"/>
      <c r="BN178" s="205"/>
      <c r="BO178" s="205"/>
      <c r="BP178" s="205"/>
      <c r="BQ178" s="205"/>
      <c r="BR178" s="205"/>
      <c r="BS178" s="205"/>
      <c r="BT178" s="205"/>
      <c r="BU178" s="205"/>
      <c r="BV178" s="205"/>
      <c r="BW178" s="205"/>
      <c r="BX178" s="205"/>
      <c r="BY178" s="205"/>
      <c r="BZ178" s="205"/>
      <c r="CA178" s="205"/>
      <c r="CB178" s="205"/>
      <c r="CC178" s="205"/>
      <c r="CD178" s="205"/>
      <c r="CE178" s="205"/>
      <c r="CF178" s="205"/>
      <c r="CG178" s="205"/>
      <c r="CH178" s="205"/>
      <c r="CI178" s="205"/>
      <c r="CJ178" s="205"/>
      <c r="CK178" s="205"/>
      <c r="CL178" s="205"/>
      <c r="CM178" s="205"/>
      <c r="CN178" s="205"/>
      <c r="CO178" s="205"/>
      <c r="CP178" s="205"/>
      <c r="CQ178" s="205"/>
      <c r="CR178" s="205"/>
      <c r="CS178" s="205"/>
      <c r="CT178" s="205"/>
      <c r="CU178" s="205"/>
      <c r="CV178" s="205"/>
      <c r="CW178" s="205"/>
      <c r="CX178" s="205"/>
      <c r="CY178" s="205"/>
      <c r="CZ178" s="205"/>
      <c r="DA178" s="205"/>
      <c r="DB178" s="205"/>
      <c r="DC178" s="205"/>
      <c r="DD178" s="205"/>
      <c r="DE178" s="205"/>
      <c r="DF178" s="205"/>
      <c r="DG178" s="205"/>
      <c r="DH178" s="205"/>
      <c r="DI178" s="205"/>
      <c r="DJ178" s="205"/>
      <c r="DK178" s="205"/>
      <c r="DL178" s="205"/>
      <c r="DM178" s="205"/>
      <c r="DN178" s="205"/>
      <c r="DO178" s="205"/>
      <c r="DP178" s="205"/>
      <c r="DQ178" s="205"/>
      <c r="DR178" s="205"/>
      <c r="DS178" s="205"/>
      <c r="DT178" s="205"/>
      <c r="DU178" s="205"/>
      <c r="DV178" s="205"/>
      <c r="DW178" s="205"/>
      <c r="DX178" s="205"/>
      <c r="DY178" s="205"/>
      <c r="DZ178" s="205"/>
      <c r="EA178" s="205"/>
      <c r="EB178" s="205"/>
      <c r="EC178" s="205"/>
      <c r="ED178" s="205"/>
      <c r="EE178" s="205"/>
      <c r="EF178" s="205"/>
      <c r="EG178" s="205"/>
      <c r="EH178" s="205"/>
      <c r="EI178" s="205"/>
      <c r="EJ178" s="205"/>
      <c r="EK178" s="205"/>
      <c r="EL178" s="205"/>
      <c r="EM178" s="205"/>
      <c r="EN178" s="205"/>
      <c r="EO178" s="205"/>
      <c r="EP178" s="205"/>
      <c r="EQ178" s="205"/>
      <c r="ER178" s="205"/>
      <c r="ES178" s="205"/>
      <c r="ET178" s="205"/>
      <c r="EU178" s="205"/>
      <c r="EV178" s="205"/>
      <c r="EW178" s="205"/>
      <c r="EX178" s="205"/>
      <c r="EY178" s="205"/>
      <c r="EZ178" s="205"/>
      <c r="FA178" s="205"/>
      <c r="FB178" s="205"/>
      <c r="FC178" s="205"/>
      <c r="FD178" s="205"/>
      <c r="FE178" s="205"/>
      <c r="FF178" s="205"/>
      <c r="FG178" s="205"/>
      <c r="FH178" s="205"/>
      <c r="FI178" s="205"/>
      <c r="FJ178" s="205"/>
      <c r="FK178" s="205"/>
      <c r="FL178" s="205"/>
      <c r="FM178" s="205"/>
      <c r="FN178" s="205"/>
      <c r="FO178" s="205"/>
      <c r="FP178" s="205"/>
      <c r="FQ178" s="205"/>
      <c r="FR178" s="205"/>
      <c r="FS178" s="205"/>
      <c r="FT178" s="205"/>
      <c r="FU178" s="205"/>
      <c r="FV178" s="205"/>
      <c r="FW178" s="205"/>
      <c r="FX178" s="205"/>
      <c r="FY178" s="205"/>
      <c r="FZ178" s="205"/>
      <c r="GA178" s="205"/>
      <c r="GB178" s="205"/>
      <c r="GC178" s="205"/>
      <c r="GD178" s="205"/>
      <c r="GE178" s="205"/>
      <c r="GF178" s="205"/>
      <c r="GG178" s="205"/>
      <c r="GH178" s="205"/>
      <c r="GI178" s="205"/>
      <c r="GJ178" s="205"/>
      <c r="GK178" s="205"/>
      <c r="GL178" s="205"/>
      <c r="GM178" s="205"/>
      <c r="GN178" s="205"/>
      <c r="GO178" s="205"/>
      <c r="GP178" s="205"/>
      <c r="GQ178" s="205"/>
      <c r="GR178" s="205"/>
      <c r="GS178" s="205"/>
      <c r="GT178" s="205"/>
      <c r="GU178" s="205"/>
      <c r="GV178" s="205"/>
      <c r="GW178" s="205"/>
      <c r="GX178" s="205"/>
      <c r="GY178" s="205"/>
      <c r="GZ178" s="205"/>
      <c r="HA178" s="205"/>
      <c r="HB178" s="205"/>
      <c r="HC178" s="205"/>
      <c r="HD178" s="205"/>
      <c r="HE178" s="205"/>
      <c r="HF178" s="205"/>
      <c r="HG178" s="205"/>
      <c r="HH178" s="205"/>
      <c r="HI178" s="205"/>
      <c r="HJ178" s="205"/>
      <c r="HK178" s="205"/>
      <c r="HL178" s="205"/>
      <c r="HM178" s="205"/>
      <c r="HN178" s="205"/>
      <c r="HO178" s="205"/>
      <c r="HP178" s="205"/>
      <c r="HQ178" s="205"/>
      <c r="HR178" s="205"/>
      <c r="HS178" s="205"/>
      <c r="HT178" s="205"/>
      <c r="HU178" s="205"/>
      <c r="HV178" s="205"/>
      <c r="HW178" s="205"/>
      <c r="HX178" s="205"/>
      <c r="HY178" s="205"/>
      <c r="HZ178" s="205"/>
      <c r="IA178" s="205"/>
      <c r="IB178" s="205"/>
      <c r="IC178" s="205"/>
      <c r="ID178" s="205"/>
      <c r="IE178" s="205"/>
      <c r="IF178" s="205"/>
      <c r="IG178" s="205"/>
      <c r="IH178" s="205"/>
      <c r="II178" s="205"/>
      <c r="IJ178" s="205"/>
      <c r="IK178" s="205"/>
      <c r="IL178" s="205"/>
      <c r="IM178" s="205"/>
      <c r="IN178" s="205"/>
      <c r="IO178" s="205"/>
      <c r="IP178" s="205"/>
      <c r="IQ178" s="205"/>
      <c r="IR178" s="205"/>
      <c r="IS178" s="205"/>
      <c r="IT178" s="205"/>
      <c r="IU178" s="205"/>
      <c r="IV178" s="205"/>
      <c r="IW178" s="205"/>
      <c r="IX178" s="205"/>
    </row>
    <row r="179" spans="1:258" s="203" customFormat="1" x14ac:dyDescent="0.2">
      <c r="A179" s="669"/>
      <c r="B179" s="670"/>
      <c r="C179" s="1358"/>
      <c r="D179" s="672"/>
      <c r="E179" s="1359"/>
      <c r="F179" s="1359" t="s">
        <v>1709</v>
      </c>
      <c r="G179" s="1360"/>
      <c r="H179" s="1361">
        <f>2+12+1+H77</f>
        <v>31.5</v>
      </c>
      <c r="I179" s="1362" t="s">
        <v>424</v>
      </c>
      <c r="J179" s="1362">
        <v>0.15</v>
      </c>
      <c r="K179" s="1362" t="s">
        <v>424</v>
      </c>
      <c r="L179" s="1362">
        <v>0.2</v>
      </c>
      <c r="M179" s="1362"/>
      <c r="N179" s="1362"/>
      <c r="O179" s="1362"/>
      <c r="P179" s="1362"/>
      <c r="Q179" s="1362" t="s">
        <v>696</v>
      </c>
      <c r="R179" s="1363">
        <f t="shared" ref="R179" si="85">H179*J179*L179</f>
        <v>0.94499999999999995</v>
      </c>
      <c r="S179" s="1364"/>
      <c r="T179" s="722"/>
      <c r="U179" s="205"/>
      <c r="V179" s="685"/>
      <c r="W179" s="205"/>
      <c r="X179" s="205"/>
      <c r="Y179" s="205"/>
      <c r="Z179" s="205"/>
      <c r="AA179" s="205"/>
      <c r="AB179" s="205"/>
      <c r="AC179" s="205"/>
      <c r="AD179" s="205"/>
      <c r="AE179" s="205"/>
      <c r="AF179" s="205"/>
      <c r="AG179" s="205"/>
      <c r="AH179" s="205"/>
      <c r="AI179" s="205"/>
      <c r="AJ179" s="205"/>
      <c r="AK179" s="205"/>
      <c r="AL179" s="205"/>
      <c r="AM179" s="205"/>
      <c r="AN179" s="205"/>
      <c r="AO179" s="205"/>
      <c r="AP179" s="205"/>
      <c r="AQ179" s="205"/>
      <c r="AR179" s="205"/>
      <c r="AS179" s="205"/>
      <c r="AT179" s="205"/>
      <c r="AU179" s="205"/>
      <c r="AV179" s="205"/>
      <c r="AW179" s="205"/>
      <c r="AX179" s="205"/>
      <c r="AY179" s="205"/>
      <c r="AZ179" s="205"/>
      <c r="BA179" s="205"/>
      <c r="BB179" s="205"/>
      <c r="BC179" s="205"/>
      <c r="BD179" s="205"/>
      <c r="BE179" s="205"/>
      <c r="BF179" s="205"/>
      <c r="BG179" s="205"/>
      <c r="BH179" s="205"/>
      <c r="BI179" s="205"/>
      <c r="BJ179" s="205"/>
      <c r="BK179" s="205"/>
      <c r="BL179" s="205"/>
      <c r="BM179" s="205"/>
      <c r="BN179" s="205"/>
      <c r="BO179" s="205"/>
      <c r="BP179" s="205"/>
      <c r="BQ179" s="205"/>
      <c r="BR179" s="205"/>
      <c r="BS179" s="205"/>
      <c r="BT179" s="205"/>
      <c r="BU179" s="205"/>
      <c r="BV179" s="205"/>
      <c r="BW179" s="205"/>
      <c r="BX179" s="205"/>
      <c r="BY179" s="205"/>
      <c r="BZ179" s="205"/>
      <c r="CA179" s="205"/>
      <c r="CB179" s="205"/>
      <c r="CC179" s="205"/>
      <c r="CD179" s="205"/>
      <c r="CE179" s="205"/>
      <c r="CF179" s="205"/>
      <c r="CG179" s="205"/>
      <c r="CH179" s="205"/>
      <c r="CI179" s="205"/>
      <c r="CJ179" s="205"/>
      <c r="CK179" s="205"/>
      <c r="CL179" s="205"/>
      <c r="CM179" s="205"/>
      <c r="CN179" s="205"/>
      <c r="CO179" s="205"/>
      <c r="CP179" s="205"/>
      <c r="CQ179" s="205"/>
      <c r="CR179" s="205"/>
      <c r="CS179" s="205"/>
      <c r="CT179" s="205"/>
      <c r="CU179" s="205"/>
      <c r="CV179" s="205"/>
      <c r="CW179" s="205"/>
      <c r="CX179" s="205"/>
      <c r="CY179" s="205"/>
      <c r="CZ179" s="205"/>
      <c r="DA179" s="205"/>
      <c r="DB179" s="205"/>
      <c r="DC179" s="205"/>
      <c r="DD179" s="205"/>
      <c r="DE179" s="205"/>
      <c r="DF179" s="205"/>
      <c r="DG179" s="205"/>
      <c r="DH179" s="205"/>
      <c r="DI179" s="205"/>
      <c r="DJ179" s="205"/>
      <c r="DK179" s="205"/>
      <c r="DL179" s="205"/>
      <c r="DM179" s="205"/>
      <c r="DN179" s="205"/>
      <c r="DO179" s="205"/>
      <c r="DP179" s="205"/>
      <c r="DQ179" s="205"/>
      <c r="DR179" s="205"/>
      <c r="DS179" s="205"/>
      <c r="DT179" s="205"/>
      <c r="DU179" s="205"/>
      <c r="DV179" s="205"/>
      <c r="DW179" s="205"/>
      <c r="DX179" s="205"/>
      <c r="DY179" s="205"/>
      <c r="DZ179" s="205"/>
      <c r="EA179" s="205"/>
      <c r="EB179" s="205"/>
      <c r="EC179" s="205"/>
      <c r="ED179" s="205"/>
      <c r="EE179" s="205"/>
      <c r="EF179" s="205"/>
      <c r="EG179" s="205"/>
      <c r="EH179" s="205"/>
      <c r="EI179" s="205"/>
      <c r="EJ179" s="205"/>
      <c r="EK179" s="205"/>
      <c r="EL179" s="205"/>
      <c r="EM179" s="205"/>
      <c r="EN179" s="205"/>
      <c r="EO179" s="205"/>
      <c r="EP179" s="205"/>
      <c r="EQ179" s="205"/>
      <c r="ER179" s="205"/>
      <c r="ES179" s="205"/>
      <c r="ET179" s="205"/>
      <c r="EU179" s="205"/>
      <c r="EV179" s="205"/>
      <c r="EW179" s="205"/>
      <c r="EX179" s="205"/>
      <c r="EY179" s="205"/>
      <c r="EZ179" s="205"/>
      <c r="FA179" s="205"/>
      <c r="FB179" s="205"/>
      <c r="FC179" s="205"/>
      <c r="FD179" s="205"/>
      <c r="FE179" s="205"/>
      <c r="FF179" s="205"/>
      <c r="FG179" s="205"/>
      <c r="FH179" s="205"/>
      <c r="FI179" s="205"/>
      <c r="FJ179" s="205"/>
      <c r="FK179" s="205"/>
      <c r="FL179" s="205"/>
      <c r="FM179" s="205"/>
      <c r="FN179" s="205"/>
      <c r="FO179" s="205"/>
      <c r="FP179" s="205"/>
      <c r="FQ179" s="205"/>
      <c r="FR179" s="205"/>
      <c r="FS179" s="205"/>
      <c r="FT179" s="205"/>
      <c r="FU179" s="205"/>
      <c r="FV179" s="205"/>
      <c r="FW179" s="205"/>
      <c r="FX179" s="205"/>
      <c r="FY179" s="205"/>
      <c r="FZ179" s="205"/>
      <c r="GA179" s="205"/>
      <c r="GB179" s="205"/>
      <c r="GC179" s="205"/>
      <c r="GD179" s="205"/>
      <c r="GE179" s="205"/>
      <c r="GF179" s="205"/>
      <c r="GG179" s="205"/>
      <c r="GH179" s="205"/>
      <c r="GI179" s="205"/>
      <c r="GJ179" s="205"/>
      <c r="GK179" s="205"/>
      <c r="GL179" s="205"/>
      <c r="GM179" s="205"/>
      <c r="GN179" s="205"/>
      <c r="GO179" s="205"/>
      <c r="GP179" s="205"/>
      <c r="GQ179" s="205"/>
      <c r="GR179" s="205"/>
      <c r="GS179" s="205"/>
      <c r="GT179" s="205"/>
      <c r="GU179" s="205"/>
      <c r="GV179" s="205"/>
      <c r="GW179" s="205"/>
      <c r="GX179" s="205"/>
      <c r="GY179" s="205"/>
      <c r="GZ179" s="205"/>
      <c r="HA179" s="205"/>
      <c r="HB179" s="205"/>
      <c r="HC179" s="205"/>
      <c r="HD179" s="205"/>
      <c r="HE179" s="205"/>
      <c r="HF179" s="205"/>
      <c r="HG179" s="205"/>
      <c r="HH179" s="205"/>
      <c r="HI179" s="205"/>
      <c r="HJ179" s="205"/>
      <c r="HK179" s="205"/>
      <c r="HL179" s="205"/>
      <c r="HM179" s="205"/>
      <c r="HN179" s="205"/>
      <c r="HO179" s="205"/>
      <c r="HP179" s="205"/>
      <c r="HQ179" s="205"/>
      <c r="HR179" s="205"/>
      <c r="HS179" s="205"/>
      <c r="HT179" s="205"/>
      <c r="HU179" s="205"/>
      <c r="HV179" s="205"/>
      <c r="HW179" s="205"/>
      <c r="HX179" s="205"/>
      <c r="HY179" s="205"/>
      <c r="HZ179" s="205"/>
      <c r="IA179" s="205"/>
      <c r="IB179" s="205"/>
      <c r="IC179" s="205"/>
      <c r="ID179" s="205"/>
      <c r="IE179" s="205"/>
      <c r="IF179" s="205"/>
      <c r="IG179" s="205"/>
      <c r="IH179" s="205"/>
      <c r="II179" s="205"/>
      <c r="IJ179" s="205"/>
      <c r="IK179" s="205"/>
      <c r="IL179" s="205"/>
      <c r="IM179" s="205"/>
      <c r="IN179" s="205"/>
      <c r="IO179" s="205"/>
      <c r="IP179" s="205"/>
      <c r="IQ179" s="205"/>
      <c r="IR179" s="205"/>
      <c r="IS179" s="205"/>
      <c r="IT179" s="205"/>
      <c r="IU179" s="205"/>
      <c r="IV179" s="205"/>
      <c r="IW179" s="205"/>
      <c r="IX179" s="205"/>
    </row>
    <row r="180" spans="1:258" s="203" customFormat="1" x14ac:dyDescent="0.2">
      <c r="A180" s="669"/>
      <c r="B180" s="670"/>
      <c r="C180" s="1358"/>
      <c r="D180" s="672"/>
      <c r="E180" s="1359"/>
      <c r="F180" s="1359"/>
      <c r="G180" s="1360"/>
      <c r="H180" s="1377">
        <f>SUM(H175:H179)</f>
        <v>223</v>
      </c>
      <c r="I180" s="1362"/>
      <c r="J180" s="1362"/>
      <c r="K180" s="1362"/>
      <c r="L180" s="1362"/>
      <c r="M180" s="1362"/>
      <c r="N180" s="1362"/>
      <c r="O180" s="1362"/>
      <c r="P180" s="1362"/>
      <c r="Q180" s="1362"/>
      <c r="R180" s="1363">
        <f>SUM(R175:R179)</f>
        <v>6.6899999999999995</v>
      </c>
      <c r="S180" s="1364">
        <f>R180</f>
        <v>6.6899999999999995</v>
      </c>
      <c r="T180" s="722" t="s">
        <v>293</v>
      </c>
      <c r="U180" s="205"/>
      <c r="V180" s="685">
        <f>S185/S180</f>
        <v>186.09995000000001</v>
      </c>
      <c r="W180" s="205"/>
      <c r="X180" s="205"/>
      <c r="Y180" s="205"/>
      <c r="Z180" s="205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205"/>
      <c r="BG180" s="205"/>
      <c r="BH180" s="205"/>
      <c r="BI180" s="205"/>
      <c r="BJ180" s="205"/>
      <c r="BK180" s="205"/>
      <c r="BL180" s="205"/>
      <c r="BM180" s="205"/>
      <c r="BN180" s="205"/>
      <c r="BO180" s="205"/>
      <c r="BP180" s="205"/>
      <c r="BQ180" s="205"/>
      <c r="BR180" s="205"/>
      <c r="BS180" s="205"/>
      <c r="BT180" s="205"/>
      <c r="BU180" s="205"/>
      <c r="BV180" s="205"/>
      <c r="BW180" s="205"/>
      <c r="BX180" s="205"/>
      <c r="BY180" s="205"/>
      <c r="BZ180" s="205"/>
      <c r="CA180" s="205"/>
      <c r="CB180" s="205"/>
      <c r="CC180" s="205"/>
      <c r="CD180" s="205"/>
      <c r="CE180" s="205"/>
      <c r="CF180" s="205"/>
      <c r="CG180" s="205"/>
      <c r="CH180" s="205"/>
      <c r="CI180" s="205"/>
      <c r="CJ180" s="205"/>
      <c r="CK180" s="205"/>
      <c r="CL180" s="205"/>
      <c r="CM180" s="205"/>
      <c r="CN180" s="205"/>
      <c r="CO180" s="205"/>
      <c r="CP180" s="205"/>
      <c r="CQ180" s="205"/>
      <c r="CR180" s="205"/>
      <c r="CS180" s="205"/>
      <c r="CT180" s="205"/>
      <c r="CU180" s="205"/>
      <c r="CV180" s="205"/>
      <c r="CW180" s="205"/>
      <c r="CX180" s="205"/>
      <c r="CY180" s="205"/>
      <c r="CZ180" s="205"/>
      <c r="DA180" s="205"/>
      <c r="DB180" s="205"/>
      <c r="DC180" s="205"/>
      <c r="DD180" s="205"/>
      <c r="DE180" s="205"/>
      <c r="DF180" s="205"/>
      <c r="DG180" s="205"/>
      <c r="DH180" s="205"/>
      <c r="DI180" s="205"/>
      <c r="DJ180" s="205"/>
      <c r="DK180" s="205"/>
      <c r="DL180" s="205"/>
      <c r="DM180" s="205"/>
      <c r="DN180" s="205"/>
      <c r="DO180" s="205"/>
      <c r="DP180" s="205"/>
      <c r="DQ180" s="205"/>
      <c r="DR180" s="205"/>
      <c r="DS180" s="205"/>
      <c r="DT180" s="205"/>
      <c r="DU180" s="205"/>
      <c r="DV180" s="205"/>
      <c r="DW180" s="205"/>
      <c r="DX180" s="205"/>
      <c r="DY180" s="205"/>
      <c r="DZ180" s="205"/>
      <c r="EA180" s="205"/>
      <c r="EB180" s="205"/>
      <c r="EC180" s="205"/>
      <c r="ED180" s="205"/>
      <c r="EE180" s="205"/>
      <c r="EF180" s="205"/>
      <c r="EG180" s="205"/>
      <c r="EH180" s="205"/>
      <c r="EI180" s="205"/>
      <c r="EJ180" s="205"/>
      <c r="EK180" s="205"/>
      <c r="EL180" s="205"/>
      <c r="EM180" s="205"/>
      <c r="EN180" s="205"/>
      <c r="EO180" s="205"/>
      <c r="EP180" s="205"/>
      <c r="EQ180" s="205"/>
      <c r="ER180" s="205"/>
      <c r="ES180" s="205"/>
      <c r="ET180" s="205"/>
      <c r="EU180" s="205"/>
      <c r="EV180" s="205"/>
      <c r="EW180" s="205"/>
      <c r="EX180" s="205"/>
      <c r="EY180" s="205"/>
      <c r="EZ180" s="205"/>
      <c r="FA180" s="205"/>
      <c r="FB180" s="205"/>
      <c r="FC180" s="205"/>
      <c r="FD180" s="205"/>
      <c r="FE180" s="205"/>
      <c r="FF180" s="205"/>
      <c r="FG180" s="205"/>
      <c r="FH180" s="205"/>
      <c r="FI180" s="205"/>
      <c r="FJ180" s="205"/>
      <c r="FK180" s="205"/>
      <c r="FL180" s="205"/>
      <c r="FM180" s="205"/>
      <c r="FN180" s="205"/>
      <c r="FO180" s="205"/>
      <c r="FP180" s="205"/>
      <c r="FQ180" s="205"/>
      <c r="FR180" s="205"/>
      <c r="FS180" s="205"/>
      <c r="FT180" s="205"/>
      <c r="FU180" s="205"/>
      <c r="FV180" s="205"/>
      <c r="FW180" s="205"/>
      <c r="FX180" s="205"/>
      <c r="FY180" s="205"/>
      <c r="FZ180" s="205"/>
      <c r="GA180" s="205"/>
      <c r="GB180" s="205"/>
      <c r="GC180" s="205"/>
      <c r="GD180" s="205"/>
      <c r="GE180" s="205"/>
      <c r="GF180" s="205"/>
      <c r="GG180" s="205"/>
      <c r="GH180" s="205"/>
      <c r="GI180" s="205"/>
      <c r="GJ180" s="205"/>
      <c r="GK180" s="205"/>
      <c r="GL180" s="205"/>
      <c r="GM180" s="205"/>
      <c r="GN180" s="205"/>
      <c r="GO180" s="205"/>
      <c r="GP180" s="205"/>
      <c r="GQ180" s="205"/>
      <c r="GR180" s="205"/>
      <c r="GS180" s="205"/>
      <c r="GT180" s="205"/>
      <c r="GU180" s="205"/>
      <c r="GV180" s="205"/>
      <c r="GW180" s="205"/>
      <c r="GX180" s="205"/>
      <c r="GY180" s="205"/>
      <c r="GZ180" s="205"/>
      <c r="HA180" s="205"/>
      <c r="HB180" s="205"/>
      <c r="HC180" s="205"/>
      <c r="HD180" s="205"/>
      <c r="HE180" s="205"/>
      <c r="HF180" s="205"/>
      <c r="HG180" s="205"/>
      <c r="HH180" s="205"/>
      <c r="HI180" s="205"/>
      <c r="HJ180" s="205"/>
      <c r="HK180" s="205"/>
      <c r="HL180" s="205"/>
      <c r="HM180" s="205"/>
      <c r="HN180" s="205"/>
      <c r="HO180" s="205"/>
      <c r="HP180" s="205"/>
      <c r="HQ180" s="205"/>
      <c r="HR180" s="205"/>
      <c r="HS180" s="205"/>
      <c r="HT180" s="205"/>
      <c r="HU180" s="205"/>
      <c r="HV180" s="205"/>
      <c r="HW180" s="205"/>
      <c r="HX180" s="205"/>
      <c r="HY180" s="205"/>
      <c r="HZ180" s="205"/>
      <c r="IA180" s="205"/>
      <c r="IB180" s="205"/>
      <c r="IC180" s="205"/>
      <c r="ID180" s="205"/>
      <c r="IE180" s="205"/>
      <c r="IF180" s="205"/>
      <c r="IG180" s="205"/>
      <c r="IH180" s="205"/>
      <c r="II180" s="205"/>
      <c r="IJ180" s="205"/>
      <c r="IK180" s="205"/>
      <c r="IL180" s="205"/>
      <c r="IM180" s="205"/>
      <c r="IN180" s="205"/>
      <c r="IO180" s="205"/>
      <c r="IP180" s="205"/>
      <c r="IQ180" s="205"/>
      <c r="IR180" s="205"/>
      <c r="IS180" s="205"/>
      <c r="IT180" s="205"/>
      <c r="IU180" s="205"/>
      <c r="IV180" s="205"/>
      <c r="IW180" s="205"/>
      <c r="IX180" s="205"/>
    </row>
    <row r="181" spans="1:258" s="203" customFormat="1" x14ac:dyDescent="0.2">
      <c r="A181" s="669"/>
      <c r="B181" s="670"/>
      <c r="C181" s="1358"/>
      <c r="D181" s="672"/>
      <c r="E181" s="1359"/>
      <c r="F181" s="1359"/>
      <c r="G181" s="1360"/>
      <c r="H181" s="1361"/>
      <c r="I181" s="1362"/>
      <c r="J181" s="1362"/>
      <c r="K181" s="1362"/>
      <c r="L181" s="1362"/>
      <c r="M181" s="1362"/>
      <c r="N181" s="1362"/>
      <c r="O181" s="1362"/>
      <c r="P181" s="1362"/>
      <c r="Q181" s="1362"/>
      <c r="R181" s="1363"/>
      <c r="S181" s="1364"/>
      <c r="T181" s="722"/>
      <c r="U181" s="205"/>
      <c r="V181" s="685"/>
      <c r="W181" s="205"/>
      <c r="X181" s="205"/>
      <c r="Y181" s="205"/>
      <c r="Z181" s="205"/>
      <c r="AA181" s="205"/>
      <c r="AB181" s="205"/>
      <c r="AC181" s="205"/>
      <c r="AD181" s="205"/>
      <c r="AE181" s="205"/>
      <c r="AF181" s="205"/>
      <c r="AG181" s="205"/>
      <c r="AH181" s="205"/>
      <c r="AI181" s="205"/>
      <c r="AJ181" s="205"/>
      <c r="AK181" s="205"/>
      <c r="AL181" s="205"/>
      <c r="AM181" s="205"/>
      <c r="AN181" s="205"/>
      <c r="AO181" s="205"/>
      <c r="AP181" s="205"/>
      <c r="AQ181" s="205"/>
      <c r="AR181" s="205"/>
      <c r="AS181" s="205"/>
      <c r="AT181" s="205"/>
      <c r="AU181" s="205"/>
      <c r="AV181" s="205"/>
      <c r="AW181" s="205"/>
      <c r="AX181" s="205"/>
      <c r="AY181" s="205"/>
      <c r="AZ181" s="205"/>
      <c r="BA181" s="205"/>
      <c r="BB181" s="205"/>
      <c r="BC181" s="205"/>
      <c r="BD181" s="205"/>
      <c r="BE181" s="205"/>
      <c r="BF181" s="205"/>
      <c r="BG181" s="205"/>
      <c r="BH181" s="205"/>
      <c r="BI181" s="205"/>
      <c r="BJ181" s="205"/>
      <c r="BK181" s="205"/>
      <c r="BL181" s="205"/>
      <c r="BM181" s="205"/>
      <c r="BN181" s="205"/>
      <c r="BO181" s="205"/>
      <c r="BP181" s="205"/>
      <c r="BQ181" s="205"/>
      <c r="BR181" s="205"/>
      <c r="BS181" s="205"/>
      <c r="BT181" s="205"/>
      <c r="BU181" s="205"/>
      <c r="BV181" s="205"/>
      <c r="BW181" s="205"/>
      <c r="BX181" s="205"/>
      <c r="BY181" s="205"/>
      <c r="BZ181" s="205"/>
      <c r="CA181" s="205"/>
      <c r="CB181" s="205"/>
      <c r="CC181" s="205"/>
      <c r="CD181" s="205"/>
      <c r="CE181" s="205"/>
      <c r="CF181" s="205"/>
      <c r="CG181" s="205"/>
      <c r="CH181" s="205"/>
      <c r="CI181" s="205"/>
      <c r="CJ181" s="205"/>
      <c r="CK181" s="205"/>
      <c r="CL181" s="205"/>
      <c r="CM181" s="205"/>
      <c r="CN181" s="205"/>
      <c r="CO181" s="205"/>
      <c r="CP181" s="205"/>
      <c r="CQ181" s="205"/>
      <c r="CR181" s="205"/>
      <c r="CS181" s="205"/>
      <c r="CT181" s="205"/>
      <c r="CU181" s="205"/>
      <c r="CV181" s="205"/>
      <c r="CW181" s="205"/>
      <c r="CX181" s="205"/>
      <c r="CY181" s="205"/>
      <c r="CZ181" s="205"/>
      <c r="DA181" s="205"/>
      <c r="DB181" s="205"/>
      <c r="DC181" s="205"/>
      <c r="DD181" s="205"/>
      <c r="DE181" s="205"/>
      <c r="DF181" s="205"/>
      <c r="DG181" s="205"/>
      <c r="DH181" s="205"/>
      <c r="DI181" s="205"/>
      <c r="DJ181" s="205"/>
      <c r="DK181" s="205"/>
      <c r="DL181" s="205"/>
      <c r="DM181" s="205"/>
      <c r="DN181" s="205"/>
      <c r="DO181" s="205"/>
      <c r="DP181" s="205"/>
      <c r="DQ181" s="205"/>
      <c r="DR181" s="205"/>
      <c r="DS181" s="205"/>
      <c r="DT181" s="205"/>
      <c r="DU181" s="205"/>
      <c r="DV181" s="205"/>
      <c r="DW181" s="205"/>
      <c r="DX181" s="205"/>
      <c r="DY181" s="205"/>
      <c r="DZ181" s="205"/>
      <c r="EA181" s="205"/>
      <c r="EB181" s="205"/>
      <c r="EC181" s="205"/>
      <c r="ED181" s="205"/>
      <c r="EE181" s="205"/>
      <c r="EF181" s="205"/>
      <c r="EG181" s="205"/>
      <c r="EH181" s="205"/>
      <c r="EI181" s="205"/>
      <c r="EJ181" s="205"/>
      <c r="EK181" s="205"/>
      <c r="EL181" s="205"/>
      <c r="EM181" s="205"/>
      <c r="EN181" s="205"/>
      <c r="EO181" s="205"/>
      <c r="EP181" s="205"/>
      <c r="EQ181" s="205"/>
      <c r="ER181" s="205"/>
      <c r="ES181" s="205"/>
      <c r="ET181" s="205"/>
      <c r="EU181" s="205"/>
      <c r="EV181" s="205"/>
      <c r="EW181" s="205"/>
      <c r="EX181" s="205"/>
      <c r="EY181" s="205"/>
      <c r="EZ181" s="205"/>
      <c r="FA181" s="205"/>
      <c r="FB181" s="205"/>
      <c r="FC181" s="205"/>
      <c r="FD181" s="205"/>
      <c r="FE181" s="205"/>
      <c r="FF181" s="205"/>
      <c r="FG181" s="205"/>
      <c r="FH181" s="205"/>
      <c r="FI181" s="205"/>
      <c r="FJ181" s="205"/>
      <c r="FK181" s="205"/>
      <c r="FL181" s="205"/>
      <c r="FM181" s="205"/>
      <c r="FN181" s="205"/>
      <c r="FO181" s="205"/>
      <c r="FP181" s="205"/>
      <c r="FQ181" s="205"/>
      <c r="FR181" s="205"/>
      <c r="FS181" s="205"/>
      <c r="FT181" s="205"/>
      <c r="FU181" s="205"/>
      <c r="FV181" s="205"/>
      <c r="FW181" s="205"/>
      <c r="FX181" s="205"/>
      <c r="FY181" s="205"/>
      <c r="FZ181" s="205"/>
      <c r="GA181" s="205"/>
      <c r="GB181" s="205"/>
      <c r="GC181" s="205"/>
      <c r="GD181" s="205"/>
      <c r="GE181" s="205"/>
      <c r="GF181" s="205"/>
      <c r="GG181" s="205"/>
      <c r="GH181" s="205"/>
      <c r="GI181" s="205"/>
      <c r="GJ181" s="205"/>
      <c r="GK181" s="205"/>
      <c r="GL181" s="205"/>
      <c r="GM181" s="205"/>
      <c r="GN181" s="205"/>
      <c r="GO181" s="205"/>
      <c r="GP181" s="205"/>
      <c r="GQ181" s="205"/>
      <c r="GR181" s="205"/>
      <c r="GS181" s="205"/>
      <c r="GT181" s="205"/>
      <c r="GU181" s="205"/>
      <c r="GV181" s="205"/>
      <c r="GW181" s="205"/>
      <c r="GX181" s="205"/>
      <c r="GY181" s="205"/>
      <c r="GZ181" s="205"/>
      <c r="HA181" s="205"/>
      <c r="HB181" s="205"/>
      <c r="HC181" s="205"/>
      <c r="HD181" s="205"/>
      <c r="HE181" s="205"/>
      <c r="HF181" s="205"/>
      <c r="HG181" s="205"/>
      <c r="HH181" s="205"/>
      <c r="HI181" s="205"/>
      <c r="HJ181" s="205"/>
      <c r="HK181" s="205"/>
      <c r="HL181" s="205"/>
      <c r="HM181" s="205"/>
      <c r="HN181" s="205"/>
      <c r="HO181" s="205"/>
      <c r="HP181" s="205"/>
      <c r="HQ181" s="205"/>
      <c r="HR181" s="205"/>
      <c r="HS181" s="205"/>
      <c r="HT181" s="205"/>
      <c r="HU181" s="205"/>
      <c r="HV181" s="205"/>
      <c r="HW181" s="205"/>
      <c r="HX181" s="205"/>
      <c r="HY181" s="205"/>
      <c r="HZ181" s="205"/>
      <c r="IA181" s="205"/>
      <c r="IB181" s="205"/>
      <c r="IC181" s="205"/>
      <c r="ID181" s="205"/>
      <c r="IE181" s="205"/>
      <c r="IF181" s="205"/>
      <c r="IG181" s="205"/>
      <c r="IH181" s="205"/>
      <c r="II181" s="205"/>
      <c r="IJ181" s="205"/>
      <c r="IK181" s="205"/>
      <c r="IL181" s="205"/>
      <c r="IM181" s="205"/>
      <c r="IN181" s="205"/>
      <c r="IO181" s="205"/>
      <c r="IP181" s="205"/>
      <c r="IQ181" s="205"/>
      <c r="IR181" s="205"/>
      <c r="IS181" s="205"/>
      <c r="IT181" s="205"/>
      <c r="IU181" s="205"/>
      <c r="IV181" s="205"/>
      <c r="IW181" s="205"/>
      <c r="IX181" s="205"/>
    </row>
    <row r="182" spans="1:258" s="203" customFormat="1" x14ac:dyDescent="0.2">
      <c r="A182" s="669"/>
      <c r="B182" s="670">
        <f>RAB!B67</f>
        <v>7</v>
      </c>
      <c r="C182" s="686" t="str">
        <f>RAB!D67</f>
        <v>Pembesian 1 kg dengan besi polos atau besi ulir</v>
      </c>
      <c r="D182" s="672"/>
      <c r="E182" s="673"/>
      <c r="F182" s="673"/>
      <c r="G182" s="674"/>
      <c r="H182" s="675"/>
      <c r="I182" s="676"/>
      <c r="J182" s="676"/>
      <c r="K182" s="676"/>
      <c r="L182" s="676" t="s">
        <v>1653</v>
      </c>
      <c r="M182" s="676"/>
      <c r="N182" s="676"/>
      <c r="O182" s="676"/>
      <c r="P182" s="676"/>
      <c r="Q182" s="676"/>
      <c r="R182" s="677"/>
      <c r="S182" s="678"/>
      <c r="T182" s="684"/>
      <c r="U182" s="205"/>
      <c r="V182" s="685"/>
      <c r="W182" s="205"/>
      <c r="X182" s="205"/>
      <c r="Y182" s="205"/>
      <c r="Z182" s="205"/>
      <c r="AA182" s="205"/>
      <c r="AB182" s="205"/>
      <c r="AC182" s="205"/>
      <c r="AD182" s="205"/>
      <c r="AE182" s="205"/>
      <c r="AF182" s="205"/>
      <c r="AG182" s="205"/>
      <c r="AH182" s="205"/>
      <c r="AI182" s="205"/>
      <c r="AJ182" s="205"/>
      <c r="AK182" s="205"/>
      <c r="AL182" s="205"/>
      <c r="AM182" s="205"/>
      <c r="AN182" s="205"/>
      <c r="AO182" s="205"/>
      <c r="AP182" s="205"/>
      <c r="AQ182" s="205"/>
      <c r="AR182" s="205"/>
      <c r="AS182" s="205"/>
      <c r="AT182" s="205"/>
      <c r="AU182" s="205"/>
      <c r="AV182" s="205"/>
      <c r="AW182" s="205"/>
      <c r="AX182" s="205"/>
      <c r="AY182" s="205"/>
      <c r="AZ182" s="205"/>
      <c r="BA182" s="205"/>
      <c r="BB182" s="205"/>
      <c r="BC182" s="205"/>
      <c r="BD182" s="205"/>
      <c r="BE182" s="205"/>
      <c r="BF182" s="205"/>
      <c r="BG182" s="205"/>
      <c r="BH182" s="205"/>
      <c r="BI182" s="205"/>
      <c r="BJ182" s="205"/>
      <c r="BK182" s="205"/>
      <c r="BL182" s="205"/>
      <c r="BM182" s="205"/>
      <c r="BN182" s="205"/>
      <c r="BO182" s="205"/>
      <c r="BP182" s="205"/>
      <c r="BQ182" s="205"/>
      <c r="BR182" s="205"/>
      <c r="BS182" s="205"/>
      <c r="BT182" s="205"/>
      <c r="BU182" s="205"/>
      <c r="BV182" s="205"/>
      <c r="BW182" s="205"/>
      <c r="BX182" s="205"/>
      <c r="BY182" s="205"/>
      <c r="BZ182" s="205"/>
      <c r="CA182" s="205"/>
      <c r="CB182" s="205"/>
      <c r="CC182" s="205"/>
      <c r="CD182" s="205"/>
      <c r="CE182" s="205"/>
      <c r="CF182" s="205"/>
      <c r="CG182" s="205"/>
      <c r="CH182" s="205"/>
      <c r="CI182" s="205"/>
      <c r="CJ182" s="205"/>
      <c r="CK182" s="205"/>
      <c r="CL182" s="205"/>
      <c r="CM182" s="205"/>
      <c r="CN182" s="205"/>
      <c r="CO182" s="205"/>
      <c r="CP182" s="205"/>
      <c r="CQ182" s="205"/>
      <c r="CR182" s="205"/>
      <c r="CS182" s="205"/>
      <c r="CT182" s="205"/>
      <c r="CU182" s="205"/>
      <c r="CV182" s="205"/>
      <c r="CW182" s="205"/>
      <c r="CX182" s="205"/>
      <c r="CY182" s="205"/>
      <c r="CZ182" s="205"/>
      <c r="DA182" s="205"/>
      <c r="DB182" s="205"/>
      <c r="DC182" s="205"/>
      <c r="DD182" s="205"/>
      <c r="DE182" s="205"/>
      <c r="DF182" s="205"/>
      <c r="DG182" s="205"/>
      <c r="DH182" s="205"/>
      <c r="DI182" s="205"/>
      <c r="DJ182" s="205"/>
      <c r="DK182" s="205"/>
      <c r="DL182" s="205"/>
      <c r="DM182" s="205"/>
      <c r="DN182" s="205"/>
      <c r="DO182" s="205"/>
      <c r="DP182" s="205"/>
      <c r="DQ182" s="205"/>
      <c r="DR182" s="205"/>
      <c r="DS182" s="205"/>
      <c r="DT182" s="205"/>
      <c r="DU182" s="205"/>
      <c r="DV182" s="205"/>
      <c r="DW182" s="205"/>
      <c r="DX182" s="205"/>
      <c r="DY182" s="205"/>
      <c r="DZ182" s="205"/>
      <c r="EA182" s="205"/>
      <c r="EB182" s="205"/>
      <c r="EC182" s="205"/>
      <c r="ED182" s="205"/>
      <c r="EE182" s="205"/>
      <c r="EF182" s="205"/>
      <c r="EG182" s="205"/>
      <c r="EH182" s="205"/>
      <c r="EI182" s="205"/>
      <c r="EJ182" s="205"/>
      <c r="EK182" s="205"/>
      <c r="EL182" s="205"/>
      <c r="EM182" s="205"/>
      <c r="EN182" s="205"/>
      <c r="EO182" s="205"/>
      <c r="EP182" s="205"/>
      <c r="EQ182" s="205"/>
      <c r="ER182" s="205"/>
      <c r="ES182" s="205"/>
      <c r="ET182" s="205"/>
      <c r="EU182" s="205"/>
      <c r="EV182" s="205"/>
      <c r="EW182" s="205"/>
      <c r="EX182" s="205"/>
      <c r="EY182" s="205"/>
      <c r="EZ182" s="205"/>
      <c r="FA182" s="205"/>
      <c r="FB182" s="205"/>
      <c r="FC182" s="205"/>
      <c r="FD182" s="205"/>
      <c r="FE182" s="205"/>
      <c r="FF182" s="205"/>
      <c r="FG182" s="205"/>
      <c r="FH182" s="205"/>
      <c r="FI182" s="205"/>
      <c r="FJ182" s="205"/>
      <c r="FK182" s="205"/>
      <c r="FL182" s="205"/>
      <c r="FM182" s="205"/>
      <c r="FN182" s="205"/>
      <c r="FO182" s="205"/>
      <c r="FP182" s="205"/>
      <c r="FQ182" s="205"/>
      <c r="FR182" s="205"/>
      <c r="FS182" s="205"/>
      <c r="FT182" s="205"/>
      <c r="FU182" s="205"/>
      <c r="FV182" s="205"/>
      <c r="FW182" s="205"/>
      <c r="FX182" s="205"/>
      <c r="FY182" s="205"/>
      <c r="FZ182" s="205"/>
      <c r="GA182" s="205"/>
      <c r="GB182" s="205"/>
      <c r="GC182" s="205"/>
      <c r="GD182" s="205"/>
      <c r="GE182" s="205"/>
      <c r="GF182" s="205"/>
      <c r="GG182" s="205"/>
      <c r="GH182" s="205"/>
      <c r="GI182" s="205"/>
      <c r="GJ182" s="205"/>
      <c r="GK182" s="205"/>
      <c r="GL182" s="205"/>
      <c r="GM182" s="205"/>
      <c r="GN182" s="205"/>
      <c r="GO182" s="205"/>
      <c r="GP182" s="205"/>
      <c r="GQ182" s="205"/>
      <c r="GR182" s="205"/>
      <c r="GS182" s="205"/>
      <c r="GT182" s="205"/>
      <c r="GU182" s="205"/>
      <c r="GV182" s="205"/>
      <c r="GW182" s="205"/>
      <c r="GX182" s="205"/>
      <c r="GY182" s="205"/>
      <c r="GZ182" s="205"/>
      <c r="HA182" s="205"/>
      <c r="HB182" s="205"/>
      <c r="HC182" s="205"/>
      <c r="HD182" s="205"/>
      <c r="HE182" s="205"/>
      <c r="HF182" s="205"/>
      <c r="HG182" s="205"/>
      <c r="HH182" s="205"/>
      <c r="HI182" s="205"/>
      <c r="HJ182" s="205"/>
      <c r="HK182" s="205"/>
      <c r="HL182" s="205"/>
      <c r="HM182" s="205"/>
      <c r="HN182" s="205"/>
      <c r="HO182" s="205"/>
      <c r="HP182" s="205"/>
      <c r="HQ182" s="205"/>
      <c r="HR182" s="205"/>
      <c r="HS182" s="205"/>
      <c r="HT182" s="205"/>
      <c r="HU182" s="205"/>
      <c r="HV182" s="205"/>
      <c r="HW182" s="205"/>
      <c r="HX182" s="205"/>
      <c r="HY182" s="205"/>
      <c r="HZ182" s="205"/>
      <c r="IA182" s="205"/>
      <c r="IB182" s="205"/>
      <c r="IC182" s="205"/>
      <c r="ID182" s="205"/>
      <c r="IE182" s="205"/>
      <c r="IF182" s="205"/>
      <c r="IG182" s="205"/>
      <c r="IH182" s="205"/>
      <c r="II182" s="205"/>
      <c r="IJ182" s="205"/>
      <c r="IK182" s="205"/>
      <c r="IL182" s="205"/>
      <c r="IM182" s="205"/>
      <c r="IN182" s="205"/>
      <c r="IO182" s="205"/>
      <c r="IP182" s="205"/>
      <c r="IQ182" s="205"/>
      <c r="IR182" s="205"/>
      <c r="IS182" s="205"/>
      <c r="IT182" s="205"/>
      <c r="IU182" s="205"/>
      <c r="IV182" s="205"/>
      <c r="IW182" s="205"/>
      <c r="IX182" s="205"/>
    </row>
    <row r="183" spans="1:258" s="203" customFormat="1" x14ac:dyDescent="0.2">
      <c r="A183" s="669"/>
      <c r="B183" s="670"/>
      <c r="C183" s="1358"/>
      <c r="D183" s="672"/>
      <c r="E183" s="1359"/>
      <c r="F183" s="1359"/>
      <c r="G183" s="1360" t="s">
        <v>1657</v>
      </c>
      <c r="H183" s="1361">
        <f>H180</f>
        <v>223</v>
      </c>
      <c r="I183" s="1362" t="s">
        <v>424</v>
      </c>
      <c r="J183" s="1362">
        <v>4</v>
      </c>
      <c r="K183" s="1362" t="s">
        <v>424</v>
      </c>
      <c r="L183" s="1375">
        <f>Z183</f>
        <v>0.88736400000000004</v>
      </c>
      <c r="M183" s="1362"/>
      <c r="N183" s="1362"/>
      <c r="O183" s="1362"/>
      <c r="P183" s="1362"/>
      <c r="Q183" s="1362" t="s">
        <v>696</v>
      </c>
      <c r="R183" s="1363">
        <f t="shared" ref="R183" si="86">H183*J183*L183</f>
        <v>791.52868799999999</v>
      </c>
      <c r="S183" s="1364"/>
      <c r="T183" s="722"/>
      <c r="U183" s="205"/>
      <c r="V183" s="687" t="s">
        <v>1553</v>
      </c>
      <c r="W183" s="688">
        <v>1.2E-2</v>
      </c>
      <c r="X183" s="689">
        <v>7850</v>
      </c>
      <c r="Y183" s="690">
        <f t="shared" ref="Y183" si="87">0.25*3.14*(W183*W183)</f>
        <v>1.1304E-4</v>
      </c>
      <c r="Z183" s="691">
        <f t="shared" ref="Z183" si="88">X183*Y183*AA183</f>
        <v>0.88736400000000004</v>
      </c>
      <c r="AA183" s="689">
        <v>1</v>
      </c>
      <c r="AB183" s="692">
        <f t="shared" ref="AB183" si="89">Z183*12</f>
        <v>10.648368000000001</v>
      </c>
      <c r="AC183" s="693" t="s">
        <v>1554</v>
      </c>
      <c r="AD183" s="205"/>
      <c r="AE183" s="205"/>
      <c r="AF183" s="205"/>
      <c r="AG183" s="205"/>
      <c r="AH183" s="205"/>
      <c r="AI183" s="205"/>
      <c r="AJ183" s="205"/>
      <c r="AK183" s="205"/>
      <c r="AL183" s="205"/>
      <c r="AM183" s="205"/>
      <c r="AN183" s="205"/>
      <c r="AO183" s="205"/>
      <c r="AP183" s="205"/>
      <c r="AQ183" s="205"/>
      <c r="AR183" s="205"/>
      <c r="AS183" s="205"/>
      <c r="AT183" s="205"/>
      <c r="AU183" s="205"/>
      <c r="AV183" s="205"/>
      <c r="AW183" s="205"/>
      <c r="AX183" s="205"/>
      <c r="AY183" s="205"/>
      <c r="AZ183" s="205"/>
      <c r="BA183" s="205"/>
      <c r="BB183" s="205"/>
      <c r="BC183" s="205"/>
      <c r="BD183" s="205"/>
      <c r="BE183" s="205"/>
      <c r="BF183" s="205"/>
      <c r="BG183" s="205"/>
      <c r="BH183" s="205"/>
      <c r="BI183" s="205"/>
      <c r="BJ183" s="205"/>
      <c r="BK183" s="205"/>
      <c r="BL183" s="205"/>
      <c r="BM183" s="205"/>
      <c r="BN183" s="205"/>
      <c r="BO183" s="205"/>
      <c r="BP183" s="205"/>
      <c r="BQ183" s="205"/>
      <c r="BR183" s="205"/>
      <c r="BS183" s="205"/>
      <c r="BT183" s="205"/>
      <c r="BU183" s="205"/>
      <c r="BV183" s="205"/>
      <c r="BW183" s="205"/>
      <c r="BX183" s="205"/>
      <c r="BY183" s="205"/>
      <c r="BZ183" s="205"/>
      <c r="CA183" s="205"/>
      <c r="CB183" s="205"/>
      <c r="CC183" s="205"/>
      <c r="CD183" s="205"/>
      <c r="CE183" s="205"/>
      <c r="CF183" s="205"/>
      <c r="CG183" s="205"/>
      <c r="CH183" s="205"/>
      <c r="CI183" s="205"/>
      <c r="CJ183" s="205"/>
      <c r="CK183" s="205"/>
      <c r="CL183" s="205"/>
      <c r="CM183" s="205"/>
      <c r="CN183" s="205"/>
      <c r="CO183" s="205"/>
      <c r="CP183" s="205"/>
      <c r="CQ183" s="205"/>
      <c r="CR183" s="205"/>
      <c r="CS183" s="205"/>
      <c r="CT183" s="205"/>
      <c r="CU183" s="205"/>
      <c r="CV183" s="205"/>
      <c r="CW183" s="205"/>
      <c r="CX183" s="205"/>
      <c r="CY183" s="205"/>
      <c r="CZ183" s="205"/>
      <c r="DA183" s="205"/>
      <c r="DB183" s="205"/>
      <c r="DC183" s="205"/>
      <c r="DD183" s="205"/>
      <c r="DE183" s="205"/>
      <c r="DF183" s="205"/>
      <c r="DG183" s="205"/>
      <c r="DH183" s="205"/>
      <c r="DI183" s="205"/>
      <c r="DJ183" s="205"/>
      <c r="DK183" s="205"/>
      <c r="DL183" s="205"/>
      <c r="DM183" s="205"/>
      <c r="DN183" s="205"/>
      <c r="DO183" s="205"/>
      <c r="DP183" s="205"/>
      <c r="DQ183" s="205"/>
      <c r="DR183" s="205"/>
      <c r="DS183" s="205"/>
      <c r="DT183" s="205"/>
      <c r="DU183" s="205"/>
      <c r="DV183" s="205"/>
      <c r="DW183" s="205"/>
      <c r="DX183" s="205"/>
      <c r="DY183" s="205"/>
      <c r="DZ183" s="205"/>
      <c r="EA183" s="205"/>
      <c r="EB183" s="205"/>
      <c r="EC183" s="205"/>
      <c r="ED183" s="205"/>
      <c r="EE183" s="205"/>
      <c r="EF183" s="205"/>
      <c r="EG183" s="205"/>
      <c r="EH183" s="205"/>
      <c r="EI183" s="205"/>
      <c r="EJ183" s="205"/>
      <c r="EK183" s="205"/>
      <c r="EL183" s="205"/>
      <c r="EM183" s="205"/>
      <c r="EN183" s="205"/>
      <c r="EO183" s="205"/>
      <c r="EP183" s="205"/>
      <c r="EQ183" s="205"/>
      <c r="ER183" s="205"/>
      <c r="ES183" s="205"/>
      <c r="ET183" s="205"/>
      <c r="EU183" s="205"/>
      <c r="EV183" s="205"/>
      <c r="EW183" s="205"/>
      <c r="EX183" s="205"/>
      <c r="EY183" s="205"/>
      <c r="EZ183" s="205"/>
      <c r="FA183" s="205"/>
      <c r="FB183" s="205"/>
      <c r="FC183" s="205"/>
      <c r="FD183" s="205"/>
      <c r="FE183" s="205"/>
      <c r="FF183" s="205"/>
      <c r="FG183" s="205"/>
      <c r="FH183" s="205"/>
      <c r="FI183" s="205"/>
      <c r="FJ183" s="205"/>
      <c r="FK183" s="205"/>
      <c r="FL183" s="205"/>
      <c r="FM183" s="205"/>
      <c r="FN183" s="205"/>
      <c r="FO183" s="205"/>
      <c r="FP183" s="205"/>
      <c r="FQ183" s="205"/>
      <c r="FR183" s="205"/>
      <c r="FS183" s="205"/>
      <c r="FT183" s="205"/>
      <c r="FU183" s="205"/>
      <c r="FV183" s="205"/>
      <c r="FW183" s="205"/>
      <c r="FX183" s="205"/>
      <c r="FY183" s="205"/>
      <c r="FZ183" s="205"/>
      <c r="GA183" s="205"/>
      <c r="GB183" s="205"/>
      <c r="GC183" s="205"/>
      <c r="GD183" s="205"/>
      <c r="GE183" s="205"/>
      <c r="GF183" s="205"/>
      <c r="GG183" s="205"/>
      <c r="GH183" s="205"/>
      <c r="GI183" s="205"/>
      <c r="GJ183" s="205"/>
      <c r="GK183" s="205"/>
      <c r="GL183" s="205"/>
      <c r="GM183" s="205"/>
      <c r="GN183" s="205"/>
      <c r="GO183" s="205"/>
      <c r="GP183" s="205"/>
      <c r="GQ183" s="205"/>
      <c r="GR183" s="205"/>
      <c r="GS183" s="205"/>
      <c r="GT183" s="205"/>
      <c r="GU183" s="205"/>
      <c r="GV183" s="205"/>
      <c r="GW183" s="205"/>
      <c r="GX183" s="205"/>
      <c r="GY183" s="205"/>
      <c r="GZ183" s="205"/>
      <c r="HA183" s="205"/>
      <c r="HB183" s="205"/>
      <c r="HC183" s="205"/>
      <c r="HD183" s="205"/>
      <c r="HE183" s="205"/>
      <c r="HF183" s="205"/>
      <c r="HG183" s="205"/>
      <c r="HH183" s="205"/>
      <c r="HI183" s="205"/>
      <c r="HJ183" s="205"/>
      <c r="HK183" s="205"/>
      <c r="HL183" s="205"/>
      <c r="HM183" s="205"/>
      <c r="HN183" s="205"/>
      <c r="HO183" s="205"/>
      <c r="HP183" s="205"/>
      <c r="HQ183" s="205"/>
      <c r="HR183" s="205"/>
      <c r="HS183" s="205"/>
      <c r="HT183" s="205"/>
      <c r="HU183" s="205"/>
      <c r="HV183" s="205"/>
      <c r="HW183" s="205"/>
      <c r="HX183" s="205"/>
      <c r="HY183" s="205"/>
      <c r="HZ183" s="205"/>
      <c r="IA183" s="205"/>
      <c r="IB183" s="205"/>
      <c r="IC183" s="205"/>
      <c r="ID183" s="205"/>
      <c r="IE183" s="205"/>
      <c r="IF183" s="205"/>
      <c r="IG183" s="205"/>
      <c r="IH183" s="205"/>
      <c r="II183" s="205"/>
      <c r="IJ183" s="205"/>
      <c r="IK183" s="205"/>
      <c r="IL183" s="205"/>
      <c r="IM183" s="205"/>
      <c r="IN183" s="205"/>
      <c r="IO183" s="205"/>
      <c r="IP183" s="205"/>
      <c r="IQ183" s="205"/>
      <c r="IR183" s="205"/>
      <c r="IS183" s="205"/>
      <c r="IT183" s="205"/>
      <c r="IU183" s="205"/>
      <c r="IV183" s="205"/>
      <c r="IW183" s="205"/>
      <c r="IX183" s="205"/>
    </row>
    <row r="184" spans="1:258" s="203" customFormat="1" x14ac:dyDescent="0.2">
      <c r="A184" s="669"/>
      <c r="B184" s="670"/>
      <c r="C184" s="1358"/>
      <c r="D184" s="672"/>
      <c r="E184" s="1359"/>
      <c r="F184" s="1359"/>
      <c r="G184" s="1360" t="s">
        <v>1654</v>
      </c>
      <c r="H184" s="1361">
        <f>0.12+0.12+0.17+0.17+0.08</f>
        <v>0.66</v>
      </c>
      <c r="I184" s="1362" t="s">
        <v>424</v>
      </c>
      <c r="J184" s="1362">
        <f>H183/0.2</f>
        <v>1115</v>
      </c>
      <c r="K184" s="1362" t="s">
        <v>424</v>
      </c>
      <c r="L184" s="1375">
        <f>Z184</f>
        <v>0.61622500000000013</v>
      </c>
      <c r="M184" s="1362"/>
      <c r="N184" s="1362"/>
      <c r="O184" s="1362"/>
      <c r="P184" s="1362"/>
      <c r="Q184" s="1362" t="s">
        <v>696</v>
      </c>
      <c r="R184" s="1363">
        <f t="shared" ref="R184" si="90">H184*J184*L184</f>
        <v>453.47997750000013</v>
      </c>
      <c r="S184" s="1364"/>
      <c r="T184" s="722"/>
      <c r="U184" s="205"/>
      <c r="V184" s="687" t="s">
        <v>1556</v>
      </c>
      <c r="W184" s="688">
        <v>0.01</v>
      </c>
      <c r="X184" s="689">
        <v>7850</v>
      </c>
      <c r="Y184" s="690">
        <f t="shared" ref="Y184" si="91">0.25*3.14*(W184*W184)</f>
        <v>7.8500000000000011E-5</v>
      </c>
      <c r="Z184" s="691">
        <f t="shared" ref="Z184" si="92">X184*Y184*AA184</f>
        <v>0.61622500000000013</v>
      </c>
      <c r="AA184" s="689">
        <v>1</v>
      </c>
      <c r="AB184" s="692">
        <f t="shared" ref="AB184" si="93">Z184*12</f>
        <v>7.394700000000002</v>
      </c>
      <c r="AC184" s="693" t="s">
        <v>1554</v>
      </c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05"/>
      <c r="BE184" s="205"/>
      <c r="BF184" s="205"/>
      <c r="BG184" s="205"/>
      <c r="BH184" s="205"/>
      <c r="BI184" s="205"/>
      <c r="BJ184" s="205"/>
      <c r="BK184" s="205"/>
      <c r="BL184" s="205"/>
      <c r="BM184" s="205"/>
      <c r="BN184" s="205"/>
      <c r="BO184" s="205"/>
      <c r="BP184" s="205"/>
      <c r="BQ184" s="205"/>
      <c r="BR184" s="205"/>
      <c r="BS184" s="205"/>
      <c r="BT184" s="205"/>
      <c r="BU184" s="205"/>
      <c r="BV184" s="205"/>
      <c r="BW184" s="205"/>
      <c r="BX184" s="205"/>
      <c r="BY184" s="205"/>
      <c r="BZ184" s="205"/>
      <c r="CA184" s="205"/>
      <c r="CB184" s="205"/>
      <c r="CC184" s="205"/>
      <c r="CD184" s="205"/>
      <c r="CE184" s="205"/>
      <c r="CF184" s="205"/>
      <c r="CG184" s="205"/>
      <c r="CH184" s="205"/>
      <c r="CI184" s="205"/>
      <c r="CJ184" s="205"/>
      <c r="CK184" s="205"/>
      <c r="CL184" s="205"/>
      <c r="CM184" s="205"/>
      <c r="CN184" s="205"/>
      <c r="CO184" s="205"/>
      <c r="CP184" s="205"/>
      <c r="CQ184" s="205"/>
      <c r="CR184" s="205"/>
      <c r="CS184" s="205"/>
      <c r="CT184" s="205"/>
      <c r="CU184" s="205"/>
      <c r="CV184" s="205"/>
      <c r="CW184" s="205"/>
      <c r="CX184" s="205"/>
      <c r="CY184" s="205"/>
      <c r="CZ184" s="205"/>
      <c r="DA184" s="205"/>
      <c r="DB184" s="205"/>
      <c r="DC184" s="205"/>
      <c r="DD184" s="205"/>
      <c r="DE184" s="205"/>
      <c r="DF184" s="205"/>
      <c r="DG184" s="205"/>
      <c r="DH184" s="205"/>
      <c r="DI184" s="205"/>
      <c r="DJ184" s="205"/>
      <c r="DK184" s="205"/>
      <c r="DL184" s="205"/>
      <c r="DM184" s="205"/>
      <c r="DN184" s="205"/>
      <c r="DO184" s="205"/>
      <c r="DP184" s="205"/>
      <c r="DQ184" s="205"/>
      <c r="DR184" s="205"/>
      <c r="DS184" s="205"/>
      <c r="DT184" s="205"/>
      <c r="DU184" s="205"/>
      <c r="DV184" s="205"/>
      <c r="DW184" s="205"/>
      <c r="DX184" s="205"/>
      <c r="DY184" s="205"/>
      <c r="DZ184" s="205"/>
      <c r="EA184" s="205"/>
      <c r="EB184" s="205"/>
      <c r="EC184" s="205"/>
      <c r="ED184" s="205"/>
      <c r="EE184" s="205"/>
      <c r="EF184" s="205"/>
      <c r="EG184" s="205"/>
      <c r="EH184" s="205"/>
      <c r="EI184" s="205"/>
      <c r="EJ184" s="205"/>
      <c r="EK184" s="205"/>
      <c r="EL184" s="205"/>
      <c r="EM184" s="205"/>
      <c r="EN184" s="205"/>
      <c r="EO184" s="205"/>
      <c r="EP184" s="205"/>
      <c r="EQ184" s="205"/>
      <c r="ER184" s="205"/>
      <c r="ES184" s="205"/>
      <c r="ET184" s="205"/>
      <c r="EU184" s="205"/>
      <c r="EV184" s="205"/>
      <c r="EW184" s="205"/>
      <c r="EX184" s="205"/>
      <c r="EY184" s="205"/>
      <c r="EZ184" s="205"/>
      <c r="FA184" s="205"/>
      <c r="FB184" s="205"/>
      <c r="FC184" s="205"/>
      <c r="FD184" s="205"/>
      <c r="FE184" s="205"/>
      <c r="FF184" s="205"/>
      <c r="FG184" s="205"/>
      <c r="FH184" s="205"/>
      <c r="FI184" s="205"/>
      <c r="FJ184" s="205"/>
      <c r="FK184" s="205"/>
      <c r="FL184" s="205"/>
      <c r="FM184" s="205"/>
      <c r="FN184" s="205"/>
      <c r="FO184" s="205"/>
      <c r="FP184" s="205"/>
      <c r="FQ184" s="205"/>
      <c r="FR184" s="205"/>
      <c r="FS184" s="205"/>
      <c r="FT184" s="205"/>
      <c r="FU184" s="205"/>
      <c r="FV184" s="205"/>
      <c r="FW184" s="205"/>
      <c r="FX184" s="205"/>
      <c r="FY184" s="205"/>
      <c r="FZ184" s="205"/>
      <c r="GA184" s="205"/>
      <c r="GB184" s="205"/>
      <c r="GC184" s="205"/>
      <c r="GD184" s="205"/>
      <c r="GE184" s="205"/>
      <c r="GF184" s="205"/>
      <c r="GG184" s="205"/>
      <c r="GH184" s="205"/>
      <c r="GI184" s="205"/>
      <c r="GJ184" s="205"/>
      <c r="GK184" s="205"/>
      <c r="GL184" s="205"/>
      <c r="GM184" s="205"/>
      <c r="GN184" s="205"/>
      <c r="GO184" s="205"/>
      <c r="GP184" s="205"/>
      <c r="GQ184" s="205"/>
      <c r="GR184" s="205"/>
      <c r="GS184" s="205"/>
      <c r="GT184" s="205"/>
      <c r="GU184" s="205"/>
      <c r="GV184" s="205"/>
      <c r="GW184" s="205"/>
      <c r="GX184" s="205"/>
      <c r="GY184" s="205"/>
      <c r="GZ184" s="205"/>
      <c r="HA184" s="205"/>
      <c r="HB184" s="205"/>
      <c r="HC184" s="205"/>
      <c r="HD184" s="205"/>
      <c r="HE184" s="205"/>
      <c r="HF184" s="205"/>
      <c r="HG184" s="205"/>
      <c r="HH184" s="205"/>
      <c r="HI184" s="205"/>
      <c r="HJ184" s="205"/>
      <c r="HK184" s="205"/>
      <c r="HL184" s="205"/>
      <c r="HM184" s="205"/>
      <c r="HN184" s="205"/>
      <c r="HO184" s="205"/>
      <c r="HP184" s="205"/>
      <c r="HQ184" s="205"/>
      <c r="HR184" s="205"/>
      <c r="HS184" s="205"/>
      <c r="HT184" s="205"/>
      <c r="HU184" s="205"/>
      <c r="HV184" s="205"/>
      <c r="HW184" s="205"/>
      <c r="HX184" s="205"/>
      <c r="HY184" s="205"/>
      <c r="HZ184" s="205"/>
      <c r="IA184" s="205"/>
      <c r="IB184" s="205"/>
      <c r="IC184" s="205"/>
      <c r="ID184" s="205"/>
      <c r="IE184" s="205"/>
      <c r="IF184" s="205"/>
      <c r="IG184" s="205"/>
      <c r="IH184" s="205"/>
      <c r="II184" s="205"/>
      <c r="IJ184" s="205"/>
      <c r="IK184" s="205"/>
      <c r="IL184" s="205"/>
      <c r="IM184" s="205"/>
      <c r="IN184" s="205"/>
      <c r="IO184" s="205"/>
      <c r="IP184" s="205"/>
      <c r="IQ184" s="205"/>
      <c r="IR184" s="205"/>
      <c r="IS184" s="205"/>
      <c r="IT184" s="205"/>
      <c r="IU184" s="205"/>
      <c r="IV184" s="205"/>
      <c r="IW184" s="205"/>
      <c r="IX184" s="205"/>
    </row>
    <row r="185" spans="1:258" s="203" customFormat="1" x14ac:dyDescent="0.2">
      <c r="A185" s="669"/>
      <c r="B185" s="670"/>
      <c r="C185" s="1358"/>
      <c r="D185" s="672"/>
      <c r="E185" s="1359"/>
      <c r="F185" s="1359"/>
      <c r="G185" s="1360"/>
      <c r="H185" s="1361"/>
      <c r="I185" s="1362"/>
      <c r="J185" s="1362"/>
      <c r="K185" s="1362"/>
      <c r="L185" s="1362"/>
      <c r="M185" s="1362"/>
      <c r="N185" s="1362"/>
      <c r="O185" s="1362"/>
      <c r="P185" s="1362"/>
      <c r="Q185" s="1362"/>
      <c r="R185" s="1363">
        <f>SUM(R183:R184)</f>
        <v>1245.0086655</v>
      </c>
      <c r="S185" s="1364">
        <f>R185</f>
        <v>1245.0086655</v>
      </c>
      <c r="T185" s="722" t="s">
        <v>298</v>
      </c>
      <c r="U185" s="205"/>
      <c r="V185" s="685"/>
      <c r="W185" s="205"/>
      <c r="X185" s="205"/>
      <c r="Y185" s="205"/>
      <c r="Z185" s="205"/>
      <c r="AA185" s="205"/>
      <c r="AB185" s="205"/>
      <c r="AC185" s="205"/>
      <c r="AD185" s="205"/>
      <c r="AE185" s="205"/>
      <c r="AF185" s="205"/>
      <c r="AG185" s="205"/>
      <c r="AH185" s="205"/>
      <c r="AI185" s="205"/>
      <c r="AJ185" s="205"/>
      <c r="AK185" s="205"/>
      <c r="AL185" s="205"/>
      <c r="AM185" s="205"/>
      <c r="AN185" s="205"/>
      <c r="AO185" s="205"/>
      <c r="AP185" s="205"/>
      <c r="AQ185" s="205"/>
      <c r="AR185" s="205"/>
      <c r="AS185" s="205"/>
      <c r="AT185" s="205"/>
      <c r="AU185" s="205"/>
      <c r="AV185" s="205"/>
      <c r="AW185" s="205"/>
      <c r="AX185" s="205"/>
      <c r="AY185" s="205"/>
      <c r="AZ185" s="205"/>
      <c r="BA185" s="205"/>
      <c r="BB185" s="205"/>
      <c r="BC185" s="205"/>
      <c r="BD185" s="205"/>
      <c r="BE185" s="205"/>
      <c r="BF185" s="205"/>
      <c r="BG185" s="205"/>
      <c r="BH185" s="205"/>
      <c r="BI185" s="205"/>
      <c r="BJ185" s="205"/>
      <c r="BK185" s="205"/>
      <c r="BL185" s="205"/>
      <c r="BM185" s="205"/>
      <c r="BN185" s="205"/>
      <c r="BO185" s="205"/>
      <c r="BP185" s="205"/>
      <c r="BQ185" s="205"/>
      <c r="BR185" s="205"/>
      <c r="BS185" s="205"/>
      <c r="BT185" s="205"/>
      <c r="BU185" s="205"/>
      <c r="BV185" s="205"/>
      <c r="BW185" s="205"/>
      <c r="BX185" s="205"/>
      <c r="BY185" s="205"/>
      <c r="BZ185" s="205"/>
      <c r="CA185" s="205"/>
      <c r="CB185" s="205"/>
      <c r="CC185" s="205"/>
      <c r="CD185" s="205"/>
      <c r="CE185" s="205"/>
      <c r="CF185" s="205"/>
      <c r="CG185" s="205"/>
      <c r="CH185" s="205"/>
      <c r="CI185" s="205"/>
      <c r="CJ185" s="205"/>
      <c r="CK185" s="205"/>
      <c r="CL185" s="205"/>
      <c r="CM185" s="205"/>
      <c r="CN185" s="205"/>
      <c r="CO185" s="205"/>
      <c r="CP185" s="205"/>
      <c r="CQ185" s="205"/>
      <c r="CR185" s="205"/>
      <c r="CS185" s="205"/>
      <c r="CT185" s="205"/>
      <c r="CU185" s="205"/>
      <c r="CV185" s="205"/>
      <c r="CW185" s="205"/>
      <c r="CX185" s="205"/>
      <c r="CY185" s="205"/>
      <c r="CZ185" s="205"/>
      <c r="DA185" s="205"/>
      <c r="DB185" s="205"/>
      <c r="DC185" s="205"/>
      <c r="DD185" s="205"/>
      <c r="DE185" s="205"/>
      <c r="DF185" s="205"/>
      <c r="DG185" s="205"/>
      <c r="DH185" s="205"/>
      <c r="DI185" s="205"/>
      <c r="DJ185" s="205"/>
      <c r="DK185" s="205"/>
      <c r="DL185" s="205"/>
      <c r="DM185" s="205"/>
      <c r="DN185" s="205"/>
      <c r="DO185" s="205"/>
      <c r="DP185" s="205"/>
      <c r="DQ185" s="205"/>
      <c r="DR185" s="205"/>
      <c r="DS185" s="205"/>
      <c r="DT185" s="205"/>
      <c r="DU185" s="205"/>
      <c r="DV185" s="205"/>
      <c r="DW185" s="205"/>
      <c r="DX185" s="205"/>
      <c r="DY185" s="205"/>
      <c r="DZ185" s="205"/>
      <c r="EA185" s="205"/>
      <c r="EB185" s="205"/>
      <c r="EC185" s="205"/>
      <c r="ED185" s="205"/>
      <c r="EE185" s="205"/>
      <c r="EF185" s="205"/>
      <c r="EG185" s="205"/>
      <c r="EH185" s="205"/>
      <c r="EI185" s="205"/>
      <c r="EJ185" s="205"/>
      <c r="EK185" s="205"/>
      <c r="EL185" s="205"/>
      <c r="EM185" s="205"/>
      <c r="EN185" s="205"/>
      <c r="EO185" s="205"/>
      <c r="EP185" s="205"/>
      <c r="EQ185" s="205"/>
      <c r="ER185" s="205"/>
      <c r="ES185" s="205"/>
      <c r="ET185" s="205"/>
      <c r="EU185" s="205"/>
      <c r="EV185" s="205"/>
      <c r="EW185" s="205"/>
      <c r="EX185" s="205"/>
      <c r="EY185" s="205"/>
      <c r="EZ185" s="205"/>
      <c r="FA185" s="205"/>
      <c r="FB185" s="205"/>
      <c r="FC185" s="205"/>
      <c r="FD185" s="205"/>
      <c r="FE185" s="205"/>
      <c r="FF185" s="205"/>
      <c r="FG185" s="205"/>
      <c r="FH185" s="205"/>
      <c r="FI185" s="205"/>
      <c r="FJ185" s="205"/>
      <c r="FK185" s="205"/>
      <c r="FL185" s="205"/>
      <c r="FM185" s="205"/>
      <c r="FN185" s="205"/>
      <c r="FO185" s="205"/>
      <c r="FP185" s="205"/>
      <c r="FQ185" s="205"/>
      <c r="FR185" s="205"/>
      <c r="FS185" s="205"/>
      <c r="FT185" s="205"/>
      <c r="FU185" s="205"/>
      <c r="FV185" s="205"/>
      <c r="FW185" s="205"/>
      <c r="FX185" s="205"/>
      <c r="FY185" s="205"/>
      <c r="FZ185" s="205"/>
      <c r="GA185" s="205"/>
      <c r="GB185" s="205"/>
      <c r="GC185" s="205"/>
      <c r="GD185" s="205"/>
      <c r="GE185" s="205"/>
      <c r="GF185" s="205"/>
      <c r="GG185" s="205"/>
      <c r="GH185" s="205"/>
      <c r="GI185" s="205"/>
      <c r="GJ185" s="205"/>
      <c r="GK185" s="205"/>
      <c r="GL185" s="205"/>
      <c r="GM185" s="205"/>
      <c r="GN185" s="205"/>
      <c r="GO185" s="205"/>
      <c r="GP185" s="205"/>
      <c r="GQ185" s="205"/>
      <c r="GR185" s="205"/>
      <c r="GS185" s="205"/>
      <c r="GT185" s="205"/>
      <c r="GU185" s="205"/>
      <c r="GV185" s="205"/>
      <c r="GW185" s="205"/>
      <c r="GX185" s="205"/>
      <c r="GY185" s="205"/>
      <c r="GZ185" s="205"/>
      <c r="HA185" s="205"/>
      <c r="HB185" s="205"/>
      <c r="HC185" s="205"/>
      <c r="HD185" s="205"/>
      <c r="HE185" s="205"/>
      <c r="HF185" s="205"/>
      <c r="HG185" s="205"/>
      <c r="HH185" s="205"/>
      <c r="HI185" s="205"/>
      <c r="HJ185" s="205"/>
      <c r="HK185" s="205"/>
      <c r="HL185" s="205"/>
      <c r="HM185" s="205"/>
      <c r="HN185" s="205"/>
      <c r="HO185" s="205"/>
      <c r="HP185" s="205"/>
      <c r="HQ185" s="205"/>
      <c r="HR185" s="205"/>
      <c r="HS185" s="205"/>
      <c r="HT185" s="205"/>
      <c r="HU185" s="205"/>
      <c r="HV185" s="205"/>
      <c r="HW185" s="205"/>
      <c r="HX185" s="205"/>
      <c r="HY185" s="205"/>
      <c r="HZ185" s="205"/>
      <c r="IA185" s="205"/>
      <c r="IB185" s="205"/>
      <c r="IC185" s="205"/>
      <c r="ID185" s="205"/>
      <c r="IE185" s="205"/>
      <c r="IF185" s="205"/>
      <c r="IG185" s="205"/>
      <c r="IH185" s="205"/>
      <c r="II185" s="205"/>
      <c r="IJ185" s="205"/>
      <c r="IK185" s="205"/>
      <c r="IL185" s="205"/>
      <c r="IM185" s="205"/>
      <c r="IN185" s="205"/>
      <c r="IO185" s="205"/>
      <c r="IP185" s="205"/>
      <c r="IQ185" s="205"/>
      <c r="IR185" s="205"/>
      <c r="IS185" s="205"/>
      <c r="IT185" s="205"/>
      <c r="IU185" s="205"/>
      <c r="IV185" s="205"/>
      <c r="IW185" s="205"/>
      <c r="IX185" s="205"/>
    </row>
    <row r="186" spans="1:258" s="203" customFormat="1" x14ac:dyDescent="0.2">
      <c r="A186" s="669"/>
      <c r="B186" s="670"/>
      <c r="C186" s="1358"/>
      <c r="D186" s="672"/>
      <c r="E186" s="1359"/>
      <c r="F186" s="1359"/>
      <c r="G186" s="1360"/>
      <c r="H186" s="1361"/>
      <c r="I186" s="1362"/>
      <c r="J186" s="1362"/>
      <c r="K186" s="1362"/>
      <c r="L186" s="1362"/>
      <c r="M186" s="1362"/>
      <c r="N186" s="1362"/>
      <c r="O186" s="1362"/>
      <c r="P186" s="1362"/>
      <c r="Q186" s="1362"/>
      <c r="R186" s="1363"/>
      <c r="S186" s="1364"/>
      <c r="T186" s="722"/>
      <c r="U186" s="205"/>
      <c r="V186" s="685"/>
      <c r="W186" s="205"/>
      <c r="X186" s="205"/>
      <c r="Y186" s="205"/>
      <c r="Z186" s="205"/>
      <c r="AA186" s="205"/>
      <c r="AB186" s="205"/>
      <c r="AC186" s="205"/>
      <c r="AD186" s="205"/>
      <c r="AE186" s="205"/>
      <c r="AF186" s="205"/>
      <c r="AG186" s="205"/>
      <c r="AH186" s="205"/>
      <c r="AI186" s="205"/>
      <c r="AJ186" s="205"/>
      <c r="AK186" s="205"/>
      <c r="AL186" s="205"/>
      <c r="AM186" s="205"/>
      <c r="AN186" s="205"/>
      <c r="AO186" s="205"/>
      <c r="AP186" s="205"/>
      <c r="AQ186" s="205"/>
      <c r="AR186" s="205"/>
      <c r="AS186" s="205"/>
      <c r="AT186" s="205"/>
      <c r="AU186" s="205"/>
      <c r="AV186" s="205"/>
      <c r="AW186" s="205"/>
      <c r="AX186" s="205"/>
      <c r="AY186" s="205"/>
      <c r="AZ186" s="205"/>
      <c r="BA186" s="205"/>
      <c r="BB186" s="205"/>
      <c r="BC186" s="205"/>
      <c r="BD186" s="205"/>
      <c r="BE186" s="205"/>
      <c r="BF186" s="205"/>
      <c r="BG186" s="205"/>
      <c r="BH186" s="205"/>
      <c r="BI186" s="205"/>
      <c r="BJ186" s="205"/>
      <c r="BK186" s="205"/>
      <c r="BL186" s="205"/>
      <c r="BM186" s="205"/>
      <c r="BN186" s="205"/>
      <c r="BO186" s="205"/>
      <c r="BP186" s="205"/>
      <c r="BQ186" s="205"/>
      <c r="BR186" s="205"/>
      <c r="BS186" s="205"/>
      <c r="BT186" s="205"/>
      <c r="BU186" s="205"/>
      <c r="BV186" s="205"/>
      <c r="BW186" s="205"/>
      <c r="BX186" s="205"/>
      <c r="BY186" s="205"/>
      <c r="BZ186" s="205"/>
      <c r="CA186" s="205"/>
      <c r="CB186" s="205"/>
      <c r="CC186" s="205"/>
      <c r="CD186" s="205"/>
      <c r="CE186" s="205"/>
      <c r="CF186" s="205"/>
      <c r="CG186" s="205"/>
      <c r="CH186" s="205"/>
      <c r="CI186" s="205"/>
      <c r="CJ186" s="205"/>
      <c r="CK186" s="205"/>
      <c r="CL186" s="205"/>
      <c r="CM186" s="205"/>
      <c r="CN186" s="205"/>
      <c r="CO186" s="205"/>
      <c r="CP186" s="205"/>
      <c r="CQ186" s="205"/>
      <c r="CR186" s="205"/>
      <c r="CS186" s="205"/>
      <c r="CT186" s="205"/>
      <c r="CU186" s="205"/>
      <c r="CV186" s="205"/>
      <c r="CW186" s="205"/>
      <c r="CX186" s="205"/>
      <c r="CY186" s="205"/>
      <c r="CZ186" s="205"/>
      <c r="DA186" s="205"/>
      <c r="DB186" s="205"/>
      <c r="DC186" s="205"/>
      <c r="DD186" s="205"/>
      <c r="DE186" s="205"/>
      <c r="DF186" s="205"/>
      <c r="DG186" s="205"/>
      <c r="DH186" s="205"/>
      <c r="DI186" s="205"/>
      <c r="DJ186" s="205"/>
      <c r="DK186" s="205"/>
      <c r="DL186" s="205"/>
      <c r="DM186" s="205"/>
      <c r="DN186" s="205"/>
      <c r="DO186" s="205"/>
      <c r="DP186" s="205"/>
      <c r="DQ186" s="205"/>
      <c r="DR186" s="205"/>
      <c r="DS186" s="205"/>
      <c r="DT186" s="205"/>
      <c r="DU186" s="205"/>
      <c r="DV186" s="205"/>
      <c r="DW186" s="205"/>
      <c r="DX186" s="205"/>
      <c r="DY186" s="205"/>
      <c r="DZ186" s="205"/>
      <c r="EA186" s="205"/>
      <c r="EB186" s="205"/>
      <c r="EC186" s="205"/>
      <c r="ED186" s="205"/>
      <c r="EE186" s="205"/>
      <c r="EF186" s="205"/>
      <c r="EG186" s="205"/>
      <c r="EH186" s="205"/>
      <c r="EI186" s="205"/>
      <c r="EJ186" s="205"/>
      <c r="EK186" s="205"/>
      <c r="EL186" s="205"/>
      <c r="EM186" s="205"/>
      <c r="EN186" s="205"/>
      <c r="EO186" s="205"/>
      <c r="EP186" s="205"/>
      <c r="EQ186" s="205"/>
      <c r="ER186" s="205"/>
      <c r="ES186" s="205"/>
      <c r="ET186" s="205"/>
      <c r="EU186" s="205"/>
      <c r="EV186" s="205"/>
      <c r="EW186" s="205"/>
      <c r="EX186" s="205"/>
      <c r="EY186" s="205"/>
      <c r="EZ186" s="205"/>
      <c r="FA186" s="205"/>
      <c r="FB186" s="205"/>
      <c r="FC186" s="205"/>
      <c r="FD186" s="205"/>
      <c r="FE186" s="205"/>
      <c r="FF186" s="205"/>
      <c r="FG186" s="205"/>
      <c r="FH186" s="205"/>
      <c r="FI186" s="205"/>
      <c r="FJ186" s="205"/>
      <c r="FK186" s="205"/>
      <c r="FL186" s="205"/>
      <c r="FM186" s="205"/>
      <c r="FN186" s="205"/>
      <c r="FO186" s="205"/>
      <c r="FP186" s="205"/>
      <c r="FQ186" s="205"/>
      <c r="FR186" s="205"/>
      <c r="FS186" s="205"/>
      <c r="FT186" s="205"/>
      <c r="FU186" s="205"/>
      <c r="FV186" s="205"/>
      <c r="FW186" s="205"/>
      <c r="FX186" s="205"/>
      <c r="FY186" s="205"/>
      <c r="FZ186" s="205"/>
      <c r="GA186" s="205"/>
      <c r="GB186" s="205"/>
      <c r="GC186" s="205"/>
      <c r="GD186" s="205"/>
      <c r="GE186" s="205"/>
      <c r="GF186" s="205"/>
      <c r="GG186" s="205"/>
      <c r="GH186" s="205"/>
      <c r="GI186" s="205"/>
      <c r="GJ186" s="205"/>
      <c r="GK186" s="205"/>
      <c r="GL186" s="205"/>
      <c r="GM186" s="205"/>
      <c r="GN186" s="205"/>
      <c r="GO186" s="205"/>
      <c r="GP186" s="205"/>
      <c r="GQ186" s="205"/>
      <c r="GR186" s="205"/>
      <c r="GS186" s="205"/>
      <c r="GT186" s="205"/>
      <c r="GU186" s="205"/>
      <c r="GV186" s="205"/>
      <c r="GW186" s="205"/>
      <c r="GX186" s="205"/>
      <c r="GY186" s="205"/>
      <c r="GZ186" s="205"/>
      <c r="HA186" s="205"/>
      <c r="HB186" s="205"/>
      <c r="HC186" s="205"/>
      <c r="HD186" s="205"/>
      <c r="HE186" s="205"/>
      <c r="HF186" s="205"/>
      <c r="HG186" s="205"/>
      <c r="HH186" s="205"/>
      <c r="HI186" s="205"/>
      <c r="HJ186" s="205"/>
      <c r="HK186" s="205"/>
      <c r="HL186" s="205"/>
      <c r="HM186" s="205"/>
      <c r="HN186" s="205"/>
      <c r="HO186" s="205"/>
      <c r="HP186" s="205"/>
      <c r="HQ186" s="205"/>
      <c r="HR186" s="205"/>
      <c r="HS186" s="205"/>
      <c r="HT186" s="205"/>
      <c r="HU186" s="205"/>
      <c r="HV186" s="205"/>
      <c r="HW186" s="205"/>
      <c r="HX186" s="205"/>
      <c r="HY186" s="205"/>
      <c r="HZ186" s="205"/>
      <c r="IA186" s="205"/>
      <c r="IB186" s="205"/>
      <c r="IC186" s="205"/>
      <c r="ID186" s="205"/>
      <c r="IE186" s="205"/>
      <c r="IF186" s="205"/>
      <c r="IG186" s="205"/>
      <c r="IH186" s="205"/>
      <c r="II186" s="205"/>
      <c r="IJ186" s="205"/>
      <c r="IK186" s="205"/>
      <c r="IL186" s="205"/>
      <c r="IM186" s="205"/>
      <c r="IN186" s="205"/>
      <c r="IO186" s="205"/>
      <c r="IP186" s="205"/>
      <c r="IQ186" s="205"/>
      <c r="IR186" s="205"/>
      <c r="IS186" s="205"/>
      <c r="IT186" s="205"/>
      <c r="IU186" s="205"/>
      <c r="IV186" s="205"/>
      <c r="IW186" s="205"/>
      <c r="IX186" s="205"/>
    </row>
    <row r="187" spans="1:258" s="203" customFormat="1" x14ac:dyDescent="0.2">
      <c r="A187" s="669"/>
      <c r="B187" s="670">
        <f>RAB!B68</f>
        <v>8</v>
      </c>
      <c r="C187" s="686" t="e">
        <f>RAB!D68</f>
        <v>#REF!</v>
      </c>
      <c r="D187" s="672"/>
      <c r="E187" s="673"/>
      <c r="F187" s="673"/>
      <c r="G187" s="674"/>
      <c r="H187" s="675"/>
      <c r="I187" s="676"/>
      <c r="J187" s="676"/>
      <c r="K187" s="676"/>
      <c r="L187" s="676"/>
      <c r="M187" s="676"/>
      <c r="N187" s="676"/>
      <c r="O187" s="676"/>
      <c r="P187" s="676"/>
      <c r="Q187" s="676"/>
      <c r="R187" s="677"/>
      <c r="S187" s="678"/>
      <c r="T187" s="684"/>
      <c r="U187" s="205"/>
      <c r="V187" s="685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5"/>
      <c r="AR187" s="205"/>
      <c r="AS187" s="205"/>
      <c r="AT187" s="205"/>
      <c r="AU187" s="205"/>
      <c r="AV187" s="205"/>
      <c r="AW187" s="205"/>
      <c r="AX187" s="205"/>
      <c r="AY187" s="205"/>
      <c r="AZ187" s="205"/>
      <c r="BA187" s="205"/>
      <c r="BB187" s="205"/>
      <c r="BC187" s="205"/>
      <c r="BD187" s="205"/>
      <c r="BE187" s="205"/>
      <c r="BF187" s="205"/>
      <c r="BG187" s="205"/>
      <c r="BH187" s="205"/>
      <c r="BI187" s="205"/>
      <c r="BJ187" s="205"/>
      <c r="BK187" s="205"/>
      <c r="BL187" s="205"/>
      <c r="BM187" s="205"/>
      <c r="BN187" s="205"/>
      <c r="BO187" s="205"/>
      <c r="BP187" s="205"/>
      <c r="BQ187" s="205"/>
      <c r="BR187" s="205"/>
      <c r="BS187" s="205"/>
      <c r="BT187" s="205"/>
      <c r="BU187" s="205"/>
      <c r="BV187" s="205"/>
      <c r="BW187" s="205"/>
      <c r="BX187" s="205"/>
      <c r="BY187" s="205"/>
      <c r="BZ187" s="205"/>
      <c r="CA187" s="205"/>
      <c r="CB187" s="205"/>
      <c r="CC187" s="205"/>
      <c r="CD187" s="205"/>
      <c r="CE187" s="205"/>
      <c r="CF187" s="205"/>
      <c r="CG187" s="205"/>
      <c r="CH187" s="205"/>
      <c r="CI187" s="205"/>
      <c r="CJ187" s="205"/>
      <c r="CK187" s="205"/>
      <c r="CL187" s="205"/>
      <c r="CM187" s="205"/>
      <c r="CN187" s="205"/>
      <c r="CO187" s="205"/>
      <c r="CP187" s="205"/>
      <c r="CQ187" s="205"/>
      <c r="CR187" s="205"/>
      <c r="CS187" s="205"/>
      <c r="CT187" s="205"/>
      <c r="CU187" s="205"/>
      <c r="CV187" s="205"/>
      <c r="CW187" s="205"/>
      <c r="CX187" s="205"/>
      <c r="CY187" s="205"/>
      <c r="CZ187" s="205"/>
      <c r="DA187" s="205"/>
      <c r="DB187" s="205"/>
      <c r="DC187" s="205"/>
      <c r="DD187" s="205"/>
      <c r="DE187" s="205"/>
      <c r="DF187" s="205"/>
      <c r="DG187" s="205"/>
      <c r="DH187" s="205"/>
      <c r="DI187" s="205"/>
      <c r="DJ187" s="205"/>
      <c r="DK187" s="205"/>
      <c r="DL187" s="205"/>
      <c r="DM187" s="205"/>
      <c r="DN187" s="205"/>
      <c r="DO187" s="205"/>
      <c r="DP187" s="205"/>
      <c r="DQ187" s="205"/>
      <c r="DR187" s="205"/>
      <c r="DS187" s="205"/>
      <c r="DT187" s="205"/>
      <c r="DU187" s="205"/>
      <c r="DV187" s="205"/>
      <c r="DW187" s="205"/>
      <c r="DX187" s="205"/>
      <c r="DY187" s="205"/>
      <c r="DZ187" s="205"/>
      <c r="EA187" s="205"/>
      <c r="EB187" s="205"/>
      <c r="EC187" s="205"/>
      <c r="ED187" s="205"/>
      <c r="EE187" s="205"/>
      <c r="EF187" s="205"/>
      <c r="EG187" s="205"/>
      <c r="EH187" s="205"/>
      <c r="EI187" s="205"/>
      <c r="EJ187" s="205"/>
      <c r="EK187" s="205"/>
      <c r="EL187" s="205"/>
      <c r="EM187" s="205"/>
      <c r="EN187" s="205"/>
      <c r="EO187" s="205"/>
      <c r="EP187" s="205"/>
      <c r="EQ187" s="205"/>
      <c r="ER187" s="205"/>
      <c r="ES187" s="205"/>
      <c r="ET187" s="205"/>
      <c r="EU187" s="205"/>
      <c r="EV187" s="205"/>
      <c r="EW187" s="205"/>
      <c r="EX187" s="205"/>
      <c r="EY187" s="205"/>
      <c r="EZ187" s="205"/>
      <c r="FA187" s="205"/>
      <c r="FB187" s="205"/>
      <c r="FC187" s="205"/>
      <c r="FD187" s="205"/>
      <c r="FE187" s="205"/>
      <c r="FF187" s="205"/>
      <c r="FG187" s="205"/>
      <c r="FH187" s="205"/>
      <c r="FI187" s="205"/>
      <c r="FJ187" s="205"/>
      <c r="FK187" s="205"/>
      <c r="FL187" s="205"/>
      <c r="FM187" s="205"/>
      <c r="FN187" s="205"/>
      <c r="FO187" s="205"/>
      <c r="FP187" s="205"/>
      <c r="FQ187" s="205"/>
      <c r="FR187" s="205"/>
      <c r="FS187" s="205"/>
      <c r="FT187" s="205"/>
      <c r="FU187" s="205"/>
      <c r="FV187" s="205"/>
      <c r="FW187" s="205"/>
      <c r="FX187" s="205"/>
      <c r="FY187" s="205"/>
      <c r="FZ187" s="205"/>
      <c r="GA187" s="205"/>
      <c r="GB187" s="205"/>
      <c r="GC187" s="205"/>
      <c r="GD187" s="205"/>
      <c r="GE187" s="205"/>
      <c r="GF187" s="205"/>
      <c r="GG187" s="205"/>
      <c r="GH187" s="205"/>
      <c r="GI187" s="205"/>
      <c r="GJ187" s="205"/>
      <c r="GK187" s="205"/>
      <c r="GL187" s="205"/>
      <c r="GM187" s="205"/>
      <c r="GN187" s="205"/>
      <c r="GO187" s="205"/>
      <c r="GP187" s="205"/>
      <c r="GQ187" s="205"/>
      <c r="GR187" s="205"/>
      <c r="GS187" s="205"/>
      <c r="GT187" s="205"/>
      <c r="GU187" s="205"/>
      <c r="GV187" s="205"/>
      <c r="GW187" s="205"/>
      <c r="GX187" s="205"/>
      <c r="GY187" s="205"/>
      <c r="GZ187" s="205"/>
      <c r="HA187" s="205"/>
      <c r="HB187" s="205"/>
      <c r="HC187" s="205"/>
      <c r="HD187" s="205"/>
      <c r="HE187" s="205"/>
      <c r="HF187" s="205"/>
      <c r="HG187" s="205"/>
      <c r="HH187" s="205"/>
      <c r="HI187" s="205"/>
      <c r="HJ187" s="205"/>
      <c r="HK187" s="205"/>
      <c r="HL187" s="205"/>
      <c r="HM187" s="205"/>
      <c r="HN187" s="205"/>
      <c r="HO187" s="205"/>
      <c r="HP187" s="205"/>
      <c r="HQ187" s="205"/>
      <c r="HR187" s="205"/>
      <c r="HS187" s="205"/>
      <c r="HT187" s="205"/>
      <c r="HU187" s="205"/>
      <c r="HV187" s="205"/>
      <c r="HW187" s="205"/>
      <c r="HX187" s="205"/>
      <c r="HY187" s="205"/>
      <c r="HZ187" s="205"/>
      <c r="IA187" s="205"/>
      <c r="IB187" s="205"/>
      <c r="IC187" s="205"/>
      <c r="ID187" s="205"/>
      <c r="IE187" s="205"/>
      <c r="IF187" s="205"/>
      <c r="IG187" s="205"/>
      <c r="IH187" s="205"/>
      <c r="II187" s="205"/>
      <c r="IJ187" s="205"/>
      <c r="IK187" s="205"/>
      <c r="IL187" s="205"/>
      <c r="IM187" s="205"/>
      <c r="IN187" s="205"/>
      <c r="IO187" s="205"/>
      <c r="IP187" s="205"/>
      <c r="IQ187" s="205"/>
      <c r="IR187" s="205"/>
      <c r="IS187" s="205"/>
      <c r="IT187" s="205"/>
      <c r="IU187" s="205"/>
      <c r="IV187" s="205"/>
      <c r="IW187" s="205"/>
      <c r="IX187" s="205"/>
    </row>
    <row r="188" spans="1:258" s="203" customFormat="1" x14ac:dyDescent="0.2">
      <c r="A188" s="669"/>
      <c r="B188" s="670"/>
      <c r="C188" s="1358"/>
      <c r="D188" s="672"/>
      <c r="E188" s="1359"/>
      <c r="F188" s="1359"/>
      <c r="G188" s="1360"/>
      <c r="H188" s="1361">
        <f>H183</f>
        <v>223</v>
      </c>
      <c r="I188" s="1362" t="s">
        <v>424</v>
      </c>
      <c r="J188" s="1362">
        <f>L175+L175</f>
        <v>0.4</v>
      </c>
      <c r="K188" s="1362"/>
      <c r="L188" s="1362"/>
      <c r="M188" s="1362"/>
      <c r="N188" s="1362"/>
      <c r="O188" s="1362"/>
      <c r="P188" s="1362"/>
      <c r="Q188" s="1362" t="s">
        <v>696</v>
      </c>
      <c r="R188" s="1363">
        <f>H188*J188</f>
        <v>89.2</v>
      </c>
      <c r="S188" s="1364">
        <f>R188</f>
        <v>89.2</v>
      </c>
      <c r="T188" s="722" t="s">
        <v>338</v>
      </c>
      <c r="U188" s="205"/>
      <c r="V188" s="68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5"/>
      <c r="AW188" s="205"/>
      <c r="AX188" s="205"/>
      <c r="AY188" s="205"/>
      <c r="AZ188" s="205"/>
      <c r="BA188" s="205"/>
      <c r="BB188" s="205"/>
      <c r="BC188" s="205"/>
      <c r="BD188" s="205"/>
      <c r="BE188" s="205"/>
      <c r="BF188" s="205"/>
      <c r="BG188" s="205"/>
      <c r="BH188" s="205"/>
      <c r="BI188" s="205"/>
      <c r="BJ188" s="205"/>
      <c r="BK188" s="205"/>
      <c r="BL188" s="205"/>
      <c r="BM188" s="205"/>
      <c r="BN188" s="205"/>
      <c r="BO188" s="205"/>
      <c r="BP188" s="205"/>
      <c r="BQ188" s="205"/>
      <c r="BR188" s="205"/>
      <c r="BS188" s="205"/>
      <c r="BT188" s="205"/>
      <c r="BU188" s="205"/>
      <c r="BV188" s="205"/>
      <c r="BW188" s="205"/>
      <c r="BX188" s="205"/>
      <c r="BY188" s="205"/>
      <c r="BZ188" s="205"/>
      <c r="CA188" s="205"/>
      <c r="CB188" s="205"/>
      <c r="CC188" s="205"/>
      <c r="CD188" s="205"/>
      <c r="CE188" s="205"/>
      <c r="CF188" s="205"/>
      <c r="CG188" s="205"/>
      <c r="CH188" s="205"/>
      <c r="CI188" s="205"/>
      <c r="CJ188" s="205"/>
      <c r="CK188" s="205"/>
      <c r="CL188" s="205"/>
      <c r="CM188" s="205"/>
      <c r="CN188" s="205"/>
      <c r="CO188" s="205"/>
      <c r="CP188" s="205"/>
      <c r="CQ188" s="205"/>
      <c r="CR188" s="205"/>
      <c r="CS188" s="205"/>
      <c r="CT188" s="205"/>
      <c r="CU188" s="205"/>
      <c r="CV188" s="205"/>
      <c r="CW188" s="205"/>
      <c r="CX188" s="205"/>
      <c r="CY188" s="205"/>
      <c r="CZ188" s="205"/>
      <c r="DA188" s="205"/>
      <c r="DB188" s="205"/>
      <c r="DC188" s="205"/>
      <c r="DD188" s="205"/>
      <c r="DE188" s="205"/>
      <c r="DF188" s="205"/>
      <c r="DG188" s="205"/>
      <c r="DH188" s="205"/>
      <c r="DI188" s="205"/>
      <c r="DJ188" s="205"/>
      <c r="DK188" s="205"/>
      <c r="DL188" s="205"/>
      <c r="DM188" s="205"/>
      <c r="DN188" s="205"/>
      <c r="DO188" s="205"/>
      <c r="DP188" s="205"/>
      <c r="DQ188" s="205"/>
      <c r="DR188" s="205"/>
      <c r="DS188" s="205"/>
      <c r="DT188" s="205"/>
      <c r="DU188" s="205"/>
      <c r="DV188" s="205"/>
      <c r="DW188" s="205"/>
      <c r="DX188" s="205"/>
      <c r="DY188" s="205"/>
      <c r="DZ188" s="205"/>
      <c r="EA188" s="205"/>
      <c r="EB188" s="205"/>
      <c r="EC188" s="205"/>
      <c r="ED188" s="205"/>
      <c r="EE188" s="205"/>
      <c r="EF188" s="205"/>
      <c r="EG188" s="205"/>
      <c r="EH188" s="205"/>
      <c r="EI188" s="205"/>
      <c r="EJ188" s="205"/>
      <c r="EK188" s="205"/>
      <c r="EL188" s="205"/>
      <c r="EM188" s="205"/>
      <c r="EN188" s="205"/>
      <c r="EO188" s="205"/>
      <c r="EP188" s="205"/>
      <c r="EQ188" s="205"/>
      <c r="ER188" s="205"/>
      <c r="ES188" s="205"/>
      <c r="ET188" s="205"/>
      <c r="EU188" s="205"/>
      <c r="EV188" s="205"/>
      <c r="EW188" s="205"/>
      <c r="EX188" s="205"/>
      <c r="EY188" s="205"/>
      <c r="EZ188" s="205"/>
      <c r="FA188" s="205"/>
      <c r="FB188" s="205"/>
      <c r="FC188" s="205"/>
      <c r="FD188" s="205"/>
      <c r="FE188" s="205"/>
      <c r="FF188" s="205"/>
      <c r="FG188" s="205"/>
      <c r="FH188" s="205"/>
      <c r="FI188" s="205"/>
      <c r="FJ188" s="205"/>
      <c r="FK188" s="205"/>
      <c r="FL188" s="205"/>
      <c r="FM188" s="205"/>
      <c r="FN188" s="205"/>
      <c r="FO188" s="205"/>
      <c r="FP188" s="205"/>
      <c r="FQ188" s="205"/>
      <c r="FR188" s="205"/>
      <c r="FS188" s="205"/>
      <c r="FT188" s="205"/>
      <c r="FU188" s="205"/>
      <c r="FV188" s="205"/>
      <c r="FW188" s="205"/>
      <c r="FX188" s="205"/>
      <c r="FY188" s="205"/>
      <c r="FZ188" s="205"/>
      <c r="GA188" s="205"/>
      <c r="GB188" s="205"/>
      <c r="GC188" s="205"/>
      <c r="GD188" s="205"/>
      <c r="GE188" s="205"/>
      <c r="GF188" s="205"/>
      <c r="GG188" s="205"/>
      <c r="GH188" s="205"/>
      <c r="GI188" s="205"/>
      <c r="GJ188" s="205"/>
      <c r="GK188" s="205"/>
      <c r="GL188" s="205"/>
      <c r="GM188" s="205"/>
      <c r="GN188" s="205"/>
      <c r="GO188" s="205"/>
      <c r="GP188" s="205"/>
      <c r="GQ188" s="205"/>
      <c r="GR188" s="205"/>
      <c r="GS188" s="205"/>
      <c r="GT188" s="205"/>
      <c r="GU188" s="205"/>
      <c r="GV188" s="205"/>
      <c r="GW188" s="205"/>
      <c r="GX188" s="205"/>
      <c r="GY188" s="205"/>
      <c r="GZ188" s="205"/>
      <c r="HA188" s="205"/>
      <c r="HB188" s="205"/>
      <c r="HC188" s="205"/>
      <c r="HD188" s="205"/>
      <c r="HE188" s="205"/>
      <c r="HF188" s="205"/>
      <c r="HG188" s="205"/>
      <c r="HH188" s="205"/>
      <c r="HI188" s="205"/>
      <c r="HJ188" s="205"/>
      <c r="HK188" s="205"/>
      <c r="HL188" s="205"/>
      <c r="HM188" s="205"/>
      <c r="HN188" s="205"/>
      <c r="HO188" s="205"/>
      <c r="HP188" s="205"/>
      <c r="HQ188" s="205"/>
      <c r="HR188" s="205"/>
      <c r="HS188" s="205"/>
      <c r="HT188" s="205"/>
      <c r="HU188" s="205"/>
      <c r="HV188" s="205"/>
      <c r="HW188" s="205"/>
      <c r="HX188" s="205"/>
      <c r="HY188" s="205"/>
      <c r="HZ188" s="205"/>
      <c r="IA188" s="205"/>
      <c r="IB188" s="205"/>
      <c r="IC188" s="205"/>
      <c r="ID188" s="205"/>
      <c r="IE188" s="205"/>
      <c r="IF188" s="205"/>
      <c r="IG188" s="205"/>
      <c r="IH188" s="205"/>
      <c r="II188" s="205"/>
      <c r="IJ188" s="205"/>
      <c r="IK188" s="205"/>
      <c r="IL188" s="205"/>
      <c r="IM188" s="205"/>
      <c r="IN188" s="205"/>
      <c r="IO188" s="205"/>
      <c r="IP188" s="205"/>
      <c r="IQ188" s="205"/>
      <c r="IR188" s="205"/>
      <c r="IS188" s="205"/>
      <c r="IT188" s="205"/>
      <c r="IU188" s="205"/>
      <c r="IV188" s="205"/>
      <c r="IW188" s="205"/>
      <c r="IX188" s="205"/>
    </row>
    <row r="189" spans="1:258" s="203" customFormat="1" x14ac:dyDescent="0.2">
      <c r="A189" s="669"/>
      <c r="B189" s="670"/>
      <c r="C189" s="1358"/>
      <c r="D189" s="672"/>
      <c r="E189" s="1359"/>
      <c r="F189" s="1359"/>
      <c r="G189" s="1360"/>
      <c r="H189" s="1361"/>
      <c r="I189" s="1362"/>
      <c r="J189" s="1362"/>
      <c r="K189" s="1362"/>
      <c r="L189" s="1362"/>
      <c r="M189" s="1362"/>
      <c r="N189" s="1362"/>
      <c r="O189" s="1362"/>
      <c r="P189" s="1362"/>
      <c r="Q189" s="1362"/>
      <c r="R189" s="1363"/>
      <c r="S189" s="1364"/>
      <c r="T189" s="722"/>
      <c r="U189" s="205"/>
      <c r="V189" s="68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5"/>
      <c r="AW189" s="205"/>
      <c r="AX189" s="205"/>
      <c r="AY189" s="205"/>
      <c r="AZ189" s="205"/>
      <c r="BA189" s="205"/>
      <c r="BB189" s="205"/>
      <c r="BC189" s="205"/>
      <c r="BD189" s="205"/>
      <c r="BE189" s="205"/>
      <c r="BF189" s="205"/>
      <c r="BG189" s="205"/>
      <c r="BH189" s="205"/>
      <c r="BI189" s="205"/>
      <c r="BJ189" s="205"/>
      <c r="BK189" s="205"/>
      <c r="BL189" s="205"/>
      <c r="BM189" s="205"/>
      <c r="BN189" s="205"/>
      <c r="BO189" s="205"/>
      <c r="BP189" s="205"/>
      <c r="BQ189" s="205"/>
      <c r="BR189" s="205"/>
      <c r="BS189" s="205"/>
      <c r="BT189" s="205"/>
      <c r="BU189" s="205"/>
      <c r="BV189" s="205"/>
      <c r="BW189" s="205"/>
      <c r="BX189" s="205"/>
      <c r="BY189" s="205"/>
      <c r="BZ189" s="205"/>
      <c r="CA189" s="205"/>
      <c r="CB189" s="205"/>
      <c r="CC189" s="205"/>
      <c r="CD189" s="205"/>
      <c r="CE189" s="205"/>
      <c r="CF189" s="205"/>
      <c r="CG189" s="205"/>
      <c r="CH189" s="205"/>
      <c r="CI189" s="205"/>
      <c r="CJ189" s="205"/>
      <c r="CK189" s="205"/>
      <c r="CL189" s="205"/>
      <c r="CM189" s="205"/>
      <c r="CN189" s="205"/>
      <c r="CO189" s="205"/>
      <c r="CP189" s="205"/>
      <c r="CQ189" s="205"/>
      <c r="CR189" s="205"/>
      <c r="CS189" s="205"/>
      <c r="CT189" s="205"/>
      <c r="CU189" s="205"/>
      <c r="CV189" s="205"/>
      <c r="CW189" s="205"/>
      <c r="CX189" s="205"/>
      <c r="CY189" s="205"/>
      <c r="CZ189" s="205"/>
      <c r="DA189" s="205"/>
      <c r="DB189" s="205"/>
      <c r="DC189" s="205"/>
      <c r="DD189" s="205"/>
      <c r="DE189" s="205"/>
      <c r="DF189" s="205"/>
      <c r="DG189" s="205"/>
      <c r="DH189" s="205"/>
      <c r="DI189" s="205"/>
      <c r="DJ189" s="205"/>
      <c r="DK189" s="205"/>
      <c r="DL189" s="205"/>
      <c r="DM189" s="205"/>
      <c r="DN189" s="205"/>
      <c r="DO189" s="205"/>
      <c r="DP189" s="205"/>
      <c r="DQ189" s="205"/>
      <c r="DR189" s="205"/>
      <c r="DS189" s="205"/>
      <c r="DT189" s="205"/>
      <c r="DU189" s="205"/>
      <c r="DV189" s="205"/>
      <c r="DW189" s="205"/>
      <c r="DX189" s="205"/>
      <c r="DY189" s="205"/>
      <c r="DZ189" s="205"/>
      <c r="EA189" s="205"/>
      <c r="EB189" s="205"/>
      <c r="EC189" s="205"/>
      <c r="ED189" s="205"/>
      <c r="EE189" s="205"/>
      <c r="EF189" s="205"/>
      <c r="EG189" s="205"/>
      <c r="EH189" s="205"/>
      <c r="EI189" s="205"/>
      <c r="EJ189" s="205"/>
      <c r="EK189" s="205"/>
      <c r="EL189" s="205"/>
      <c r="EM189" s="205"/>
      <c r="EN189" s="205"/>
      <c r="EO189" s="205"/>
      <c r="EP189" s="205"/>
      <c r="EQ189" s="205"/>
      <c r="ER189" s="205"/>
      <c r="ES189" s="205"/>
      <c r="ET189" s="205"/>
      <c r="EU189" s="205"/>
      <c r="EV189" s="205"/>
      <c r="EW189" s="205"/>
      <c r="EX189" s="205"/>
      <c r="EY189" s="205"/>
      <c r="EZ189" s="205"/>
      <c r="FA189" s="205"/>
      <c r="FB189" s="205"/>
      <c r="FC189" s="205"/>
      <c r="FD189" s="205"/>
      <c r="FE189" s="205"/>
      <c r="FF189" s="205"/>
      <c r="FG189" s="205"/>
      <c r="FH189" s="205"/>
      <c r="FI189" s="205"/>
      <c r="FJ189" s="205"/>
      <c r="FK189" s="205"/>
      <c r="FL189" s="205"/>
      <c r="FM189" s="205"/>
      <c r="FN189" s="205"/>
      <c r="FO189" s="205"/>
      <c r="FP189" s="205"/>
      <c r="FQ189" s="205"/>
      <c r="FR189" s="205"/>
      <c r="FS189" s="205"/>
      <c r="FT189" s="205"/>
      <c r="FU189" s="205"/>
      <c r="FV189" s="205"/>
      <c r="FW189" s="205"/>
      <c r="FX189" s="205"/>
      <c r="FY189" s="205"/>
      <c r="FZ189" s="205"/>
      <c r="GA189" s="205"/>
      <c r="GB189" s="205"/>
      <c r="GC189" s="205"/>
      <c r="GD189" s="205"/>
      <c r="GE189" s="205"/>
      <c r="GF189" s="205"/>
      <c r="GG189" s="205"/>
      <c r="GH189" s="205"/>
      <c r="GI189" s="205"/>
      <c r="GJ189" s="205"/>
      <c r="GK189" s="205"/>
      <c r="GL189" s="205"/>
      <c r="GM189" s="205"/>
      <c r="GN189" s="205"/>
      <c r="GO189" s="205"/>
      <c r="GP189" s="205"/>
      <c r="GQ189" s="205"/>
      <c r="GR189" s="205"/>
      <c r="GS189" s="205"/>
      <c r="GT189" s="205"/>
      <c r="GU189" s="205"/>
      <c r="GV189" s="205"/>
      <c r="GW189" s="205"/>
      <c r="GX189" s="205"/>
      <c r="GY189" s="205"/>
      <c r="GZ189" s="205"/>
      <c r="HA189" s="205"/>
      <c r="HB189" s="205"/>
      <c r="HC189" s="205"/>
      <c r="HD189" s="205"/>
      <c r="HE189" s="205"/>
      <c r="HF189" s="205"/>
      <c r="HG189" s="205"/>
      <c r="HH189" s="205"/>
      <c r="HI189" s="205"/>
      <c r="HJ189" s="205"/>
      <c r="HK189" s="205"/>
      <c r="HL189" s="205"/>
      <c r="HM189" s="205"/>
      <c r="HN189" s="205"/>
      <c r="HO189" s="205"/>
      <c r="HP189" s="205"/>
      <c r="HQ189" s="205"/>
      <c r="HR189" s="205"/>
      <c r="HS189" s="205"/>
      <c r="HT189" s="205"/>
      <c r="HU189" s="205"/>
      <c r="HV189" s="205"/>
      <c r="HW189" s="205"/>
      <c r="HX189" s="205"/>
      <c r="HY189" s="205"/>
      <c r="HZ189" s="205"/>
      <c r="IA189" s="205"/>
      <c r="IB189" s="205"/>
      <c r="IC189" s="205"/>
      <c r="ID189" s="205"/>
      <c r="IE189" s="205"/>
      <c r="IF189" s="205"/>
      <c r="IG189" s="205"/>
      <c r="IH189" s="205"/>
      <c r="II189" s="205"/>
      <c r="IJ189" s="205"/>
      <c r="IK189" s="205"/>
      <c r="IL189" s="205"/>
      <c r="IM189" s="205"/>
      <c r="IN189" s="205"/>
      <c r="IO189" s="205"/>
      <c r="IP189" s="205"/>
      <c r="IQ189" s="205"/>
      <c r="IR189" s="205"/>
      <c r="IS189" s="205"/>
      <c r="IT189" s="205"/>
      <c r="IU189" s="205"/>
      <c r="IV189" s="205"/>
      <c r="IW189" s="205"/>
      <c r="IX189" s="205"/>
    </row>
    <row r="190" spans="1:258" s="203" customFormat="1" x14ac:dyDescent="0.2">
      <c r="A190" s="669"/>
      <c r="B190" s="670"/>
      <c r="C190" s="682" t="str">
        <f>RAB!D69</f>
        <v>Kolom 20X20</v>
      </c>
      <c r="D190" s="672"/>
      <c r="E190" s="673"/>
      <c r="F190" s="673"/>
      <c r="G190" s="674"/>
      <c r="H190" s="675"/>
      <c r="I190" s="676"/>
      <c r="J190" s="676"/>
      <c r="K190" s="676"/>
      <c r="L190" s="676"/>
      <c r="M190" s="676"/>
      <c r="N190" s="676"/>
      <c r="O190" s="676"/>
      <c r="P190" s="676"/>
      <c r="Q190" s="676"/>
      <c r="R190" s="677"/>
      <c r="S190" s="678"/>
      <c r="T190" s="684"/>
      <c r="U190" s="205"/>
      <c r="V190" s="68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5"/>
      <c r="BN190" s="205"/>
      <c r="BO190" s="205"/>
      <c r="BP190" s="205"/>
      <c r="BQ190" s="205"/>
      <c r="BR190" s="205"/>
      <c r="BS190" s="205"/>
      <c r="BT190" s="205"/>
      <c r="BU190" s="205"/>
      <c r="BV190" s="205"/>
      <c r="BW190" s="205"/>
      <c r="BX190" s="205"/>
      <c r="BY190" s="205"/>
      <c r="BZ190" s="205"/>
      <c r="CA190" s="205"/>
      <c r="CB190" s="205"/>
      <c r="CC190" s="205"/>
      <c r="CD190" s="205"/>
      <c r="CE190" s="205"/>
      <c r="CF190" s="205"/>
      <c r="CG190" s="205"/>
      <c r="CH190" s="205"/>
      <c r="CI190" s="205"/>
      <c r="CJ190" s="205"/>
      <c r="CK190" s="205"/>
      <c r="CL190" s="205"/>
      <c r="CM190" s="205"/>
      <c r="CN190" s="205"/>
      <c r="CO190" s="205"/>
      <c r="CP190" s="205"/>
      <c r="CQ190" s="205"/>
      <c r="CR190" s="205"/>
      <c r="CS190" s="205"/>
      <c r="CT190" s="205"/>
      <c r="CU190" s="205"/>
      <c r="CV190" s="205"/>
      <c r="CW190" s="205"/>
      <c r="CX190" s="205"/>
      <c r="CY190" s="205"/>
      <c r="CZ190" s="205"/>
      <c r="DA190" s="205"/>
      <c r="DB190" s="205"/>
      <c r="DC190" s="205"/>
      <c r="DD190" s="205"/>
      <c r="DE190" s="205"/>
      <c r="DF190" s="205"/>
      <c r="DG190" s="205"/>
      <c r="DH190" s="205"/>
      <c r="DI190" s="205"/>
      <c r="DJ190" s="205"/>
      <c r="DK190" s="205"/>
      <c r="DL190" s="205"/>
      <c r="DM190" s="205"/>
      <c r="DN190" s="205"/>
      <c r="DO190" s="205"/>
      <c r="DP190" s="205"/>
      <c r="DQ190" s="205"/>
      <c r="DR190" s="205"/>
      <c r="DS190" s="205"/>
      <c r="DT190" s="205"/>
      <c r="DU190" s="205"/>
      <c r="DV190" s="205"/>
      <c r="DW190" s="205"/>
      <c r="DX190" s="205"/>
      <c r="DY190" s="205"/>
      <c r="DZ190" s="205"/>
      <c r="EA190" s="205"/>
      <c r="EB190" s="205"/>
      <c r="EC190" s="205"/>
      <c r="ED190" s="205"/>
      <c r="EE190" s="205"/>
      <c r="EF190" s="205"/>
      <c r="EG190" s="205"/>
      <c r="EH190" s="205"/>
      <c r="EI190" s="205"/>
      <c r="EJ190" s="205"/>
      <c r="EK190" s="205"/>
      <c r="EL190" s="205"/>
      <c r="EM190" s="205"/>
      <c r="EN190" s="205"/>
      <c r="EO190" s="205"/>
      <c r="EP190" s="205"/>
      <c r="EQ190" s="205"/>
      <c r="ER190" s="205"/>
      <c r="ES190" s="205"/>
      <c r="ET190" s="205"/>
      <c r="EU190" s="205"/>
      <c r="EV190" s="205"/>
      <c r="EW190" s="205"/>
      <c r="EX190" s="205"/>
      <c r="EY190" s="205"/>
      <c r="EZ190" s="205"/>
      <c r="FA190" s="205"/>
      <c r="FB190" s="205"/>
      <c r="FC190" s="205"/>
      <c r="FD190" s="205"/>
      <c r="FE190" s="205"/>
      <c r="FF190" s="205"/>
      <c r="FG190" s="205"/>
      <c r="FH190" s="205"/>
      <c r="FI190" s="205"/>
      <c r="FJ190" s="205"/>
      <c r="FK190" s="205"/>
      <c r="FL190" s="205"/>
      <c r="FM190" s="205"/>
      <c r="FN190" s="205"/>
      <c r="FO190" s="205"/>
      <c r="FP190" s="205"/>
      <c r="FQ190" s="205"/>
      <c r="FR190" s="205"/>
      <c r="FS190" s="205"/>
      <c r="FT190" s="205"/>
      <c r="FU190" s="205"/>
      <c r="FV190" s="205"/>
      <c r="FW190" s="205"/>
      <c r="FX190" s="205"/>
      <c r="FY190" s="205"/>
      <c r="FZ190" s="205"/>
      <c r="GA190" s="205"/>
      <c r="GB190" s="205"/>
      <c r="GC190" s="205"/>
      <c r="GD190" s="205"/>
      <c r="GE190" s="205"/>
      <c r="GF190" s="205"/>
      <c r="GG190" s="205"/>
      <c r="GH190" s="205"/>
      <c r="GI190" s="205"/>
      <c r="GJ190" s="205"/>
      <c r="GK190" s="205"/>
      <c r="GL190" s="205"/>
      <c r="GM190" s="205"/>
      <c r="GN190" s="205"/>
      <c r="GO190" s="205"/>
      <c r="GP190" s="205"/>
      <c r="GQ190" s="205"/>
      <c r="GR190" s="205"/>
      <c r="GS190" s="205"/>
      <c r="GT190" s="205"/>
      <c r="GU190" s="205"/>
      <c r="GV190" s="205"/>
      <c r="GW190" s="205"/>
      <c r="GX190" s="205"/>
      <c r="GY190" s="205"/>
      <c r="GZ190" s="205"/>
      <c r="HA190" s="205"/>
      <c r="HB190" s="205"/>
      <c r="HC190" s="205"/>
      <c r="HD190" s="205"/>
      <c r="HE190" s="205"/>
      <c r="HF190" s="205"/>
      <c r="HG190" s="205"/>
      <c r="HH190" s="205"/>
      <c r="HI190" s="205"/>
      <c r="HJ190" s="205"/>
      <c r="HK190" s="205"/>
      <c r="HL190" s="205"/>
      <c r="HM190" s="205"/>
      <c r="HN190" s="205"/>
      <c r="HO190" s="205"/>
      <c r="HP190" s="205"/>
      <c r="HQ190" s="205"/>
      <c r="HR190" s="205"/>
      <c r="HS190" s="205"/>
      <c r="HT190" s="205"/>
      <c r="HU190" s="205"/>
      <c r="HV190" s="205"/>
      <c r="HW190" s="205"/>
      <c r="HX190" s="205"/>
      <c r="HY190" s="205"/>
      <c r="HZ190" s="205"/>
      <c r="IA190" s="205"/>
      <c r="IB190" s="205"/>
      <c r="IC190" s="205"/>
      <c r="ID190" s="205"/>
      <c r="IE190" s="205"/>
      <c r="IF190" s="205"/>
      <c r="IG190" s="205"/>
      <c r="IH190" s="205"/>
      <c r="II190" s="205"/>
      <c r="IJ190" s="205"/>
      <c r="IK190" s="205"/>
      <c r="IL190" s="205"/>
      <c r="IM190" s="205"/>
      <c r="IN190" s="205"/>
      <c r="IO190" s="205"/>
      <c r="IP190" s="205"/>
      <c r="IQ190" s="205"/>
      <c r="IR190" s="205"/>
      <c r="IS190" s="205"/>
      <c r="IT190" s="205"/>
      <c r="IU190" s="205"/>
      <c r="IV190" s="205"/>
      <c r="IW190" s="205"/>
      <c r="IX190" s="205"/>
    </row>
    <row r="191" spans="1:258" s="203" customFormat="1" x14ac:dyDescent="0.2">
      <c r="A191" s="669"/>
      <c r="B191" s="670">
        <f>RAB!B70</f>
        <v>9</v>
      </c>
      <c r="C191" s="686" t="e">
        <f>RAB!D70</f>
        <v>#REF!</v>
      </c>
      <c r="D191" s="672"/>
      <c r="E191" s="673"/>
      <c r="F191" s="673"/>
      <c r="G191" s="674"/>
      <c r="H191" s="675" t="s">
        <v>1134</v>
      </c>
      <c r="I191" s="676"/>
      <c r="J191" s="676" t="s">
        <v>1133</v>
      </c>
      <c r="K191" s="676"/>
      <c r="L191" s="676" t="s">
        <v>1133</v>
      </c>
      <c r="M191" s="676"/>
      <c r="N191" s="676" t="s">
        <v>1656</v>
      </c>
      <c r="O191" s="676"/>
      <c r="P191" s="676"/>
      <c r="Q191" s="676"/>
      <c r="R191" s="677"/>
      <c r="S191" s="678"/>
      <c r="T191" s="684"/>
      <c r="U191" s="205"/>
      <c r="V191" s="68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5"/>
      <c r="AW191" s="205"/>
      <c r="AX191" s="205"/>
      <c r="AY191" s="205"/>
      <c r="AZ191" s="205"/>
      <c r="BA191" s="205"/>
      <c r="BB191" s="205"/>
      <c r="BC191" s="205"/>
      <c r="BD191" s="205"/>
      <c r="BE191" s="205"/>
      <c r="BF191" s="205"/>
      <c r="BG191" s="205"/>
      <c r="BH191" s="205"/>
      <c r="BI191" s="205"/>
      <c r="BJ191" s="205"/>
      <c r="BK191" s="205"/>
      <c r="BL191" s="205"/>
      <c r="BM191" s="205"/>
      <c r="BN191" s="205"/>
      <c r="BO191" s="205"/>
      <c r="BP191" s="205"/>
      <c r="BQ191" s="205"/>
      <c r="BR191" s="205"/>
      <c r="BS191" s="205"/>
      <c r="BT191" s="205"/>
      <c r="BU191" s="205"/>
      <c r="BV191" s="205"/>
      <c r="BW191" s="205"/>
      <c r="BX191" s="205"/>
      <c r="BY191" s="205"/>
      <c r="BZ191" s="205"/>
      <c r="CA191" s="205"/>
      <c r="CB191" s="205"/>
      <c r="CC191" s="205"/>
      <c r="CD191" s="205"/>
      <c r="CE191" s="205"/>
      <c r="CF191" s="205"/>
      <c r="CG191" s="205"/>
      <c r="CH191" s="205"/>
      <c r="CI191" s="205"/>
      <c r="CJ191" s="205"/>
      <c r="CK191" s="205"/>
      <c r="CL191" s="205"/>
      <c r="CM191" s="205"/>
      <c r="CN191" s="205"/>
      <c r="CO191" s="205"/>
      <c r="CP191" s="205"/>
      <c r="CQ191" s="205"/>
      <c r="CR191" s="205"/>
      <c r="CS191" s="205"/>
      <c r="CT191" s="205"/>
      <c r="CU191" s="205"/>
      <c r="CV191" s="205"/>
      <c r="CW191" s="205"/>
      <c r="CX191" s="205"/>
      <c r="CY191" s="205"/>
      <c r="CZ191" s="205"/>
      <c r="DA191" s="205"/>
      <c r="DB191" s="205"/>
      <c r="DC191" s="205"/>
      <c r="DD191" s="205"/>
      <c r="DE191" s="205"/>
      <c r="DF191" s="205"/>
      <c r="DG191" s="205"/>
      <c r="DH191" s="205"/>
      <c r="DI191" s="205"/>
      <c r="DJ191" s="205"/>
      <c r="DK191" s="205"/>
      <c r="DL191" s="205"/>
      <c r="DM191" s="205"/>
      <c r="DN191" s="205"/>
      <c r="DO191" s="205"/>
      <c r="DP191" s="205"/>
      <c r="DQ191" s="205"/>
      <c r="DR191" s="205"/>
      <c r="DS191" s="205"/>
      <c r="DT191" s="205"/>
      <c r="DU191" s="205"/>
      <c r="DV191" s="205"/>
      <c r="DW191" s="205"/>
      <c r="DX191" s="205"/>
      <c r="DY191" s="205"/>
      <c r="DZ191" s="205"/>
      <c r="EA191" s="205"/>
      <c r="EB191" s="205"/>
      <c r="EC191" s="205"/>
      <c r="ED191" s="205"/>
      <c r="EE191" s="205"/>
      <c r="EF191" s="205"/>
      <c r="EG191" s="205"/>
      <c r="EH191" s="205"/>
      <c r="EI191" s="205"/>
      <c r="EJ191" s="205"/>
      <c r="EK191" s="205"/>
      <c r="EL191" s="205"/>
      <c r="EM191" s="205"/>
      <c r="EN191" s="205"/>
      <c r="EO191" s="205"/>
      <c r="EP191" s="205"/>
      <c r="EQ191" s="205"/>
      <c r="ER191" s="205"/>
      <c r="ES191" s="205"/>
      <c r="ET191" s="205"/>
      <c r="EU191" s="205"/>
      <c r="EV191" s="205"/>
      <c r="EW191" s="205"/>
      <c r="EX191" s="205"/>
      <c r="EY191" s="205"/>
      <c r="EZ191" s="205"/>
      <c r="FA191" s="205"/>
      <c r="FB191" s="205"/>
      <c r="FC191" s="205"/>
      <c r="FD191" s="205"/>
      <c r="FE191" s="205"/>
      <c r="FF191" s="205"/>
      <c r="FG191" s="205"/>
      <c r="FH191" s="205"/>
      <c r="FI191" s="205"/>
      <c r="FJ191" s="205"/>
      <c r="FK191" s="205"/>
      <c r="FL191" s="205"/>
      <c r="FM191" s="205"/>
      <c r="FN191" s="205"/>
      <c r="FO191" s="205"/>
      <c r="FP191" s="205"/>
      <c r="FQ191" s="205"/>
      <c r="FR191" s="205"/>
      <c r="FS191" s="205"/>
      <c r="FT191" s="205"/>
      <c r="FU191" s="205"/>
      <c r="FV191" s="205"/>
      <c r="FW191" s="205"/>
      <c r="FX191" s="205"/>
      <c r="FY191" s="205"/>
      <c r="FZ191" s="205"/>
      <c r="GA191" s="205"/>
      <c r="GB191" s="205"/>
      <c r="GC191" s="205"/>
      <c r="GD191" s="205"/>
      <c r="GE191" s="205"/>
      <c r="GF191" s="205"/>
      <c r="GG191" s="205"/>
      <c r="GH191" s="205"/>
      <c r="GI191" s="205"/>
      <c r="GJ191" s="205"/>
      <c r="GK191" s="205"/>
      <c r="GL191" s="205"/>
      <c r="GM191" s="205"/>
      <c r="GN191" s="205"/>
      <c r="GO191" s="205"/>
      <c r="GP191" s="205"/>
      <c r="GQ191" s="205"/>
      <c r="GR191" s="205"/>
      <c r="GS191" s="205"/>
      <c r="GT191" s="205"/>
      <c r="GU191" s="205"/>
      <c r="GV191" s="205"/>
      <c r="GW191" s="205"/>
      <c r="GX191" s="205"/>
      <c r="GY191" s="205"/>
      <c r="GZ191" s="205"/>
      <c r="HA191" s="205"/>
      <c r="HB191" s="205"/>
      <c r="HC191" s="205"/>
      <c r="HD191" s="205"/>
      <c r="HE191" s="205"/>
      <c r="HF191" s="205"/>
      <c r="HG191" s="205"/>
      <c r="HH191" s="205"/>
      <c r="HI191" s="205"/>
      <c r="HJ191" s="205"/>
      <c r="HK191" s="205"/>
      <c r="HL191" s="205"/>
      <c r="HM191" s="205"/>
      <c r="HN191" s="205"/>
      <c r="HO191" s="205"/>
      <c r="HP191" s="205"/>
      <c r="HQ191" s="205"/>
      <c r="HR191" s="205"/>
      <c r="HS191" s="205"/>
      <c r="HT191" s="205"/>
      <c r="HU191" s="205"/>
      <c r="HV191" s="205"/>
      <c r="HW191" s="205"/>
      <c r="HX191" s="205"/>
      <c r="HY191" s="205"/>
      <c r="HZ191" s="205"/>
      <c r="IA191" s="205"/>
      <c r="IB191" s="205"/>
      <c r="IC191" s="205"/>
      <c r="ID191" s="205"/>
      <c r="IE191" s="205"/>
      <c r="IF191" s="205"/>
      <c r="IG191" s="205"/>
      <c r="IH191" s="205"/>
      <c r="II191" s="205"/>
      <c r="IJ191" s="205"/>
      <c r="IK191" s="205"/>
      <c r="IL191" s="205"/>
      <c r="IM191" s="205"/>
      <c r="IN191" s="205"/>
      <c r="IO191" s="205"/>
      <c r="IP191" s="205"/>
      <c r="IQ191" s="205"/>
      <c r="IR191" s="205"/>
      <c r="IS191" s="205"/>
      <c r="IT191" s="205"/>
      <c r="IU191" s="205"/>
      <c r="IV191" s="205"/>
      <c r="IW191" s="205"/>
      <c r="IX191" s="205"/>
    </row>
    <row r="192" spans="1:258" s="203" customFormat="1" x14ac:dyDescent="0.2">
      <c r="A192" s="669"/>
      <c r="B192" s="670"/>
      <c r="C192" s="1358"/>
      <c r="D192" s="672"/>
      <c r="E192" s="1359"/>
      <c r="F192" s="1359"/>
      <c r="G192" s="1360" t="s">
        <v>1710</v>
      </c>
      <c r="H192" s="1361">
        <v>4</v>
      </c>
      <c r="I192" s="1362" t="s">
        <v>424</v>
      </c>
      <c r="J192" s="1362">
        <v>0.2</v>
      </c>
      <c r="K192" s="1362" t="s">
        <v>424</v>
      </c>
      <c r="L192" s="1362">
        <v>0.2</v>
      </c>
      <c r="M192" s="1362" t="s">
        <v>424</v>
      </c>
      <c r="N192" s="1362">
        <v>19</v>
      </c>
      <c r="O192" s="1362"/>
      <c r="P192" s="1362"/>
      <c r="Q192" s="1362" t="s">
        <v>696</v>
      </c>
      <c r="R192" s="1363">
        <f>H192*J192*L192*N192</f>
        <v>3.0400000000000005</v>
      </c>
      <c r="S192" s="1364"/>
      <c r="T192" s="722"/>
      <c r="U192" s="205"/>
      <c r="V192" s="68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5"/>
      <c r="AW192" s="205"/>
      <c r="AX192" s="205"/>
      <c r="AY192" s="205"/>
      <c r="AZ192" s="205"/>
      <c r="BA192" s="205"/>
      <c r="BB192" s="205"/>
      <c r="BC192" s="205"/>
      <c r="BD192" s="205"/>
      <c r="BE192" s="205"/>
      <c r="BF192" s="205"/>
      <c r="BG192" s="205"/>
      <c r="BH192" s="205"/>
      <c r="BI192" s="205"/>
      <c r="BJ192" s="205"/>
      <c r="BK192" s="205"/>
      <c r="BL192" s="205"/>
      <c r="BM192" s="205"/>
      <c r="BN192" s="205"/>
      <c r="BO192" s="205"/>
      <c r="BP192" s="205"/>
      <c r="BQ192" s="205"/>
      <c r="BR192" s="205"/>
      <c r="BS192" s="205"/>
      <c r="BT192" s="205"/>
      <c r="BU192" s="205"/>
      <c r="BV192" s="205"/>
      <c r="BW192" s="205"/>
      <c r="BX192" s="205"/>
      <c r="BY192" s="205"/>
      <c r="BZ192" s="205"/>
      <c r="CA192" s="205"/>
      <c r="CB192" s="205"/>
      <c r="CC192" s="205"/>
      <c r="CD192" s="205"/>
      <c r="CE192" s="205"/>
      <c r="CF192" s="205"/>
      <c r="CG192" s="205"/>
      <c r="CH192" s="205"/>
      <c r="CI192" s="205"/>
      <c r="CJ192" s="205"/>
      <c r="CK192" s="205"/>
      <c r="CL192" s="205"/>
      <c r="CM192" s="205"/>
      <c r="CN192" s="205"/>
      <c r="CO192" s="205"/>
      <c r="CP192" s="205"/>
      <c r="CQ192" s="205"/>
      <c r="CR192" s="205"/>
      <c r="CS192" s="205"/>
      <c r="CT192" s="205"/>
      <c r="CU192" s="205"/>
      <c r="CV192" s="205"/>
      <c r="CW192" s="205"/>
      <c r="CX192" s="205"/>
      <c r="CY192" s="205"/>
      <c r="CZ192" s="205"/>
      <c r="DA192" s="205"/>
      <c r="DB192" s="205"/>
      <c r="DC192" s="205"/>
      <c r="DD192" s="205"/>
      <c r="DE192" s="205"/>
      <c r="DF192" s="205"/>
      <c r="DG192" s="205"/>
      <c r="DH192" s="205"/>
      <c r="DI192" s="205"/>
      <c r="DJ192" s="205"/>
      <c r="DK192" s="205"/>
      <c r="DL192" s="205"/>
      <c r="DM192" s="205"/>
      <c r="DN192" s="205"/>
      <c r="DO192" s="205"/>
      <c r="DP192" s="205"/>
      <c r="DQ192" s="205"/>
      <c r="DR192" s="205"/>
      <c r="DS192" s="205"/>
      <c r="DT192" s="205"/>
      <c r="DU192" s="205"/>
      <c r="DV192" s="205"/>
      <c r="DW192" s="205"/>
      <c r="DX192" s="205"/>
      <c r="DY192" s="205"/>
      <c r="DZ192" s="205"/>
      <c r="EA192" s="205"/>
      <c r="EB192" s="205"/>
      <c r="EC192" s="205"/>
      <c r="ED192" s="205"/>
      <c r="EE192" s="205"/>
      <c r="EF192" s="205"/>
      <c r="EG192" s="205"/>
      <c r="EH192" s="205"/>
      <c r="EI192" s="205"/>
      <c r="EJ192" s="205"/>
      <c r="EK192" s="205"/>
      <c r="EL192" s="205"/>
      <c r="EM192" s="205"/>
      <c r="EN192" s="205"/>
      <c r="EO192" s="205"/>
      <c r="EP192" s="205"/>
      <c r="EQ192" s="205"/>
      <c r="ER192" s="205"/>
      <c r="ES192" s="205"/>
      <c r="ET192" s="205"/>
      <c r="EU192" s="205"/>
      <c r="EV192" s="205"/>
      <c r="EW192" s="205"/>
      <c r="EX192" s="205"/>
      <c r="EY192" s="205"/>
      <c r="EZ192" s="205"/>
      <c r="FA192" s="205"/>
      <c r="FB192" s="205"/>
      <c r="FC192" s="205"/>
      <c r="FD192" s="205"/>
      <c r="FE192" s="205"/>
      <c r="FF192" s="205"/>
      <c r="FG192" s="205"/>
      <c r="FH192" s="205"/>
      <c r="FI192" s="205"/>
      <c r="FJ192" s="205"/>
      <c r="FK192" s="205"/>
      <c r="FL192" s="205"/>
      <c r="FM192" s="205"/>
      <c r="FN192" s="205"/>
      <c r="FO192" s="205"/>
      <c r="FP192" s="205"/>
      <c r="FQ192" s="205"/>
      <c r="FR192" s="205"/>
      <c r="FS192" s="205"/>
      <c r="FT192" s="205"/>
      <c r="FU192" s="205"/>
      <c r="FV192" s="205"/>
      <c r="FW192" s="205"/>
      <c r="FX192" s="205"/>
      <c r="FY192" s="205"/>
      <c r="FZ192" s="205"/>
      <c r="GA192" s="205"/>
      <c r="GB192" s="205"/>
      <c r="GC192" s="205"/>
      <c r="GD192" s="205"/>
      <c r="GE192" s="205"/>
      <c r="GF192" s="205"/>
      <c r="GG192" s="205"/>
      <c r="GH192" s="205"/>
      <c r="GI192" s="205"/>
      <c r="GJ192" s="205"/>
      <c r="GK192" s="205"/>
      <c r="GL192" s="205"/>
      <c r="GM192" s="205"/>
      <c r="GN192" s="205"/>
      <c r="GO192" s="205"/>
      <c r="GP192" s="205"/>
      <c r="GQ192" s="205"/>
      <c r="GR192" s="205"/>
      <c r="GS192" s="205"/>
      <c r="GT192" s="205"/>
      <c r="GU192" s="205"/>
      <c r="GV192" s="205"/>
      <c r="GW192" s="205"/>
      <c r="GX192" s="205"/>
      <c r="GY192" s="205"/>
      <c r="GZ192" s="205"/>
      <c r="HA192" s="205"/>
      <c r="HB192" s="205"/>
      <c r="HC192" s="205"/>
      <c r="HD192" s="205"/>
      <c r="HE192" s="205"/>
      <c r="HF192" s="205"/>
      <c r="HG192" s="205"/>
      <c r="HH192" s="205"/>
      <c r="HI192" s="205"/>
      <c r="HJ192" s="205"/>
      <c r="HK192" s="205"/>
      <c r="HL192" s="205"/>
      <c r="HM192" s="205"/>
      <c r="HN192" s="205"/>
      <c r="HO192" s="205"/>
      <c r="HP192" s="205"/>
      <c r="HQ192" s="205"/>
      <c r="HR192" s="205"/>
      <c r="HS192" s="205"/>
      <c r="HT192" s="205"/>
      <c r="HU192" s="205"/>
      <c r="HV192" s="205"/>
      <c r="HW192" s="205"/>
      <c r="HX192" s="205"/>
      <c r="HY192" s="205"/>
      <c r="HZ192" s="205"/>
      <c r="IA192" s="205"/>
      <c r="IB192" s="205"/>
      <c r="IC192" s="205"/>
      <c r="ID192" s="205"/>
      <c r="IE192" s="205"/>
      <c r="IF192" s="205"/>
      <c r="IG192" s="205"/>
      <c r="IH192" s="205"/>
      <c r="II192" s="205"/>
      <c r="IJ192" s="205"/>
      <c r="IK192" s="205"/>
      <c r="IL192" s="205"/>
      <c r="IM192" s="205"/>
      <c r="IN192" s="205"/>
      <c r="IO192" s="205"/>
      <c r="IP192" s="205"/>
      <c r="IQ192" s="205"/>
      <c r="IR192" s="205"/>
      <c r="IS192" s="205"/>
      <c r="IT192" s="205"/>
      <c r="IU192" s="205"/>
      <c r="IV192" s="205"/>
      <c r="IW192" s="205"/>
      <c r="IX192" s="205"/>
    </row>
    <row r="193" spans="1:258" s="203" customFormat="1" x14ac:dyDescent="0.2">
      <c r="A193" s="669"/>
      <c r="B193" s="670"/>
      <c r="C193" s="1358"/>
      <c r="D193" s="672"/>
      <c r="E193" s="1359"/>
      <c r="F193" s="1359"/>
      <c r="G193" s="1360"/>
      <c r="H193" s="1361"/>
      <c r="I193" s="1362"/>
      <c r="J193" s="1362"/>
      <c r="K193" s="1362"/>
      <c r="L193" s="1362"/>
      <c r="M193" s="1362"/>
      <c r="N193" s="1362"/>
      <c r="O193" s="1362"/>
      <c r="P193" s="1362"/>
      <c r="Q193" s="1362"/>
      <c r="R193" s="1363">
        <f>SUM(R192)</f>
        <v>3.0400000000000005</v>
      </c>
      <c r="S193" s="1364">
        <f>R193</f>
        <v>3.0400000000000005</v>
      </c>
      <c r="T193" s="722" t="s">
        <v>293</v>
      </c>
      <c r="U193" s="205"/>
      <c r="V193" s="685">
        <f>S199/S193</f>
        <v>142.65608750000001</v>
      </c>
      <c r="W193" s="205"/>
      <c r="X193" s="205"/>
      <c r="Y193" s="205"/>
      <c r="Z193" s="205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5"/>
      <c r="AW193" s="205"/>
      <c r="AX193" s="205"/>
      <c r="AY193" s="205"/>
      <c r="AZ193" s="205"/>
      <c r="BA193" s="205"/>
      <c r="BB193" s="205"/>
      <c r="BC193" s="205"/>
      <c r="BD193" s="205"/>
      <c r="BE193" s="205"/>
      <c r="BF193" s="205"/>
      <c r="BG193" s="205"/>
      <c r="BH193" s="205"/>
      <c r="BI193" s="205"/>
      <c r="BJ193" s="205"/>
      <c r="BK193" s="205"/>
      <c r="BL193" s="205"/>
      <c r="BM193" s="205"/>
      <c r="BN193" s="205"/>
      <c r="BO193" s="205"/>
      <c r="BP193" s="205"/>
      <c r="BQ193" s="205"/>
      <c r="BR193" s="205"/>
      <c r="BS193" s="205"/>
      <c r="BT193" s="205"/>
      <c r="BU193" s="205"/>
      <c r="BV193" s="205"/>
      <c r="BW193" s="205"/>
      <c r="BX193" s="205"/>
      <c r="BY193" s="205"/>
      <c r="BZ193" s="205"/>
      <c r="CA193" s="205"/>
      <c r="CB193" s="205"/>
      <c r="CC193" s="205"/>
      <c r="CD193" s="205"/>
      <c r="CE193" s="205"/>
      <c r="CF193" s="205"/>
      <c r="CG193" s="205"/>
      <c r="CH193" s="205"/>
      <c r="CI193" s="205"/>
      <c r="CJ193" s="205"/>
      <c r="CK193" s="205"/>
      <c r="CL193" s="205"/>
      <c r="CM193" s="205"/>
      <c r="CN193" s="205"/>
      <c r="CO193" s="205"/>
      <c r="CP193" s="205"/>
      <c r="CQ193" s="205"/>
      <c r="CR193" s="205"/>
      <c r="CS193" s="205"/>
      <c r="CT193" s="205"/>
      <c r="CU193" s="205"/>
      <c r="CV193" s="205"/>
      <c r="CW193" s="205"/>
      <c r="CX193" s="205"/>
      <c r="CY193" s="205"/>
      <c r="CZ193" s="205"/>
      <c r="DA193" s="205"/>
      <c r="DB193" s="205"/>
      <c r="DC193" s="205"/>
      <c r="DD193" s="205"/>
      <c r="DE193" s="205"/>
      <c r="DF193" s="205"/>
      <c r="DG193" s="205"/>
      <c r="DH193" s="205"/>
      <c r="DI193" s="205"/>
      <c r="DJ193" s="205"/>
      <c r="DK193" s="205"/>
      <c r="DL193" s="205"/>
      <c r="DM193" s="205"/>
      <c r="DN193" s="205"/>
      <c r="DO193" s="205"/>
      <c r="DP193" s="205"/>
      <c r="DQ193" s="205"/>
      <c r="DR193" s="205"/>
      <c r="DS193" s="205"/>
      <c r="DT193" s="205"/>
      <c r="DU193" s="205"/>
      <c r="DV193" s="205"/>
      <c r="DW193" s="205"/>
      <c r="DX193" s="205"/>
      <c r="DY193" s="205"/>
      <c r="DZ193" s="205"/>
      <c r="EA193" s="205"/>
      <c r="EB193" s="205"/>
      <c r="EC193" s="205"/>
      <c r="ED193" s="205"/>
      <c r="EE193" s="205"/>
      <c r="EF193" s="205"/>
      <c r="EG193" s="205"/>
      <c r="EH193" s="205"/>
      <c r="EI193" s="205"/>
      <c r="EJ193" s="205"/>
      <c r="EK193" s="205"/>
      <c r="EL193" s="205"/>
      <c r="EM193" s="205"/>
      <c r="EN193" s="205"/>
      <c r="EO193" s="205"/>
      <c r="EP193" s="205"/>
      <c r="EQ193" s="205"/>
      <c r="ER193" s="205"/>
      <c r="ES193" s="205"/>
      <c r="ET193" s="205"/>
      <c r="EU193" s="205"/>
      <c r="EV193" s="205"/>
      <c r="EW193" s="205"/>
      <c r="EX193" s="205"/>
      <c r="EY193" s="205"/>
      <c r="EZ193" s="205"/>
      <c r="FA193" s="205"/>
      <c r="FB193" s="205"/>
      <c r="FC193" s="205"/>
      <c r="FD193" s="205"/>
      <c r="FE193" s="205"/>
      <c r="FF193" s="205"/>
      <c r="FG193" s="205"/>
      <c r="FH193" s="205"/>
      <c r="FI193" s="205"/>
      <c r="FJ193" s="205"/>
      <c r="FK193" s="205"/>
      <c r="FL193" s="205"/>
      <c r="FM193" s="205"/>
      <c r="FN193" s="205"/>
      <c r="FO193" s="205"/>
      <c r="FP193" s="205"/>
      <c r="FQ193" s="205"/>
      <c r="FR193" s="205"/>
      <c r="FS193" s="205"/>
      <c r="FT193" s="205"/>
      <c r="FU193" s="205"/>
      <c r="FV193" s="205"/>
      <c r="FW193" s="205"/>
      <c r="FX193" s="205"/>
      <c r="FY193" s="205"/>
      <c r="FZ193" s="205"/>
      <c r="GA193" s="205"/>
      <c r="GB193" s="205"/>
      <c r="GC193" s="205"/>
      <c r="GD193" s="205"/>
      <c r="GE193" s="205"/>
      <c r="GF193" s="205"/>
      <c r="GG193" s="205"/>
      <c r="GH193" s="205"/>
      <c r="GI193" s="205"/>
      <c r="GJ193" s="205"/>
      <c r="GK193" s="205"/>
      <c r="GL193" s="205"/>
      <c r="GM193" s="205"/>
      <c r="GN193" s="205"/>
      <c r="GO193" s="205"/>
      <c r="GP193" s="205"/>
      <c r="GQ193" s="205"/>
      <c r="GR193" s="205"/>
      <c r="GS193" s="205"/>
      <c r="GT193" s="205"/>
      <c r="GU193" s="205"/>
      <c r="GV193" s="205"/>
      <c r="GW193" s="205"/>
      <c r="GX193" s="205"/>
      <c r="GY193" s="205"/>
      <c r="GZ193" s="205"/>
      <c r="HA193" s="205"/>
      <c r="HB193" s="205"/>
      <c r="HC193" s="205"/>
      <c r="HD193" s="205"/>
      <c r="HE193" s="205"/>
      <c r="HF193" s="205"/>
      <c r="HG193" s="205"/>
      <c r="HH193" s="205"/>
      <c r="HI193" s="205"/>
      <c r="HJ193" s="205"/>
      <c r="HK193" s="205"/>
      <c r="HL193" s="205"/>
      <c r="HM193" s="205"/>
      <c r="HN193" s="205"/>
      <c r="HO193" s="205"/>
      <c r="HP193" s="205"/>
      <c r="HQ193" s="205"/>
      <c r="HR193" s="205"/>
      <c r="HS193" s="205"/>
      <c r="HT193" s="205"/>
      <c r="HU193" s="205"/>
      <c r="HV193" s="205"/>
      <c r="HW193" s="205"/>
      <c r="HX193" s="205"/>
      <c r="HY193" s="205"/>
      <c r="HZ193" s="205"/>
      <c r="IA193" s="205"/>
      <c r="IB193" s="205"/>
      <c r="IC193" s="205"/>
      <c r="ID193" s="205"/>
      <c r="IE193" s="205"/>
      <c r="IF193" s="205"/>
      <c r="IG193" s="205"/>
      <c r="IH193" s="205"/>
      <c r="II193" s="205"/>
      <c r="IJ193" s="205"/>
      <c r="IK193" s="205"/>
      <c r="IL193" s="205"/>
      <c r="IM193" s="205"/>
      <c r="IN193" s="205"/>
      <c r="IO193" s="205"/>
      <c r="IP193" s="205"/>
      <c r="IQ193" s="205"/>
      <c r="IR193" s="205"/>
      <c r="IS193" s="205"/>
      <c r="IT193" s="205"/>
      <c r="IU193" s="205"/>
      <c r="IV193" s="205"/>
      <c r="IW193" s="205"/>
      <c r="IX193" s="205"/>
    </row>
    <row r="194" spans="1:258" s="203" customFormat="1" x14ac:dyDescent="0.2">
      <c r="A194" s="669"/>
      <c r="B194" s="670"/>
      <c r="C194" s="1358"/>
      <c r="D194" s="672"/>
      <c r="E194" s="1359"/>
      <c r="F194" s="1359"/>
      <c r="G194" s="1360"/>
      <c r="H194" s="1361"/>
      <c r="I194" s="1362"/>
      <c r="J194" s="1362"/>
      <c r="K194" s="1362"/>
      <c r="L194" s="1362"/>
      <c r="M194" s="1362"/>
      <c r="N194" s="1362"/>
      <c r="O194" s="1362"/>
      <c r="P194" s="1362"/>
      <c r="Q194" s="1362"/>
      <c r="R194" s="1363"/>
      <c r="S194" s="1364"/>
      <c r="T194" s="722"/>
      <c r="U194" s="205"/>
      <c r="V194" s="685"/>
      <c r="W194" s="205"/>
      <c r="X194" s="205"/>
      <c r="Y194" s="205"/>
      <c r="Z194" s="205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5"/>
      <c r="AW194" s="205"/>
      <c r="AX194" s="205"/>
      <c r="AY194" s="205"/>
      <c r="AZ194" s="205"/>
      <c r="BA194" s="205"/>
      <c r="BB194" s="205"/>
      <c r="BC194" s="205"/>
      <c r="BD194" s="205"/>
      <c r="BE194" s="205"/>
      <c r="BF194" s="205"/>
      <c r="BG194" s="205"/>
      <c r="BH194" s="205"/>
      <c r="BI194" s="205"/>
      <c r="BJ194" s="205"/>
      <c r="BK194" s="205"/>
      <c r="BL194" s="205"/>
      <c r="BM194" s="205"/>
      <c r="BN194" s="205"/>
      <c r="BO194" s="205"/>
      <c r="BP194" s="205"/>
      <c r="BQ194" s="205"/>
      <c r="BR194" s="205"/>
      <c r="BS194" s="205"/>
      <c r="BT194" s="205"/>
      <c r="BU194" s="205"/>
      <c r="BV194" s="205"/>
      <c r="BW194" s="205"/>
      <c r="BX194" s="205"/>
      <c r="BY194" s="205"/>
      <c r="BZ194" s="205"/>
      <c r="CA194" s="205"/>
      <c r="CB194" s="205"/>
      <c r="CC194" s="205"/>
      <c r="CD194" s="205"/>
      <c r="CE194" s="205"/>
      <c r="CF194" s="205"/>
      <c r="CG194" s="205"/>
      <c r="CH194" s="205"/>
      <c r="CI194" s="205"/>
      <c r="CJ194" s="205"/>
      <c r="CK194" s="205"/>
      <c r="CL194" s="205"/>
      <c r="CM194" s="205"/>
      <c r="CN194" s="205"/>
      <c r="CO194" s="205"/>
      <c r="CP194" s="205"/>
      <c r="CQ194" s="205"/>
      <c r="CR194" s="205"/>
      <c r="CS194" s="205"/>
      <c r="CT194" s="205"/>
      <c r="CU194" s="205"/>
      <c r="CV194" s="205"/>
      <c r="CW194" s="205"/>
      <c r="CX194" s="205"/>
      <c r="CY194" s="205"/>
      <c r="CZ194" s="205"/>
      <c r="DA194" s="205"/>
      <c r="DB194" s="205"/>
      <c r="DC194" s="205"/>
      <c r="DD194" s="205"/>
      <c r="DE194" s="205"/>
      <c r="DF194" s="205"/>
      <c r="DG194" s="205"/>
      <c r="DH194" s="205"/>
      <c r="DI194" s="205"/>
      <c r="DJ194" s="205"/>
      <c r="DK194" s="205"/>
      <c r="DL194" s="205"/>
      <c r="DM194" s="205"/>
      <c r="DN194" s="205"/>
      <c r="DO194" s="205"/>
      <c r="DP194" s="205"/>
      <c r="DQ194" s="205"/>
      <c r="DR194" s="205"/>
      <c r="DS194" s="205"/>
      <c r="DT194" s="205"/>
      <c r="DU194" s="205"/>
      <c r="DV194" s="205"/>
      <c r="DW194" s="205"/>
      <c r="DX194" s="205"/>
      <c r="DY194" s="205"/>
      <c r="DZ194" s="205"/>
      <c r="EA194" s="205"/>
      <c r="EB194" s="205"/>
      <c r="EC194" s="205"/>
      <c r="ED194" s="205"/>
      <c r="EE194" s="205"/>
      <c r="EF194" s="205"/>
      <c r="EG194" s="205"/>
      <c r="EH194" s="205"/>
      <c r="EI194" s="205"/>
      <c r="EJ194" s="205"/>
      <c r="EK194" s="205"/>
      <c r="EL194" s="205"/>
      <c r="EM194" s="205"/>
      <c r="EN194" s="205"/>
      <c r="EO194" s="205"/>
      <c r="EP194" s="205"/>
      <c r="EQ194" s="205"/>
      <c r="ER194" s="205"/>
      <c r="ES194" s="205"/>
      <c r="ET194" s="205"/>
      <c r="EU194" s="205"/>
      <c r="EV194" s="205"/>
      <c r="EW194" s="205"/>
      <c r="EX194" s="205"/>
      <c r="EY194" s="205"/>
      <c r="EZ194" s="205"/>
      <c r="FA194" s="205"/>
      <c r="FB194" s="205"/>
      <c r="FC194" s="205"/>
      <c r="FD194" s="205"/>
      <c r="FE194" s="205"/>
      <c r="FF194" s="205"/>
      <c r="FG194" s="205"/>
      <c r="FH194" s="205"/>
      <c r="FI194" s="205"/>
      <c r="FJ194" s="205"/>
      <c r="FK194" s="205"/>
      <c r="FL194" s="205"/>
      <c r="FM194" s="205"/>
      <c r="FN194" s="205"/>
      <c r="FO194" s="205"/>
      <c r="FP194" s="205"/>
      <c r="FQ194" s="205"/>
      <c r="FR194" s="205"/>
      <c r="FS194" s="205"/>
      <c r="FT194" s="205"/>
      <c r="FU194" s="205"/>
      <c r="FV194" s="205"/>
      <c r="FW194" s="205"/>
      <c r="FX194" s="205"/>
      <c r="FY194" s="205"/>
      <c r="FZ194" s="205"/>
      <c r="GA194" s="205"/>
      <c r="GB194" s="205"/>
      <c r="GC194" s="205"/>
      <c r="GD194" s="205"/>
      <c r="GE194" s="205"/>
      <c r="GF194" s="205"/>
      <c r="GG194" s="205"/>
      <c r="GH194" s="205"/>
      <c r="GI194" s="205"/>
      <c r="GJ194" s="205"/>
      <c r="GK194" s="205"/>
      <c r="GL194" s="205"/>
      <c r="GM194" s="205"/>
      <c r="GN194" s="205"/>
      <c r="GO194" s="205"/>
      <c r="GP194" s="205"/>
      <c r="GQ194" s="205"/>
      <c r="GR194" s="205"/>
      <c r="GS194" s="205"/>
      <c r="GT194" s="205"/>
      <c r="GU194" s="205"/>
      <c r="GV194" s="205"/>
      <c r="GW194" s="205"/>
      <c r="GX194" s="205"/>
      <c r="GY194" s="205"/>
      <c r="GZ194" s="205"/>
      <c r="HA194" s="205"/>
      <c r="HB194" s="205"/>
      <c r="HC194" s="205"/>
      <c r="HD194" s="205"/>
      <c r="HE194" s="205"/>
      <c r="HF194" s="205"/>
      <c r="HG194" s="205"/>
      <c r="HH194" s="205"/>
      <c r="HI194" s="205"/>
      <c r="HJ194" s="205"/>
      <c r="HK194" s="205"/>
      <c r="HL194" s="205"/>
      <c r="HM194" s="205"/>
      <c r="HN194" s="205"/>
      <c r="HO194" s="205"/>
      <c r="HP194" s="205"/>
      <c r="HQ194" s="205"/>
      <c r="HR194" s="205"/>
      <c r="HS194" s="205"/>
      <c r="HT194" s="205"/>
      <c r="HU194" s="205"/>
      <c r="HV194" s="205"/>
      <c r="HW194" s="205"/>
      <c r="HX194" s="205"/>
      <c r="HY194" s="205"/>
      <c r="HZ194" s="205"/>
      <c r="IA194" s="205"/>
      <c r="IB194" s="205"/>
      <c r="IC194" s="205"/>
      <c r="ID194" s="205"/>
      <c r="IE194" s="205"/>
      <c r="IF194" s="205"/>
      <c r="IG194" s="205"/>
      <c r="IH194" s="205"/>
      <c r="II194" s="205"/>
      <c r="IJ194" s="205"/>
      <c r="IK194" s="205"/>
      <c r="IL194" s="205"/>
      <c r="IM194" s="205"/>
      <c r="IN194" s="205"/>
      <c r="IO194" s="205"/>
      <c r="IP194" s="205"/>
      <c r="IQ194" s="205"/>
      <c r="IR194" s="205"/>
      <c r="IS194" s="205"/>
      <c r="IT194" s="205"/>
      <c r="IU194" s="205"/>
      <c r="IV194" s="205"/>
      <c r="IW194" s="205"/>
      <c r="IX194" s="205"/>
    </row>
    <row r="195" spans="1:258" s="203" customFormat="1" x14ac:dyDescent="0.2">
      <c r="A195" s="669"/>
      <c r="B195" s="670">
        <f>RAB!B71</f>
        <v>10</v>
      </c>
      <c r="C195" s="686" t="str">
        <f>RAB!D71</f>
        <v>Pembesian 1 kg dengan besi polos atau besi ulir</v>
      </c>
      <c r="D195" s="672"/>
      <c r="E195" s="673"/>
      <c r="F195" s="673"/>
      <c r="G195" s="674"/>
      <c r="H195" s="675"/>
      <c r="I195" s="676"/>
      <c r="J195" s="676" t="s">
        <v>1712</v>
      </c>
      <c r="K195" s="676"/>
      <c r="L195" s="676"/>
      <c r="M195" s="676"/>
      <c r="N195" s="676"/>
      <c r="O195" s="676"/>
      <c r="P195" s="676"/>
      <c r="Q195" s="676"/>
      <c r="R195" s="677"/>
      <c r="S195" s="678"/>
      <c r="T195" s="684"/>
      <c r="U195" s="205"/>
      <c r="V195" s="685"/>
      <c r="W195" s="205"/>
      <c r="X195" s="205"/>
      <c r="Y195" s="205"/>
      <c r="Z195" s="205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C195" s="205"/>
      <c r="BD195" s="205"/>
      <c r="BE195" s="205"/>
      <c r="BF195" s="205"/>
      <c r="BG195" s="205"/>
      <c r="BH195" s="205"/>
      <c r="BI195" s="205"/>
      <c r="BJ195" s="205"/>
      <c r="BK195" s="205"/>
      <c r="BL195" s="205"/>
      <c r="BM195" s="205"/>
      <c r="BN195" s="205"/>
      <c r="BO195" s="205"/>
      <c r="BP195" s="205"/>
      <c r="BQ195" s="205"/>
      <c r="BR195" s="205"/>
      <c r="BS195" s="205"/>
      <c r="BT195" s="205"/>
      <c r="BU195" s="205"/>
      <c r="BV195" s="205"/>
      <c r="BW195" s="205"/>
      <c r="BX195" s="205"/>
      <c r="BY195" s="205"/>
      <c r="BZ195" s="205"/>
      <c r="CA195" s="205"/>
      <c r="CB195" s="205"/>
      <c r="CC195" s="205"/>
      <c r="CD195" s="205"/>
      <c r="CE195" s="205"/>
      <c r="CF195" s="205"/>
      <c r="CG195" s="205"/>
      <c r="CH195" s="205"/>
      <c r="CI195" s="205"/>
      <c r="CJ195" s="205"/>
      <c r="CK195" s="205"/>
      <c r="CL195" s="205"/>
      <c r="CM195" s="205"/>
      <c r="CN195" s="205"/>
      <c r="CO195" s="205"/>
      <c r="CP195" s="205"/>
      <c r="CQ195" s="205"/>
      <c r="CR195" s="205"/>
      <c r="CS195" s="205"/>
      <c r="CT195" s="205"/>
      <c r="CU195" s="205"/>
      <c r="CV195" s="205"/>
      <c r="CW195" s="205"/>
      <c r="CX195" s="205"/>
      <c r="CY195" s="205"/>
      <c r="CZ195" s="205"/>
      <c r="DA195" s="205"/>
      <c r="DB195" s="205"/>
      <c r="DC195" s="205"/>
      <c r="DD195" s="205"/>
      <c r="DE195" s="205"/>
      <c r="DF195" s="205"/>
      <c r="DG195" s="205"/>
      <c r="DH195" s="205"/>
      <c r="DI195" s="205"/>
      <c r="DJ195" s="205"/>
      <c r="DK195" s="205"/>
      <c r="DL195" s="205"/>
      <c r="DM195" s="205"/>
      <c r="DN195" s="205"/>
      <c r="DO195" s="205"/>
      <c r="DP195" s="205"/>
      <c r="DQ195" s="205"/>
      <c r="DR195" s="205"/>
      <c r="DS195" s="205"/>
      <c r="DT195" s="205"/>
      <c r="DU195" s="205"/>
      <c r="DV195" s="205"/>
      <c r="DW195" s="205"/>
      <c r="DX195" s="205"/>
      <c r="DY195" s="205"/>
      <c r="DZ195" s="205"/>
      <c r="EA195" s="205"/>
      <c r="EB195" s="205"/>
      <c r="EC195" s="205"/>
      <c r="ED195" s="205"/>
      <c r="EE195" s="205"/>
      <c r="EF195" s="205"/>
      <c r="EG195" s="205"/>
      <c r="EH195" s="205"/>
      <c r="EI195" s="205"/>
      <c r="EJ195" s="205"/>
      <c r="EK195" s="205"/>
      <c r="EL195" s="205"/>
      <c r="EM195" s="205"/>
      <c r="EN195" s="205"/>
      <c r="EO195" s="205"/>
      <c r="EP195" s="205"/>
      <c r="EQ195" s="205"/>
      <c r="ER195" s="205"/>
      <c r="ES195" s="205"/>
      <c r="ET195" s="205"/>
      <c r="EU195" s="205"/>
      <c r="EV195" s="205"/>
      <c r="EW195" s="205"/>
      <c r="EX195" s="205"/>
      <c r="EY195" s="205"/>
      <c r="EZ195" s="205"/>
      <c r="FA195" s="205"/>
      <c r="FB195" s="205"/>
      <c r="FC195" s="205"/>
      <c r="FD195" s="205"/>
      <c r="FE195" s="205"/>
      <c r="FF195" s="205"/>
      <c r="FG195" s="205"/>
      <c r="FH195" s="205"/>
      <c r="FI195" s="205"/>
      <c r="FJ195" s="205"/>
      <c r="FK195" s="205"/>
      <c r="FL195" s="205"/>
      <c r="FM195" s="205"/>
      <c r="FN195" s="205"/>
      <c r="FO195" s="205"/>
      <c r="FP195" s="205"/>
      <c r="FQ195" s="205"/>
      <c r="FR195" s="205"/>
      <c r="FS195" s="205"/>
      <c r="FT195" s="205"/>
      <c r="FU195" s="205"/>
      <c r="FV195" s="205"/>
      <c r="FW195" s="205"/>
      <c r="FX195" s="205"/>
      <c r="FY195" s="205"/>
      <c r="FZ195" s="205"/>
      <c r="GA195" s="205"/>
      <c r="GB195" s="205"/>
      <c r="GC195" s="205"/>
      <c r="GD195" s="205"/>
      <c r="GE195" s="205"/>
      <c r="GF195" s="205"/>
      <c r="GG195" s="205"/>
      <c r="GH195" s="205"/>
      <c r="GI195" s="205"/>
      <c r="GJ195" s="205"/>
      <c r="GK195" s="205"/>
      <c r="GL195" s="205"/>
      <c r="GM195" s="205"/>
      <c r="GN195" s="205"/>
      <c r="GO195" s="205"/>
      <c r="GP195" s="205"/>
      <c r="GQ195" s="205"/>
      <c r="GR195" s="205"/>
      <c r="GS195" s="205"/>
      <c r="GT195" s="205"/>
      <c r="GU195" s="205"/>
      <c r="GV195" s="205"/>
      <c r="GW195" s="205"/>
      <c r="GX195" s="205"/>
      <c r="GY195" s="205"/>
      <c r="GZ195" s="205"/>
      <c r="HA195" s="205"/>
      <c r="HB195" s="205"/>
      <c r="HC195" s="205"/>
      <c r="HD195" s="205"/>
      <c r="HE195" s="205"/>
      <c r="HF195" s="205"/>
      <c r="HG195" s="205"/>
      <c r="HH195" s="205"/>
      <c r="HI195" s="205"/>
      <c r="HJ195" s="205"/>
      <c r="HK195" s="205"/>
      <c r="HL195" s="205"/>
      <c r="HM195" s="205"/>
      <c r="HN195" s="205"/>
      <c r="HO195" s="205"/>
      <c r="HP195" s="205"/>
      <c r="HQ195" s="205"/>
      <c r="HR195" s="205"/>
      <c r="HS195" s="205"/>
      <c r="HT195" s="205"/>
      <c r="HU195" s="205"/>
      <c r="HV195" s="205"/>
      <c r="HW195" s="205"/>
      <c r="HX195" s="205"/>
      <c r="HY195" s="205"/>
      <c r="HZ195" s="205"/>
      <c r="IA195" s="205"/>
      <c r="IB195" s="205"/>
      <c r="IC195" s="205"/>
      <c r="ID195" s="205"/>
      <c r="IE195" s="205"/>
      <c r="IF195" s="205"/>
      <c r="IG195" s="205"/>
      <c r="IH195" s="205"/>
      <c r="II195" s="205"/>
      <c r="IJ195" s="205"/>
      <c r="IK195" s="205"/>
      <c r="IL195" s="205"/>
      <c r="IM195" s="205"/>
      <c r="IN195" s="205"/>
      <c r="IO195" s="205"/>
      <c r="IP195" s="205"/>
      <c r="IQ195" s="205"/>
      <c r="IR195" s="205"/>
      <c r="IS195" s="205"/>
      <c r="IT195" s="205"/>
      <c r="IU195" s="205"/>
      <c r="IV195" s="205"/>
      <c r="IW195" s="205"/>
      <c r="IX195" s="205"/>
    </row>
    <row r="196" spans="1:258" s="203" customFormat="1" x14ac:dyDescent="0.2">
      <c r="A196" s="669"/>
      <c r="B196" s="670"/>
      <c r="C196" s="1358"/>
      <c r="D196" s="672"/>
      <c r="E196" s="1359"/>
      <c r="F196" s="1359"/>
      <c r="G196" s="1360" t="str">
        <f>G192</f>
        <v>K1. 20x20</v>
      </c>
      <c r="H196" s="1361">
        <f>H192</f>
        <v>4</v>
      </c>
      <c r="I196" s="1362" t="s">
        <v>424</v>
      </c>
      <c r="J196" s="1362">
        <v>4</v>
      </c>
      <c r="K196" s="1362" t="s">
        <v>424</v>
      </c>
      <c r="L196" s="1375">
        <f t="shared" ref="L196:L198" si="94">Z196</f>
        <v>0.88736400000000004</v>
      </c>
      <c r="M196" s="1362" t="s">
        <v>424</v>
      </c>
      <c r="N196" s="1362">
        <f>N192</f>
        <v>19</v>
      </c>
      <c r="O196" s="1362"/>
      <c r="P196" s="1362"/>
      <c r="Q196" s="1362" t="s">
        <v>696</v>
      </c>
      <c r="R196" s="1363">
        <f>H196*J196*L196*N196</f>
        <v>269.75865600000003</v>
      </c>
      <c r="S196" s="1364"/>
      <c r="T196" s="722"/>
      <c r="U196" s="205"/>
      <c r="V196" s="687" t="s">
        <v>1553</v>
      </c>
      <c r="W196" s="688">
        <v>1.2E-2</v>
      </c>
      <c r="X196" s="689">
        <v>7850</v>
      </c>
      <c r="Y196" s="690">
        <f t="shared" ref="Y196" si="95">0.25*3.14*(W196*W196)</f>
        <v>1.1304E-4</v>
      </c>
      <c r="Z196" s="691">
        <f t="shared" ref="Z196" si="96">X196*Y196*AA196</f>
        <v>0.88736400000000004</v>
      </c>
      <c r="AA196" s="689">
        <v>1</v>
      </c>
      <c r="AB196" s="692">
        <f t="shared" ref="AB196" si="97">Z196*12</f>
        <v>10.648368000000001</v>
      </c>
      <c r="AC196" s="693" t="s">
        <v>1554</v>
      </c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C196" s="205"/>
      <c r="BD196" s="205"/>
      <c r="BE196" s="205"/>
      <c r="BF196" s="205"/>
      <c r="BG196" s="205"/>
      <c r="BH196" s="205"/>
      <c r="BI196" s="205"/>
      <c r="BJ196" s="205"/>
      <c r="BK196" s="205"/>
      <c r="BL196" s="205"/>
      <c r="BM196" s="205"/>
      <c r="BN196" s="205"/>
      <c r="BO196" s="205"/>
      <c r="BP196" s="205"/>
      <c r="BQ196" s="205"/>
      <c r="BR196" s="205"/>
      <c r="BS196" s="205"/>
      <c r="BT196" s="205"/>
      <c r="BU196" s="205"/>
      <c r="BV196" s="205"/>
      <c r="BW196" s="205"/>
      <c r="BX196" s="205"/>
      <c r="BY196" s="205"/>
      <c r="BZ196" s="205"/>
      <c r="CA196" s="205"/>
      <c r="CB196" s="205"/>
      <c r="CC196" s="205"/>
      <c r="CD196" s="205"/>
      <c r="CE196" s="205"/>
      <c r="CF196" s="205"/>
      <c r="CG196" s="205"/>
      <c r="CH196" s="205"/>
      <c r="CI196" s="205"/>
      <c r="CJ196" s="205"/>
      <c r="CK196" s="205"/>
      <c r="CL196" s="205"/>
      <c r="CM196" s="205"/>
      <c r="CN196" s="205"/>
      <c r="CO196" s="205"/>
      <c r="CP196" s="205"/>
      <c r="CQ196" s="205"/>
      <c r="CR196" s="205"/>
      <c r="CS196" s="205"/>
      <c r="CT196" s="205"/>
      <c r="CU196" s="205"/>
      <c r="CV196" s="205"/>
      <c r="CW196" s="205"/>
      <c r="CX196" s="205"/>
      <c r="CY196" s="205"/>
      <c r="CZ196" s="205"/>
      <c r="DA196" s="205"/>
      <c r="DB196" s="205"/>
      <c r="DC196" s="205"/>
      <c r="DD196" s="205"/>
      <c r="DE196" s="205"/>
      <c r="DF196" s="205"/>
      <c r="DG196" s="205"/>
      <c r="DH196" s="205"/>
      <c r="DI196" s="205"/>
      <c r="DJ196" s="205"/>
      <c r="DK196" s="205"/>
      <c r="DL196" s="205"/>
      <c r="DM196" s="205"/>
      <c r="DN196" s="205"/>
      <c r="DO196" s="205"/>
      <c r="DP196" s="205"/>
      <c r="DQ196" s="205"/>
      <c r="DR196" s="205"/>
      <c r="DS196" s="205"/>
      <c r="DT196" s="205"/>
      <c r="DU196" s="205"/>
      <c r="DV196" s="205"/>
      <c r="DW196" s="205"/>
      <c r="DX196" s="205"/>
      <c r="DY196" s="205"/>
      <c r="DZ196" s="205"/>
      <c r="EA196" s="205"/>
      <c r="EB196" s="205"/>
      <c r="EC196" s="205"/>
      <c r="ED196" s="205"/>
      <c r="EE196" s="205"/>
      <c r="EF196" s="205"/>
      <c r="EG196" s="205"/>
      <c r="EH196" s="205"/>
      <c r="EI196" s="205"/>
      <c r="EJ196" s="205"/>
      <c r="EK196" s="205"/>
      <c r="EL196" s="205"/>
      <c r="EM196" s="205"/>
      <c r="EN196" s="205"/>
      <c r="EO196" s="205"/>
      <c r="EP196" s="205"/>
      <c r="EQ196" s="205"/>
      <c r="ER196" s="205"/>
      <c r="ES196" s="205"/>
      <c r="ET196" s="205"/>
      <c r="EU196" s="205"/>
      <c r="EV196" s="205"/>
      <c r="EW196" s="205"/>
      <c r="EX196" s="205"/>
      <c r="EY196" s="205"/>
      <c r="EZ196" s="205"/>
      <c r="FA196" s="205"/>
      <c r="FB196" s="205"/>
      <c r="FC196" s="205"/>
      <c r="FD196" s="205"/>
      <c r="FE196" s="205"/>
      <c r="FF196" s="205"/>
      <c r="FG196" s="205"/>
      <c r="FH196" s="205"/>
      <c r="FI196" s="205"/>
      <c r="FJ196" s="205"/>
      <c r="FK196" s="205"/>
      <c r="FL196" s="205"/>
      <c r="FM196" s="205"/>
      <c r="FN196" s="205"/>
      <c r="FO196" s="205"/>
      <c r="FP196" s="205"/>
      <c r="FQ196" s="205"/>
      <c r="FR196" s="205"/>
      <c r="FS196" s="205"/>
      <c r="FT196" s="205"/>
      <c r="FU196" s="205"/>
      <c r="FV196" s="205"/>
      <c r="FW196" s="205"/>
      <c r="FX196" s="205"/>
      <c r="FY196" s="205"/>
      <c r="FZ196" s="205"/>
      <c r="GA196" s="205"/>
      <c r="GB196" s="205"/>
      <c r="GC196" s="205"/>
      <c r="GD196" s="205"/>
      <c r="GE196" s="205"/>
      <c r="GF196" s="205"/>
      <c r="GG196" s="205"/>
      <c r="GH196" s="205"/>
      <c r="GI196" s="205"/>
      <c r="GJ196" s="205"/>
      <c r="GK196" s="205"/>
      <c r="GL196" s="205"/>
      <c r="GM196" s="205"/>
      <c r="GN196" s="205"/>
      <c r="GO196" s="205"/>
      <c r="GP196" s="205"/>
      <c r="GQ196" s="205"/>
      <c r="GR196" s="205"/>
      <c r="GS196" s="205"/>
      <c r="GT196" s="205"/>
      <c r="GU196" s="205"/>
      <c r="GV196" s="205"/>
      <c r="GW196" s="205"/>
      <c r="GX196" s="205"/>
      <c r="GY196" s="205"/>
      <c r="GZ196" s="205"/>
      <c r="HA196" s="205"/>
      <c r="HB196" s="205"/>
      <c r="HC196" s="205"/>
      <c r="HD196" s="205"/>
      <c r="HE196" s="205"/>
      <c r="HF196" s="205"/>
      <c r="HG196" s="205"/>
      <c r="HH196" s="205"/>
      <c r="HI196" s="205"/>
      <c r="HJ196" s="205"/>
      <c r="HK196" s="205"/>
      <c r="HL196" s="205"/>
      <c r="HM196" s="205"/>
      <c r="HN196" s="205"/>
      <c r="HO196" s="205"/>
      <c r="HP196" s="205"/>
      <c r="HQ196" s="205"/>
      <c r="HR196" s="205"/>
      <c r="HS196" s="205"/>
      <c r="HT196" s="205"/>
      <c r="HU196" s="205"/>
      <c r="HV196" s="205"/>
      <c r="HW196" s="205"/>
      <c r="HX196" s="205"/>
      <c r="HY196" s="205"/>
      <c r="HZ196" s="205"/>
      <c r="IA196" s="205"/>
      <c r="IB196" s="205"/>
      <c r="IC196" s="205"/>
      <c r="ID196" s="205"/>
      <c r="IE196" s="205"/>
      <c r="IF196" s="205"/>
      <c r="IG196" s="205"/>
      <c r="IH196" s="205"/>
      <c r="II196" s="205"/>
      <c r="IJ196" s="205"/>
      <c r="IK196" s="205"/>
      <c r="IL196" s="205"/>
      <c r="IM196" s="205"/>
      <c r="IN196" s="205"/>
      <c r="IO196" s="205"/>
      <c r="IP196" s="205"/>
      <c r="IQ196" s="205"/>
      <c r="IR196" s="205"/>
      <c r="IS196" s="205"/>
      <c r="IT196" s="205"/>
      <c r="IU196" s="205"/>
      <c r="IV196" s="205"/>
      <c r="IW196" s="205"/>
      <c r="IX196" s="205"/>
    </row>
    <row r="197" spans="1:258" s="203" customFormat="1" x14ac:dyDescent="0.2">
      <c r="A197" s="669"/>
      <c r="B197" s="670"/>
      <c r="C197" s="1358"/>
      <c r="D197" s="672"/>
      <c r="E197" s="1359"/>
      <c r="F197" s="1359" t="s">
        <v>1654</v>
      </c>
      <c r="G197" s="1360"/>
      <c r="H197" s="1361"/>
      <c r="I197" s="1362"/>
      <c r="J197" s="1362"/>
      <c r="K197" s="1362"/>
      <c r="L197" s="1362"/>
      <c r="M197" s="1362"/>
      <c r="N197" s="1362"/>
      <c r="O197" s="1362"/>
      <c r="P197" s="1362"/>
      <c r="Q197" s="1362"/>
      <c r="R197" s="1363"/>
      <c r="S197" s="1364"/>
      <c r="T197" s="722"/>
      <c r="U197" s="205"/>
      <c r="V197" s="685"/>
      <c r="W197" s="205"/>
      <c r="X197" s="205"/>
      <c r="Y197" s="205"/>
      <c r="Z197" s="205"/>
      <c r="AA197" s="205"/>
      <c r="AB197" s="205"/>
      <c r="AC197" s="205"/>
      <c r="AD197" s="205"/>
      <c r="AE197" s="205"/>
      <c r="AF197" s="205"/>
      <c r="AG197" s="205"/>
      <c r="AH197" s="205"/>
      <c r="AI197" s="205"/>
      <c r="AJ197" s="205"/>
      <c r="AK197" s="205"/>
      <c r="AL197" s="205"/>
      <c r="AM197" s="205"/>
      <c r="AN197" s="205"/>
      <c r="AO197" s="205"/>
      <c r="AP197" s="205"/>
      <c r="AQ197" s="205"/>
      <c r="AR197" s="205"/>
      <c r="AS197" s="205"/>
      <c r="AT197" s="205"/>
      <c r="AU197" s="205"/>
      <c r="AV197" s="205"/>
      <c r="AW197" s="205"/>
      <c r="AX197" s="205"/>
      <c r="AY197" s="205"/>
      <c r="AZ197" s="205"/>
      <c r="BA197" s="205"/>
      <c r="BB197" s="205"/>
      <c r="BC197" s="205"/>
      <c r="BD197" s="205"/>
      <c r="BE197" s="205"/>
      <c r="BF197" s="205"/>
      <c r="BG197" s="205"/>
      <c r="BH197" s="205"/>
      <c r="BI197" s="205"/>
      <c r="BJ197" s="205"/>
      <c r="BK197" s="205"/>
      <c r="BL197" s="205"/>
      <c r="BM197" s="205"/>
      <c r="BN197" s="205"/>
      <c r="BO197" s="205"/>
      <c r="BP197" s="205"/>
      <c r="BQ197" s="205"/>
      <c r="BR197" s="205"/>
      <c r="BS197" s="205"/>
      <c r="BT197" s="205"/>
      <c r="BU197" s="205"/>
      <c r="BV197" s="205"/>
      <c r="BW197" s="205"/>
      <c r="BX197" s="205"/>
      <c r="BY197" s="205"/>
      <c r="BZ197" s="205"/>
      <c r="CA197" s="205"/>
      <c r="CB197" s="205"/>
      <c r="CC197" s="205"/>
      <c r="CD197" s="205"/>
      <c r="CE197" s="205"/>
      <c r="CF197" s="205"/>
      <c r="CG197" s="205"/>
      <c r="CH197" s="205"/>
      <c r="CI197" s="205"/>
      <c r="CJ197" s="205"/>
      <c r="CK197" s="205"/>
      <c r="CL197" s="205"/>
      <c r="CM197" s="205"/>
      <c r="CN197" s="205"/>
      <c r="CO197" s="205"/>
      <c r="CP197" s="205"/>
      <c r="CQ197" s="205"/>
      <c r="CR197" s="205"/>
      <c r="CS197" s="205"/>
      <c r="CT197" s="205"/>
      <c r="CU197" s="205"/>
      <c r="CV197" s="205"/>
      <c r="CW197" s="205"/>
      <c r="CX197" s="205"/>
      <c r="CY197" s="205"/>
      <c r="CZ197" s="205"/>
      <c r="DA197" s="205"/>
      <c r="DB197" s="205"/>
      <c r="DC197" s="205"/>
      <c r="DD197" s="205"/>
      <c r="DE197" s="205"/>
      <c r="DF197" s="205"/>
      <c r="DG197" s="205"/>
      <c r="DH197" s="205"/>
      <c r="DI197" s="205"/>
      <c r="DJ197" s="205"/>
      <c r="DK197" s="205"/>
      <c r="DL197" s="205"/>
      <c r="DM197" s="205"/>
      <c r="DN197" s="205"/>
      <c r="DO197" s="205"/>
      <c r="DP197" s="205"/>
      <c r="DQ197" s="205"/>
      <c r="DR197" s="205"/>
      <c r="DS197" s="205"/>
      <c r="DT197" s="205"/>
      <c r="DU197" s="205"/>
      <c r="DV197" s="205"/>
      <c r="DW197" s="205"/>
      <c r="DX197" s="205"/>
      <c r="DY197" s="205"/>
      <c r="DZ197" s="205"/>
      <c r="EA197" s="205"/>
      <c r="EB197" s="205"/>
      <c r="EC197" s="205"/>
      <c r="ED197" s="205"/>
      <c r="EE197" s="205"/>
      <c r="EF197" s="205"/>
      <c r="EG197" s="205"/>
      <c r="EH197" s="205"/>
      <c r="EI197" s="205"/>
      <c r="EJ197" s="205"/>
      <c r="EK197" s="205"/>
      <c r="EL197" s="205"/>
      <c r="EM197" s="205"/>
      <c r="EN197" s="205"/>
      <c r="EO197" s="205"/>
      <c r="EP197" s="205"/>
      <c r="EQ197" s="205"/>
      <c r="ER197" s="205"/>
      <c r="ES197" s="205"/>
      <c r="ET197" s="205"/>
      <c r="EU197" s="205"/>
      <c r="EV197" s="205"/>
      <c r="EW197" s="205"/>
      <c r="EX197" s="205"/>
      <c r="EY197" s="205"/>
      <c r="EZ197" s="205"/>
      <c r="FA197" s="205"/>
      <c r="FB197" s="205"/>
      <c r="FC197" s="205"/>
      <c r="FD197" s="205"/>
      <c r="FE197" s="205"/>
      <c r="FF197" s="205"/>
      <c r="FG197" s="205"/>
      <c r="FH197" s="205"/>
      <c r="FI197" s="205"/>
      <c r="FJ197" s="205"/>
      <c r="FK197" s="205"/>
      <c r="FL197" s="205"/>
      <c r="FM197" s="205"/>
      <c r="FN197" s="205"/>
      <c r="FO197" s="205"/>
      <c r="FP197" s="205"/>
      <c r="FQ197" s="205"/>
      <c r="FR197" s="205"/>
      <c r="FS197" s="205"/>
      <c r="FT197" s="205"/>
      <c r="FU197" s="205"/>
      <c r="FV197" s="205"/>
      <c r="FW197" s="205"/>
      <c r="FX197" s="205"/>
      <c r="FY197" s="205"/>
      <c r="FZ197" s="205"/>
      <c r="GA197" s="205"/>
      <c r="GB197" s="205"/>
      <c r="GC197" s="205"/>
      <c r="GD197" s="205"/>
      <c r="GE197" s="205"/>
      <c r="GF197" s="205"/>
      <c r="GG197" s="205"/>
      <c r="GH197" s="205"/>
      <c r="GI197" s="205"/>
      <c r="GJ197" s="205"/>
      <c r="GK197" s="205"/>
      <c r="GL197" s="205"/>
      <c r="GM197" s="205"/>
      <c r="GN197" s="205"/>
      <c r="GO197" s="205"/>
      <c r="GP197" s="205"/>
      <c r="GQ197" s="205"/>
      <c r="GR197" s="205"/>
      <c r="GS197" s="205"/>
      <c r="GT197" s="205"/>
      <c r="GU197" s="205"/>
      <c r="GV197" s="205"/>
      <c r="GW197" s="205"/>
      <c r="GX197" s="205"/>
      <c r="GY197" s="205"/>
      <c r="GZ197" s="205"/>
      <c r="HA197" s="205"/>
      <c r="HB197" s="205"/>
      <c r="HC197" s="205"/>
      <c r="HD197" s="205"/>
      <c r="HE197" s="205"/>
      <c r="HF197" s="205"/>
      <c r="HG197" s="205"/>
      <c r="HH197" s="205"/>
      <c r="HI197" s="205"/>
      <c r="HJ197" s="205"/>
      <c r="HK197" s="205"/>
      <c r="HL197" s="205"/>
      <c r="HM197" s="205"/>
      <c r="HN197" s="205"/>
      <c r="HO197" s="205"/>
      <c r="HP197" s="205"/>
      <c r="HQ197" s="205"/>
      <c r="HR197" s="205"/>
      <c r="HS197" s="205"/>
      <c r="HT197" s="205"/>
      <c r="HU197" s="205"/>
      <c r="HV197" s="205"/>
      <c r="HW197" s="205"/>
      <c r="HX197" s="205"/>
      <c r="HY197" s="205"/>
      <c r="HZ197" s="205"/>
      <c r="IA197" s="205"/>
      <c r="IB197" s="205"/>
      <c r="IC197" s="205"/>
      <c r="ID197" s="205"/>
      <c r="IE197" s="205"/>
      <c r="IF197" s="205"/>
      <c r="IG197" s="205"/>
      <c r="IH197" s="205"/>
      <c r="II197" s="205"/>
      <c r="IJ197" s="205"/>
      <c r="IK197" s="205"/>
      <c r="IL197" s="205"/>
      <c r="IM197" s="205"/>
      <c r="IN197" s="205"/>
      <c r="IO197" s="205"/>
      <c r="IP197" s="205"/>
      <c r="IQ197" s="205"/>
      <c r="IR197" s="205"/>
      <c r="IS197" s="205"/>
      <c r="IT197" s="205"/>
      <c r="IU197" s="205"/>
      <c r="IV197" s="205"/>
      <c r="IW197" s="205"/>
      <c r="IX197" s="205"/>
    </row>
    <row r="198" spans="1:258" s="203" customFormat="1" x14ac:dyDescent="0.2">
      <c r="A198" s="669"/>
      <c r="B198" s="670"/>
      <c r="C198" s="1358"/>
      <c r="D198" s="672"/>
      <c r="E198" s="1359"/>
      <c r="F198" s="1359"/>
      <c r="G198" s="1360" t="str">
        <f>G196</f>
        <v>K1. 20x20</v>
      </c>
      <c r="H198" s="1361">
        <f>((J192-0.05)*4)+0.1</f>
        <v>0.70000000000000007</v>
      </c>
      <c r="I198" s="1362" t="s">
        <v>424</v>
      </c>
      <c r="J198" s="1362">
        <f>H196/0.2</f>
        <v>20</v>
      </c>
      <c r="K198" s="1362" t="s">
        <v>424</v>
      </c>
      <c r="L198" s="1375">
        <f t="shared" si="94"/>
        <v>0.61622500000000013</v>
      </c>
      <c r="M198" s="1362" t="s">
        <v>424</v>
      </c>
      <c r="N198" s="1362">
        <f>N196</f>
        <v>19</v>
      </c>
      <c r="O198" s="1362"/>
      <c r="P198" s="1362"/>
      <c r="Q198" s="1362" t="s">
        <v>696</v>
      </c>
      <c r="R198" s="1363">
        <f>H198*J198*L198*N198</f>
        <v>163.91585000000003</v>
      </c>
      <c r="S198" s="1364"/>
      <c r="T198" s="722"/>
      <c r="U198" s="205"/>
      <c r="V198" s="687" t="s">
        <v>1556</v>
      </c>
      <c r="W198" s="688">
        <v>0.01</v>
      </c>
      <c r="X198" s="689">
        <v>7850</v>
      </c>
      <c r="Y198" s="690">
        <f t="shared" ref="Y198" si="98">0.25*3.14*(W198*W198)</f>
        <v>7.8500000000000011E-5</v>
      </c>
      <c r="Z198" s="691">
        <f t="shared" ref="Z198" si="99">X198*Y198*AA198</f>
        <v>0.61622500000000013</v>
      </c>
      <c r="AA198" s="689">
        <v>1</v>
      </c>
      <c r="AB198" s="692">
        <f t="shared" ref="AB198" si="100">Z198*12</f>
        <v>7.394700000000002</v>
      </c>
      <c r="AC198" s="693" t="s">
        <v>1554</v>
      </c>
      <c r="AD198" s="205"/>
      <c r="AE198" s="205"/>
      <c r="AF198" s="205"/>
      <c r="AG198" s="205"/>
      <c r="AH198" s="205"/>
      <c r="AI198" s="205"/>
      <c r="AJ198" s="205"/>
      <c r="AK198" s="205"/>
      <c r="AL198" s="205"/>
      <c r="AM198" s="205"/>
      <c r="AN198" s="205"/>
      <c r="AO198" s="205"/>
      <c r="AP198" s="205"/>
      <c r="AQ198" s="205"/>
      <c r="AR198" s="205"/>
      <c r="AS198" s="205"/>
      <c r="AT198" s="205"/>
      <c r="AU198" s="205"/>
      <c r="AV198" s="205"/>
      <c r="AW198" s="205"/>
      <c r="AX198" s="205"/>
      <c r="AY198" s="205"/>
      <c r="AZ198" s="205"/>
      <c r="BA198" s="205"/>
      <c r="BB198" s="205"/>
      <c r="BC198" s="205"/>
      <c r="BD198" s="205"/>
      <c r="BE198" s="205"/>
      <c r="BF198" s="205"/>
      <c r="BG198" s="205"/>
      <c r="BH198" s="205"/>
      <c r="BI198" s="205"/>
      <c r="BJ198" s="205"/>
      <c r="BK198" s="205"/>
      <c r="BL198" s="205"/>
      <c r="BM198" s="205"/>
      <c r="BN198" s="205"/>
      <c r="BO198" s="205"/>
      <c r="BP198" s="205"/>
      <c r="BQ198" s="205"/>
      <c r="BR198" s="205"/>
      <c r="BS198" s="205"/>
      <c r="BT198" s="205"/>
      <c r="BU198" s="205"/>
      <c r="BV198" s="205"/>
      <c r="BW198" s="205"/>
      <c r="BX198" s="205"/>
      <c r="BY198" s="205"/>
      <c r="BZ198" s="205"/>
      <c r="CA198" s="205"/>
      <c r="CB198" s="205"/>
      <c r="CC198" s="205"/>
      <c r="CD198" s="205"/>
      <c r="CE198" s="205"/>
      <c r="CF198" s="205"/>
      <c r="CG198" s="205"/>
      <c r="CH198" s="205"/>
      <c r="CI198" s="205"/>
      <c r="CJ198" s="205"/>
      <c r="CK198" s="205"/>
      <c r="CL198" s="205"/>
      <c r="CM198" s="205"/>
      <c r="CN198" s="205"/>
      <c r="CO198" s="205"/>
      <c r="CP198" s="205"/>
      <c r="CQ198" s="205"/>
      <c r="CR198" s="205"/>
      <c r="CS198" s="205"/>
      <c r="CT198" s="205"/>
      <c r="CU198" s="205"/>
      <c r="CV198" s="205"/>
      <c r="CW198" s="205"/>
      <c r="CX198" s="205"/>
      <c r="CY198" s="205"/>
      <c r="CZ198" s="205"/>
      <c r="DA198" s="205"/>
      <c r="DB198" s="205"/>
      <c r="DC198" s="205"/>
      <c r="DD198" s="205"/>
      <c r="DE198" s="205"/>
      <c r="DF198" s="205"/>
      <c r="DG198" s="205"/>
      <c r="DH198" s="205"/>
      <c r="DI198" s="205"/>
      <c r="DJ198" s="205"/>
      <c r="DK198" s="205"/>
      <c r="DL198" s="205"/>
      <c r="DM198" s="205"/>
      <c r="DN198" s="205"/>
      <c r="DO198" s="205"/>
      <c r="DP198" s="205"/>
      <c r="DQ198" s="205"/>
      <c r="DR198" s="205"/>
      <c r="DS198" s="205"/>
      <c r="DT198" s="205"/>
      <c r="DU198" s="205"/>
      <c r="DV198" s="205"/>
      <c r="DW198" s="205"/>
      <c r="DX198" s="205"/>
      <c r="DY198" s="205"/>
      <c r="DZ198" s="205"/>
      <c r="EA198" s="205"/>
      <c r="EB198" s="205"/>
      <c r="EC198" s="205"/>
      <c r="ED198" s="205"/>
      <c r="EE198" s="205"/>
      <c r="EF198" s="205"/>
      <c r="EG198" s="205"/>
      <c r="EH198" s="205"/>
      <c r="EI198" s="205"/>
      <c r="EJ198" s="205"/>
      <c r="EK198" s="205"/>
      <c r="EL198" s="205"/>
      <c r="EM198" s="205"/>
      <c r="EN198" s="205"/>
      <c r="EO198" s="205"/>
      <c r="EP198" s="205"/>
      <c r="EQ198" s="205"/>
      <c r="ER198" s="205"/>
      <c r="ES198" s="205"/>
      <c r="ET198" s="205"/>
      <c r="EU198" s="205"/>
      <c r="EV198" s="205"/>
      <c r="EW198" s="205"/>
      <c r="EX198" s="205"/>
      <c r="EY198" s="205"/>
      <c r="EZ198" s="205"/>
      <c r="FA198" s="205"/>
      <c r="FB198" s="205"/>
      <c r="FC198" s="205"/>
      <c r="FD198" s="205"/>
      <c r="FE198" s="205"/>
      <c r="FF198" s="205"/>
      <c r="FG198" s="205"/>
      <c r="FH198" s="205"/>
      <c r="FI198" s="205"/>
      <c r="FJ198" s="205"/>
      <c r="FK198" s="205"/>
      <c r="FL198" s="205"/>
      <c r="FM198" s="205"/>
      <c r="FN198" s="205"/>
      <c r="FO198" s="205"/>
      <c r="FP198" s="205"/>
      <c r="FQ198" s="205"/>
      <c r="FR198" s="205"/>
      <c r="FS198" s="205"/>
      <c r="FT198" s="205"/>
      <c r="FU198" s="205"/>
      <c r="FV198" s="205"/>
      <c r="FW198" s="205"/>
      <c r="FX198" s="205"/>
      <c r="FY198" s="205"/>
      <c r="FZ198" s="205"/>
      <c r="GA198" s="205"/>
      <c r="GB198" s="205"/>
      <c r="GC198" s="205"/>
      <c r="GD198" s="205"/>
      <c r="GE198" s="205"/>
      <c r="GF198" s="205"/>
      <c r="GG198" s="205"/>
      <c r="GH198" s="205"/>
      <c r="GI198" s="205"/>
      <c r="GJ198" s="205"/>
      <c r="GK198" s="205"/>
      <c r="GL198" s="205"/>
      <c r="GM198" s="205"/>
      <c r="GN198" s="205"/>
      <c r="GO198" s="205"/>
      <c r="GP198" s="205"/>
      <c r="GQ198" s="205"/>
      <c r="GR198" s="205"/>
      <c r="GS198" s="205"/>
      <c r="GT198" s="205"/>
      <c r="GU198" s="205"/>
      <c r="GV198" s="205"/>
      <c r="GW198" s="205"/>
      <c r="GX198" s="205"/>
      <c r="GY198" s="205"/>
      <c r="GZ198" s="205"/>
      <c r="HA198" s="205"/>
      <c r="HB198" s="205"/>
      <c r="HC198" s="205"/>
      <c r="HD198" s="205"/>
      <c r="HE198" s="205"/>
      <c r="HF198" s="205"/>
      <c r="HG198" s="205"/>
      <c r="HH198" s="205"/>
      <c r="HI198" s="205"/>
      <c r="HJ198" s="205"/>
      <c r="HK198" s="205"/>
      <c r="HL198" s="205"/>
      <c r="HM198" s="205"/>
      <c r="HN198" s="205"/>
      <c r="HO198" s="205"/>
      <c r="HP198" s="205"/>
      <c r="HQ198" s="205"/>
      <c r="HR198" s="205"/>
      <c r="HS198" s="205"/>
      <c r="HT198" s="205"/>
      <c r="HU198" s="205"/>
      <c r="HV198" s="205"/>
      <c r="HW198" s="205"/>
      <c r="HX198" s="205"/>
      <c r="HY198" s="205"/>
      <c r="HZ198" s="205"/>
      <c r="IA198" s="205"/>
      <c r="IB198" s="205"/>
      <c r="IC198" s="205"/>
      <c r="ID198" s="205"/>
      <c r="IE198" s="205"/>
      <c r="IF198" s="205"/>
      <c r="IG198" s="205"/>
      <c r="IH198" s="205"/>
      <c r="II198" s="205"/>
      <c r="IJ198" s="205"/>
      <c r="IK198" s="205"/>
      <c r="IL198" s="205"/>
      <c r="IM198" s="205"/>
      <c r="IN198" s="205"/>
      <c r="IO198" s="205"/>
      <c r="IP198" s="205"/>
      <c r="IQ198" s="205"/>
      <c r="IR198" s="205"/>
      <c r="IS198" s="205"/>
      <c r="IT198" s="205"/>
      <c r="IU198" s="205"/>
      <c r="IV198" s="205"/>
      <c r="IW198" s="205"/>
      <c r="IX198" s="205"/>
    </row>
    <row r="199" spans="1:258" s="203" customFormat="1" x14ac:dyDescent="0.2">
      <c r="A199" s="669"/>
      <c r="B199" s="670"/>
      <c r="C199" s="1358"/>
      <c r="D199" s="672"/>
      <c r="E199" s="1359"/>
      <c r="F199" s="1359"/>
      <c r="G199" s="1360"/>
      <c r="H199" s="1361"/>
      <c r="I199" s="1362"/>
      <c r="J199" s="1362"/>
      <c r="K199" s="1362"/>
      <c r="L199" s="1362"/>
      <c r="M199" s="1362"/>
      <c r="N199" s="1362"/>
      <c r="O199" s="1362"/>
      <c r="P199" s="1362"/>
      <c r="Q199" s="1362"/>
      <c r="R199" s="1363">
        <f>SUM(R196:R198)</f>
        <v>433.67450600000006</v>
      </c>
      <c r="S199" s="1364">
        <f>R199</f>
        <v>433.67450600000006</v>
      </c>
      <c r="T199" s="722" t="s">
        <v>298</v>
      </c>
      <c r="U199" s="205"/>
      <c r="V199" s="685"/>
      <c r="W199" s="205"/>
      <c r="X199" s="205"/>
      <c r="Y199" s="205"/>
      <c r="Z199" s="205"/>
      <c r="AA199" s="205"/>
      <c r="AB199" s="205"/>
      <c r="AC199" s="205"/>
      <c r="AD199" s="205"/>
      <c r="AE199" s="205"/>
      <c r="AF199" s="205"/>
      <c r="AG199" s="205"/>
      <c r="AH199" s="205"/>
      <c r="AI199" s="205"/>
      <c r="AJ199" s="205"/>
      <c r="AK199" s="205"/>
      <c r="AL199" s="205"/>
      <c r="AM199" s="205"/>
      <c r="AN199" s="205"/>
      <c r="AO199" s="205"/>
      <c r="AP199" s="205"/>
      <c r="AQ199" s="205"/>
      <c r="AR199" s="205"/>
      <c r="AS199" s="205"/>
      <c r="AT199" s="205"/>
      <c r="AU199" s="205"/>
      <c r="AV199" s="205"/>
      <c r="AW199" s="205"/>
      <c r="AX199" s="205"/>
      <c r="AY199" s="205"/>
      <c r="AZ199" s="205"/>
      <c r="BA199" s="205"/>
      <c r="BB199" s="205"/>
      <c r="BC199" s="205"/>
      <c r="BD199" s="205"/>
      <c r="BE199" s="205"/>
      <c r="BF199" s="205"/>
      <c r="BG199" s="205"/>
      <c r="BH199" s="205"/>
      <c r="BI199" s="205"/>
      <c r="BJ199" s="205"/>
      <c r="BK199" s="205"/>
      <c r="BL199" s="205"/>
      <c r="BM199" s="205"/>
      <c r="BN199" s="205"/>
      <c r="BO199" s="205"/>
      <c r="BP199" s="205"/>
      <c r="BQ199" s="205"/>
      <c r="BR199" s="205"/>
      <c r="BS199" s="205"/>
      <c r="BT199" s="205"/>
      <c r="BU199" s="205"/>
      <c r="BV199" s="205"/>
      <c r="BW199" s="205"/>
      <c r="BX199" s="205"/>
      <c r="BY199" s="205"/>
      <c r="BZ199" s="205"/>
      <c r="CA199" s="205"/>
      <c r="CB199" s="205"/>
      <c r="CC199" s="205"/>
      <c r="CD199" s="205"/>
      <c r="CE199" s="205"/>
      <c r="CF199" s="205"/>
      <c r="CG199" s="205"/>
      <c r="CH199" s="205"/>
      <c r="CI199" s="205"/>
      <c r="CJ199" s="205"/>
      <c r="CK199" s="205"/>
      <c r="CL199" s="205"/>
      <c r="CM199" s="205"/>
      <c r="CN199" s="205"/>
      <c r="CO199" s="205"/>
      <c r="CP199" s="205"/>
      <c r="CQ199" s="205"/>
      <c r="CR199" s="205"/>
      <c r="CS199" s="205"/>
      <c r="CT199" s="205"/>
      <c r="CU199" s="205"/>
      <c r="CV199" s="205"/>
      <c r="CW199" s="205"/>
      <c r="CX199" s="205"/>
      <c r="CY199" s="205"/>
      <c r="CZ199" s="205"/>
      <c r="DA199" s="205"/>
      <c r="DB199" s="205"/>
      <c r="DC199" s="205"/>
      <c r="DD199" s="205"/>
      <c r="DE199" s="205"/>
      <c r="DF199" s="205"/>
      <c r="DG199" s="205"/>
      <c r="DH199" s="205"/>
      <c r="DI199" s="205"/>
      <c r="DJ199" s="205"/>
      <c r="DK199" s="205"/>
      <c r="DL199" s="205"/>
      <c r="DM199" s="205"/>
      <c r="DN199" s="205"/>
      <c r="DO199" s="205"/>
      <c r="DP199" s="205"/>
      <c r="DQ199" s="205"/>
      <c r="DR199" s="205"/>
      <c r="DS199" s="205"/>
      <c r="DT199" s="205"/>
      <c r="DU199" s="205"/>
      <c r="DV199" s="205"/>
      <c r="DW199" s="205"/>
      <c r="DX199" s="205"/>
      <c r="DY199" s="205"/>
      <c r="DZ199" s="205"/>
      <c r="EA199" s="205"/>
      <c r="EB199" s="205"/>
      <c r="EC199" s="205"/>
      <c r="ED199" s="205"/>
      <c r="EE199" s="205"/>
      <c r="EF199" s="205"/>
      <c r="EG199" s="205"/>
      <c r="EH199" s="205"/>
      <c r="EI199" s="205"/>
      <c r="EJ199" s="205"/>
      <c r="EK199" s="205"/>
      <c r="EL199" s="205"/>
      <c r="EM199" s="205"/>
      <c r="EN199" s="205"/>
      <c r="EO199" s="205"/>
      <c r="EP199" s="205"/>
      <c r="EQ199" s="205"/>
      <c r="ER199" s="205"/>
      <c r="ES199" s="205"/>
      <c r="ET199" s="205"/>
      <c r="EU199" s="205"/>
      <c r="EV199" s="205"/>
      <c r="EW199" s="205"/>
      <c r="EX199" s="205"/>
      <c r="EY199" s="205"/>
      <c r="EZ199" s="205"/>
      <c r="FA199" s="205"/>
      <c r="FB199" s="205"/>
      <c r="FC199" s="205"/>
      <c r="FD199" s="205"/>
      <c r="FE199" s="205"/>
      <c r="FF199" s="205"/>
      <c r="FG199" s="205"/>
      <c r="FH199" s="205"/>
      <c r="FI199" s="205"/>
      <c r="FJ199" s="205"/>
      <c r="FK199" s="205"/>
      <c r="FL199" s="205"/>
      <c r="FM199" s="205"/>
      <c r="FN199" s="205"/>
      <c r="FO199" s="205"/>
      <c r="FP199" s="205"/>
      <c r="FQ199" s="205"/>
      <c r="FR199" s="205"/>
      <c r="FS199" s="205"/>
      <c r="FT199" s="205"/>
      <c r="FU199" s="205"/>
      <c r="FV199" s="205"/>
      <c r="FW199" s="205"/>
      <c r="FX199" s="205"/>
      <c r="FY199" s="205"/>
      <c r="FZ199" s="205"/>
      <c r="GA199" s="205"/>
      <c r="GB199" s="205"/>
      <c r="GC199" s="205"/>
      <c r="GD199" s="205"/>
      <c r="GE199" s="205"/>
      <c r="GF199" s="205"/>
      <c r="GG199" s="205"/>
      <c r="GH199" s="205"/>
      <c r="GI199" s="205"/>
      <c r="GJ199" s="205"/>
      <c r="GK199" s="205"/>
      <c r="GL199" s="205"/>
      <c r="GM199" s="205"/>
      <c r="GN199" s="205"/>
      <c r="GO199" s="205"/>
      <c r="GP199" s="205"/>
      <c r="GQ199" s="205"/>
      <c r="GR199" s="205"/>
      <c r="GS199" s="205"/>
      <c r="GT199" s="205"/>
      <c r="GU199" s="205"/>
      <c r="GV199" s="205"/>
      <c r="GW199" s="205"/>
      <c r="GX199" s="205"/>
      <c r="GY199" s="205"/>
      <c r="GZ199" s="205"/>
      <c r="HA199" s="205"/>
      <c r="HB199" s="205"/>
      <c r="HC199" s="205"/>
      <c r="HD199" s="205"/>
      <c r="HE199" s="205"/>
      <c r="HF199" s="205"/>
      <c r="HG199" s="205"/>
      <c r="HH199" s="205"/>
      <c r="HI199" s="205"/>
      <c r="HJ199" s="205"/>
      <c r="HK199" s="205"/>
      <c r="HL199" s="205"/>
      <c r="HM199" s="205"/>
      <c r="HN199" s="205"/>
      <c r="HO199" s="205"/>
      <c r="HP199" s="205"/>
      <c r="HQ199" s="205"/>
      <c r="HR199" s="205"/>
      <c r="HS199" s="205"/>
      <c r="HT199" s="205"/>
      <c r="HU199" s="205"/>
      <c r="HV199" s="205"/>
      <c r="HW199" s="205"/>
      <c r="HX199" s="205"/>
      <c r="HY199" s="205"/>
      <c r="HZ199" s="205"/>
      <c r="IA199" s="205"/>
      <c r="IB199" s="205"/>
      <c r="IC199" s="205"/>
      <c r="ID199" s="205"/>
      <c r="IE199" s="205"/>
      <c r="IF199" s="205"/>
      <c r="IG199" s="205"/>
      <c r="IH199" s="205"/>
      <c r="II199" s="205"/>
      <c r="IJ199" s="205"/>
      <c r="IK199" s="205"/>
      <c r="IL199" s="205"/>
      <c r="IM199" s="205"/>
      <c r="IN199" s="205"/>
      <c r="IO199" s="205"/>
      <c r="IP199" s="205"/>
      <c r="IQ199" s="205"/>
      <c r="IR199" s="205"/>
      <c r="IS199" s="205"/>
      <c r="IT199" s="205"/>
      <c r="IU199" s="205"/>
      <c r="IV199" s="205"/>
      <c r="IW199" s="205"/>
      <c r="IX199" s="205"/>
    </row>
    <row r="200" spans="1:258" s="203" customFormat="1" x14ac:dyDescent="0.2">
      <c r="A200" s="669"/>
      <c r="B200" s="670"/>
      <c r="C200" s="1358"/>
      <c r="D200" s="672"/>
      <c r="E200" s="1359"/>
      <c r="F200" s="1359"/>
      <c r="G200" s="1360"/>
      <c r="H200" s="1361"/>
      <c r="I200" s="1362"/>
      <c r="J200" s="1362"/>
      <c r="K200" s="1362"/>
      <c r="L200" s="1362"/>
      <c r="M200" s="1362"/>
      <c r="N200" s="1362"/>
      <c r="O200" s="1362"/>
      <c r="P200" s="1362"/>
      <c r="Q200" s="1362"/>
      <c r="R200" s="1363"/>
      <c r="S200" s="1364"/>
      <c r="T200" s="722"/>
      <c r="U200" s="205"/>
      <c r="V200" s="685"/>
      <c r="W200" s="205"/>
      <c r="X200" s="205"/>
      <c r="Y200" s="205"/>
      <c r="Z200" s="205"/>
      <c r="AA200" s="205"/>
      <c r="AB200" s="205"/>
      <c r="AC200" s="205"/>
      <c r="AD200" s="205"/>
      <c r="AE200" s="205"/>
      <c r="AF200" s="205"/>
      <c r="AG200" s="205"/>
      <c r="AH200" s="205"/>
      <c r="AI200" s="205"/>
      <c r="AJ200" s="205"/>
      <c r="AK200" s="205"/>
      <c r="AL200" s="205"/>
      <c r="AM200" s="205"/>
      <c r="AN200" s="205"/>
      <c r="AO200" s="205"/>
      <c r="AP200" s="205"/>
      <c r="AQ200" s="205"/>
      <c r="AR200" s="205"/>
      <c r="AS200" s="205"/>
      <c r="AT200" s="205"/>
      <c r="AU200" s="205"/>
      <c r="AV200" s="205"/>
      <c r="AW200" s="205"/>
      <c r="AX200" s="205"/>
      <c r="AY200" s="205"/>
      <c r="AZ200" s="205"/>
      <c r="BA200" s="205"/>
      <c r="BB200" s="205"/>
      <c r="BC200" s="205"/>
      <c r="BD200" s="205"/>
      <c r="BE200" s="205"/>
      <c r="BF200" s="205"/>
      <c r="BG200" s="205"/>
      <c r="BH200" s="205"/>
      <c r="BI200" s="205"/>
      <c r="BJ200" s="205"/>
      <c r="BK200" s="205"/>
      <c r="BL200" s="205"/>
      <c r="BM200" s="205"/>
      <c r="BN200" s="205"/>
      <c r="BO200" s="205"/>
      <c r="BP200" s="205"/>
      <c r="BQ200" s="205"/>
      <c r="BR200" s="205"/>
      <c r="BS200" s="205"/>
      <c r="BT200" s="205"/>
      <c r="BU200" s="205"/>
      <c r="BV200" s="205"/>
      <c r="BW200" s="205"/>
      <c r="BX200" s="205"/>
      <c r="BY200" s="205"/>
      <c r="BZ200" s="205"/>
      <c r="CA200" s="205"/>
      <c r="CB200" s="205"/>
      <c r="CC200" s="205"/>
      <c r="CD200" s="205"/>
      <c r="CE200" s="205"/>
      <c r="CF200" s="205"/>
      <c r="CG200" s="205"/>
      <c r="CH200" s="205"/>
      <c r="CI200" s="205"/>
      <c r="CJ200" s="205"/>
      <c r="CK200" s="205"/>
      <c r="CL200" s="205"/>
      <c r="CM200" s="205"/>
      <c r="CN200" s="205"/>
      <c r="CO200" s="205"/>
      <c r="CP200" s="205"/>
      <c r="CQ200" s="205"/>
      <c r="CR200" s="205"/>
      <c r="CS200" s="205"/>
      <c r="CT200" s="205"/>
      <c r="CU200" s="205"/>
      <c r="CV200" s="205"/>
      <c r="CW200" s="205"/>
      <c r="CX200" s="205"/>
      <c r="CY200" s="205"/>
      <c r="CZ200" s="205"/>
      <c r="DA200" s="205"/>
      <c r="DB200" s="205"/>
      <c r="DC200" s="205"/>
      <c r="DD200" s="205"/>
      <c r="DE200" s="205"/>
      <c r="DF200" s="205"/>
      <c r="DG200" s="205"/>
      <c r="DH200" s="205"/>
      <c r="DI200" s="205"/>
      <c r="DJ200" s="205"/>
      <c r="DK200" s="205"/>
      <c r="DL200" s="205"/>
      <c r="DM200" s="205"/>
      <c r="DN200" s="205"/>
      <c r="DO200" s="205"/>
      <c r="DP200" s="205"/>
      <c r="DQ200" s="205"/>
      <c r="DR200" s="205"/>
      <c r="DS200" s="205"/>
      <c r="DT200" s="205"/>
      <c r="DU200" s="205"/>
      <c r="DV200" s="205"/>
      <c r="DW200" s="205"/>
      <c r="DX200" s="205"/>
      <c r="DY200" s="205"/>
      <c r="DZ200" s="205"/>
      <c r="EA200" s="205"/>
      <c r="EB200" s="205"/>
      <c r="EC200" s="205"/>
      <c r="ED200" s="205"/>
      <c r="EE200" s="205"/>
      <c r="EF200" s="205"/>
      <c r="EG200" s="205"/>
      <c r="EH200" s="205"/>
      <c r="EI200" s="205"/>
      <c r="EJ200" s="205"/>
      <c r="EK200" s="205"/>
      <c r="EL200" s="205"/>
      <c r="EM200" s="205"/>
      <c r="EN200" s="205"/>
      <c r="EO200" s="205"/>
      <c r="EP200" s="205"/>
      <c r="EQ200" s="205"/>
      <c r="ER200" s="205"/>
      <c r="ES200" s="205"/>
      <c r="ET200" s="205"/>
      <c r="EU200" s="205"/>
      <c r="EV200" s="205"/>
      <c r="EW200" s="205"/>
      <c r="EX200" s="205"/>
      <c r="EY200" s="205"/>
      <c r="EZ200" s="205"/>
      <c r="FA200" s="205"/>
      <c r="FB200" s="205"/>
      <c r="FC200" s="205"/>
      <c r="FD200" s="205"/>
      <c r="FE200" s="205"/>
      <c r="FF200" s="205"/>
      <c r="FG200" s="205"/>
      <c r="FH200" s="205"/>
      <c r="FI200" s="205"/>
      <c r="FJ200" s="205"/>
      <c r="FK200" s="205"/>
      <c r="FL200" s="205"/>
      <c r="FM200" s="205"/>
      <c r="FN200" s="205"/>
      <c r="FO200" s="205"/>
      <c r="FP200" s="205"/>
      <c r="FQ200" s="205"/>
      <c r="FR200" s="205"/>
      <c r="FS200" s="205"/>
      <c r="FT200" s="205"/>
      <c r="FU200" s="205"/>
      <c r="FV200" s="205"/>
      <c r="FW200" s="205"/>
      <c r="FX200" s="205"/>
      <c r="FY200" s="205"/>
      <c r="FZ200" s="205"/>
      <c r="GA200" s="205"/>
      <c r="GB200" s="205"/>
      <c r="GC200" s="205"/>
      <c r="GD200" s="205"/>
      <c r="GE200" s="205"/>
      <c r="GF200" s="205"/>
      <c r="GG200" s="205"/>
      <c r="GH200" s="205"/>
      <c r="GI200" s="205"/>
      <c r="GJ200" s="205"/>
      <c r="GK200" s="205"/>
      <c r="GL200" s="205"/>
      <c r="GM200" s="205"/>
      <c r="GN200" s="205"/>
      <c r="GO200" s="205"/>
      <c r="GP200" s="205"/>
      <c r="GQ200" s="205"/>
      <c r="GR200" s="205"/>
      <c r="GS200" s="205"/>
      <c r="GT200" s="205"/>
      <c r="GU200" s="205"/>
      <c r="GV200" s="205"/>
      <c r="GW200" s="205"/>
      <c r="GX200" s="205"/>
      <c r="GY200" s="205"/>
      <c r="GZ200" s="205"/>
      <c r="HA200" s="205"/>
      <c r="HB200" s="205"/>
      <c r="HC200" s="205"/>
      <c r="HD200" s="205"/>
      <c r="HE200" s="205"/>
      <c r="HF200" s="205"/>
      <c r="HG200" s="205"/>
      <c r="HH200" s="205"/>
      <c r="HI200" s="205"/>
      <c r="HJ200" s="205"/>
      <c r="HK200" s="205"/>
      <c r="HL200" s="205"/>
      <c r="HM200" s="205"/>
      <c r="HN200" s="205"/>
      <c r="HO200" s="205"/>
      <c r="HP200" s="205"/>
      <c r="HQ200" s="205"/>
      <c r="HR200" s="205"/>
      <c r="HS200" s="205"/>
      <c r="HT200" s="205"/>
      <c r="HU200" s="205"/>
      <c r="HV200" s="205"/>
      <c r="HW200" s="205"/>
      <c r="HX200" s="205"/>
      <c r="HY200" s="205"/>
      <c r="HZ200" s="205"/>
      <c r="IA200" s="205"/>
      <c r="IB200" s="205"/>
      <c r="IC200" s="205"/>
      <c r="ID200" s="205"/>
      <c r="IE200" s="205"/>
      <c r="IF200" s="205"/>
      <c r="IG200" s="205"/>
      <c r="IH200" s="205"/>
      <c r="II200" s="205"/>
      <c r="IJ200" s="205"/>
      <c r="IK200" s="205"/>
      <c r="IL200" s="205"/>
      <c r="IM200" s="205"/>
      <c r="IN200" s="205"/>
      <c r="IO200" s="205"/>
      <c r="IP200" s="205"/>
      <c r="IQ200" s="205"/>
      <c r="IR200" s="205"/>
      <c r="IS200" s="205"/>
      <c r="IT200" s="205"/>
      <c r="IU200" s="205"/>
      <c r="IV200" s="205"/>
      <c r="IW200" s="205"/>
      <c r="IX200" s="205"/>
    </row>
    <row r="201" spans="1:258" s="203" customFormat="1" x14ac:dyDescent="0.2">
      <c r="A201" s="669"/>
      <c r="B201" s="670">
        <f>RAB!B72</f>
        <v>11</v>
      </c>
      <c r="C201" s="686" t="str">
        <f>RAB!D72</f>
        <v>Memasang bekisting untuk kolom (2 kali pakai)</v>
      </c>
      <c r="D201" s="672"/>
      <c r="E201" s="673"/>
      <c r="F201" s="673"/>
      <c r="G201" s="674"/>
      <c r="H201" s="675"/>
      <c r="I201" s="676"/>
      <c r="J201" s="676"/>
      <c r="K201" s="676"/>
      <c r="L201" s="676"/>
      <c r="M201" s="676"/>
      <c r="N201" s="676"/>
      <c r="O201" s="676"/>
      <c r="P201" s="676"/>
      <c r="Q201" s="676"/>
      <c r="R201" s="677"/>
      <c r="S201" s="678"/>
      <c r="T201" s="684"/>
      <c r="U201" s="205"/>
      <c r="V201" s="685"/>
      <c r="W201" s="205"/>
      <c r="X201" s="205"/>
      <c r="Y201" s="205"/>
      <c r="Z201" s="205"/>
      <c r="AA201" s="205"/>
      <c r="AB201" s="205"/>
      <c r="AC201" s="205"/>
      <c r="AD201" s="205"/>
      <c r="AE201" s="205"/>
      <c r="AF201" s="205"/>
      <c r="AG201" s="205"/>
      <c r="AH201" s="205"/>
      <c r="AI201" s="205"/>
      <c r="AJ201" s="205"/>
      <c r="AK201" s="205"/>
      <c r="AL201" s="205"/>
      <c r="AM201" s="205"/>
      <c r="AN201" s="205"/>
      <c r="AO201" s="205"/>
      <c r="AP201" s="205"/>
      <c r="AQ201" s="205"/>
      <c r="AR201" s="205"/>
      <c r="AS201" s="205"/>
      <c r="AT201" s="205"/>
      <c r="AU201" s="205"/>
      <c r="AV201" s="205"/>
      <c r="AW201" s="205"/>
      <c r="AX201" s="205"/>
      <c r="AY201" s="205"/>
      <c r="AZ201" s="205"/>
      <c r="BA201" s="205"/>
      <c r="BB201" s="205"/>
      <c r="BC201" s="205"/>
      <c r="BD201" s="205"/>
      <c r="BE201" s="205"/>
      <c r="BF201" s="205"/>
      <c r="BG201" s="205"/>
      <c r="BH201" s="205"/>
      <c r="BI201" s="205"/>
      <c r="BJ201" s="205"/>
      <c r="BK201" s="205"/>
      <c r="BL201" s="205"/>
      <c r="BM201" s="205"/>
      <c r="BN201" s="205"/>
      <c r="BO201" s="205"/>
      <c r="BP201" s="205"/>
      <c r="BQ201" s="205"/>
      <c r="BR201" s="205"/>
      <c r="BS201" s="205"/>
      <c r="BT201" s="205"/>
      <c r="BU201" s="205"/>
      <c r="BV201" s="205"/>
      <c r="BW201" s="205"/>
      <c r="BX201" s="205"/>
      <c r="BY201" s="205"/>
      <c r="BZ201" s="205"/>
      <c r="CA201" s="205"/>
      <c r="CB201" s="205"/>
      <c r="CC201" s="205"/>
      <c r="CD201" s="205"/>
      <c r="CE201" s="205"/>
      <c r="CF201" s="205"/>
      <c r="CG201" s="205"/>
      <c r="CH201" s="205"/>
      <c r="CI201" s="205"/>
      <c r="CJ201" s="205"/>
      <c r="CK201" s="205"/>
      <c r="CL201" s="205"/>
      <c r="CM201" s="205"/>
      <c r="CN201" s="205"/>
      <c r="CO201" s="205"/>
      <c r="CP201" s="205"/>
      <c r="CQ201" s="205"/>
      <c r="CR201" s="205"/>
      <c r="CS201" s="205"/>
      <c r="CT201" s="205"/>
      <c r="CU201" s="205"/>
      <c r="CV201" s="205"/>
      <c r="CW201" s="205"/>
      <c r="CX201" s="205"/>
      <c r="CY201" s="205"/>
      <c r="CZ201" s="205"/>
      <c r="DA201" s="205"/>
      <c r="DB201" s="205"/>
      <c r="DC201" s="205"/>
      <c r="DD201" s="205"/>
      <c r="DE201" s="205"/>
      <c r="DF201" s="205"/>
      <c r="DG201" s="205"/>
      <c r="DH201" s="205"/>
      <c r="DI201" s="205"/>
      <c r="DJ201" s="205"/>
      <c r="DK201" s="205"/>
      <c r="DL201" s="205"/>
      <c r="DM201" s="205"/>
      <c r="DN201" s="205"/>
      <c r="DO201" s="205"/>
      <c r="DP201" s="205"/>
      <c r="DQ201" s="205"/>
      <c r="DR201" s="205"/>
      <c r="DS201" s="205"/>
      <c r="DT201" s="205"/>
      <c r="DU201" s="205"/>
      <c r="DV201" s="205"/>
      <c r="DW201" s="205"/>
      <c r="DX201" s="205"/>
      <c r="DY201" s="205"/>
      <c r="DZ201" s="205"/>
      <c r="EA201" s="205"/>
      <c r="EB201" s="205"/>
      <c r="EC201" s="205"/>
      <c r="ED201" s="205"/>
      <c r="EE201" s="205"/>
      <c r="EF201" s="205"/>
      <c r="EG201" s="205"/>
      <c r="EH201" s="205"/>
      <c r="EI201" s="205"/>
      <c r="EJ201" s="205"/>
      <c r="EK201" s="205"/>
      <c r="EL201" s="205"/>
      <c r="EM201" s="205"/>
      <c r="EN201" s="205"/>
      <c r="EO201" s="205"/>
      <c r="EP201" s="205"/>
      <c r="EQ201" s="205"/>
      <c r="ER201" s="205"/>
      <c r="ES201" s="205"/>
      <c r="ET201" s="205"/>
      <c r="EU201" s="205"/>
      <c r="EV201" s="205"/>
      <c r="EW201" s="205"/>
      <c r="EX201" s="205"/>
      <c r="EY201" s="205"/>
      <c r="EZ201" s="205"/>
      <c r="FA201" s="205"/>
      <c r="FB201" s="205"/>
      <c r="FC201" s="205"/>
      <c r="FD201" s="205"/>
      <c r="FE201" s="205"/>
      <c r="FF201" s="205"/>
      <c r="FG201" s="205"/>
      <c r="FH201" s="205"/>
      <c r="FI201" s="205"/>
      <c r="FJ201" s="205"/>
      <c r="FK201" s="205"/>
      <c r="FL201" s="205"/>
      <c r="FM201" s="205"/>
      <c r="FN201" s="205"/>
      <c r="FO201" s="205"/>
      <c r="FP201" s="205"/>
      <c r="FQ201" s="205"/>
      <c r="FR201" s="205"/>
      <c r="FS201" s="205"/>
      <c r="FT201" s="205"/>
      <c r="FU201" s="205"/>
      <c r="FV201" s="205"/>
      <c r="FW201" s="205"/>
      <c r="FX201" s="205"/>
      <c r="FY201" s="205"/>
      <c r="FZ201" s="205"/>
      <c r="GA201" s="205"/>
      <c r="GB201" s="205"/>
      <c r="GC201" s="205"/>
      <c r="GD201" s="205"/>
      <c r="GE201" s="205"/>
      <c r="GF201" s="205"/>
      <c r="GG201" s="205"/>
      <c r="GH201" s="205"/>
      <c r="GI201" s="205"/>
      <c r="GJ201" s="205"/>
      <c r="GK201" s="205"/>
      <c r="GL201" s="205"/>
      <c r="GM201" s="205"/>
      <c r="GN201" s="205"/>
      <c r="GO201" s="205"/>
      <c r="GP201" s="205"/>
      <c r="GQ201" s="205"/>
      <c r="GR201" s="205"/>
      <c r="GS201" s="205"/>
      <c r="GT201" s="205"/>
      <c r="GU201" s="205"/>
      <c r="GV201" s="205"/>
      <c r="GW201" s="205"/>
      <c r="GX201" s="205"/>
      <c r="GY201" s="205"/>
      <c r="GZ201" s="205"/>
      <c r="HA201" s="205"/>
      <c r="HB201" s="205"/>
      <c r="HC201" s="205"/>
      <c r="HD201" s="205"/>
      <c r="HE201" s="205"/>
      <c r="HF201" s="205"/>
      <c r="HG201" s="205"/>
      <c r="HH201" s="205"/>
      <c r="HI201" s="205"/>
      <c r="HJ201" s="205"/>
      <c r="HK201" s="205"/>
      <c r="HL201" s="205"/>
      <c r="HM201" s="205"/>
      <c r="HN201" s="205"/>
      <c r="HO201" s="205"/>
      <c r="HP201" s="205"/>
      <c r="HQ201" s="205"/>
      <c r="HR201" s="205"/>
      <c r="HS201" s="205"/>
      <c r="HT201" s="205"/>
      <c r="HU201" s="205"/>
      <c r="HV201" s="205"/>
      <c r="HW201" s="205"/>
      <c r="HX201" s="205"/>
      <c r="HY201" s="205"/>
      <c r="HZ201" s="205"/>
      <c r="IA201" s="205"/>
      <c r="IB201" s="205"/>
      <c r="IC201" s="205"/>
      <c r="ID201" s="205"/>
      <c r="IE201" s="205"/>
      <c r="IF201" s="205"/>
      <c r="IG201" s="205"/>
      <c r="IH201" s="205"/>
      <c r="II201" s="205"/>
      <c r="IJ201" s="205"/>
      <c r="IK201" s="205"/>
      <c r="IL201" s="205"/>
      <c r="IM201" s="205"/>
      <c r="IN201" s="205"/>
      <c r="IO201" s="205"/>
      <c r="IP201" s="205"/>
      <c r="IQ201" s="205"/>
      <c r="IR201" s="205"/>
      <c r="IS201" s="205"/>
      <c r="IT201" s="205"/>
      <c r="IU201" s="205"/>
      <c r="IV201" s="205"/>
      <c r="IW201" s="205"/>
      <c r="IX201" s="205"/>
    </row>
    <row r="202" spans="1:258" s="203" customFormat="1" x14ac:dyDescent="0.2">
      <c r="A202" s="669"/>
      <c r="B202" s="670"/>
      <c r="C202" s="1358"/>
      <c r="D202" s="672"/>
      <c r="E202" s="1359"/>
      <c r="F202" s="1359"/>
      <c r="G202" s="1360" t="str">
        <f>G198</f>
        <v>K1. 20x20</v>
      </c>
      <c r="H202" s="1361">
        <f>J192+L192</f>
        <v>0.4</v>
      </c>
      <c r="I202" s="1362" t="s">
        <v>424</v>
      </c>
      <c r="J202" s="1362">
        <f>H196</f>
        <v>4</v>
      </c>
      <c r="K202" s="1362" t="s">
        <v>424</v>
      </c>
      <c r="L202" s="1362">
        <f>N196</f>
        <v>19</v>
      </c>
      <c r="M202" s="1362"/>
      <c r="N202" s="1362"/>
      <c r="O202" s="1362"/>
      <c r="P202" s="1362"/>
      <c r="Q202" s="1362" t="s">
        <v>696</v>
      </c>
      <c r="R202" s="1363">
        <f>H202*J202*L202</f>
        <v>30.400000000000002</v>
      </c>
      <c r="S202" s="1364"/>
      <c r="T202" s="722"/>
      <c r="U202" s="205"/>
      <c r="V202" s="68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05"/>
      <c r="BN202" s="205"/>
      <c r="BO202" s="205"/>
      <c r="BP202" s="205"/>
      <c r="BQ202" s="205"/>
      <c r="BR202" s="205"/>
      <c r="BS202" s="205"/>
      <c r="BT202" s="205"/>
      <c r="BU202" s="205"/>
      <c r="BV202" s="205"/>
      <c r="BW202" s="205"/>
      <c r="BX202" s="205"/>
      <c r="BY202" s="205"/>
      <c r="BZ202" s="205"/>
      <c r="CA202" s="205"/>
      <c r="CB202" s="205"/>
      <c r="CC202" s="205"/>
      <c r="CD202" s="205"/>
      <c r="CE202" s="205"/>
      <c r="CF202" s="205"/>
      <c r="CG202" s="205"/>
      <c r="CH202" s="205"/>
      <c r="CI202" s="205"/>
      <c r="CJ202" s="205"/>
      <c r="CK202" s="205"/>
      <c r="CL202" s="205"/>
      <c r="CM202" s="205"/>
      <c r="CN202" s="205"/>
      <c r="CO202" s="205"/>
      <c r="CP202" s="205"/>
      <c r="CQ202" s="205"/>
      <c r="CR202" s="205"/>
      <c r="CS202" s="205"/>
      <c r="CT202" s="205"/>
      <c r="CU202" s="205"/>
      <c r="CV202" s="205"/>
      <c r="CW202" s="205"/>
      <c r="CX202" s="205"/>
      <c r="CY202" s="205"/>
      <c r="CZ202" s="205"/>
      <c r="DA202" s="205"/>
      <c r="DB202" s="205"/>
      <c r="DC202" s="205"/>
      <c r="DD202" s="205"/>
      <c r="DE202" s="205"/>
      <c r="DF202" s="205"/>
      <c r="DG202" s="205"/>
      <c r="DH202" s="205"/>
      <c r="DI202" s="205"/>
      <c r="DJ202" s="205"/>
      <c r="DK202" s="205"/>
      <c r="DL202" s="205"/>
      <c r="DM202" s="205"/>
      <c r="DN202" s="205"/>
      <c r="DO202" s="205"/>
      <c r="DP202" s="205"/>
      <c r="DQ202" s="205"/>
      <c r="DR202" s="205"/>
      <c r="DS202" s="205"/>
      <c r="DT202" s="205"/>
      <c r="DU202" s="205"/>
      <c r="DV202" s="205"/>
      <c r="DW202" s="205"/>
      <c r="DX202" s="205"/>
      <c r="DY202" s="205"/>
      <c r="DZ202" s="205"/>
      <c r="EA202" s="205"/>
      <c r="EB202" s="205"/>
      <c r="EC202" s="205"/>
      <c r="ED202" s="205"/>
      <c r="EE202" s="205"/>
      <c r="EF202" s="205"/>
      <c r="EG202" s="205"/>
      <c r="EH202" s="205"/>
      <c r="EI202" s="205"/>
      <c r="EJ202" s="205"/>
      <c r="EK202" s="205"/>
      <c r="EL202" s="205"/>
      <c r="EM202" s="205"/>
      <c r="EN202" s="205"/>
      <c r="EO202" s="205"/>
      <c r="EP202" s="205"/>
      <c r="EQ202" s="205"/>
      <c r="ER202" s="205"/>
      <c r="ES202" s="205"/>
      <c r="ET202" s="205"/>
      <c r="EU202" s="205"/>
      <c r="EV202" s="205"/>
      <c r="EW202" s="205"/>
      <c r="EX202" s="205"/>
      <c r="EY202" s="205"/>
      <c r="EZ202" s="205"/>
      <c r="FA202" s="205"/>
      <c r="FB202" s="205"/>
      <c r="FC202" s="205"/>
      <c r="FD202" s="205"/>
      <c r="FE202" s="205"/>
      <c r="FF202" s="205"/>
      <c r="FG202" s="205"/>
      <c r="FH202" s="205"/>
      <c r="FI202" s="205"/>
      <c r="FJ202" s="205"/>
      <c r="FK202" s="205"/>
      <c r="FL202" s="205"/>
      <c r="FM202" s="205"/>
      <c r="FN202" s="205"/>
      <c r="FO202" s="205"/>
      <c r="FP202" s="205"/>
      <c r="FQ202" s="205"/>
      <c r="FR202" s="205"/>
      <c r="FS202" s="205"/>
      <c r="FT202" s="205"/>
      <c r="FU202" s="205"/>
      <c r="FV202" s="205"/>
      <c r="FW202" s="205"/>
      <c r="FX202" s="205"/>
      <c r="FY202" s="205"/>
      <c r="FZ202" s="205"/>
      <c r="GA202" s="205"/>
      <c r="GB202" s="205"/>
      <c r="GC202" s="205"/>
      <c r="GD202" s="205"/>
      <c r="GE202" s="205"/>
      <c r="GF202" s="205"/>
      <c r="GG202" s="205"/>
      <c r="GH202" s="205"/>
      <c r="GI202" s="205"/>
      <c r="GJ202" s="205"/>
      <c r="GK202" s="205"/>
      <c r="GL202" s="205"/>
      <c r="GM202" s="205"/>
      <c r="GN202" s="205"/>
      <c r="GO202" s="205"/>
      <c r="GP202" s="205"/>
      <c r="GQ202" s="205"/>
      <c r="GR202" s="205"/>
      <c r="GS202" s="205"/>
      <c r="GT202" s="205"/>
      <c r="GU202" s="205"/>
      <c r="GV202" s="205"/>
      <c r="GW202" s="205"/>
      <c r="GX202" s="205"/>
      <c r="GY202" s="205"/>
      <c r="GZ202" s="205"/>
      <c r="HA202" s="205"/>
      <c r="HB202" s="205"/>
      <c r="HC202" s="205"/>
      <c r="HD202" s="205"/>
      <c r="HE202" s="205"/>
      <c r="HF202" s="205"/>
      <c r="HG202" s="205"/>
      <c r="HH202" s="205"/>
      <c r="HI202" s="205"/>
      <c r="HJ202" s="205"/>
      <c r="HK202" s="205"/>
      <c r="HL202" s="205"/>
      <c r="HM202" s="205"/>
      <c r="HN202" s="205"/>
      <c r="HO202" s="205"/>
      <c r="HP202" s="205"/>
      <c r="HQ202" s="205"/>
      <c r="HR202" s="205"/>
      <c r="HS202" s="205"/>
      <c r="HT202" s="205"/>
      <c r="HU202" s="205"/>
      <c r="HV202" s="205"/>
      <c r="HW202" s="205"/>
      <c r="HX202" s="205"/>
      <c r="HY202" s="205"/>
      <c r="HZ202" s="205"/>
      <c r="IA202" s="205"/>
      <c r="IB202" s="205"/>
      <c r="IC202" s="205"/>
      <c r="ID202" s="205"/>
      <c r="IE202" s="205"/>
      <c r="IF202" s="205"/>
      <c r="IG202" s="205"/>
      <c r="IH202" s="205"/>
      <c r="II202" s="205"/>
      <c r="IJ202" s="205"/>
      <c r="IK202" s="205"/>
      <c r="IL202" s="205"/>
      <c r="IM202" s="205"/>
      <c r="IN202" s="205"/>
      <c r="IO202" s="205"/>
      <c r="IP202" s="205"/>
      <c r="IQ202" s="205"/>
      <c r="IR202" s="205"/>
      <c r="IS202" s="205"/>
      <c r="IT202" s="205"/>
      <c r="IU202" s="205"/>
      <c r="IV202" s="205"/>
      <c r="IW202" s="205"/>
      <c r="IX202" s="205"/>
    </row>
    <row r="203" spans="1:258" s="203" customFormat="1" x14ac:dyDescent="0.2">
      <c r="A203" s="669"/>
      <c r="B203" s="670"/>
      <c r="C203" s="1358"/>
      <c r="D203" s="672"/>
      <c r="E203" s="1359"/>
      <c r="F203" s="1359"/>
      <c r="G203" s="1360"/>
      <c r="H203" s="1361"/>
      <c r="I203" s="1362"/>
      <c r="J203" s="1362"/>
      <c r="K203" s="1362"/>
      <c r="L203" s="1362"/>
      <c r="M203" s="1362"/>
      <c r="N203" s="1362"/>
      <c r="O203" s="1362"/>
      <c r="P203" s="1362"/>
      <c r="Q203" s="1362"/>
      <c r="R203" s="1363">
        <f>SUM(R202)</f>
        <v>30.400000000000002</v>
      </c>
      <c r="S203" s="1364">
        <f>R203</f>
        <v>30.400000000000002</v>
      </c>
      <c r="T203" s="722" t="s">
        <v>338</v>
      </c>
      <c r="U203" s="205"/>
      <c r="V203" s="68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05"/>
      <c r="BN203" s="205"/>
      <c r="BO203" s="205"/>
      <c r="BP203" s="205"/>
      <c r="BQ203" s="205"/>
      <c r="BR203" s="205"/>
      <c r="BS203" s="205"/>
      <c r="BT203" s="205"/>
      <c r="BU203" s="205"/>
      <c r="BV203" s="205"/>
      <c r="BW203" s="205"/>
      <c r="BX203" s="205"/>
      <c r="BY203" s="205"/>
      <c r="BZ203" s="205"/>
      <c r="CA203" s="205"/>
      <c r="CB203" s="205"/>
      <c r="CC203" s="205"/>
      <c r="CD203" s="205"/>
      <c r="CE203" s="205"/>
      <c r="CF203" s="205"/>
      <c r="CG203" s="205"/>
      <c r="CH203" s="205"/>
      <c r="CI203" s="205"/>
      <c r="CJ203" s="205"/>
      <c r="CK203" s="205"/>
      <c r="CL203" s="205"/>
      <c r="CM203" s="205"/>
      <c r="CN203" s="205"/>
      <c r="CO203" s="205"/>
      <c r="CP203" s="205"/>
      <c r="CQ203" s="205"/>
      <c r="CR203" s="205"/>
      <c r="CS203" s="205"/>
      <c r="CT203" s="205"/>
      <c r="CU203" s="205"/>
      <c r="CV203" s="205"/>
      <c r="CW203" s="205"/>
      <c r="CX203" s="205"/>
      <c r="CY203" s="205"/>
      <c r="CZ203" s="205"/>
      <c r="DA203" s="205"/>
      <c r="DB203" s="205"/>
      <c r="DC203" s="205"/>
      <c r="DD203" s="205"/>
      <c r="DE203" s="205"/>
      <c r="DF203" s="205"/>
      <c r="DG203" s="205"/>
      <c r="DH203" s="205"/>
      <c r="DI203" s="205"/>
      <c r="DJ203" s="205"/>
      <c r="DK203" s="205"/>
      <c r="DL203" s="205"/>
      <c r="DM203" s="205"/>
      <c r="DN203" s="205"/>
      <c r="DO203" s="205"/>
      <c r="DP203" s="205"/>
      <c r="DQ203" s="205"/>
      <c r="DR203" s="205"/>
      <c r="DS203" s="205"/>
      <c r="DT203" s="205"/>
      <c r="DU203" s="205"/>
      <c r="DV203" s="205"/>
      <c r="DW203" s="205"/>
      <c r="DX203" s="205"/>
      <c r="DY203" s="205"/>
      <c r="DZ203" s="205"/>
      <c r="EA203" s="205"/>
      <c r="EB203" s="205"/>
      <c r="EC203" s="205"/>
      <c r="ED203" s="205"/>
      <c r="EE203" s="205"/>
      <c r="EF203" s="205"/>
      <c r="EG203" s="205"/>
      <c r="EH203" s="205"/>
      <c r="EI203" s="205"/>
      <c r="EJ203" s="205"/>
      <c r="EK203" s="205"/>
      <c r="EL203" s="205"/>
      <c r="EM203" s="205"/>
      <c r="EN203" s="205"/>
      <c r="EO203" s="205"/>
      <c r="EP203" s="205"/>
      <c r="EQ203" s="205"/>
      <c r="ER203" s="205"/>
      <c r="ES203" s="205"/>
      <c r="ET203" s="205"/>
      <c r="EU203" s="205"/>
      <c r="EV203" s="205"/>
      <c r="EW203" s="205"/>
      <c r="EX203" s="205"/>
      <c r="EY203" s="205"/>
      <c r="EZ203" s="205"/>
      <c r="FA203" s="205"/>
      <c r="FB203" s="205"/>
      <c r="FC203" s="205"/>
      <c r="FD203" s="205"/>
      <c r="FE203" s="205"/>
      <c r="FF203" s="205"/>
      <c r="FG203" s="205"/>
      <c r="FH203" s="205"/>
      <c r="FI203" s="205"/>
      <c r="FJ203" s="205"/>
      <c r="FK203" s="205"/>
      <c r="FL203" s="205"/>
      <c r="FM203" s="205"/>
      <c r="FN203" s="205"/>
      <c r="FO203" s="205"/>
      <c r="FP203" s="205"/>
      <c r="FQ203" s="205"/>
      <c r="FR203" s="205"/>
      <c r="FS203" s="205"/>
      <c r="FT203" s="205"/>
      <c r="FU203" s="205"/>
      <c r="FV203" s="205"/>
      <c r="FW203" s="205"/>
      <c r="FX203" s="205"/>
      <c r="FY203" s="205"/>
      <c r="FZ203" s="205"/>
      <c r="GA203" s="205"/>
      <c r="GB203" s="205"/>
      <c r="GC203" s="205"/>
      <c r="GD203" s="205"/>
      <c r="GE203" s="205"/>
      <c r="GF203" s="205"/>
      <c r="GG203" s="205"/>
      <c r="GH203" s="205"/>
      <c r="GI203" s="205"/>
      <c r="GJ203" s="205"/>
      <c r="GK203" s="205"/>
      <c r="GL203" s="205"/>
      <c r="GM203" s="205"/>
      <c r="GN203" s="205"/>
      <c r="GO203" s="205"/>
      <c r="GP203" s="205"/>
      <c r="GQ203" s="205"/>
      <c r="GR203" s="205"/>
      <c r="GS203" s="205"/>
      <c r="GT203" s="205"/>
      <c r="GU203" s="205"/>
      <c r="GV203" s="205"/>
      <c r="GW203" s="205"/>
      <c r="GX203" s="205"/>
      <c r="GY203" s="205"/>
      <c r="GZ203" s="205"/>
      <c r="HA203" s="205"/>
      <c r="HB203" s="205"/>
      <c r="HC203" s="205"/>
      <c r="HD203" s="205"/>
      <c r="HE203" s="205"/>
      <c r="HF203" s="205"/>
      <c r="HG203" s="205"/>
      <c r="HH203" s="205"/>
      <c r="HI203" s="205"/>
      <c r="HJ203" s="205"/>
      <c r="HK203" s="205"/>
      <c r="HL203" s="205"/>
      <c r="HM203" s="205"/>
      <c r="HN203" s="205"/>
      <c r="HO203" s="205"/>
      <c r="HP203" s="205"/>
      <c r="HQ203" s="205"/>
      <c r="HR203" s="205"/>
      <c r="HS203" s="205"/>
      <c r="HT203" s="205"/>
      <c r="HU203" s="205"/>
      <c r="HV203" s="205"/>
      <c r="HW203" s="205"/>
      <c r="HX203" s="205"/>
      <c r="HY203" s="205"/>
      <c r="HZ203" s="205"/>
      <c r="IA203" s="205"/>
      <c r="IB203" s="205"/>
      <c r="IC203" s="205"/>
      <c r="ID203" s="205"/>
      <c r="IE203" s="205"/>
      <c r="IF203" s="205"/>
      <c r="IG203" s="205"/>
      <c r="IH203" s="205"/>
      <c r="II203" s="205"/>
      <c r="IJ203" s="205"/>
      <c r="IK203" s="205"/>
      <c r="IL203" s="205"/>
      <c r="IM203" s="205"/>
      <c r="IN203" s="205"/>
      <c r="IO203" s="205"/>
      <c r="IP203" s="205"/>
      <c r="IQ203" s="205"/>
      <c r="IR203" s="205"/>
      <c r="IS203" s="205"/>
      <c r="IT203" s="205"/>
      <c r="IU203" s="205"/>
      <c r="IV203" s="205"/>
      <c r="IW203" s="205"/>
      <c r="IX203" s="205"/>
    </row>
    <row r="204" spans="1:258" s="203" customFormat="1" x14ac:dyDescent="0.2">
      <c r="A204" s="669"/>
      <c r="B204" s="670"/>
      <c r="C204" s="1358"/>
      <c r="D204" s="672"/>
      <c r="E204" s="1359"/>
      <c r="F204" s="1359"/>
      <c r="G204" s="1360"/>
      <c r="H204" s="1361"/>
      <c r="I204" s="1362"/>
      <c r="J204" s="1362"/>
      <c r="K204" s="1362"/>
      <c r="L204" s="1362"/>
      <c r="M204" s="1362"/>
      <c r="N204" s="1362"/>
      <c r="O204" s="1362"/>
      <c r="P204" s="1362"/>
      <c r="Q204" s="1362"/>
      <c r="R204" s="1363"/>
      <c r="S204" s="1364"/>
      <c r="T204" s="722"/>
      <c r="U204" s="205"/>
      <c r="V204" s="68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5"/>
      <c r="BN204" s="205"/>
      <c r="BO204" s="205"/>
      <c r="BP204" s="205"/>
      <c r="BQ204" s="205"/>
      <c r="BR204" s="205"/>
      <c r="BS204" s="205"/>
      <c r="BT204" s="205"/>
      <c r="BU204" s="205"/>
      <c r="BV204" s="205"/>
      <c r="BW204" s="205"/>
      <c r="BX204" s="205"/>
      <c r="BY204" s="205"/>
      <c r="BZ204" s="205"/>
      <c r="CA204" s="205"/>
      <c r="CB204" s="205"/>
      <c r="CC204" s="205"/>
      <c r="CD204" s="205"/>
      <c r="CE204" s="205"/>
      <c r="CF204" s="205"/>
      <c r="CG204" s="205"/>
      <c r="CH204" s="205"/>
      <c r="CI204" s="205"/>
      <c r="CJ204" s="205"/>
      <c r="CK204" s="205"/>
      <c r="CL204" s="205"/>
      <c r="CM204" s="205"/>
      <c r="CN204" s="205"/>
      <c r="CO204" s="205"/>
      <c r="CP204" s="205"/>
      <c r="CQ204" s="205"/>
      <c r="CR204" s="205"/>
      <c r="CS204" s="205"/>
      <c r="CT204" s="205"/>
      <c r="CU204" s="205"/>
      <c r="CV204" s="205"/>
      <c r="CW204" s="205"/>
      <c r="CX204" s="205"/>
      <c r="CY204" s="205"/>
      <c r="CZ204" s="205"/>
      <c r="DA204" s="205"/>
      <c r="DB204" s="205"/>
      <c r="DC204" s="205"/>
      <c r="DD204" s="205"/>
      <c r="DE204" s="205"/>
      <c r="DF204" s="205"/>
      <c r="DG204" s="205"/>
      <c r="DH204" s="205"/>
      <c r="DI204" s="205"/>
      <c r="DJ204" s="205"/>
      <c r="DK204" s="205"/>
      <c r="DL204" s="205"/>
      <c r="DM204" s="205"/>
      <c r="DN204" s="205"/>
      <c r="DO204" s="205"/>
      <c r="DP204" s="205"/>
      <c r="DQ204" s="205"/>
      <c r="DR204" s="205"/>
      <c r="DS204" s="205"/>
      <c r="DT204" s="205"/>
      <c r="DU204" s="205"/>
      <c r="DV204" s="205"/>
      <c r="DW204" s="205"/>
      <c r="DX204" s="205"/>
      <c r="DY204" s="205"/>
      <c r="DZ204" s="205"/>
      <c r="EA204" s="205"/>
      <c r="EB204" s="205"/>
      <c r="EC204" s="205"/>
      <c r="ED204" s="205"/>
      <c r="EE204" s="205"/>
      <c r="EF204" s="205"/>
      <c r="EG204" s="205"/>
      <c r="EH204" s="205"/>
      <c r="EI204" s="205"/>
      <c r="EJ204" s="205"/>
      <c r="EK204" s="205"/>
      <c r="EL204" s="205"/>
      <c r="EM204" s="205"/>
      <c r="EN204" s="205"/>
      <c r="EO204" s="205"/>
      <c r="EP204" s="205"/>
      <c r="EQ204" s="205"/>
      <c r="ER204" s="205"/>
      <c r="ES204" s="205"/>
      <c r="ET204" s="205"/>
      <c r="EU204" s="205"/>
      <c r="EV204" s="205"/>
      <c r="EW204" s="205"/>
      <c r="EX204" s="205"/>
      <c r="EY204" s="205"/>
      <c r="EZ204" s="205"/>
      <c r="FA204" s="205"/>
      <c r="FB204" s="205"/>
      <c r="FC204" s="205"/>
      <c r="FD204" s="205"/>
      <c r="FE204" s="205"/>
      <c r="FF204" s="205"/>
      <c r="FG204" s="205"/>
      <c r="FH204" s="205"/>
      <c r="FI204" s="205"/>
      <c r="FJ204" s="205"/>
      <c r="FK204" s="205"/>
      <c r="FL204" s="205"/>
      <c r="FM204" s="205"/>
      <c r="FN204" s="205"/>
      <c r="FO204" s="205"/>
      <c r="FP204" s="205"/>
      <c r="FQ204" s="205"/>
      <c r="FR204" s="205"/>
      <c r="FS204" s="205"/>
      <c r="FT204" s="205"/>
      <c r="FU204" s="205"/>
      <c r="FV204" s="205"/>
      <c r="FW204" s="205"/>
      <c r="FX204" s="205"/>
      <c r="FY204" s="205"/>
      <c r="FZ204" s="205"/>
      <c r="GA204" s="205"/>
      <c r="GB204" s="205"/>
      <c r="GC204" s="205"/>
      <c r="GD204" s="205"/>
      <c r="GE204" s="205"/>
      <c r="GF204" s="205"/>
      <c r="GG204" s="205"/>
      <c r="GH204" s="205"/>
      <c r="GI204" s="205"/>
      <c r="GJ204" s="205"/>
      <c r="GK204" s="205"/>
      <c r="GL204" s="205"/>
      <c r="GM204" s="205"/>
      <c r="GN204" s="205"/>
      <c r="GO204" s="205"/>
      <c r="GP204" s="205"/>
      <c r="GQ204" s="205"/>
      <c r="GR204" s="205"/>
      <c r="GS204" s="205"/>
      <c r="GT204" s="205"/>
      <c r="GU204" s="205"/>
      <c r="GV204" s="205"/>
      <c r="GW204" s="205"/>
      <c r="GX204" s="205"/>
      <c r="GY204" s="205"/>
      <c r="GZ204" s="205"/>
      <c r="HA204" s="205"/>
      <c r="HB204" s="205"/>
      <c r="HC204" s="205"/>
      <c r="HD204" s="205"/>
      <c r="HE204" s="205"/>
      <c r="HF204" s="205"/>
      <c r="HG204" s="205"/>
      <c r="HH204" s="205"/>
      <c r="HI204" s="205"/>
      <c r="HJ204" s="205"/>
      <c r="HK204" s="205"/>
      <c r="HL204" s="205"/>
      <c r="HM204" s="205"/>
      <c r="HN204" s="205"/>
      <c r="HO204" s="205"/>
      <c r="HP204" s="205"/>
      <c r="HQ204" s="205"/>
      <c r="HR204" s="205"/>
      <c r="HS204" s="205"/>
      <c r="HT204" s="205"/>
      <c r="HU204" s="205"/>
      <c r="HV204" s="205"/>
      <c r="HW204" s="205"/>
      <c r="HX204" s="205"/>
      <c r="HY204" s="205"/>
      <c r="HZ204" s="205"/>
      <c r="IA204" s="205"/>
      <c r="IB204" s="205"/>
      <c r="IC204" s="205"/>
      <c r="ID204" s="205"/>
      <c r="IE204" s="205"/>
      <c r="IF204" s="205"/>
      <c r="IG204" s="205"/>
      <c r="IH204" s="205"/>
      <c r="II204" s="205"/>
      <c r="IJ204" s="205"/>
      <c r="IK204" s="205"/>
      <c r="IL204" s="205"/>
      <c r="IM204" s="205"/>
      <c r="IN204" s="205"/>
      <c r="IO204" s="205"/>
      <c r="IP204" s="205"/>
      <c r="IQ204" s="205"/>
      <c r="IR204" s="205"/>
      <c r="IS204" s="205"/>
      <c r="IT204" s="205"/>
      <c r="IU204" s="205"/>
      <c r="IV204" s="205"/>
      <c r="IW204" s="205"/>
      <c r="IX204" s="205"/>
    </row>
    <row r="205" spans="1:258" s="203" customFormat="1" x14ac:dyDescent="0.2">
      <c r="A205" s="669"/>
      <c r="B205" s="670"/>
      <c r="C205" s="682" t="str">
        <f>RAB!D73</f>
        <v>Kolom 12X25</v>
      </c>
      <c r="D205" s="672"/>
      <c r="E205" s="673"/>
      <c r="F205" s="673"/>
      <c r="G205" s="674"/>
      <c r="H205" s="675"/>
      <c r="I205" s="676"/>
      <c r="J205" s="676"/>
      <c r="K205" s="676"/>
      <c r="L205" s="676"/>
      <c r="M205" s="676"/>
      <c r="N205" s="676"/>
      <c r="O205" s="676"/>
      <c r="P205" s="676"/>
      <c r="Q205" s="676"/>
      <c r="R205" s="677"/>
      <c r="S205" s="678"/>
      <c r="T205" s="684"/>
      <c r="U205" s="205"/>
      <c r="V205" s="68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5"/>
      <c r="BN205" s="205"/>
      <c r="BO205" s="205"/>
      <c r="BP205" s="205"/>
      <c r="BQ205" s="205"/>
      <c r="BR205" s="205"/>
      <c r="BS205" s="205"/>
      <c r="BT205" s="205"/>
      <c r="BU205" s="205"/>
      <c r="BV205" s="205"/>
      <c r="BW205" s="205"/>
      <c r="BX205" s="205"/>
      <c r="BY205" s="205"/>
      <c r="BZ205" s="205"/>
      <c r="CA205" s="205"/>
      <c r="CB205" s="205"/>
      <c r="CC205" s="205"/>
      <c r="CD205" s="205"/>
      <c r="CE205" s="205"/>
      <c r="CF205" s="205"/>
      <c r="CG205" s="205"/>
      <c r="CH205" s="205"/>
      <c r="CI205" s="205"/>
      <c r="CJ205" s="205"/>
      <c r="CK205" s="205"/>
      <c r="CL205" s="205"/>
      <c r="CM205" s="205"/>
      <c r="CN205" s="205"/>
      <c r="CO205" s="205"/>
      <c r="CP205" s="205"/>
      <c r="CQ205" s="205"/>
      <c r="CR205" s="205"/>
      <c r="CS205" s="205"/>
      <c r="CT205" s="205"/>
      <c r="CU205" s="205"/>
      <c r="CV205" s="205"/>
      <c r="CW205" s="205"/>
      <c r="CX205" s="205"/>
      <c r="CY205" s="205"/>
      <c r="CZ205" s="205"/>
      <c r="DA205" s="205"/>
      <c r="DB205" s="205"/>
      <c r="DC205" s="205"/>
      <c r="DD205" s="205"/>
      <c r="DE205" s="205"/>
      <c r="DF205" s="205"/>
      <c r="DG205" s="205"/>
      <c r="DH205" s="205"/>
      <c r="DI205" s="205"/>
      <c r="DJ205" s="205"/>
      <c r="DK205" s="205"/>
      <c r="DL205" s="205"/>
      <c r="DM205" s="205"/>
      <c r="DN205" s="205"/>
      <c r="DO205" s="205"/>
      <c r="DP205" s="205"/>
      <c r="DQ205" s="205"/>
      <c r="DR205" s="205"/>
      <c r="DS205" s="205"/>
      <c r="DT205" s="205"/>
      <c r="DU205" s="205"/>
      <c r="DV205" s="205"/>
      <c r="DW205" s="205"/>
      <c r="DX205" s="205"/>
      <c r="DY205" s="205"/>
      <c r="DZ205" s="205"/>
      <c r="EA205" s="205"/>
      <c r="EB205" s="205"/>
      <c r="EC205" s="205"/>
      <c r="ED205" s="205"/>
      <c r="EE205" s="205"/>
      <c r="EF205" s="205"/>
      <c r="EG205" s="205"/>
      <c r="EH205" s="205"/>
      <c r="EI205" s="205"/>
      <c r="EJ205" s="205"/>
      <c r="EK205" s="205"/>
      <c r="EL205" s="205"/>
      <c r="EM205" s="205"/>
      <c r="EN205" s="205"/>
      <c r="EO205" s="205"/>
      <c r="EP205" s="205"/>
      <c r="EQ205" s="205"/>
      <c r="ER205" s="205"/>
      <c r="ES205" s="205"/>
      <c r="ET205" s="205"/>
      <c r="EU205" s="205"/>
      <c r="EV205" s="205"/>
      <c r="EW205" s="205"/>
      <c r="EX205" s="205"/>
      <c r="EY205" s="205"/>
      <c r="EZ205" s="205"/>
      <c r="FA205" s="205"/>
      <c r="FB205" s="205"/>
      <c r="FC205" s="205"/>
      <c r="FD205" s="205"/>
      <c r="FE205" s="205"/>
      <c r="FF205" s="205"/>
      <c r="FG205" s="205"/>
      <c r="FH205" s="205"/>
      <c r="FI205" s="205"/>
      <c r="FJ205" s="205"/>
      <c r="FK205" s="205"/>
      <c r="FL205" s="205"/>
      <c r="FM205" s="205"/>
      <c r="FN205" s="205"/>
      <c r="FO205" s="205"/>
      <c r="FP205" s="205"/>
      <c r="FQ205" s="205"/>
      <c r="FR205" s="205"/>
      <c r="FS205" s="205"/>
      <c r="FT205" s="205"/>
      <c r="FU205" s="205"/>
      <c r="FV205" s="205"/>
      <c r="FW205" s="205"/>
      <c r="FX205" s="205"/>
      <c r="FY205" s="205"/>
      <c r="FZ205" s="205"/>
      <c r="GA205" s="205"/>
      <c r="GB205" s="205"/>
      <c r="GC205" s="205"/>
      <c r="GD205" s="205"/>
      <c r="GE205" s="205"/>
      <c r="GF205" s="205"/>
      <c r="GG205" s="205"/>
      <c r="GH205" s="205"/>
      <c r="GI205" s="205"/>
      <c r="GJ205" s="205"/>
      <c r="GK205" s="205"/>
      <c r="GL205" s="205"/>
      <c r="GM205" s="205"/>
      <c r="GN205" s="205"/>
      <c r="GO205" s="205"/>
      <c r="GP205" s="205"/>
      <c r="GQ205" s="205"/>
      <c r="GR205" s="205"/>
      <c r="GS205" s="205"/>
      <c r="GT205" s="205"/>
      <c r="GU205" s="205"/>
      <c r="GV205" s="205"/>
      <c r="GW205" s="205"/>
      <c r="GX205" s="205"/>
      <c r="GY205" s="205"/>
      <c r="GZ205" s="205"/>
      <c r="HA205" s="205"/>
      <c r="HB205" s="205"/>
      <c r="HC205" s="205"/>
      <c r="HD205" s="205"/>
      <c r="HE205" s="205"/>
      <c r="HF205" s="205"/>
      <c r="HG205" s="205"/>
      <c r="HH205" s="205"/>
      <c r="HI205" s="205"/>
      <c r="HJ205" s="205"/>
      <c r="HK205" s="205"/>
      <c r="HL205" s="205"/>
      <c r="HM205" s="205"/>
      <c r="HN205" s="205"/>
      <c r="HO205" s="205"/>
      <c r="HP205" s="205"/>
      <c r="HQ205" s="205"/>
      <c r="HR205" s="205"/>
      <c r="HS205" s="205"/>
      <c r="HT205" s="205"/>
      <c r="HU205" s="205"/>
      <c r="HV205" s="205"/>
      <c r="HW205" s="205"/>
      <c r="HX205" s="205"/>
      <c r="HY205" s="205"/>
      <c r="HZ205" s="205"/>
      <c r="IA205" s="205"/>
      <c r="IB205" s="205"/>
      <c r="IC205" s="205"/>
      <c r="ID205" s="205"/>
      <c r="IE205" s="205"/>
      <c r="IF205" s="205"/>
      <c r="IG205" s="205"/>
      <c r="IH205" s="205"/>
      <c r="II205" s="205"/>
      <c r="IJ205" s="205"/>
      <c r="IK205" s="205"/>
      <c r="IL205" s="205"/>
      <c r="IM205" s="205"/>
      <c r="IN205" s="205"/>
      <c r="IO205" s="205"/>
      <c r="IP205" s="205"/>
      <c r="IQ205" s="205"/>
      <c r="IR205" s="205"/>
      <c r="IS205" s="205"/>
      <c r="IT205" s="205"/>
      <c r="IU205" s="205"/>
      <c r="IV205" s="205"/>
      <c r="IW205" s="205"/>
      <c r="IX205" s="205"/>
    </row>
    <row r="206" spans="1:258" s="203" customFormat="1" x14ac:dyDescent="0.2">
      <c r="A206" s="669"/>
      <c r="B206" s="670">
        <f>RAB!B74</f>
        <v>12</v>
      </c>
      <c r="C206" s="686" t="e">
        <f>RAB!D74</f>
        <v>#REF!</v>
      </c>
      <c r="D206" s="672"/>
      <c r="E206" s="673"/>
      <c r="F206" s="673"/>
      <c r="G206" s="674"/>
      <c r="H206" s="675"/>
      <c r="I206" s="676"/>
      <c r="J206" s="676"/>
      <c r="K206" s="676"/>
      <c r="L206" s="676"/>
      <c r="M206" s="676"/>
      <c r="N206" s="676"/>
      <c r="O206" s="676"/>
      <c r="P206" s="676"/>
      <c r="Q206" s="676"/>
      <c r="R206" s="677"/>
      <c r="S206" s="678"/>
      <c r="T206" s="684"/>
      <c r="U206" s="205"/>
      <c r="V206" s="68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5"/>
      <c r="BN206" s="205"/>
      <c r="BO206" s="205"/>
      <c r="BP206" s="205"/>
      <c r="BQ206" s="205"/>
      <c r="BR206" s="205"/>
      <c r="BS206" s="205"/>
      <c r="BT206" s="205"/>
      <c r="BU206" s="205"/>
      <c r="BV206" s="205"/>
      <c r="BW206" s="205"/>
      <c r="BX206" s="205"/>
      <c r="BY206" s="205"/>
      <c r="BZ206" s="205"/>
      <c r="CA206" s="205"/>
      <c r="CB206" s="205"/>
      <c r="CC206" s="205"/>
      <c r="CD206" s="205"/>
      <c r="CE206" s="205"/>
      <c r="CF206" s="205"/>
      <c r="CG206" s="205"/>
      <c r="CH206" s="205"/>
      <c r="CI206" s="205"/>
      <c r="CJ206" s="205"/>
      <c r="CK206" s="205"/>
      <c r="CL206" s="205"/>
      <c r="CM206" s="205"/>
      <c r="CN206" s="205"/>
      <c r="CO206" s="205"/>
      <c r="CP206" s="205"/>
      <c r="CQ206" s="205"/>
      <c r="CR206" s="205"/>
      <c r="CS206" s="205"/>
      <c r="CT206" s="205"/>
      <c r="CU206" s="205"/>
      <c r="CV206" s="205"/>
      <c r="CW206" s="205"/>
      <c r="CX206" s="205"/>
      <c r="CY206" s="205"/>
      <c r="CZ206" s="205"/>
      <c r="DA206" s="205"/>
      <c r="DB206" s="205"/>
      <c r="DC206" s="205"/>
      <c r="DD206" s="205"/>
      <c r="DE206" s="205"/>
      <c r="DF206" s="205"/>
      <c r="DG206" s="205"/>
      <c r="DH206" s="205"/>
      <c r="DI206" s="205"/>
      <c r="DJ206" s="205"/>
      <c r="DK206" s="205"/>
      <c r="DL206" s="205"/>
      <c r="DM206" s="205"/>
      <c r="DN206" s="205"/>
      <c r="DO206" s="205"/>
      <c r="DP206" s="205"/>
      <c r="DQ206" s="205"/>
      <c r="DR206" s="205"/>
      <c r="DS206" s="205"/>
      <c r="DT206" s="205"/>
      <c r="DU206" s="205"/>
      <c r="DV206" s="205"/>
      <c r="DW206" s="205"/>
      <c r="DX206" s="205"/>
      <c r="DY206" s="205"/>
      <c r="DZ206" s="205"/>
      <c r="EA206" s="205"/>
      <c r="EB206" s="205"/>
      <c r="EC206" s="205"/>
      <c r="ED206" s="205"/>
      <c r="EE206" s="205"/>
      <c r="EF206" s="205"/>
      <c r="EG206" s="205"/>
      <c r="EH206" s="205"/>
      <c r="EI206" s="205"/>
      <c r="EJ206" s="205"/>
      <c r="EK206" s="205"/>
      <c r="EL206" s="205"/>
      <c r="EM206" s="205"/>
      <c r="EN206" s="205"/>
      <c r="EO206" s="205"/>
      <c r="EP206" s="205"/>
      <c r="EQ206" s="205"/>
      <c r="ER206" s="205"/>
      <c r="ES206" s="205"/>
      <c r="ET206" s="205"/>
      <c r="EU206" s="205"/>
      <c r="EV206" s="205"/>
      <c r="EW206" s="205"/>
      <c r="EX206" s="205"/>
      <c r="EY206" s="205"/>
      <c r="EZ206" s="205"/>
      <c r="FA206" s="205"/>
      <c r="FB206" s="205"/>
      <c r="FC206" s="205"/>
      <c r="FD206" s="205"/>
      <c r="FE206" s="205"/>
      <c r="FF206" s="205"/>
      <c r="FG206" s="205"/>
      <c r="FH206" s="205"/>
      <c r="FI206" s="205"/>
      <c r="FJ206" s="205"/>
      <c r="FK206" s="205"/>
      <c r="FL206" s="205"/>
      <c r="FM206" s="205"/>
      <c r="FN206" s="205"/>
      <c r="FO206" s="205"/>
      <c r="FP206" s="205"/>
      <c r="FQ206" s="205"/>
      <c r="FR206" s="205"/>
      <c r="FS206" s="205"/>
      <c r="FT206" s="205"/>
      <c r="FU206" s="205"/>
      <c r="FV206" s="205"/>
      <c r="FW206" s="205"/>
      <c r="FX206" s="205"/>
      <c r="FY206" s="205"/>
      <c r="FZ206" s="205"/>
      <c r="GA206" s="205"/>
      <c r="GB206" s="205"/>
      <c r="GC206" s="205"/>
      <c r="GD206" s="205"/>
      <c r="GE206" s="205"/>
      <c r="GF206" s="205"/>
      <c r="GG206" s="205"/>
      <c r="GH206" s="205"/>
      <c r="GI206" s="205"/>
      <c r="GJ206" s="205"/>
      <c r="GK206" s="205"/>
      <c r="GL206" s="205"/>
      <c r="GM206" s="205"/>
      <c r="GN206" s="205"/>
      <c r="GO206" s="205"/>
      <c r="GP206" s="205"/>
      <c r="GQ206" s="205"/>
      <c r="GR206" s="205"/>
      <c r="GS206" s="205"/>
      <c r="GT206" s="205"/>
      <c r="GU206" s="205"/>
      <c r="GV206" s="205"/>
      <c r="GW206" s="205"/>
      <c r="GX206" s="205"/>
      <c r="GY206" s="205"/>
      <c r="GZ206" s="205"/>
      <c r="HA206" s="205"/>
      <c r="HB206" s="205"/>
      <c r="HC206" s="205"/>
      <c r="HD206" s="205"/>
      <c r="HE206" s="205"/>
      <c r="HF206" s="205"/>
      <c r="HG206" s="205"/>
      <c r="HH206" s="205"/>
      <c r="HI206" s="205"/>
      <c r="HJ206" s="205"/>
      <c r="HK206" s="205"/>
      <c r="HL206" s="205"/>
      <c r="HM206" s="205"/>
      <c r="HN206" s="205"/>
      <c r="HO206" s="205"/>
      <c r="HP206" s="205"/>
      <c r="HQ206" s="205"/>
      <c r="HR206" s="205"/>
      <c r="HS206" s="205"/>
      <c r="HT206" s="205"/>
      <c r="HU206" s="205"/>
      <c r="HV206" s="205"/>
      <c r="HW206" s="205"/>
      <c r="HX206" s="205"/>
      <c r="HY206" s="205"/>
      <c r="HZ206" s="205"/>
      <c r="IA206" s="205"/>
      <c r="IB206" s="205"/>
      <c r="IC206" s="205"/>
      <c r="ID206" s="205"/>
      <c r="IE206" s="205"/>
      <c r="IF206" s="205"/>
      <c r="IG206" s="205"/>
      <c r="IH206" s="205"/>
      <c r="II206" s="205"/>
      <c r="IJ206" s="205"/>
      <c r="IK206" s="205"/>
      <c r="IL206" s="205"/>
      <c r="IM206" s="205"/>
      <c r="IN206" s="205"/>
      <c r="IO206" s="205"/>
      <c r="IP206" s="205"/>
      <c r="IQ206" s="205"/>
      <c r="IR206" s="205"/>
      <c r="IS206" s="205"/>
      <c r="IT206" s="205"/>
      <c r="IU206" s="205"/>
      <c r="IV206" s="205"/>
      <c r="IW206" s="205"/>
      <c r="IX206" s="205"/>
    </row>
    <row r="207" spans="1:258" s="203" customFormat="1" x14ac:dyDescent="0.2">
      <c r="A207" s="669"/>
      <c r="B207" s="670"/>
      <c r="C207" s="1358"/>
      <c r="D207" s="672"/>
      <c r="E207" s="1359"/>
      <c r="F207" s="1359"/>
      <c r="G207" s="1360" t="s">
        <v>1711</v>
      </c>
      <c r="H207" s="1361">
        <v>4</v>
      </c>
      <c r="I207" s="1362" t="s">
        <v>424</v>
      </c>
      <c r="J207" s="1362">
        <v>0.12</v>
      </c>
      <c r="K207" s="1362" t="s">
        <v>424</v>
      </c>
      <c r="L207" s="1362">
        <v>0.25</v>
      </c>
      <c r="M207" s="1362" t="s">
        <v>424</v>
      </c>
      <c r="N207" s="1362">
        <v>8</v>
      </c>
      <c r="O207" s="1362"/>
      <c r="P207" s="1362"/>
      <c r="Q207" s="1362" t="s">
        <v>696</v>
      </c>
      <c r="R207" s="1363">
        <f>H207*J207*L207*N207</f>
        <v>0.96</v>
      </c>
      <c r="S207" s="1364">
        <f>R207</f>
        <v>0.96</v>
      </c>
      <c r="T207" s="722" t="s">
        <v>293</v>
      </c>
      <c r="U207" s="205"/>
      <c r="V207" s="685">
        <f>S213/S207</f>
        <v>184.04586666666671</v>
      </c>
      <c r="W207" s="205"/>
      <c r="X207" s="205"/>
      <c r="Y207" s="205"/>
      <c r="Z207" s="205"/>
      <c r="AA207" s="205"/>
      <c r="AB207" s="205"/>
      <c r="AC207" s="205"/>
      <c r="AD207" s="205"/>
      <c r="AE207" s="205"/>
      <c r="AF207" s="205"/>
      <c r="AG207" s="205"/>
      <c r="AH207" s="205"/>
      <c r="AI207" s="205"/>
      <c r="AJ207" s="205"/>
      <c r="AK207" s="205"/>
      <c r="AL207" s="205"/>
      <c r="AM207" s="205"/>
      <c r="AN207" s="205"/>
      <c r="AO207" s="205"/>
      <c r="AP207" s="205"/>
      <c r="AQ207" s="205"/>
      <c r="AR207" s="205"/>
      <c r="AS207" s="205"/>
      <c r="AT207" s="205"/>
      <c r="AU207" s="205"/>
      <c r="AV207" s="205"/>
      <c r="AW207" s="205"/>
      <c r="AX207" s="205"/>
      <c r="AY207" s="205"/>
      <c r="AZ207" s="205"/>
      <c r="BA207" s="205"/>
      <c r="BB207" s="205"/>
      <c r="BC207" s="205"/>
      <c r="BD207" s="205"/>
      <c r="BE207" s="205"/>
      <c r="BF207" s="205"/>
      <c r="BG207" s="205"/>
      <c r="BH207" s="205"/>
      <c r="BI207" s="205"/>
      <c r="BJ207" s="205"/>
      <c r="BK207" s="205"/>
      <c r="BL207" s="205"/>
      <c r="BM207" s="205"/>
      <c r="BN207" s="205"/>
      <c r="BO207" s="205"/>
      <c r="BP207" s="205"/>
      <c r="BQ207" s="205"/>
      <c r="BR207" s="205"/>
      <c r="BS207" s="205"/>
      <c r="BT207" s="205"/>
      <c r="BU207" s="205"/>
      <c r="BV207" s="205"/>
      <c r="BW207" s="205"/>
      <c r="BX207" s="205"/>
      <c r="BY207" s="205"/>
      <c r="BZ207" s="205"/>
      <c r="CA207" s="205"/>
      <c r="CB207" s="205"/>
      <c r="CC207" s="205"/>
      <c r="CD207" s="205"/>
      <c r="CE207" s="205"/>
      <c r="CF207" s="205"/>
      <c r="CG207" s="205"/>
      <c r="CH207" s="205"/>
      <c r="CI207" s="205"/>
      <c r="CJ207" s="205"/>
      <c r="CK207" s="205"/>
      <c r="CL207" s="205"/>
      <c r="CM207" s="205"/>
      <c r="CN207" s="205"/>
      <c r="CO207" s="205"/>
      <c r="CP207" s="205"/>
      <c r="CQ207" s="205"/>
      <c r="CR207" s="205"/>
      <c r="CS207" s="205"/>
      <c r="CT207" s="205"/>
      <c r="CU207" s="205"/>
      <c r="CV207" s="205"/>
      <c r="CW207" s="205"/>
      <c r="CX207" s="205"/>
      <c r="CY207" s="205"/>
      <c r="CZ207" s="205"/>
      <c r="DA207" s="205"/>
      <c r="DB207" s="205"/>
      <c r="DC207" s="205"/>
      <c r="DD207" s="205"/>
      <c r="DE207" s="205"/>
      <c r="DF207" s="205"/>
      <c r="DG207" s="205"/>
      <c r="DH207" s="205"/>
      <c r="DI207" s="205"/>
      <c r="DJ207" s="205"/>
      <c r="DK207" s="205"/>
      <c r="DL207" s="205"/>
      <c r="DM207" s="205"/>
      <c r="DN207" s="205"/>
      <c r="DO207" s="205"/>
      <c r="DP207" s="205"/>
      <c r="DQ207" s="205"/>
      <c r="DR207" s="205"/>
      <c r="DS207" s="205"/>
      <c r="DT207" s="205"/>
      <c r="DU207" s="205"/>
      <c r="DV207" s="205"/>
      <c r="DW207" s="205"/>
      <c r="DX207" s="205"/>
      <c r="DY207" s="205"/>
      <c r="DZ207" s="205"/>
      <c r="EA207" s="205"/>
      <c r="EB207" s="205"/>
      <c r="EC207" s="205"/>
      <c r="ED207" s="205"/>
      <c r="EE207" s="205"/>
      <c r="EF207" s="205"/>
      <c r="EG207" s="205"/>
      <c r="EH207" s="205"/>
      <c r="EI207" s="205"/>
      <c r="EJ207" s="205"/>
      <c r="EK207" s="205"/>
      <c r="EL207" s="205"/>
      <c r="EM207" s="205"/>
      <c r="EN207" s="205"/>
      <c r="EO207" s="205"/>
      <c r="EP207" s="205"/>
      <c r="EQ207" s="205"/>
      <c r="ER207" s="205"/>
      <c r="ES207" s="205"/>
      <c r="ET207" s="205"/>
      <c r="EU207" s="205"/>
      <c r="EV207" s="205"/>
      <c r="EW207" s="205"/>
      <c r="EX207" s="205"/>
      <c r="EY207" s="205"/>
      <c r="EZ207" s="205"/>
      <c r="FA207" s="205"/>
      <c r="FB207" s="205"/>
      <c r="FC207" s="205"/>
      <c r="FD207" s="205"/>
      <c r="FE207" s="205"/>
      <c r="FF207" s="205"/>
      <c r="FG207" s="205"/>
      <c r="FH207" s="205"/>
      <c r="FI207" s="205"/>
      <c r="FJ207" s="205"/>
      <c r="FK207" s="205"/>
      <c r="FL207" s="205"/>
      <c r="FM207" s="205"/>
      <c r="FN207" s="205"/>
      <c r="FO207" s="205"/>
      <c r="FP207" s="205"/>
      <c r="FQ207" s="205"/>
      <c r="FR207" s="205"/>
      <c r="FS207" s="205"/>
      <c r="FT207" s="205"/>
      <c r="FU207" s="205"/>
      <c r="FV207" s="205"/>
      <c r="FW207" s="205"/>
      <c r="FX207" s="205"/>
      <c r="FY207" s="205"/>
      <c r="FZ207" s="205"/>
      <c r="GA207" s="205"/>
      <c r="GB207" s="205"/>
      <c r="GC207" s="205"/>
      <c r="GD207" s="205"/>
      <c r="GE207" s="205"/>
      <c r="GF207" s="205"/>
      <c r="GG207" s="205"/>
      <c r="GH207" s="205"/>
      <c r="GI207" s="205"/>
      <c r="GJ207" s="205"/>
      <c r="GK207" s="205"/>
      <c r="GL207" s="205"/>
      <c r="GM207" s="205"/>
      <c r="GN207" s="205"/>
      <c r="GO207" s="205"/>
      <c r="GP207" s="205"/>
      <c r="GQ207" s="205"/>
      <c r="GR207" s="205"/>
      <c r="GS207" s="205"/>
      <c r="GT207" s="205"/>
      <c r="GU207" s="205"/>
      <c r="GV207" s="205"/>
      <c r="GW207" s="205"/>
      <c r="GX207" s="205"/>
      <c r="GY207" s="205"/>
      <c r="GZ207" s="205"/>
      <c r="HA207" s="205"/>
      <c r="HB207" s="205"/>
      <c r="HC207" s="205"/>
      <c r="HD207" s="205"/>
      <c r="HE207" s="205"/>
      <c r="HF207" s="205"/>
      <c r="HG207" s="205"/>
      <c r="HH207" s="205"/>
      <c r="HI207" s="205"/>
      <c r="HJ207" s="205"/>
      <c r="HK207" s="205"/>
      <c r="HL207" s="205"/>
      <c r="HM207" s="205"/>
      <c r="HN207" s="205"/>
      <c r="HO207" s="205"/>
      <c r="HP207" s="205"/>
      <c r="HQ207" s="205"/>
      <c r="HR207" s="205"/>
      <c r="HS207" s="205"/>
      <c r="HT207" s="205"/>
      <c r="HU207" s="205"/>
      <c r="HV207" s="205"/>
      <c r="HW207" s="205"/>
      <c r="HX207" s="205"/>
      <c r="HY207" s="205"/>
      <c r="HZ207" s="205"/>
      <c r="IA207" s="205"/>
      <c r="IB207" s="205"/>
      <c r="IC207" s="205"/>
      <c r="ID207" s="205"/>
      <c r="IE207" s="205"/>
      <c r="IF207" s="205"/>
      <c r="IG207" s="205"/>
      <c r="IH207" s="205"/>
      <c r="II207" s="205"/>
      <c r="IJ207" s="205"/>
      <c r="IK207" s="205"/>
      <c r="IL207" s="205"/>
      <c r="IM207" s="205"/>
      <c r="IN207" s="205"/>
      <c r="IO207" s="205"/>
      <c r="IP207" s="205"/>
      <c r="IQ207" s="205"/>
      <c r="IR207" s="205"/>
      <c r="IS207" s="205"/>
      <c r="IT207" s="205"/>
      <c r="IU207" s="205"/>
      <c r="IV207" s="205"/>
      <c r="IW207" s="205"/>
      <c r="IX207" s="205"/>
    </row>
    <row r="208" spans="1:258" s="203" customFormat="1" x14ac:dyDescent="0.2">
      <c r="A208" s="669"/>
      <c r="B208" s="670"/>
      <c r="C208" s="1358"/>
      <c r="D208" s="672"/>
      <c r="E208" s="1359"/>
      <c r="F208" s="1359"/>
      <c r="G208" s="1360"/>
      <c r="H208" s="1361"/>
      <c r="I208" s="1362"/>
      <c r="J208" s="1362"/>
      <c r="K208" s="1362"/>
      <c r="L208" s="1362"/>
      <c r="M208" s="1362"/>
      <c r="N208" s="1362"/>
      <c r="O208" s="1362"/>
      <c r="P208" s="1362"/>
      <c r="Q208" s="1362"/>
      <c r="R208" s="1363"/>
      <c r="S208" s="1364"/>
      <c r="T208" s="722"/>
      <c r="U208" s="205"/>
      <c r="V208" s="685"/>
      <c r="W208" s="205"/>
      <c r="X208" s="205"/>
      <c r="Y208" s="205"/>
      <c r="Z208" s="205"/>
      <c r="AA208" s="205"/>
      <c r="AB208" s="205"/>
      <c r="AC208" s="205"/>
      <c r="AD208" s="205"/>
      <c r="AE208" s="205"/>
      <c r="AF208" s="205"/>
      <c r="AG208" s="205"/>
      <c r="AH208" s="205"/>
      <c r="AI208" s="205"/>
      <c r="AJ208" s="205"/>
      <c r="AK208" s="205"/>
      <c r="AL208" s="205"/>
      <c r="AM208" s="205"/>
      <c r="AN208" s="205"/>
      <c r="AO208" s="205"/>
      <c r="AP208" s="205"/>
      <c r="AQ208" s="205"/>
      <c r="AR208" s="205"/>
      <c r="AS208" s="205"/>
      <c r="AT208" s="205"/>
      <c r="AU208" s="205"/>
      <c r="AV208" s="205"/>
      <c r="AW208" s="205"/>
      <c r="AX208" s="205"/>
      <c r="AY208" s="205"/>
      <c r="AZ208" s="205"/>
      <c r="BA208" s="205"/>
      <c r="BB208" s="205"/>
      <c r="BC208" s="205"/>
      <c r="BD208" s="205"/>
      <c r="BE208" s="205"/>
      <c r="BF208" s="205"/>
      <c r="BG208" s="205"/>
      <c r="BH208" s="205"/>
      <c r="BI208" s="205"/>
      <c r="BJ208" s="205"/>
      <c r="BK208" s="205"/>
      <c r="BL208" s="205"/>
      <c r="BM208" s="205"/>
      <c r="BN208" s="205"/>
      <c r="BO208" s="205"/>
      <c r="BP208" s="205"/>
      <c r="BQ208" s="205"/>
      <c r="BR208" s="205"/>
      <c r="BS208" s="205"/>
      <c r="BT208" s="205"/>
      <c r="BU208" s="205"/>
      <c r="BV208" s="205"/>
      <c r="BW208" s="205"/>
      <c r="BX208" s="205"/>
      <c r="BY208" s="205"/>
      <c r="BZ208" s="205"/>
      <c r="CA208" s="205"/>
      <c r="CB208" s="205"/>
      <c r="CC208" s="205"/>
      <c r="CD208" s="205"/>
      <c r="CE208" s="205"/>
      <c r="CF208" s="205"/>
      <c r="CG208" s="205"/>
      <c r="CH208" s="205"/>
      <c r="CI208" s="205"/>
      <c r="CJ208" s="205"/>
      <c r="CK208" s="205"/>
      <c r="CL208" s="205"/>
      <c r="CM208" s="205"/>
      <c r="CN208" s="205"/>
      <c r="CO208" s="205"/>
      <c r="CP208" s="205"/>
      <c r="CQ208" s="205"/>
      <c r="CR208" s="205"/>
      <c r="CS208" s="205"/>
      <c r="CT208" s="205"/>
      <c r="CU208" s="205"/>
      <c r="CV208" s="205"/>
      <c r="CW208" s="205"/>
      <c r="CX208" s="205"/>
      <c r="CY208" s="205"/>
      <c r="CZ208" s="205"/>
      <c r="DA208" s="205"/>
      <c r="DB208" s="205"/>
      <c r="DC208" s="205"/>
      <c r="DD208" s="205"/>
      <c r="DE208" s="205"/>
      <c r="DF208" s="205"/>
      <c r="DG208" s="205"/>
      <c r="DH208" s="205"/>
      <c r="DI208" s="205"/>
      <c r="DJ208" s="205"/>
      <c r="DK208" s="205"/>
      <c r="DL208" s="205"/>
      <c r="DM208" s="205"/>
      <c r="DN208" s="205"/>
      <c r="DO208" s="205"/>
      <c r="DP208" s="205"/>
      <c r="DQ208" s="205"/>
      <c r="DR208" s="205"/>
      <c r="DS208" s="205"/>
      <c r="DT208" s="205"/>
      <c r="DU208" s="205"/>
      <c r="DV208" s="205"/>
      <c r="DW208" s="205"/>
      <c r="DX208" s="205"/>
      <c r="DY208" s="205"/>
      <c r="DZ208" s="205"/>
      <c r="EA208" s="205"/>
      <c r="EB208" s="205"/>
      <c r="EC208" s="205"/>
      <c r="ED208" s="205"/>
      <c r="EE208" s="205"/>
      <c r="EF208" s="205"/>
      <c r="EG208" s="205"/>
      <c r="EH208" s="205"/>
      <c r="EI208" s="205"/>
      <c r="EJ208" s="205"/>
      <c r="EK208" s="205"/>
      <c r="EL208" s="205"/>
      <c r="EM208" s="205"/>
      <c r="EN208" s="205"/>
      <c r="EO208" s="205"/>
      <c r="EP208" s="205"/>
      <c r="EQ208" s="205"/>
      <c r="ER208" s="205"/>
      <c r="ES208" s="205"/>
      <c r="ET208" s="205"/>
      <c r="EU208" s="205"/>
      <c r="EV208" s="205"/>
      <c r="EW208" s="205"/>
      <c r="EX208" s="205"/>
      <c r="EY208" s="205"/>
      <c r="EZ208" s="205"/>
      <c r="FA208" s="205"/>
      <c r="FB208" s="205"/>
      <c r="FC208" s="205"/>
      <c r="FD208" s="205"/>
      <c r="FE208" s="205"/>
      <c r="FF208" s="205"/>
      <c r="FG208" s="205"/>
      <c r="FH208" s="205"/>
      <c r="FI208" s="205"/>
      <c r="FJ208" s="205"/>
      <c r="FK208" s="205"/>
      <c r="FL208" s="205"/>
      <c r="FM208" s="205"/>
      <c r="FN208" s="205"/>
      <c r="FO208" s="205"/>
      <c r="FP208" s="205"/>
      <c r="FQ208" s="205"/>
      <c r="FR208" s="205"/>
      <c r="FS208" s="205"/>
      <c r="FT208" s="205"/>
      <c r="FU208" s="205"/>
      <c r="FV208" s="205"/>
      <c r="FW208" s="205"/>
      <c r="FX208" s="205"/>
      <c r="FY208" s="205"/>
      <c r="FZ208" s="205"/>
      <c r="GA208" s="205"/>
      <c r="GB208" s="205"/>
      <c r="GC208" s="205"/>
      <c r="GD208" s="205"/>
      <c r="GE208" s="205"/>
      <c r="GF208" s="205"/>
      <c r="GG208" s="205"/>
      <c r="GH208" s="205"/>
      <c r="GI208" s="205"/>
      <c r="GJ208" s="205"/>
      <c r="GK208" s="205"/>
      <c r="GL208" s="205"/>
      <c r="GM208" s="205"/>
      <c r="GN208" s="205"/>
      <c r="GO208" s="205"/>
      <c r="GP208" s="205"/>
      <c r="GQ208" s="205"/>
      <c r="GR208" s="205"/>
      <c r="GS208" s="205"/>
      <c r="GT208" s="205"/>
      <c r="GU208" s="205"/>
      <c r="GV208" s="205"/>
      <c r="GW208" s="205"/>
      <c r="GX208" s="205"/>
      <c r="GY208" s="205"/>
      <c r="GZ208" s="205"/>
      <c r="HA208" s="205"/>
      <c r="HB208" s="205"/>
      <c r="HC208" s="205"/>
      <c r="HD208" s="205"/>
      <c r="HE208" s="205"/>
      <c r="HF208" s="205"/>
      <c r="HG208" s="205"/>
      <c r="HH208" s="205"/>
      <c r="HI208" s="205"/>
      <c r="HJ208" s="205"/>
      <c r="HK208" s="205"/>
      <c r="HL208" s="205"/>
      <c r="HM208" s="205"/>
      <c r="HN208" s="205"/>
      <c r="HO208" s="205"/>
      <c r="HP208" s="205"/>
      <c r="HQ208" s="205"/>
      <c r="HR208" s="205"/>
      <c r="HS208" s="205"/>
      <c r="HT208" s="205"/>
      <c r="HU208" s="205"/>
      <c r="HV208" s="205"/>
      <c r="HW208" s="205"/>
      <c r="HX208" s="205"/>
      <c r="HY208" s="205"/>
      <c r="HZ208" s="205"/>
      <c r="IA208" s="205"/>
      <c r="IB208" s="205"/>
      <c r="IC208" s="205"/>
      <c r="ID208" s="205"/>
      <c r="IE208" s="205"/>
      <c r="IF208" s="205"/>
      <c r="IG208" s="205"/>
      <c r="IH208" s="205"/>
      <c r="II208" s="205"/>
      <c r="IJ208" s="205"/>
      <c r="IK208" s="205"/>
      <c r="IL208" s="205"/>
      <c r="IM208" s="205"/>
      <c r="IN208" s="205"/>
      <c r="IO208" s="205"/>
      <c r="IP208" s="205"/>
      <c r="IQ208" s="205"/>
      <c r="IR208" s="205"/>
      <c r="IS208" s="205"/>
      <c r="IT208" s="205"/>
      <c r="IU208" s="205"/>
      <c r="IV208" s="205"/>
      <c r="IW208" s="205"/>
      <c r="IX208" s="205"/>
    </row>
    <row r="209" spans="1:258" s="203" customFormat="1" x14ac:dyDescent="0.2">
      <c r="A209" s="669"/>
      <c r="B209" s="670">
        <f>RAB!B75</f>
        <v>13</v>
      </c>
      <c r="C209" s="686" t="str">
        <f>RAB!D75</f>
        <v>Pembesian 1 kg dengan besi polos atau besi ulir</v>
      </c>
      <c r="D209" s="672"/>
      <c r="E209" s="673"/>
      <c r="F209" s="673"/>
      <c r="G209" s="674"/>
      <c r="H209" s="675"/>
      <c r="I209" s="676"/>
      <c r="J209" s="676"/>
      <c r="K209" s="676"/>
      <c r="L209" s="676"/>
      <c r="M209" s="676"/>
      <c r="N209" s="676"/>
      <c r="O209" s="676"/>
      <c r="P209" s="676"/>
      <c r="Q209" s="676"/>
      <c r="R209" s="677"/>
      <c r="S209" s="678"/>
      <c r="T209" s="684"/>
      <c r="U209" s="205"/>
      <c r="V209" s="685"/>
      <c r="W209" s="205"/>
      <c r="X209" s="205"/>
      <c r="Y209" s="205"/>
      <c r="Z209" s="205"/>
      <c r="AA209" s="205"/>
      <c r="AB209" s="205"/>
      <c r="AC209" s="205"/>
      <c r="AD209" s="205"/>
      <c r="AE209" s="205"/>
      <c r="AF209" s="205"/>
      <c r="AG209" s="205"/>
      <c r="AH209" s="205"/>
      <c r="AI209" s="205"/>
      <c r="AJ209" s="205"/>
      <c r="AK209" s="205"/>
      <c r="AL209" s="205"/>
      <c r="AM209" s="205"/>
      <c r="AN209" s="205"/>
      <c r="AO209" s="205"/>
      <c r="AP209" s="205"/>
      <c r="AQ209" s="205"/>
      <c r="AR209" s="205"/>
      <c r="AS209" s="205"/>
      <c r="AT209" s="205"/>
      <c r="AU209" s="205"/>
      <c r="AV209" s="205"/>
      <c r="AW209" s="205"/>
      <c r="AX209" s="205"/>
      <c r="AY209" s="205"/>
      <c r="AZ209" s="205"/>
      <c r="BA209" s="205"/>
      <c r="BB209" s="205"/>
      <c r="BC209" s="205"/>
      <c r="BD209" s="205"/>
      <c r="BE209" s="205"/>
      <c r="BF209" s="205"/>
      <c r="BG209" s="205"/>
      <c r="BH209" s="205"/>
      <c r="BI209" s="205"/>
      <c r="BJ209" s="205"/>
      <c r="BK209" s="205"/>
      <c r="BL209" s="205"/>
      <c r="BM209" s="205"/>
      <c r="BN209" s="205"/>
      <c r="BO209" s="205"/>
      <c r="BP209" s="205"/>
      <c r="BQ209" s="205"/>
      <c r="BR209" s="205"/>
      <c r="BS209" s="205"/>
      <c r="BT209" s="205"/>
      <c r="BU209" s="205"/>
      <c r="BV209" s="205"/>
      <c r="BW209" s="205"/>
      <c r="BX209" s="205"/>
      <c r="BY209" s="205"/>
      <c r="BZ209" s="205"/>
      <c r="CA209" s="205"/>
      <c r="CB209" s="205"/>
      <c r="CC209" s="205"/>
      <c r="CD209" s="205"/>
      <c r="CE209" s="205"/>
      <c r="CF209" s="205"/>
      <c r="CG209" s="205"/>
      <c r="CH209" s="205"/>
      <c r="CI209" s="205"/>
      <c r="CJ209" s="205"/>
      <c r="CK209" s="205"/>
      <c r="CL209" s="205"/>
      <c r="CM209" s="205"/>
      <c r="CN209" s="205"/>
      <c r="CO209" s="205"/>
      <c r="CP209" s="205"/>
      <c r="CQ209" s="205"/>
      <c r="CR209" s="205"/>
      <c r="CS209" s="205"/>
      <c r="CT209" s="205"/>
      <c r="CU209" s="205"/>
      <c r="CV209" s="205"/>
      <c r="CW209" s="205"/>
      <c r="CX209" s="205"/>
      <c r="CY209" s="205"/>
      <c r="CZ209" s="205"/>
      <c r="DA209" s="205"/>
      <c r="DB209" s="205"/>
      <c r="DC209" s="205"/>
      <c r="DD209" s="205"/>
      <c r="DE209" s="205"/>
      <c r="DF209" s="205"/>
      <c r="DG209" s="205"/>
      <c r="DH209" s="205"/>
      <c r="DI209" s="205"/>
      <c r="DJ209" s="205"/>
      <c r="DK209" s="205"/>
      <c r="DL209" s="205"/>
      <c r="DM209" s="205"/>
      <c r="DN209" s="205"/>
      <c r="DO209" s="205"/>
      <c r="DP209" s="205"/>
      <c r="DQ209" s="205"/>
      <c r="DR209" s="205"/>
      <c r="DS209" s="205"/>
      <c r="DT209" s="205"/>
      <c r="DU209" s="205"/>
      <c r="DV209" s="205"/>
      <c r="DW209" s="205"/>
      <c r="DX209" s="205"/>
      <c r="DY209" s="205"/>
      <c r="DZ209" s="205"/>
      <c r="EA209" s="205"/>
      <c r="EB209" s="205"/>
      <c r="EC209" s="205"/>
      <c r="ED209" s="205"/>
      <c r="EE209" s="205"/>
      <c r="EF209" s="205"/>
      <c r="EG209" s="205"/>
      <c r="EH209" s="205"/>
      <c r="EI209" s="205"/>
      <c r="EJ209" s="205"/>
      <c r="EK209" s="205"/>
      <c r="EL209" s="205"/>
      <c r="EM209" s="205"/>
      <c r="EN209" s="205"/>
      <c r="EO209" s="205"/>
      <c r="EP209" s="205"/>
      <c r="EQ209" s="205"/>
      <c r="ER209" s="205"/>
      <c r="ES209" s="205"/>
      <c r="ET209" s="205"/>
      <c r="EU209" s="205"/>
      <c r="EV209" s="205"/>
      <c r="EW209" s="205"/>
      <c r="EX209" s="205"/>
      <c r="EY209" s="205"/>
      <c r="EZ209" s="205"/>
      <c r="FA209" s="205"/>
      <c r="FB209" s="205"/>
      <c r="FC209" s="205"/>
      <c r="FD209" s="205"/>
      <c r="FE209" s="205"/>
      <c r="FF209" s="205"/>
      <c r="FG209" s="205"/>
      <c r="FH209" s="205"/>
      <c r="FI209" s="205"/>
      <c r="FJ209" s="205"/>
      <c r="FK209" s="205"/>
      <c r="FL209" s="205"/>
      <c r="FM209" s="205"/>
      <c r="FN209" s="205"/>
      <c r="FO209" s="205"/>
      <c r="FP209" s="205"/>
      <c r="FQ209" s="205"/>
      <c r="FR209" s="205"/>
      <c r="FS209" s="205"/>
      <c r="FT209" s="205"/>
      <c r="FU209" s="205"/>
      <c r="FV209" s="205"/>
      <c r="FW209" s="205"/>
      <c r="FX209" s="205"/>
      <c r="FY209" s="205"/>
      <c r="FZ209" s="205"/>
      <c r="GA209" s="205"/>
      <c r="GB209" s="205"/>
      <c r="GC209" s="205"/>
      <c r="GD209" s="205"/>
      <c r="GE209" s="205"/>
      <c r="GF209" s="205"/>
      <c r="GG209" s="205"/>
      <c r="GH209" s="205"/>
      <c r="GI209" s="205"/>
      <c r="GJ209" s="205"/>
      <c r="GK209" s="205"/>
      <c r="GL209" s="205"/>
      <c r="GM209" s="205"/>
      <c r="GN209" s="205"/>
      <c r="GO209" s="205"/>
      <c r="GP209" s="205"/>
      <c r="GQ209" s="205"/>
      <c r="GR209" s="205"/>
      <c r="GS209" s="205"/>
      <c r="GT209" s="205"/>
      <c r="GU209" s="205"/>
      <c r="GV209" s="205"/>
      <c r="GW209" s="205"/>
      <c r="GX209" s="205"/>
      <c r="GY209" s="205"/>
      <c r="GZ209" s="205"/>
      <c r="HA209" s="205"/>
      <c r="HB209" s="205"/>
      <c r="HC209" s="205"/>
      <c r="HD209" s="205"/>
      <c r="HE209" s="205"/>
      <c r="HF209" s="205"/>
      <c r="HG209" s="205"/>
      <c r="HH209" s="205"/>
      <c r="HI209" s="205"/>
      <c r="HJ209" s="205"/>
      <c r="HK209" s="205"/>
      <c r="HL209" s="205"/>
      <c r="HM209" s="205"/>
      <c r="HN209" s="205"/>
      <c r="HO209" s="205"/>
      <c r="HP209" s="205"/>
      <c r="HQ209" s="205"/>
      <c r="HR209" s="205"/>
      <c r="HS209" s="205"/>
      <c r="HT209" s="205"/>
      <c r="HU209" s="205"/>
      <c r="HV209" s="205"/>
      <c r="HW209" s="205"/>
      <c r="HX209" s="205"/>
      <c r="HY209" s="205"/>
      <c r="HZ209" s="205"/>
      <c r="IA209" s="205"/>
      <c r="IB209" s="205"/>
      <c r="IC209" s="205"/>
      <c r="ID209" s="205"/>
      <c r="IE209" s="205"/>
      <c r="IF209" s="205"/>
      <c r="IG209" s="205"/>
      <c r="IH209" s="205"/>
      <c r="II209" s="205"/>
      <c r="IJ209" s="205"/>
      <c r="IK209" s="205"/>
      <c r="IL209" s="205"/>
      <c r="IM209" s="205"/>
      <c r="IN209" s="205"/>
      <c r="IO209" s="205"/>
      <c r="IP209" s="205"/>
      <c r="IQ209" s="205"/>
      <c r="IR209" s="205"/>
      <c r="IS209" s="205"/>
      <c r="IT209" s="205"/>
      <c r="IU209" s="205"/>
      <c r="IV209" s="205"/>
      <c r="IW209" s="205"/>
      <c r="IX209" s="205"/>
    </row>
    <row r="210" spans="1:258" s="203" customFormat="1" x14ac:dyDescent="0.2">
      <c r="A210" s="669"/>
      <c r="B210" s="670"/>
      <c r="C210" s="1358"/>
      <c r="D210" s="672"/>
      <c r="E210" s="1359"/>
      <c r="F210" s="1359"/>
      <c r="G210" s="1360" t="str">
        <f>G207</f>
        <v>K2. 12x25</v>
      </c>
      <c r="H210" s="1361">
        <f>H207</f>
        <v>4</v>
      </c>
      <c r="I210" s="1362" t="s">
        <v>424</v>
      </c>
      <c r="J210" s="1362">
        <v>4</v>
      </c>
      <c r="K210" s="1362" t="s">
        <v>424</v>
      </c>
      <c r="L210" s="1375">
        <f>Z210</f>
        <v>0.88736400000000004</v>
      </c>
      <c r="M210" s="1362" t="s">
        <v>424</v>
      </c>
      <c r="N210" s="1362">
        <f>N207</f>
        <v>8</v>
      </c>
      <c r="O210" s="1362"/>
      <c r="P210" s="1362"/>
      <c r="Q210" s="1362" t="s">
        <v>696</v>
      </c>
      <c r="R210" s="1363">
        <f>H210*J210*L210*N210</f>
        <v>113.58259200000001</v>
      </c>
      <c r="S210" s="1364"/>
      <c r="T210" s="722"/>
      <c r="U210" s="205"/>
      <c r="V210" s="687" t="s">
        <v>1553</v>
      </c>
      <c r="W210" s="688">
        <v>1.2E-2</v>
      </c>
      <c r="X210" s="689">
        <v>7850</v>
      </c>
      <c r="Y210" s="690">
        <f>0.25*3.14*(W210*W210)</f>
        <v>1.1304E-4</v>
      </c>
      <c r="Z210" s="691">
        <f>X210*Y210*AA210</f>
        <v>0.88736400000000004</v>
      </c>
      <c r="AA210" s="689">
        <v>1</v>
      </c>
      <c r="AB210" s="692">
        <f>Z210*12</f>
        <v>10.648368000000001</v>
      </c>
      <c r="AC210" s="693" t="s">
        <v>1554</v>
      </c>
      <c r="AD210" s="205"/>
      <c r="AE210" s="205"/>
      <c r="AF210" s="205"/>
      <c r="AG210" s="205"/>
      <c r="AH210" s="205"/>
      <c r="AI210" s="205"/>
      <c r="AJ210" s="205"/>
      <c r="AK210" s="205"/>
      <c r="AL210" s="205"/>
      <c r="AM210" s="205"/>
      <c r="AN210" s="205"/>
      <c r="AO210" s="205"/>
      <c r="AP210" s="205"/>
      <c r="AQ210" s="205"/>
      <c r="AR210" s="205"/>
      <c r="AS210" s="205"/>
      <c r="AT210" s="205"/>
      <c r="AU210" s="205"/>
      <c r="AV210" s="205"/>
      <c r="AW210" s="205"/>
      <c r="AX210" s="205"/>
      <c r="AY210" s="205"/>
      <c r="AZ210" s="205"/>
      <c r="BA210" s="205"/>
      <c r="BB210" s="205"/>
      <c r="BC210" s="205"/>
      <c r="BD210" s="205"/>
      <c r="BE210" s="205"/>
      <c r="BF210" s="205"/>
      <c r="BG210" s="205"/>
      <c r="BH210" s="205"/>
      <c r="BI210" s="205"/>
      <c r="BJ210" s="205"/>
      <c r="BK210" s="205"/>
      <c r="BL210" s="205"/>
      <c r="BM210" s="205"/>
      <c r="BN210" s="205"/>
      <c r="BO210" s="205"/>
      <c r="BP210" s="205"/>
      <c r="BQ210" s="205"/>
      <c r="BR210" s="205"/>
      <c r="BS210" s="205"/>
      <c r="BT210" s="205"/>
      <c r="BU210" s="205"/>
      <c r="BV210" s="205"/>
      <c r="BW210" s="205"/>
      <c r="BX210" s="205"/>
      <c r="BY210" s="205"/>
      <c r="BZ210" s="205"/>
      <c r="CA210" s="205"/>
      <c r="CB210" s="205"/>
      <c r="CC210" s="205"/>
      <c r="CD210" s="205"/>
      <c r="CE210" s="205"/>
      <c r="CF210" s="205"/>
      <c r="CG210" s="205"/>
      <c r="CH210" s="205"/>
      <c r="CI210" s="205"/>
      <c r="CJ210" s="205"/>
      <c r="CK210" s="205"/>
      <c r="CL210" s="205"/>
      <c r="CM210" s="205"/>
      <c r="CN210" s="205"/>
      <c r="CO210" s="205"/>
      <c r="CP210" s="205"/>
      <c r="CQ210" s="205"/>
      <c r="CR210" s="205"/>
      <c r="CS210" s="205"/>
      <c r="CT210" s="205"/>
      <c r="CU210" s="205"/>
      <c r="CV210" s="205"/>
      <c r="CW210" s="205"/>
      <c r="CX210" s="205"/>
      <c r="CY210" s="205"/>
      <c r="CZ210" s="205"/>
      <c r="DA210" s="205"/>
      <c r="DB210" s="205"/>
      <c r="DC210" s="205"/>
      <c r="DD210" s="205"/>
      <c r="DE210" s="205"/>
      <c r="DF210" s="205"/>
      <c r="DG210" s="205"/>
      <c r="DH210" s="205"/>
      <c r="DI210" s="205"/>
      <c r="DJ210" s="205"/>
      <c r="DK210" s="205"/>
      <c r="DL210" s="205"/>
      <c r="DM210" s="205"/>
      <c r="DN210" s="205"/>
      <c r="DO210" s="205"/>
      <c r="DP210" s="205"/>
      <c r="DQ210" s="205"/>
      <c r="DR210" s="205"/>
      <c r="DS210" s="205"/>
      <c r="DT210" s="205"/>
      <c r="DU210" s="205"/>
      <c r="DV210" s="205"/>
      <c r="DW210" s="205"/>
      <c r="DX210" s="205"/>
      <c r="DY210" s="205"/>
      <c r="DZ210" s="205"/>
      <c r="EA210" s="205"/>
      <c r="EB210" s="205"/>
      <c r="EC210" s="205"/>
      <c r="ED210" s="205"/>
      <c r="EE210" s="205"/>
      <c r="EF210" s="205"/>
      <c r="EG210" s="205"/>
      <c r="EH210" s="205"/>
      <c r="EI210" s="205"/>
      <c r="EJ210" s="205"/>
      <c r="EK210" s="205"/>
      <c r="EL210" s="205"/>
      <c r="EM210" s="205"/>
      <c r="EN210" s="205"/>
      <c r="EO210" s="205"/>
      <c r="EP210" s="205"/>
      <c r="EQ210" s="205"/>
      <c r="ER210" s="205"/>
      <c r="ES210" s="205"/>
      <c r="ET210" s="205"/>
      <c r="EU210" s="205"/>
      <c r="EV210" s="205"/>
      <c r="EW210" s="205"/>
      <c r="EX210" s="205"/>
      <c r="EY210" s="205"/>
      <c r="EZ210" s="205"/>
      <c r="FA210" s="205"/>
      <c r="FB210" s="205"/>
      <c r="FC210" s="205"/>
      <c r="FD210" s="205"/>
      <c r="FE210" s="205"/>
      <c r="FF210" s="205"/>
      <c r="FG210" s="205"/>
      <c r="FH210" s="205"/>
      <c r="FI210" s="205"/>
      <c r="FJ210" s="205"/>
      <c r="FK210" s="205"/>
      <c r="FL210" s="205"/>
      <c r="FM210" s="205"/>
      <c r="FN210" s="205"/>
      <c r="FO210" s="205"/>
      <c r="FP210" s="205"/>
      <c r="FQ210" s="205"/>
      <c r="FR210" s="205"/>
      <c r="FS210" s="205"/>
      <c r="FT210" s="205"/>
      <c r="FU210" s="205"/>
      <c r="FV210" s="205"/>
      <c r="FW210" s="205"/>
      <c r="FX210" s="205"/>
      <c r="FY210" s="205"/>
      <c r="FZ210" s="205"/>
      <c r="GA210" s="205"/>
      <c r="GB210" s="205"/>
      <c r="GC210" s="205"/>
      <c r="GD210" s="205"/>
      <c r="GE210" s="205"/>
      <c r="GF210" s="205"/>
      <c r="GG210" s="205"/>
      <c r="GH210" s="205"/>
      <c r="GI210" s="205"/>
      <c r="GJ210" s="205"/>
      <c r="GK210" s="205"/>
      <c r="GL210" s="205"/>
      <c r="GM210" s="205"/>
      <c r="GN210" s="205"/>
      <c r="GO210" s="205"/>
      <c r="GP210" s="205"/>
      <c r="GQ210" s="205"/>
      <c r="GR210" s="205"/>
      <c r="GS210" s="205"/>
      <c r="GT210" s="205"/>
      <c r="GU210" s="205"/>
      <c r="GV210" s="205"/>
      <c r="GW210" s="205"/>
      <c r="GX210" s="205"/>
      <c r="GY210" s="205"/>
      <c r="GZ210" s="205"/>
      <c r="HA210" s="205"/>
      <c r="HB210" s="205"/>
      <c r="HC210" s="205"/>
      <c r="HD210" s="205"/>
      <c r="HE210" s="205"/>
      <c r="HF210" s="205"/>
      <c r="HG210" s="205"/>
      <c r="HH210" s="205"/>
      <c r="HI210" s="205"/>
      <c r="HJ210" s="205"/>
      <c r="HK210" s="205"/>
      <c r="HL210" s="205"/>
      <c r="HM210" s="205"/>
      <c r="HN210" s="205"/>
      <c r="HO210" s="205"/>
      <c r="HP210" s="205"/>
      <c r="HQ210" s="205"/>
      <c r="HR210" s="205"/>
      <c r="HS210" s="205"/>
      <c r="HT210" s="205"/>
      <c r="HU210" s="205"/>
      <c r="HV210" s="205"/>
      <c r="HW210" s="205"/>
      <c r="HX210" s="205"/>
      <c r="HY210" s="205"/>
      <c r="HZ210" s="205"/>
      <c r="IA210" s="205"/>
      <c r="IB210" s="205"/>
      <c r="IC210" s="205"/>
      <c r="ID210" s="205"/>
      <c r="IE210" s="205"/>
      <c r="IF210" s="205"/>
      <c r="IG210" s="205"/>
      <c r="IH210" s="205"/>
      <c r="II210" s="205"/>
      <c r="IJ210" s="205"/>
      <c r="IK210" s="205"/>
      <c r="IL210" s="205"/>
      <c r="IM210" s="205"/>
      <c r="IN210" s="205"/>
      <c r="IO210" s="205"/>
      <c r="IP210" s="205"/>
      <c r="IQ210" s="205"/>
      <c r="IR210" s="205"/>
      <c r="IS210" s="205"/>
      <c r="IT210" s="205"/>
      <c r="IU210" s="205"/>
      <c r="IV210" s="205"/>
      <c r="IW210" s="205"/>
      <c r="IX210" s="205"/>
    </row>
    <row r="211" spans="1:258" s="203" customFormat="1" x14ac:dyDescent="0.2">
      <c r="A211" s="669"/>
      <c r="B211" s="670"/>
      <c r="C211" s="1358"/>
      <c r="D211" s="672"/>
      <c r="E211" s="1359"/>
      <c r="F211" s="1359" t="s">
        <v>1654</v>
      </c>
      <c r="G211" s="1360"/>
      <c r="H211" s="1361"/>
      <c r="I211" s="1362"/>
      <c r="J211" s="1362"/>
      <c r="K211" s="1362"/>
      <c r="L211" s="1375"/>
      <c r="M211" s="1362"/>
      <c r="N211" s="1362"/>
      <c r="O211" s="1362"/>
      <c r="P211" s="1362"/>
      <c r="Q211" s="1362"/>
      <c r="R211" s="1363"/>
      <c r="S211" s="1364"/>
      <c r="T211" s="722"/>
      <c r="U211" s="205"/>
      <c r="V211" s="687"/>
      <c r="W211" s="688"/>
      <c r="X211" s="689"/>
      <c r="Y211" s="690"/>
      <c r="Z211" s="691"/>
      <c r="AA211" s="689"/>
      <c r="AB211" s="692"/>
      <c r="AC211" s="693"/>
      <c r="AD211" s="205"/>
      <c r="AE211" s="205"/>
      <c r="AF211" s="205"/>
      <c r="AG211" s="205"/>
      <c r="AH211" s="205"/>
      <c r="AI211" s="205"/>
      <c r="AJ211" s="205"/>
      <c r="AK211" s="205"/>
      <c r="AL211" s="205"/>
      <c r="AM211" s="205"/>
      <c r="AN211" s="205"/>
      <c r="AO211" s="205"/>
      <c r="AP211" s="205"/>
      <c r="AQ211" s="205"/>
      <c r="AR211" s="205"/>
      <c r="AS211" s="205"/>
      <c r="AT211" s="205"/>
      <c r="AU211" s="205"/>
      <c r="AV211" s="205"/>
      <c r="AW211" s="205"/>
      <c r="AX211" s="205"/>
      <c r="AY211" s="205"/>
      <c r="AZ211" s="205"/>
      <c r="BA211" s="205"/>
      <c r="BB211" s="205"/>
      <c r="BC211" s="205"/>
      <c r="BD211" s="205"/>
      <c r="BE211" s="205"/>
      <c r="BF211" s="205"/>
      <c r="BG211" s="205"/>
      <c r="BH211" s="205"/>
      <c r="BI211" s="205"/>
      <c r="BJ211" s="205"/>
      <c r="BK211" s="205"/>
      <c r="BL211" s="205"/>
      <c r="BM211" s="205"/>
      <c r="BN211" s="205"/>
      <c r="BO211" s="205"/>
      <c r="BP211" s="205"/>
      <c r="BQ211" s="205"/>
      <c r="BR211" s="205"/>
      <c r="BS211" s="205"/>
      <c r="BT211" s="205"/>
      <c r="BU211" s="205"/>
      <c r="BV211" s="205"/>
      <c r="BW211" s="205"/>
      <c r="BX211" s="205"/>
      <c r="BY211" s="205"/>
      <c r="BZ211" s="205"/>
      <c r="CA211" s="205"/>
      <c r="CB211" s="205"/>
      <c r="CC211" s="205"/>
      <c r="CD211" s="205"/>
      <c r="CE211" s="205"/>
      <c r="CF211" s="205"/>
      <c r="CG211" s="205"/>
      <c r="CH211" s="205"/>
      <c r="CI211" s="205"/>
      <c r="CJ211" s="205"/>
      <c r="CK211" s="205"/>
      <c r="CL211" s="205"/>
      <c r="CM211" s="205"/>
      <c r="CN211" s="205"/>
      <c r="CO211" s="205"/>
      <c r="CP211" s="205"/>
      <c r="CQ211" s="205"/>
      <c r="CR211" s="205"/>
      <c r="CS211" s="205"/>
      <c r="CT211" s="205"/>
      <c r="CU211" s="205"/>
      <c r="CV211" s="205"/>
      <c r="CW211" s="205"/>
      <c r="CX211" s="205"/>
      <c r="CY211" s="205"/>
      <c r="CZ211" s="205"/>
      <c r="DA211" s="205"/>
      <c r="DB211" s="205"/>
      <c r="DC211" s="205"/>
      <c r="DD211" s="205"/>
      <c r="DE211" s="205"/>
      <c r="DF211" s="205"/>
      <c r="DG211" s="205"/>
      <c r="DH211" s="205"/>
      <c r="DI211" s="205"/>
      <c r="DJ211" s="205"/>
      <c r="DK211" s="205"/>
      <c r="DL211" s="205"/>
      <c r="DM211" s="205"/>
      <c r="DN211" s="205"/>
      <c r="DO211" s="205"/>
      <c r="DP211" s="205"/>
      <c r="DQ211" s="205"/>
      <c r="DR211" s="205"/>
      <c r="DS211" s="205"/>
      <c r="DT211" s="205"/>
      <c r="DU211" s="205"/>
      <c r="DV211" s="205"/>
      <c r="DW211" s="205"/>
      <c r="DX211" s="205"/>
      <c r="DY211" s="205"/>
      <c r="DZ211" s="205"/>
      <c r="EA211" s="205"/>
      <c r="EB211" s="205"/>
      <c r="EC211" s="205"/>
      <c r="ED211" s="205"/>
      <c r="EE211" s="205"/>
      <c r="EF211" s="205"/>
      <c r="EG211" s="205"/>
      <c r="EH211" s="205"/>
      <c r="EI211" s="205"/>
      <c r="EJ211" s="205"/>
      <c r="EK211" s="205"/>
      <c r="EL211" s="205"/>
      <c r="EM211" s="205"/>
      <c r="EN211" s="205"/>
      <c r="EO211" s="205"/>
      <c r="EP211" s="205"/>
      <c r="EQ211" s="205"/>
      <c r="ER211" s="205"/>
      <c r="ES211" s="205"/>
      <c r="ET211" s="205"/>
      <c r="EU211" s="205"/>
      <c r="EV211" s="205"/>
      <c r="EW211" s="205"/>
      <c r="EX211" s="205"/>
      <c r="EY211" s="205"/>
      <c r="EZ211" s="205"/>
      <c r="FA211" s="205"/>
      <c r="FB211" s="205"/>
      <c r="FC211" s="205"/>
      <c r="FD211" s="205"/>
      <c r="FE211" s="205"/>
      <c r="FF211" s="205"/>
      <c r="FG211" s="205"/>
      <c r="FH211" s="205"/>
      <c r="FI211" s="205"/>
      <c r="FJ211" s="205"/>
      <c r="FK211" s="205"/>
      <c r="FL211" s="205"/>
      <c r="FM211" s="205"/>
      <c r="FN211" s="205"/>
      <c r="FO211" s="205"/>
      <c r="FP211" s="205"/>
      <c r="FQ211" s="205"/>
      <c r="FR211" s="205"/>
      <c r="FS211" s="205"/>
      <c r="FT211" s="205"/>
      <c r="FU211" s="205"/>
      <c r="FV211" s="205"/>
      <c r="FW211" s="205"/>
      <c r="FX211" s="205"/>
      <c r="FY211" s="205"/>
      <c r="FZ211" s="205"/>
      <c r="GA211" s="205"/>
      <c r="GB211" s="205"/>
      <c r="GC211" s="205"/>
      <c r="GD211" s="205"/>
      <c r="GE211" s="205"/>
      <c r="GF211" s="205"/>
      <c r="GG211" s="205"/>
      <c r="GH211" s="205"/>
      <c r="GI211" s="205"/>
      <c r="GJ211" s="205"/>
      <c r="GK211" s="205"/>
      <c r="GL211" s="205"/>
      <c r="GM211" s="205"/>
      <c r="GN211" s="205"/>
      <c r="GO211" s="205"/>
      <c r="GP211" s="205"/>
      <c r="GQ211" s="205"/>
      <c r="GR211" s="205"/>
      <c r="GS211" s="205"/>
      <c r="GT211" s="205"/>
      <c r="GU211" s="205"/>
      <c r="GV211" s="205"/>
      <c r="GW211" s="205"/>
      <c r="GX211" s="205"/>
      <c r="GY211" s="205"/>
      <c r="GZ211" s="205"/>
      <c r="HA211" s="205"/>
      <c r="HB211" s="205"/>
      <c r="HC211" s="205"/>
      <c r="HD211" s="205"/>
      <c r="HE211" s="205"/>
      <c r="HF211" s="205"/>
      <c r="HG211" s="205"/>
      <c r="HH211" s="205"/>
      <c r="HI211" s="205"/>
      <c r="HJ211" s="205"/>
      <c r="HK211" s="205"/>
      <c r="HL211" s="205"/>
      <c r="HM211" s="205"/>
      <c r="HN211" s="205"/>
      <c r="HO211" s="205"/>
      <c r="HP211" s="205"/>
      <c r="HQ211" s="205"/>
      <c r="HR211" s="205"/>
      <c r="HS211" s="205"/>
      <c r="HT211" s="205"/>
      <c r="HU211" s="205"/>
      <c r="HV211" s="205"/>
      <c r="HW211" s="205"/>
      <c r="HX211" s="205"/>
      <c r="HY211" s="205"/>
      <c r="HZ211" s="205"/>
      <c r="IA211" s="205"/>
      <c r="IB211" s="205"/>
      <c r="IC211" s="205"/>
      <c r="ID211" s="205"/>
      <c r="IE211" s="205"/>
      <c r="IF211" s="205"/>
      <c r="IG211" s="205"/>
      <c r="IH211" s="205"/>
      <c r="II211" s="205"/>
      <c r="IJ211" s="205"/>
      <c r="IK211" s="205"/>
      <c r="IL211" s="205"/>
      <c r="IM211" s="205"/>
      <c r="IN211" s="205"/>
      <c r="IO211" s="205"/>
      <c r="IP211" s="205"/>
      <c r="IQ211" s="205"/>
      <c r="IR211" s="205"/>
      <c r="IS211" s="205"/>
      <c r="IT211" s="205"/>
      <c r="IU211" s="205"/>
      <c r="IV211" s="205"/>
      <c r="IW211" s="205"/>
      <c r="IX211" s="205"/>
    </row>
    <row r="212" spans="1:258" s="203" customFormat="1" x14ac:dyDescent="0.2">
      <c r="A212" s="669"/>
      <c r="B212" s="670"/>
      <c r="C212" s="1358"/>
      <c r="D212" s="672"/>
      <c r="E212" s="1359"/>
      <c r="F212" s="1359"/>
      <c r="G212" s="1360" t="str">
        <f>G210</f>
        <v>K2. 12x25</v>
      </c>
      <c r="H212" s="1361">
        <f>(((J207-0.05)*2)+((L207-0.05)*2)+0.1)</f>
        <v>0.64</v>
      </c>
      <c r="I212" s="1362" t="s">
        <v>424</v>
      </c>
      <c r="J212" s="1362">
        <f>H210/0.2</f>
        <v>20</v>
      </c>
      <c r="K212" s="1362" t="s">
        <v>424</v>
      </c>
      <c r="L212" s="1375">
        <f t="shared" ref="L212" si="101">Z212</f>
        <v>0.61622500000000013</v>
      </c>
      <c r="M212" s="1362" t="s">
        <v>424</v>
      </c>
      <c r="N212" s="1362">
        <f>N210</f>
        <v>8</v>
      </c>
      <c r="O212" s="1362"/>
      <c r="P212" s="1362"/>
      <c r="Q212" s="1362" t="s">
        <v>696</v>
      </c>
      <c r="R212" s="1363">
        <f>H212*J212*L212*N212</f>
        <v>63.101440000000018</v>
      </c>
      <c r="S212" s="1364"/>
      <c r="T212" s="722"/>
      <c r="U212" s="205"/>
      <c r="V212" s="687" t="s">
        <v>1556</v>
      </c>
      <c r="W212" s="688">
        <v>0.01</v>
      </c>
      <c r="X212" s="689">
        <v>7850</v>
      </c>
      <c r="Y212" s="690">
        <f>0.25*3.14*(W212*W212)</f>
        <v>7.8500000000000011E-5</v>
      </c>
      <c r="Z212" s="691">
        <f>X212*Y212*AA212</f>
        <v>0.61622500000000013</v>
      </c>
      <c r="AA212" s="689">
        <v>1</v>
      </c>
      <c r="AB212" s="692">
        <f>Z212*12</f>
        <v>7.394700000000002</v>
      </c>
      <c r="AC212" s="693" t="s">
        <v>1554</v>
      </c>
      <c r="AD212" s="205"/>
      <c r="AE212" s="205"/>
      <c r="AF212" s="205"/>
      <c r="AG212" s="205"/>
      <c r="AH212" s="205"/>
      <c r="AI212" s="205"/>
      <c r="AJ212" s="205"/>
      <c r="AK212" s="205"/>
      <c r="AL212" s="205"/>
      <c r="AM212" s="205"/>
      <c r="AN212" s="205"/>
      <c r="AO212" s="205"/>
      <c r="AP212" s="205"/>
      <c r="AQ212" s="205"/>
      <c r="AR212" s="205"/>
      <c r="AS212" s="205"/>
      <c r="AT212" s="205"/>
      <c r="AU212" s="205"/>
      <c r="AV212" s="205"/>
      <c r="AW212" s="205"/>
      <c r="AX212" s="205"/>
      <c r="AY212" s="205"/>
      <c r="AZ212" s="205"/>
      <c r="BA212" s="205"/>
      <c r="BB212" s="205"/>
      <c r="BC212" s="205"/>
      <c r="BD212" s="205"/>
      <c r="BE212" s="205"/>
      <c r="BF212" s="205"/>
      <c r="BG212" s="205"/>
      <c r="BH212" s="205"/>
      <c r="BI212" s="205"/>
      <c r="BJ212" s="205"/>
      <c r="BK212" s="205"/>
      <c r="BL212" s="205"/>
      <c r="BM212" s="205"/>
      <c r="BN212" s="205"/>
      <c r="BO212" s="205"/>
      <c r="BP212" s="205"/>
      <c r="BQ212" s="205"/>
      <c r="BR212" s="205"/>
      <c r="BS212" s="205"/>
      <c r="BT212" s="205"/>
      <c r="BU212" s="205"/>
      <c r="BV212" s="205"/>
      <c r="BW212" s="205"/>
      <c r="BX212" s="205"/>
      <c r="BY212" s="205"/>
      <c r="BZ212" s="205"/>
      <c r="CA212" s="205"/>
      <c r="CB212" s="205"/>
      <c r="CC212" s="205"/>
      <c r="CD212" s="205"/>
      <c r="CE212" s="205"/>
      <c r="CF212" s="205"/>
      <c r="CG212" s="205"/>
      <c r="CH212" s="205"/>
      <c r="CI212" s="205"/>
      <c r="CJ212" s="205"/>
      <c r="CK212" s="205"/>
      <c r="CL212" s="205"/>
      <c r="CM212" s="205"/>
      <c r="CN212" s="205"/>
      <c r="CO212" s="205"/>
      <c r="CP212" s="205"/>
      <c r="CQ212" s="205"/>
      <c r="CR212" s="205"/>
      <c r="CS212" s="205"/>
      <c r="CT212" s="205"/>
      <c r="CU212" s="205"/>
      <c r="CV212" s="205"/>
      <c r="CW212" s="205"/>
      <c r="CX212" s="205"/>
      <c r="CY212" s="205"/>
      <c r="CZ212" s="205"/>
      <c r="DA212" s="205"/>
      <c r="DB212" s="205"/>
      <c r="DC212" s="205"/>
      <c r="DD212" s="205"/>
      <c r="DE212" s="205"/>
      <c r="DF212" s="205"/>
      <c r="DG212" s="205"/>
      <c r="DH212" s="205"/>
      <c r="DI212" s="205"/>
      <c r="DJ212" s="205"/>
      <c r="DK212" s="205"/>
      <c r="DL212" s="205"/>
      <c r="DM212" s="205"/>
      <c r="DN212" s="205"/>
      <c r="DO212" s="205"/>
      <c r="DP212" s="205"/>
      <c r="DQ212" s="205"/>
      <c r="DR212" s="205"/>
      <c r="DS212" s="205"/>
      <c r="DT212" s="205"/>
      <c r="DU212" s="205"/>
      <c r="DV212" s="205"/>
      <c r="DW212" s="205"/>
      <c r="DX212" s="205"/>
      <c r="DY212" s="205"/>
      <c r="DZ212" s="205"/>
      <c r="EA212" s="205"/>
      <c r="EB212" s="205"/>
      <c r="EC212" s="205"/>
      <c r="ED212" s="205"/>
      <c r="EE212" s="205"/>
      <c r="EF212" s="205"/>
      <c r="EG212" s="205"/>
      <c r="EH212" s="205"/>
      <c r="EI212" s="205"/>
      <c r="EJ212" s="205"/>
      <c r="EK212" s="205"/>
      <c r="EL212" s="205"/>
      <c r="EM212" s="205"/>
      <c r="EN212" s="205"/>
      <c r="EO212" s="205"/>
      <c r="EP212" s="205"/>
      <c r="EQ212" s="205"/>
      <c r="ER212" s="205"/>
      <c r="ES212" s="205"/>
      <c r="ET212" s="205"/>
      <c r="EU212" s="205"/>
      <c r="EV212" s="205"/>
      <c r="EW212" s="205"/>
      <c r="EX212" s="205"/>
      <c r="EY212" s="205"/>
      <c r="EZ212" s="205"/>
      <c r="FA212" s="205"/>
      <c r="FB212" s="205"/>
      <c r="FC212" s="205"/>
      <c r="FD212" s="205"/>
      <c r="FE212" s="205"/>
      <c r="FF212" s="205"/>
      <c r="FG212" s="205"/>
      <c r="FH212" s="205"/>
      <c r="FI212" s="205"/>
      <c r="FJ212" s="205"/>
      <c r="FK212" s="205"/>
      <c r="FL212" s="205"/>
      <c r="FM212" s="205"/>
      <c r="FN212" s="205"/>
      <c r="FO212" s="205"/>
      <c r="FP212" s="205"/>
      <c r="FQ212" s="205"/>
      <c r="FR212" s="205"/>
      <c r="FS212" s="205"/>
      <c r="FT212" s="205"/>
      <c r="FU212" s="205"/>
      <c r="FV212" s="205"/>
      <c r="FW212" s="205"/>
      <c r="FX212" s="205"/>
      <c r="FY212" s="205"/>
      <c r="FZ212" s="205"/>
      <c r="GA212" s="205"/>
      <c r="GB212" s="205"/>
      <c r="GC212" s="205"/>
      <c r="GD212" s="205"/>
      <c r="GE212" s="205"/>
      <c r="GF212" s="205"/>
      <c r="GG212" s="205"/>
      <c r="GH212" s="205"/>
      <c r="GI212" s="205"/>
      <c r="GJ212" s="205"/>
      <c r="GK212" s="205"/>
      <c r="GL212" s="205"/>
      <c r="GM212" s="205"/>
      <c r="GN212" s="205"/>
      <c r="GO212" s="205"/>
      <c r="GP212" s="205"/>
      <c r="GQ212" s="205"/>
      <c r="GR212" s="205"/>
      <c r="GS212" s="205"/>
      <c r="GT212" s="205"/>
      <c r="GU212" s="205"/>
      <c r="GV212" s="205"/>
      <c r="GW212" s="205"/>
      <c r="GX212" s="205"/>
      <c r="GY212" s="205"/>
      <c r="GZ212" s="205"/>
      <c r="HA212" s="205"/>
      <c r="HB212" s="205"/>
      <c r="HC212" s="205"/>
      <c r="HD212" s="205"/>
      <c r="HE212" s="205"/>
      <c r="HF212" s="205"/>
      <c r="HG212" s="205"/>
      <c r="HH212" s="205"/>
      <c r="HI212" s="205"/>
      <c r="HJ212" s="205"/>
      <c r="HK212" s="205"/>
      <c r="HL212" s="205"/>
      <c r="HM212" s="205"/>
      <c r="HN212" s="205"/>
      <c r="HO212" s="205"/>
      <c r="HP212" s="205"/>
      <c r="HQ212" s="205"/>
      <c r="HR212" s="205"/>
      <c r="HS212" s="205"/>
      <c r="HT212" s="205"/>
      <c r="HU212" s="205"/>
      <c r="HV212" s="205"/>
      <c r="HW212" s="205"/>
      <c r="HX212" s="205"/>
      <c r="HY212" s="205"/>
      <c r="HZ212" s="205"/>
      <c r="IA212" s="205"/>
      <c r="IB212" s="205"/>
      <c r="IC212" s="205"/>
      <c r="ID212" s="205"/>
      <c r="IE212" s="205"/>
      <c r="IF212" s="205"/>
      <c r="IG212" s="205"/>
      <c r="IH212" s="205"/>
      <c r="II212" s="205"/>
      <c r="IJ212" s="205"/>
      <c r="IK212" s="205"/>
      <c r="IL212" s="205"/>
      <c r="IM212" s="205"/>
      <c r="IN212" s="205"/>
      <c r="IO212" s="205"/>
      <c r="IP212" s="205"/>
      <c r="IQ212" s="205"/>
      <c r="IR212" s="205"/>
      <c r="IS212" s="205"/>
      <c r="IT212" s="205"/>
      <c r="IU212" s="205"/>
      <c r="IV212" s="205"/>
      <c r="IW212" s="205"/>
      <c r="IX212" s="205"/>
    </row>
    <row r="213" spans="1:258" s="203" customFormat="1" x14ac:dyDescent="0.2">
      <c r="A213" s="669"/>
      <c r="B213" s="670"/>
      <c r="C213" s="1358"/>
      <c r="D213" s="672"/>
      <c r="E213" s="1359"/>
      <c r="F213" s="1359"/>
      <c r="G213" s="1360"/>
      <c r="H213" s="1361"/>
      <c r="I213" s="1362"/>
      <c r="J213" s="1362"/>
      <c r="K213" s="1362"/>
      <c r="L213" s="1362"/>
      <c r="M213" s="1362"/>
      <c r="N213" s="1362"/>
      <c r="O213" s="1362"/>
      <c r="P213" s="1362"/>
      <c r="Q213" s="1362"/>
      <c r="R213" s="1363">
        <f>SUM(R210:R212)</f>
        <v>176.68403200000003</v>
      </c>
      <c r="S213" s="1364">
        <f>R213</f>
        <v>176.68403200000003</v>
      </c>
      <c r="T213" s="722" t="s">
        <v>298</v>
      </c>
      <c r="U213" s="205"/>
      <c r="V213" s="68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205"/>
      <c r="BF213" s="205"/>
      <c r="BG213" s="205"/>
      <c r="BH213" s="205"/>
      <c r="BI213" s="205"/>
      <c r="BJ213" s="205"/>
      <c r="BK213" s="205"/>
      <c r="BL213" s="205"/>
      <c r="BM213" s="205"/>
      <c r="BN213" s="205"/>
      <c r="BO213" s="205"/>
      <c r="BP213" s="205"/>
      <c r="BQ213" s="205"/>
      <c r="BR213" s="205"/>
      <c r="BS213" s="205"/>
      <c r="BT213" s="205"/>
      <c r="BU213" s="205"/>
      <c r="BV213" s="205"/>
      <c r="BW213" s="205"/>
      <c r="BX213" s="205"/>
      <c r="BY213" s="205"/>
      <c r="BZ213" s="205"/>
      <c r="CA213" s="205"/>
      <c r="CB213" s="205"/>
      <c r="CC213" s="205"/>
      <c r="CD213" s="205"/>
      <c r="CE213" s="205"/>
      <c r="CF213" s="205"/>
      <c r="CG213" s="205"/>
      <c r="CH213" s="205"/>
      <c r="CI213" s="205"/>
      <c r="CJ213" s="205"/>
      <c r="CK213" s="205"/>
      <c r="CL213" s="205"/>
      <c r="CM213" s="205"/>
      <c r="CN213" s="205"/>
      <c r="CO213" s="205"/>
      <c r="CP213" s="205"/>
      <c r="CQ213" s="205"/>
      <c r="CR213" s="205"/>
      <c r="CS213" s="205"/>
      <c r="CT213" s="205"/>
      <c r="CU213" s="205"/>
      <c r="CV213" s="205"/>
      <c r="CW213" s="205"/>
      <c r="CX213" s="205"/>
      <c r="CY213" s="205"/>
      <c r="CZ213" s="205"/>
      <c r="DA213" s="205"/>
      <c r="DB213" s="205"/>
      <c r="DC213" s="205"/>
      <c r="DD213" s="205"/>
      <c r="DE213" s="205"/>
      <c r="DF213" s="205"/>
      <c r="DG213" s="205"/>
      <c r="DH213" s="205"/>
      <c r="DI213" s="205"/>
      <c r="DJ213" s="205"/>
      <c r="DK213" s="205"/>
      <c r="DL213" s="205"/>
      <c r="DM213" s="205"/>
      <c r="DN213" s="205"/>
      <c r="DO213" s="205"/>
      <c r="DP213" s="205"/>
      <c r="DQ213" s="205"/>
      <c r="DR213" s="205"/>
      <c r="DS213" s="205"/>
      <c r="DT213" s="205"/>
      <c r="DU213" s="205"/>
      <c r="DV213" s="205"/>
      <c r="DW213" s="205"/>
      <c r="DX213" s="205"/>
      <c r="DY213" s="205"/>
      <c r="DZ213" s="205"/>
      <c r="EA213" s="205"/>
      <c r="EB213" s="205"/>
      <c r="EC213" s="205"/>
      <c r="ED213" s="205"/>
      <c r="EE213" s="205"/>
      <c r="EF213" s="205"/>
      <c r="EG213" s="205"/>
      <c r="EH213" s="205"/>
      <c r="EI213" s="205"/>
      <c r="EJ213" s="205"/>
      <c r="EK213" s="205"/>
      <c r="EL213" s="205"/>
      <c r="EM213" s="205"/>
      <c r="EN213" s="205"/>
      <c r="EO213" s="205"/>
      <c r="EP213" s="205"/>
      <c r="EQ213" s="205"/>
      <c r="ER213" s="205"/>
      <c r="ES213" s="205"/>
      <c r="ET213" s="205"/>
      <c r="EU213" s="205"/>
      <c r="EV213" s="205"/>
      <c r="EW213" s="205"/>
      <c r="EX213" s="205"/>
      <c r="EY213" s="205"/>
      <c r="EZ213" s="205"/>
      <c r="FA213" s="205"/>
      <c r="FB213" s="205"/>
      <c r="FC213" s="205"/>
      <c r="FD213" s="205"/>
      <c r="FE213" s="205"/>
      <c r="FF213" s="205"/>
      <c r="FG213" s="205"/>
      <c r="FH213" s="205"/>
      <c r="FI213" s="205"/>
      <c r="FJ213" s="205"/>
      <c r="FK213" s="205"/>
      <c r="FL213" s="205"/>
      <c r="FM213" s="205"/>
      <c r="FN213" s="205"/>
      <c r="FO213" s="205"/>
      <c r="FP213" s="205"/>
      <c r="FQ213" s="205"/>
      <c r="FR213" s="205"/>
      <c r="FS213" s="205"/>
      <c r="FT213" s="205"/>
      <c r="FU213" s="205"/>
      <c r="FV213" s="205"/>
      <c r="FW213" s="205"/>
      <c r="FX213" s="205"/>
      <c r="FY213" s="205"/>
      <c r="FZ213" s="205"/>
      <c r="GA213" s="205"/>
      <c r="GB213" s="205"/>
      <c r="GC213" s="205"/>
      <c r="GD213" s="205"/>
      <c r="GE213" s="205"/>
      <c r="GF213" s="205"/>
      <c r="GG213" s="205"/>
      <c r="GH213" s="205"/>
      <c r="GI213" s="205"/>
      <c r="GJ213" s="205"/>
      <c r="GK213" s="205"/>
      <c r="GL213" s="205"/>
      <c r="GM213" s="205"/>
      <c r="GN213" s="205"/>
      <c r="GO213" s="205"/>
      <c r="GP213" s="205"/>
      <c r="GQ213" s="205"/>
      <c r="GR213" s="205"/>
      <c r="GS213" s="205"/>
      <c r="GT213" s="205"/>
      <c r="GU213" s="205"/>
      <c r="GV213" s="205"/>
      <c r="GW213" s="205"/>
      <c r="GX213" s="205"/>
      <c r="GY213" s="205"/>
      <c r="GZ213" s="205"/>
      <c r="HA213" s="205"/>
      <c r="HB213" s="205"/>
      <c r="HC213" s="205"/>
      <c r="HD213" s="205"/>
      <c r="HE213" s="205"/>
      <c r="HF213" s="205"/>
      <c r="HG213" s="205"/>
      <c r="HH213" s="205"/>
      <c r="HI213" s="205"/>
      <c r="HJ213" s="205"/>
      <c r="HK213" s="205"/>
      <c r="HL213" s="205"/>
      <c r="HM213" s="205"/>
      <c r="HN213" s="205"/>
      <c r="HO213" s="205"/>
      <c r="HP213" s="205"/>
      <c r="HQ213" s="205"/>
      <c r="HR213" s="205"/>
      <c r="HS213" s="205"/>
      <c r="HT213" s="205"/>
      <c r="HU213" s="205"/>
      <c r="HV213" s="205"/>
      <c r="HW213" s="205"/>
      <c r="HX213" s="205"/>
      <c r="HY213" s="205"/>
      <c r="HZ213" s="205"/>
      <c r="IA213" s="205"/>
      <c r="IB213" s="205"/>
      <c r="IC213" s="205"/>
      <c r="ID213" s="205"/>
      <c r="IE213" s="205"/>
      <c r="IF213" s="205"/>
      <c r="IG213" s="205"/>
      <c r="IH213" s="205"/>
      <c r="II213" s="205"/>
      <c r="IJ213" s="205"/>
      <c r="IK213" s="205"/>
      <c r="IL213" s="205"/>
      <c r="IM213" s="205"/>
      <c r="IN213" s="205"/>
      <c r="IO213" s="205"/>
      <c r="IP213" s="205"/>
      <c r="IQ213" s="205"/>
      <c r="IR213" s="205"/>
      <c r="IS213" s="205"/>
      <c r="IT213" s="205"/>
      <c r="IU213" s="205"/>
      <c r="IV213" s="205"/>
      <c r="IW213" s="205"/>
      <c r="IX213" s="205"/>
    </row>
    <row r="214" spans="1:258" s="203" customFormat="1" x14ac:dyDescent="0.2">
      <c r="A214" s="669"/>
      <c r="B214" s="670"/>
      <c r="C214" s="1358"/>
      <c r="D214" s="672"/>
      <c r="E214" s="1359"/>
      <c r="F214" s="1359"/>
      <c r="G214" s="1360"/>
      <c r="H214" s="1361"/>
      <c r="I214" s="1362"/>
      <c r="J214" s="1362"/>
      <c r="K214" s="1362"/>
      <c r="L214" s="1362"/>
      <c r="M214" s="1362"/>
      <c r="N214" s="1362"/>
      <c r="O214" s="1362"/>
      <c r="P214" s="1362"/>
      <c r="Q214" s="1362"/>
      <c r="R214" s="1363"/>
      <c r="S214" s="1364"/>
      <c r="T214" s="722"/>
      <c r="U214" s="205"/>
      <c r="V214" s="685"/>
      <c r="W214" s="205"/>
      <c r="X214" s="205"/>
      <c r="Y214" s="205"/>
      <c r="Z214" s="205"/>
      <c r="AA214" s="205"/>
      <c r="AB214" s="205"/>
      <c r="AC214" s="205"/>
      <c r="AD214" s="205"/>
      <c r="AE214" s="205"/>
      <c r="AF214" s="205"/>
      <c r="AG214" s="205"/>
      <c r="AH214" s="205"/>
      <c r="AI214" s="205"/>
      <c r="AJ214" s="205"/>
      <c r="AK214" s="205"/>
      <c r="AL214" s="205"/>
      <c r="AM214" s="205"/>
      <c r="AN214" s="205"/>
      <c r="AO214" s="205"/>
      <c r="AP214" s="205"/>
      <c r="AQ214" s="205"/>
      <c r="AR214" s="205"/>
      <c r="AS214" s="205"/>
      <c r="AT214" s="205"/>
      <c r="AU214" s="205"/>
      <c r="AV214" s="205"/>
      <c r="AW214" s="205"/>
      <c r="AX214" s="205"/>
      <c r="AY214" s="205"/>
      <c r="AZ214" s="205"/>
      <c r="BA214" s="205"/>
      <c r="BB214" s="205"/>
      <c r="BC214" s="205"/>
      <c r="BD214" s="205"/>
      <c r="BE214" s="205"/>
      <c r="BF214" s="205"/>
      <c r="BG214" s="205"/>
      <c r="BH214" s="205"/>
      <c r="BI214" s="205"/>
      <c r="BJ214" s="205"/>
      <c r="BK214" s="205"/>
      <c r="BL214" s="205"/>
      <c r="BM214" s="205"/>
      <c r="BN214" s="205"/>
      <c r="BO214" s="205"/>
      <c r="BP214" s="205"/>
      <c r="BQ214" s="205"/>
      <c r="BR214" s="205"/>
      <c r="BS214" s="205"/>
      <c r="BT214" s="205"/>
      <c r="BU214" s="205"/>
      <c r="BV214" s="205"/>
      <c r="BW214" s="205"/>
      <c r="BX214" s="205"/>
      <c r="BY214" s="205"/>
      <c r="BZ214" s="205"/>
      <c r="CA214" s="205"/>
      <c r="CB214" s="205"/>
      <c r="CC214" s="205"/>
      <c r="CD214" s="205"/>
      <c r="CE214" s="205"/>
      <c r="CF214" s="205"/>
      <c r="CG214" s="205"/>
      <c r="CH214" s="205"/>
      <c r="CI214" s="205"/>
      <c r="CJ214" s="205"/>
      <c r="CK214" s="205"/>
      <c r="CL214" s="205"/>
      <c r="CM214" s="205"/>
      <c r="CN214" s="205"/>
      <c r="CO214" s="205"/>
      <c r="CP214" s="205"/>
      <c r="CQ214" s="205"/>
      <c r="CR214" s="205"/>
      <c r="CS214" s="205"/>
      <c r="CT214" s="205"/>
      <c r="CU214" s="205"/>
      <c r="CV214" s="205"/>
      <c r="CW214" s="205"/>
      <c r="CX214" s="205"/>
      <c r="CY214" s="205"/>
      <c r="CZ214" s="205"/>
      <c r="DA214" s="205"/>
      <c r="DB214" s="205"/>
      <c r="DC214" s="205"/>
      <c r="DD214" s="205"/>
      <c r="DE214" s="205"/>
      <c r="DF214" s="205"/>
      <c r="DG214" s="205"/>
      <c r="DH214" s="205"/>
      <c r="DI214" s="205"/>
      <c r="DJ214" s="205"/>
      <c r="DK214" s="205"/>
      <c r="DL214" s="205"/>
      <c r="DM214" s="205"/>
      <c r="DN214" s="205"/>
      <c r="DO214" s="205"/>
      <c r="DP214" s="205"/>
      <c r="DQ214" s="205"/>
      <c r="DR214" s="205"/>
      <c r="DS214" s="205"/>
      <c r="DT214" s="205"/>
      <c r="DU214" s="205"/>
      <c r="DV214" s="205"/>
      <c r="DW214" s="205"/>
      <c r="DX214" s="205"/>
      <c r="DY214" s="205"/>
      <c r="DZ214" s="205"/>
      <c r="EA214" s="205"/>
      <c r="EB214" s="205"/>
      <c r="EC214" s="205"/>
      <c r="ED214" s="205"/>
      <c r="EE214" s="205"/>
      <c r="EF214" s="205"/>
      <c r="EG214" s="205"/>
      <c r="EH214" s="205"/>
      <c r="EI214" s="205"/>
      <c r="EJ214" s="205"/>
      <c r="EK214" s="205"/>
      <c r="EL214" s="205"/>
      <c r="EM214" s="205"/>
      <c r="EN214" s="205"/>
      <c r="EO214" s="205"/>
      <c r="EP214" s="205"/>
      <c r="EQ214" s="205"/>
      <c r="ER214" s="205"/>
      <c r="ES214" s="205"/>
      <c r="ET214" s="205"/>
      <c r="EU214" s="205"/>
      <c r="EV214" s="205"/>
      <c r="EW214" s="205"/>
      <c r="EX214" s="205"/>
      <c r="EY214" s="205"/>
      <c r="EZ214" s="205"/>
      <c r="FA214" s="205"/>
      <c r="FB214" s="205"/>
      <c r="FC214" s="205"/>
      <c r="FD214" s="205"/>
      <c r="FE214" s="205"/>
      <c r="FF214" s="205"/>
      <c r="FG214" s="205"/>
      <c r="FH214" s="205"/>
      <c r="FI214" s="205"/>
      <c r="FJ214" s="205"/>
      <c r="FK214" s="205"/>
      <c r="FL214" s="205"/>
      <c r="FM214" s="205"/>
      <c r="FN214" s="205"/>
      <c r="FO214" s="205"/>
      <c r="FP214" s="205"/>
      <c r="FQ214" s="205"/>
      <c r="FR214" s="205"/>
      <c r="FS214" s="205"/>
      <c r="FT214" s="205"/>
      <c r="FU214" s="205"/>
      <c r="FV214" s="205"/>
      <c r="FW214" s="205"/>
      <c r="FX214" s="205"/>
      <c r="FY214" s="205"/>
      <c r="FZ214" s="205"/>
      <c r="GA214" s="205"/>
      <c r="GB214" s="205"/>
      <c r="GC214" s="205"/>
      <c r="GD214" s="205"/>
      <c r="GE214" s="205"/>
      <c r="GF214" s="205"/>
      <c r="GG214" s="205"/>
      <c r="GH214" s="205"/>
      <c r="GI214" s="205"/>
      <c r="GJ214" s="205"/>
      <c r="GK214" s="205"/>
      <c r="GL214" s="205"/>
      <c r="GM214" s="205"/>
      <c r="GN214" s="205"/>
      <c r="GO214" s="205"/>
      <c r="GP214" s="205"/>
      <c r="GQ214" s="205"/>
      <c r="GR214" s="205"/>
      <c r="GS214" s="205"/>
      <c r="GT214" s="205"/>
      <c r="GU214" s="205"/>
      <c r="GV214" s="205"/>
      <c r="GW214" s="205"/>
      <c r="GX214" s="205"/>
      <c r="GY214" s="205"/>
      <c r="GZ214" s="205"/>
      <c r="HA214" s="205"/>
      <c r="HB214" s="205"/>
      <c r="HC214" s="205"/>
      <c r="HD214" s="205"/>
      <c r="HE214" s="205"/>
      <c r="HF214" s="205"/>
      <c r="HG214" s="205"/>
      <c r="HH214" s="205"/>
      <c r="HI214" s="205"/>
      <c r="HJ214" s="205"/>
      <c r="HK214" s="205"/>
      <c r="HL214" s="205"/>
      <c r="HM214" s="205"/>
      <c r="HN214" s="205"/>
      <c r="HO214" s="205"/>
      <c r="HP214" s="205"/>
      <c r="HQ214" s="205"/>
      <c r="HR214" s="205"/>
      <c r="HS214" s="205"/>
      <c r="HT214" s="205"/>
      <c r="HU214" s="205"/>
      <c r="HV214" s="205"/>
      <c r="HW214" s="205"/>
      <c r="HX214" s="205"/>
      <c r="HY214" s="205"/>
      <c r="HZ214" s="205"/>
      <c r="IA214" s="205"/>
      <c r="IB214" s="205"/>
      <c r="IC214" s="205"/>
      <c r="ID214" s="205"/>
      <c r="IE214" s="205"/>
      <c r="IF214" s="205"/>
      <c r="IG214" s="205"/>
      <c r="IH214" s="205"/>
      <c r="II214" s="205"/>
      <c r="IJ214" s="205"/>
      <c r="IK214" s="205"/>
      <c r="IL214" s="205"/>
      <c r="IM214" s="205"/>
      <c r="IN214" s="205"/>
      <c r="IO214" s="205"/>
      <c r="IP214" s="205"/>
      <c r="IQ214" s="205"/>
      <c r="IR214" s="205"/>
      <c r="IS214" s="205"/>
      <c r="IT214" s="205"/>
      <c r="IU214" s="205"/>
      <c r="IV214" s="205"/>
      <c r="IW214" s="205"/>
      <c r="IX214" s="205"/>
    </row>
    <row r="215" spans="1:258" s="203" customFormat="1" x14ac:dyDescent="0.2">
      <c r="A215" s="669"/>
      <c r="B215" s="670">
        <f>RAB!B76</f>
        <v>14</v>
      </c>
      <c r="C215" s="686" t="str">
        <f>RAB!D76</f>
        <v>Memasang bekisting untuk kolom (2 kali pakai)</v>
      </c>
      <c r="D215" s="672"/>
      <c r="E215" s="673"/>
      <c r="F215" s="673"/>
      <c r="G215" s="674"/>
      <c r="H215" s="675"/>
      <c r="I215" s="676"/>
      <c r="J215" s="676"/>
      <c r="K215" s="676"/>
      <c r="L215" s="676"/>
      <c r="M215" s="676"/>
      <c r="N215" s="676"/>
      <c r="O215" s="676"/>
      <c r="P215" s="676"/>
      <c r="Q215" s="676"/>
      <c r="R215" s="677"/>
      <c r="S215" s="678"/>
      <c r="T215" s="684"/>
      <c r="U215" s="205"/>
      <c r="V215" s="685"/>
      <c r="W215" s="205"/>
      <c r="X215" s="205"/>
      <c r="Y215" s="205"/>
      <c r="Z215" s="205"/>
      <c r="AA215" s="205"/>
      <c r="AB215" s="205"/>
      <c r="AC215" s="205"/>
      <c r="AD215" s="205"/>
      <c r="AE215" s="205"/>
      <c r="AF215" s="205"/>
      <c r="AG215" s="205"/>
      <c r="AH215" s="205"/>
      <c r="AI215" s="205"/>
      <c r="AJ215" s="205"/>
      <c r="AK215" s="205"/>
      <c r="AL215" s="205"/>
      <c r="AM215" s="205"/>
      <c r="AN215" s="205"/>
      <c r="AO215" s="205"/>
      <c r="AP215" s="205"/>
      <c r="AQ215" s="205"/>
      <c r="AR215" s="205"/>
      <c r="AS215" s="205"/>
      <c r="AT215" s="205"/>
      <c r="AU215" s="205"/>
      <c r="AV215" s="205"/>
      <c r="AW215" s="205"/>
      <c r="AX215" s="205"/>
      <c r="AY215" s="205"/>
      <c r="AZ215" s="205"/>
      <c r="BA215" s="205"/>
      <c r="BB215" s="205"/>
      <c r="BC215" s="205"/>
      <c r="BD215" s="205"/>
      <c r="BE215" s="205"/>
      <c r="BF215" s="205"/>
      <c r="BG215" s="205"/>
      <c r="BH215" s="205"/>
      <c r="BI215" s="205"/>
      <c r="BJ215" s="205"/>
      <c r="BK215" s="205"/>
      <c r="BL215" s="205"/>
      <c r="BM215" s="205"/>
      <c r="BN215" s="205"/>
      <c r="BO215" s="205"/>
      <c r="BP215" s="205"/>
      <c r="BQ215" s="205"/>
      <c r="BR215" s="205"/>
      <c r="BS215" s="205"/>
      <c r="BT215" s="205"/>
      <c r="BU215" s="205"/>
      <c r="BV215" s="205"/>
      <c r="BW215" s="205"/>
      <c r="BX215" s="205"/>
      <c r="BY215" s="205"/>
      <c r="BZ215" s="205"/>
      <c r="CA215" s="205"/>
      <c r="CB215" s="205"/>
      <c r="CC215" s="205"/>
      <c r="CD215" s="205"/>
      <c r="CE215" s="205"/>
      <c r="CF215" s="205"/>
      <c r="CG215" s="205"/>
      <c r="CH215" s="205"/>
      <c r="CI215" s="205"/>
      <c r="CJ215" s="205"/>
      <c r="CK215" s="205"/>
      <c r="CL215" s="205"/>
      <c r="CM215" s="205"/>
      <c r="CN215" s="205"/>
      <c r="CO215" s="205"/>
      <c r="CP215" s="205"/>
      <c r="CQ215" s="205"/>
      <c r="CR215" s="205"/>
      <c r="CS215" s="205"/>
      <c r="CT215" s="205"/>
      <c r="CU215" s="205"/>
      <c r="CV215" s="205"/>
      <c r="CW215" s="205"/>
      <c r="CX215" s="205"/>
      <c r="CY215" s="205"/>
      <c r="CZ215" s="205"/>
      <c r="DA215" s="205"/>
      <c r="DB215" s="205"/>
      <c r="DC215" s="205"/>
      <c r="DD215" s="205"/>
      <c r="DE215" s="205"/>
      <c r="DF215" s="205"/>
      <c r="DG215" s="205"/>
      <c r="DH215" s="205"/>
      <c r="DI215" s="205"/>
      <c r="DJ215" s="205"/>
      <c r="DK215" s="205"/>
      <c r="DL215" s="205"/>
      <c r="DM215" s="205"/>
      <c r="DN215" s="205"/>
      <c r="DO215" s="205"/>
      <c r="DP215" s="205"/>
      <c r="DQ215" s="205"/>
      <c r="DR215" s="205"/>
      <c r="DS215" s="205"/>
      <c r="DT215" s="205"/>
      <c r="DU215" s="205"/>
      <c r="DV215" s="205"/>
      <c r="DW215" s="205"/>
      <c r="DX215" s="205"/>
      <c r="DY215" s="205"/>
      <c r="DZ215" s="205"/>
      <c r="EA215" s="205"/>
      <c r="EB215" s="205"/>
      <c r="EC215" s="205"/>
      <c r="ED215" s="205"/>
      <c r="EE215" s="205"/>
      <c r="EF215" s="205"/>
      <c r="EG215" s="205"/>
      <c r="EH215" s="205"/>
      <c r="EI215" s="205"/>
      <c r="EJ215" s="205"/>
      <c r="EK215" s="205"/>
      <c r="EL215" s="205"/>
      <c r="EM215" s="205"/>
      <c r="EN215" s="205"/>
      <c r="EO215" s="205"/>
      <c r="EP215" s="205"/>
      <c r="EQ215" s="205"/>
      <c r="ER215" s="205"/>
      <c r="ES215" s="205"/>
      <c r="ET215" s="205"/>
      <c r="EU215" s="205"/>
      <c r="EV215" s="205"/>
      <c r="EW215" s="205"/>
      <c r="EX215" s="205"/>
      <c r="EY215" s="205"/>
      <c r="EZ215" s="205"/>
      <c r="FA215" s="205"/>
      <c r="FB215" s="205"/>
      <c r="FC215" s="205"/>
      <c r="FD215" s="205"/>
      <c r="FE215" s="205"/>
      <c r="FF215" s="205"/>
      <c r="FG215" s="205"/>
      <c r="FH215" s="205"/>
      <c r="FI215" s="205"/>
      <c r="FJ215" s="205"/>
      <c r="FK215" s="205"/>
      <c r="FL215" s="205"/>
      <c r="FM215" s="205"/>
      <c r="FN215" s="205"/>
      <c r="FO215" s="205"/>
      <c r="FP215" s="205"/>
      <c r="FQ215" s="205"/>
      <c r="FR215" s="205"/>
      <c r="FS215" s="205"/>
      <c r="FT215" s="205"/>
      <c r="FU215" s="205"/>
      <c r="FV215" s="205"/>
      <c r="FW215" s="205"/>
      <c r="FX215" s="205"/>
      <c r="FY215" s="205"/>
      <c r="FZ215" s="205"/>
      <c r="GA215" s="205"/>
      <c r="GB215" s="205"/>
      <c r="GC215" s="205"/>
      <c r="GD215" s="205"/>
      <c r="GE215" s="205"/>
      <c r="GF215" s="205"/>
      <c r="GG215" s="205"/>
      <c r="GH215" s="205"/>
      <c r="GI215" s="205"/>
      <c r="GJ215" s="205"/>
      <c r="GK215" s="205"/>
      <c r="GL215" s="205"/>
      <c r="GM215" s="205"/>
      <c r="GN215" s="205"/>
      <c r="GO215" s="205"/>
      <c r="GP215" s="205"/>
      <c r="GQ215" s="205"/>
      <c r="GR215" s="205"/>
      <c r="GS215" s="205"/>
      <c r="GT215" s="205"/>
      <c r="GU215" s="205"/>
      <c r="GV215" s="205"/>
      <c r="GW215" s="205"/>
      <c r="GX215" s="205"/>
      <c r="GY215" s="205"/>
      <c r="GZ215" s="205"/>
      <c r="HA215" s="205"/>
      <c r="HB215" s="205"/>
      <c r="HC215" s="205"/>
      <c r="HD215" s="205"/>
      <c r="HE215" s="205"/>
      <c r="HF215" s="205"/>
      <c r="HG215" s="205"/>
      <c r="HH215" s="205"/>
      <c r="HI215" s="205"/>
      <c r="HJ215" s="205"/>
      <c r="HK215" s="205"/>
      <c r="HL215" s="205"/>
      <c r="HM215" s="205"/>
      <c r="HN215" s="205"/>
      <c r="HO215" s="205"/>
      <c r="HP215" s="205"/>
      <c r="HQ215" s="205"/>
      <c r="HR215" s="205"/>
      <c r="HS215" s="205"/>
      <c r="HT215" s="205"/>
      <c r="HU215" s="205"/>
      <c r="HV215" s="205"/>
      <c r="HW215" s="205"/>
      <c r="HX215" s="205"/>
      <c r="HY215" s="205"/>
      <c r="HZ215" s="205"/>
      <c r="IA215" s="205"/>
      <c r="IB215" s="205"/>
      <c r="IC215" s="205"/>
      <c r="ID215" s="205"/>
      <c r="IE215" s="205"/>
      <c r="IF215" s="205"/>
      <c r="IG215" s="205"/>
      <c r="IH215" s="205"/>
      <c r="II215" s="205"/>
      <c r="IJ215" s="205"/>
      <c r="IK215" s="205"/>
      <c r="IL215" s="205"/>
      <c r="IM215" s="205"/>
      <c r="IN215" s="205"/>
      <c r="IO215" s="205"/>
      <c r="IP215" s="205"/>
      <c r="IQ215" s="205"/>
      <c r="IR215" s="205"/>
      <c r="IS215" s="205"/>
      <c r="IT215" s="205"/>
      <c r="IU215" s="205"/>
      <c r="IV215" s="205"/>
      <c r="IW215" s="205"/>
      <c r="IX215" s="205"/>
    </row>
    <row r="216" spans="1:258" s="203" customFormat="1" x14ac:dyDescent="0.2">
      <c r="A216" s="669"/>
      <c r="B216" s="670"/>
      <c r="C216" s="1358"/>
      <c r="D216" s="672"/>
      <c r="E216" s="1359"/>
      <c r="F216" s="1359"/>
      <c r="G216" s="1360" t="str">
        <f>G212</f>
        <v>K2. 12x25</v>
      </c>
      <c r="H216" s="1361">
        <f>J207+L207</f>
        <v>0.37</v>
      </c>
      <c r="I216" s="1362" t="s">
        <v>424</v>
      </c>
      <c r="J216" s="1362">
        <f>H210</f>
        <v>4</v>
      </c>
      <c r="K216" s="1362" t="s">
        <v>424</v>
      </c>
      <c r="L216" s="1362">
        <f>N210</f>
        <v>8</v>
      </c>
      <c r="M216" s="1362"/>
      <c r="N216" s="1362"/>
      <c r="O216" s="1362"/>
      <c r="P216" s="1362"/>
      <c r="Q216" s="1362" t="s">
        <v>696</v>
      </c>
      <c r="R216" s="1363">
        <f>H216*J216*L216</f>
        <v>11.84</v>
      </c>
      <c r="S216" s="1364">
        <f>R216</f>
        <v>11.84</v>
      </c>
      <c r="T216" s="722" t="s">
        <v>338</v>
      </c>
      <c r="U216" s="205"/>
      <c r="V216" s="685"/>
      <c r="W216" s="205"/>
      <c r="X216" s="205"/>
      <c r="Y216" s="205"/>
      <c r="Z216" s="205"/>
      <c r="AA216" s="205"/>
      <c r="AB216" s="205"/>
      <c r="AC216" s="205"/>
      <c r="AD216" s="205"/>
      <c r="AE216" s="205"/>
      <c r="AF216" s="205"/>
      <c r="AG216" s="205"/>
      <c r="AH216" s="205"/>
      <c r="AI216" s="205"/>
      <c r="AJ216" s="205"/>
      <c r="AK216" s="205"/>
      <c r="AL216" s="205"/>
      <c r="AM216" s="205"/>
      <c r="AN216" s="205"/>
      <c r="AO216" s="205"/>
      <c r="AP216" s="205"/>
      <c r="AQ216" s="205"/>
      <c r="AR216" s="205"/>
      <c r="AS216" s="205"/>
      <c r="AT216" s="205"/>
      <c r="AU216" s="205"/>
      <c r="AV216" s="205"/>
      <c r="AW216" s="205"/>
      <c r="AX216" s="205"/>
      <c r="AY216" s="205"/>
      <c r="AZ216" s="205"/>
      <c r="BA216" s="205"/>
      <c r="BB216" s="205"/>
      <c r="BC216" s="205"/>
      <c r="BD216" s="205"/>
      <c r="BE216" s="205"/>
      <c r="BF216" s="205"/>
      <c r="BG216" s="205"/>
      <c r="BH216" s="205"/>
      <c r="BI216" s="205"/>
      <c r="BJ216" s="205"/>
      <c r="BK216" s="205"/>
      <c r="BL216" s="205"/>
      <c r="BM216" s="205"/>
      <c r="BN216" s="205"/>
      <c r="BO216" s="205"/>
      <c r="BP216" s="205"/>
      <c r="BQ216" s="205"/>
      <c r="BR216" s="205"/>
      <c r="BS216" s="205"/>
      <c r="BT216" s="205"/>
      <c r="BU216" s="205"/>
      <c r="BV216" s="205"/>
      <c r="BW216" s="205"/>
      <c r="BX216" s="205"/>
      <c r="BY216" s="205"/>
      <c r="BZ216" s="205"/>
      <c r="CA216" s="205"/>
      <c r="CB216" s="205"/>
      <c r="CC216" s="205"/>
      <c r="CD216" s="205"/>
      <c r="CE216" s="205"/>
      <c r="CF216" s="205"/>
      <c r="CG216" s="205"/>
      <c r="CH216" s="205"/>
      <c r="CI216" s="205"/>
      <c r="CJ216" s="205"/>
      <c r="CK216" s="205"/>
      <c r="CL216" s="205"/>
      <c r="CM216" s="205"/>
      <c r="CN216" s="205"/>
      <c r="CO216" s="205"/>
      <c r="CP216" s="205"/>
      <c r="CQ216" s="205"/>
      <c r="CR216" s="205"/>
      <c r="CS216" s="205"/>
      <c r="CT216" s="205"/>
      <c r="CU216" s="205"/>
      <c r="CV216" s="205"/>
      <c r="CW216" s="205"/>
      <c r="CX216" s="205"/>
      <c r="CY216" s="205"/>
      <c r="CZ216" s="205"/>
      <c r="DA216" s="205"/>
      <c r="DB216" s="205"/>
      <c r="DC216" s="205"/>
      <c r="DD216" s="205"/>
      <c r="DE216" s="205"/>
      <c r="DF216" s="205"/>
      <c r="DG216" s="205"/>
      <c r="DH216" s="205"/>
      <c r="DI216" s="205"/>
      <c r="DJ216" s="205"/>
      <c r="DK216" s="205"/>
      <c r="DL216" s="205"/>
      <c r="DM216" s="205"/>
      <c r="DN216" s="205"/>
      <c r="DO216" s="205"/>
      <c r="DP216" s="205"/>
      <c r="DQ216" s="205"/>
      <c r="DR216" s="205"/>
      <c r="DS216" s="205"/>
      <c r="DT216" s="205"/>
      <c r="DU216" s="205"/>
      <c r="DV216" s="205"/>
      <c r="DW216" s="205"/>
      <c r="DX216" s="205"/>
      <c r="DY216" s="205"/>
      <c r="DZ216" s="205"/>
      <c r="EA216" s="205"/>
      <c r="EB216" s="205"/>
      <c r="EC216" s="205"/>
      <c r="ED216" s="205"/>
      <c r="EE216" s="205"/>
      <c r="EF216" s="205"/>
      <c r="EG216" s="205"/>
      <c r="EH216" s="205"/>
      <c r="EI216" s="205"/>
      <c r="EJ216" s="205"/>
      <c r="EK216" s="205"/>
      <c r="EL216" s="205"/>
      <c r="EM216" s="205"/>
      <c r="EN216" s="205"/>
      <c r="EO216" s="205"/>
      <c r="EP216" s="205"/>
      <c r="EQ216" s="205"/>
      <c r="ER216" s="205"/>
      <c r="ES216" s="205"/>
      <c r="ET216" s="205"/>
      <c r="EU216" s="205"/>
      <c r="EV216" s="205"/>
      <c r="EW216" s="205"/>
      <c r="EX216" s="205"/>
      <c r="EY216" s="205"/>
      <c r="EZ216" s="205"/>
      <c r="FA216" s="205"/>
      <c r="FB216" s="205"/>
      <c r="FC216" s="205"/>
      <c r="FD216" s="205"/>
      <c r="FE216" s="205"/>
      <c r="FF216" s="205"/>
      <c r="FG216" s="205"/>
      <c r="FH216" s="205"/>
      <c r="FI216" s="205"/>
      <c r="FJ216" s="205"/>
      <c r="FK216" s="205"/>
      <c r="FL216" s="205"/>
      <c r="FM216" s="205"/>
      <c r="FN216" s="205"/>
      <c r="FO216" s="205"/>
      <c r="FP216" s="205"/>
      <c r="FQ216" s="205"/>
      <c r="FR216" s="205"/>
      <c r="FS216" s="205"/>
      <c r="FT216" s="205"/>
      <c r="FU216" s="205"/>
      <c r="FV216" s="205"/>
      <c r="FW216" s="205"/>
      <c r="FX216" s="205"/>
      <c r="FY216" s="205"/>
      <c r="FZ216" s="205"/>
      <c r="GA216" s="205"/>
      <c r="GB216" s="205"/>
      <c r="GC216" s="205"/>
      <c r="GD216" s="205"/>
      <c r="GE216" s="205"/>
      <c r="GF216" s="205"/>
      <c r="GG216" s="205"/>
      <c r="GH216" s="205"/>
      <c r="GI216" s="205"/>
      <c r="GJ216" s="205"/>
      <c r="GK216" s="205"/>
      <c r="GL216" s="205"/>
      <c r="GM216" s="205"/>
      <c r="GN216" s="205"/>
      <c r="GO216" s="205"/>
      <c r="GP216" s="205"/>
      <c r="GQ216" s="205"/>
      <c r="GR216" s="205"/>
      <c r="GS216" s="205"/>
      <c r="GT216" s="205"/>
      <c r="GU216" s="205"/>
      <c r="GV216" s="205"/>
      <c r="GW216" s="205"/>
      <c r="GX216" s="205"/>
      <c r="GY216" s="205"/>
      <c r="GZ216" s="205"/>
      <c r="HA216" s="205"/>
      <c r="HB216" s="205"/>
      <c r="HC216" s="205"/>
      <c r="HD216" s="205"/>
      <c r="HE216" s="205"/>
      <c r="HF216" s="205"/>
      <c r="HG216" s="205"/>
      <c r="HH216" s="205"/>
      <c r="HI216" s="205"/>
      <c r="HJ216" s="205"/>
      <c r="HK216" s="205"/>
      <c r="HL216" s="205"/>
      <c r="HM216" s="205"/>
      <c r="HN216" s="205"/>
      <c r="HO216" s="205"/>
      <c r="HP216" s="205"/>
      <c r="HQ216" s="205"/>
      <c r="HR216" s="205"/>
      <c r="HS216" s="205"/>
      <c r="HT216" s="205"/>
      <c r="HU216" s="205"/>
      <c r="HV216" s="205"/>
      <c r="HW216" s="205"/>
      <c r="HX216" s="205"/>
      <c r="HY216" s="205"/>
      <c r="HZ216" s="205"/>
      <c r="IA216" s="205"/>
      <c r="IB216" s="205"/>
      <c r="IC216" s="205"/>
      <c r="ID216" s="205"/>
      <c r="IE216" s="205"/>
      <c r="IF216" s="205"/>
      <c r="IG216" s="205"/>
      <c r="IH216" s="205"/>
      <c r="II216" s="205"/>
      <c r="IJ216" s="205"/>
      <c r="IK216" s="205"/>
      <c r="IL216" s="205"/>
      <c r="IM216" s="205"/>
      <c r="IN216" s="205"/>
      <c r="IO216" s="205"/>
      <c r="IP216" s="205"/>
      <c r="IQ216" s="205"/>
      <c r="IR216" s="205"/>
      <c r="IS216" s="205"/>
      <c r="IT216" s="205"/>
      <c r="IU216" s="205"/>
      <c r="IV216" s="205"/>
      <c r="IW216" s="205"/>
      <c r="IX216" s="205"/>
    </row>
    <row r="217" spans="1:258" s="203" customFormat="1" x14ac:dyDescent="0.2">
      <c r="A217" s="669"/>
      <c r="B217" s="670"/>
      <c r="C217" s="1358"/>
      <c r="D217" s="672"/>
      <c r="E217" s="1359"/>
      <c r="F217" s="1359"/>
      <c r="G217" s="1360"/>
      <c r="H217" s="1361"/>
      <c r="I217" s="1362"/>
      <c r="J217" s="1362"/>
      <c r="K217" s="1362"/>
      <c r="L217" s="1362"/>
      <c r="M217" s="1362"/>
      <c r="N217" s="1362"/>
      <c r="O217" s="1362"/>
      <c r="P217" s="1362"/>
      <c r="Q217" s="1362"/>
      <c r="R217" s="1363"/>
      <c r="S217" s="1364"/>
      <c r="T217" s="722"/>
      <c r="U217" s="205"/>
      <c r="V217" s="685"/>
      <c r="W217" s="205"/>
      <c r="X217" s="205"/>
      <c r="Y217" s="205"/>
      <c r="Z217" s="205"/>
      <c r="AA217" s="205"/>
      <c r="AB217" s="205"/>
      <c r="AC217" s="205"/>
      <c r="AD217" s="205"/>
      <c r="AE217" s="205"/>
      <c r="AF217" s="205"/>
      <c r="AG217" s="205"/>
      <c r="AH217" s="205"/>
      <c r="AI217" s="205"/>
      <c r="AJ217" s="205"/>
      <c r="AK217" s="205"/>
      <c r="AL217" s="205"/>
      <c r="AM217" s="205"/>
      <c r="AN217" s="205"/>
      <c r="AO217" s="205"/>
      <c r="AP217" s="205"/>
      <c r="AQ217" s="205"/>
      <c r="AR217" s="205"/>
      <c r="AS217" s="205"/>
      <c r="AT217" s="205"/>
      <c r="AU217" s="205"/>
      <c r="AV217" s="205"/>
      <c r="AW217" s="205"/>
      <c r="AX217" s="205"/>
      <c r="AY217" s="205"/>
      <c r="AZ217" s="205"/>
      <c r="BA217" s="205"/>
      <c r="BB217" s="205"/>
      <c r="BC217" s="205"/>
      <c r="BD217" s="205"/>
      <c r="BE217" s="205"/>
      <c r="BF217" s="205"/>
      <c r="BG217" s="205"/>
      <c r="BH217" s="205"/>
      <c r="BI217" s="205"/>
      <c r="BJ217" s="205"/>
      <c r="BK217" s="205"/>
      <c r="BL217" s="205"/>
      <c r="BM217" s="205"/>
      <c r="BN217" s="205"/>
      <c r="BO217" s="205"/>
      <c r="BP217" s="205"/>
      <c r="BQ217" s="205"/>
      <c r="BR217" s="205"/>
      <c r="BS217" s="205"/>
      <c r="BT217" s="205"/>
      <c r="BU217" s="205"/>
      <c r="BV217" s="205"/>
      <c r="BW217" s="205"/>
      <c r="BX217" s="205"/>
      <c r="BY217" s="205"/>
      <c r="BZ217" s="205"/>
      <c r="CA217" s="205"/>
      <c r="CB217" s="205"/>
      <c r="CC217" s="205"/>
      <c r="CD217" s="205"/>
      <c r="CE217" s="205"/>
      <c r="CF217" s="205"/>
      <c r="CG217" s="205"/>
      <c r="CH217" s="205"/>
      <c r="CI217" s="205"/>
      <c r="CJ217" s="205"/>
      <c r="CK217" s="205"/>
      <c r="CL217" s="205"/>
      <c r="CM217" s="205"/>
      <c r="CN217" s="205"/>
      <c r="CO217" s="205"/>
      <c r="CP217" s="205"/>
      <c r="CQ217" s="205"/>
      <c r="CR217" s="205"/>
      <c r="CS217" s="205"/>
      <c r="CT217" s="205"/>
      <c r="CU217" s="205"/>
      <c r="CV217" s="205"/>
      <c r="CW217" s="205"/>
      <c r="CX217" s="205"/>
      <c r="CY217" s="205"/>
      <c r="CZ217" s="205"/>
      <c r="DA217" s="205"/>
      <c r="DB217" s="205"/>
      <c r="DC217" s="205"/>
      <c r="DD217" s="205"/>
      <c r="DE217" s="205"/>
      <c r="DF217" s="205"/>
      <c r="DG217" s="205"/>
      <c r="DH217" s="205"/>
      <c r="DI217" s="205"/>
      <c r="DJ217" s="205"/>
      <c r="DK217" s="205"/>
      <c r="DL217" s="205"/>
      <c r="DM217" s="205"/>
      <c r="DN217" s="205"/>
      <c r="DO217" s="205"/>
      <c r="DP217" s="205"/>
      <c r="DQ217" s="205"/>
      <c r="DR217" s="205"/>
      <c r="DS217" s="205"/>
      <c r="DT217" s="205"/>
      <c r="DU217" s="205"/>
      <c r="DV217" s="205"/>
      <c r="DW217" s="205"/>
      <c r="DX217" s="205"/>
      <c r="DY217" s="205"/>
      <c r="DZ217" s="205"/>
      <c r="EA217" s="205"/>
      <c r="EB217" s="205"/>
      <c r="EC217" s="205"/>
      <c r="ED217" s="205"/>
      <c r="EE217" s="205"/>
      <c r="EF217" s="205"/>
      <c r="EG217" s="205"/>
      <c r="EH217" s="205"/>
      <c r="EI217" s="205"/>
      <c r="EJ217" s="205"/>
      <c r="EK217" s="205"/>
      <c r="EL217" s="205"/>
      <c r="EM217" s="205"/>
      <c r="EN217" s="205"/>
      <c r="EO217" s="205"/>
      <c r="EP217" s="205"/>
      <c r="EQ217" s="205"/>
      <c r="ER217" s="205"/>
      <c r="ES217" s="205"/>
      <c r="ET217" s="205"/>
      <c r="EU217" s="205"/>
      <c r="EV217" s="205"/>
      <c r="EW217" s="205"/>
      <c r="EX217" s="205"/>
      <c r="EY217" s="205"/>
      <c r="EZ217" s="205"/>
      <c r="FA217" s="205"/>
      <c r="FB217" s="205"/>
      <c r="FC217" s="205"/>
      <c r="FD217" s="205"/>
      <c r="FE217" s="205"/>
      <c r="FF217" s="205"/>
      <c r="FG217" s="205"/>
      <c r="FH217" s="205"/>
      <c r="FI217" s="205"/>
      <c r="FJ217" s="205"/>
      <c r="FK217" s="205"/>
      <c r="FL217" s="205"/>
      <c r="FM217" s="205"/>
      <c r="FN217" s="205"/>
      <c r="FO217" s="205"/>
      <c r="FP217" s="205"/>
      <c r="FQ217" s="205"/>
      <c r="FR217" s="205"/>
      <c r="FS217" s="205"/>
      <c r="FT217" s="205"/>
      <c r="FU217" s="205"/>
      <c r="FV217" s="205"/>
      <c r="FW217" s="205"/>
      <c r="FX217" s="205"/>
      <c r="FY217" s="205"/>
      <c r="FZ217" s="205"/>
      <c r="GA217" s="205"/>
      <c r="GB217" s="205"/>
      <c r="GC217" s="205"/>
      <c r="GD217" s="205"/>
      <c r="GE217" s="205"/>
      <c r="GF217" s="205"/>
      <c r="GG217" s="205"/>
      <c r="GH217" s="205"/>
      <c r="GI217" s="205"/>
      <c r="GJ217" s="205"/>
      <c r="GK217" s="205"/>
      <c r="GL217" s="205"/>
      <c r="GM217" s="205"/>
      <c r="GN217" s="205"/>
      <c r="GO217" s="205"/>
      <c r="GP217" s="205"/>
      <c r="GQ217" s="205"/>
      <c r="GR217" s="205"/>
      <c r="GS217" s="205"/>
      <c r="GT217" s="205"/>
      <c r="GU217" s="205"/>
      <c r="GV217" s="205"/>
      <c r="GW217" s="205"/>
      <c r="GX217" s="205"/>
      <c r="GY217" s="205"/>
      <c r="GZ217" s="205"/>
      <c r="HA217" s="205"/>
      <c r="HB217" s="205"/>
      <c r="HC217" s="205"/>
      <c r="HD217" s="205"/>
      <c r="HE217" s="205"/>
      <c r="HF217" s="205"/>
      <c r="HG217" s="205"/>
      <c r="HH217" s="205"/>
      <c r="HI217" s="205"/>
      <c r="HJ217" s="205"/>
      <c r="HK217" s="205"/>
      <c r="HL217" s="205"/>
      <c r="HM217" s="205"/>
      <c r="HN217" s="205"/>
      <c r="HO217" s="205"/>
      <c r="HP217" s="205"/>
      <c r="HQ217" s="205"/>
      <c r="HR217" s="205"/>
      <c r="HS217" s="205"/>
      <c r="HT217" s="205"/>
      <c r="HU217" s="205"/>
      <c r="HV217" s="205"/>
      <c r="HW217" s="205"/>
      <c r="HX217" s="205"/>
      <c r="HY217" s="205"/>
      <c r="HZ217" s="205"/>
      <c r="IA217" s="205"/>
      <c r="IB217" s="205"/>
      <c r="IC217" s="205"/>
      <c r="ID217" s="205"/>
      <c r="IE217" s="205"/>
      <c r="IF217" s="205"/>
      <c r="IG217" s="205"/>
      <c r="IH217" s="205"/>
      <c r="II217" s="205"/>
      <c r="IJ217" s="205"/>
      <c r="IK217" s="205"/>
      <c r="IL217" s="205"/>
      <c r="IM217" s="205"/>
      <c r="IN217" s="205"/>
      <c r="IO217" s="205"/>
      <c r="IP217" s="205"/>
      <c r="IQ217" s="205"/>
      <c r="IR217" s="205"/>
      <c r="IS217" s="205"/>
      <c r="IT217" s="205"/>
      <c r="IU217" s="205"/>
      <c r="IV217" s="205"/>
      <c r="IW217" s="205"/>
      <c r="IX217" s="205"/>
    </row>
    <row r="218" spans="1:258" s="203" customFormat="1" x14ac:dyDescent="0.2">
      <c r="A218" s="669"/>
      <c r="B218" s="670"/>
      <c r="C218" s="682" t="str">
        <f>RAB!D77</f>
        <v>Kolom Praktis 12X12</v>
      </c>
      <c r="D218" s="672"/>
      <c r="E218" s="673"/>
      <c r="F218" s="673"/>
      <c r="G218" s="674"/>
      <c r="H218" s="675"/>
      <c r="I218" s="676"/>
      <c r="J218" s="676"/>
      <c r="K218" s="676"/>
      <c r="L218" s="676"/>
      <c r="M218" s="676"/>
      <c r="N218" s="676"/>
      <c r="O218" s="676"/>
      <c r="P218" s="676"/>
      <c r="Q218" s="676"/>
      <c r="R218" s="677"/>
      <c r="S218" s="678"/>
      <c r="T218" s="684"/>
      <c r="U218" s="205"/>
      <c r="V218" s="685"/>
      <c r="W218" s="205"/>
      <c r="X218" s="205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05"/>
      <c r="BI218" s="205"/>
      <c r="BJ218" s="205"/>
      <c r="BK218" s="205"/>
      <c r="BL218" s="205"/>
      <c r="BM218" s="205"/>
      <c r="BN218" s="205"/>
      <c r="BO218" s="205"/>
      <c r="BP218" s="205"/>
      <c r="BQ218" s="205"/>
      <c r="BR218" s="205"/>
      <c r="BS218" s="205"/>
      <c r="BT218" s="205"/>
      <c r="BU218" s="205"/>
      <c r="BV218" s="205"/>
      <c r="BW218" s="205"/>
      <c r="BX218" s="205"/>
      <c r="BY218" s="205"/>
      <c r="BZ218" s="205"/>
      <c r="CA218" s="205"/>
      <c r="CB218" s="205"/>
      <c r="CC218" s="205"/>
      <c r="CD218" s="205"/>
      <c r="CE218" s="205"/>
      <c r="CF218" s="205"/>
      <c r="CG218" s="205"/>
      <c r="CH218" s="205"/>
      <c r="CI218" s="205"/>
      <c r="CJ218" s="205"/>
      <c r="CK218" s="205"/>
      <c r="CL218" s="205"/>
      <c r="CM218" s="205"/>
      <c r="CN218" s="205"/>
      <c r="CO218" s="205"/>
      <c r="CP218" s="205"/>
      <c r="CQ218" s="205"/>
      <c r="CR218" s="205"/>
      <c r="CS218" s="205"/>
      <c r="CT218" s="205"/>
      <c r="CU218" s="205"/>
      <c r="CV218" s="205"/>
      <c r="CW218" s="205"/>
      <c r="CX218" s="205"/>
      <c r="CY218" s="205"/>
      <c r="CZ218" s="205"/>
      <c r="DA218" s="205"/>
      <c r="DB218" s="205"/>
      <c r="DC218" s="205"/>
      <c r="DD218" s="205"/>
      <c r="DE218" s="205"/>
      <c r="DF218" s="205"/>
      <c r="DG218" s="205"/>
      <c r="DH218" s="205"/>
      <c r="DI218" s="205"/>
      <c r="DJ218" s="205"/>
      <c r="DK218" s="205"/>
      <c r="DL218" s="205"/>
      <c r="DM218" s="205"/>
      <c r="DN218" s="205"/>
      <c r="DO218" s="205"/>
      <c r="DP218" s="205"/>
      <c r="DQ218" s="205"/>
      <c r="DR218" s="205"/>
      <c r="DS218" s="205"/>
      <c r="DT218" s="205"/>
      <c r="DU218" s="205"/>
      <c r="DV218" s="205"/>
      <c r="DW218" s="205"/>
      <c r="DX218" s="205"/>
      <c r="DY218" s="205"/>
      <c r="DZ218" s="205"/>
      <c r="EA218" s="205"/>
      <c r="EB218" s="205"/>
      <c r="EC218" s="205"/>
      <c r="ED218" s="205"/>
      <c r="EE218" s="205"/>
      <c r="EF218" s="205"/>
      <c r="EG218" s="205"/>
      <c r="EH218" s="205"/>
      <c r="EI218" s="205"/>
      <c r="EJ218" s="205"/>
      <c r="EK218" s="205"/>
      <c r="EL218" s="205"/>
      <c r="EM218" s="205"/>
      <c r="EN218" s="205"/>
      <c r="EO218" s="205"/>
      <c r="EP218" s="205"/>
      <c r="EQ218" s="205"/>
      <c r="ER218" s="205"/>
      <c r="ES218" s="205"/>
      <c r="ET218" s="205"/>
      <c r="EU218" s="205"/>
      <c r="EV218" s="205"/>
      <c r="EW218" s="205"/>
      <c r="EX218" s="205"/>
      <c r="EY218" s="205"/>
      <c r="EZ218" s="205"/>
      <c r="FA218" s="205"/>
      <c r="FB218" s="205"/>
      <c r="FC218" s="205"/>
      <c r="FD218" s="205"/>
      <c r="FE218" s="205"/>
      <c r="FF218" s="205"/>
      <c r="FG218" s="205"/>
      <c r="FH218" s="205"/>
      <c r="FI218" s="205"/>
      <c r="FJ218" s="205"/>
      <c r="FK218" s="205"/>
      <c r="FL218" s="205"/>
      <c r="FM218" s="205"/>
      <c r="FN218" s="205"/>
      <c r="FO218" s="205"/>
      <c r="FP218" s="205"/>
      <c r="FQ218" s="205"/>
      <c r="FR218" s="205"/>
      <c r="FS218" s="205"/>
      <c r="FT218" s="205"/>
      <c r="FU218" s="205"/>
      <c r="FV218" s="205"/>
      <c r="FW218" s="205"/>
      <c r="FX218" s="205"/>
      <c r="FY218" s="205"/>
      <c r="FZ218" s="205"/>
      <c r="GA218" s="205"/>
      <c r="GB218" s="205"/>
      <c r="GC218" s="205"/>
      <c r="GD218" s="205"/>
      <c r="GE218" s="205"/>
      <c r="GF218" s="205"/>
      <c r="GG218" s="205"/>
      <c r="GH218" s="205"/>
      <c r="GI218" s="205"/>
      <c r="GJ218" s="205"/>
      <c r="GK218" s="205"/>
      <c r="GL218" s="205"/>
      <c r="GM218" s="205"/>
      <c r="GN218" s="205"/>
      <c r="GO218" s="205"/>
      <c r="GP218" s="205"/>
      <c r="GQ218" s="205"/>
      <c r="GR218" s="205"/>
      <c r="GS218" s="205"/>
      <c r="GT218" s="205"/>
      <c r="GU218" s="205"/>
      <c r="GV218" s="205"/>
      <c r="GW218" s="205"/>
      <c r="GX218" s="205"/>
      <c r="GY218" s="205"/>
      <c r="GZ218" s="205"/>
      <c r="HA218" s="205"/>
      <c r="HB218" s="205"/>
      <c r="HC218" s="205"/>
      <c r="HD218" s="205"/>
      <c r="HE218" s="205"/>
      <c r="HF218" s="205"/>
      <c r="HG218" s="205"/>
      <c r="HH218" s="205"/>
      <c r="HI218" s="205"/>
      <c r="HJ218" s="205"/>
      <c r="HK218" s="205"/>
      <c r="HL218" s="205"/>
      <c r="HM218" s="205"/>
      <c r="HN218" s="205"/>
      <c r="HO218" s="205"/>
      <c r="HP218" s="205"/>
      <c r="HQ218" s="205"/>
      <c r="HR218" s="205"/>
      <c r="HS218" s="205"/>
      <c r="HT218" s="205"/>
      <c r="HU218" s="205"/>
      <c r="HV218" s="205"/>
      <c r="HW218" s="205"/>
      <c r="HX218" s="205"/>
      <c r="HY218" s="205"/>
      <c r="HZ218" s="205"/>
      <c r="IA218" s="205"/>
      <c r="IB218" s="205"/>
      <c r="IC218" s="205"/>
      <c r="ID218" s="205"/>
      <c r="IE218" s="205"/>
      <c r="IF218" s="205"/>
      <c r="IG218" s="205"/>
      <c r="IH218" s="205"/>
      <c r="II218" s="205"/>
      <c r="IJ218" s="205"/>
      <c r="IK218" s="205"/>
      <c r="IL218" s="205"/>
      <c r="IM218" s="205"/>
      <c r="IN218" s="205"/>
      <c r="IO218" s="205"/>
      <c r="IP218" s="205"/>
      <c r="IQ218" s="205"/>
      <c r="IR218" s="205"/>
      <c r="IS218" s="205"/>
      <c r="IT218" s="205"/>
      <c r="IU218" s="205"/>
      <c r="IV218" s="205"/>
      <c r="IW218" s="205"/>
      <c r="IX218" s="205"/>
    </row>
    <row r="219" spans="1:258" s="203" customFormat="1" x14ac:dyDescent="0.2">
      <c r="A219" s="669"/>
      <c r="B219" s="670">
        <f>RAB!B78</f>
        <v>15</v>
      </c>
      <c r="C219" s="686" t="e">
        <f>RAB!D78</f>
        <v>#REF!</v>
      </c>
      <c r="D219" s="672"/>
      <c r="E219" s="673"/>
      <c r="F219" s="673"/>
      <c r="G219" s="674"/>
      <c r="H219" s="675"/>
      <c r="I219" s="676"/>
      <c r="J219" s="676"/>
      <c r="K219" s="676"/>
      <c r="L219" s="676"/>
      <c r="M219" s="676"/>
      <c r="N219" s="676" t="s">
        <v>1656</v>
      </c>
      <c r="O219" s="676"/>
      <c r="P219" s="676"/>
      <c r="Q219" s="676"/>
      <c r="R219" s="677"/>
      <c r="S219" s="678"/>
      <c r="T219" s="684"/>
      <c r="U219" s="205"/>
      <c r="V219" s="68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205"/>
      <c r="BF219" s="205"/>
      <c r="BG219" s="205"/>
      <c r="BH219" s="205"/>
      <c r="BI219" s="205"/>
      <c r="BJ219" s="205"/>
      <c r="BK219" s="205"/>
      <c r="BL219" s="205"/>
      <c r="BM219" s="205"/>
      <c r="BN219" s="205"/>
      <c r="BO219" s="205"/>
      <c r="BP219" s="205"/>
      <c r="BQ219" s="205"/>
      <c r="BR219" s="205"/>
      <c r="BS219" s="205"/>
      <c r="BT219" s="205"/>
      <c r="BU219" s="205"/>
      <c r="BV219" s="205"/>
      <c r="BW219" s="205"/>
      <c r="BX219" s="205"/>
      <c r="BY219" s="205"/>
      <c r="BZ219" s="205"/>
      <c r="CA219" s="205"/>
      <c r="CB219" s="205"/>
      <c r="CC219" s="205"/>
      <c r="CD219" s="205"/>
      <c r="CE219" s="205"/>
      <c r="CF219" s="205"/>
      <c r="CG219" s="205"/>
      <c r="CH219" s="205"/>
      <c r="CI219" s="205"/>
      <c r="CJ219" s="205"/>
      <c r="CK219" s="205"/>
      <c r="CL219" s="205"/>
      <c r="CM219" s="205"/>
      <c r="CN219" s="205"/>
      <c r="CO219" s="205"/>
      <c r="CP219" s="205"/>
      <c r="CQ219" s="205"/>
      <c r="CR219" s="205"/>
      <c r="CS219" s="205"/>
      <c r="CT219" s="205"/>
      <c r="CU219" s="205"/>
      <c r="CV219" s="205"/>
      <c r="CW219" s="205"/>
      <c r="CX219" s="205"/>
      <c r="CY219" s="205"/>
      <c r="CZ219" s="205"/>
      <c r="DA219" s="205"/>
      <c r="DB219" s="205"/>
      <c r="DC219" s="205"/>
      <c r="DD219" s="205"/>
      <c r="DE219" s="205"/>
      <c r="DF219" s="205"/>
      <c r="DG219" s="205"/>
      <c r="DH219" s="205"/>
      <c r="DI219" s="205"/>
      <c r="DJ219" s="205"/>
      <c r="DK219" s="205"/>
      <c r="DL219" s="205"/>
      <c r="DM219" s="205"/>
      <c r="DN219" s="205"/>
      <c r="DO219" s="205"/>
      <c r="DP219" s="205"/>
      <c r="DQ219" s="205"/>
      <c r="DR219" s="205"/>
      <c r="DS219" s="205"/>
      <c r="DT219" s="205"/>
      <c r="DU219" s="205"/>
      <c r="DV219" s="205"/>
      <c r="DW219" s="205"/>
      <c r="DX219" s="205"/>
      <c r="DY219" s="205"/>
      <c r="DZ219" s="205"/>
      <c r="EA219" s="205"/>
      <c r="EB219" s="205"/>
      <c r="EC219" s="205"/>
      <c r="ED219" s="205"/>
      <c r="EE219" s="205"/>
      <c r="EF219" s="205"/>
      <c r="EG219" s="205"/>
      <c r="EH219" s="205"/>
      <c r="EI219" s="205"/>
      <c r="EJ219" s="205"/>
      <c r="EK219" s="205"/>
      <c r="EL219" s="205"/>
      <c r="EM219" s="205"/>
      <c r="EN219" s="205"/>
      <c r="EO219" s="205"/>
      <c r="EP219" s="205"/>
      <c r="EQ219" s="205"/>
      <c r="ER219" s="205"/>
      <c r="ES219" s="205"/>
      <c r="ET219" s="205"/>
      <c r="EU219" s="205"/>
      <c r="EV219" s="205"/>
      <c r="EW219" s="205"/>
      <c r="EX219" s="205"/>
      <c r="EY219" s="205"/>
      <c r="EZ219" s="205"/>
      <c r="FA219" s="205"/>
      <c r="FB219" s="205"/>
      <c r="FC219" s="205"/>
      <c r="FD219" s="205"/>
      <c r="FE219" s="205"/>
      <c r="FF219" s="205"/>
      <c r="FG219" s="205"/>
      <c r="FH219" s="205"/>
      <c r="FI219" s="205"/>
      <c r="FJ219" s="205"/>
      <c r="FK219" s="205"/>
      <c r="FL219" s="205"/>
      <c r="FM219" s="205"/>
      <c r="FN219" s="205"/>
      <c r="FO219" s="205"/>
      <c r="FP219" s="205"/>
      <c r="FQ219" s="205"/>
      <c r="FR219" s="205"/>
      <c r="FS219" s="205"/>
      <c r="FT219" s="205"/>
      <c r="FU219" s="205"/>
      <c r="FV219" s="205"/>
      <c r="FW219" s="205"/>
      <c r="FX219" s="205"/>
      <c r="FY219" s="205"/>
      <c r="FZ219" s="205"/>
      <c r="GA219" s="205"/>
      <c r="GB219" s="205"/>
      <c r="GC219" s="205"/>
      <c r="GD219" s="205"/>
      <c r="GE219" s="205"/>
      <c r="GF219" s="205"/>
      <c r="GG219" s="205"/>
      <c r="GH219" s="205"/>
      <c r="GI219" s="205"/>
      <c r="GJ219" s="205"/>
      <c r="GK219" s="205"/>
      <c r="GL219" s="205"/>
      <c r="GM219" s="205"/>
      <c r="GN219" s="205"/>
      <c r="GO219" s="205"/>
      <c r="GP219" s="205"/>
      <c r="GQ219" s="205"/>
      <c r="GR219" s="205"/>
      <c r="GS219" s="205"/>
      <c r="GT219" s="205"/>
      <c r="GU219" s="205"/>
      <c r="GV219" s="205"/>
      <c r="GW219" s="205"/>
      <c r="GX219" s="205"/>
      <c r="GY219" s="205"/>
      <c r="GZ219" s="205"/>
      <c r="HA219" s="205"/>
      <c r="HB219" s="205"/>
      <c r="HC219" s="205"/>
      <c r="HD219" s="205"/>
      <c r="HE219" s="205"/>
      <c r="HF219" s="205"/>
      <c r="HG219" s="205"/>
      <c r="HH219" s="205"/>
      <c r="HI219" s="205"/>
      <c r="HJ219" s="205"/>
      <c r="HK219" s="205"/>
      <c r="HL219" s="205"/>
      <c r="HM219" s="205"/>
      <c r="HN219" s="205"/>
      <c r="HO219" s="205"/>
      <c r="HP219" s="205"/>
      <c r="HQ219" s="205"/>
      <c r="HR219" s="205"/>
      <c r="HS219" s="205"/>
      <c r="HT219" s="205"/>
      <c r="HU219" s="205"/>
      <c r="HV219" s="205"/>
      <c r="HW219" s="205"/>
      <c r="HX219" s="205"/>
      <c r="HY219" s="205"/>
      <c r="HZ219" s="205"/>
      <c r="IA219" s="205"/>
      <c r="IB219" s="205"/>
      <c r="IC219" s="205"/>
      <c r="ID219" s="205"/>
      <c r="IE219" s="205"/>
      <c r="IF219" s="205"/>
      <c r="IG219" s="205"/>
      <c r="IH219" s="205"/>
      <c r="II219" s="205"/>
      <c r="IJ219" s="205"/>
      <c r="IK219" s="205"/>
      <c r="IL219" s="205"/>
      <c r="IM219" s="205"/>
      <c r="IN219" s="205"/>
      <c r="IO219" s="205"/>
      <c r="IP219" s="205"/>
      <c r="IQ219" s="205"/>
      <c r="IR219" s="205"/>
      <c r="IS219" s="205"/>
      <c r="IT219" s="205"/>
      <c r="IU219" s="205"/>
      <c r="IV219" s="205"/>
      <c r="IW219" s="205"/>
      <c r="IX219" s="205"/>
    </row>
    <row r="220" spans="1:258" s="203" customFormat="1" x14ac:dyDescent="0.2">
      <c r="A220" s="669"/>
      <c r="B220" s="670"/>
      <c r="C220" s="1358"/>
      <c r="D220" s="672"/>
      <c r="E220" s="1359"/>
      <c r="F220" s="1359"/>
      <c r="G220" s="1360"/>
      <c r="H220" s="1361">
        <v>4</v>
      </c>
      <c r="I220" s="1362" t="s">
        <v>424</v>
      </c>
      <c r="J220" s="1362">
        <v>0.12</v>
      </c>
      <c r="K220" s="1362" t="s">
        <v>424</v>
      </c>
      <c r="L220" s="1362">
        <v>0.12</v>
      </c>
      <c r="M220" s="1362" t="s">
        <v>424</v>
      </c>
      <c r="N220" s="1362">
        <v>51</v>
      </c>
      <c r="O220" s="1362"/>
      <c r="P220" s="1362"/>
      <c r="Q220" s="1362" t="s">
        <v>696</v>
      </c>
      <c r="R220" s="1363">
        <f>H220*J220*L220*N220</f>
        <v>2.9375999999999998</v>
      </c>
      <c r="S220" s="1364">
        <f>R220</f>
        <v>2.9375999999999998</v>
      </c>
      <c r="T220" s="722" t="s">
        <v>293</v>
      </c>
      <c r="U220" s="205"/>
      <c r="V220" s="685">
        <f>S225/S220</f>
        <v>231.42672222222228</v>
      </c>
      <c r="W220" s="205"/>
      <c r="X220" s="205"/>
      <c r="Y220" s="205"/>
      <c r="Z220" s="205"/>
      <c r="AA220" s="205"/>
      <c r="AB220" s="205"/>
      <c r="AC220" s="205"/>
      <c r="AD220" s="205"/>
      <c r="AE220" s="205"/>
      <c r="AF220" s="205"/>
      <c r="AG220" s="205"/>
      <c r="AH220" s="205"/>
      <c r="AI220" s="205"/>
      <c r="AJ220" s="205"/>
      <c r="AK220" s="205"/>
      <c r="AL220" s="205"/>
      <c r="AM220" s="205"/>
      <c r="AN220" s="205"/>
      <c r="AO220" s="205"/>
      <c r="AP220" s="205"/>
      <c r="AQ220" s="205"/>
      <c r="AR220" s="205"/>
      <c r="AS220" s="205"/>
      <c r="AT220" s="205"/>
      <c r="AU220" s="205"/>
      <c r="AV220" s="205"/>
      <c r="AW220" s="205"/>
      <c r="AX220" s="205"/>
      <c r="AY220" s="205"/>
      <c r="AZ220" s="205"/>
      <c r="BA220" s="205"/>
      <c r="BB220" s="205"/>
      <c r="BC220" s="205"/>
      <c r="BD220" s="205"/>
      <c r="BE220" s="205"/>
      <c r="BF220" s="205"/>
      <c r="BG220" s="205"/>
      <c r="BH220" s="205"/>
      <c r="BI220" s="205"/>
      <c r="BJ220" s="205"/>
      <c r="BK220" s="205"/>
      <c r="BL220" s="205"/>
      <c r="BM220" s="205"/>
      <c r="BN220" s="205"/>
      <c r="BO220" s="205"/>
      <c r="BP220" s="205"/>
      <c r="BQ220" s="205"/>
      <c r="BR220" s="205"/>
      <c r="BS220" s="205"/>
      <c r="BT220" s="205"/>
      <c r="BU220" s="205"/>
      <c r="BV220" s="205"/>
      <c r="BW220" s="205"/>
      <c r="BX220" s="205"/>
      <c r="BY220" s="205"/>
      <c r="BZ220" s="205"/>
      <c r="CA220" s="205"/>
      <c r="CB220" s="205"/>
      <c r="CC220" s="205"/>
      <c r="CD220" s="205"/>
      <c r="CE220" s="205"/>
      <c r="CF220" s="205"/>
      <c r="CG220" s="205"/>
      <c r="CH220" s="205"/>
      <c r="CI220" s="205"/>
      <c r="CJ220" s="205"/>
      <c r="CK220" s="205"/>
      <c r="CL220" s="205"/>
      <c r="CM220" s="205"/>
      <c r="CN220" s="205"/>
      <c r="CO220" s="205"/>
      <c r="CP220" s="205"/>
      <c r="CQ220" s="205"/>
      <c r="CR220" s="205"/>
      <c r="CS220" s="205"/>
      <c r="CT220" s="205"/>
      <c r="CU220" s="205"/>
      <c r="CV220" s="205"/>
      <c r="CW220" s="205"/>
      <c r="CX220" s="205"/>
      <c r="CY220" s="205"/>
      <c r="CZ220" s="205"/>
      <c r="DA220" s="205"/>
      <c r="DB220" s="205"/>
      <c r="DC220" s="205"/>
      <c r="DD220" s="205"/>
      <c r="DE220" s="205"/>
      <c r="DF220" s="205"/>
      <c r="DG220" s="205"/>
      <c r="DH220" s="205"/>
      <c r="DI220" s="205"/>
      <c r="DJ220" s="205"/>
      <c r="DK220" s="205"/>
      <c r="DL220" s="205"/>
      <c r="DM220" s="205"/>
      <c r="DN220" s="205"/>
      <c r="DO220" s="205"/>
      <c r="DP220" s="205"/>
      <c r="DQ220" s="205"/>
      <c r="DR220" s="205"/>
      <c r="DS220" s="205"/>
      <c r="DT220" s="205"/>
      <c r="DU220" s="205"/>
      <c r="DV220" s="205"/>
      <c r="DW220" s="205"/>
      <c r="DX220" s="205"/>
      <c r="DY220" s="205"/>
      <c r="DZ220" s="205"/>
      <c r="EA220" s="205"/>
      <c r="EB220" s="205"/>
      <c r="EC220" s="205"/>
      <c r="ED220" s="205"/>
      <c r="EE220" s="205"/>
      <c r="EF220" s="205"/>
      <c r="EG220" s="205"/>
      <c r="EH220" s="205"/>
      <c r="EI220" s="205"/>
      <c r="EJ220" s="205"/>
      <c r="EK220" s="205"/>
      <c r="EL220" s="205"/>
      <c r="EM220" s="205"/>
      <c r="EN220" s="205"/>
      <c r="EO220" s="205"/>
      <c r="EP220" s="205"/>
      <c r="EQ220" s="205"/>
      <c r="ER220" s="205"/>
      <c r="ES220" s="205"/>
      <c r="ET220" s="205"/>
      <c r="EU220" s="205"/>
      <c r="EV220" s="205"/>
      <c r="EW220" s="205"/>
      <c r="EX220" s="205"/>
      <c r="EY220" s="205"/>
      <c r="EZ220" s="205"/>
      <c r="FA220" s="205"/>
      <c r="FB220" s="205"/>
      <c r="FC220" s="205"/>
      <c r="FD220" s="205"/>
      <c r="FE220" s="205"/>
      <c r="FF220" s="205"/>
      <c r="FG220" s="205"/>
      <c r="FH220" s="205"/>
      <c r="FI220" s="205"/>
      <c r="FJ220" s="205"/>
      <c r="FK220" s="205"/>
      <c r="FL220" s="205"/>
      <c r="FM220" s="205"/>
      <c r="FN220" s="205"/>
      <c r="FO220" s="205"/>
      <c r="FP220" s="205"/>
      <c r="FQ220" s="205"/>
      <c r="FR220" s="205"/>
      <c r="FS220" s="205"/>
      <c r="FT220" s="205"/>
      <c r="FU220" s="205"/>
      <c r="FV220" s="205"/>
      <c r="FW220" s="205"/>
      <c r="FX220" s="205"/>
      <c r="FY220" s="205"/>
      <c r="FZ220" s="205"/>
      <c r="GA220" s="205"/>
      <c r="GB220" s="205"/>
      <c r="GC220" s="205"/>
      <c r="GD220" s="205"/>
      <c r="GE220" s="205"/>
      <c r="GF220" s="205"/>
      <c r="GG220" s="205"/>
      <c r="GH220" s="205"/>
      <c r="GI220" s="205"/>
      <c r="GJ220" s="205"/>
      <c r="GK220" s="205"/>
      <c r="GL220" s="205"/>
      <c r="GM220" s="205"/>
      <c r="GN220" s="205"/>
      <c r="GO220" s="205"/>
      <c r="GP220" s="205"/>
      <c r="GQ220" s="205"/>
      <c r="GR220" s="205"/>
      <c r="GS220" s="205"/>
      <c r="GT220" s="205"/>
      <c r="GU220" s="205"/>
      <c r="GV220" s="205"/>
      <c r="GW220" s="205"/>
      <c r="GX220" s="205"/>
      <c r="GY220" s="205"/>
      <c r="GZ220" s="205"/>
      <c r="HA220" s="205"/>
      <c r="HB220" s="205"/>
      <c r="HC220" s="205"/>
      <c r="HD220" s="205"/>
      <c r="HE220" s="205"/>
      <c r="HF220" s="205"/>
      <c r="HG220" s="205"/>
      <c r="HH220" s="205"/>
      <c r="HI220" s="205"/>
      <c r="HJ220" s="205"/>
      <c r="HK220" s="205"/>
      <c r="HL220" s="205"/>
      <c r="HM220" s="205"/>
      <c r="HN220" s="205"/>
      <c r="HO220" s="205"/>
      <c r="HP220" s="205"/>
      <c r="HQ220" s="205"/>
      <c r="HR220" s="205"/>
      <c r="HS220" s="205"/>
      <c r="HT220" s="205"/>
      <c r="HU220" s="205"/>
      <c r="HV220" s="205"/>
      <c r="HW220" s="205"/>
      <c r="HX220" s="205"/>
      <c r="HY220" s="205"/>
      <c r="HZ220" s="205"/>
      <c r="IA220" s="205"/>
      <c r="IB220" s="205"/>
      <c r="IC220" s="205"/>
      <c r="ID220" s="205"/>
      <c r="IE220" s="205"/>
      <c r="IF220" s="205"/>
      <c r="IG220" s="205"/>
      <c r="IH220" s="205"/>
      <c r="II220" s="205"/>
      <c r="IJ220" s="205"/>
      <c r="IK220" s="205"/>
      <c r="IL220" s="205"/>
      <c r="IM220" s="205"/>
      <c r="IN220" s="205"/>
      <c r="IO220" s="205"/>
      <c r="IP220" s="205"/>
      <c r="IQ220" s="205"/>
      <c r="IR220" s="205"/>
      <c r="IS220" s="205"/>
      <c r="IT220" s="205"/>
      <c r="IU220" s="205"/>
      <c r="IV220" s="205"/>
      <c r="IW220" s="205"/>
      <c r="IX220" s="205"/>
    </row>
    <row r="221" spans="1:258" s="203" customFormat="1" x14ac:dyDescent="0.2">
      <c r="A221" s="669"/>
      <c r="B221" s="670"/>
      <c r="C221" s="1358"/>
      <c r="D221" s="672"/>
      <c r="E221" s="1359"/>
      <c r="F221" s="1359"/>
      <c r="G221" s="1360"/>
      <c r="H221" s="1361"/>
      <c r="I221" s="1362"/>
      <c r="J221" s="1362"/>
      <c r="K221" s="1362"/>
      <c r="L221" s="1362"/>
      <c r="M221" s="1362"/>
      <c r="N221" s="1362"/>
      <c r="O221" s="1362"/>
      <c r="P221" s="1362"/>
      <c r="Q221" s="1362"/>
      <c r="R221" s="1363"/>
      <c r="S221" s="1364"/>
      <c r="T221" s="722"/>
      <c r="U221" s="205"/>
      <c r="V221" s="685"/>
      <c r="W221" s="205"/>
      <c r="X221" s="205"/>
      <c r="Y221" s="205"/>
      <c r="Z221" s="205"/>
      <c r="AA221" s="205"/>
      <c r="AB221" s="205"/>
      <c r="AC221" s="205"/>
      <c r="AD221" s="205"/>
      <c r="AE221" s="205"/>
      <c r="AF221" s="205"/>
      <c r="AG221" s="205"/>
      <c r="AH221" s="205"/>
      <c r="AI221" s="205"/>
      <c r="AJ221" s="205"/>
      <c r="AK221" s="205"/>
      <c r="AL221" s="205"/>
      <c r="AM221" s="205"/>
      <c r="AN221" s="205"/>
      <c r="AO221" s="205"/>
      <c r="AP221" s="205"/>
      <c r="AQ221" s="205"/>
      <c r="AR221" s="205"/>
      <c r="AS221" s="205"/>
      <c r="AT221" s="205"/>
      <c r="AU221" s="205"/>
      <c r="AV221" s="205"/>
      <c r="AW221" s="205"/>
      <c r="AX221" s="205"/>
      <c r="AY221" s="205"/>
      <c r="AZ221" s="205"/>
      <c r="BA221" s="205"/>
      <c r="BB221" s="205"/>
      <c r="BC221" s="205"/>
      <c r="BD221" s="205"/>
      <c r="BE221" s="205"/>
      <c r="BF221" s="205"/>
      <c r="BG221" s="205"/>
      <c r="BH221" s="205"/>
      <c r="BI221" s="205"/>
      <c r="BJ221" s="205"/>
      <c r="BK221" s="205"/>
      <c r="BL221" s="205"/>
      <c r="BM221" s="205"/>
      <c r="BN221" s="205"/>
      <c r="BO221" s="205"/>
      <c r="BP221" s="205"/>
      <c r="BQ221" s="205"/>
      <c r="BR221" s="205"/>
      <c r="BS221" s="205"/>
      <c r="BT221" s="205"/>
      <c r="BU221" s="205"/>
      <c r="BV221" s="205"/>
      <c r="BW221" s="205"/>
      <c r="BX221" s="205"/>
      <c r="BY221" s="205"/>
      <c r="BZ221" s="205"/>
      <c r="CA221" s="205"/>
      <c r="CB221" s="205"/>
      <c r="CC221" s="205"/>
      <c r="CD221" s="205"/>
      <c r="CE221" s="205"/>
      <c r="CF221" s="205"/>
      <c r="CG221" s="205"/>
      <c r="CH221" s="205"/>
      <c r="CI221" s="205"/>
      <c r="CJ221" s="205"/>
      <c r="CK221" s="205"/>
      <c r="CL221" s="205"/>
      <c r="CM221" s="205"/>
      <c r="CN221" s="205"/>
      <c r="CO221" s="205"/>
      <c r="CP221" s="205"/>
      <c r="CQ221" s="205"/>
      <c r="CR221" s="205"/>
      <c r="CS221" s="205"/>
      <c r="CT221" s="205"/>
      <c r="CU221" s="205"/>
      <c r="CV221" s="205"/>
      <c r="CW221" s="205"/>
      <c r="CX221" s="205"/>
      <c r="CY221" s="205"/>
      <c r="CZ221" s="205"/>
      <c r="DA221" s="205"/>
      <c r="DB221" s="205"/>
      <c r="DC221" s="205"/>
      <c r="DD221" s="205"/>
      <c r="DE221" s="205"/>
      <c r="DF221" s="205"/>
      <c r="DG221" s="205"/>
      <c r="DH221" s="205"/>
      <c r="DI221" s="205"/>
      <c r="DJ221" s="205"/>
      <c r="DK221" s="205"/>
      <c r="DL221" s="205"/>
      <c r="DM221" s="205"/>
      <c r="DN221" s="205"/>
      <c r="DO221" s="205"/>
      <c r="DP221" s="205"/>
      <c r="DQ221" s="205"/>
      <c r="DR221" s="205"/>
      <c r="DS221" s="205"/>
      <c r="DT221" s="205"/>
      <c r="DU221" s="205"/>
      <c r="DV221" s="205"/>
      <c r="DW221" s="205"/>
      <c r="DX221" s="205"/>
      <c r="DY221" s="205"/>
      <c r="DZ221" s="205"/>
      <c r="EA221" s="205"/>
      <c r="EB221" s="205"/>
      <c r="EC221" s="205"/>
      <c r="ED221" s="205"/>
      <c r="EE221" s="205"/>
      <c r="EF221" s="205"/>
      <c r="EG221" s="205"/>
      <c r="EH221" s="205"/>
      <c r="EI221" s="205"/>
      <c r="EJ221" s="205"/>
      <c r="EK221" s="205"/>
      <c r="EL221" s="205"/>
      <c r="EM221" s="205"/>
      <c r="EN221" s="205"/>
      <c r="EO221" s="205"/>
      <c r="EP221" s="205"/>
      <c r="EQ221" s="205"/>
      <c r="ER221" s="205"/>
      <c r="ES221" s="205"/>
      <c r="ET221" s="205"/>
      <c r="EU221" s="205"/>
      <c r="EV221" s="205"/>
      <c r="EW221" s="205"/>
      <c r="EX221" s="205"/>
      <c r="EY221" s="205"/>
      <c r="EZ221" s="205"/>
      <c r="FA221" s="205"/>
      <c r="FB221" s="205"/>
      <c r="FC221" s="205"/>
      <c r="FD221" s="205"/>
      <c r="FE221" s="205"/>
      <c r="FF221" s="205"/>
      <c r="FG221" s="205"/>
      <c r="FH221" s="205"/>
      <c r="FI221" s="205"/>
      <c r="FJ221" s="205"/>
      <c r="FK221" s="205"/>
      <c r="FL221" s="205"/>
      <c r="FM221" s="205"/>
      <c r="FN221" s="205"/>
      <c r="FO221" s="205"/>
      <c r="FP221" s="205"/>
      <c r="FQ221" s="205"/>
      <c r="FR221" s="205"/>
      <c r="FS221" s="205"/>
      <c r="FT221" s="205"/>
      <c r="FU221" s="205"/>
      <c r="FV221" s="205"/>
      <c r="FW221" s="205"/>
      <c r="FX221" s="205"/>
      <c r="FY221" s="205"/>
      <c r="FZ221" s="205"/>
      <c r="GA221" s="205"/>
      <c r="GB221" s="205"/>
      <c r="GC221" s="205"/>
      <c r="GD221" s="205"/>
      <c r="GE221" s="205"/>
      <c r="GF221" s="205"/>
      <c r="GG221" s="205"/>
      <c r="GH221" s="205"/>
      <c r="GI221" s="205"/>
      <c r="GJ221" s="205"/>
      <c r="GK221" s="205"/>
      <c r="GL221" s="205"/>
      <c r="GM221" s="205"/>
      <c r="GN221" s="205"/>
      <c r="GO221" s="205"/>
      <c r="GP221" s="205"/>
      <c r="GQ221" s="205"/>
      <c r="GR221" s="205"/>
      <c r="GS221" s="205"/>
      <c r="GT221" s="205"/>
      <c r="GU221" s="205"/>
      <c r="GV221" s="205"/>
      <c r="GW221" s="205"/>
      <c r="GX221" s="205"/>
      <c r="GY221" s="205"/>
      <c r="GZ221" s="205"/>
      <c r="HA221" s="205"/>
      <c r="HB221" s="205"/>
      <c r="HC221" s="205"/>
      <c r="HD221" s="205"/>
      <c r="HE221" s="205"/>
      <c r="HF221" s="205"/>
      <c r="HG221" s="205"/>
      <c r="HH221" s="205"/>
      <c r="HI221" s="205"/>
      <c r="HJ221" s="205"/>
      <c r="HK221" s="205"/>
      <c r="HL221" s="205"/>
      <c r="HM221" s="205"/>
      <c r="HN221" s="205"/>
      <c r="HO221" s="205"/>
      <c r="HP221" s="205"/>
      <c r="HQ221" s="205"/>
      <c r="HR221" s="205"/>
      <c r="HS221" s="205"/>
      <c r="HT221" s="205"/>
      <c r="HU221" s="205"/>
      <c r="HV221" s="205"/>
      <c r="HW221" s="205"/>
      <c r="HX221" s="205"/>
      <c r="HY221" s="205"/>
      <c r="HZ221" s="205"/>
      <c r="IA221" s="205"/>
      <c r="IB221" s="205"/>
      <c r="IC221" s="205"/>
      <c r="ID221" s="205"/>
      <c r="IE221" s="205"/>
      <c r="IF221" s="205"/>
      <c r="IG221" s="205"/>
      <c r="IH221" s="205"/>
      <c r="II221" s="205"/>
      <c r="IJ221" s="205"/>
      <c r="IK221" s="205"/>
      <c r="IL221" s="205"/>
      <c r="IM221" s="205"/>
      <c r="IN221" s="205"/>
      <c r="IO221" s="205"/>
      <c r="IP221" s="205"/>
      <c r="IQ221" s="205"/>
      <c r="IR221" s="205"/>
      <c r="IS221" s="205"/>
      <c r="IT221" s="205"/>
      <c r="IU221" s="205"/>
      <c r="IV221" s="205"/>
      <c r="IW221" s="205"/>
      <c r="IX221" s="205"/>
    </row>
    <row r="222" spans="1:258" s="203" customFormat="1" x14ac:dyDescent="0.2">
      <c r="A222" s="669"/>
      <c r="B222" s="670">
        <f>RAB!B79</f>
        <v>16</v>
      </c>
      <c r="C222" s="686" t="str">
        <f>RAB!D79</f>
        <v>Pembesian 1 kg dengan besi polos atau besi ulir</v>
      </c>
      <c r="D222" s="672"/>
      <c r="E222" s="673"/>
      <c r="F222" s="673"/>
      <c r="G222" s="674"/>
      <c r="H222" s="675"/>
      <c r="I222" s="676"/>
      <c r="J222" s="676" t="s">
        <v>1712</v>
      </c>
      <c r="K222" s="676"/>
      <c r="L222" s="676"/>
      <c r="M222" s="676"/>
      <c r="N222" s="676"/>
      <c r="O222" s="676"/>
      <c r="P222" s="676"/>
      <c r="Q222" s="676"/>
      <c r="R222" s="677"/>
      <c r="S222" s="678"/>
      <c r="T222" s="684"/>
      <c r="U222" s="205"/>
      <c r="V222" s="685"/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5"/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5"/>
      <c r="BB222" s="205"/>
      <c r="BC222" s="205"/>
      <c r="BD222" s="205"/>
      <c r="BE222" s="205"/>
      <c r="BF222" s="205"/>
      <c r="BG222" s="205"/>
      <c r="BH222" s="205"/>
      <c r="BI222" s="205"/>
      <c r="BJ222" s="205"/>
      <c r="BK222" s="205"/>
      <c r="BL222" s="205"/>
      <c r="BM222" s="205"/>
      <c r="BN222" s="205"/>
      <c r="BO222" s="205"/>
      <c r="BP222" s="205"/>
      <c r="BQ222" s="205"/>
      <c r="BR222" s="205"/>
      <c r="BS222" s="205"/>
      <c r="BT222" s="205"/>
      <c r="BU222" s="205"/>
      <c r="BV222" s="205"/>
      <c r="BW222" s="205"/>
      <c r="BX222" s="205"/>
      <c r="BY222" s="205"/>
      <c r="BZ222" s="205"/>
      <c r="CA222" s="205"/>
      <c r="CB222" s="205"/>
      <c r="CC222" s="205"/>
      <c r="CD222" s="205"/>
      <c r="CE222" s="205"/>
      <c r="CF222" s="205"/>
      <c r="CG222" s="205"/>
      <c r="CH222" s="205"/>
      <c r="CI222" s="205"/>
      <c r="CJ222" s="205"/>
      <c r="CK222" s="205"/>
      <c r="CL222" s="205"/>
      <c r="CM222" s="205"/>
      <c r="CN222" s="205"/>
      <c r="CO222" s="205"/>
      <c r="CP222" s="205"/>
      <c r="CQ222" s="205"/>
      <c r="CR222" s="205"/>
      <c r="CS222" s="205"/>
      <c r="CT222" s="205"/>
      <c r="CU222" s="205"/>
      <c r="CV222" s="205"/>
      <c r="CW222" s="205"/>
      <c r="CX222" s="205"/>
      <c r="CY222" s="205"/>
      <c r="CZ222" s="205"/>
      <c r="DA222" s="205"/>
      <c r="DB222" s="205"/>
      <c r="DC222" s="205"/>
      <c r="DD222" s="205"/>
      <c r="DE222" s="205"/>
      <c r="DF222" s="205"/>
      <c r="DG222" s="205"/>
      <c r="DH222" s="205"/>
      <c r="DI222" s="205"/>
      <c r="DJ222" s="205"/>
      <c r="DK222" s="205"/>
      <c r="DL222" s="205"/>
      <c r="DM222" s="205"/>
      <c r="DN222" s="205"/>
      <c r="DO222" s="205"/>
      <c r="DP222" s="205"/>
      <c r="DQ222" s="205"/>
      <c r="DR222" s="205"/>
      <c r="DS222" s="205"/>
      <c r="DT222" s="205"/>
      <c r="DU222" s="205"/>
      <c r="DV222" s="205"/>
      <c r="DW222" s="205"/>
      <c r="DX222" s="205"/>
      <c r="DY222" s="205"/>
      <c r="DZ222" s="205"/>
      <c r="EA222" s="205"/>
      <c r="EB222" s="205"/>
      <c r="EC222" s="205"/>
      <c r="ED222" s="205"/>
      <c r="EE222" s="205"/>
      <c r="EF222" s="205"/>
      <c r="EG222" s="205"/>
      <c r="EH222" s="205"/>
      <c r="EI222" s="205"/>
      <c r="EJ222" s="205"/>
      <c r="EK222" s="205"/>
      <c r="EL222" s="205"/>
      <c r="EM222" s="205"/>
      <c r="EN222" s="205"/>
      <c r="EO222" s="205"/>
      <c r="EP222" s="205"/>
      <c r="EQ222" s="205"/>
      <c r="ER222" s="205"/>
      <c r="ES222" s="205"/>
      <c r="ET222" s="205"/>
      <c r="EU222" s="205"/>
      <c r="EV222" s="205"/>
      <c r="EW222" s="205"/>
      <c r="EX222" s="205"/>
      <c r="EY222" s="205"/>
      <c r="EZ222" s="205"/>
      <c r="FA222" s="205"/>
      <c r="FB222" s="205"/>
      <c r="FC222" s="205"/>
      <c r="FD222" s="205"/>
      <c r="FE222" s="205"/>
      <c r="FF222" s="205"/>
      <c r="FG222" s="205"/>
      <c r="FH222" s="205"/>
      <c r="FI222" s="205"/>
      <c r="FJ222" s="205"/>
      <c r="FK222" s="205"/>
      <c r="FL222" s="205"/>
      <c r="FM222" s="205"/>
      <c r="FN222" s="205"/>
      <c r="FO222" s="205"/>
      <c r="FP222" s="205"/>
      <c r="FQ222" s="205"/>
      <c r="FR222" s="205"/>
      <c r="FS222" s="205"/>
      <c r="FT222" s="205"/>
      <c r="FU222" s="205"/>
      <c r="FV222" s="205"/>
      <c r="FW222" s="205"/>
      <c r="FX222" s="205"/>
      <c r="FY222" s="205"/>
      <c r="FZ222" s="205"/>
      <c r="GA222" s="205"/>
      <c r="GB222" s="205"/>
      <c r="GC222" s="205"/>
      <c r="GD222" s="205"/>
      <c r="GE222" s="205"/>
      <c r="GF222" s="205"/>
      <c r="GG222" s="205"/>
      <c r="GH222" s="205"/>
      <c r="GI222" s="205"/>
      <c r="GJ222" s="205"/>
      <c r="GK222" s="205"/>
      <c r="GL222" s="205"/>
      <c r="GM222" s="205"/>
      <c r="GN222" s="205"/>
      <c r="GO222" s="205"/>
      <c r="GP222" s="205"/>
      <c r="GQ222" s="205"/>
      <c r="GR222" s="205"/>
      <c r="GS222" s="205"/>
      <c r="GT222" s="205"/>
      <c r="GU222" s="205"/>
      <c r="GV222" s="205"/>
      <c r="GW222" s="205"/>
      <c r="GX222" s="205"/>
      <c r="GY222" s="205"/>
      <c r="GZ222" s="205"/>
      <c r="HA222" s="205"/>
      <c r="HB222" s="205"/>
      <c r="HC222" s="205"/>
      <c r="HD222" s="205"/>
      <c r="HE222" s="205"/>
      <c r="HF222" s="205"/>
      <c r="HG222" s="205"/>
      <c r="HH222" s="205"/>
      <c r="HI222" s="205"/>
      <c r="HJ222" s="205"/>
      <c r="HK222" s="205"/>
      <c r="HL222" s="205"/>
      <c r="HM222" s="205"/>
      <c r="HN222" s="205"/>
      <c r="HO222" s="205"/>
      <c r="HP222" s="205"/>
      <c r="HQ222" s="205"/>
      <c r="HR222" s="205"/>
      <c r="HS222" s="205"/>
      <c r="HT222" s="205"/>
      <c r="HU222" s="205"/>
      <c r="HV222" s="205"/>
      <c r="HW222" s="205"/>
      <c r="HX222" s="205"/>
      <c r="HY222" s="205"/>
      <c r="HZ222" s="205"/>
      <c r="IA222" s="205"/>
      <c r="IB222" s="205"/>
      <c r="IC222" s="205"/>
      <c r="ID222" s="205"/>
      <c r="IE222" s="205"/>
      <c r="IF222" s="205"/>
      <c r="IG222" s="205"/>
      <c r="IH222" s="205"/>
      <c r="II222" s="205"/>
      <c r="IJ222" s="205"/>
      <c r="IK222" s="205"/>
      <c r="IL222" s="205"/>
      <c r="IM222" s="205"/>
      <c r="IN222" s="205"/>
      <c r="IO222" s="205"/>
      <c r="IP222" s="205"/>
      <c r="IQ222" s="205"/>
      <c r="IR222" s="205"/>
      <c r="IS222" s="205"/>
      <c r="IT222" s="205"/>
      <c r="IU222" s="205"/>
      <c r="IV222" s="205"/>
      <c r="IW222" s="205"/>
      <c r="IX222" s="205"/>
    </row>
    <row r="223" spans="1:258" s="203" customFormat="1" x14ac:dyDescent="0.2">
      <c r="A223" s="669"/>
      <c r="B223" s="670"/>
      <c r="C223" s="1358"/>
      <c r="D223" s="672"/>
      <c r="E223" s="1359"/>
      <c r="F223" s="1359"/>
      <c r="G223" s="1360" t="s">
        <v>1663</v>
      </c>
      <c r="H223" s="1361">
        <f>H220</f>
        <v>4</v>
      </c>
      <c r="I223" s="1362" t="s">
        <v>424</v>
      </c>
      <c r="J223" s="1362">
        <v>4</v>
      </c>
      <c r="K223" s="1362" t="s">
        <v>424</v>
      </c>
      <c r="L223" s="1375">
        <f t="shared" ref="L223:L224" si="102">Z223</f>
        <v>0.61622500000000013</v>
      </c>
      <c r="M223" s="1362" t="s">
        <v>424</v>
      </c>
      <c r="N223" s="1362">
        <f>N220</f>
        <v>51</v>
      </c>
      <c r="O223" s="1362"/>
      <c r="P223" s="1362"/>
      <c r="Q223" s="1362" t="s">
        <v>696</v>
      </c>
      <c r="R223" s="1363">
        <f>H223*J223*L223*N223</f>
        <v>502.83960000000013</v>
      </c>
      <c r="S223" s="1364"/>
      <c r="T223" s="722"/>
      <c r="U223" s="205"/>
      <c r="V223" s="687" t="s">
        <v>1556</v>
      </c>
      <c r="W223" s="688">
        <v>0.01</v>
      </c>
      <c r="X223" s="689">
        <v>7850</v>
      </c>
      <c r="Y223" s="690">
        <f t="shared" ref="Y223:Y224" si="103">0.25*3.14*(W223*W223)</f>
        <v>7.8500000000000011E-5</v>
      </c>
      <c r="Z223" s="691">
        <f t="shared" ref="Z223:Z224" si="104">X223*Y223*AA223</f>
        <v>0.61622500000000013</v>
      </c>
      <c r="AA223" s="689">
        <v>1</v>
      </c>
      <c r="AB223" s="692">
        <f t="shared" ref="AB223:AB224" si="105">Z223*12</f>
        <v>7.394700000000002</v>
      </c>
      <c r="AC223" s="693" t="s">
        <v>1554</v>
      </c>
      <c r="AD223" s="205"/>
      <c r="AE223" s="205"/>
      <c r="AF223" s="205"/>
      <c r="AG223" s="205"/>
      <c r="AH223" s="205"/>
      <c r="AI223" s="205"/>
      <c r="AJ223" s="205"/>
      <c r="AK223" s="205"/>
      <c r="AL223" s="205"/>
      <c r="AM223" s="205"/>
      <c r="AN223" s="205"/>
      <c r="AO223" s="205"/>
      <c r="AP223" s="205"/>
      <c r="AQ223" s="205"/>
      <c r="AR223" s="205"/>
      <c r="AS223" s="205"/>
      <c r="AT223" s="205"/>
      <c r="AU223" s="205"/>
      <c r="AV223" s="205"/>
      <c r="AW223" s="205"/>
      <c r="AX223" s="205"/>
      <c r="AY223" s="205"/>
      <c r="AZ223" s="205"/>
      <c r="BA223" s="205"/>
      <c r="BB223" s="205"/>
      <c r="BC223" s="205"/>
      <c r="BD223" s="205"/>
      <c r="BE223" s="205"/>
      <c r="BF223" s="205"/>
      <c r="BG223" s="205"/>
      <c r="BH223" s="205"/>
      <c r="BI223" s="205"/>
      <c r="BJ223" s="205"/>
      <c r="BK223" s="205"/>
      <c r="BL223" s="205"/>
      <c r="BM223" s="205"/>
      <c r="BN223" s="205"/>
      <c r="BO223" s="205"/>
      <c r="BP223" s="205"/>
      <c r="BQ223" s="205"/>
      <c r="BR223" s="205"/>
      <c r="BS223" s="205"/>
      <c r="BT223" s="205"/>
      <c r="BU223" s="205"/>
      <c r="BV223" s="205"/>
      <c r="BW223" s="205"/>
      <c r="BX223" s="205"/>
      <c r="BY223" s="205"/>
      <c r="BZ223" s="205"/>
      <c r="CA223" s="205"/>
      <c r="CB223" s="205"/>
      <c r="CC223" s="205"/>
      <c r="CD223" s="205"/>
      <c r="CE223" s="205"/>
      <c r="CF223" s="205"/>
      <c r="CG223" s="205"/>
      <c r="CH223" s="205"/>
      <c r="CI223" s="205"/>
      <c r="CJ223" s="205"/>
      <c r="CK223" s="205"/>
      <c r="CL223" s="205"/>
      <c r="CM223" s="205"/>
      <c r="CN223" s="205"/>
      <c r="CO223" s="205"/>
      <c r="CP223" s="205"/>
      <c r="CQ223" s="205"/>
      <c r="CR223" s="205"/>
      <c r="CS223" s="205"/>
      <c r="CT223" s="205"/>
      <c r="CU223" s="205"/>
      <c r="CV223" s="205"/>
      <c r="CW223" s="205"/>
      <c r="CX223" s="205"/>
      <c r="CY223" s="205"/>
      <c r="CZ223" s="205"/>
      <c r="DA223" s="205"/>
      <c r="DB223" s="205"/>
      <c r="DC223" s="205"/>
      <c r="DD223" s="205"/>
      <c r="DE223" s="205"/>
      <c r="DF223" s="205"/>
      <c r="DG223" s="205"/>
      <c r="DH223" s="205"/>
      <c r="DI223" s="205"/>
      <c r="DJ223" s="205"/>
      <c r="DK223" s="205"/>
      <c r="DL223" s="205"/>
      <c r="DM223" s="205"/>
      <c r="DN223" s="205"/>
      <c r="DO223" s="205"/>
      <c r="DP223" s="205"/>
      <c r="DQ223" s="205"/>
      <c r="DR223" s="205"/>
      <c r="DS223" s="205"/>
      <c r="DT223" s="205"/>
      <c r="DU223" s="205"/>
      <c r="DV223" s="205"/>
      <c r="DW223" s="205"/>
      <c r="DX223" s="205"/>
      <c r="DY223" s="205"/>
      <c r="DZ223" s="205"/>
      <c r="EA223" s="205"/>
      <c r="EB223" s="205"/>
      <c r="EC223" s="205"/>
      <c r="ED223" s="205"/>
      <c r="EE223" s="205"/>
      <c r="EF223" s="205"/>
      <c r="EG223" s="205"/>
      <c r="EH223" s="205"/>
      <c r="EI223" s="205"/>
      <c r="EJ223" s="205"/>
      <c r="EK223" s="205"/>
      <c r="EL223" s="205"/>
      <c r="EM223" s="205"/>
      <c r="EN223" s="205"/>
      <c r="EO223" s="205"/>
      <c r="EP223" s="205"/>
      <c r="EQ223" s="205"/>
      <c r="ER223" s="205"/>
      <c r="ES223" s="205"/>
      <c r="ET223" s="205"/>
      <c r="EU223" s="205"/>
      <c r="EV223" s="205"/>
      <c r="EW223" s="205"/>
      <c r="EX223" s="205"/>
      <c r="EY223" s="205"/>
      <c r="EZ223" s="205"/>
      <c r="FA223" s="205"/>
      <c r="FB223" s="205"/>
      <c r="FC223" s="205"/>
      <c r="FD223" s="205"/>
      <c r="FE223" s="205"/>
      <c r="FF223" s="205"/>
      <c r="FG223" s="205"/>
      <c r="FH223" s="205"/>
      <c r="FI223" s="205"/>
      <c r="FJ223" s="205"/>
      <c r="FK223" s="205"/>
      <c r="FL223" s="205"/>
      <c r="FM223" s="205"/>
      <c r="FN223" s="205"/>
      <c r="FO223" s="205"/>
      <c r="FP223" s="205"/>
      <c r="FQ223" s="205"/>
      <c r="FR223" s="205"/>
      <c r="FS223" s="205"/>
      <c r="FT223" s="205"/>
      <c r="FU223" s="205"/>
      <c r="FV223" s="205"/>
      <c r="FW223" s="205"/>
      <c r="FX223" s="205"/>
      <c r="FY223" s="205"/>
      <c r="FZ223" s="205"/>
      <c r="GA223" s="205"/>
      <c r="GB223" s="205"/>
      <c r="GC223" s="205"/>
      <c r="GD223" s="205"/>
      <c r="GE223" s="205"/>
      <c r="GF223" s="205"/>
      <c r="GG223" s="205"/>
      <c r="GH223" s="205"/>
      <c r="GI223" s="205"/>
      <c r="GJ223" s="205"/>
      <c r="GK223" s="205"/>
      <c r="GL223" s="205"/>
      <c r="GM223" s="205"/>
      <c r="GN223" s="205"/>
      <c r="GO223" s="205"/>
      <c r="GP223" s="205"/>
      <c r="GQ223" s="205"/>
      <c r="GR223" s="205"/>
      <c r="GS223" s="205"/>
      <c r="GT223" s="205"/>
      <c r="GU223" s="205"/>
      <c r="GV223" s="205"/>
      <c r="GW223" s="205"/>
      <c r="GX223" s="205"/>
      <c r="GY223" s="205"/>
      <c r="GZ223" s="205"/>
      <c r="HA223" s="205"/>
      <c r="HB223" s="205"/>
      <c r="HC223" s="205"/>
      <c r="HD223" s="205"/>
      <c r="HE223" s="205"/>
      <c r="HF223" s="205"/>
      <c r="HG223" s="205"/>
      <c r="HH223" s="205"/>
      <c r="HI223" s="205"/>
      <c r="HJ223" s="205"/>
      <c r="HK223" s="205"/>
      <c r="HL223" s="205"/>
      <c r="HM223" s="205"/>
      <c r="HN223" s="205"/>
      <c r="HO223" s="205"/>
      <c r="HP223" s="205"/>
      <c r="HQ223" s="205"/>
      <c r="HR223" s="205"/>
      <c r="HS223" s="205"/>
      <c r="HT223" s="205"/>
      <c r="HU223" s="205"/>
      <c r="HV223" s="205"/>
      <c r="HW223" s="205"/>
      <c r="HX223" s="205"/>
      <c r="HY223" s="205"/>
      <c r="HZ223" s="205"/>
      <c r="IA223" s="205"/>
      <c r="IB223" s="205"/>
      <c r="IC223" s="205"/>
      <c r="ID223" s="205"/>
      <c r="IE223" s="205"/>
      <c r="IF223" s="205"/>
      <c r="IG223" s="205"/>
      <c r="IH223" s="205"/>
      <c r="II223" s="205"/>
      <c r="IJ223" s="205"/>
      <c r="IK223" s="205"/>
      <c r="IL223" s="205"/>
      <c r="IM223" s="205"/>
      <c r="IN223" s="205"/>
      <c r="IO223" s="205"/>
      <c r="IP223" s="205"/>
      <c r="IQ223" s="205"/>
      <c r="IR223" s="205"/>
      <c r="IS223" s="205"/>
      <c r="IT223" s="205"/>
      <c r="IU223" s="205"/>
      <c r="IV223" s="205"/>
      <c r="IW223" s="205"/>
      <c r="IX223" s="205"/>
    </row>
    <row r="224" spans="1:258" s="203" customFormat="1" x14ac:dyDescent="0.2">
      <c r="A224" s="669"/>
      <c r="B224" s="670"/>
      <c r="C224" s="1358"/>
      <c r="D224" s="672"/>
      <c r="E224" s="1359"/>
      <c r="F224" s="1359"/>
      <c r="G224" s="1360" t="s">
        <v>1654</v>
      </c>
      <c r="H224" s="1361">
        <f>0.09+0.09+0.09+0.09+0.08</f>
        <v>0.44</v>
      </c>
      <c r="I224" s="1362" t="s">
        <v>424</v>
      </c>
      <c r="J224" s="1362">
        <f>H223/0.2</f>
        <v>20</v>
      </c>
      <c r="K224" s="1362" t="s">
        <v>424</v>
      </c>
      <c r="L224" s="1375">
        <f t="shared" si="102"/>
        <v>0.39438400000000001</v>
      </c>
      <c r="M224" s="1362" t="s">
        <v>424</v>
      </c>
      <c r="N224" s="1362">
        <f>N223</f>
        <v>51</v>
      </c>
      <c r="O224" s="1362"/>
      <c r="P224" s="1362"/>
      <c r="Q224" s="1362" t="s">
        <v>696</v>
      </c>
      <c r="R224" s="1363">
        <f>H224*J224*L224*N224</f>
        <v>176.99953920000002</v>
      </c>
      <c r="S224" s="1364"/>
      <c r="T224" s="722"/>
      <c r="U224" s="205"/>
      <c r="V224" s="687" t="s">
        <v>1555</v>
      </c>
      <c r="W224" s="688">
        <v>8.0000000000000002E-3</v>
      </c>
      <c r="X224" s="689">
        <v>7850</v>
      </c>
      <c r="Y224" s="690">
        <f t="shared" si="103"/>
        <v>5.024E-5</v>
      </c>
      <c r="Z224" s="691">
        <f t="shared" si="104"/>
        <v>0.39438400000000001</v>
      </c>
      <c r="AA224" s="689">
        <v>1</v>
      </c>
      <c r="AB224" s="692">
        <f t="shared" si="105"/>
        <v>4.7326079999999999</v>
      </c>
      <c r="AC224" s="693" t="s">
        <v>1554</v>
      </c>
      <c r="AD224" s="205"/>
      <c r="AE224" s="205"/>
      <c r="AF224" s="205"/>
      <c r="AG224" s="205"/>
      <c r="AH224" s="205"/>
      <c r="AI224" s="205"/>
      <c r="AJ224" s="205"/>
      <c r="AK224" s="205"/>
      <c r="AL224" s="205"/>
      <c r="AM224" s="205"/>
      <c r="AN224" s="205"/>
      <c r="AO224" s="205"/>
      <c r="AP224" s="205"/>
      <c r="AQ224" s="205"/>
      <c r="AR224" s="205"/>
      <c r="AS224" s="205"/>
      <c r="AT224" s="205"/>
      <c r="AU224" s="205"/>
      <c r="AV224" s="205"/>
      <c r="AW224" s="205"/>
      <c r="AX224" s="205"/>
      <c r="AY224" s="205"/>
      <c r="AZ224" s="205"/>
      <c r="BA224" s="205"/>
      <c r="BB224" s="205"/>
      <c r="BC224" s="205"/>
      <c r="BD224" s="205"/>
      <c r="BE224" s="205"/>
      <c r="BF224" s="205"/>
      <c r="BG224" s="205"/>
      <c r="BH224" s="205"/>
      <c r="BI224" s="205"/>
      <c r="BJ224" s="205"/>
      <c r="BK224" s="205"/>
      <c r="BL224" s="205"/>
      <c r="BM224" s="205"/>
      <c r="BN224" s="205"/>
      <c r="BO224" s="205"/>
      <c r="BP224" s="205"/>
      <c r="BQ224" s="205"/>
      <c r="BR224" s="205"/>
      <c r="BS224" s="205"/>
      <c r="BT224" s="205"/>
      <c r="BU224" s="205"/>
      <c r="BV224" s="205"/>
      <c r="BW224" s="205"/>
      <c r="BX224" s="205"/>
      <c r="BY224" s="205"/>
      <c r="BZ224" s="205"/>
      <c r="CA224" s="205"/>
      <c r="CB224" s="205"/>
      <c r="CC224" s="205"/>
      <c r="CD224" s="205"/>
      <c r="CE224" s="205"/>
      <c r="CF224" s="205"/>
      <c r="CG224" s="205"/>
      <c r="CH224" s="205"/>
      <c r="CI224" s="205"/>
      <c r="CJ224" s="205"/>
      <c r="CK224" s="205"/>
      <c r="CL224" s="205"/>
      <c r="CM224" s="205"/>
      <c r="CN224" s="205"/>
      <c r="CO224" s="205"/>
      <c r="CP224" s="205"/>
      <c r="CQ224" s="205"/>
      <c r="CR224" s="205"/>
      <c r="CS224" s="205"/>
      <c r="CT224" s="205"/>
      <c r="CU224" s="205"/>
      <c r="CV224" s="205"/>
      <c r="CW224" s="205"/>
      <c r="CX224" s="205"/>
      <c r="CY224" s="205"/>
      <c r="CZ224" s="205"/>
      <c r="DA224" s="205"/>
      <c r="DB224" s="205"/>
      <c r="DC224" s="205"/>
      <c r="DD224" s="205"/>
      <c r="DE224" s="205"/>
      <c r="DF224" s="205"/>
      <c r="DG224" s="205"/>
      <c r="DH224" s="205"/>
      <c r="DI224" s="205"/>
      <c r="DJ224" s="205"/>
      <c r="DK224" s="205"/>
      <c r="DL224" s="205"/>
      <c r="DM224" s="205"/>
      <c r="DN224" s="205"/>
      <c r="DO224" s="205"/>
      <c r="DP224" s="205"/>
      <c r="DQ224" s="205"/>
      <c r="DR224" s="205"/>
      <c r="DS224" s="205"/>
      <c r="DT224" s="205"/>
      <c r="DU224" s="205"/>
      <c r="DV224" s="205"/>
      <c r="DW224" s="205"/>
      <c r="DX224" s="205"/>
      <c r="DY224" s="205"/>
      <c r="DZ224" s="205"/>
      <c r="EA224" s="205"/>
      <c r="EB224" s="205"/>
      <c r="EC224" s="205"/>
      <c r="ED224" s="205"/>
      <c r="EE224" s="205"/>
      <c r="EF224" s="205"/>
      <c r="EG224" s="205"/>
      <c r="EH224" s="205"/>
      <c r="EI224" s="205"/>
      <c r="EJ224" s="205"/>
      <c r="EK224" s="205"/>
      <c r="EL224" s="205"/>
      <c r="EM224" s="205"/>
      <c r="EN224" s="205"/>
      <c r="EO224" s="205"/>
      <c r="EP224" s="205"/>
      <c r="EQ224" s="205"/>
      <c r="ER224" s="205"/>
      <c r="ES224" s="205"/>
      <c r="ET224" s="205"/>
      <c r="EU224" s="205"/>
      <c r="EV224" s="205"/>
      <c r="EW224" s="205"/>
      <c r="EX224" s="205"/>
      <c r="EY224" s="205"/>
      <c r="EZ224" s="205"/>
      <c r="FA224" s="205"/>
      <c r="FB224" s="205"/>
      <c r="FC224" s="205"/>
      <c r="FD224" s="205"/>
      <c r="FE224" s="205"/>
      <c r="FF224" s="205"/>
      <c r="FG224" s="205"/>
      <c r="FH224" s="205"/>
      <c r="FI224" s="205"/>
      <c r="FJ224" s="205"/>
      <c r="FK224" s="205"/>
      <c r="FL224" s="205"/>
      <c r="FM224" s="205"/>
      <c r="FN224" s="205"/>
      <c r="FO224" s="205"/>
      <c r="FP224" s="205"/>
      <c r="FQ224" s="205"/>
      <c r="FR224" s="205"/>
      <c r="FS224" s="205"/>
      <c r="FT224" s="205"/>
      <c r="FU224" s="205"/>
      <c r="FV224" s="205"/>
      <c r="FW224" s="205"/>
      <c r="FX224" s="205"/>
      <c r="FY224" s="205"/>
      <c r="FZ224" s="205"/>
      <c r="GA224" s="205"/>
      <c r="GB224" s="205"/>
      <c r="GC224" s="205"/>
      <c r="GD224" s="205"/>
      <c r="GE224" s="205"/>
      <c r="GF224" s="205"/>
      <c r="GG224" s="205"/>
      <c r="GH224" s="205"/>
      <c r="GI224" s="205"/>
      <c r="GJ224" s="205"/>
      <c r="GK224" s="205"/>
      <c r="GL224" s="205"/>
      <c r="GM224" s="205"/>
      <c r="GN224" s="205"/>
      <c r="GO224" s="205"/>
      <c r="GP224" s="205"/>
      <c r="GQ224" s="205"/>
      <c r="GR224" s="205"/>
      <c r="GS224" s="205"/>
      <c r="GT224" s="205"/>
      <c r="GU224" s="205"/>
      <c r="GV224" s="205"/>
      <c r="GW224" s="205"/>
      <c r="GX224" s="205"/>
      <c r="GY224" s="205"/>
      <c r="GZ224" s="205"/>
      <c r="HA224" s="205"/>
      <c r="HB224" s="205"/>
      <c r="HC224" s="205"/>
      <c r="HD224" s="205"/>
      <c r="HE224" s="205"/>
      <c r="HF224" s="205"/>
      <c r="HG224" s="205"/>
      <c r="HH224" s="205"/>
      <c r="HI224" s="205"/>
      <c r="HJ224" s="205"/>
      <c r="HK224" s="205"/>
      <c r="HL224" s="205"/>
      <c r="HM224" s="205"/>
      <c r="HN224" s="205"/>
      <c r="HO224" s="205"/>
      <c r="HP224" s="205"/>
      <c r="HQ224" s="205"/>
      <c r="HR224" s="205"/>
      <c r="HS224" s="205"/>
      <c r="HT224" s="205"/>
      <c r="HU224" s="205"/>
      <c r="HV224" s="205"/>
      <c r="HW224" s="205"/>
      <c r="HX224" s="205"/>
      <c r="HY224" s="205"/>
      <c r="HZ224" s="205"/>
      <c r="IA224" s="205"/>
      <c r="IB224" s="205"/>
      <c r="IC224" s="205"/>
      <c r="ID224" s="205"/>
      <c r="IE224" s="205"/>
      <c r="IF224" s="205"/>
      <c r="IG224" s="205"/>
      <c r="IH224" s="205"/>
      <c r="II224" s="205"/>
      <c r="IJ224" s="205"/>
      <c r="IK224" s="205"/>
      <c r="IL224" s="205"/>
      <c r="IM224" s="205"/>
      <c r="IN224" s="205"/>
      <c r="IO224" s="205"/>
      <c r="IP224" s="205"/>
      <c r="IQ224" s="205"/>
      <c r="IR224" s="205"/>
      <c r="IS224" s="205"/>
      <c r="IT224" s="205"/>
      <c r="IU224" s="205"/>
      <c r="IV224" s="205"/>
      <c r="IW224" s="205"/>
      <c r="IX224" s="205"/>
    </row>
    <row r="225" spans="1:258" s="203" customFormat="1" x14ac:dyDescent="0.2">
      <c r="A225" s="669"/>
      <c r="B225" s="670"/>
      <c r="C225" s="1358"/>
      <c r="D225" s="672"/>
      <c r="E225" s="1359"/>
      <c r="F225" s="1359"/>
      <c r="G225" s="1360"/>
      <c r="H225" s="1361"/>
      <c r="I225" s="1362"/>
      <c r="J225" s="1362"/>
      <c r="K225" s="1362"/>
      <c r="L225" s="1362"/>
      <c r="M225" s="1362"/>
      <c r="N225" s="1362"/>
      <c r="O225" s="1362"/>
      <c r="P225" s="1362"/>
      <c r="Q225" s="1362"/>
      <c r="R225" s="1363">
        <f>SUM(R223:R224)</f>
        <v>679.83913920000009</v>
      </c>
      <c r="S225" s="1364">
        <f>R225</f>
        <v>679.83913920000009</v>
      </c>
      <c r="T225" s="722" t="s">
        <v>298</v>
      </c>
      <c r="U225" s="205"/>
      <c r="V225" s="685"/>
      <c r="W225" s="205"/>
      <c r="X225" s="205"/>
      <c r="Y225" s="205"/>
      <c r="Z225" s="205"/>
      <c r="AA225" s="205"/>
      <c r="AB225" s="205"/>
      <c r="AC225" s="205"/>
      <c r="AD225" s="205"/>
      <c r="AE225" s="205"/>
      <c r="AF225" s="205"/>
      <c r="AG225" s="205"/>
      <c r="AH225" s="205"/>
      <c r="AI225" s="205"/>
      <c r="AJ225" s="205"/>
      <c r="AK225" s="205"/>
      <c r="AL225" s="205"/>
      <c r="AM225" s="205"/>
      <c r="AN225" s="205"/>
      <c r="AO225" s="205"/>
      <c r="AP225" s="205"/>
      <c r="AQ225" s="205"/>
      <c r="AR225" s="205"/>
      <c r="AS225" s="205"/>
      <c r="AT225" s="205"/>
      <c r="AU225" s="205"/>
      <c r="AV225" s="205"/>
      <c r="AW225" s="205"/>
      <c r="AX225" s="205"/>
      <c r="AY225" s="205"/>
      <c r="AZ225" s="205"/>
      <c r="BA225" s="205"/>
      <c r="BB225" s="205"/>
      <c r="BC225" s="205"/>
      <c r="BD225" s="205"/>
      <c r="BE225" s="205"/>
      <c r="BF225" s="205"/>
      <c r="BG225" s="205"/>
      <c r="BH225" s="205"/>
      <c r="BI225" s="205"/>
      <c r="BJ225" s="205"/>
      <c r="BK225" s="205"/>
      <c r="BL225" s="205"/>
      <c r="BM225" s="205"/>
      <c r="BN225" s="205"/>
      <c r="BO225" s="205"/>
      <c r="BP225" s="205"/>
      <c r="BQ225" s="205"/>
      <c r="BR225" s="205"/>
      <c r="BS225" s="205"/>
      <c r="BT225" s="205"/>
      <c r="BU225" s="205"/>
      <c r="BV225" s="205"/>
      <c r="BW225" s="205"/>
      <c r="BX225" s="205"/>
      <c r="BY225" s="205"/>
      <c r="BZ225" s="205"/>
      <c r="CA225" s="205"/>
      <c r="CB225" s="205"/>
      <c r="CC225" s="205"/>
      <c r="CD225" s="205"/>
      <c r="CE225" s="205"/>
      <c r="CF225" s="205"/>
      <c r="CG225" s="205"/>
      <c r="CH225" s="205"/>
      <c r="CI225" s="205"/>
      <c r="CJ225" s="205"/>
      <c r="CK225" s="205"/>
      <c r="CL225" s="205"/>
      <c r="CM225" s="205"/>
      <c r="CN225" s="205"/>
      <c r="CO225" s="205"/>
      <c r="CP225" s="205"/>
      <c r="CQ225" s="205"/>
      <c r="CR225" s="205"/>
      <c r="CS225" s="205"/>
      <c r="CT225" s="205"/>
      <c r="CU225" s="205"/>
      <c r="CV225" s="205"/>
      <c r="CW225" s="205"/>
      <c r="CX225" s="205"/>
      <c r="CY225" s="205"/>
      <c r="CZ225" s="205"/>
      <c r="DA225" s="205"/>
      <c r="DB225" s="205"/>
      <c r="DC225" s="205"/>
      <c r="DD225" s="205"/>
      <c r="DE225" s="205"/>
      <c r="DF225" s="205"/>
      <c r="DG225" s="205"/>
      <c r="DH225" s="205"/>
      <c r="DI225" s="205"/>
      <c r="DJ225" s="205"/>
      <c r="DK225" s="205"/>
      <c r="DL225" s="205"/>
      <c r="DM225" s="205"/>
      <c r="DN225" s="205"/>
      <c r="DO225" s="205"/>
      <c r="DP225" s="205"/>
      <c r="DQ225" s="205"/>
      <c r="DR225" s="205"/>
      <c r="DS225" s="205"/>
      <c r="DT225" s="205"/>
      <c r="DU225" s="205"/>
      <c r="DV225" s="205"/>
      <c r="DW225" s="205"/>
      <c r="DX225" s="205"/>
      <c r="DY225" s="205"/>
      <c r="DZ225" s="205"/>
      <c r="EA225" s="205"/>
      <c r="EB225" s="205"/>
      <c r="EC225" s="205"/>
      <c r="ED225" s="205"/>
      <c r="EE225" s="205"/>
      <c r="EF225" s="205"/>
      <c r="EG225" s="205"/>
      <c r="EH225" s="205"/>
      <c r="EI225" s="205"/>
      <c r="EJ225" s="205"/>
      <c r="EK225" s="205"/>
      <c r="EL225" s="205"/>
      <c r="EM225" s="205"/>
      <c r="EN225" s="205"/>
      <c r="EO225" s="205"/>
      <c r="EP225" s="205"/>
      <c r="EQ225" s="205"/>
      <c r="ER225" s="205"/>
      <c r="ES225" s="205"/>
      <c r="ET225" s="205"/>
      <c r="EU225" s="205"/>
      <c r="EV225" s="205"/>
      <c r="EW225" s="205"/>
      <c r="EX225" s="205"/>
      <c r="EY225" s="205"/>
      <c r="EZ225" s="205"/>
      <c r="FA225" s="205"/>
      <c r="FB225" s="205"/>
      <c r="FC225" s="205"/>
      <c r="FD225" s="205"/>
      <c r="FE225" s="205"/>
      <c r="FF225" s="205"/>
      <c r="FG225" s="205"/>
      <c r="FH225" s="205"/>
      <c r="FI225" s="205"/>
      <c r="FJ225" s="205"/>
      <c r="FK225" s="205"/>
      <c r="FL225" s="205"/>
      <c r="FM225" s="205"/>
      <c r="FN225" s="205"/>
      <c r="FO225" s="205"/>
      <c r="FP225" s="205"/>
      <c r="FQ225" s="205"/>
      <c r="FR225" s="205"/>
      <c r="FS225" s="205"/>
      <c r="FT225" s="205"/>
      <c r="FU225" s="205"/>
      <c r="FV225" s="205"/>
      <c r="FW225" s="205"/>
      <c r="FX225" s="205"/>
      <c r="FY225" s="205"/>
      <c r="FZ225" s="205"/>
      <c r="GA225" s="205"/>
      <c r="GB225" s="205"/>
      <c r="GC225" s="205"/>
      <c r="GD225" s="205"/>
      <c r="GE225" s="205"/>
      <c r="GF225" s="205"/>
      <c r="GG225" s="205"/>
      <c r="GH225" s="205"/>
      <c r="GI225" s="205"/>
      <c r="GJ225" s="205"/>
      <c r="GK225" s="205"/>
      <c r="GL225" s="205"/>
      <c r="GM225" s="205"/>
      <c r="GN225" s="205"/>
      <c r="GO225" s="205"/>
      <c r="GP225" s="205"/>
      <c r="GQ225" s="205"/>
      <c r="GR225" s="205"/>
      <c r="GS225" s="205"/>
      <c r="GT225" s="205"/>
      <c r="GU225" s="205"/>
      <c r="GV225" s="205"/>
      <c r="GW225" s="205"/>
      <c r="GX225" s="205"/>
      <c r="GY225" s="205"/>
      <c r="GZ225" s="205"/>
      <c r="HA225" s="205"/>
      <c r="HB225" s="205"/>
      <c r="HC225" s="205"/>
      <c r="HD225" s="205"/>
      <c r="HE225" s="205"/>
      <c r="HF225" s="205"/>
      <c r="HG225" s="205"/>
      <c r="HH225" s="205"/>
      <c r="HI225" s="205"/>
      <c r="HJ225" s="205"/>
      <c r="HK225" s="205"/>
      <c r="HL225" s="205"/>
      <c r="HM225" s="205"/>
      <c r="HN225" s="205"/>
      <c r="HO225" s="205"/>
      <c r="HP225" s="205"/>
      <c r="HQ225" s="205"/>
      <c r="HR225" s="205"/>
      <c r="HS225" s="205"/>
      <c r="HT225" s="205"/>
      <c r="HU225" s="205"/>
      <c r="HV225" s="205"/>
      <c r="HW225" s="205"/>
      <c r="HX225" s="205"/>
      <c r="HY225" s="205"/>
      <c r="HZ225" s="205"/>
      <c r="IA225" s="205"/>
      <c r="IB225" s="205"/>
      <c r="IC225" s="205"/>
      <c r="ID225" s="205"/>
      <c r="IE225" s="205"/>
      <c r="IF225" s="205"/>
      <c r="IG225" s="205"/>
      <c r="IH225" s="205"/>
      <c r="II225" s="205"/>
      <c r="IJ225" s="205"/>
      <c r="IK225" s="205"/>
      <c r="IL225" s="205"/>
      <c r="IM225" s="205"/>
      <c r="IN225" s="205"/>
      <c r="IO225" s="205"/>
      <c r="IP225" s="205"/>
      <c r="IQ225" s="205"/>
      <c r="IR225" s="205"/>
      <c r="IS225" s="205"/>
      <c r="IT225" s="205"/>
      <c r="IU225" s="205"/>
      <c r="IV225" s="205"/>
      <c r="IW225" s="205"/>
      <c r="IX225" s="205"/>
    </row>
    <row r="226" spans="1:258" s="203" customFormat="1" x14ac:dyDescent="0.2">
      <c r="A226" s="669"/>
      <c r="B226" s="670"/>
      <c r="C226" s="1358"/>
      <c r="D226" s="672"/>
      <c r="E226" s="1359"/>
      <c r="F226" s="1359"/>
      <c r="G226" s="1360"/>
      <c r="H226" s="1361"/>
      <c r="I226" s="1362"/>
      <c r="J226" s="1362"/>
      <c r="K226" s="1362"/>
      <c r="L226" s="1362"/>
      <c r="M226" s="1362"/>
      <c r="N226" s="1362"/>
      <c r="O226" s="1362"/>
      <c r="P226" s="1362"/>
      <c r="Q226" s="1362"/>
      <c r="R226" s="1363"/>
      <c r="S226" s="1364"/>
      <c r="T226" s="722"/>
      <c r="U226" s="205"/>
      <c r="V226" s="685"/>
      <c r="W226" s="205"/>
      <c r="X226" s="205"/>
      <c r="Y226" s="205"/>
      <c r="Z226" s="205"/>
      <c r="AA226" s="205"/>
      <c r="AB226" s="205"/>
      <c r="AC226" s="205"/>
      <c r="AD226" s="205"/>
      <c r="AE226" s="205"/>
      <c r="AF226" s="205"/>
      <c r="AG226" s="205"/>
      <c r="AH226" s="205"/>
      <c r="AI226" s="205"/>
      <c r="AJ226" s="205"/>
      <c r="AK226" s="205"/>
      <c r="AL226" s="205"/>
      <c r="AM226" s="205"/>
      <c r="AN226" s="205"/>
      <c r="AO226" s="205"/>
      <c r="AP226" s="205"/>
      <c r="AQ226" s="205"/>
      <c r="AR226" s="205"/>
      <c r="AS226" s="205"/>
      <c r="AT226" s="205"/>
      <c r="AU226" s="205"/>
      <c r="AV226" s="205"/>
      <c r="AW226" s="205"/>
      <c r="AX226" s="205"/>
      <c r="AY226" s="205"/>
      <c r="AZ226" s="205"/>
      <c r="BA226" s="205"/>
      <c r="BB226" s="205"/>
      <c r="BC226" s="205"/>
      <c r="BD226" s="205"/>
      <c r="BE226" s="205"/>
      <c r="BF226" s="205"/>
      <c r="BG226" s="205"/>
      <c r="BH226" s="205"/>
      <c r="BI226" s="205"/>
      <c r="BJ226" s="205"/>
      <c r="BK226" s="205"/>
      <c r="BL226" s="205"/>
      <c r="BM226" s="205"/>
      <c r="BN226" s="205"/>
      <c r="BO226" s="205"/>
      <c r="BP226" s="205"/>
      <c r="BQ226" s="205"/>
      <c r="BR226" s="205"/>
      <c r="BS226" s="205"/>
      <c r="BT226" s="205"/>
      <c r="BU226" s="205"/>
      <c r="BV226" s="205"/>
      <c r="BW226" s="205"/>
      <c r="BX226" s="205"/>
      <c r="BY226" s="205"/>
      <c r="BZ226" s="205"/>
      <c r="CA226" s="205"/>
      <c r="CB226" s="205"/>
      <c r="CC226" s="205"/>
      <c r="CD226" s="205"/>
      <c r="CE226" s="205"/>
      <c r="CF226" s="205"/>
      <c r="CG226" s="205"/>
      <c r="CH226" s="205"/>
      <c r="CI226" s="205"/>
      <c r="CJ226" s="205"/>
      <c r="CK226" s="205"/>
      <c r="CL226" s="205"/>
      <c r="CM226" s="205"/>
      <c r="CN226" s="205"/>
      <c r="CO226" s="205"/>
      <c r="CP226" s="205"/>
      <c r="CQ226" s="205"/>
      <c r="CR226" s="205"/>
      <c r="CS226" s="205"/>
      <c r="CT226" s="205"/>
      <c r="CU226" s="205"/>
      <c r="CV226" s="205"/>
      <c r="CW226" s="205"/>
      <c r="CX226" s="205"/>
      <c r="CY226" s="205"/>
      <c r="CZ226" s="205"/>
      <c r="DA226" s="205"/>
      <c r="DB226" s="205"/>
      <c r="DC226" s="205"/>
      <c r="DD226" s="205"/>
      <c r="DE226" s="205"/>
      <c r="DF226" s="205"/>
      <c r="DG226" s="205"/>
      <c r="DH226" s="205"/>
      <c r="DI226" s="205"/>
      <c r="DJ226" s="205"/>
      <c r="DK226" s="205"/>
      <c r="DL226" s="205"/>
      <c r="DM226" s="205"/>
      <c r="DN226" s="205"/>
      <c r="DO226" s="205"/>
      <c r="DP226" s="205"/>
      <c r="DQ226" s="205"/>
      <c r="DR226" s="205"/>
      <c r="DS226" s="205"/>
      <c r="DT226" s="205"/>
      <c r="DU226" s="205"/>
      <c r="DV226" s="205"/>
      <c r="DW226" s="205"/>
      <c r="DX226" s="205"/>
      <c r="DY226" s="205"/>
      <c r="DZ226" s="205"/>
      <c r="EA226" s="205"/>
      <c r="EB226" s="205"/>
      <c r="EC226" s="205"/>
      <c r="ED226" s="205"/>
      <c r="EE226" s="205"/>
      <c r="EF226" s="205"/>
      <c r="EG226" s="205"/>
      <c r="EH226" s="205"/>
      <c r="EI226" s="205"/>
      <c r="EJ226" s="205"/>
      <c r="EK226" s="205"/>
      <c r="EL226" s="205"/>
      <c r="EM226" s="205"/>
      <c r="EN226" s="205"/>
      <c r="EO226" s="205"/>
      <c r="EP226" s="205"/>
      <c r="EQ226" s="205"/>
      <c r="ER226" s="205"/>
      <c r="ES226" s="205"/>
      <c r="ET226" s="205"/>
      <c r="EU226" s="205"/>
      <c r="EV226" s="205"/>
      <c r="EW226" s="205"/>
      <c r="EX226" s="205"/>
      <c r="EY226" s="205"/>
      <c r="EZ226" s="205"/>
      <c r="FA226" s="205"/>
      <c r="FB226" s="205"/>
      <c r="FC226" s="205"/>
      <c r="FD226" s="205"/>
      <c r="FE226" s="205"/>
      <c r="FF226" s="205"/>
      <c r="FG226" s="205"/>
      <c r="FH226" s="205"/>
      <c r="FI226" s="205"/>
      <c r="FJ226" s="205"/>
      <c r="FK226" s="205"/>
      <c r="FL226" s="205"/>
      <c r="FM226" s="205"/>
      <c r="FN226" s="205"/>
      <c r="FO226" s="205"/>
      <c r="FP226" s="205"/>
      <c r="FQ226" s="205"/>
      <c r="FR226" s="205"/>
      <c r="FS226" s="205"/>
      <c r="FT226" s="205"/>
      <c r="FU226" s="205"/>
      <c r="FV226" s="205"/>
      <c r="FW226" s="205"/>
      <c r="FX226" s="205"/>
      <c r="FY226" s="205"/>
      <c r="FZ226" s="205"/>
      <c r="GA226" s="205"/>
      <c r="GB226" s="205"/>
      <c r="GC226" s="205"/>
      <c r="GD226" s="205"/>
      <c r="GE226" s="205"/>
      <c r="GF226" s="205"/>
      <c r="GG226" s="205"/>
      <c r="GH226" s="205"/>
      <c r="GI226" s="205"/>
      <c r="GJ226" s="205"/>
      <c r="GK226" s="205"/>
      <c r="GL226" s="205"/>
      <c r="GM226" s="205"/>
      <c r="GN226" s="205"/>
      <c r="GO226" s="205"/>
      <c r="GP226" s="205"/>
      <c r="GQ226" s="205"/>
      <c r="GR226" s="205"/>
      <c r="GS226" s="205"/>
      <c r="GT226" s="205"/>
      <c r="GU226" s="205"/>
      <c r="GV226" s="205"/>
      <c r="GW226" s="205"/>
      <c r="GX226" s="205"/>
      <c r="GY226" s="205"/>
      <c r="GZ226" s="205"/>
      <c r="HA226" s="205"/>
      <c r="HB226" s="205"/>
      <c r="HC226" s="205"/>
      <c r="HD226" s="205"/>
      <c r="HE226" s="205"/>
      <c r="HF226" s="205"/>
      <c r="HG226" s="205"/>
      <c r="HH226" s="205"/>
      <c r="HI226" s="205"/>
      <c r="HJ226" s="205"/>
      <c r="HK226" s="205"/>
      <c r="HL226" s="205"/>
      <c r="HM226" s="205"/>
      <c r="HN226" s="205"/>
      <c r="HO226" s="205"/>
      <c r="HP226" s="205"/>
      <c r="HQ226" s="205"/>
      <c r="HR226" s="205"/>
      <c r="HS226" s="205"/>
      <c r="HT226" s="205"/>
      <c r="HU226" s="205"/>
      <c r="HV226" s="205"/>
      <c r="HW226" s="205"/>
      <c r="HX226" s="205"/>
      <c r="HY226" s="205"/>
      <c r="HZ226" s="205"/>
      <c r="IA226" s="205"/>
      <c r="IB226" s="205"/>
      <c r="IC226" s="205"/>
      <c r="ID226" s="205"/>
      <c r="IE226" s="205"/>
      <c r="IF226" s="205"/>
      <c r="IG226" s="205"/>
      <c r="IH226" s="205"/>
      <c r="II226" s="205"/>
      <c r="IJ226" s="205"/>
      <c r="IK226" s="205"/>
      <c r="IL226" s="205"/>
      <c r="IM226" s="205"/>
      <c r="IN226" s="205"/>
      <c r="IO226" s="205"/>
      <c r="IP226" s="205"/>
      <c r="IQ226" s="205"/>
      <c r="IR226" s="205"/>
      <c r="IS226" s="205"/>
      <c r="IT226" s="205"/>
      <c r="IU226" s="205"/>
      <c r="IV226" s="205"/>
      <c r="IW226" s="205"/>
      <c r="IX226" s="205"/>
    </row>
    <row r="227" spans="1:258" s="203" customFormat="1" x14ac:dyDescent="0.2">
      <c r="A227" s="669"/>
      <c r="B227" s="670">
        <f>RAB!B80</f>
        <v>17</v>
      </c>
      <c r="C227" s="686" t="e">
        <f>RAB!D80</f>
        <v>#REF!</v>
      </c>
      <c r="D227" s="672"/>
      <c r="E227" s="673"/>
      <c r="F227" s="673"/>
      <c r="G227" s="674"/>
      <c r="H227" s="675"/>
      <c r="I227" s="676"/>
      <c r="J227" s="676"/>
      <c r="K227" s="676"/>
      <c r="L227" s="676"/>
      <c r="M227" s="676"/>
      <c r="N227" s="676"/>
      <c r="O227" s="676"/>
      <c r="P227" s="676"/>
      <c r="Q227" s="676"/>
      <c r="R227" s="677"/>
      <c r="S227" s="678"/>
      <c r="T227" s="684"/>
      <c r="U227" s="205"/>
      <c r="V227" s="685"/>
      <c r="W227" s="205"/>
      <c r="X227" s="205"/>
      <c r="Y227" s="205"/>
      <c r="Z227" s="205"/>
      <c r="AA227" s="205"/>
      <c r="AB227" s="205"/>
      <c r="AC227" s="205"/>
      <c r="AD227" s="205"/>
      <c r="AE227" s="205"/>
      <c r="AF227" s="205"/>
      <c r="AG227" s="205"/>
      <c r="AH227" s="205"/>
      <c r="AI227" s="205"/>
      <c r="AJ227" s="205"/>
      <c r="AK227" s="205"/>
      <c r="AL227" s="205"/>
      <c r="AM227" s="205"/>
      <c r="AN227" s="205"/>
      <c r="AO227" s="205"/>
      <c r="AP227" s="205"/>
      <c r="AQ227" s="205"/>
      <c r="AR227" s="205"/>
      <c r="AS227" s="205"/>
      <c r="AT227" s="205"/>
      <c r="AU227" s="205"/>
      <c r="AV227" s="205"/>
      <c r="AW227" s="205"/>
      <c r="AX227" s="205"/>
      <c r="AY227" s="205"/>
      <c r="AZ227" s="205"/>
      <c r="BA227" s="205"/>
      <c r="BB227" s="205"/>
      <c r="BC227" s="205"/>
      <c r="BD227" s="205"/>
      <c r="BE227" s="205"/>
      <c r="BF227" s="205"/>
      <c r="BG227" s="205"/>
      <c r="BH227" s="205"/>
      <c r="BI227" s="205"/>
      <c r="BJ227" s="205"/>
      <c r="BK227" s="205"/>
      <c r="BL227" s="205"/>
      <c r="BM227" s="205"/>
      <c r="BN227" s="205"/>
      <c r="BO227" s="205"/>
      <c r="BP227" s="205"/>
      <c r="BQ227" s="205"/>
      <c r="BR227" s="205"/>
      <c r="BS227" s="205"/>
      <c r="BT227" s="205"/>
      <c r="BU227" s="205"/>
      <c r="BV227" s="205"/>
      <c r="BW227" s="205"/>
      <c r="BX227" s="205"/>
      <c r="BY227" s="205"/>
      <c r="BZ227" s="205"/>
      <c r="CA227" s="205"/>
      <c r="CB227" s="205"/>
      <c r="CC227" s="205"/>
      <c r="CD227" s="205"/>
      <c r="CE227" s="205"/>
      <c r="CF227" s="205"/>
      <c r="CG227" s="205"/>
      <c r="CH227" s="205"/>
      <c r="CI227" s="205"/>
      <c r="CJ227" s="205"/>
      <c r="CK227" s="205"/>
      <c r="CL227" s="205"/>
      <c r="CM227" s="205"/>
      <c r="CN227" s="205"/>
      <c r="CO227" s="205"/>
      <c r="CP227" s="205"/>
      <c r="CQ227" s="205"/>
      <c r="CR227" s="205"/>
      <c r="CS227" s="205"/>
      <c r="CT227" s="205"/>
      <c r="CU227" s="205"/>
      <c r="CV227" s="205"/>
      <c r="CW227" s="205"/>
      <c r="CX227" s="205"/>
      <c r="CY227" s="205"/>
      <c r="CZ227" s="205"/>
      <c r="DA227" s="205"/>
      <c r="DB227" s="205"/>
      <c r="DC227" s="205"/>
      <c r="DD227" s="205"/>
      <c r="DE227" s="205"/>
      <c r="DF227" s="205"/>
      <c r="DG227" s="205"/>
      <c r="DH227" s="205"/>
      <c r="DI227" s="205"/>
      <c r="DJ227" s="205"/>
      <c r="DK227" s="205"/>
      <c r="DL227" s="205"/>
      <c r="DM227" s="205"/>
      <c r="DN227" s="205"/>
      <c r="DO227" s="205"/>
      <c r="DP227" s="205"/>
      <c r="DQ227" s="205"/>
      <c r="DR227" s="205"/>
      <c r="DS227" s="205"/>
      <c r="DT227" s="205"/>
      <c r="DU227" s="205"/>
      <c r="DV227" s="205"/>
      <c r="DW227" s="205"/>
      <c r="DX227" s="205"/>
      <c r="DY227" s="205"/>
      <c r="DZ227" s="205"/>
      <c r="EA227" s="205"/>
      <c r="EB227" s="205"/>
      <c r="EC227" s="205"/>
      <c r="ED227" s="205"/>
      <c r="EE227" s="205"/>
      <c r="EF227" s="205"/>
      <c r="EG227" s="205"/>
      <c r="EH227" s="205"/>
      <c r="EI227" s="205"/>
      <c r="EJ227" s="205"/>
      <c r="EK227" s="205"/>
      <c r="EL227" s="205"/>
      <c r="EM227" s="205"/>
      <c r="EN227" s="205"/>
      <c r="EO227" s="205"/>
      <c r="EP227" s="205"/>
      <c r="EQ227" s="205"/>
      <c r="ER227" s="205"/>
      <c r="ES227" s="205"/>
      <c r="ET227" s="205"/>
      <c r="EU227" s="205"/>
      <c r="EV227" s="205"/>
      <c r="EW227" s="205"/>
      <c r="EX227" s="205"/>
      <c r="EY227" s="205"/>
      <c r="EZ227" s="205"/>
      <c r="FA227" s="205"/>
      <c r="FB227" s="205"/>
      <c r="FC227" s="205"/>
      <c r="FD227" s="205"/>
      <c r="FE227" s="205"/>
      <c r="FF227" s="205"/>
      <c r="FG227" s="205"/>
      <c r="FH227" s="205"/>
      <c r="FI227" s="205"/>
      <c r="FJ227" s="205"/>
      <c r="FK227" s="205"/>
      <c r="FL227" s="205"/>
      <c r="FM227" s="205"/>
      <c r="FN227" s="205"/>
      <c r="FO227" s="205"/>
      <c r="FP227" s="205"/>
      <c r="FQ227" s="205"/>
      <c r="FR227" s="205"/>
      <c r="FS227" s="205"/>
      <c r="FT227" s="205"/>
      <c r="FU227" s="205"/>
      <c r="FV227" s="205"/>
      <c r="FW227" s="205"/>
      <c r="FX227" s="205"/>
      <c r="FY227" s="205"/>
      <c r="FZ227" s="205"/>
      <c r="GA227" s="205"/>
      <c r="GB227" s="205"/>
      <c r="GC227" s="205"/>
      <c r="GD227" s="205"/>
      <c r="GE227" s="205"/>
      <c r="GF227" s="205"/>
      <c r="GG227" s="205"/>
      <c r="GH227" s="205"/>
      <c r="GI227" s="205"/>
      <c r="GJ227" s="205"/>
      <c r="GK227" s="205"/>
      <c r="GL227" s="205"/>
      <c r="GM227" s="205"/>
      <c r="GN227" s="205"/>
      <c r="GO227" s="205"/>
      <c r="GP227" s="205"/>
      <c r="GQ227" s="205"/>
      <c r="GR227" s="205"/>
      <c r="GS227" s="205"/>
      <c r="GT227" s="205"/>
      <c r="GU227" s="205"/>
      <c r="GV227" s="205"/>
      <c r="GW227" s="205"/>
      <c r="GX227" s="205"/>
      <c r="GY227" s="205"/>
      <c r="GZ227" s="205"/>
      <c r="HA227" s="205"/>
      <c r="HB227" s="205"/>
      <c r="HC227" s="205"/>
      <c r="HD227" s="205"/>
      <c r="HE227" s="205"/>
      <c r="HF227" s="205"/>
      <c r="HG227" s="205"/>
      <c r="HH227" s="205"/>
      <c r="HI227" s="205"/>
      <c r="HJ227" s="205"/>
      <c r="HK227" s="205"/>
      <c r="HL227" s="205"/>
      <c r="HM227" s="205"/>
      <c r="HN227" s="205"/>
      <c r="HO227" s="205"/>
      <c r="HP227" s="205"/>
      <c r="HQ227" s="205"/>
      <c r="HR227" s="205"/>
      <c r="HS227" s="205"/>
      <c r="HT227" s="205"/>
      <c r="HU227" s="205"/>
      <c r="HV227" s="205"/>
      <c r="HW227" s="205"/>
      <c r="HX227" s="205"/>
      <c r="HY227" s="205"/>
      <c r="HZ227" s="205"/>
      <c r="IA227" s="205"/>
      <c r="IB227" s="205"/>
      <c r="IC227" s="205"/>
      <c r="ID227" s="205"/>
      <c r="IE227" s="205"/>
      <c r="IF227" s="205"/>
      <c r="IG227" s="205"/>
      <c r="IH227" s="205"/>
      <c r="II227" s="205"/>
      <c r="IJ227" s="205"/>
      <c r="IK227" s="205"/>
      <c r="IL227" s="205"/>
      <c r="IM227" s="205"/>
      <c r="IN227" s="205"/>
      <c r="IO227" s="205"/>
      <c r="IP227" s="205"/>
      <c r="IQ227" s="205"/>
      <c r="IR227" s="205"/>
      <c r="IS227" s="205"/>
      <c r="IT227" s="205"/>
      <c r="IU227" s="205"/>
      <c r="IV227" s="205"/>
      <c r="IW227" s="205"/>
      <c r="IX227" s="205"/>
    </row>
    <row r="228" spans="1:258" s="203" customFormat="1" x14ac:dyDescent="0.2">
      <c r="A228" s="669"/>
      <c r="B228" s="670"/>
      <c r="C228" s="1358"/>
      <c r="D228" s="672"/>
      <c r="E228" s="1359"/>
      <c r="F228" s="1359"/>
      <c r="G228" s="1360"/>
      <c r="H228" s="1361">
        <f>H223</f>
        <v>4</v>
      </c>
      <c r="I228" s="1362" t="s">
        <v>424</v>
      </c>
      <c r="J228" s="1362">
        <f>J220+L220</f>
        <v>0.24</v>
      </c>
      <c r="K228" s="1362" t="s">
        <v>424</v>
      </c>
      <c r="L228" s="1362">
        <f>N220</f>
        <v>51</v>
      </c>
      <c r="M228" s="1362"/>
      <c r="N228" s="1362"/>
      <c r="O228" s="1362"/>
      <c r="P228" s="1362"/>
      <c r="Q228" s="1362" t="s">
        <v>696</v>
      </c>
      <c r="R228" s="1363">
        <f>H228*J228*L228</f>
        <v>48.96</v>
      </c>
      <c r="S228" s="1364">
        <f>R228</f>
        <v>48.96</v>
      </c>
      <c r="T228" s="722" t="s">
        <v>338</v>
      </c>
      <c r="U228" s="205"/>
      <c r="V228" s="685"/>
      <c r="W228" s="205"/>
      <c r="X228" s="205"/>
      <c r="Y228" s="205"/>
      <c r="Z228" s="205"/>
      <c r="AA228" s="205"/>
      <c r="AB228" s="205"/>
      <c r="AC228" s="205"/>
      <c r="AD228" s="205"/>
      <c r="AE228" s="205"/>
      <c r="AF228" s="205"/>
      <c r="AG228" s="205"/>
      <c r="AH228" s="205"/>
      <c r="AI228" s="205"/>
      <c r="AJ228" s="205"/>
      <c r="AK228" s="205"/>
      <c r="AL228" s="205"/>
      <c r="AM228" s="205"/>
      <c r="AN228" s="205"/>
      <c r="AO228" s="205"/>
      <c r="AP228" s="205"/>
      <c r="AQ228" s="205"/>
      <c r="AR228" s="205"/>
      <c r="AS228" s="205"/>
      <c r="AT228" s="205"/>
      <c r="AU228" s="205"/>
      <c r="AV228" s="205"/>
      <c r="AW228" s="205"/>
      <c r="AX228" s="205"/>
      <c r="AY228" s="205"/>
      <c r="AZ228" s="205"/>
      <c r="BA228" s="205"/>
      <c r="BB228" s="205"/>
      <c r="BC228" s="205"/>
      <c r="BD228" s="205"/>
      <c r="BE228" s="205"/>
      <c r="BF228" s="205"/>
      <c r="BG228" s="205"/>
      <c r="BH228" s="205"/>
      <c r="BI228" s="205"/>
      <c r="BJ228" s="205"/>
      <c r="BK228" s="205"/>
      <c r="BL228" s="205"/>
      <c r="BM228" s="205"/>
      <c r="BN228" s="205"/>
      <c r="BO228" s="205"/>
      <c r="BP228" s="205"/>
      <c r="BQ228" s="205"/>
      <c r="BR228" s="205"/>
      <c r="BS228" s="205"/>
      <c r="BT228" s="205"/>
      <c r="BU228" s="205"/>
      <c r="BV228" s="205"/>
      <c r="BW228" s="205"/>
      <c r="BX228" s="205"/>
      <c r="BY228" s="205"/>
      <c r="BZ228" s="205"/>
      <c r="CA228" s="205"/>
      <c r="CB228" s="205"/>
      <c r="CC228" s="205"/>
      <c r="CD228" s="205"/>
      <c r="CE228" s="205"/>
      <c r="CF228" s="205"/>
      <c r="CG228" s="205"/>
      <c r="CH228" s="205"/>
      <c r="CI228" s="205"/>
      <c r="CJ228" s="205"/>
      <c r="CK228" s="205"/>
      <c r="CL228" s="205"/>
      <c r="CM228" s="205"/>
      <c r="CN228" s="205"/>
      <c r="CO228" s="205"/>
      <c r="CP228" s="205"/>
      <c r="CQ228" s="205"/>
      <c r="CR228" s="205"/>
      <c r="CS228" s="205"/>
      <c r="CT228" s="205"/>
      <c r="CU228" s="205"/>
      <c r="CV228" s="205"/>
      <c r="CW228" s="205"/>
      <c r="CX228" s="205"/>
      <c r="CY228" s="205"/>
      <c r="CZ228" s="205"/>
      <c r="DA228" s="205"/>
      <c r="DB228" s="205"/>
      <c r="DC228" s="205"/>
      <c r="DD228" s="205"/>
      <c r="DE228" s="205"/>
      <c r="DF228" s="205"/>
      <c r="DG228" s="205"/>
      <c r="DH228" s="205"/>
      <c r="DI228" s="205"/>
      <c r="DJ228" s="205"/>
      <c r="DK228" s="205"/>
      <c r="DL228" s="205"/>
      <c r="DM228" s="205"/>
      <c r="DN228" s="205"/>
      <c r="DO228" s="205"/>
      <c r="DP228" s="205"/>
      <c r="DQ228" s="205"/>
      <c r="DR228" s="205"/>
      <c r="DS228" s="205"/>
      <c r="DT228" s="205"/>
      <c r="DU228" s="205"/>
      <c r="DV228" s="205"/>
      <c r="DW228" s="205"/>
      <c r="DX228" s="205"/>
      <c r="DY228" s="205"/>
      <c r="DZ228" s="205"/>
      <c r="EA228" s="205"/>
      <c r="EB228" s="205"/>
      <c r="EC228" s="205"/>
      <c r="ED228" s="205"/>
      <c r="EE228" s="205"/>
      <c r="EF228" s="205"/>
      <c r="EG228" s="205"/>
      <c r="EH228" s="205"/>
      <c r="EI228" s="205"/>
      <c r="EJ228" s="205"/>
      <c r="EK228" s="205"/>
      <c r="EL228" s="205"/>
      <c r="EM228" s="205"/>
      <c r="EN228" s="205"/>
      <c r="EO228" s="205"/>
      <c r="EP228" s="205"/>
      <c r="EQ228" s="205"/>
      <c r="ER228" s="205"/>
      <c r="ES228" s="205"/>
      <c r="ET228" s="205"/>
      <c r="EU228" s="205"/>
      <c r="EV228" s="205"/>
      <c r="EW228" s="205"/>
      <c r="EX228" s="205"/>
      <c r="EY228" s="205"/>
      <c r="EZ228" s="205"/>
      <c r="FA228" s="205"/>
      <c r="FB228" s="205"/>
      <c r="FC228" s="205"/>
      <c r="FD228" s="205"/>
      <c r="FE228" s="205"/>
      <c r="FF228" s="205"/>
      <c r="FG228" s="205"/>
      <c r="FH228" s="205"/>
      <c r="FI228" s="205"/>
      <c r="FJ228" s="205"/>
      <c r="FK228" s="205"/>
      <c r="FL228" s="205"/>
      <c r="FM228" s="205"/>
      <c r="FN228" s="205"/>
      <c r="FO228" s="205"/>
      <c r="FP228" s="205"/>
      <c r="FQ228" s="205"/>
      <c r="FR228" s="205"/>
      <c r="FS228" s="205"/>
      <c r="FT228" s="205"/>
      <c r="FU228" s="205"/>
      <c r="FV228" s="205"/>
      <c r="FW228" s="205"/>
      <c r="FX228" s="205"/>
      <c r="FY228" s="205"/>
      <c r="FZ228" s="205"/>
      <c r="GA228" s="205"/>
      <c r="GB228" s="205"/>
      <c r="GC228" s="205"/>
      <c r="GD228" s="205"/>
      <c r="GE228" s="205"/>
      <c r="GF228" s="205"/>
      <c r="GG228" s="205"/>
      <c r="GH228" s="205"/>
      <c r="GI228" s="205"/>
      <c r="GJ228" s="205"/>
      <c r="GK228" s="205"/>
      <c r="GL228" s="205"/>
      <c r="GM228" s="205"/>
      <c r="GN228" s="205"/>
      <c r="GO228" s="205"/>
      <c r="GP228" s="205"/>
      <c r="GQ228" s="205"/>
      <c r="GR228" s="205"/>
      <c r="GS228" s="205"/>
      <c r="GT228" s="205"/>
      <c r="GU228" s="205"/>
      <c r="GV228" s="205"/>
      <c r="GW228" s="205"/>
      <c r="GX228" s="205"/>
      <c r="GY228" s="205"/>
      <c r="GZ228" s="205"/>
      <c r="HA228" s="205"/>
      <c r="HB228" s="205"/>
      <c r="HC228" s="205"/>
      <c r="HD228" s="205"/>
      <c r="HE228" s="205"/>
      <c r="HF228" s="205"/>
      <c r="HG228" s="205"/>
      <c r="HH228" s="205"/>
      <c r="HI228" s="205"/>
      <c r="HJ228" s="205"/>
      <c r="HK228" s="205"/>
      <c r="HL228" s="205"/>
      <c r="HM228" s="205"/>
      <c r="HN228" s="205"/>
      <c r="HO228" s="205"/>
      <c r="HP228" s="205"/>
      <c r="HQ228" s="205"/>
      <c r="HR228" s="205"/>
      <c r="HS228" s="205"/>
      <c r="HT228" s="205"/>
      <c r="HU228" s="205"/>
      <c r="HV228" s="205"/>
      <c r="HW228" s="205"/>
      <c r="HX228" s="205"/>
      <c r="HY228" s="205"/>
      <c r="HZ228" s="205"/>
      <c r="IA228" s="205"/>
      <c r="IB228" s="205"/>
      <c r="IC228" s="205"/>
      <c r="ID228" s="205"/>
      <c r="IE228" s="205"/>
      <c r="IF228" s="205"/>
      <c r="IG228" s="205"/>
      <c r="IH228" s="205"/>
      <c r="II228" s="205"/>
      <c r="IJ228" s="205"/>
      <c r="IK228" s="205"/>
      <c r="IL228" s="205"/>
      <c r="IM228" s="205"/>
      <c r="IN228" s="205"/>
      <c r="IO228" s="205"/>
      <c r="IP228" s="205"/>
      <c r="IQ228" s="205"/>
      <c r="IR228" s="205"/>
      <c r="IS228" s="205"/>
      <c r="IT228" s="205"/>
      <c r="IU228" s="205"/>
      <c r="IV228" s="205"/>
      <c r="IW228" s="205"/>
      <c r="IX228" s="205"/>
    </row>
    <row r="229" spans="1:258" s="203" customFormat="1" x14ac:dyDescent="0.2">
      <c r="A229" s="669"/>
      <c r="B229" s="670"/>
      <c r="C229" s="1358"/>
      <c r="D229" s="672"/>
      <c r="E229" s="1359"/>
      <c r="F229" s="1359"/>
      <c r="G229" s="1360"/>
      <c r="H229" s="1361"/>
      <c r="I229" s="1362"/>
      <c r="J229" s="1362"/>
      <c r="K229" s="1362"/>
      <c r="L229" s="1362"/>
      <c r="M229" s="1362"/>
      <c r="N229" s="1362"/>
      <c r="O229" s="1362"/>
      <c r="P229" s="1362"/>
      <c r="Q229" s="1362"/>
      <c r="R229" s="1363"/>
      <c r="S229" s="1364"/>
      <c r="T229" s="722"/>
      <c r="U229" s="205"/>
      <c r="V229" s="685"/>
      <c r="W229" s="205"/>
      <c r="X229" s="205"/>
      <c r="Y229" s="205"/>
      <c r="Z229" s="205"/>
      <c r="AA229" s="205"/>
      <c r="AB229" s="205"/>
      <c r="AC229" s="205"/>
      <c r="AD229" s="205"/>
      <c r="AE229" s="205"/>
      <c r="AF229" s="205"/>
      <c r="AG229" s="205"/>
      <c r="AH229" s="205"/>
      <c r="AI229" s="205"/>
      <c r="AJ229" s="205"/>
      <c r="AK229" s="205"/>
      <c r="AL229" s="205"/>
      <c r="AM229" s="205"/>
      <c r="AN229" s="205"/>
      <c r="AO229" s="205"/>
      <c r="AP229" s="205"/>
      <c r="AQ229" s="205"/>
      <c r="AR229" s="205"/>
      <c r="AS229" s="205"/>
      <c r="AT229" s="205"/>
      <c r="AU229" s="205"/>
      <c r="AV229" s="205"/>
      <c r="AW229" s="205"/>
      <c r="AX229" s="205"/>
      <c r="AY229" s="205"/>
      <c r="AZ229" s="205"/>
      <c r="BA229" s="205"/>
      <c r="BB229" s="205"/>
      <c r="BC229" s="205"/>
      <c r="BD229" s="205"/>
      <c r="BE229" s="205"/>
      <c r="BF229" s="205"/>
      <c r="BG229" s="205"/>
      <c r="BH229" s="205"/>
      <c r="BI229" s="205"/>
      <c r="BJ229" s="205"/>
      <c r="BK229" s="205"/>
      <c r="BL229" s="205"/>
      <c r="BM229" s="205"/>
      <c r="BN229" s="205"/>
      <c r="BO229" s="205"/>
      <c r="BP229" s="205"/>
      <c r="BQ229" s="205"/>
      <c r="BR229" s="205"/>
      <c r="BS229" s="205"/>
      <c r="BT229" s="205"/>
      <c r="BU229" s="205"/>
      <c r="BV229" s="205"/>
      <c r="BW229" s="205"/>
      <c r="BX229" s="205"/>
      <c r="BY229" s="205"/>
      <c r="BZ229" s="205"/>
      <c r="CA229" s="205"/>
      <c r="CB229" s="205"/>
      <c r="CC229" s="205"/>
      <c r="CD229" s="205"/>
      <c r="CE229" s="205"/>
      <c r="CF229" s="205"/>
      <c r="CG229" s="205"/>
      <c r="CH229" s="205"/>
      <c r="CI229" s="205"/>
      <c r="CJ229" s="205"/>
      <c r="CK229" s="205"/>
      <c r="CL229" s="205"/>
      <c r="CM229" s="205"/>
      <c r="CN229" s="205"/>
      <c r="CO229" s="205"/>
      <c r="CP229" s="205"/>
      <c r="CQ229" s="205"/>
      <c r="CR229" s="205"/>
      <c r="CS229" s="205"/>
      <c r="CT229" s="205"/>
      <c r="CU229" s="205"/>
      <c r="CV229" s="205"/>
      <c r="CW229" s="205"/>
      <c r="CX229" s="205"/>
      <c r="CY229" s="205"/>
      <c r="CZ229" s="205"/>
      <c r="DA229" s="205"/>
      <c r="DB229" s="205"/>
      <c r="DC229" s="205"/>
      <c r="DD229" s="205"/>
      <c r="DE229" s="205"/>
      <c r="DF229" s="205"/>
      <c r="DG229" s="205"/>
      <c r="DH229" s="205"/>
      <c r="DI229" s="205"/>
      <c r="DJ229" s="205"/>
      <c r="DK229" s="205"/>
      <c r="DL229" s="205"/>
      <c r="DM229" s="205"/>
      <c r="DN229" s="205"/>
      <c r="DO229" s="205"/>
      <c r="DP229" s="205"/>
      <c r="DQ229" s="205"/>
      <c r="DR229" s="205"/>
      <c r="DS229" s="205"/>
      <c r="DT229" s="205"/>
      <c r="DU229" s="205"/>
      <c r="DV229" s="205"/>
      <c r="DW229" s="205"/>
      <c r="DX229" s="205"/>
      <c r="DY229" s="205"/>
      <c r="DZ229" s="205"/>
      <c r="EA229" s="205"/>
      <c r="EB229" s="205"/>
      <c r="EC229" s="205"/>
      <c r="ED229" s="205"/>
      <c r="EE229" s="205"/>
      <c r="EF229" s="205"/>
      <c r="EG229" s="205"/>
      <c r="EH229" s="205"/>
      <c r="EI229" s="205"/>
      <c r="EJ229" s="205"/>
      <c r="EK229" s="205"/>
      <c r="EL229" s="205"/>
      <c r="EM229" s="205"/>
      <c r="EN229" s="205"/>
      <c r="EO229" s="205"/>
      <c r="EP229" s="205"/>
      <c r="EQ229" s="205"/>
      <c r="ER229" s="205"/>
      <c r="ES229" s="205"/>
      <c r="ET229" s="205"/>
      <c r="EU229" s="205"/>
      <c r="EV229" s="205"/>
      <c r="EW229" s="205"/>
      <c r="EX229" s="205"/>
      <c r="EY229" s="205"/>
      <c r="EZ229" s="205"/>
      <c r="FA229" s="205"/>
      <c r="FB229" s="205"/>
      <c r="FC229" s="205"/>
      <c r="FD229" s="205"/>
      <c r="FE229" s="205"/>
      <c r="FF229" s="205"/>
      <c r="FG229" s="205"/>
      <c r="FH229" s="205"/>
      <c r="FI229" s="205"/>
      <c r="FJ229" s="205"/>
      <c r="FK229" s="205"/>
      <c r="FL229" s="205"/>
      <c r="FM229" s="205"/>
      <c r="FN229" s="205"/>
      <c r="FO229" s="205"/>
      <c r="FP229" s="205"/>
      <c r="FQ229" s="205"/>
      <c r="FR229" s="205"/>
      <c r="FS229" s="205"/>
      <c r="FT229" s="205"/>
      <c r="FU229" s="205"/>
      <c r="FV229" s="205"/>
      <c r="FW229" s="205"/>
      <c r="FX229" s="205"/>
      <c r="FY229" s="205"/>
      <c r="FZ229" s="205"/>
      <c r="GA229" s="205"/>
      <c r="GB229" s="205"/>
      <c r="GC229" s="205"/>
      <c r="GD229" s="205"/>
      <c r="GE229" s="205"/>
      <c r="GF229" s="205"/>
      <c r="GG229" s="205"/>
      <c r="GH229" s="205"/>
      <c r="GI229" s="205"/>
      <c r="GJ229" s="205"/>
      <c r="GK229" s="205"/>
      <c r="GL229" s="205"/>
      <c r="GM229" s="205"/>
      <c r="GN229" s="205"/>
      <c r="GO229" s="205"/>
      <c r="GP229" s="205"/>
      <c r="GQ229" s="205"/>
      <c r="GR229" s="205"/>
      <c r="GS229" s="205"/>
      <c r="GT229" s="205"/>
      <c r="GU229" s="205"/>
      <c r="GV229" s="205"/>
      <c r="GW229" s="205"/>
      <c r="GX229" s="205"/>
      <c r="GY229" s="205"/>
      <c r="GZ229" s="205"/>
      <c r="HA229" s="205"/>
      <c r="HB229" s="205"/>
      <c r="HC229" s="205"/>
      <c r="HD229" s="205"/>
      <c r="HE229" s="205"/>
      <c r="HF229" s="205"/>
      <c r="HG229" s="205"/>
      <c r="HH229" s="205"/>
      <c r="HI229" s="205"/>
      <c r="HJ229" s="205"/>
      <c r="HK229" s="205"/>
      <c r="HL229" s="205"/>
      <c r="HM229" s="205"/>
      <c r="HN229" s="205"/>
      <c r="HO229" s="205"/>
      <c r="HP229" s="205"/>
      <c r="HQ229" s="205"/>
      <c r="HR229" s="205"/>
      <c r="HS229" s="205"/>
      <c r="HT229" s="205"/>
      <c r="HU229" s="205"/>
      <c r="HV229" s="205"/>
      <c r="HW229" s="205"/>
      <c r="HX229" s="205"/>
      <c r="HY229" s="205"/>
      <c r="HZ229" s="205"/>
      <c r="IA229" s="205"/>
      <c r="IB229" s="205"/>
      <c r="IC229" s="205"/>
      <c r="ID229" s="205"/>
      <c r="IE229" s="205"/>
      <c r="IF229" s="205"/>
      <c r="IG229" s="205"/>
      <c r="IH229" s="205"/>
      <c r="II229" s="205"/>
      <c r="IJ229" s="205"/>
      <c r="IK229" s="205"/>
      <c r="IL229" s="205"/>
      <c r="IM229" s="205"/>
      <c r="IN229" s="205"/>
      <c r="IO229" s="205"/>
      <c r="IP229" s="205"/>
      <c r="IQ229" s="205"/>
      <c r="IR229" s="205"/>
      <c r="IS229" s="205"/>
      <c r="IT229" s="205"/>
      <c r="IU229" s="205"/>
      <c r="IV229" s="205"/>
      <c r="IW229" s="205"/>
      <c r="IX229" s="205"/>
    </row>
    <row r="230" spans="1:258" s="203" customFormat="1" x14ac:dyDescent="0.2">
      <c r="A230" s="669"/>
      <c r="B230" s="670"/>
      <c r="C230" s="682" t="str">
        <f>RAB!D81</f>
        <v>Ringbalk 15/20</v>
      </c>
      <c r="D230" s="672"/>
      <c r="E230" s="673"/>
      <c r="F230" s="673"/>
      <c r="G230" s="674"/>
      <c r="H230" s="675"/>
      <c r="I230" s="676"/>
      <c r="J230" s="676"/>
      <c r="K230" s="676"/>
      <c r="L230" s="676"/>
      <c r="M230" s="676"/>
      <c r="N230" s="676"/>
      <c r="O230" s="676"/>
      <c r="P230" s="676"/>
      <c r="Q230" s="676"/>
      <c r="R230" s="677"/>
      <c r="S230" s="678"/>
      <c r="T230" s="684"/>
      <c r="U230" s="205"/>
      <c r="V230" s="68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5"/>
      <c r="BN230" s="205"/>
      <c r="BO230" s="205"/>
      <c r="BP230" s="205"/>
      <c r="BQ230" s="205"/>
      <c r="BR230" s="205"/>
      <c r="BS230" s="205"/>
      <c r="BT230" s="205"/>
      <c r="BU230" s="205"/>
      <c r="BV230" s="205"/>
      <c r="BW230" s="205"/>
      <c r="BX230" s="205"/>
      <c r="BY230" s="205"/>
      <c r="BZ230" s="205"/>
      <c r="CA230" s="205"/>
      <c r="CB230" s="205"/>
      <c r="CC230" s="205"/>
      <c r="CD230" s="205"/>
      <c r="CE230" s="205"/>
      <c r="CF230" s="205"/>
      <c r="CG230" s="205"/>
      <c r="CH230" s="205"/>
      <c r="CI230" s="205"/>
      <c r="CJ230" s="205"/>
      <c r="CK230" s="205"/>
      <c r="CL230" s="205"/>
      <c r="CM230" s="205"/>
      <c r="CN230" s="205"/>
      <c r="CO230" s="205"/>
      <c r="CP230" s="205"/>
      <c r="CQ230" s="205"/>
      <c r="CR230" s="205"/>
      <c r="CS230" s="205"/>
      <c r="CT230" s="205"/>
      <c r="CU230" s="205"/>
      <c r="CV230" s="205"/>
      <c r="CW230" s="205"/>
      <c r="CX230" s="205"/>
      <c r="CY230" s="205"/>
      <c r="CZ230" s="205"/>
      <c r="DA230" s="205"/>
      <c r="DB230" s="205"/>
      <c r="DC230" s="205"/>
      <c r="DD230" s="205"/>
      <c r="DE230" s="205"/>
      <c r="DF230" s="205"/>
      <c r="DG230" s="205"/>
      <c r="DH230" s="205"/>
      <c r="DI230" s="205"/>
      <c r="DJ230" s="205"/>
      <c r="DK230" s="205"/>
      <c r="DL230" s="205"/>
      <c r="DM230" s="205"/>
      <c r="DN230" s="205"/>
      <c r="DO230" s="205"/>
      <c r="DP230" s="205"/>
      <c r="DQ230" s="205"/>
      <c r="DR230" s="205"/>
      <c r="DS230" s="205"/>
      <c r="DT230" s="205"/>
      <c r="DU230" s="205"/>
      <c r="DV230" s="205"/>
      <c r="DW230" s="205"/>
      <c r="DX230" s="205"/>
      <c r="DY230" s="205"/>
      <c r="DZ230" s="205"/>
      <c r="EA230" s="205"/>
      <c r="EB230" s="205"/>
      <c r="EC230" s="205"/>
      <c r="ED230" s="205"/>
      <c r="EE230" s="205"/>
      <c r="EF230" s="205"/>
      <c r="EG230" s="205"/>
      <c r="EH230" s="205"/>
      <c r="EI230" s="205"/>
      <c r="EJ230" s="205"/>
      <c r="EK230" s="205"/>
      <c r="EL230" s="205"/>
      <c r="EM230" s="205"/>
      <c r="EN230" s="205"/>
      <c r="EO230" s="205"/>
      <c r="EP230" s="205"/>
      <c r="EQ230" s="205"/>
      <c r="ER230" s="205"/>
      <c r="ES230" s="205"/>
      <c r="ET230" s="205"/>
      <c r="EU230" s="205"/>
      <c r="EV230" s="205"/>
      <c r="EW230" s="205"/>
      <c r="EX230" s="205"/>
      <c r="EY230" s="205"/>
      <c r="EZ230" s="205"/>
      <c r="FA230" s="205"/>
      <c r="FB230" s="205"/>
      <c r="FC230" s="205"/>
      <c r="FD230" s="205"/>
      <c r="FE230" s="205"/>
      <c r="FF230" s="205"/>
      <c r="FG230" s="205"/>
      <c r="FH230" s="205"/>
      <c r="FI230" s="205"/>
      <c r="FJ230" s="205"/>
      <c r="FK230" s="205"/>
      <c r="FL230" s="205"/>
      <c r="FM230" s="205"/>
      <c r="FN230" s="205"/>
      <c r="FO230" s="205"/>
      <c r="FP230" s="205"/>
      <c r="FQ230" s="205"/>
      <c r="FR230" s="205"/>
      <c r="FS230" s="205"/>
      <c r="FT230" s="205"/>
      <c r="FU230" s="205"/>
      <c r="FV230" s="205"/>
      <c r="FW230" s="205"/>
      <c r="FX230" s="205"/>
      <c r="FY230" s="205"/>
      <c r="FZ230" s="205"/>
      <c r="GA230" s="205"/>
      <c r="GB230" s="205"/>
      <c r="GC230" s="205"/>
      <c r="GD230" s="205"/>
      <c r="GE230" s="205"/>
      <c r="GF230" s="205"/>
      <c r="GG230" s="205"/>
      <c r="GH230" s="205"/>
      <c r="GI230" s="205"/>
      <c r="GJ230" s="205"/>
      <c r="GK230" s="205"/>
      <c r="GL230" s="205"/>
      <c r="GM230" s="205"/>
      <c r="GN230" s="205"/>
      <c r="GO230" s="205"/>
      <c r="GP230" s="205"/>
      <c r="GQ230" s="205"/>
      <c r="GR230" s="205"/>
      <c r="GS230" s="205"/>
      <c r="GT230" s="205"/>
      <c r="GU230" s="205"/>
      <c r="GV230" s="205"/>
      <c r="GW230" s="205"/>
      <c r="GX230" s="205"/>
      <c r="GY230" s="205"/>
      <c r="GZ230" s="205"/>
      <c r="HA230" s="205"/>
      <c r="HB230" s="205"/>
      <c r="HC230" s="205"/>
      <c r="HD230" s="205"/>
      <c r="HE230" s="205"/>
      <c r="HF230" s="205"/>
      <c r="HG230" s="205"/>
      <c r="HH230" s="205"/>
      <c r="HI230" s="205"/>
      <c r="HJ230" s="205"/>
      <c r="HK230" s="205"/>
      <c r="HL230" s="205"/>
      <c r="HM230" s="205"/>
      <c r="HN230" s="205"/>
      <c r="HO230" s="205"/>
      <c r="HP230" s="205"/>
      <c r="HQ230" s="205"/>
      <c r="HR230" s="205"/>
      <c r="HS230" s="205"/>
      <c r="HT230" s="205"/>
      <c r="HU230" s="205"/>
      <c r="HV230" s="205"/>
      <c r="HW230" s="205"/>
      <c r="HX230" s="205"/>
      <c r="HY230" s="205"/>
      <c r="HZ230" s="205"/>
      <c r="IA230" s="205"/>
      <c r="IB230" s="205"/>
      <c r="IC230" s="205"/>
      <c r="ID230" s="205"/>
      <c r="IE230" s="205"/>
      <c r="IF230" s="205"/>
      <c r="IG230" s="205"/>
      <c r="IH230" s="205"/>
      <c r="II230" s="205"/>
      <c r="IJ230" s="205"/>
      <c r="IK230" s="205"/>
      <c r="IL230" s="205"/>
      <c r="IM230" s="205"/>
      <c r="IN230" s="205"/>
      <c r="IO230" s="205"/>
      <c r="IP230" s="205"/>
      <c r="IQ230" s="205"/>
      <c r="IR230" s="205"/>
      <c r="IS230" s="205"/>
      <c r="IT230" s="205"/>
      <c r="IU230" s="205"/>
      <c r="IV230" s="205"/>
      <c r="IW230" s="205"/>
      <c r="IX230" s="205"/>
    </row>
    <row r="231" spans="1:258" s="203" customFormat="1" x14ac:dyDescent="0.2">
      <c r="A231" s="669"/>
      <c r="B231" s="670">
        <f>RAB!B82</f>
        <v>18</v>
      </c>
      <c r="C231" s="686" t="e">
        <f>RAB!D82</f>
        <v>#REF!</v>
      </c>
      <c r="D231" s="672"/>
      <c r="E231" s="673"/>
      <c r="F231" s="673"/>
      <c r="G231" s="674"/>
      <c r="H231" s="675"/>
      <c r="I231" s="676"/>
      <c r="J231" s="676"/>
      <c r="K231" s="676"/>
      <c r="L231" s="676"/>
      <c r="M231" s="676"/>
      <c r="N231" s="676"/>
      <c r="O231" s="676"/>
      <c r="P231" s="676"/>
      <c r="Q231" s="676"/>
      <c r="R231" s="677"/>
      <c r="S231" s="678"/>
      <c r="T231" s="684"/>
      <c r="U231" s="205"/>
      <c r="V231" s="68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5"/>
      <c r="BN231" s="205"/>
      <c r="BO231" s="205"/>
      <c r="BP231" s="205"/>
      <c r="BQ231" s="205"/>
      <c r="BR231" s="205"/>
      <c r="BS231" s="205"/>
      <c r="BT231" s="205"/>
      <c r="BU231" s="205"/>
      <c r="BV231" s="205"/>
      <c r="BW231" s="205"/>
      <c r="BX231" s="205"/>
      <c r="BY231" s="205"/>
      <c r="BZ231" s="205"/>
      <c r="CA231" s="205"/>
      <c r="CB231" s="205"/>
      <c r="CC231" s="205"/>
      <c r="CD231" s="205"/>
      <c r="CE231" s="205"/>
      <c r="CF231" s="205"/>
      <c r="CG231" s="205"/>
      <c r="CH231" s="205"/>
      <c r="CI231" s="205"/>
      <c r="CJ231" s="205"/>
      <c r="CK231" s="205"/>
      <c r="CL231" s="205"/>
      <c r="CM231" s="205"/>
      <c r="CN231" s="205"/>
      <c r="CO231" s="205"/>
      <c r="CP231" s="205"/>
      <c r="CQ231" s="205"/>
      <c r="CR231" s="205"/>
      <c r="CS231" s="205"/>
      <c r="CT231" s="205"/>
      <c r="CU231" s="205"/>
      <c r="CV231" s="205"/>
      <c r="CW231" s="205"/>
      <c r="CX231" s="205"/>
      <c r="CY231" s="205"/>
      <c r="CZ231" s="205"/>
      <c r="DA231" s="205"/>
      <c r="DB231" s="205"/>
      <c r="DC231" s="205"/>
      <c r="DD231" s="205"/>
      <c r="DE231" s="205"/>
      <c r="DF231" s="205"/>
      <c r="DG231" s="205"/>
      <c r="DH231" s="205"/>
      <c r="DI231" s="205"/>
      <c r="DJ231" s="205"/>
      <c r="DK231" s="205"/>
      <c r="DL231" s="205"/>
      <c r="DM231" s="205"/>
      <c r="DN231" s="205"/>
      <c r="DO231" s="205"/>
      <c r="DP231" s="205"/>
      <c r="DQ231" s="205"/>
      <c r="DR231" s="205"/>
      <c r="DS231" s="205"/>
      <c r="DT231" s="205"/>
      <c r="DU231" s="205"/>
      <c r="DV231" s="205"/>
      <c r="DW231" s="205"/>
      <c r="DX231" s="205"/>
      <c r="DY231" s="205"/>
      <c r="DZ231" s="205"/>
      <c r="EA231" s="205"/>
      <c r="EB231" s="205"/>
      <c r="EC231" s="205"/>
      <c r="ED231" s="205"/>
      <c r="EE231" s="205"/>
      <c r="EF231" s="205"/>
      <c r="EG231" s="205"/>
      <c r="EH231" s="205"/>
      <c r="EI231" s="205"/>
      <c r="EJ231" s="205"/>
      <c r="EK231" s="205"/>
      <c r="EL231" s="205"/>
      <c r="EM231" s="205"/>
      <c r="EN231" s="205"/>
      <c r="EO231" s="205"/>
      <c r="EP231" s="205"/>
      <c r="EQ231" s="205"/>
      <c r="ER231" s="205"/>
      <c r="ES231" s="205"/>
      <c r="ET231" s="205"/>
      <c r="EU231" s="205"/>
      <c r="EV231" s="205"/>
      <c r="EW231" s="205"/>
      <c r="EX231" s="205"/>
      <c r="EY231" s="205"/>
      <c r="EZ231" s="205"/>
      <c r="FA231" s="205"/>
      <c r="FB231" s="205"/>
      <c r="FC231" s="205"/>
      <c r="FD231" s="205"/>
      <c r="FE231" s="205"/>
      <c r="FF231" s="205"/>
      <c r="FG231" s="205"/>
      <c r="FH231" s="205"/>
      <c r="FI231" s="205"/>
      <c r="FJ231" s="205"/>
      <c r="FK231" s="205"/>
      <c r="FL231" s="205"/>
      <c r="FM231" s="205"/>
      <c r="FN231" s="205"/>
      <c r="FO231" s="205"/>
      <c r="FP231" s="205"/>
      <c r="FQ231" s="205"/>
      <c r="FR231" s="205"/>
      <c r="FS231" s="205"/>
      <c r="FT231" s="205"/>
      <c r="FU231" s="205"/>
      <c r="FV231" s="205"/>
      <c r="FW231" s="205"/>
      <c r="FX231" s="205"/>
      <c r="FY231" s="205"/>
      <c r="FZ231" s="205"/>
      <c r="GA231" s="205"/>
      <c r="GB231" s="205"/>
      <c r="GC231" s="205"/>
      <c r="GD231" s="205"/>
      <c r="GE231" s="205"/>
      <c r="GF231" s="205"/>
      <c r="GG231" s="205"/>
      <c r="GH231" s="205"/>
      <c r="GI231" s="205"/>
      <c r="GJ231" s="205"/>
      <c r="GK231" s="205"/>
      <c r="GL231" s="205"/>
      <c r="GM231" s="205"/>
      <c r="GN231" s="205"/>
      <c r="GO231" s="205"/>
      <c r="GP231" s="205"/>
      <c r="GQ231" s="205"/>
      <c r="GR231" s="205"/>
      <c r="GS231" s="205"/>
      <c r="GT231" s="205"/>
      <c r="GU231" s="205"/>
      <c r="GV231" s="205"/>
      <c r="GW231" s="205"/>
      <c r="GX231" s="205"/>
      <c r="GY231" s="205"/>
      <c r="GZ231" s="205"/>
      <c r="HA231" s="205"/>
      <c r="HB231" s="205"/>
      <c r="HC231" s="205"/>
      <c r="HD231" s="205"/>
      <c r="HE231" s="205"/>
      <c r="HF231" s="205"/>
      <c r="HG231" s="205"/>
      <c r="HH231" s="205"/>
      <c r="HI231" s="205"/>
      <c r="HJ231" s="205"/>
      <c r="HK231" s="205"/>
      <c r="HL231" s="205"/>
      <c r="HM231" s="205"/>
      <c r="HN231" s="205"/>
      <c r="HO231" s="205"/>
      <c r="HP231" s="205"/>
      <c r="HQ231" s="205"/>
      <c r="HR231" s="205"/>
      <c r="HS231" s="205"/>
      <c r="HT231" s="205"/>
      <c r="HU231" s="205"/>
      <c r="HV231" s="205"/>
      <c r="HW231" s="205"/>
      <c r="HX231" s="205"/>
      <c r="HY231" s="205"/>
      <c r="HZ231" s="205"/>
      <c r="IA231" s="205"/>
      <c r="IB231" s="205"/>
      <c r="IC231" s="205"/>
      <c r="ID231" s="205"/>
      <c r="IE231" s="205"/>
      <c r="IF231" s="205"/>
      <c r="IG231" s="205"/>
      <c r="IH231" s="205"/>
      <c r="II231" s="205"/>
      <c r="IJ231" s="205"/>
      <c r="IK231" s="205"/>
      <c r="IL231" s="205"/>
      <c r="IM231" s="205"/>
      <c r="IN231" s="205"/>
      <c r="IO231" s="205"/>
      <c r="IP231" s="205"/>
      <c r="IQ231" s="205"/>
      <c r="IR231" s="205"/>
      <c r="IS231" s="205"/>
      <c r="IT231" s="205"/>
      <c r="IU231" s="205"/>
      <c r="IV231" s="205"/>
      <c r="IW231" s="205"/>
      <c r="IX231" s="205"/>
    </row>
    <row r="232" spans="1:258" s="203" customFormat="1" x14ac:dyDescent="0.2">
      <c r="A232" s="669"/>
      <c r="B232" s="670"/>
      <c r="C232" s="1358"/>
      <c r="D232" s="672"/>
      <c r="E232" s="1359"/>
      <c r="F232" s="1359"/>
      <c r="G232" s="1360" t="s">
        <v>1713</v>
      </c>
      <c r="H232" s="1361">
        <f>H78</f>
        <v>198</v>
      </c>
      <c r="I232" s="1362" t="s">
        <v>424</v>
      </c>
      <c r="J232" s="1362">
        <v>0.15</v>
      </c>
      <c r="K232" s="1362" t="s">
        <v>424</v>
      </c>
      <c r="L232" s="1362">
        <v>0.2</v>
      </c>
      <c r="M232" s="1362"/>
      <c r="N232" s="1362"/>
      <c r="O232" s="1362"/>
      <c r="P232" s="1362"/>
      <c r="Q232" s="1362" t="s">
        <v>696</v>
      </c>
      <c r="R232" s="1363">
        <f t="shared" ref="R232:R233" si="106">H232*J232*L232</f>
        <v>5.94</v>
      </c>
      <c r="S232" s="1364"/>
      <c r="T232" s="722"/>
      <c r="U232" s="205"/>
      <c r="V232" s="68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05"/>
      <c r="BN232" s="205"/>
      <c r="BO232" s="205"/>
      <c r="BP232" s="205"/>
      <c r="BQ232" s="205"/>
      <c r="BR232" s="205"/>
      <c r="BS232" s="205"/>
      <c r="BT232" s="205"/>
      <c r="BU232" s="205"/>
      <c r="BV232" s="205"/>
      <c r="BW232" s="205"/>
      <c r="BX232" s="205"/>
      <c r="BY232" s="205"/>
      <c r="BZ232" s="205"/>
      <c r="CA232" s="205"/>
      <c r="CB232" s="205"/>
      <c r="CC232" s="205"/>
      <c r="CD232" s="205"/>
      <c r="CE232" s="205"/>
      <c r="CF232" s="205"/>
      <c r="CG232" s="205"/>
      <c r="CH232" s="205"/>
      <c r="CI232" s="205"/>
      <c r="CJ232" s="205"/>
      <c r="CK232" s="205"/>
      <c r="CL232" s="205"/>
      <c r="CM232" s="205"/>
      <c r="CN232" s="205"/>
      <c r="CO232" s="205"/>
      <c r="CP232" s="205"/>
      <c r="CQ232" s="205"/>
      <c r="CR232" s="205"/>
      <c r="CS232" s="205"/>
      <c r="CT232" s="205"/>
      <c r="CU232" s="205"/>
      <c r="CV232" s="205"/>
      <c r="CW232" s="205"/>
      <c r="CX232" s="205"/>
      <c r="CY232" s="205"/>
      <c r="CZ232" s="205"/>
      <c r="DA232" s="205"/>
      <c r="DB232" s="205"/>
      <c r="DC232" s="205"/>
      <c r="DD232" s="205"/>
      <c r="DE232" s="205"/>
      <c r="DF232" s="205"/>
      <c r="DG232" s="205"/>
      <c r="DH232" s="205"/>
      <c r="DI232" s="205"/>
      <c r="DJ232" s="205"/>
      <c r="DK232" s="205"/>
      <c r="DL232" s="205"/>
      <c r="DM232" s="205"/>
      <c r="DN232" s="205"/>
      <c r="DO232" s="205"/>
      <c r="DP232" s="205"/>
      <c r="DQ232" s="205"/>
      <c r="DR232" s="205"/>
      <c r="DS232" s="205"/>
      <c r="DT232" s="205"/>
      <c r="DU232" s="205"/>
      <c r="DV232" s="205"/>
      <c r="DW232" s="205"/>
      <c r="DX232" s="205"/>
      <c r="DY232" s="205"/>
      <c r="DZ232" s="205"/>
      <c r="EA232" s="205"/>
      <c r="EB232" s="205"/>
      <c r="EC232" s="205"/>
      <c r="ED232" s="205"/>
      <c r="EE232" s="205"/>
      <c r="EF232" s="205"/>
      <c r="EG232" s="205"/>
      <c r="EH232" s="205"/>
      <c r="EI232" s="205"/>
      <c r="EJ232" s="205"/>
      <c r="EK232" s="205"/>
      <c r="EL232" s="205"/>
      <c r="EM232" s="205"/>
      <c r="EN232" s="205"/>
      <c r="EO232" s="205"/>
      <c r="EP232" s="205"/>
      <c r="EQ232" s="205"/>
      <c r="ER232" s="205"/>
      <c r="ES232" s="205"/>
      <c r="ET232" s="205"/>
      <c r="EU232" s="205"/>
      <c r="EV232" s="205"/>
      <c r="EW232" s="205"/>
      <c r="EX232" s="205"/>
      <c r="EY232" s="205"/>
      <c r="EZ232" s="205"/>
      <c r="FA232" s="205"/>
      <c r="FB232" s="205"/>
      <c r="FC232" s="205"/>
      <c r="FD232" s="205"/>
      <c r="FE232" s="205"/>
      <c r="FF232" s="205"/>
      <c r="FG232" s="205"/>
      <c r="FH232" s="205"/>
      <c r="FI232" s="205"/>
      <c r="FJ232" s="205"/>
      <c r="FK232" s="205"/>
      <c r="FL232" s="205"/>
      <c r="FM232" s="205"/>
      <c r="FN232" s="205"/>
      <c r="FO232" s="205"/>
      <c r="FP232" s="205"/>
      <c r="FQ232" s="205"/>
      <c r="FR232" s="205"/>
      <c r="FS232" s="205"/>
      <c r="FT232" s="205"/>
      <c r="FU232" s="205"/>
      <c r="FV232" s="205"/>
      <c r="FW232" s="205"/>
      <c r="FX232" s="205"/>
      <c r="FY232" s="205"/>
      <c r="FZ232" s="205"/>
      <c r="GA232" s="205"/>
      <c r="GB232" s="205"/>
      <c r="GC232" s="205"/>
      <c r="GD232" s="205"/>
      <c r="GE232" s="205"/>
      <c r="GF232" s="205"/>
      <c r="GG232" s="205"/>
      <c r="GH232" s="205"/>
      <c r="GI232" s="205"/>
      <c r="GJ232" s="205"/>
      <c r="GK232" s="205"/>
      <c r="GL232" s="205"/>
      <c r="GM232" s="205"/>
      <c r="GN232" s="205"/>
      <c r="GO232" s="205"/>
      <c r="GP232" s="205"/>
      <c r="GQ232" s="205"/>
      <c r="GR232" s="205"/>
      <c r="GS232" s="205"/>
      <c r="GT232" s="205"/>
      <c r="GU232" s="205"/>
      <c r="GV232" s="205"/>
      <c r="GW232" s="205"/>
      <c r="GX232" s="205"/>
      <c r="GY232" s="205"/>
      <c r="GZ232" s="205"/>
      <c r="HA232" s="205"/>
      <c r="HB232" s="205"/>
      <c r="HC232" s="205"/>
      <c r="HD232" s="205"/>
      <c r="HE232" s="205"/>
      <c r="HF232" s="205"/>
      <c r="HG232" s="205"/>
      <c r="HH232" s="205"/>
      <c r="HI232" s="205"/>
      <c r="HJ232" s="205"/>
      <c r="HK232" s="205"/>
      <c r="HL232" s="205"/>
      <c r="HM232" s="205"/>
      <c r="HN232" s="205"/>
      <c r="HO232" s="205"/>
      <c r="HP232" s="205"/>
      <c r="HQ232" s="205"/>
      <c r="HR232" s="205"/>
      <c r="HS232" s="205"/>
      <c r="HT232" s="205"/>
      <c r="HU232" s="205"/>
      <c r="HV232" s="205"/>
      <c r="HW232" s="205"/>
      <c r="HX232" s="205"/>
      <c r="HY232" s="205"/>
      <c r="HZ232" s="205"/>
      <c r="IA232" s="205"/>
      <c r="IB232" s="205"/>
      <c r="IC232" s="205"/>
      <c r="ID232" s="205"/>
      <c r="IE232" s="205"/>
      <c r="IF232" s="205"/>
      <c r="IG232" s="205"/>
      <c r="IH232" s="205"/>
      <c r="II232" s="205"/>
      <c r="IJ232" s="205"/>
      <c r="IK232" s="205"/>
      <c r="IL232" s="205"/>
      <c r="IM232" s="205"/>
      <c r="IN232" s="205"/>
      <c r="IO232" s="205"/>
      <c r="IP232" s="205"/>
      <c r="IQ232" s="205"/>
      <c r="IR232" s="205"/>
      <c r="IS232" s="205"/>
      <c r="IT232" s="205"/>
      <c r="IU232" s="205"/>
      <c r="IV232" s="205"/>
      <c r="IW232" s="205"/>
      <c r="IX232" s="205"/>
    </row>
    <row r="233" spans="1:258" s="203" customFormat="1" x14ac:dyDescent="0.2">
      <c r="A233" s="669"/>
      <c r="B233" s="670"/>
      <c r="C233" s="1358"/>
      <c r="D233" s="672"/>
      <c r="E233" s="1359"/>
      <c r="F233" s="1359"/>
      <c r="G233" s="1360" t="s">
        <v>1714</v>
      </c>
      <c r="H233" s="1361">
        <v>15</v>
      </c>
      <c r="I233" s="1362" t="s">
        <v>424</v>
      </c>
      <c r="J233" s="1362">
        <v>0.15</v>
      </c>
      <c r="K233" s="1362" t="s">
        <v>424</v>
      </c>
      <c r="L233" s="1362">
        <v>0.2</v>
      </c>
      <c r="M233" s="1362"/>
      <c r="N233" s="1362"/>
      <c r="O233" s="1362"/>
      <c r="P233" s="1362"/>
      <c r="Q233" s="1362" t="s">
        <v>696</v>
      </c>
      <c r="R233" s="1363">
        <f t="shared" si="106"/>
        <v>0.45</v>
      </c>
      <c r="S233" s="1364"/>
      <c r="T233" s="722"/>
      <c r="U233" s="205"/>
      <c r="V233" s="68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05"/>
      <c r="BN233" s="205"/>
      <c r="BO233" s="205"/>
      <c r="BP233" s="205"/>
      <c r="BQ233" s="205"/>
      <c r="BR233" s="205"/>
      <c r="BS233" s="205"/>
      <c r="BT233" s="205"/>
      <c r="BU233" s="205"/>
      <c r="BV233" s="205"/>
      <c r="BW233" s="205"/>
      <c r="BX233" s="205"/>
      <c r="BY233" s="205"/>
      <c r="BZ233" s="205"/>
      <c r="CA233" s="205"/>
      <c r="CB233" s="205"/>
      <c r="CC233" s="205"/>
      <c r="CD233" s="205"/>
      <c r="CE233" s="205"/>
      <c r="CF233" s="205"/>
      <c r="CG233" s="205"/>
      <c r="CH233" s="205"/>
      <c r="CI233" s="205"/>
      <c r="CJ233" s="205"/>
      <c r="CK233" s="205"/>
      <c r="CL233" s="205"/>
      <c r="CM233" s="205"/>
      <c r="CN233" s="205"/>
      <c r="CO233" s="205"/>
      <c r="CP233" s="205"/>
      <c r="CQ233" s="205"/>
      <c r="CR233" s="205"/>
      <c r="CS233" s="205"/>
      <c r="CT233" s="205"/>
      <c r="CU233" s="205"/>
      <c r="CV233" s="205"/>
      <c r="CW233" s="205"/>
      <c r="CX233" s="205"/>
      <c r="CY233" s="205"/>
      <c r="CZ233" s="205"/>
      <c r="DA233" s="205"/>
      <c r="DB233" s="205"/>
      <c r="DC233" s="205"/>
      <c r="DD233" s="205"/>
      <c r="DE233" s="205"/>
      <c r="DF233" s="205"/>
      <c r="DG233" s="205"/>
      <c r="DH233" s="205"/>
      <c r="DI233" s="205"/>
      <c r="DJ233" s="205"/>
      <c r="DK233" s="205"/>
      <c r="DL233" s="205"/>
      <c r="DM233" s="205"/>
      <c r="DN233" s="205"/>
      <c r="DO233" s="205"/>
      <c r="DP233" s="205"/>
      <c r="DQ233" s="205"/>
      <c r="DR233" s="205"/>
      <c r="DS233" s="205"/>
      <c r="DT233" s="205"/>
      <c r="DU233" s="205"/>
      <c r="DV233" s="205"/>
      <c r="DW233" s="205"/>
      <c r="DX233" s="205"/>
      <c r="DY233" s="205"/>
      <c r="DZ233" s="205"/>
      <c r="EA233" s="205"/>
      <c r="EB233" s="205"/>
      <c r="EC233" s="205"/>
      <c r="ED233" s="205"/>
      <c r="EE233" s="205"/>
      <c r="EF233" s="205"/>
      <c r="EG233" s="205"/>
      <c r="EH233" s="205"/>
      <c r="EI233" s="205"/>
      <c r="EJ233" s="205"/>
      <c r="EK233" s="205"/>
      <c r="EL233" s="205"/>
      <c r="EM233" s="205"/>
      <c r="EN233" s="205"/>
      <c r="EO233" s="205"/>
      <c r="EP233" s="205"/>
      <c r="EQ233" s="205"/>
      <c r="ER233" s="205"/>
      <c r="ES233" s="205"/>
      <c r="ET233" s="205"/>
      <c r="EU233" s="205"/>
      <c r="EV233" s="205"/>
      <c r="EW233" s="205"/>
      <c r="EX233" s="205"/>
      <c r="EY233" s="205"/>
      <c r="EZ233" s="205"/>
      <c r="FA233" s="205"/>
      <c r="FB233" s="205"/>
      <c r="FC233" s="205"/>
      <c r="FD233" s="205"/>
      <c r="FE233" s="205"/>
      <c r="FF233" s="205"/>
      <c r="FG233" s="205"/>
      <c r="FH233" s="205"/>
      <c r="FI233" s="205"/>
      <c r="FJ233" s="205"/>
      <c r="FK233" s="205"/>
      <c r="FL233" s="205"/>
      <c r="FM233" s="205"/>
      <c r="FN233" s="205"/>
      <c r="FO233" s="205"/>
      <c r="FP233" s="205"/>
      <c r="FQ233" s="205"/>
      <c r="FR233" s="205"/>
      <c r="FS233" s="205"/>
      <c r="FT233" s="205"/>
      <c r="FU233" s="205"/>
      <c r="FV233" s="205"/>
      <c r="FW233" s="205"/>
      <c r="FX233" s="205"/>
      <c r="FY233" s="205"/>
      <c r="FZ233" s="205"/>
      <c r="GA233" s="205"/>
      <c r="GB233" s="205"/>
      <c r="GC233" s="205"/>
      <c r="GD233" s="205"/>
      <c r="GE233" s="205"/>
      <c r="GF233" s="205"/>
      <c r="GG233" s="205"/>
      <c r="GH233" s="205"/>
      <c r="GI233" s="205"/>
      <c r="GJ233" s="205"/>
      <c r="GK233" s="205"/>
      <c r="GL233" s="205"/>
      <c r="GM233" s="205"/>
      <c r="GN233" s="205"/>
      <c r="GO233" s="205"/>
      <c r="GP233" s="205"/>
      <c r="GQ233" s="205"/>
      <c r="GR233" s="205"/>
      <c r="GS233" s="205"/>
      <c r="GT233" s="205"/>
      <c r="GU233" s="205"/>
      <c r="GV233" s="205"/>
      <c r="GW233" s="205"/>
      <c r="GX233" s="205"/>
      <c r="GY233" s="205"/>
      <c r="GZ233" s="205"/>
      <c r="HA233" s="205"/>
      <c r="HB233" s="205"/>
      <c r="HC233" s="205"/>
      <c r="HD233" s="205"/>
      <c r="HE233" s="205"/>
      <c r="HF233" s="205"/>
      <c r="HG233" s="205"/>
      <c r="HH233" s="205"/>
      <c r="HI233" s="205"/>
      <c r="HJ233" s="205"/>
      <c r="HK233" s="205"/>
      <c r="HL233" s="205"/>
      <c r="HM233" s="205"/>
      <c r="HN233" s="205"/>
      <c r="HO233" s="205"/>
      <c r="HP233" s="205"/>
      <c r="HQ233" s="205"/>
      <c r="HR233" s="205"/>
      <c r="HS233" s="205"/>
      <c r="HT233" s="205"/>
      <c r="HU233" s="205"/>
      <c r="HV233" s="205"/>
      <c r="HW233" s="205"/>
      <c r="HX233" s="205"/>
      <c r="HY233" s="205"/>
      <c r="HZ233" s="205"/>
      <c r="IA233" s="205"/>
      <c r="IB233" s="205"/>
      <c r="IC233" s="205"/>
      <c r="ID233" s="205"/>
      <c r="IE233" s="205"/>
      <c r="IF233" s="205"/>
      <c r="IG233" s="205"/>
      <c r="IH233" s="205"/>
      <c r="II233" s="205"/>
      <c r="IJ233" s="205"/>
      <c r="IK233" s="205"/>
      <c r="IL233" s="205"/>
      <c r="IM233" s="205"/>
      <c r="IN233" s="205"/>
      <c r="IO233" s="205"/>
      <c r="IP233" s="205"/>
      <c r="IQ233" s="205"/>
      <c r="IR233" s="205"/>
      <c r="IS233" s="205"/>
      <c r="IT233" s="205"/>
      <c r="IU233" s="205"/>
      <c r="IV233" s="205"/>
      <c r="IW233" s="205"/>
      <c r="IX233" s="205"/>
    </row>
    <row r="234" spans="1:258" s="203" customFormat="1" x14ac:dyDescent="0.2">
      <c r="A234" s="669"/>
      <c r="B234" s="670"/>
      <c r="C234" s="1358"/>
      <c r="D234" s="672"/>
      <c r="E234" s="1359"/>
      <c r="F234" s="1359"/>
      <c r="G234" s="1360"/>
      <c r="H234" s="1361">
        <f>SUM(H232:H233)</f>
        <v>213</v>
      </c>
      <c r="I234" s="1362"/>
      <c r="J234" s="1362"/>
      <c r="K234" s="1362"/>
      <c r="L234" s="1362"/>
      <c r="M234" s="1362"/>
      <c r="N234" s="1362"/>
      <c r="O234" s="1362"/>
      <c r="P234" s="1362"/>
      <c r="Q234" s="1362"/>
      <c r="R234" s="1363">
        <f>SUM(R232:R233)</f>
        <v>6.3900000000000006</v>
      </c>
      <c r="S234" s="1364">
        <f>R234</f>
        <v>6.3900000000000006</v>
      </c>
      <c r="T234" s="722" t="s">
        <v>293</v>
      </c>
      <c r="U234" s="205"/>
      <c r="V234" s="685">
        <f>S239/S234</f>
        <v>186.09995000000001</v>
      </c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05"/>
      <c r="BN234" s="205"/>
      <c r="BO234" s="205"/>
      <c r="BP234" s="205"/>
      <c r="BQ234" s="205"/>
      <c r="BR234" s="205"/>
      <c r="BS234" s="205"/>
      <c r="BT234" s="205"/>
      <c r="BU234" s="205"/>
      <c r="BV234" s="205"/>
      <c r="BW234" s="205"/>
      <c r="BX234" s="205"/>
      <c r="BY234" s="205"/>
      <c r="BZ234" s="205"/>
      <c r="CA234" s="205"/>
      <c r="CB234" s="205"/>
      <c r="CC234" s="205"/>
      <c r="CD234" s="205"/>
      <c r="CE234" s="205"/>
      <c r="CF234" s="205"/>
      <c r="CG234" s="205"/>
      <c r="CH234" s="205"/>
      <c r="CI234" s="205"/>
      <c r="CJ234" s="205"/>
      <c r="CK234" s="205"/>
      <c r="CL234" s="205"/>
      <c r="CM234" s="205"/>
      <c r="CN234" s="205"/>
      <c r="CO234" s="205"/>
      <c r="CP234" s="205"/>
      <c r="CQ234" s="205"/>
      <c r="CR234" s="205"/>
      <c r="CS234" s="205"/>
      <c r="CT234" s="205"/>
      <c r="CU234" s="205"/>
      <c r="CV234" s="205"/>
      <c r="CW234" s="205"/>
      <c r="CX234" s="205"/>
      <c r="CY234" s="205"/>
      <c r="CZ234" s="205"/>
      <c r="DA234" s="205"/>
      <c r="DB234" s="205"/>
      <c r="DC234" s="205"/>
      <c r="DD234" s="205"/>
      <c r="DE234" s="205"/>
      <c r="DF234" s="205"/>
      <c r="DG234" s="205"/>
      <c r="DH234" s="205"/>
      <c r="DI234" s="205"/>
      <c r="DJ234" s="205"/>
      <c r="DK234" s="205"/>
      <c r="DL234" s="205"/>
      <c r="DM234" s="205"/>
      <c r="DN234" s="205"/>
      <c r="DO234" s="205"/>
      <c r="DP234" s="205"/>
      <c r="DQ234" s="205"/>
      <c r="DR234" s="205"/>
      <c r="DS234" s="205"/>
      <c r="DT234" s="205"/>
      <c r="DU234" s="205"/>
      <c r="DV234" s="205"/>
      <c r="DW234" s="205"/>
      <c r="DX234" s="205"/>
      <c r="DY234" s="205"/>
      <c r="DZ234" s="205"/>
      <c r="EA234" s="205"/>
      <c r="EB234" s="205"/>
      <c r="EC234" s="205"/>
      <c r="ED234" s="205"/>
      <c r="EE234" s="205"/>
      <c r="EF234" s="205"/>
      <c r="EG234" s="205"/>
      <c r="EH234" s="205"/>
      <c r="EI234" s="205"/>
      <c r="EJ234" s="205"/>
      <c r="EK234" s="205"/>
      <c r="EL234" s="205"/>
      <c r="EM234" s="205"/>
      <c r="EN234" s="205"/>
      <c r="EO234" s="205"/>
      <c r="EP234" s="205"/>
      <c r="EQ234" s="205"/>
      <c r="ER234" s="205"/>
      <c r="ES234" s="205"/>
      <c r="ET234" s="205"/>
      <c r="EU234" s="205"/>
      <c r="EV234" s="205"/>
      <c r="EW234" s="205"/>
      <c r="EX234" s="205"/>
      <c r="EY234" s="205"/>
      <c r="EZ234" s="205"/>
      <c r="FA234" s="205"/>
      <c r="FB234" s="205"/>
      <c r="FC234" s="205"/>
      <c r="FD234" s="205"/>
      <c r="FE234" s="205"/>
      <c r="FF234" s="205"/>
      <c r="FG234" s="205"/>
      <c r="FH234" s="205"/>
      <c r="FI234" s="205"/>
      <c r="FJ234" s="205"/>
      <c r="FK234" s="205"/>
      <c r="FL234" s="205"/>
      <c r="FM234" s="205"/>
      <c r="FN234" s="205"/>
      <c r="FO234" s="205"/>
      <c r="FP234" s="205"/>
      <c r="FQ234" s="205"/>
      <c r="FR234" s="205"/>
      <c r="FS234" s="205"/>
      <c r="FT234" s="205"/>
      <c r="FU234" s="205"/>
      <c r="FV234" s="205"/>
      <c r="FW234" s="205"/>
      <c r="FX234" s="205"/>
      <c r="FY234" s="205"/>
      <c r="FZ234" s="205"/>
      <c r="GA234" s="205"/>
      <c r="GB234" s="205"/>
      <c r="GC234" s="205"/>
      <c r="GD234" s="205"/>
      <c r="GE234" s="205"/>
      <c r="GF234" s="205"/>
      <c r="GG234" s="205"/>
      <c r="GH234" s="205"/>
      <c r="GI234" s="205"/>
      <c r="GJ234" s="205"/>
      <c r="GK234" s="205"/>
      <c r="GL234" s="205"/>
      <c r="GM234" s="205"/>
      <c r="GN234" s="205"/>
      <c r="GO234" s="205"/>
      <c r="GP234" s="205"/>
      <c r="GQ234" s="205"/>
      <c r="GR234" s="205"/>
      <c r="GS234" s="205"/>
      <c r="GT234" s="205"/>
      <c r="GU234" s="205"/>
      <c r="GV234" s="205"/>
      <c r="GW234" s="205"/>
      <c r="GX234" s="205"/>
      <c r="GY234" s="205"/>
      <c r="GZ234" s="205"/>
      <c r="HA234" s="205"/>
      <c r="HB234" s="205"/>
      <c r="HC234" s="205"/>
      <c r="HD234" s="205"/>
      <c r="HE234" s="205"/>
      <c r="HF234" s="205"/>
      <c r="HG234" s="205"/>
      <c r="HH234" s="205"/>
      <c r="HI234" s="205"/>
      <c r="HJ234" s="205"/>
      <c r="HK234" s="205"/>
      <c r="HL234" s="205"/>
      <c r="HM234" s="205"/>
      <c r="HN234" s="205"/>
      <c r="HO234" s="205"/>
      <c r="HP234" s="205"/>
      <c r="HQ234" s="205"/>
      <c r="HR234" s="205"/>
      <c r="HS234" s="205"/>
      <c r="HT234" s="205"/>
      <c r="HU234" s="205"/>
      <c r="HV234" s="205"/>
      <c r="HW234" s="205"/>
      <c r="HX234" s="205"/>
      <c r="HY234" s="205"/>
      <c r="HZ234" s="205"/>
      <c r="IA234" s="205"/>
      <c r="IB234" s="205"/>
      <c r="IC234" s="205"/>
      <c r="ID234" s="205"/>
      <c r="IE234" s="205"/>
      <c r="IF234" s="205"/>
      <c r="IG234" s="205"/>
      <c r="IH234" s="205"/>
      <c r="II234" s="205"/>
      <c r="IJ234" s="205"/>
      <c r="IK234" s="205"/>
      <c r="IL234" s="205"/>
      <c r="IM234" s="205"/>
      <c r="IN234" s="205"/>
      <c r="IO234" s="205"/>
      <c r="IP234" s="205"/>
      <c r="IQ234" s="205"/>
      <c r="IR234" s="205"/>
      <c r="IS234" s="205"/>
      <c r="IT234" s="205"/>
      <c r="IU234" s="205"/>
      <c r="IV234" s="205"/>
      <c r="IW234" s="205"/>
      <c r="IX234" s="205"/>
    </row>
    <row r="235" spans="1:258" s="203" customFormat="1" x14ac:dyDescent="0.2">
      <c r="A235" s="669"/>
      <c r="B235" s="670"/>
      <c r="C235" s="1358"/>
      <c r="D235" s="672"/>
      <c r="E235" s="1359"/>
      <c r="F235" s="1359"/>
      <c r="G235" s="1360"/>
      <c r="H235" s="1361"/>
      <c r="I235" s="1362"/>
      <c r="J235" s="1362"/>
      <c r="K235" s="1362"/>
      <c r="L235" s="1362"/>
      <c r="M235" s="1362"/>
      <c r="N235" s="1362"/>
      <c r="O235" s="1362"/>
      <c r="P235" s="1362"/>
      <c r="Q235" s="1362"/>
      <c r="R235" s="1363"/>
      <c r="S235" s="1364"/>
      <c r="T235" s="722"/>
      <c r="U235" s="205"/>
      <c r="V235" s="685"/>
      <c r="W235" s="205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205"/>
      <c r="BN235" s="205"/>
      <c r="BO235" s="205"/>
      <c r="BP235" s="205"/>
      <c r="BQ235" s="205"/>
      <c r="BR235" s="205"/>
      <c r="BS235" s="205"/>
      <c r="BT235" s="205"/>
      <c r="BU235" s="205"/>
      <c r="BV235" s="205"/>
      <c r="BW235" s="205"/>
      <c r="BX235" s="205"/>
      <c r="BY235" s="205"/>
      <c r="BZ235" s="205"/>
      <c r="CA235" s="205"/>
      <c r="CB235" s="205"/>
      <c r="CC235" s="205"/>
      <c r="CD235" s="205"/>
      <c r="CE235" s="205"/>
      <c r="CF235" s="205"/>
      <c r="CG235" s="205"/>
      <c r="CH235" s="205"/>
      <c r="CI235" s="205"/>
      <c r="CJ235" s="205"/>
      <c r="CK235" s="205"/>
      <c r="CL235" s="205"/>
      <c r="CM235" s="205"/>
      <c r="CN235" s="205"/>
      <c r="CO235" s="205"/>
      <c r="CP235" s="205"/>
      <c r="CQ235" s="205"/>
      <c r="CR235" s="205"/>
      <c r="CS235" s="205"/>
      <c r="CT235" s="205"/>
      <c r="CU235" s="205"/>
      <c r="CV235" s="205"/>
      <c r="CW235" s="205"/>
      <c r="CX235" s="205"/>
      <c r="CY235" s="205"/>
      <c r="CZ235" s="205"/>
      <c r="DA235" s="205"/>
      <c r="DB235" s="205"/>
      <c r="DC235" s="205"/>
      <c r="DD235" s="205"/>
      <c r="DE235" s="205"/>
      <c r="DF235" s="205"/>
      <c r="DG235" s="205"/>
      <c r="DH235" s="205"/>
      <c r="DI235" s="205"/>
      <c r="DJ235" s="205"/>
      <c r="DK235" s="205"/>
      <c r="DL235" s="205"/>
      <c r="DM235" s="205"/>
      <c r="DN235" s="205"/>
      <c r="DO235" s="205"/>
      <c r="DP235" s="205"/>
      <c r="DQ235" s="205"/>
      <c r="DR235" s="205"/>
      <c r="DS235" s="205"/>
      <c r="DT235" s="205"/>
      <c r="DU235" s="205"/>
      <c r="DV235" s="205"/>
      <c r="DW235" s="205"/>
      <c r="DX235" s="205"/>
      <c r="DY235" s="205"/>
      <c r="DZ235" s="205"/>
      <c r="EA235" s="205"/>
      <c r="EB235" s="205"/>
      <c r="EC235" s="205"/>
      <c r="ED235" s="205"/>
      <c r="EE235" s="205"/>
      <c r="EF235" s="205"/>
      <c r="EG235" s="205"/>
      <c r="EH235" s="205"/>
      <c r="EI235" s="205"/>
      <c r="EJ235" s="205"/>
      <c r="EK235" s="205"/>
      <c r="EL235" s="205"/>
      <c r="EM235" s="205"/>
      <c r="EN235" s="205"/>
      <c r="EO235" s="205"/>
      <c r="EP235" s="205"/>
      <c r="EQ235" s="205"/>
      <c r="ER235" s="205"/>
      <c r="ES235" s="205"/>
      <c r="ET235" s="205"/>
      <c r="EU235" s="205"/>
      <c r="EV235" s="205"/>
      <c r="EW235" s="205"/>
      <c r="EX235" s="205"/>
      <c r="EY235" s="205"/>
      <c r="EZ235" s="205"/>
      <c r="FA235" s="205"/>
      <c r="FB235" s="205"/>
      <c r="FC235" s="205"/>
      <c r="FD235" s="205"/>
      <c r="FE235" s="205"/>
      <c r="FF235" s="205"/>
      <c r="FG235" s="205"/>
      <c r="FH235" s="205"/>
      <c r="FI235" s="205"/>
      <c r="FJ235" s="205"/>
      <c r="FK235" s="205"/>
      <c r="FL235" s="205"/>
      <c r="FM235" s="205"/>
      <c r="FN235" s="205"/>
      <c r="FO235" s="205"/>
      <c r="FP235" s="205"/>
      <c r="FQ235" s="205"/>
      <c r="FR235" s="205"/>
      <c r="FS235" s="205"/>
      <c r="FT235" s="205"/>
      <c r="FU235" s="205"/>
      <c r="FV235" s="205"/>
      <c r="FW235" s="205"/>
      <c r="FX235" s="205"/>
      <c r="FY235" s="205"/>
      <c r="FZ235" s="205"/>
      <c r="GA235" s="205"/>
      <c r="GB235" s="205"/>
      <c r="GC235" s="205"/>
      <c r="GD235" s="205"/>
      <c r="GE235" s="205"/>
      <c r="GF235" s="205"/>
      <c r="GG235" s="205"/>
      <c r="GH235" s="205"/>
      <c r="GI235" s="205"/>
      <c r="GJ235" s="205"/>
      <c r="GK235" s="205"/>
      <c r="GL235" s="205"/>
      <c r="GM235" s="205"/>
      <c r="GN235" s="205"/>
      <c r="GO235" s="205"/>
      <c r="GP235" s="205"/>
      <c r="GQ235" s="205"/>
      <c r="GR235" s="205"/>
      <c r="GS235" s="205"/>
      <c r="GT235" s="205"/>
      <c r="GU235" s="205"/>
      <c r="GV235" s="205"/>
      <c r="GW235" s="205"/>
      <c r="GX235" s="205"/>
      <c r="GY235" s="205"/>
      <c r="GZ235" s="205"/>
      <c r="HA235" s="205"/>
      <c r="HB235" s="205"/>
      <c r="HC235" s="205"/>
      <c r="HD235" s="205"/>
      <c r="HE235" s="205"/>
      <c r="HF235" s="205"/>
      <c r="HG235" s="205"/>
      <c r="HH235" s="205"/>
      <c r="HI235" s="205"/>
      <c r="HJ235" s="205"/>
      <c r="HK235" s="205"/>
      <c r="HL235" s="205"/>
      <c r="HM235" s="205"/>
      <c r="HN235" s="205"/>
      <c r="HO235" s="205"/>
      <c r="HP235" s="205"/>
      <c r="HQ235" s="205"/>
      <c r="HR235" s="205"/>
      <c r="HS235" s="205"/>
      <c r="HT235" s="205"/>
      <c r="HU235" s="205"/>
      <c r="HV235" s="205"/>
      <c r="HW235" s="205"/>
      <c r="HX235" s="205"/>
      <c r="HY235" s="205"/>
      <c r="HZ235" s="205"/>
      <c r="IA235" s="205"/>
      <c r="IB235" s="205"/>
      <c r="IC235" s="205"/>
      <c r="ID235" s="205"/>
      <c r="IE235" s="205"/>
      <c r="IF235" s="205"/>
      <c r="IG235" s="205"/>
      <c r="IH235" s="205"/>
      <c r="II235" s="205"/>
      <c r="IJ235" s="205"/>
      <c r="IK235" s="205"/>
      <c r="IL235" s="205"/>
      <c r="IM235" s="205"/>
      <c r="IN235" s="205"/>
      <c r="IO235" s="205"/>
      <c r="IP235" s="205"/>
      <c r="IQ235" s="205"/>
      <c r="IR235" s="205"/>
      <c r="IS235" s="205"/>
      <c r="IT235" s="205"/>
      <c r="IU235" s="205"/>
      <c r="IV235" s="205"/>
      <c r="IW235" s="205"/>
      <c r="IX235" s="205"/>
    </row>
    <row r="236" spans="1:258" s="203" customFormat="1" x14ac:dyDescent="0.2">
      <c r="A236" s="669"/>
      <c r="B236" s="670">
        <f>RAB!B83</f>
        <v>19</v>
      </c>
      <c r="C236" s="686" t="str">
        <f>RAB!D83</f>
        <v>Pembesian 1 kg dengan besi polos atau besi ulir</v>
      </c>
      <c r="D236" s="672"/>
      <c r="E236" s="673"/>
      <c r="F236" s="673"/>
      <c r="G236" s="674"/>
      <c r="H236" s="675"/>
      <c r="I236" s="676"/>
      <c r="J236" s="676"/>
      <c r="K236" s="676"/>
      <c r="L236" s="676"/>
      <c r="M236" s="676"/>
      <c r="N236" s="676"/>
      <c r="O236" s="676"/>
      <c r="P236" s="676"/>
      <c r="Q236" s="676"/>
      <c r="R236" s="677"/>
      <c r="S236" s="678"/>
      <c r="T236" s="684"/>
      <c r="U236" s="205"/>
      <c r="V236" s="685"/>
      <c r="W236" s="205"/>
      <c r="X236" s="205"/>
      <c r="Y236" s="205"/>
      <c r="Z236" s="205"/>
      <c r="AA236" s="205"/>
      <c r="AB236" s="205"/>
      <c r="AC236" s="205"/>
      <c r="AD236" s="205"/>
      <c r="AE236" s="205"/>
      <c r="AF236" s="205"/>
      <c r="AG236" s="205"/>
      <c r="AH236" s="205"/>
      <c r="AI236" s="205"/>
      <c r="AJ236" s="205"/>
      <c r="AK236" s="205"/>
      <c r="AL236" s="205"/>
      <c r="AM236" s="205"/>
      <c r="AN236" s="205"/>
      <c r="AO236" s="205"/>
      <c r="AP236" s="205"/>
      <c r="AQ236" s="205"/>
      <c r="AR236" s="205"/>
      <c r="AS236" s="205"/>
      <c r="AT236" s="205"/>
      <c r="AU236" s="205"/>
      <c r="AV236" s="205"/>
      <c r="AW236" s="205"/>
      <c r="AX236" s="205"/>
      <c r="AY236" s="205"/>
      <c r="AZ236" s="205"/>
      <c r="BA236" s="205"/>
      <c r="BB236" s="205"/>
      <c r="BC236" s="205"/>
      <c r="BD236" s="205"/>
      <c r="BE236" s="205"/>
      <c r="BF236" s="205"/>
      <c r="BG236" s="205"/>
      <c r="BH236" s="205"/>
      <c r="BI236" s="205"/>
      <c r="BJ236" s="205"/>
      <c r="BK236" s="205"/>
      <c r="BL236" s="205"/>
      <c r="BM236" s="205"/>
      <c r="BN236" s="205"/>
      <c r="BO236" s="205"/>
      <c r="BP236" s="205"/>
      <c r="BQ236" s="205"/>
      <c r="BR236" s="205"/>
      <c r="BS236" s="205"/>
      <c r="BT236" s="205"/>
      <c r="BU236" s="205"/>
      <c r="BV236" s="205"/>
      <c r="BW236" s="205"/>
      <c r="BX236" s="205"/>
      <c r="BY236" s="205"/>
      <c r="BZ236" s="205"/>
      <c r="CA236" s="205"/>
      <c r="CB236" s="205"/>
      <c r="CC236" s="205"/>
      <c r="CD236" s="205"/>
      <c r="CE236" s="205"/>
      <c r="CF236" s="205"/>
      <c r="CG236" s="205"/>
      <c r="CH236" s="205"/>
      <c r="CI236" s="205"/>
      <c r="CJ236" s="205"/>
      <c r="CK236" s="205"/>
      <c r="CL236" s="205"/>
      <c r="CM236" s="205"/>
      <c r="CN236" s="205"/>
      <c r="CO236" s="205"/>
      <c r="CP236" s="205"/>
      <c r="CQ236" s="205"/>
      <c r="CR236" s="205"/>
      <c r="CS236" s="205"/>
      <c r="CT236" s="205"/>
      <c r="CU236" s="205"/>
      <c r="CV236" s="205"/>
      <c r="CW236" s="205"/>
      <c r="CX236" s="205"/>
      <c r="CY236" s="205"/>
      <c r="CZ236" s="205"/>
      <c r="DA236" s="205"/>
      <c r="DB236" s="205"/>
      <c r="DC236" s="205"/>
      <c r="DD236" s="205"/>
      <c r="DE236" s="205"/>
      <c r="DF236" s="205"/>
      <c r="DG236" s="205"/>
      <c r="DH236" s="205"/>
      <c r="DI236" s="205"/>
      <c r="DJ236" s="205"/>
      <c r="DK236" s="205"/>
      <c r="DL236" s="205"/>
      <c r="DM236" s="205"/>
      <c r="DN236" s="205"/>
      <c r="DO236" s="205"/>
      <c r="DP236" s="205"/>
      <c r="DQ236" s="205"/>
      <c r="DR236" s="205"/>
      <c r="DS236" s="205"/>
      <c r="DT236" s="205"/>
      <c r="DU236" s="205"/>
      <c r="DV236" s="205"/>
      <c r="DW236" s="205"/>
      <c r="DX236" s="205"/>
      <c r="DY236" s="205"/>
      <c r="DZ236" s="205"/>
      <c r="EA236" s="205"/>
      <c r="EB236" s="205"/>
      <c r="EC236" s="205"/>
      <c r="ED236" s="205"/>
      <c r="EE236" s="205"/>
      <c r="EF236" s="205"/>
      <c r="EG236" s="205"/>
      <c r="EH236" s="205"/>
      <c r="EI236" s="205"/>
      <c r="EJ236" s="205"/>
      <c r="EK236" s="205"/>
      <c r="EL236" s="205"/>
      <c r="EM236" s="205"/>
      <c r="EN236" s="205"/>
      <c r="EO236" s="205"/>
      <c r="EP236" s="205"/>
      <c r="EQ236" s="205"/>
      <c r="ER236" s="205"/>
      <c r="ES236" s="205"/>
      <c r="ET236" s="205"/>
      <c r="EU236" s="205"/>
      <c r="EV236" s="205"/>
      <c r="EW236" s="205"/>
      <c r="EX236" s="205"/>
      <c r="EY236" s="205"/>
      <c r="EZ236" s="205"/>
      <c r="FA236" s="205"/>
      <c r="FB236" s="205"/>
      <c r="FC236" s="205"/>
      <c r="FD236" s="205"/>
      <c r="FE236" s="205"/>
      <c r="FF236" s="205"/>
      <c r="FG236" s="205"/>
      <c r="FH236" s="205"/>
      <c r="FI236" s="205"/>
      <c r="FJ236" s="205"/>
      <c r="FK236" s="205"/>
      <c r="FL236" s="205"/>
      <c r="FM236" s="205"/>
      <c r="FN236" s="205"/>
      <c r="FO236" s="205"/>
      <c r="FP236" s="205"/>
      <c r="FQ236" s="205"/>
      <c r="FR236" s="205"/>
      <c r="FS236" s="205"/>
      <c r="FT236" s="205"/>
      <c r="FU236" s="205"/>
      <c r="FV236" s="205"/>
      <c r="FW236" s="205"/>
      <c r="FX236" s="205"/>
      <c r="FY236" s="205"/>
      <c r="FZ236" s="205"/>
      <c r="GA236" s="205"/>
      <c r="GB236" s="205"/>
      <c r="GC236" s="205"/>
      <c r="GD236" s="205"/>
      <c r="GE236" s="205"/>
      <c r="GF236" s="205"/>
      <c r="GG236" s="205"/>
      <c r="GH236" s="205"/>
      <c r="GI236" s="205"/>
      <c r="GJ236" s="205"/>
      <c r="GK236" s="205"/>
      <c r="GL236" s="205"/>
      <c r="GM236" s="205"/>
      <c r="GN236" s="205"/>
      <c r="GO236" s="205"/>
      <c r="GP236" s="205"/>
      <c r="GQ236" s="205"/>
      <c r="GR236" s="205"/>
      <c r="GS236" s="205"/>
      <c r="GT236" s="205"/>
      <c r="GU236" s="205"/>
      <c r="GV236" s="205"/>
      <c r="GW236" s="205"/>
      <c r="GX236" s="205"/>
      <c r="GY236" s="205"/>
      <c r="GZ236" s="205"/>
      <c r="HA236" s="205"/>
      <c r="HB236" s="205"/>
      <c r="HC236" s="205"/>
      <c r="HD236" s="205"/>
      <c r="HE236" s="205"/>
      <c r="HF236" s="205"/>
      <c r="HG236" s="205"/>
      <c r="HH236" s="205"/>
      <c r="HI236" s="205"/>
      <c r="HJ236" s="205"/>
      <c r="HK236" s="205"/>
      <c r="HL236" s="205"/>
      <c r="HM236" s="205"/>
      <c r="HN236" s="205"/>
      <c r="HO236" s="205"/>
      <c r="HP236" s="205"/>
      <c r="HQ236" s="205"/>
      <c r="HR236" s="205"/>
      <c r="HS236" s="205"/>
      <c r="HT236" s="205"/>
      <c r="HU236" s="205"/>
      <c r="HV236" s="205"/>
      <c r="HW236" s="205"/>
      <c r="HX236" s="205"/>
      <c r="HY236" s="205"/>
      <c r="HZ236" s="205"/>
      <c r="IA236" s="205"/>
      <c r="IB236" s="205"/>
      <c r="IC236" s="205"/>
      <c r="ID236" s="205"/>
      <c r="IE236" s="205"/>
      <c r="IF236" s="205"/>
      <c r="IG236" s="205"/>
      <c r="IH236" s="205"/>
      <c r="II236" s="205"/>
      <c r="IJ236" s="205"/>
      <c r="IK236" s="205"/>
      <c r="IL236" s="205"/>
      <c r="IM236" s="205"/>
      <c r="IN236" s="205"/>
      <c r="IO236" s="205"/>
      <c r="IP236" s="205"/>
      <c r="IQ236" s="205"/>
      <c r="IR236" s="205"/>
      <c r="IS236" s="205"/>
      <c r="IT236" s="205"/>
      <c r="IU236" s="205"/>
      <c r="IV236" s="205"/>
      <c r="IW236" s="205"/>
      <c r="IX236" s="205"/>
    </row>
    <row r="237" spans="1:258" s="203" customFormat="1" x14ac:dyDescent="0.2">
      <c r="A237" s="669"/>
      <c r="B237" s="670"/>
      <c r="C237" s="1358"/>
      <c r="D237" s="672"/>
      <c r="E237" s="1359"/>
      <c r="F237" s="1359"/>
      <c r="G237" s="1360" t="s">
        <v>1657</v>
      </c>
      <c r="H237" s="1361">
        <f>H234</f>
        <v>213</v>
      </c>
      <c r="I237" s="1362" t="s">
        <v>424</v>
      </c>
      <c r="J237" s="1362">
        <v>4</v>
      </c>
      <c r="K237" s="1362" t="s">
        <v>424</v>
      </c>
      <c r="L237" s="1375">
        <f>Z237</f>
        <v>0.88736400000000004</v>
      </c>
      <c r="M237" s="1362"/>
      <c r="N237" s="1362"/>
      <c r="O237" s="1362"/>
      <c r="P237" s="1362"/>
      <c r="Q237" s="1362" t="s">
        <v>696</v>
      </c>
      <c r="R237" s="1363">
        <f t="shared" ref="R237:R238" si="107">H237*J237*L237</f>
        <v>756.03412800000001</v>
      </c>
      <c r="S237" s="1364"/>
      <c r="T237" s="722"/>
      <c r="U237" s="205"/>
      <c r="V237" s="687" t="s">
        <v>1553</v>
      </c>
      <c r="W237" s="688">
        <v>1.2E-2</v>
      </c>
      <c r="X237" s="689">
        <v>7850</v>
      </c>
      <c r="Y237" s="690">
        <f t="shared" ref="Y237:Y238" si="108">0.25*3.14*(W237*W237)</f>
        <v>1.1304E-4</v>
      </c>
      <c r="Z237" s="691">
        <f t="shared" ref="Z237:Z238" si="109">X237*Y237*AA237</f>
        <v>0.88736400000000004</v>
      </c>
      <c r="AA237" s="689">
        <v>1</v>
      </c>
      <c r="AB237" s="692">
        <f t="shared" ref="AB237:AB238" si="110">Z237*12</f>
        <v>10.648368000000001</v>
      </c>
      <c r="AC237" s="693" t="s">
        <v>1554</v>
      </c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C237" s="205"/>
      <c r="BD237" s="205"/>
      <c r="BE237" s="205"/>
      <c r="BF237" s="205"/>
      <c r="BG237" s="205"/>
      <c r="BH237" s="205"/>
      <c r="BI237" s="205"/>
      <c r="BJ237" s="205"/>
      <c r="BK237" s="205"/>
      <c r="BL237" s="205"/>
      <c r="BM237" s="205"/>
      <c r="BN237" s="205"/>
      <c r="BO237" s="205"/>
      <c r="BP237" s="205"/>
      <c r="BQ237" s="205"/>
      <c r="BR237" s="205"/>
      <c r="BS237" s="205"/>
      <c r="BT237" s="205"/>
      <c r="BU237" s="205"/>
      <c r="BV237" s="205"/>
      <c r="BW237" s="205"/>
      <c r="BX237" s="205"/>
      <c r="BY237" s="205"/>
      <c r="BZ237" s="205"/>
      <c r="CA237" s="205"/>
      <c r="CB237" s="205"/>
      <c r="CC237" s="205"/>
      <c r="CD237" s="205"/>
      <c r="CE237" s="205"/>
      <c r="CF237" s="205"/>
      <c r="CG237" s="205"/>
      <c r="CH237" s="205"/>
      <c r="CI237" s="205"/>
      <c r="CJ237" s="205"/>
      <c r="CK237" s="205"/>
      <c r="CL237" s="205"/>
      <c r="CM237" s="205"/>
      <c r="CN237" s="205"/>
      <c r="CO237" s="205"/>
      <c r="CP237" s="205"/>
      <c r="CQ237" s="205"/>
      <c r="CR237" s="205"/>
      <c r="CS237" s="205"/>
      <c r="CT237" s="205"/>
      <c r="CU237" s="205"/>
      <c r="CV237" s="205"/>
      <c r="CW237" s="205"/>
      <c r="CX237" s="205"/>
      <c r="CY237" s="205"/>
      <c r="CZ237" s="205"/>
      <c r="DA237" s="205"/>
      <c r="DB237" s="205"/>
      <c r="DC237" s="205"/>
      <c r="DD237" s="205"/>
      <c r="DE237" s="205"/>
      <c r="DF237" s="205"/>
      <c r="DG237" s="205"/>
      <c r="DH237" s="205"/>
      <c r="DI237" s="205"/>
      <c r="DJ237" s="205"/>
      <c r="DK237" s="205"/>
      <c r="DL237" s="205"/>
      <c r="DM237" s="205"/>
      <c r="DN237" s="205"/>
      <c r="DO237" s="205"/>
      <c r="DP237" s="205"/>
      <c r="DQ237" s="205"/>
      <c r="DR237" s="205"/>
      <c r="DS237" s="205"/>
      <c r="DT237" s="205"/>
      <c r="DU237" s="205"/>
      <c r="DV237" s="205"/>
      <c r="DW237" s="205"/>
      <c r="DX237" s="205"/>
      <c r="DY237" s="205"/>
      <c r="DZ237" s="205"/>
      <c r="EA237" s="205"/>
      <c r="EB237" s="205"/>
      <c r="EC237" s="205"/>
      <c r="ED237" s="205"/>
      <c r="EE237" s="205"/>
      <c r="EF237" s="205"/>
      <c r="EG237" s="205"/>
      <c r="EH237" s="205"/>
      <c r="EI237" s="205"/>
      <c r="EJ237" s="205"/>
      <c r="EK237" s="205"/>
      <c r="EL237" s="205"/>
      <c r="EM237" s="205"/>
      <c r="EN237" s="205"/>
      <c r="EO237" s="205"/>
      <c r="EP237" s="205"/>
      <c r="EQ237" s="205"/>
      <c r="ER237" s="205"/>
      <c r="ES237" s="205"/>
      <c r="ET237" s="205"/>
      <c r="EU237" s="205"/>
      <c r="EV237" s="205"/>
      <c r="EW237" s="205"/>
      <c r="EX237" s="205"/>
      <c r="EY237" s="205"/>
      <c r="EZ237" s="205"/>
      <c r="FA237" s="205"/>
      <c r="FB237" s="205"/>
      <c r="FC237" s="205"/>
      <c r="FD237" s="205"/>
      <c r="FE237" s="205"/>
      <c r="FF237" s="205"/>
      <c r="FG237" s="205"/>
      <c r="FH237" s="205"/>
      <c r="FI237" s="205"/>
      <c r="FJ237" s="205"/>
      <c r="FK237" s="205"/>
      <c r="FL237" s="205"/>
      <c r="FM237" s="205"/>
      <c r="FN237" s="205"/>
      <c r="FO237" s="205"/>
      <c r="FP237" s="205"/>
      <c r="FQ237" s="205"/>
      <c r="FR237" s="205"/>
      <c r="FS237" s="205"/>
      <c r="FT237" s="205"/>
      <c r="FU237" s="205"/>
      <c r="FV237" s="205"/>
      <c r="FW237" s="205"/>
      <c r="FX237" s="205"/>
      <c r="FY237" s="205"/>
      <c r="FZ237" s="205"/>
      <c r="GA237" s="205"/>
      <c r="GB237" s="205"/>
      <c r="GC237" s="205"/>
      <c r="GD237" s="205"/>
      <c r="GE237" s="205"/>
      <c r="GF237" s="205"/>
      <c r="GG237" s="205"/>
      <c r="GH237" s="205"/>
      <c r="GI237" s="205"/>
      <c r="GJ237" s="205"/>
      <c r="GK237" s="205"/>
      <c r="GL237" s="205"/>
      <c r="GM237" s="205"/>
      <c r="GN237" s="205"/>
      <c r="GO237" s="205"/>
      <c r="GP237" s="205"/>
      <c r="GQ237" s="205"/>
      <c r="GR237" s="205"/>
      <c r="GS237" s="205"/>
      <c r="GT237" s="205"/>
      <c r="GU237" s="205"/>
      <c r="GV237" s="205"/>
      <c r="GW237" s="205"/>
      <c r="GX237" s="205"/>
      <c r="GY237" s="205"/>
      <c r="GZ237" s="205"/>
      <c r="HA237" s="205"/>
      <c r="HB237" s="205"/>
      <c r="HC237" s="205"/>
      <c r="HD237" s="205"/>
      <c r="HE237" s="205"/>
      <c r="HF237" s="205"/>
      <c r="HG237" s="205"/>
      <c r="HH237" s="205"/>
      <c r="HI237" s="205"/>
      <c r="HJ237" s="205"/>
      <c r="HK237" s="205"/>
      <c r="HL237" s="205"/>
      <c r="HM237" s="205"/>
      <c r="HN237" s="205"/>
      <c r="HO237" s="205"/>
      <c r="HP237" s="205"/>
      <c r="HQ237" s="205"/>
      <c r="HR237" s="205"/>
      <c r="HS237" s="205"/>
      <c r="HT237" s="205"/>
      <c r="HU237" s="205"/>
      <c r="HV237" s="205"/>
      <c r="HW237" s="205"/>
      <c r="HX237" s="205"/>
      <c r="HY237" s="205"/>
      <c r="HZ237" s="205"/>
      <c r="IA237" s="205"/>
      <c r="IB237" s="205"/>
      <c r="IC237" s="205"/>
      <c r="ID237" s="205"/>
      <c r="IE237" s="205"/>
      <c r="IF237" s="205"/>
      <c r="IG237" s="205"/>
      <c r="IH237" s="205"/>
      <c r="II237" s="205"/>
      <c r="IJ237" s="205"/>
      <c r="IK237" s="205"/>
      <c r="IL237" s="205"/>
      <c r="IM237" s="205"/>
      <c r="IN237" s="205"/>
      <c r="IO237" s="205"/>
      <c r="IP237" s="205"/>
      <c r="IQ237" s="205"/>
      <c r="IR237" s="205"/>
      <c r="IS237" s="205"/>
      <c r="IT237" s="205"/>
      <c r="IU237" s="205"/>
      <c r="IV237" s="205"/>
      <c r="IW237" s="205"/>
      <c r="IX237" s="205"/>
    </row>
    <row r="238" spans="1:258" s="203" customFormat="1" x14ac:dyDescent="0.2">
      <c r="A238" s="669"/>
      <c r="B238" s="670"/>
      <c r="C238" s="1358"/>
      <c r="D238" s="672"/>
      <c r="E238" s="1359"/>
      <c r="F238" s="1359"/>
      <c r="G238" s="1360" t="s">
        <v>1654</v>
      </c>
      <c r="H238" s="1361">
        <f>0.12+0.12+0.17+0.17+0.08</f>
        <v>0.66</v>
      </c>
      <c r="I238" s="1362" t="s">
        <v>424</v>
      </c>
      <c r="J238" s="1362">
        <f>H237/0.2</f>
        <v>1065</v>
      </c>
      <c r="K238" s="1362" t="s">
        <v>424</v>
      </c>
      <c r="L238" s="1375">
        <f>Z238</f>
        <v>0.61622500000000013</v>
      </c>
      <c r="M238" s="1362"/>
      <c r="N238" s="1362"/>
      <c r="O238" s="1362"/>
      <c r="P238" s="1362"/>
      <c r="Q238" s="1362" t="s">
        <v>696</v>
      </c>
      <c r="R238" s="1363">
        <f t="shared" si="107"/>
        <v>433.14455250000009</v>
      </c>
      <c r="S238" s="1364"/>
      <c r="T238" s="722"/>
      <c r="U238" s="205"/>
      <c r="V238" s="687" t="s">
        <v>1556</v>
      </c>
      <c r="W238" s="688">
        <v>0.01</v>
      </c>
      <c r="X238" s="689">
        <v>7850</v>
      </c>
      <c r="Y238" s="690">
        <f t="shared" si="108"/>
        <v>7.8500000000000011E-5</v>
      </c>
      <c r="Z238" s="691">
        <f t="shared" si="109"/>
        <v>0.61622500000000013</v>
      </c>
      <c r="AA238" s="689">
        <v>1</v>
      </c>
      <c r="AB238" s="692">
        <f t="shared" si="110"/>
        <v>7.394700000000002</v>
      </c>
      <c r="AC238" s="693" t="s">
        <v>1554</v>
      </c>
      <c r="AD238" s="205"/>
      <c r="AE238" s="205"/>
      <c r="AF238" s="205"/>
      <c r="AG238" s="205"/>
      <c r="AH238" s="205"/>
      <c r="AI238" s="205"/>
      <c r="AJ238" s="205"/>
      <c r="AK238" s="205"/>
      <c r="AL238" s="205"/>
      <c r="AM238" s="205"/>
      <c r="AN238" s="205"/>
      <c r="AO238" s="205"/>
      <c r="AP238" s="205"/>
      <c r="AQ238" s="205"/>
      <c r="AR238" s="205"/>
      <c r="AS238" s="205"/>
      <c r="AT238" s="205"/>
      <c r="AU238" s="205"/>
      <c r="AV238" s="205"/>
      <c r="AW238" s="205"/>
      <c r="AX238" s="205"/>
      <c r="AY238" s="205"/>
      <c r="AZ238" s="205"/>
      <c r="BA238" s="205"/>
      <c r="BB238" s="205"/>
      <c r="BC238" s="205"/>
      <c r="BD238" s="205"/>
      <c r="BE238" s="205"/>
      <c r="BF238" s="205"/>
      <c r="BG238" s="205"/>
      <c r="BH238" s="205"/>
      <c r="BI238" s="205"/>
      <c r="BJ238" s="205"/>
      <c r="BK238" s="205"/>
      <c r="BL238" s="205"/>
      <c r="BM238" s="205"/>
      <c r="BN238" s="205"/>
      <c r="BO238" s="205"/>
      <c r="BP238" s="205"/>
      <c r="BQ238" s="205"/>
      <c r="BR238" s="205"/>
      <c r="BS238" s="205"/>
      <c r="BT238" s="205"/>
      <c r="BU238" s="205"/>
      <c r="BV238" s="205"/>
      <c r="BW238" s="205"/>
      <c r="BX238" s="205"/>
      <c r="BY238" s="205"/>
      <c r="BZ238" s="205"/>
      <c r="CA238" s="205"/>
      <c r="CB238" s="205"/>
      <c r="CC238" s="205"/>
      <c r="CD238" s="205"/>
      <c r="CE238" s="205"/>
      <c r="CF238" s="205"/>
      <c r="CG238" s="205"/>
      <c r="CH238" s="205"/>
      <c r="CI238" s="205"/>
      <c r="CJ238" s="205"/>
      <c r="CK238" s="205"/>
      <c r="CL238" s="205"/>
      <c r="CM238" s="205"/>
      <c r="CN238" s="205"/>
      <c r="CO238" s="205"/>
      <c r="CP238" s="205"/>
      <c r="CQ238" s="205"/>
      <c r="CR238" s="205"/>
      <c r="CS238" s="205"/>
      <c r="CT238" s="205"/>
      <c r="CU238" s="205"/>
      <c r="CV238" s="205"/>
      <c r="CW238" s="205"/>
      <c r="CX238" s="205"/>
      <c r="CY238" s="205"/>
      <c r="CZ238" s="205"/>
      <c r="DA238" s="205"/>
      <c r="DB238" s="205"/>
      <c r="DC238" s="205"/>
      <c r="DD238" s="205"/>
      <c r="DE238" s="205"/>
      <c r="DF238" s="205"/>
      <c r="DG238" s="205"/>
      <c r="DH238" s="205"/>
      <c r="DI238" s="205"/>
      <c r="DJ238" s="205"/>
      <c r="DK238" s="205"/>
      <c r="DL238" s="205"/>
      <c r="DM238" s="205"/>
      <c r="DN238" s="205"/>
      <c r="DO238" s="205"/>
      <c r="DP238" s="205"/>
      <c r="DQ238" s="205"/>
      <c r="DR238" s="205"/>
      <c r="DS238" s="205"/>
      <c r="DT238" s="205"/>
      <c r="DU238" s="205"/>
      <c r="DV238" s="205"/>
      <c r="DW238" s="205"/>
      <c r="DX238" s="205"/>
      <c r="DY238" s="205"/>
      <c r="DZ238" s="205"/>
      <c r="EA238" s="205"/>
      <c r="EB238" s="205"/>
      <c r="EC238" s="205"/>
      <c r="ED238" s="205"/>
      <c r="EE238" s="205"/>
      <c r="EF238" s="205"/>
      <c r="EG238" s="205"/>
      <c r="EH238" s="205"/>
      <c r="EI238" s="205"/>
      <c r="EJ238" s="205"/>
      <c r="EK238" s="205"/>
      <c r="EL238" s="205"/>
      <c r="EM238" s="205"/>
      <c r="EN238" s="205"/>
      <c r="EO238" s="205"/>
      <c r="EP238" s="205"/>
      <c r="EQ238" s="205"/>
      <c r="ER238" s="205"/>
      <c r="ES238" s="205"/>
      <c r="ET238" s="205"/>
      <c r="EU238" s="205"/>
      <c r="EV238" s="205"/>
      <c r="EW238" s="205"/>
      <c r="EX238" s="205"/>
      <c r="EY238" s="205"/>
      <c r="EZ238" s="205"/>
      <c r="FA238" s="205"/>
      <c r="FB238" s="205"/>
      <c r="FC238" s="205"/>
      <c r="FD238" s="205"/>
      <c r="FE238" s="205"/>
      <c r="FF238" s="205"/>
      <c r="FG238" s="205"/>
      <c r="FH238" s="205"/>
      <c r="FI238" s="205"/>
      <c r="FJ238" s="205"/>
      <c r="FK238" s="205"/>
      <c r="FL238" s="205"/>
      <c r="FM238" s="205"/>
      <c r="FN238" s="205"/>
      <c r="FO238" s="205"/>
      <c r="FP238" s="205"/>
      <c r="FQ238" s="205"/>
      <c r="FR238" s="205"/>
      <c r="FS238" s="205"/>
      <c r="FT238" s="205"/>
      <c r="FU238" s="205"/>
      <c r="FV238" s="205"/>
      <c r="FW238" s="205"/>
      <c r="FX238" s="205"/>
      <c r="FY238" s="205"/>
      <c r="FZ238" s="205"/>
      <c r="GA238" s="205"/>
      <c r="GB238" s="205"/>
      <c r="GC238" s="205"/>
      <c r="GD238" s="205"/>
      <c r="GE238" s="205"/>
      <c r="GF238" s="205"/>
      <c r="GG238" s="205"/>
      <c r="GH238" s="205"/>
      <c r="GI238" s="205"/>
      <c r="GJ238" s="205"/>
      <c r="GK238" s="205"/>
      <c r="GL238" s="205"/>
      <c r="GM238" s="205"/>
      <c r="GN238" s="205"/>
      <c r="GO238" s="205"/>
      <c r="GP238" s="205"/>
      <c r="GQ238" s="205"/>
      <c r="GR238" s="205"/>
      <c r="GS238" s="205"/>
      <c r="GT238" s="205"/>
      <c r="GU238" s="205"/>
      <c r="GV238" s="205"/>
      <c r="GW238" s="205"/>
      <c r="GX238" s="205"/>
      <c r="GY238" s="205"/>
      <c r="GZ238" s="205"/>
      <c r="HA238" s="205"/>
      <c r="HB238" s="205"/>
      <c r="HC238" s="205"/>
      <c r="HD238" s="205"/>
      <c r="HE238" s="205"/>
      <c r="HF238" s="205"/>
      <c r="HG238" s="205"/>
      <c r="HH238" s="205"/>
      <c r="HI238" s="205"/>
      <c r="HJ238" s="205"/>
      <c r="HK238" s="205"/>
      <c r="HL238" s="205"/>
      <c r="HM238" s="205"/>
      <c r="HN238" s="205"/>
      <c r="HO238" s="205"/>
      <c r="HP238" s="205"/>
      <c r="HQ238" s="205"/>
      <c r="HR238" s="205"/>
      <c r="HS238" s="205"/>
      <c r="HT238" s="205"/>
      <c r="HU238" s="205"/>
      <c r="HV238" s="205"/>
      <c r="HW238" s="205"/>
      <c r="HX238" s="205"/>
      <c r="HY238" s="205"/>
      <c r="HZ238" s="205"/>
      <c r="IA238" s="205"/>
      <c r="IB238" s="205"/>
      <c r="IC238" s="205"/>
      <c r="ID238" s="205"/>
      <c r="IE238" s="205"/>
      <c r="IF238" s="205"/>
      <c r="IG238" s="205"/>
      <c r="IH238" s="205"/>
      <c r="II238" s="205"/>
      <c r="IJ238" s="205"/>
      <c r="IK238" s="205"/>
      <c r="IL238" s="205"/>
      <c r="IM238" s="205"/>
      <c r="IN238" s="205"/>
      <c r="IO238" s="205"/>
      <c r="IP238" s="205"/>
      <c r="IQ238" s="205"/>
      <c r="IR238" s="205"/>
      <c r="IS238" s="205"/>
      <c r="IT238" s="205"/>
      <c r="IU238" s="205"/>
      <c r="IV238" s="205"/>
      <c r="IW238" s="205"/>
      <c r="IX238" s="205"/>
    </row>
    <row r="239" spans="1:258" s="203" customFormat="1" x14ac:dyDescent="0.2">
      <c r="A239" s="669"/>
      <c r="B239" s="670"/>
      <c r="C239" s="1358"/>
      <c r="D239" s="672"/>
      <c r="E239" s="1359"/>
      <c r="F239" s="1359"/>
      <c r="G239" s="1360"/>
      <c r="H239" s="1361"/>
      <c r="I239" s="1362"/>
      <c r="J239" s="1362"/>
      <c r="K239" s="1362"/>
      <c r="L239" s="1362"/>
      <c r="M239" s="1362"/>
      <c r="N239" s="1362"/>
      <c r="O239" s="1362"/>
      <c r="P239" s="1362"/>
      <c r="Q239" s="1362"/>
      <c r="R239" s="1363">
        <f>SUM(R237:R238)</f>
        <v>1189.1786805000002</v>
      </c>
      <c r="S239" s="1364">
        <f>R239</f>
        <v>1189.1786805000002</v>
      </c>
      <c r="T239" s="722" t="s">
        <v>298</v>
      </c>
      <c r="U239" s="205"/>
      <c r="V239" s="685"/>
      <c r="W239" s="205"/>
      <c r="X239" s="205"/>
      <c r="Y239" s="205"/>
      <c r="Z239" s="205"/>
      <c r="AA239" s="205"/>
      <c r="AB239" s="205"/>
      <c r="AC239" s="205"/>
      <c r="AD239" s="205"/>
      <c r="AE239" s="205"/>
      <c r="AF239" s="205"/>
      <c r="AG239" s="205"/>
      <c r="AH239" s="205"/>
      <c r="AI239" s="205"/>
      <c r="AJ239" s="205"/>
      <c r="AK239" s="205"/>
      <c r="AL239" s="205"/>
      <c r="AM239" s="205"/>
      <c r="AN239" s="205"/>
      <c r="AO239" s="205"/>
      <c r="AP239" s="205"/>
      <c r="AQ239" s="205"/>
      <c r="AR239" s="205"/>
      <c r="AS239" s="205"/>
      <c r="AT239" s="205"/>
      <c r="AU239" s="205"/>
      <c r="AV239" s="205"/>
      <c r="AW239" s="205"/>
      <c r="AX239" s="205"/>
      <c r="AY239" s="205"/>
      <c r="AZ239" s="205"/>
      <c r="BA239" s="205"/>
      <c r="BB239" s="205"/>
      <c r="BC239" s="205"/>
      <c r="BD239" s="205"/>
      <c r="BE239" s="205"/>
      <c r="BF239" s="205"/>
      <c r="BG239" s="205"/>
      <c r="BH239" s="205"/>
      <c r="BI239" s="205"/>
      <c r="BJ239" s="205"/>
      <c r="BK239" s="205"/>
      <c r="BL239" s="205"/>
      <c r="BM239" s="205"/>
      <c r="BN239" s="205"/>
      <c r="BO239" s="205"/>
      <c r="BP239" s="205"/>
      <c r="BQ239" s="205"/>
      <c r="BR239" s="205"/>
      <c r="BS239" s="205"/>
      <c r="BT239" s="205"/>
      <c r="BU239" s="205"/>
      <c r="BV239" s="205"/>
      <c r="BW239" s="205"/>
      <c r="BX239" s="205"/>
      <c r="BY239" s="205"/>
      <c r="BZ239" s="205"/>
      <c r="CA239" s="205"/>
      <c r="CB239" s="205"/>
      <c r="CC239" s="205"/>
      <c r="CD239" s="205"/>
      <c r="CE239" s="205"/>
      <c r="CF239" s="205"/>
      <c r="CG239" s="205"/>
      <c r="CH239" s="205"/>
      <c r="CI239" s="205"/>
      <c r="CJ239" s="205"/>
      <c r="CK239" s="205"/>
      <c r="CL239" s="205"/>
      <c r="CM239" s="205"/>
      <c r="CN239" s="205"/>
      <c r="CO239" s="205"/>
      <c r="CP239" s="205"/>
      <c r="CQ239" s="205"/>
      <c r="CR239" s="205"/>
      <c r="CS239" s="205"/>
      <c r="CT239" s="205"/>
      <c r="CU239" s="205"/>
      <c r="CV239" s="205"/>
      <c r="CW239" s="205"/>
      <c r="CX239" s="205"/>
      <c r="CY239" s="205"/>
      <c r="CZ239" s="205"/>
      <c r="DA239" s="205"/>
      <c r="DB239" s="205"/>
      <c r="DC239" s="205"/>
      <c r="DD239" s="205"/>
      <c r="DE239" s="205"/>
      <c r="DF239" s="205"/>
      <c r="DG239" s="205"/>
      <c r="DH239" s="205"/>
      <c r="DI239" s="205"/>
      <c r="DJ239" s="205"/>
      <c r="DK239" s="205"/>
      <c r="DL239" s="205"/>
      <c r="DM239" s="205"/>
      <c r="DN239" s="205"/>
      <c r="DO239" s="205"/>
      <c r="DP239" s="205"/>
      <c r="DQ239" s="205"/>
      <c r="DR239" s="205"/>
      <c r="DS239" s="205"/>
      <c r="DT239" s="205"/>
      <c r="DU239" s="205"/>
      <c r="DV239" s="205"/>
      <c r="DW239" s="205"/>
      <c r="DX239" s="205"/>
      <c r="DY239" s="205"/>
      <c r="DZ239" s="205"/>
      <c r="EA239" s="205"/>
      <c r="EB239" s="205"/>
      <c r="EC239" s="205"/>
      <c r="ED239" s="205"/>
      <c r="EE239" s="205"/>
      <c r="EF239" s="205"/>
      <c r="EG239" s="205"/>
      <c r="EH239" s="205"/>
      <c r="EI239" s="205"/>
      <c r="EJ239" s="205"/>
      <c r="EK239" s="205"/>
      <c r="EL239" s="205"/>
      <c r="EM239" s="205"/>
      <c r="EN239" s="205"/>
      <c r="EO239" s="205"/>
      <c r="EP239" s="205"/>
      <c r="EQ239" s="205"/>
      <c r="ER239" s="205"/>
      <c r="ES239" s="205"/>
      <c r="ET239" s="205"/>
      <c r="EU239" s="205"/>
      <c r="EV239" s="205"/>
      <c r="EW239" s="205"/>
      <c r="EX239" s="205"/>
      <c r="EY239" s="205"/>
      <c r="EZ239" s="205"/>
      <c r="FA239" s="205"/>
      <c r="FB239" s="205"/>
      <c r="FC239" s="205"/>
      <c r="FD239" s="205"/>
      <c r="FE239" s="205"/>
      <c r="FF239" s="205"/>
      <c r="FG239" s="205"/>
      <c r="FH239" s="205"/>
      <c r="FI239" s="205"/>
      <c r="FJ239" s="205"/>
      <c r="FK239" s="205"/>
      <c r="FL239" s="205"/>
      <c r="FM239" s="205"/>
      <c r="FN239" s="205"/>
      <c r="FO239" s="205"/>
      <c r="FP239" s="205"/>
      <c r="FQ239" s="205"/>
      <c r="FR239" s="205"/>
      <c r="FS239" s="205"/>
      <c r="FT239" s="205"/>
      <c r="FU239" s="205"/>
      <c r="FV239" s="205"/>
      <c r="FW239" s="205"/>
      <c r="FX239" s="205"/>
      <c r="FY239" s="205"/>
      <c r="FZ239" s="205"/>
      <c r="GA239" s="205"/>
      <c r="GB239" s="205"/>
      <c r="GC239" s="205"/>
      <c r="GD239" s="205"/>
      <c r="GE239" s="205"/>
      <c r="GF239" s="205"/>
      <c r="GG239" s="205"/>
      <c r="GH239" s="205"/>
      <c r="GI239" s="205"/>
      <c r="GJ239" s="205"/>
      <c r="GK239" s="205"/>
      <c r="GL239" s="205"/>
      <c r="GM239" s="205"/>
      <c r="GN239" s="205"/>
      <c r="GO239" s="205"/>
      <c r="GP239" s="205"/>
      <c r="GQ239" s="205"/>
      <c r="GR239" s="205"/>
      <c r="GS239" s="205"/>
      <c r="GT239" s="205"/>
      <c r="GU239" s="205"/>
      <c r="GV239" s="205"/>
      <c r="GW239" s="205"/>
      <c r="GX239" s="205"/>
      <c r="GY239" s="205"/>
      <c r="GZ239" s="205"/>
      <c r="HA239" s="205"/>
      <c r="HB239" s="205"/>
      <c r="HC239" s="205"/>
      <c r="HD239" s="205"/>
      <c r="HE239" s="205"/>
      <c r="HF239" s="205"/>
      <c r="HG239" s="205"/>
      <c r="HH239" s="205"/>
      <c r="HI239" s="205"/>
      <c r="HJ239" s="205"/>
      <c r="HK239" s="205"/>
      <c r="HL239" s="205"/>
      <c r="HM239" s="205"/>
      <c r="HN239" s="205"/>
      <c r="HO239" s="205"/>
      <c r="HP239" s="205"/>
      <c r="HQ239" s="205"/>
      <c r="HR239" s="205"/>
      <c r="HS239" s="205"/>
      <c r="HT239" s="205"/>
      <c r="HU239" s="205"/>
      <c r="HV239" s="205"/>
      <c r="HW239" s="205"/>
      <c r="HX239" s="205"/>
      <c r="HY239" s="205"/>
      <c r="HZ239" s="205"/>
      <c r="IA239" s="205"/>
      <c r="IB239" s="205"/>
      <c r="IC239" s="205"/>
      <c r="ID239" s="205"/>
      <c r="IE239" s="205"/>
      <c r="IF239" s="205"/>
      <c r="IG239" s="205"/>
      <c r="IH239" s="205"/>
      <c r="II239" s="205"/>
      <c r="IJ239" s="205"/>
      <c r="IK239" s="205"/>
      <c r="IL239" s="205"/>
      <c r="IM239" s="205"/>
      <c r="IN239" s="205"/>
      <c r="IO239" s="205"/>
      <c r="IP239" s="205"/>
      <c r="IQ239" s="205"/>
      <c r="IR239" s="205"/>
      <c r="IS239" s="205"/>
      <c r="IT239" s="205"/>
      <c r="IU239" s="205"/>
      <c r="IV239" s="205"/>
      <c r="IW239" s="205"/>
      <c r="IX239" s="205"/>
    </row>
    <row r="240" spans="1:258" s="203" customFormat="1" x14ac:dyDescent="0.2">
      <c r="A240" s="669"/>
      <c r="B240" s="670"/>
      <c r="C240" s="1358"/>
      <c r="D240" s="672"/>
      <c r="E240" s="1359"/>
      <c r="F240" s="1359"/>
      <c r="G240" s="1360"/>
      <c r="H240" s="1361"/>
      <c r="I240" s="1362"/>
      <c r="J240" s="1362"/>
      <c r="K240" s="1362"/>
      <c r="L240" s="1362"/>
      <c r="M240" s="1362"/>
      <c r="N240" s="1362"/>
      <c r="O240" s="1362"/>
      <c r="P240" s="1362"/>
      <c r="Q240" s="1362"/>
      <c r="R240" s="1363"/>
      <c r="S240" s="1364"/>
      <c r="T240" s="722"/>
      <c r="U240" s="205"/>
      <c r="V240" s="685"/>
      <c r="W240" s="205"/>
      <c r="X240" s="205"/>
      <c r="Y240" s="205"/>
      <c r="Z240" s="205"/>
      <c r="AA240" s="205"/>
      <c r="AB240" s="205"/>
      <c r="AC240" s="205"/>
      <c r="AD240" s="205"/>
      <c r="AE240" s="205"/>
      <c r="AF240" s="205"/>
      <c r="AG240" s="205"/>
      <c r="AH240" s="205"/>
      <c r="AI240" s="205"/>
      <c r="AJ240" s="205"/>
      <c r="AK240" s="205"/>
      <c r="AL240" s="205"/>
      <c r="AM240" s="205"/>
      <c r="AN240" s="205"/>
      <c r="AO240" s="205"/>
      <c r="AP240" s="205"/>
      <c r="AQ240" s="205"/>
      <c r="AR240" s="205"/>
      <c r="AS240" s="205"/>
      <c r="AT240" s="205"/>
      <c r="AU240" s="205"/>
      <c r="AV240" s="205"/>
      <c r="AW240" s="205"/>
      <c r="AX240" s="205"/>
      <c r="AY240" s="205"/>
      <c r="AZ240" s="205"/>
      <c r="BA240" s="205"/>
      <c r="BB240" s="205"/>
      <c r="BC240" s="205"/>
      <c r="BD240" s="205"/>
      <c r="BE240" s="205"/>
      <c r="BF240" s="205"/>
      <c r="BG240" s="205"/>
      <c r="BH240" s="205"/>
      <c r="BI240" s="205"/>
      <c r="BJ240" s="205"/>
      <c r="BK240" s="205"/>
      <c r="BL240" s="205"/>
      <c r="BM240" s="205"/>
      <c r="BN240" s="205"/>
      <c r="BO240" s="205"/>
      <c r="BP240" s="205"/>
      <c r="BQ240" s="205"/>
      <c r="BR240" s="205"/>
      <c r="BS240" s="205"/>
      <c r="BT240" s="205"/>
      <c r="BU240" s="205"/>
      <c r="BV240" s="205"/>
      <c r="BW240" s="205"/>
      <c r="BX240" s="205"/>
      <c r="BY240" s="205"/>
      <c r="BZ240" s="205"/>
      <c r="CA240" s="205"/>
      <c r="CB240" s="205"/>
      <c r="CC240" s="205"/>
      <c r="CD240" s="205"/>
      <c r="CE240" s="205"/>
      <c r="CF240" s="205"/>
      <c r="CG240" s="205"/>
      <c r="CH240" s="205"/>
      <c r="CI240" s="205"/>
      <c r="CJ240" s="205"/>
      <c r="CK240" s="205"/>
      <c r="CL240" s="205"/>
      <c r="CM240" s="205"/>
      <c r="CN240" s="205"/>
      <c r="CO240" s="205"/>
      <c r="CP240" s="205"/>
      <c r="CQ240" s="205"/>
      <c r="CR240" s="205"/>
      <c r="CS240" s="205"/>
      <c r="CT240" s="205"/>
      <c r="CU240" s="205"/>
      <c r="CV240" s="205"/>
      <c r="CW240" s="205"/>
      <c r="CX240" s="205"/>
      <c r="CY240" s="205"/>
      <c r="CZ240" s="205"/>
      <c r="DA240" s="205"/>
      <c r="DB240" s="205"/>
      <c r="DC240" s="205"/>
      <c r="DD240" s="205"/>
      <c r="DE240" s="205"/>
      <c r="DF240" s="205"/>
      <c r="DG240" s="205"/>
      <c r="DH240" s="205"/>
      <c r="DI240" s="205"/>
      <c r="DJ240" s="205"/>
      <c r="DK240" s="205"/>
      <c r="DL240" s="205"/>
      <c r="DM240" s="205"/>
      <c r="DN240" s="205"/>
      <c r="DO240" s="205"/>
      <c r="DP240" s="205"/>
      <c r="DQ240" s="205"/>
      <c r="DR240" s="205"/>
      <c r="DS240" s="205"/>
      <c r="DT240" s="205"/>
      <c r="DU240" s="205"/>
      <c r="DV240" s="205"/>
      <c r="DW240" s="205"/>
      <c r="DX240" s="205"/>
      <c r="DY240" s="205"/>
      <c r="DZ240" s="205"/>
      <c r="EA240" s="205"/>
      <c r="EB240" s="205"/>
      <c r="EC240" s="205"/>
      <c r="ED240" s="205"/>
      <c r="EE240" s="205"/>
      <c r="EF240" s="205"/>
      <c r="EG240" s="205"/>
      <c r="EH240" s="205"/>
      <c r="EI240" s="205"/>
      <c r="EJ240" s="205"/>
      <c r="EK240" s="205"/>
      <c r="EL240" s="205"/>
      <c r="EM240" s="205"/>
      <c r="EN240" s="205"/>
      <c r="EO240" s="205"/>
      <c r="EP240" s="205"/>
      <c r="EQ240" s="205"/>
      <c r="ER240" s="205"/>
      <c r="ES240" s="205"/>
      <c r="ET240" s="205"/>
      <c r="EU240" s="205"/>
      <c r="EV240" s="205"/>
      <c r="EW240" s="205"/>
      <c r="EX240" s="205"/>
      <c r="EY240" s="205"/>
      <c r="EZ240" s="205"/>
      <c r="FA240" s="205"/>
      <c r="FB240" s="205"/>
      <c r="FC240" s="205"/>
      <c r="FD240" s="205"/>
      <c r="FE240" s="205"/>
      <c r="FF240" s="205"/>
      <c r="FG240" s="205"/>
      <c r="FH240" s="205"/>
      <c r="FI240" s="205"/>
      <c r="FJ240" s="205"/>
      <c r="FK240" s="205"/>
      <c r="FL240" s="205"/>
      <c r="FM240" s="205"/>
      <c r="FN240" s="205"/>
      <c r="FO240" s="205"/>
      <c r="FP240" s="205"/>
      <c r="FQ240" s="205"/>
      <c r="FR240" s="205"/>
      <c r="FS240" s="205"/>
      <c r="FT240" s="205"/>
      <c r="FU240" s="205"/>
      <c r="FV240" s="205"/>
      <c r="FW240" s="205"/>
      <c r="FX240" s="205"/>
      <c r="FY240" s="205"/>
      <c r="FZ240" s="205"/>
      <c r="GA240" s="205"/>
      <c r="GB240" s="205"/>
      <c r="GC240" s="205"/>
      <c r="GD240" s="205"/>
      <c r="GE240" s="205"/>
      <c r="GF240" s="205"/>
      <c r="GG240" s="205"/>
      <c r="GH240" s="205"/>
      <c r="GI240" s="205"/>
      <c r="GJ240" s="205"/>
      <c r="GK240" s="205"/>
      <c r="GL240" s="205"/>
      <c r="GM240" s="205"/>
      <c r="GN240" s="205"/>
      <c r="GO240" s="205"/>
      <c r="GP240" s="205"/>
      <c r="GQ240" s="205"/>
      <c r="GR240" s="205"/>
      <c r="GS240" s="205"/>
      <c r="GT240" s="205"/>
      <c r="GU240" s="205"/>
      <c r="GV240" s="205"/>
      <c r="GW240" s="205"/>
      <c r="GX240" s="205"/>
      <c r="GY240" s="205"/>
      <c r="GZ240" s="205"/>
      <c r="HA240" s="205"/>
      <c r="HB240" s="205"/>
      <c r="HC240" s="205"/>
      <c r="HD240" s="205"/>
      <c r="HE240" s="205"/>
      <c r="HF240" s="205"/>
      <c r="HG240" s="205"/>
      <c r="HH240" s="205"/>
      <c r="HI240" s="205"/>
      <c r="HJ240" s="205"/>
      <c r="HK240" s="205"/>
      <c r="HL240" s="205"/>
      <c r="HM240" s="205"/>
      <c r="HN240" s="205"/>
      <c r="HO240" s="205"/>
      <c r="HP240" s="205"/>
      <c r="HQ240" s="205"/>
      <c r="HR240" s="205"/>
      <c r="HS240" s="205"/>
      <c r="HT240" s="205"/>
      <c r="HU240" s="205"/>
      <c r="HV240" s="205"/>
      <c r="HW240" s="205"/>
      <c r="HX240" s="205"/>
      <c r="HY240" s="205"/>
      <c r="HZ240" s="205"/>
      <c r="IA240" s="205"/>
      <c r="IB240" s="205"/>
      <c r="IC240" s="205"/>
      <c r="ID240" s="205"/>
      <c r="IE240" s="205"/>
      <c r="IF240" s="205"/>
      <c r="IG240" s="205"/>
      <c r="IH240" s="205"/>
      <c r="II240" s="205"/>
      <c r="IJ240" s="205"/>
      <c r="IK240" s="205"/>
      <c r="IL240" s="205"/>
      <c r="IM240" s="205"/>
      <c r="IN240" s="205"/>
      <c r="IO240" s="205"/>
      <c r="IP240" s="205"/>
      <c r="IQ240" s="205"/>
      <c r="IR240" s="205"/>
      <c r="IS240" s="205"/>
      <c r="IT240" s="205"/>
      <c r="IU240" s="205"/>
      <c r="IV240" s="205"/>
      <c r="IW240" s="205"/>
      <c r="IX240" s="205"/>
    </row>
    <row r="241" spans="1:258" s="203" customFormat="1" x14ac:dyDescent="0.2">
      <c r="A241" s="669"/>
      <c r="B241" s="670">
        <f>RAB!B84</f>
        <v>20</v>
      </c>
      <c r="C241" s="686" t="e">
        <f>RAB!D84</f>
        <v>#REF!</v>
      </c>
      <c r="D241" s="672"/>
      <c r="E241" s="673"/>
      <c r="F241" s="673"/>
      <c r="G241" s="674"/>
      <c r="H241" s="675"/>
      <c r="I241" s="676"/>
      <c r="J241" s="676"/>
      <c r="K241" s="676"/>
      <c r="L241" s="676"/>
      <c r="M241" s="676"/>
      <c r="N241" s="676"/>
      <c r="O241" s="676"/>
      <c r="P241" s="676"/>
      <c r="Q241" s="676"/>
      <c r="R241" s="677"/>
      <c r="S241" s="678"/>
      <c r="T241" s="684"/>
      <c r="U241" s="205"/>
      <c r="V241" s="685"/>
      <c r="W241" s="205"/>
      <c r="X241" s="205"/>
      <c r="Y241" s="205"/>
      <c r="Z241" s="205"/>
      <c r="AA241" s="205"/>
      <c r="AB241" s="205"/>
      <c r="AC241" s="205"/>
      <c r="AD241" s="205"/>
      <c r="AE241" s="205"/>
      <c r="AF241" s="205"/>
      <c r="AG241" s="205"/>
      <c r="AH241" s="205"/>
      <c r="AI241" s="205"/>
      <c r="AJ241" s="205"/>
      <c r="AK241" s="205"/>
      <c r="AL241" s="205"/>
      <c r="AM241" s="205"/>
      <c r="AN241" s="205"/>
      <c r="AO241" s="205"/>
      <c r="AP241" s="205"/>
      <c r="AQ241" s="205"/>
      <c r="AR241" s="205"/>
      <c r="AS241" s="205"/>
      <c r="AT241" s="205"/>
      <c r="AU241" s="205"/>
      <c r="AV241" s="205"/>
      <c r="AW241" s="205"/>
      <c r="AX241" s="205"/>
      <c r="AY241" s="205"/>
      <c r="AZ241" s="205"/>
      <c r="BA241" s="205"/>
      <c r="BB241" s="205"/>
      <c r="BC241" s="205"/>
      <c r="BD241" s="205"/>
      <c r="BE241" s="205"/>
      <c r="BF241" s="205"/>
      <c r="BG241" s="205"/>
      <c r="BH241" s="205"/>
      <c r="BI241" s="205"/>
      <c r="BJ241" s="205"/>
      <c r="BK241" s="205"/>
      <c r="BL241" s="205"/>
      <c r="BM241" s="205"/>
      <c r="BN241" s="205"/>
      <c r="BO241" s="205"/>
      <c r="BP241" s="205"/>
      <c r="BQ241" s="205"/>
      <c r="BR241" s="205"/>
      <c r="BS241" s="205"/>
      <c r="BT241" s="205"/>
      <c r="BU241" s="205"/>
      <c r="BV241" s="205"/>
      <c r="BW241" s="205"/>
      <c r="BX241" s="205"/>
      <c r="BY241" s="205"/>
      <c r="BZ241" s="205"/>
      <c r="CA241" s="205"/>
      <c r="CB241" s="205"/>
      <c r="CC241" s="205"/>
      <c r="CD241" s="205"/>
      <c r="CE241" s="205"/>
      <c r="CF241" s="205"/>
      <c r="CG241" s="205"/>
      <c r="CH241" s="205"/>
      <c r="CI241" s="205"/>
      <c r="CJ241" s="205"/>
      <c r="CK241" s="205"/>
      <c r="CL241" s="205"/>
      <c r="CM241" s="205"/>
      <c r="CN241" s="205"/>
      <c r="CO241" s="205"/>
      <c r="CP241" s="205"/>
      <c r="CQ241" s="205"/>
      <c r="CR241" s="205"/>
      <c r="CS241" s="205"/>
      <c r="CT241" s="205"/>
      <c r="CU241" s="205"/>
      <c r="CV241" s="205"/>
      <c r="CW241" s="205"/>
      <c r="CX241" s="205"/>
      <c r="CY241" s="205"/>
      <c r="CZ241" s="205"/>
      <c r="DA241" s="205"/>
      <c r="DB241" s="205"/>
      <c r="DC241" s="205"/>
      <c r="DD241" s="205"/>
      <c r="DE241" s="205"/>
      <c r="DF241" s="205"/>
      <c r="DG241" s="205"/>
      <c r="DH241" s="205"/>
      <c r="DI241" s="205"/>
      <c r="DJ241" s="205"/>
      <c r="DK241" s="205"/>
      <c r="DL241" s="205"/>
      <c r="DM241" s="205"/>
      <c r="DN241" s="205"/>
      <c r="DO241" s="205"/>
      <c r="DP241" s="205"/>
      <c r="DQ241" s="205"/>
      <c r="DR241" s="205"/>
      <c r="DS241" s="205"/>
      <c r="DT241" s="205"/>
      <c r="DU241" s="205"/>
      <c r="DV241" s="205"/>
      <c r="DW241" s="205"/>
      <c r="DX241" s="205"/>
      <c r="DY241" s="205"/>
      <c r="DZ241" s="205"/>
      <c r="EA241" s="205"/>
      <c r="EB241" s="205"/>
      <c r="EC241" s="205"/>
      <c r="ED241" s="205"/>
      <c r="EE241" s="205"/>
      <c r="EF241" s="205"/>
      <c r="EG241" s="205"/>
      <c r="EH241" s="205"/>
      <c r="EI241" s="205"/>
      <c r="EJ241" s="205"/>
      <c r="EK241" s="205"/>
      <c r="EL241" s="205"/>
      <c r="EM241" s="205"/>
      <c r="EN241" s="205"/>
      <c r="EO241" s="205"/>
      <c r="EP241" s="205"/>
      <c r="EQ241" s="205"/>
      <c r="ER241" s="205"/>
      <c r="ES241" s="205"/>
      <c r="ET241" s="205"/>
      <c r="EU241" s="205"/>
      <c r="EV241" s="205"/>
      <c r="EW241" s="205"/>
      <c r="EX241" s="205"/>
      <c r="EY241" s="205"/>
      <c r="EZ241" s="205"/>
      <c r="FA241" s="205"/>
      <c r="FB241" s="205"/>
      <c r="FC241" s="205"/>
      <c r="FD241" s="205"/>
      <c r="FE241" s="205"/>
      <c r="FF241" s="205"/>
      <c r="FG241" s="205"/>
      <c r="FH241" s="205"/>
      <c r="FI241" s="205"/>
      <c r="FJ241" s="205"/>
      <c r="FK241" s="205"/>
      <c r="FL241" s="205"/>
      <c r="FM241" s="205"/>
      <c r="FN241" s="205"/>
      <c r="FO241" s="205"/>
      <c r="FP241" s="205"/>
      <c r="FQ241" s="205"/>
      <c r="FR241" s="205"/>
      <c r="FS241" s="205"/>
      <c r="FT241" s="205"/>
      <c r="FU241" s="205"/>
      <c r="FV241" s="205"/>
      <c r="FW241" s="205"/>
      <c r="FX241" s="205"/>
      <c r="FY241" s="205"/>
      <c r="FZ241" s="205"/>
      <c r="GA241" s="205"/>
      <c r="GB241" s="205"/>
      <c r="GC241" s="205"/>
      <c r="GD241" s="205"/>
      <c r="GE241" s="205"/>
      <c r="GF241" s="205"/>
      <c r="GG241" s="205"/>
      <c r="GH241" s="205"/>
      <c r="GI241" s="205"/>
      <c r="GJ241" s="205"/>
      <c r="GK241" s="205"/>
      <c r="GL241" s="205"/>
      <c r="GM241" s="205"/>
      <c r="GN241" s="205"/>
      <c r="GO241" s="205"/>
      <c r="GP241" s="205"/>
      <c r="GQ241" s="205"/>
      <c r="GR241" s="205"/>
      <c r="GS241" s="205"/>
      <c r="GT241" s="205"/>
      <c r="GU241" s="205"/>
      <c r="GV241" s="205"/>
      <c r="GW241" s="205"/>
      <c r="GX241" s="205"/>
      <c r="GY241" s="205"/>
      <c r="GZ241" s="205"/>
      <c r="HA241" s="205"/>
      <c r="HB241" s="205"/>
      <c r="HC241" s="205"/>
      <c r="HD241" s="205"/>
      <c r="HE241" s="205"/>
      <c r="HF241" s="205"/>
      <c r="HG241" s="205"/>
      <c r="HH241" s="205"/>
      <c r="HI241" s="205"/>
      <c r="HJ241" s="205"/>
      <c r="HK241" s="205"/>
      <c r="HL241" s="205"/>
      <c r="HM241" s="205"/>
      <c r="HN241" s="205"/>
      <c r="HO241" s="205"/>
      <c r="HP241" s="205"/>
      <c r="HQ241" s="205"/>
      <c r="HR241" s="205"/>
      <c r="HS241" s="205"/>
      <c r="HT241" s="205"/>
      <c r="HU241" s="205"/>
      <c r="HV241" s="205"/>
      <c r="HW241" s="205"/>
      <c r="HX241" s="205"/>
      <c r="HY241" s="205"/>
      <c r="HZ241" s="205"/>
      <c r="IA241" s="205"/>
      <c r="IB241" s="205"/>
      <c r="IC241" s="205"/>
      <c r="ID241" s="205"/>
      <c r="IE241" s="205"/>
      <c r="IF241" s="205"/>
      <c r="IG241" s="205"/>
      <c r="IH241" s="205"/>
      <c r="II241" s="205"/>
      <c r="IJ241" s="205"/>
      <c r="IK241" s="205"/>
      <c r="IL241" s="205"/>
      <c r="IM241" s="205"/>
      <c r="IN241" s="205"/>
      <c r="IO241" s="205"/>
      <c r="IP241" s="205"/>
      <c r="IQ241" s="205"/>
      <c r="IR241" s="205"/>
      <c r="IS241" s="205"/>
      <c r="IT241" s="205"/>
      <c r="IU241" s="205"/>
      <c r="IV241" s="205"/>
      <c r="IW241" s="205"/>
      <c r="IX241" s="205"/>
    </row>
    <row r="242" spans="1:258" s="203" customFormat="1" x14ac:dyDescent="0.2">
      <c r="A242" s="669"/>
      <c r="B242" s="670"/>
      <c r="C242" s="1358"/>
      <c r="D242" s="672"/>
      <c r="E242" s="1359"/>
      <c r="F242" s="1359"/>
      <c r="G242" s="1360"/>
      <c r="H242" s="1361">
        <f>H237</f>
        <v>213</v>
      </c>
      <c r="I242" s="1362" t="s">
        <v>424</v>
      </c>
      <c r="J242" s="1362">
        <f>L232+L232</f>
        <v>0.4</v>
      </c>
      <c r="K242" s="1362"/>
      <c r="L242" s="1362"/>
      <c r="M242" s="1362"/>
      <c r="N242" s="1362"/>
      <c r="O242" s="1362"/>
      <c r="P242" s="1362"/>
      <c r="Q242" s="1362" t="s">
        <v>696</v>
      </c>
      <c r="R242" s="1363">
        <f>H242*J242</f>
        <v>85.2</v>
      </c>
      <c r="S242" s="1364">
        <f>R242</f>
        <v>85.2</v>
      </c>
      <c r="T242" s="722" t="s">
        <v>338</v>
      </c>
      <c r="U242" s="205"/>
      <c r="V242" s="685"/>
      <c r="W242" s="205"/>
      <c r="X242" s="205"/>
      <c r="Y242" s="205"/>
      <c r="Z242" s="205"/>
      <c r="AA242" s="205"/>
      <c r="AB242" s="205"/>
      <c r="AC242" s="205"/>
      <c r="AD242" s="205"/>
      <c r="AE242" s="205"/>
      <c r="AF242" s="205"/>
      <c r="AG242" s="205"/>
      <c r="AH242" s="205"/>
      <c r="AI242" s="205"/>
      <c r="AJ242" s="205"/>
      <c r="AK242" s="205"/>
      <c r="AL242" s="205"/>
      <c r="AM242" s="205"/>
      <c r="AN242" s="205"/>
      <c r="AO242" s="205"/>
      <c r="AP242" s="205"/>
      <c r="AQ242" s="205"/>
      <c r="AR242" s="205"/>
      <c r="AS242" s="205"/>
      <c r="AT242" s="205"/>
      <c r="AU242" s="205"/>
      <c r="AV242" s="205"/>
      <c r="AW242" s="205"/>
      <c r="AX242" s="205"/>
      <c r="AY242" s="205"/>
      <c r="AZ242" s="205"/>
      <c r="BA242" s="205"/>
      <c r="BB242" s="205"/>
      <c r="BC242" s="205"/>
      <c r="BD242" s="205"/>
      <c r="BE242" s="205"/>
      <c r="BF242" s="205"/>
      <c r="BG242" s="205"/>
      <c r="BH242" s="205"/>
      <c r="BI242" s="205"/>
      <c r="BJ242" s="205"/>
      <c r="BK242" s="205"/>
      <c r="BL242" s="205"/>
      <c r="BM242" s="205"/>
      <c r="BN242" s="205"/>
      <c r="BO242" s="205"/>
      <c r="BP242" s="205"/>
      <c r="BQ242" s="205"/>
      <c r="BR242" s="205"/>
      <c r="BS242" s="205"/>
      <c r="BT242" s="205"/>
      <c r="BU242" s="205"/>
      <c r="BV242" s="205"/>
      <c r="BW242" s="205"/>
      <c r="BX242" s="205"/>
      <c r="BY242" s="205"/>
      <c r="BZ242" s="205"/>
      <c r="CA242" s="205"/>
      <c r="CB242" s="205"/>
      <c r="CC242" s="205"/>
      <c r="CD242" s="205"/>
      <c r="CE242" s="205"/>
      <c r="CF242" s="205"/>
      <c r="CG242" s="205"/>
      <c r="CH242" s="205"/>
      <c r="CI242" s="205"/>
      <c r="CJ242" s="205"/>
      <c r="CK242" s="205"/>
      <c r="CL242" s="205"/>
      <c r="CM242" s="205"/>
      <c r="CN242" s="205"/>
      <c r="CO242" s="205"/>
      <c r="CP242" s="205"/>
      <c r="CQ242" s="205"/>
      <c r="CR242" s="205"/>
      <c r="CS242" s="205"/>
      <c r="CT242" s="205"/>
      <c r="CU242" s="205"/>
      <c r="CV242" s="205"/>
      <c r="CW242" s="205"/>
      <c r="CX242" s="205"/>
      <c r="CY242" s="205"/>
      <c r="CZ242" s="205"/>
      <c r="DA242" s="205"/>
      <c r="DB242" s="205"/>
      <c r="DC242" s="205"/>
      <c r="DD242" s="205"/>
      <c r="DE242" s="205"/>
      <c r="DF242" s="205"/>
      <c r="DG242" s="205"/>
      <c r="DH242" s="205"/>
      <c r="DI242" s="205"/>
      <c r="DJ242" s="205"/>
      <c r="DK242" s="205"/>
      <c r="DL242" s="205"/>
      <c r="DM242" s="205"/>
      <c r="DN242" s="205"/>
      <c r="DO242" s="205"/>
      <c r="DP242" s="205"/>
      <c r="DQ242" s="205"/>
      <c r="DR242" s="205"/>
      <c r="DS242" s="205"/>
      <c r="DT242" s="205"/>
      <c r="DU242" s="205"/>
      <c r="DV242" s="205"/>
      <c r="DW242" s="205"/>
      <c r="DX242" s="205"/>
      <c r="DY242" s="205"/>
      <c r="DZ242" s="205"/>
      <c r="EA242" s="205"/>
      <c r="EB242" s="205"/>
      <c r="EC242" s="205"/>
      <c r="ED242" s="205"/>
      <c r="EE242" s="205"/>
      <c r="EF242" s="205"/>
      <c r="EG242" s="205"/>
      <c r="EH242" s="205"/>
      <c r="EI242" s="205"/>
      <c r="EJ242" s="205"/>
      <c r="EK242" s="205"/>
      <c r="EL242" s="205"/>
      <c r="EM242" s="205"/>
      <c r="EN242" s="205"/>
      <c r="EO242" s="205"/>
      <c r="EP242" s="205"/>
      <c r="EQ242" s="205"/>
      <c r="ER242" s="205"/>
      <c r="ES242" s="205"/>
      <c r="ET242" s="205"/>
      <c r="EU242" s="205"/>
      <c r="EV242" s="205"/>
      <c r="EW242" s="205"/>
      <c r="EX242" s="205"/>
      <c r="EY242" s="205"/>
      <c r="EZ242" s="205"/>
      <c r="FA242" s="205"/>
      <c r="FB242" s="205"/>
      <c r="FC242" s="205"/>
      <c r="FD242" s="205"/>
      <c r="FE242" s="205"/>
      <c r="FF242" s="205"/>
      <c r="FG242" s="205"/>
      <c r="FH242" s="205"/>
      <c r="FI242" s="205"/>
      <c r="FJ242" s="205"/>
      <c r="FK242" s="205"/>
      <c r="FL242" s="205"/>
      <c r="FM242" s="205"/>
      <c r="FN242" s="205"/>
      <c r="FO242" s="205"/>
      <c r="FP242" s="205"/>
      <c r="FQ242" s="205"/>
      <c r="FR242" s="205"/>
      <c r="FS242" s="205"/>
      <c r="FT242" s="205"/>
      <c r="FU242" s="205"/>
      <c r="FV242" s="205"/>
      <c r="FW242" s="205"/>
      <c r="FX242" s="205"/>
      <c r="FY242" s="205"/>
      <c r="FZ242" s="205"/>
      <c r="GA242" s="205"/>
      <c r="GB242" s="205"/>
      <c r="GC242" s="205"/>
      <c r="GD242" s="205"/>
      <c r="GE242" s="205"/>
      <c r="GF242" s="205"/>
      <c r="GG242" s="205"/>
      <c r="GH242" s="205"/>
      <c r="GI242" s="205"/>
      <c r="GJ242" s="205"/>
      <c r="GK242" s="205"/>
      <c r="GL242" s="205"/>
      <c r="GM242" s="205"/>
      <c r="GN242" s="205"/>
      <c r="GO242" s="205"/>
      <c r="GP242" s="205"/>
      <c r="GQ242" s="205"/>
      <c r="GR242" s="205"/>
      <c r="GS242" s="205"/>
      <c r="GT242" s="205"/>
      <c r="GU242" s="205"/>
      <c r="GV242" s="205"/>
      <c r="GW242" s="205"/>
      <c r="GX242" s="205"/>
      <c r="GY242" s="205"/>
      <c r="GZ242" s="205"/>
      <c r="HA242" s="205"/>
      <c r="HB242" s="205"/>
      <c r="HC242" s="205"/>
      <c r="HD242" s="205"/>
      <c r="HE242" s="205"/>
      <c r="HF242" s="205"/>
      <c r="HG242" s="205"/>
      <c r="HH242" s="205"/>
      <c r="HI242" s="205"/>
      <c r="HJ242" s="205"/>
      <c r="HK242" s="205"/>
      <c r="HL242" s="205"/>
      <c r="HM242" s="205"/>
      <c r="HN242" s="205"/>
      <c r="HO242" s="205"/>
      <c r="HP242" s="205"/>
      <c r="HQ242" s="205"/>
      <c r="HR242" s="205"/>
      <c r="HS242" s="205"/>
      <c r="HT242" s="205"/>
      <c r="HU242" s="205"/>
      <c r="HV242" s="205"/>
      <c r="HW242" s="205"/>
      <c r="HX242" s="205"/>
      <c r="HY242" s="205"/>
      <c r="HZ242" s="205"/>
      <c r="IA242" s="205"/>
      <c r="IB242" s="205"/>
      <c r="IC242" s="205"/>
      <c r="ID242" s="205"/>
      <c r="IE242" s="205"/>
      <c r="IF242" s="205"/>
      <c r="IG242" s="205"/>
      <c r="IH242" s="205"/>
      <c r="II242" s="205"/>
      <c r="IJ242" s="205"/>
      <c r="IK242" s="205"/>
      <c r="IL242" s="205"/>
      <c r="IM242" s="205"/>
      <c r="IN242" s="205"/>
      <c r="IO242" s="205"/>
      <c r="IP242" s="205"/>
      <c r="IQ242" s="205"/>
      <c r="IR242" s="205"/>
      <c r="IS242" s="205"/>
      <c r="IT242" s="205"/>
      <c r="IU242" s="205"/>
      <c r="IV242" s="205"/>
      <c r="IW242" s="205"/>
      <c r="IX242" s="205"/>
    </row>
    <row r="243" spans="1:258" s="203" customFormat="1" x14ac:dyDescent="0.2">
      <c r="A243" s="669"/>
      <c r="B243" s="670"/>
      <c r="C243" s="1358"/>
      <c r="D243" s="672"/>
      <c r="E243" s="1359"/>
      <c r="F243" s="1359"/>
      <c r="G243" s="1360"/>
      <c r="H243" s="1361"/>
      <c r="I243" s="1362"/>
      <c r="J243" s="1362"/>
      <c r="K243" s="1362"/>
      <c r="L243" s="1362"/>
      <c r="M243" s="1362"/>
      <c r="N243" s="1362"/>
      <c r="O243" s="1362"/>
      <c r="P243" s="1362"/>
      <c r="Q243" s="1362"/>
      <c r="R243" s="1363"/>
      <c r="S243" s="1364"/>
      <c r="T243" s="722"/>
      <c r="U243" s="205"/>
      <c r="V243" s="685"/>
      <c r="W243" s="205"/>
      <c r="X243" s="205"/>
      <c r="Y243" s="205"/>
      <c r="Z243" s="205"/>
      <c r="AA243" s="205"/>
      <c r="AB243" s="205"/>
      <c r="AC243" s="205"/>
      <c r="AD243" s="205"/>
      <c r="AE243" s="205"/>
      <c r="AF243" s="205"/>
      <c r="AG243" s="205"/>
      <c r="AH243" s="205"/>
      <c r="AI243" s="205"/>
      <c r="AJ243" s="205"/>
      <c r="AK243" s="205"/>
      <c r="AL243" s="205"/>
      <c r="AM243" s="205"/>
      <c r="AN243" s="205"/>
      <c r="AO243" s="205"/>
      <c r="AP243" s="205"/>
      <c r="AQ243" s="205"/>
      <c r="AR243" s="205"/>
      <c r="AS243" s="205"/>
      <c r="AT243" s="205"/>
      <c r="AU243" s="205"/>
      <c r="AV243" s="205"/>
      <c r="AW243" s="205"/>
      <c r="AX243" s="205"/>
      <c r="AY243" s="205"/>
      <c r="AZ243" s="205"/>
      <c r="BA243" s="205"/>
      <c r="BB243" s="205"/>
      <c r="BC243" s="205"/>
      <c r="BD243" s="205"/>
      <c r="BE243" s="205"/>
      <c r="BF243" s="205"/>
      <c r="BG243" s="205"/>
      <c r="BH243" s="205"/>
      <c r="BI243" s="205"/>
      <c r="BJ243" s="205"/>
      <c r="BK243" s="205"/>
      <c r="BL243" s="205"/>
      <c r="BM243" s="205"/>
      <c r="BN243" s="205"/>
      <c r="BO243" s="205"/>
      <c r="BP243" s="205"/>
      <c r="BQ243" s="205"/>
      <c r="BR243" s="205"/>
      <c r="BS243" s="205"/>
      <c r="BT243" s="205"/>
      <c r="BU243" s="205"/>
      <c r="BV243" s="205"/>
      <c r="BW243" s="205"/>
      <c r="BX243" s="205"/>
      <c r="BY243" s="205"/>
      <c r="BZ243" s="205"/>
      <c r="CA243" s="205"/>
      <c r="CB243" s="205"/>
      <c r="CC243" s="205"/>
      <c r="CD243" s="205"/>
      <c r="CE243" s="205"/>
      <c r="CF243" s="205"/>
      <c r="CG243" s="205"/>
      <c r="CH243" s="205"/>
      <c r="CI243" s="205"/>
      <c r="CJ243" s="205"/>
      <c r="CK243" s="205"/>
      <c r="CL243" s="205"/>
      <c r="CM243" s="205"/>
      <c r="CN243" s="205"/>
      <c r="CO243" s="205"/>
      <c r="CP243" s="205"/>
      <c r="CQ243" s="205"/>
      <c r="CR243" s="205"/>
      <c r="CS243" s="205"/>
      <c r="CT243" s="205"/>
      <c r="CU243" s="205"/>
      <c r="CV243" s="205"/>
      <c r="CW243" s="205"/>
      <c r="CX243" s="205"/>
      <c r="CY243" s="205"/>
      <c r="CZ243" s="205"/>
      <c r="DA243" s="205"/>
      <c r="DB243" s="205"/>
      <c r="DC243" s="205"/>
      <c r="DD243" s="205"/>
      <c r="DE243" s="205"/>
      <c r="DF243" s="205"/>
      <c r="DG243" s="205"/>
      <c r="DH243" s="205"/>
      <c r="DI243" s="205"/>
      <c r="DJ243" s="205"/>
      <c r="DK243" s="205"/>
      <c r="DL243" s="205"/>
      <c r="DM243" s="205"/>
      <c r="DN243" s="205"/>
      <c r="DO243" s="205"/>
      <c r="DP243" s="205"/>
      <c r="DQ243" s="205"/>
      <c r="DR243" s="205"/>
      <c r="DS243" s="205"/>
      <c r="DT243" s="205"/>
      <c r="DU243" s="205"/>
      <c r="DV243" s="205"/>
      <c r="DW243" s="205"/>
      <c r="DX243" s="205"/>
      <c r="DY243" s="205"/>
      <c r="DZ243" s="205"/>
      <c r="EA243" s="205"/>
      <c r="EB243" s="205"/>
      <c r="EC243" s="205"/>
      <c r="ED243" s="205"/>
      <c r="EE243" s="205"/>
      <c r="EF243" s="205"/>
      <c r="EG243" s="205"/>
      <c r="EH243" s="205"/>
      <c r="EI243" s="205"/>
      <c r="EJ243" s="205"/>
      <c r="EK243" s="205"/>
      <c r="EL243" s="205"/>
      <c r="EM243" s="205"/>
      <c r="EN243" s="205"/>
      <c r="EO243" s="205"/>
      <c r="EP243" s="205"/>
      <c r="EQ243" s="205"/>
      <c r="ER243" s="205"/>
      <c r="ES243" s="205"/>
      <c r="ET243" s="205"/>
      <c r="EU243" s="205"/>
      <c r="EV243" s="205"/>
      <c r="EW243" s="205"/>
      <c r="EX243" s="205"/>
      <c r="EY243" s="205"/>
      <c r="EZ243" s="205"/>
      <c r="FA243" s="205"/>
      <c r="FB243" s="205"/>
      <c r="FC243" s="205"/>
      <c r="FD243" s="205"/>
      <c r="FE243" s="205"/>
      <c r="FF243" s="205"/>
      <c r="FG243" s="205"/>
      <c r="FH243" s="205"/>
      <c r="FI243" s="205"/>
      <c r="FJ243" s="205"/>
      <c r="FK243" s="205"/>
      <c r="FL243" s="205"/>
      <c r="FM243" s="205"/>
      <c r="FN243" s="205"/>
      <c r="FO243" s="205"/>
      <c r="FP243" s="205"/>
      <c r="FQ243" s="205"/>
      <c r="FR243" s="205"/>
      <c r="FS243" s="205"/>
      <c r="FT243" s="205"/>
      <c r="FU243" s="205"/>
      <c r="FV243" s="205"/>
      <c r="FW243" s="205"/>
      <c r="FX243" s="205"/>
      <c r="FY243" s="205"/>
      <c r="FZ243" s="205"/>
      <c r="GA243" s="205"/>
      <c r="GB243" s="205"/>
      <c r="GC243" s="205"/>
      <c r="GD243" s="205"/>
      <c r="GE243" s="205"/>
      <c r="GF243" s="205"/>
      <c r="GG243" s="205"/>
      <c r="GH243" s="205"/>
      <c r="GI243" s="205"/>
      <c r="GJ243" s="205"/>
      <c r="GK243" s="205"/>
      <c r="GL243" s="205"/>
      <c r="GM243" s="205"/>
      <c r="GN243" s="205"/>
      <c r="GO243" s="205"/>
      <c r="GP243" s="205"/>
      <c r="GQ243" s="205"/>
      <c r="GR243" s="205"/>
      <c r="GS243" s="205"/>
      <c r="GT243" s="205"/>
      <c r="GU243" s="205"/>
      <c r="GV243" s="205"/>
      <c r="GW243" s="205"/>
      <c r="GX243" s="205"/>
      <c r="GY243" s="205"/>
      <c r="GZ243" s="205"/>
      <c r="HA243" s="205"/>
      <c r="HB243" s="205"/>
      <c r="HC243" s="205"/>
      <c r="HD243" s="205"/>
      <c r="HE243" s="205"/>
      <c r="HF243" s="205"/>
      <c r="HG243" s="205"/>
      <c r="HH243" s="205"/>
      <c r="HI243" s="205"/>
      <c r="HJ243" s="205"/>
      <c r="HK243" s="205"/>
      <c r="HL243" s="205"/>
      <c r="HM243" s="205"/>
      <c r="HN243" s="205"/>
      <c r="HO243" s="205"/>
      <c r="HP243" s="205"/>
      <c r="HQ243" s="205"/>
      <c r="HR243" s="205"/>
      <c r="HS243" s="205"/>
      <c r="HT243" s="205"/>
      <c r="HU243" s="205"/>
      <c r="HV243" s="205"/>
      <c r="HW243" s="205"/>
      <c r="HX243" s="205"/>
      <c r="HY243" s="205"/>
      <c r="HZ243" s="205"/>
      <c r="IA243" s="205"/>
      <c r="IB243" s="205"/>
      <c r="IC243" s="205"/>
      <c r="ID243" s="205"/>
      <c r="IE243" s="205"/>
      <c r="IF243" s="205"/>
      <c r="IG243" s="205"/>
      <c r="IH243" s="205"/>
      <c r="II243" s="205"/>
      <c r="IJ243" s="205"/>
      <c r="IK243" s="205"/>
      <c r="IL243" s="205"/>
      <c r="IM243" s="205"/>
      <c r="IN243" s="205"/>
      <c r="IO243" s="205"/>
      <c r="IP243" s="205"/>
      <c r="IQ243" s="205"/>
      <c r="IR243" s="205"/>
      <c r="IS243" s="205"/>
      <c r="IT243" s="205"/>
      <c r="IU243" s="205"/>
      <c r="IV243" s="205"/>
      <c r="IW243" s="205"/>
      <c r="IX243" s="205"/>
    </row>
    <row r="244" spans="1:258" s="203" customFormat="1" x14ac:dyDescent="0.2">
      <c r="A244" s="669"/>
      <c r="B244" s="670"/>
      <c r="C244" s="682" t="str">
        <f>RAB!D85</f>
        <v>Balok Latai 12x12</v>
      </c>
      <c r="D244" s="672"/>
      <c r="E244" s="673"/>
      <c r="F244" s="673"/>
      <c r="G244" s="674"/>
      <c r="H244" s="675"/>
      <c r="I244" s="676"/>
      <c r="J244" s="676"/>
      <c r="K244" s="676"/>
      <c r="L244" s="676"/>
      <c r="M244" s="676"/>
      <c r="N244" s="676"/>
      <c r="O244" s="676"/>
      <c r="P244" s="676"/>
      <c r="Q244" s="676"/>
      <c r="R244" s="677"/>
      <c r="S244" s="678"/>
      <c r="T244" s="684"/>
      <c r="U244" s="205"/>
      <c r="V244" s="685"/>
      <c r="W244" s="205"/>
      <c r="X244" s="205"/>
      <c r="Y244" s="205"/>
      <c r="Z244" s="205"/>
      <c r="AA244" s="205"/>
      <c r="AB244" s="205"/>
      <c r="AC244" s="205"/>
      <c r="AD244" s="205"/>
      <c r="AE244" s="205"/>
      <c r="AF244" s="205"/>
      <c r="AG244" s="205"/>
      <c r="AH244" s="205"/>
      <c r="AI244" s="205"/>
      <c r="AJ244" s="205"/>
      <c r="AK244" s="205"/>
      <c r="AL244" s="205"/>
      <c r="AM244" s="205"/>
      <c r="AN244" s="205"/>
      <c r="AO244" s="205"/>
      <c r="AP244" s="205"/>
      <c r="AQ244" s="205"/>
      <c r="AR244" s="205"/>
      <c r="AS244" s="205"/>
      <c r="AT244" s="205"/>
      <c r="AU244" s="205"/>
      <c r="AV244" s="205"/>
      <c r="AW244" s="205"/>
      <c r="AX244" s="205"/>
      <c r="AY244" s="205"/>
      <c r="AZ244" s="205"/>
      <c r="BA244" s="205"/>
      <c r="BB244" s="205"/>
      <c r="BC244" s="205"/>
      <c r="BD244" s="205"/>
      <c r="BE244" s="205"/>
      <c r="BF244" s="205"/>
      <c r="BG244" s="205"/>
      <c r="BH244" s="205"/>
      <c r="BI244" s="205"/>
      <c r="BJ244" s="205"/>
      <c r="BK244" s="205"/>
      <c r="BL244" s="205"/>
      <c r="BM244" s="205"/>
      <c r="BN244" s="205"/>
      <c r="BO244" s="205"/>
      <c r="BP244" s="205"/>
      <c r="BQ244" s="205"/>
      <c r="BR244" s="205"/>
      <c r="BS244" s="205"/>
      <c r="BT244" s="205"/>
      <c r="BU244" s="205"/>
      <c r="BV244" s="205"/>
      <c r="BW244" s="205"/>
      <c r="BX244" s="205"/>
      <c r="BY244" s="205"/>
      <c r="BZ244" s="205"/>
      <c r="CA244" s="205"/>
      <c r="CB244" s="205"/>
      <c r="CC244" s="205"/>
      <c r="CD244" s="205"/>
      <c r="CE244" s="205"/>
      <c r="CF244" s="205"/>
      <c r="CG244" s="205"/>
      <c r="CH244" s="205"/>
      <c r="CI244" s="205"/>
      <c r="CJ244" s="205"/>
      <c r="CK244" s="205"/>
      <c r="CL244" s="205"/>
      <c r="CM244" s="205"/>
      <c r="CN244" s="205"/>
      <c r="CO244" s="205"/>
      <c r="CP244" s="205"/>
      <c r="CQ244" s="205"/>
      <c r="CR244" s="205"/>
      <c r="CS244" s="205"/>
      <c r="CT244" s="205"/>
      <c r="CU244" s="205"/>
      <c r="CV244" s="205"/>
      <c r="CW244" s="205"/>
      <c r="CX244" s="205"/>
      <c r="CY244" s="205"/>
      <c r="CZ244" s="205"/>
      <c r="DA244" s="205"/>
      <c r="DB244" s="205"/>
      <c r="DC244" s="205"/>
      <c r="DD244" s="205"/>
      <c r="DE244" s="205"/>
      <c r="DF244" s="205"/>
      <c r="DG244" s="205"/>
      <c r="DH244" s="205"/>
      <c r="DI244" s="205"/>
      <c r="DJ244" s="205"/>
      <c r="DK244" s="205"/>
      <c r="DL244" s="205"/>
      <c r="DM244" s="205"/>
      <c r="DN244" s="205"/>
      <c r="DO244" s="205"/>
      <c r="DP244" s="205"/>
      <c r="DQ244" s="205"/>
      <c r="DR244" s="205"/>
      <c r="DS244" s="205"/>
      <c r="DT244" s="205"/>
      <c r="DU244" s="205"/>
      <c r="DV244" s="205"/>
      <c r="DW244" s="205"/>
      <c r="DX244" s="205"/>
      <c r="DY244" s="205"/>
      <c r="DZ244" s="205"/>
      <c r="EA244" s="205"/>
      <c r="EB244" s="205"/>
      <c r="EC244" s="205"/>
      <c r="ED244" s="205"/>
      <c r="EE244" s="205"/>
      <c r="EF244" s="205"/>
      <c r="EG244" s="205"/>
      <c r="EH244" s="205"/>
      <c r="EI244" s="205"/>
      <c r="EJ244" s="205"/>
      <c r="EK244" s="205"/>
      <c r="EL244" s="205"/>
      <c r="EM244" s="205"/>
      <c r="EN244" s="205"/>
      <c r="EO244" s="205"/>
      <c r="EP244" s="205"/>
      <c r="EQ244" s="205"/>
      <c r="ER244" s="205"/>
      <c r="ES244" s="205"/>
      <c r="ET244" s="205"/>
      <c r="EU244" s="205"/>
      <c r="EV244" s="205"/>
      <c r="EW244" s="205"/>
      <c r="EX244" s="205"/>
      <c r="EY244" s="205"/>
      <c r="EZ244" s="205"/>
      <c r="FA244" s="205"/>
      <c r="FB244" s="205"/>
      <c r="FC244" s="205"/>
      <c r="FD244" s="205"/>
      <c r="FE244" s="205"/>
      <c r="FF244" s="205"/>
      <c r="FG244" s="205"/>
      <c r="FH244" s="205"/>
      <c r="FI244" s="205"/>
      <c r="FJ244" s="205"/>
      <c r="FK244" s="205"/>
      <c r="FL244" s="205"/>
      <c r="FM244" s="205"/>
      <c r="FN244" s="205"/>
      <c r="FO244" s="205"/>
      <c r="FP244" s="205"/>
      <c r="FQ244" s="205"/>
      <c r="FR244" s="205"/>
      <c r="FS244" s="205"/>
      <c r="FT244" s="205"/>
      <c r="FU244" s="205"/>
      <c r="FV244" s="205"/>
      <c r="FW244" s="205"/>
      <c r="FX244" s="205"/>
      <c r="FY244" s="205"/>
      <c r="FZ244" s="205"/>
      <c r="GA244" s="205"/>
      <c r="GB244" s="205"/>
      <c r="GC244" s="205"/>
      <c r="GD244" s="205"/>
      <c r="GE244" s="205"/>
      <c r="GF244" s="205"/>
      <c r="GG244" s="205"/>
      <c r="GH244" s="205"/>
      <c r="GI244" s="205"/>
      <c r="GJ244" s="205"/>
      <c r="GK244" s="205"/>
      <c r="GL244" s="205"/>
      <c r="GM244" s="205"/>
      <c r="GN244" s="205"/>
      <c r="GO244" s="205"/>
      <c r="GP244" s="205"/>
      <c r="GQ244" s="205"/>
      <c r="GR244" s="205"/>
      <c r="GS244" s="205"/>
      <c r="GT244" s="205"/>
      <c r="GU244" s="205"/>
      <c r="GV244" s="205"/>
      <c r="GW244" s="205"/>
      <c r="GX244" s="205"/>
      <c r="GY244" s="205"/>
      <c r="GZ244" s="205"/>
      <c r="HA244" s="205"/>
      <c r="HB244" s="205"/>
      <c r="HC244" s="205"/>
      <c r="HD244" s="205"/>
      <c r="HE244" s="205"/>
      <c r="HF244" s="205"/>
      <c r="HG244" s="205"/>
      <c r="HH244" s="205"/>
      <c r="HI244" s="205"/>
      <c r="HJ244" s="205"/>
      <c r="HK244" s="205"/>
      <c r="HL244" s="205"/>
      <c r="HM244" s="205"/>
      <c r="HN244" s="205"/>
      <c r="HO244" s="205"/>
      <c r="HP244" s="205"/>
      <c r="HQ244" s="205"/>
      <c r="HR244" s="205"/>
      <c r="HS244" s="205"/>
      <c r="HT244" s="205"/>
      <c r="HU244" s="205"/>
      <c r="HV244" s="205"/>
      <c r="HW244" s="205"/>
      <c r="HX244" s="205"/>
      <c r="HY244" s="205"/>
      <c r="HZ244" s="205"/>
      <c r="IA244" s="205"/>
      <c r="IB244" s="205"/>
      <c r="IC244" s="205"/>
      <c r="ID244" s="205"/>
      <c r="IE244" s="205"/>
      <c r="IF244" s="205"/>
      <c r="IG244" s="205"/>
      <c r="IH244" s="205"/>
      <c r="II244" s="205"/>
      <c r="IJ244" s="205"/>
      <c r="IK244" s="205"/>
      <c r="IL244" s="205"/>
      <c r="IM244" s="205"/>
      <c r="IN244" s="205"/>
      <c r="IO244" s="205"/>
      <c r="IP244" s="205"/>
      <c r="IQ244" s="205"/>
      <c r="IR244" s="205"/>
      <c r="IS244" s="205"/>
      <c r="IT244" s="205"/>
      <c r="IU244" s="205"/>
      <c r="IV244" s="205"/>
      <c r="IW244" s="205"/>
      <c r="IX244" s="205"/>
    </row>
    <row r="245" spans="1:258" s="203" customFormat="1" x14ac:dyDescent="0.2">
      <c r="A245" s="669"/>
      <c r="B245" s="670">
        <f>RAB!B86</f>
        <v>21</v>
      </c>
      <c r="C245" s="686" t="e">
        <f>RAB!D86</f>
        <v>#REF!</v>
      </c>
      <c r="D245" s="672"/>
      <c r="E245" s="673"/>
      <c r="F245" s="673"/>
      <c r="G245" s="674"/>
      <c r="H245" s="675"/>
      <c r="I245" s="676"/>
      <c r="J245" s="676"/>
      <c r="K245" s="676"/>
      <c r="L245" s="676"/>
      <c r="M245" s="676"/>
      <c r="N245" s="676"/>
      <c r="O245" s="676"/>
      <c r="P245" s="676"/>
      <c r="Q245" s="676"/>
      <c r="R245" s="677"/>
      <c r="S245" s="678"/>
      <c r="T245" s="684"/>
      <c r="U245" s="205"/>
      <c r="V245" s="685"/>
      <c r="W245" s="205"/>
      <c r="X245" s="205"/>
      <c r="Y245" s="205"/>
      <c r="Z245" s="205"/>
      <c r="AA245" s="205"/>
      <c r="AB245" s="205"/>
      <c r="AC245" s="205"/>
      <c r="AD245" s="205"/>
      <c r="AE245" s="205"/>
      <c r="AF245" s="205"/>
      <c r="AG245" s="205"/>
      <c r="AH245" s="205"/>
      <c r="AI245" s="205"/>
      <c r="AJ245" s="205"/>
      <c r="AK245" s="205"/>
      <c r="AL245" s="205"/>
      <c r="AM245" s="205"/>
      <c r="AN245" s="205"/>
      <c r="AO245" s="205"/>
      <c r="AP245" s="205"/>
      <c r="AQ245" s="205"/>
      <c r="AR245" s="205"/>
      <c r="AS245" s="205"/>
      <c r="AT245" s="205"/>
      <c r="AU245" s="205"/>
      <c r="AV245" s="205"/>
      <c r="AW245" s="205"/>
      <c r="AX245" s="205"/>
      <c r="AY245" s="205"/>
      <c r="AZ245" s="205"/>
      <c r="BA245" s="205"/>
      <c r="BB245" s="205"/>
      <c r="BC245" s="205"/>
      <c r="BD245" s="205"/>
      <c r="BE245" s="205"/>
      <c r="BF245" s="205"/>
      <c r="BG245" s="205"/>
      <c r="BH245" s="205"/>
      <c r="BI245" s="205"/>
      <c r="BJ245" s="205"/>
      <c r="BK245" s="205"/>
      <c r="BL245" s="205"/>
      <c r="BM245" s="205"/>
      <c r="BN245" s="205"/>
      <c r="BO245" s="205"/>
      <c r="BP245" s="205"/>
      <c r="BQ245" s="205"/>
      <c r="BR245" s="205"/>
      <c r="BS245" s="205"/>
      <c r="BT245" s="205"/>
      <c r="BU245" s="205"/>
      <c r="BV245" s="205"/>
      <c r="BW245" s="205"/>
      <c r="BX245" s="205"/>
      <c r="BY245" s="205"/>
      <c r="BZ245" s="205"/>
      <c r="CA245" s="205"/>
      <c r="CB245" s="205"/>
      <c r="CC245" s="205"/>
      <c r="CD245" s="205"/>
      <c r="CE245" s="205"/>
      <c r="CF245" s="205"/>
      <c r="CG245" s="205"/>
      <c r="CH245" s="205"/>
      <c r="CI245" s="205"/>
      <c r="CJ245" s="205"/>
      <c r="CK245" s="205"/>
      <c r="CL245" s="205"/>
      <c r="CM245" s="205"/>
      <c r="CN245" s="205"/>
      <c r="CO245" s="205"/>
      <c r="CP245" s="205"/>
      <c r="CQ245" s="205"/>
      <c r="CR245" s="205"/>
      <c r="CS245" s="205"/>
      <c r="CT245" s="205"/>
      <c r="CU245" s="205"/>
      <c r="CV245" s="205"/>
      <c r="CW245" s="205"/>
      <c r="CX245" s="205"/>
      <c r="CY245" s="205"/>
      <c r="CZ245" s="205"/>
      <c r="DA245" s="205"/>
      <c r="DB245" s="205"/>
      <c r="DC245" s="205"/>
      <c r="DD245" s="205"/>
      <c r="DE245" s="205"/>
      <c r="DF245" s="205"/>
      <c r="DG245" s="205"/>
      <c r="DH245" s="205"/>
      <c r="DI245" s="205"/>
      <c r="DJ245" s="205"/>
      <c r="DK245" s="205"/>
      <c r="DL245" s="205"/>
      <c r="DM245" s="205"/>
      <c r="DN245" s="205"/>
      <c r="DO245" s="205"/>
      <c r="DP245" s="205"/>
      <c r="DQ245" s="205"/>
      <c r="DR245" s="205"/>
      <c r="DS245" s="205"/>
      <c r="DT245" s="205"/>
      <c r="DU245" s="205"/>
      <c r="DV245" s="205"/>
      <c r="DW245" s="205"/>
      <c r="DX245" s="205"/>
      <c r="DY245" s="205"/>
      <c r="DZ245" s="205"/>
      <c r="EA245" s="205"/>
      <c r="EB245" s="205"/>
      <c r="EC245" s="205"/>
      <c r="ED245" s="205"/>
      <c r="EE245" s="205"/>
      <c r="EF245" s="205"/>
      <c r="EG245" s="205"/>
      <c r="EH245" s="205"/>
      <c r="EI245" s="205"/>
      <c r="EJ245" s="205"/>
      <c r="EK245" s="205"/>
      <c r="EL245" s="205"/>
      <c r="EM245" s="205"/>
      <c r="EN245" s="205"/>
      <c r="EO245" s="205"/>
      <c r="EP245" s="205"/>
      <c r="EQ245" s="205"/>
      <c r="ER245" s="205"/>
      <c r="ES245" s="205"/>
      <c r="ET245" s="205"/>
      <c r="EU245" s="205"/>
      <c r="EV245" s="205"/>
      <c r="EW245" s="205"/>
      <c r="EX245" s="205"/>
      <c r="EY245" s="205"/>
      <c r="EZ245" s="205"/>
      <c r="FA245" s="205"/>
      <c r="FB245" s="205"/>
      <c r="FC245" s="205"/>
      <c r="FD245" s="205"/>
      <c r="FE245" s="205"/>
      <c r="FF245" s="205"/>
      <c r="FG245" s="205"/>
      <c r="FH245" s="205"/>
      <c r="FI245" s="205"/>
      <c r="FJ245" s="205"/>
      <c r="FK245" s="205"/>
      <c r="FL245" s="205"/>
      <c r="FM245" s="205"/>
      <c r="FN245" s="205"/>
      <c r="FO245" s="205"/>
      <c r="FP245" s="205"/>
      <c r="FQ245" s="205"/>
      <c r="FR245" s="205"/>
      <c r="FS245" s="205"/>
      <c r="FT245" s="205"/>
      <c r="FU245" s="205"/>
      <c r="FV245" s="205"/>
      <c r="FW245" s="205"/>
      <c r="FX245" s="205"/>
      <c r="FY245" s="205"/>
      <c r="FZ245" s="205"/>
      <c r="GA245" s="205"/>
      <c r="GB245" s="205"/>
      <c r="GC245" s="205"/>
      <c r="GD245" s="205"/>
      <c r="GE245" s="205"/>
      <c r="GF245" s="205"/>
      <c r="GG245" s="205"/>
      <c r="GH245" s="205"/>
      <c r="GI245" s="205"/>
      <c r="GJ245" s="205"/>
      <c r="GK245" s="205"/>
      <c r="GL245" s="205"/>
      <c r="GM245" s="205"/>
      <c r="GN245" s="205"/>
      <c r="GO245" s="205"/>
      <c r="GP245" s="205"/>
      <c r="GQ245" s="205"/>
      <c r="GR245" s="205"/>
      <c r="GS245" s="205"/>
      <c r="GT245" s="205"/>
      <c r="GU245" s="205"/>
      <c r="GV245" s="205"/>
      <c r="GW245" s="205"/>
      <c r="GX245" s="205"/>
      <c r="GY245" s="205"/>
      <c r="GZ245" s="205"/>
      <c r="HA245" s="205"/>
      <c r="HB245" s="205"/>
      <c r="HC245" s="205"/>
      <c r="HD245" s="205"/>
      <c r="HE245" s="205"/>
      <c r="HF245" s="205"/>
      <c r="HG245" s="205"/>
      <c r="HH245" s="205"/>
      <c r="HI245" s="205"/>
      <c r="HJ245" s="205"/>
      <c r="HK245" s="205"/>
      <c r="HL245" s="205"/>
      <c r="HM245" s="205"/>
      <c r="HN245" s="205"/>
      <c r="HO245" s="205"/>
      <c r="HP245" s="205"/>
      <c r="HQ245" s="205"/>
      <c r="HR245" s="205"/>
      <c r="HS245" s="205"/>
      <c r="HT245" s="205"/>
      <c r="HU245" s="205"/>
      <c r="HV245" s="205"/>
      <c r="HW245" s="205"/>
      <c r="HX245" s="205"/>
      <c r="HY245" s="205"/>
      <c r="HZ245" s="205"/>
      <c r="IA245" s="205"/>
      <c r="IB245" s="205"/>
      <c r="IC245" s="205"/>
      <c r="ID245" s="205"/>
      <c r="IE245" s="205"/>
      <c r="IF245" s="205"/>
      <c r="IG245" s="205"/>
      <c r="IH245" s="205"/>
      <c r="II245" s="205"/>
      <c r="IJ245" s="205"/>
      <c r="IK245" s="205"/>
      <c r="IL245" s="205"/>
      <c r="IM245" s="205"/>
      <c r="IN245" s="205"/>
      <c r="IO245" s="205"/>
      <c r="IP245" s="205"/>
      <c r="IQ245" s="205"/>
      <c r="IR245" s="205"/>
      <c r="IS245" s="205"/>
      <c r="IT245" s="205"/>
      <c r="IU245" s="205"/>
      <c r="IV245" s="205"/>
      <c r="IW245" s="205"/>
      <c r="IX245" s="205"/>
    </row>
    <row r="246" spans="1:258" s="203" customFormat="1" x14ac:dyDescent="0.2">
      <c r="A246" s="669"/>
      <c r="B246" s="670"/>
      <c r="C246" s="1358"/>
      <c r="D246" s="672"/>
      <c r="E246" s="1359"/>
      <c r="F246" s="1359"/>
      <c r="G246" s="1360"/>
      <c r="H246" s="1361">
        <f>22+2+20+18+1.75+4+6+13+2+(1.5*5)+2.5+1.5+1.75+1.75+2+2.5+2+4.75+1.8+1+3.5+3+2.5+2.5</f>
        <v>129.30000000000001</v>
      </c>
      <c r="I246" s="1362" t="s">
        <v>424</v>
      </c>
      <c r="J246" s="1362">
        <v>0.12</v>
      </c>
      <c r="K246" s="1362" t="s">
        <v>424</v>
      </c>
      <c r="L246" s="1362">
        <v>0.12</v>
      </c>
      <c r="M246" s="1362"/>
      <c r="N246" s="1362"/>
      <c r="O246" s="1362"/>
      <c r="P246" s="1362"/>
      <c r="Q246" s="1362" t="s">
        <v>696</v>
      </c>
      <c r="R246" s="1363">
        <f t="shared" ref="R246" si="111">H246*J246*L246</f>
        <v>1.86192</v>
      </c>
      <c r="S246" s="1364">
        <f>R246</f>
        <v>1.86192</v>
      </c>
      <c r="T246" s="722" t="s">
        <v>293</v>
      </c>
      <c r="U246" s="205"/>
      <c r="V246" s="685">
        <f>S251/S246</f>
        <v>231.42672222222225</v>
      </c>
      <c r="W246" s="205"/>
      <c r="X246" s="205"/>
      <c r="Y246" s="205"/>
      <c r="Z246" s="205"/>
      <c r="AA246" s="205"/>
      <c r="AB246" s="205"/>
      <c r="AC246" s="205"/>
      <c r="AD246" s="205"/>
      <c r="AE246" s="205"/>
      <c r="AF246" s="205"/>
      <c r="AG246" s="205"/>
      <c r="AH246" s="205"/>
      <c r="AI246" s="205"/>
      <c r="AJ246" s="205"/>
      <c r="AK246" s="205"/>
      <c r="AL246" s="205"/>
      <c r="AM246" s="205"/>
      <c r="AN246" s="205"/>
      <c r="AO246" s="205"/>
      <c r="AP246" s="205"/>
      <c r="AQ246" s="205"/>
      <c r="AR246" s="205"/>
      <c r="AS246" s="205"/>
      <c r="AT246" s="205"/>
      <c r="AU246" s="205"/>
      <c r="AV246" s="205"/>
      <c r="AW246" s="205"/>
      <c r="AX246" s="205"/>
      <c r="AY246" s="205"/>
      <c r="AZ246" s="205"/>
      <c r="BA246" s="205"/>
      <c r="BB246" s="205"/>
      <c r="BC246" s="205"/>
      <c r="BD246" s="205"/>
      <c r="BE246" s="205"/>
      <c r="BF246" s="205"/>
      <c r="BG246" s="205"/>
      <c r="BH246" s="205"/>
      <c r="BI246" s="205"/>
      <c r="BJ246" s="205"/>
      <c r="BK246" s="205"/>
      <c r="BL246" s="205"/>
      <c r="BM246" s="205"/>
      <c r="BN246" s="205"/>
      <c r="BO246" s="205"/>
      <c r="BP246" s="205"/>
      <c r="BQ246" s="205"/>
      <c r="BR246" s="205"/>
      <c r="BS246" s="205"/>
      <c r="BT246" s="205"/>
      <c r="BU246" s="205"/>
      <c r="BV246" s="205"/>
      <c r="BW246" s="205"/>
      <c r="BX246" s="205"/>
      <c r="BY246" s="205"/>
      <c r="BZ246" s="205"/>
      <c r="CA246" s="205"/>
      <c r="CB246" s="205"/>
      <c r="CC246" s="205"/>
      <c r="CD246" s="205"/>
      <c r="CE246" s="205"/>
      <c r="CF246" s="205"/>
      <c r="CG246" s="205"/>
      <c r="CH246" s="205"/>
      <c r="CI246" s="205"/>
      <c r="CJ246" s="205"/>
      <c r="CK246" s="205"/>
      <c r="CL246" s="205"/>
      <c r="CM246" s="205"/>
      <c r="CN246" s="205"/>
      <c r="CO246" s="205"/>
      <c r="CP246" s="205"/>
      <c r="CQ246" s="205"/>
      <c r="CR246" s="205"/>
      <c r="CS246" s="205"/>
      <c r="CT246" s="205"/>
      <c r="CU246" s="205"/>
      <c r="CV246" s="205"/>
      <c r="CW246" s="205"/>
      <c r="CX246" s="205"/>
      <c r="CY246" s="205"/>
      <c r="CZ246" s="205"/>
      <c r="DA246" s="205"/>
      <c r="DB246" s="205"/>
      <c r="DC246" s="205"/>
      <c r="DD246" s="205"/>
      <c r="DE246" s="205"/>
      <c r="DF246" s="205"/>
      <c r="DG246" s="205"/>
      <c r="DH246" s="205"/>
      <c r="DI246" s="205"/>
      <c r="DJ246" s="205"/>
      <c r="DK246" s="205"/>
      <c r="DL246" s="205"/>
      <c r="DM246" s="205"/>
      <c r="DN246" s="205"/>
      <c r="DO246" s="205"/>
      <c r="DP246" s="205"/>
      <c r="DQ246" s="205"/>
      <c r="DR246" s="205"/>
      <c r="DS246" s="205"/>
      <c r="DT246" s="205"/>
      <c r="DU246" s="205"/>
      <c r="DV246" s="205"/>
      <c r="DW246" s="205"/>
      <c r="DX246" s="205"/>
      <c r="DY246" s="205"/>
      <c r="DZ246" s="205"/>
      <c r="EA246" s="205"/>
      <c r="EB246" s="205"/>
      <c r="EC246" s="205"/>
      <c r="ED246" s="205"/>
      <c r="EE246" s="205"/>
      <c r="EF246" s="205"/>
      <c r="EG246" s="205"/>
      <c r="EH246" s="205"/>
      <c r="EI246" s="205"/>
      <c r="EJ246" s="205"/>
      <c r="EK246" s="205"/>
      <c r="EL246" s="205"/>
      <c r="EM246" s="205"/>
      <c r="EN246" s="205"/>
      <c r="EO246" s="205"/>
      <c r="EP246" s="205"/>
      <c r="EQ246" s="205"/>
      <c r="ER246" s="205"/>
      <c r="ES246" s="205"/>
      <c r="ET246" s="205"/>
      <c r="EU246" s="205"/>
      <c r="EV246" s="205"/>
      <c r="EW246" s="205"/>
      <c r="EX246" s="205"/>
      <c r="EY246" s="205"/>
      <c r="EZ246" s="205"/>
      <c r="FA246" s="205"/>
      <c r="FB246" s="205"/>
      <c r="FC246" s="205"/>
      <c r="FD246" s="205"/>
      <c r="FE246" s="205"/>
      <c r="FF246" s="205"/>
      <c r="FG246" s="205"/>
      <c r="FH246" s="205"/>
      <c r="FI246" s="205"/>
      <c r="FJ246" s="205"/>
      <c r="FK246" s="205"/>
      <c r="FL246" s="205"/>
      <c r="FM246" s="205"/>
      <c r="FN246" s="205"/>
      <c r="FO246" s="205"/>
      <c r="FP246" s="205"/>
      <c r="FQ246" s="205"/>
      <c r="FR246" s="205"/>
      <c r="FS246" s="205"/>
      <c r="FT246" s="205"/>
      <c r="FU246" s="205"/>
      <c r="FV246" s="205"/>
      <c r="FW246" s="205"/>
      <c r="FX246" s="205"/>
      <c r="FY246" s="205"/>
      <c r="FZ246" s="205"/>
      <c r="GA246" s="205"/>
      <c r="GB246" s="205"/>
      <c r="GC246" s="205"/>
      <c r="GD246" s="205"/>
      <c r="GE246" s="205"/>
      <c r="GF246" s="205"/>
      <c r="GG246" s="205"/>
      <c r="GH246" s="205"/>
      <c r="GI246" s="205"/>
      <c r="GJ246" s="205"/>
      <c r="GK246" s="205"/>
      <c r="GL246" s="205"/>
      <c r="GM246" s="205"/>
      <c r="GN246" s="205"/>
      <c r="GO246" s="205"/>
      <c r="GP246" s="205"/>
      <c r="GQ246" s="205"/>
      <c r="GR246" s="205"/>
      <c r="GS246" s="205"/>
      <c r="GT246" s="205"/>
      <c r="GU246" s="205"/>
      <c r="GV246" s="205"/>
      <c r="GW246" s="205"/>
      <c r="GX246" s="205"/>
      <c r="GY246" s="205"/>
      <c r="GZ246" s="205"/>
      <c r="HA246" s="205"/>
      <c r="HB246" s="205"/>
      <c r="HC246" s="205"/>
      <c r="HD246" s="205"/>
      <c r="HE246" s="205"/>
      <c r="HF246" s="205"/>
      <c r="HG246" s="205"/>
      <c r="HH246" s="205"/>
      <c r="HI246" s="205"/>
      <c r="HJ246" s="205"/>
      <c r="HK246" s="205"/>
      <c r="HL246" s="205"/>
      <c r="HM246" s="205"/>
      <c r="HN246" s="205"/>
      <c r="HO246" s="205"/>
      <c r="HP246" s="205"/>
      <c r="HQ246" s="205"/>
      <c r="HR246" s="205"/>
      <c r="HS246" s="205"/>
      <c r="HT246" s="205"/>
      <c r="HU246" s="205"/>
      <c r="HV246" s="205"/>
      <c r="HW246" s="205"/>
      <c r="HX246" s="205"/>
      <c r="HY246" s="205"/>
      <c r="HZ246" s="205"/>
      <c r="IA246" s="205"/>
      <c r="IB246" s="205"/>
      <c r="IC246" s="205"/>
      <c r="ID246" s="205"/>
      <c r="IE246" s="205"/>
      <c r="IF246" s="205"/>
      <c r="IG246" s="205"/>
      <c r="IH246" s="205"/>
      <c r="II246" s="205"/>
      <c r="IJ246" s="205"/>
      <c r="IK246" s="205"/>
      <c r="IL246" s="205"/>
      <c r="IM246" s="205"/>
      <c r="IN246" s="205"/>
      <c r="IO246" s="205"/>
      <c r="IP246" s="205"/>
      <c r="IQ246" s="205"/>
      <c r="IR246" s="205"/>
      <c r="IS246" s="205"/>
      <c r="IT246" s="205"/>
      <c r="IU246" s="205"/>
      <c r="IV246" s="205"/>
      <c r="IW246" s="205"/>
      <c r="IX246" s="205"/>
    </row>
    <row r="247" spans="1:258" s="203" customFormat="1" x14ac:dyDescent="0.2">
      <c r="A247" s="669"/>
      <c r="B247" s="670"/>
      <c r="C247" s="1358"/>
      <c r="D247" s="672"/>
      <c r="E247" s="1359"/>
      <c r="F247" s="1359"/>
      <c r="G247" s="1360"/>
      <c r="H247" s="1361"/>
      <c r="I247" s="1362"/>
      <c r="J247" s="1362"/>
      <c r="K247" s="1362"/>
      <c r="L247" s="1362"/>
      <c r="M247" s="1362"/>
      <c r="N247" s="1362"/>
      <c r="O247" s="1362"/>
      <c r="P247" s="1362"/>
      <c r="Q247" s="1362"/>
      <c r="R247" s="1363"/>
      <c r="S247" s="1364"/>
      <c r="T247" s="722"/>
      <c r="U247" s="205"/>
      <c r="V247" s="685"/>
      <c r="W247" s="205"/>
      <c r="X247" s="205"/>
      <c r="Y247" s="205"/>
      <c r="Z247" s="205"/>
      <c r="AA247" s="205"/>
      <c r="AB247" s="205"/>
      <c r="AC247" s="205"/>
      <c r="AD247" s="205"/>
      <c r="AE247" s="205"/>
      <c r="AF247" s="205"/>
      <c r="AG247" s="205"/>
      <c r="AH247" s="205"/>
      <c r="AI247" s="205"/>
      <c r="AJ247" s="205"/>
      <c r="AK247" s="205"/>
      <c r="AL247" s="205"/>
      <c r="AM247" s="205"/>
      <c r="AN247" s="205"/>
      <c r="AO247" s="205"/>
      <c r="AP247" s="205"/>
      <c r="AQ247" s="205"/>
      <c r="AR247" s="205"/>
      <c r="AS247" s="205"/>
      <c r="AT247" s="205"/>
      <c r="AU247" s="205"/>
      <c r="AV247" s="205"/>
      <c r="AW247" s="205"/>
      <c r="AX247" s="205"/>
      <c r="AY247" s="205"/>
      <c r="AZ247" s="205"/>
      <c r="BA247" s="205"/>
      <c r="BB247" s="205"/>
      <c r="BC247" s="205"/>
      <c r="BD247" s="205"/>
      <c r="BE247" s="205"/>
      <c r="BF247" s="205"/>
      <c r="BG247" s="205"/>
      <c r="BH247" s="205"/>
      <c r="BI247" s="205"/>
      <c r="BJ247" s="205"/>
      <c r="BK247" s="205"/>
      <c r="BL247" s="205"/>
      <c r="BM247" s="205"/>
      <c r="BN247" s="205"/>
      <c r="BO247" s="205"/>
      <c r="BP247" s="205"/>
      <c r="BQ247" s="205"/>
      <c r="BR247" s="205"/>
      <c r="BS247" s="205"/>
      <c r="BT247" s="205"/>
      <c r="BU247" s="205"/>
      <c r="BV247" s="205"/>
      <c r="BW247" s="205"/>
      <c r="BX247" s="205"/>
      <c r="BY247" s="205"/>
      <c r="BZ247" s="205"/>
      <c r="CA247" s="205"/>
      <c r="CB247" s="205"/>
      <c r="CC247" s="205"/>
      <c r="CD247" s="205"/>
      <c r="CE247" s="205"/>
      <c r="CF247" s="205"/>
      <c r="CG247" s="205"/>
      <c r="CH247" s="205"/>
      <c r="CI247" s="205"/>
      <c r="CJ247" s="205"/>
      <c r="CK247" s="205"/>
      <c r="CL247" s="205"/>
      <c r="CM247" s="205"/>
      <c r="CN247" s="205"/>
      <c r="CO247" s="205"/>
      <c r="CP247" s="205"/>
      <c r="CQ247" s="205"/>
      <c r="CR247" s="205"/>
      <c r="CS247" s="205"/>
      <c r="CT247" s="205"/>
      <c r="CU247" s="205"/>
      <c r="CV247" s="205"/>
      <c r="CW247" s="205"/>
      <c r="CX247" s="205"/>
      <c r="CY247" s="205"/>
      <c r="CZ247" s="205"/>
      <c r="DA247" s="205"/>
      <c r="DB247" s="205"/>
      <c r="DC247" s="205"/>
      <c r="DD247" s="205"/>
      <c r="DE247" s="205"/>
      <c r="DF247" s="205"/>
      <c r="DG247" s="205"/>
      <c r="DH247" s="205"/>
      <c r="DI247" s="205"/>
      <c r="DJ247" s="205"/>
      <c r="DK247" s="205"/>
      <c r="DL247" s="205"/>
      <c r="DM247" s="205"/>
      <c r="DN247" s="205"/>
      <c r="DO247" s="205"/>
      <c r="DP247" s="205"/>
      <c r="DQ247" s="205"/>
      <c r="DR247" s="205"/>
      <c r="DS247" s="205"/>
      <c r="DT247" s="205"/>
      <c r="DU247" s="205"/>
      <c r="DV247" s="205"/>
      <c r="DW247" s="205"/>
      <c r="DX247" s="205"/>
      <c r="DY247" s="205"/>
      <c r="DZ247" s="205"/>
      <c r="EA247" s="205"/>
      <c r="EB247" s="205"/>
      <c r="EC247" s="205"/>
      <c r="ED247" s="205"/>
      <c r="EE247" s="205"/>
      <c r="EF247" s="205"/>
      <c r="EG247" s="205"/>
      <c r="EH247" s="205"/>
      <c r="EI247" s="205"/>
      <c r="EJ247" s="205"/>
      <c r="EK247" s="205"/>
      <c r="EL247" s="205"/>
      <c r="EM247" s="205"/>
      <c r="EN247" s="205"/>
      <c r="EO247" s="205"/>
      <c r="EP247" s="205"/>
      <c r="EQ247" s="205"/>
      <c r="ER247" s="205"/>
      <c r="ES247" s="205"/>
      <c r="ET247" s="205"/>
      <c r="EU247" s="205"/>
      <c r="EV247" s="205"/>
      <c r="EW247" s="205"/>
      <c r="EX247" s="205"/>
      <c r="EY247" s="205"/>
      <c r="EZ247" s="205"/>
      <c r="FA247" s="205"/>
      <c r="FB247" s="205"/>
      <c r="FC247" s="205"/>
      <c r="FD247" s="205"/>
      <c r="FE247" s="205"/>
      <c r="FF247" s="205"/>
      <c r="FG247" s="205"/>
      <c r="FH247" s="205"/>
      <c r="FI247" s="205"/>
      <c r="FJ247" s="205"/>
      <c r="FK247" s="205"/>
      <c r="FL247" s="205"/>
      <c r="FM247" s="205"/>
      <c r="FN247" s="205"/>
      <c r="FO247" s="205"/>
      <c r="FP247" s="205"/>
      <c r="FQ247" s="205"/>
      <c r="FR247" s="205"/>
      <c r="FS247" s="205"/>
      <c r="FT247" s="205"/>
      <c r="FU247" s="205"/>
      <c r="FV247" s="205"/>
      <c r="FW247" s="205"/>
      <c r="FX247" s="205"/>
      <c r="FY247" s="205"/>
      <c r="FZ247" s="205"/>
      <c r="GA247" s="205"/>
      <c r="GB247" s="205"/>
      <c r="GC247" s="205"/>
      <c r="GD247" s="205"/>
      <c r="GE247" s="205"/>
      <c r="GF247" s="205"/>
      <c r="GG247" s="205"/>
      <c r="GH247" s="205"/>
      <c r="GI247" s="205"/>
      <c r="GJ247" s="205"/>
      <c r="GK247" s="205"/>
      <c r="GL247" s="205"/>
      <c r="GM247" s="205"/>
      <c r="GN247" s="205"/>
      <c r="GO247" s="205"/>
      <c r="GP247" s="205"/>
      <c r="GQ247" s="205"/>
      <c r="GR247" s="205"/>
      <c r="GS247" s="205"/>
      <c r="GT247" s="205"/>
      <c r="GU247" s="205"/>
      <c r="GV247" s="205"/>
      <c r="GW247" s="205"/>
      <c r="GX247" s="205"/>
      <c r="GY247" s="205"/>
      <c r="GZ247" s="205"/>
      <c r="HA247" s="205"/>
      <c r="HB247" s="205"/>
      <c r="HC247" s="205"/>
      <c r="HD247" s="205"/>
      <c r="HE247" s="205"/>
      <c r="HF247" s="205"/>
      <c r="HG247" s="205"/>
      <c r="HH247" s="205"/>
      <c r="HI247" s="205"/>
      <c r="HJ247" s="205"/>
      <c r="HK247" s="205"/>
      <c r="HL247" s="205"/>
      <c r="HM247" s="205"/>
      <c r="HN247" s="205"/>
      <c r="HO247" s="205"/>
      <c r="HP247" s="205"/>
      <c r="HQ247" s="205"/>
      <c r="HR247" s="205"/>
      <c r="HS247" s="205"/>
      <c r="HT247" s="205"/>
      <c r="HU247" s="205"/>
      <c r="HV247" s="205"/>
      <c r="HW247" s="205"/>
      <c r="HX247" s="205"/>
      <c r="HY247" s="205"/>
      <c r="HZ247" s="205"/>
      <c r="IA247" s="205"/>
      <c r="IB247" s="205"/>
      <c r="IC247" s="205"/>
      <c r="ID247" s="205"/>
      <c r="IE247" s="205"/>
      <c r="IF247" s="205"/>
      <c r="IG247" s="205"/>
      <c r="IH247" s="205"/>
      <c r="II247" s="205"/>
      <c r="IJ247" s="205"/>
      <c r="IK247" s="205"/>
      <c r="IL247" s="205"/>
      <c r="IM247" s="205"/>
      <c r="IN247" s="205"/>
      <c r="IO247" s="205"/>
      <c r="IP247" s="205"/>
      <c r="IQ247" s="205"/>
      <c r="IR247" s="205"/>
      <c r="IS247" s="205"/>
      <c r="IT247" s="205"/>
      <c r="IU247" s="205"/>
      <c r="IV247" s="205"/>
      <c r="IW247" s="205"/>
      <c r="IX247" s="205"/>
    </row>
    <row r="248" spans="1:258" s="203" customFormat="1" x14ac:dyDescent="0.2">
      <c r="A248" s="669"/>
      <c r="B248" s="670">
        <f>RAB!B87</f>
        <v>22</v>
      </c>
      <c r="C248" s="686" t="str">
        <f>RAB!D87</f>
        <v>Pembesian 1 kg dengan besi polos atau besi ulir</v>
      </c>
      <c r="D248" s="672"/>
      <c r="E248" s="673"/>
      <c r="F248" s="673"/>
      <c r="G248" s="674"/>
      <c r="H248" s="675"/>
      <c r="I248" s="676"/>
      <c r="J248" s="676"/>
      <c r="K248" s="676"/>
      <c r="L248" s="676"/>
      <c r="M248" s="676"/>
      <c r="N248" s="676"/>
      <c r="O248" s="676"/>
      <c r="P248" s="676"/>
      <c r="Q248" s="676"/>
      <c r="R248" s="677"/>
      <c r="S248" s="678"/>
      <c r="T248" s="684"/>
      <c r="U248" s="205"/>
      <c r="V248" s="685"/>
      <c r="W248" s="205"/>
      <c r="X248" s="205"/>
      <c r="Y248" s="205"/>
      <c r="Z248" s="205"/>
      <c r="AA248" s="205"/>
      <c r="AB248" s="205"/>
      <c r="AC248" s="205"/>
      <c r="AD248" s="205"/>
      <c r="AE248" s="205"/>
      <c r="AF248" s="205"/>
      <c r="AG248" s="205"/>
      <c r="AH248" s="205"/>
      <c r="AI248" s="205"/>
      <c r="AJ248" s="205"/>
      <c r="AK248" s="205"/>
      <c r="AL248" s="205"/>
      <c r="AM248" s="205"/>
      <c r="AN248" s="205"/>
      <c r="AO248" s="205"/>
      <c r="AP248" s="205"/>
      <c r="AQ248" s="205"/>
      <c r="AR248" s="205"/>
      <c r="AS248" s="205"/>
      <c r="AT248" s="205"/>
      <c r="AU248" s="205"/>
      <c r="AV248" s="205"/>
      <c r="AW248" s="205"/>
      <c r="AX248" s="205"/>
      <c r="AY248" s="205"/>
      <c r="AZ248" s="205"/>
      <c r="BA248" s="205"/>
      <c r="BB248" s="205"/>
      <c r="BC248" s="205"/>
      <c r="BD248" s="205"/>
      <c r="BE248" s="205"/>
      <c r="BF248" s="205"/>
      <c r="BG248" s="205"/>
      <c r="BH248" s="205"/>
      <c r="BI248" s="205"/>
      <c r="BJ248" s="205"/>
      <c r="BK248" s="205"/>
      <c r="BL248" s="205"/>
      <c r="BM248" s="205"/>
      <c r="BN248" s="205"/>
      <c r="BO248" s="205"/>
      <c r="BP248" s="205"/>
      <c r="BQ248" s="205"/>
      <c r="BR248" s="205"/>
      <c r="BS248" s="205"/>
      <c r="BT248" s="205"/>
      <c r="BU248" s="205"/>
      <c r="BV248" s="205"/>
      <c r="BW248" s="205"/>
      <c r="BX248" s="205"/>
      <c r="BY248" s="205"/>
      <c r="BZ248" s="205"/>
      <c r="CA248" s="205"/>
      <c r="CB248" s="205"/>
      <c r="CC248" s="205"/>
      <c r="CD248" s="205"/>
      <c r="CE248" s="205"/>
      <c r="CF248" s="205"/>
      <c r="CG248" s="205"/>
      <c r="CH248" s="205"/>
      <c r="CI248" s="205"/>
      <c r="CJ248" s="205"/>
      <c r="CK248" s="205"/>
      <c r="CL248" s="205"/>
      <c r="CM248" s="205"/>
      <c r="CN248" s="205"/>
      <c r="CO248" s="205"/>
      <c r="CP248" s="205"/>
      <c r="CQ248" s="205"/>
      <c r="CR248" s="205"/>
      <c r="CS248" s="205"/>
      <c r="CT248" s="205"/>
      <c r="CU248" s="205"/>
      <c r="CV248" s="205"/>
      <c r="CW248" s="205"/>
      <c r="CX248" s="205"/>
      <c r="CY248" s="205"/>
      <c r="CZ248" s="205"/>
      <c r="DA248" s="205"/>
      <c r="DB248" s="205"/>
      <c r="DC248" s="205"/>
      <c r="DD248" s="205"/>
      <c r="DE248" s="205"/>
      <c r="DF248" s="205"/>
      <c r="DG248" s="205"/>
      <c r="DH248" s="205"/>
      <c r="DI248" s="205"/>
      <c r="DJ248" s="205"/>
      <c r="DK248" s="205"/>
      <c r="DL248" s="205"/>
      <c r="DM248" s="205"/>
      <c r="DN248" s="205"/>
      <c r="DO248" s="205"/>
      <c r="DP248" s="205"/>
      <c r="DQ248" s="205"/>
      <c r="DR248" s="205"/>
      <c r="DS248" s="205"/>
      <c r="DT248" s="205"/>
      <c r="DU248" s="205"/>
      <c r="DV248" s="205"/>
      <c r="DW248" s="205"/>
      <c r="DX248" s="205"/>
      <c r="DY248" s="205"/>
      <c r="DZ248" s="205"/>
      <c r="EA248" s="205"/>
      <c r="EB248" s="205"/>
      <c r="EC248" s="205"/>
      <c r="ED248" s="205"/>
      <c r="EE248" s="205"/>
      <c r="EF248" s="205"/>
      <c r="EG248" s="205"/>
      <c r="EH248" s="205"/>
      <c r="EI248" s="205"/>
      <c r="EJ248" s="205"/>
      <c r="EK248" s="205"/>
      <c r="EL248" s="205"/>
      <c r="EM248" s="205"/>
      <c r="EN248" s="205"/>
      <c r="EO248" s="205"/>
      <c r="EP248" s="205"/>
      <c r="EQ248" s="205"/>
      <c r="ER248" s="205"/>
      <c r="ES248" s="205"/>
      <c r="ET248" s="205"/>
      <c r="EU248" s="205"/>
      <c r="EV248" s="205"/>
      <c r="EW248" s="205"/>
      <c r="EX248" s="205"/>
      <c r="EY248" s="205"/>
      <c r="EZ248" s="205"/>
      <c r="FA248" s="205"/>
      <c r="FB248" s="205"/>
      <c r="FC248" s="205"/>
      <c r="FD248" s="205"/>
      <c r="FE248" s="205"/>
      <c r="FF248" s="205"/>
      <c r="FG248" s="205"/>
      <c r="FH248" s="205"/>
      <c r="FI248" s="205"/>
      <c r="FJ248" s="205"/>
      <c r="FK248" s="205"/>
      <c r="FL248" s="205"/>
      <c r="FM248" s="205"/>
      <c r="FN248" s="205"/>
      <c r="FO248" s="205"/>
      <c r="FP248" s="205"/>
      <c r="FQ248" s="205"/>
      <c r="FR248" s="205"/>
      <c r="FS248" s="205"/>
      <c r="FT248" s="205"/>
      <c r="FU248" s="205"/>
      <c r="FV248" s="205"/>
      <c r="FW248" s="205"/>
      <c r="FX248" s="205"/>
      <c r="FY248" s="205"/>
      <c r="FZ248" s="205"/>
      <c r="GA248" s="205"/>
      <c r="GB248" s="205"/>
      <c r="GC248" s="205"/>
      <c r="GD248" s="205"/>
      <c r="GE248" s="205"/>
      <c r="GF248" s="205"/>
      <c r="GG248" s="205"/>
      <c r="GH248" s="205"/>
      <c r="GI248" s="205"/>
      <c r="GJ248" s="205"/>
      <c r="GK248" s="205"/>
      <c r="GL248" s="205"/>
      <c r="GM248" s="205"/>
      <c r="GN248" s="205"/>
      <c r="GO248" s="205"/>
      <c r="GP248" s="205"/>
      <c r="GQ248" s="205"/>
      <c r="GR248" s="205"/>
      <c r="GS248" s="205"/>
      <c r="GT248" s="205"/>
      <c r="GU248" s="205"/>
      <c r="GV248" s="205"/>
      <c r="GW248" s="205"/>
      <c r="GX248" s="205"/>
      <c r="GY248" s="205"/>
      <c r="GZ248" s="205"/>
      <c r="HA248" s="205"/>
      <c r="HB248" s="205"/>
      <c r="HC248" s="205"/>
      <c r="HD248" s="205"/>
      <c r="HE248" s="205"/>
      <c r="HF248" s="205"/>
      <c r="HG248" s="205"/>
      <c r="HH248" s="205"/>
      <c r="HI248" s="205"/>
      <c r="HJ248" s="205"/>
      <c r="HK248" s="205"/>
      <c r="HL248" s="205"/>
      <c r="HM248" s="205"/>
      <c r="HN248" s="205"/>
      <c r="HO248" s="205"/>
      <c r="HP248" s="205"/>
      <c r="HQ248" s="205"/>
      <c r="HR248" s="205"/>
      <c r="HS248" s="205"/>
      <c r="HT248" s="205"/>
      <c r="HU248" s="205"/>
      <c r="HV248" s="205"/>
      <c r="HW248" s="205"/>
      <c r="HX248" s="205"/>
      <c r="HY248" s="205"/>
      <c r="HZ248" s="205"/>
      <c r="IA248" s="205"/>
      <c r="IB248" s="205"/>
      <c r="IC248" s="205"/>
      <c r="ID248" s="205"/>
      <c r="IE248" s="205"/>
      <c r="IF248" s="205"/>
      <c r="IG248" s="205"/>
      <c r="IH248" s="205"/>
      <c r="II248" s="205"/>
      <c r="IJ248" s="205"/>
      <c r="IK248" s="205"/>
      <c r="IL248" s="205"/>
      <c r="IM248" s="205"/>
      <c r="IN248" s="205"/>
      <c r="IO248" s="205"/>
      <c r="IP248" s="205"/>
      <c r="IQ248" s="205"/>
      <c r="IR248" s="205"/>
      <c r="IS248" s="205"/>
      <c r="IT248" s="205"/>
      <c r="IU248" s="205"/>
      <c r="IV248" s="205"/>
      <c r="IW248" s="205"/>
      <c r="IX248" s="205"/>
    </row>
    <row r="249" spans="1:258" s="203" customFormat="1" x14ac:dyDescent="0.2">
      <c r="A249" s="669"/>
      <c r="B249" s="670"/>
      <c r="C249" s="1358"/>
      <c r="D249" s="672"/>
      <c r="E249" s="1359"/>
      <c r="F249" s="1359"/>
      <c r="G249" s="1360"/>
      <c r="H249" s="1361">
        <f>H246</f>
        <v>129.30000000000001</v>
      </c>
      <c r="I249" s="1362" t="s">
        <v>424</v>
      </c>
      <c r="J249" s="1362">
        <v>4</v>
      </c>
      <c r="K249" s="1362" t="s">
        <v>424</v>
      </c>
      <c r="L249" s="1375">
        <f t="shared" ref="L249:L250" si="112">Z249</f>
        <v>0.61622500000000013</v>
      </c>
      <c r="M249" s="1362"/>
      <c r="N249" s="1362"/>
      <c r="O249" s="1362"/>
      <c r="P249" s="1362"/>
      <c r="Q249" s="1362" t="s">
        <v>696</v>
      </c>
      <c r="R249" s="1363">
        <f t="shared" ref="R249:R250" si="113">H249*J249*L249</f>
        <v>318.71157000000011</v>
      </c>
      <c r="S249" s="1364"/>
      <c r="T249" s="722"/>
      <c r="U249" s="205"/>
      <c r="V249" s="687" t="s">
        <v>1556</v>
      </c>
      <c r="W249" s="688">
        <v>0.01</v>
      </c>
      <c r="X249" s="689">
        <v>7850</v>
      </c>
      <c r="Y249" s="690">
        <f t="shared" ref="Y249:Y250" si="114">0.25*3.14*(W249*W249)</f>
        <v>7.8500000000000011E-5</v>
      </c>
      <c r="Z249" s="691">
        <f t="shared" ref="Z249:Z250" si="115">X249*Y249*AA249</f>
        <v>0.61622500000000013</v>
      </c>
      <c r="AA249" s="689">
        <v>1</v>
      </c>
      <c r="AB249" s="692">
        <f t="shared" ref="AB249:AB250" si="116">Z249*12</f>
        <v>7.394700000000002</v>
      </c>
      <c r="AC249" s="693" t="s">
        <v>1554</v>
      </c>
      <c r="AD249" s="205"/>
      <c r="AE249" s="205"/>
      <c r="AF249" s="205"/>
      <c r="AG249" s="205"/>
      <c r="AH249" s="205"/>
      <c r="AI249" s="205"/>
      <c r="AJ249" s="205"/>
      <c r="AK249" s="205"/>
      <c r="AL249" s="205"/>
      <c r="AM249" s="205"/>
      <c r="AN249" s="205"/>
      <c r="AO249" s="205"/>
      <c r="AP249" s="205"/>
      <c r="AQ249" s="205"/>
      <c r="AR249" s="205"/>
      <c r="AS249" s="205"/>
      <c r="AT249" s="205"/>
      <c r="AU249" s="205"/>
      <c r="AV249" s="205"/>
      <c r="AW249" s="205"/>
      <c r="AX249" s="205"/>
      <c r="AY249" s="205"/>
      <c r="AZ249" s="205"/>
      <c r="BA249" s="205"/>
      <c r="BB249" s="205"/>
      <c r="BC249" s="205"/>
      <c r="BD249" s="205"/>
      <c r="BE249" s="205"/>
      <c r="BF249" s="205"/>
      <c r="BG249" s="205"/>
      <c r="BH249" s="205"/>
      <c r="BI249" s="205"/>
      <c r="BJ249" s="205"/>
      <c r="BK249" s="205"/>
      <c r="BL249" s="205"/>
      <c r="BM249" s="205"/>
      <c r="BN249" s="205"/>
      <c r="BO249" s="205"/>
      <c r="BP249" s="205"/>
      <c r="BQ249" s="205"/>
      <c r="BR249" s="205"/>
      <c r="BS249" s="205"/>
      <c r="BT249" s="205"/>
      <c r="BU249" s="205"/>
      <c r="BV249" s="205"/>
      <c r="BW249" s="205"/>
      <c r="BX249" s="205"/>
      <c r="BY249" s="205"/>
      <c r="BZ249" s="205"/>
      <c r="CA249" s="205"/>
      <c r="CB249" s="205"/>
      <c r="CC249" s="205"/>
      <c r="CD249" s="205"/>
      <c r="CE249" s="205"/>
      <c r="CF249" s="205"/>
      <c r="CG249" s="205"/>
      <c r="CH249" s="205"/>
      <c r="CI249" s="205"/>
      <c r="CJ249" s="205"/>
      <c r="CK249" s="205"/>
      <c r="CL249" s="205"/>
      <c r="CM249" s="205"/>
      <c r="CN249" s="205"/>
      <c r="CO249" s="205"/>
      <c r="CP249" s="205"/>
      <c r="CQ249" s="205"/>
      <c r="CR249" s="205"/>
      <c r="CS249" s="205"/>
      <c r="CT249" s="205"/>
      <c r="CU249" s="205"/>
      <c r="CV249" s="205"/>
      <c r="CW249" s="205"/>
      <c r="CX249" s="205"/>
      <c r="CY249" s="205"/>
      <c r="CZ249" s="205"/>
      <c r="DA249" s="205"/>
      <c r="DB249" s="205"/>
      <c r="DC249" s="205"/>
      <c r="DD249" s="205"/>
      <c r="DE249" s="205"/>
      <c r="DF249" s="205"/>
      <c r="DG249" s="205"/>
      <c r="DH249" s="205"/>
      <c r="DI249" s="205"/>
      <c r="DJ249" s="205"/>
      <c r="DK249" s="205"/>
      <c r="DL249" s="205"/>
      <c r="DM249" s="205"/>
      <c r="DN249" s="205"/>
      <c r="DO249" s="205"/>
      <c r="DP249" s="205"/>
      <c r="DQ249" s="205"/>
      <c r="DR249" s="205"/>
      <c r="DS249" s="205"/>
      <c r="DT249" s="205"/>
      <c r="DU249" s="205"/>
      <c r="DV249" s="205"/>
      <c r="DW249" s="205"/>
      <c r="DX249" s="205"/>
      <c r="DY249" s="205"/>
      <c r="DZ249" s="205"/>
      <c r="EA249" s="205"/>
      <c r="EB249" s="205"/>
      <c r="EC249" s="205"/>
      <c r="ED249" s="205"/>
      <c r="EE249" s="205"/>
      <c r="EF249" s="205"/>
      <c r="EG249" s="205"/>
      <c r="EH249" s="205"/>
      <c r="EI249" s="205"/>
      <c r="EJ249" s="205"/>
      <c r="EK249" s="205"/>
      <c r="EL249" s="205"/>
      <c r="EM249" s="205"/>
      <c r="EN249" s="205"/>
      <c r="EO249" s="205"/>
      <c r="EP249" s="205"/>
      <c r="EQ249" s="205"/>
      <c r="ER249" s="205"/>
      <c r="ES249" s="205"/>
      <c r="ET249" s="205"/>
      <c r="EU249" s="205"/>
      <c r="EV249" s="205"/>
      <c r="EW249" s="205"/>
      <c r="EX249" s="205"/>
      <c r="EY249" s="205"/>
      <c r="EZ249" s="205"/>
      <c r="FA249" s="205"/>
      <c r="FB249" s="205"/>
      <c r="FC249" s="205"/>
      <c r="FD249" s="205"/>
      <c r="FE249" s="205"/>
      <c r="FF249" s="205"/>
      <c r="FG249" s="205"/>
      <c r="FH249" s="205"/>
      <c r="FI249" s="205"/>
      <c r="FJ249" s="205"/>
      <c r="FK249" s="205"/>
      <c r="FL249" s="205"/>
      <c r="FM249" s="205"/>
      <c r="FN249" s="205"/>
      <c r="FO249" s="205"/>
      <c r="FP249" s="205"/>
      <c r="FQ249" s="205"/>
      <c r="FR249" s="205"/>
      <c r="FS249" s="205"/>
      <c r="FT249" s="205"/>
      <c r="FU249" s="205"/>
      <c r="FV249" s="205"/>
      <c r="FW249" s="205"/>
      <c r="FX249" s="205"/>
      <c r="FY249" s="205"/>
      <c r="FZ249" s="205"/>
      <c r="GA249" s="205"/>
      <c r="GB249" s="205"/>
      <c r="GC249" s="205"/>
      <c r="GD249" s="205"/>
      <c r="GE249" s="205"/>
      <c r="GF249" s="205"/>
      <c r="GG249" s="205"/>
      <c r="GH249" s="205"/>
      <c r="GI249" s="205"/>
      <c r="GJ249" s="205"/>
      <c r="GK249" s="205"/>
      <c r="GL249" s="205"/>
      <c r="GM249" s="205"/>
      <c r="GN249" s="205"/>
      <c r="GO249" s="205"/>
      <c r="GP249" s="205"/>
      <c r="GQ249" s="205"/>
      <c r="GR249" s="205"/>
      <c r="GS249" s="205"/>
      <c r="GT249" s="205"/>
      <c r="GU249" s="205"/>
      <c r="GV249" s="205"/>
      <c r="GW249" s="205"/>
      <c r="GX249" s="205"/>
      <c r="GY249" s="205"/>
      <c r="GZ249" s="205"/>
      <c r="HA249" s="205"/>
      <c r="HB249" s="205"/>
      <c r="HC249" s="205"/>
      <c r="HD249" s="205"/>
      <c r="HE249" s="205"/>
      <c r="HF249" s="205"/>
      <c r="HG249" s="205"/>
      <c r="HH249" s="205"/>
      <c r="HI249" s="205"/>
      <c r="HJ249" s="205"/>
      <c r="HK249" s="205"/>
      <c r="HL249" s="205"/>
      <c r="HM249" s="205"/>
      <c r="HN249" s="205"/>
      <c r="HO249" s="205"/>
      <c r="HP249" s="205"/>
      <c r="HQ249" s="205"/>
      <c r="HR249" s="205"/>
      <c r="HS249" s="205"/>
      <c r="HT249" s="205"/>
      <c r="HU249" s="205"/>
      <c r="HV249" s="205"/>
      <c r="HW249" s="205"/>
      <c r="HX249" s="205"/>
      <c r="HY249" s="205"/>
      <c r="HZ249" s="205"/>
      <c r="IA249" s="205"/>
      <c r="IB249" s="205"/>
      <c r="IC249" s="205"/>
      <c r="ID249" s="205"/>
      <c r="IE249" s="205"/>
      <c r="IF249" s="205"/>
      <c r="IG249" s="205"/>
      <c r="IH249" s="205"/>
      <c r="II249" s="205"/>
      <c r="IJ249" s="205"/>
      <c r="IK249" s="205"/>
      <c r="IL249" s="205"/>
      <c r="IM249" s="205"/>
      <c r="IN249" s="205"/>
      <c r="IO249" s="205"/>
      <c r="IP249" s="205"/>
      <c r="IQ249" s="205"/>
      <c r="IR249" s="205"/>
      <c r="IS249" s="205"/>
      <c r="IT249" s="205"/>
      <c r="IU249" s="205"/>
      <c r="IV249" s="205"/>
      <c r="IW249" s="205"/>
      <c r="IX249" s="205"/>
    </row>
    <row r="250" spans="1:258" s="203" customFormat="1" x14ac:dyDescent="0.2">
      <c r="A250" s="669"/>
      <c r="B250" s="670"/>
      <c r="C250" s="1358"/>
      <c r="D250" s="672"/>
      <c r="E250" s="1359"/>
      <c r="F250" s="1359"/>
      <c r="G250" s="1360"/>
      <c r="H250" s="1361">
        <f>0.09+0.09+0.09+0.09+0.08</f>
        <v>0.44</v>
      </c>
      <c r="I250" s="1362" t="s">
        <v>424</v>
      </c>
      <c r="J250" s="1362">
        <f>H249/0.2</f>
        <v>646.5</v>
      </c>
      <c r="K250" s="1362" t="s">
        <v>424</v>
      </c>
      <c r="L250" s="1375">
        <f t="shared" si="112"/>
        <v>0.39438400000000001</v>
      </c>
      <c r="M250" s="1362"/>
      <c r="N250" s="1362"/>
      <c r="O250" s="1362"/>
      <c r="P250" s="1362"/>
      <c r="Q250" s="1362" t="s">
        <v>696</v>
      </c>
      <c r="R250" s="1363">
        <f t="shared" si="113"/>
        <v>112.18647263999999</v>
      </c>
      <c r="S250" s="1364"/>
      <c r="T250" s="722"/>
      <c r="U250" s="205"/>
      <c r="V250" s="687" t="s">
        <v>1555</v>
      </c>
      <c r="W250" s="688">
        <v>8.0000000000000002E-3</v>
      </c>
      <c r="X250" s="689">
        <v>7850</v>
      </c>
      <c r="Y250" s="690">
        <f t="shared" si="114"/>
        <v>5.024E-5</v>
      </c>
      <c r="Z250" s="691">
        <f t="shared" si="115"/>
        <v>0.39438400000000001</v>
      </c>
      <c r="AA250" s="689">
        <v>1</v>
      </c>
      <c r="AB250" s="692">
        <f t="shared" si="116"/>
        <v>4.7326079999999999</v>
      </c>
      <c r="AC250" s="693" t="s">
        <v>1554</v>
      </c>
      <c r="AD250" s="205"/>
      <c r="AE250" s="205"/>
      <c r="AF250" s="205"/>
      <c r="AG250" s="205"/>
      <c r="AH250" s="205"/>
      <c r="AI250" s="205"/>
      <c r="AJ250" s="205"/>
      <c r="AK250" s="205"/>
      <c r="AL250" s="205"/>
      <c r="AM250" s="205"/>
      <c r="AN250" s="205"/>
      <c r="AO250" s="205"/>
      <c r="AP250" s="205"/>
      <c r="AQ250" s="205"/>
      <c r="AR250" s="205"/>
      <c r="AS250" s="205"/>
      <c r="AT250" s="205"/>
      <c r="AU250" s="205"/>
      <c r="AV250" s="205"/>
      <c r="AW250" s="205"/>
      <c r="AX250" s="205"/>
      <c r="AY250" s="205"/>
      <c r="AZ250" s="205"/>
      <c r="BA250" s="205"/>
      <c r="BB250" s="205"/>
      <c r="BC250" s="205"/>
      <c r="BD250" s="205"/>
      <c r="BE250" s="205"/>
      <c r="BF250" s="205"/>
      <c r="BG250" s="205"/>
      <c r="BH250" s="205"/>
      <c r="BI250" s="205"/>
      <c r="BJ250" s="205"/>
      <c r="BK250" s="205"/>
      <c r="BL250" s="205"/>
      <c r="BM250" s="205"/>
      <c r="BN250" s="205"/>
      <c r="BO250" s="205"/>
      <c r="BP250" s="205"/>
      <c r="BQ250" s="205"/>
      <c r="BR250" s="205"/>
      <c r="BS250" s="205"/>
      <c r="BT250" s="205"/>
      <c r="BU250" s="205"/>
      <c r="BV250" s="205"/>
      <c r="BW250" s="205"/>
      <c r="BX250" s="205"/>
      <c r="BY250" s="205"/>
      <c r="BZ250" s="205"/>
      <c r="CA250" s="205"/>
      <c r="CB250" s="205"/>
      <c r="CC250" s="205"/>
      <c r="CD250" s="205"/>
      <c r="CE250" s="205"/>
      <c r="CF250" s="205"/>
      <c r="CG250" s="205"/>
      <c r="CH250" s="205"/>
      <c r="CI250" s="205"/>
      <c r="CJ250" s="205"/>
      <c r="CK250" s="205"/>
      <c r="CL250" s="205"/>
      <c r="CM250" s="205"/>
      <c r="CN250" s="205"/>
      <c r="CO250" s="205"/>
      <c r="CP250" s="205"/>
      <c r="CQ250" s="205"/>
      <c r="CR250" s="205"/>
      <c r="CS250" s="205"/>
      <c r="CT250" s="205"/>
      <c r="CU250" s="205"/>
      <c r="CV250" s="205"/>
      <c r="CW250" s="205"/>
      <c r="CX250" s="205"/>
      <c r="CY250" s="205"/>
      <c r="CZ250" s="205"/>
      <c r="DA250" s="205"/>
      <c r="DB250" s="205"/>
      <c r="DC250" s="205"/>
      <c r="DD250" s="205"/>
      <c r="DE250" s="205"/>
      <c r="DF250" s="205"/>
      <c r="DG250" s="205"/>
      <c r="DH250" s="205"/>
      <c r="DI250" s="205"/>
      <c r="DJ250" s="205"/>
      <c r="DK250" s="205"/>
      <c r="DL250" s="205"/>
      <c r="DM250" s="205"/>
      <c r="DN250" s="205"/>
      <c r="DO250" s="205"/>
      <c r="DP250" s="205"/>
      <c r="DQ250" s="205"/>
      <c r="DR250" s="205"/>
      <c r="DS250" s="205"/>
      <c r="DT250" s="205"/>
      <c r="DU250" s="205"/>
      <c r="DV250" s="205"/>
      <c r="DW250" s="205"/>
      <c r="DX250" s="205"/>
      <c r="DY250" s="205"/>
      <c r="DZ250" s="205"/>
      <c r="EA250" s="205"/>
      <c r="EB250" s="205"/>
      <c r="EC250" s="205"/>
      <c r="ED250" s="205"/>
      <c r="EE250" s="205"/>
      <c r="EF250" s="205"/>
      <c r="EG250" s="205"/>
      <c r="EH250" s="205"/>
      <c r="EI250" s="205"/>
      <c r="EJ250" s="205"/>
      <c r="EK250" s="205"/>
      <c r="EL250" s="205"/>
      <c r="EM250" s="205"/>
      <c r="EN250" s="205"/>
      <c r="EO250" s="205"/>
      <c r="EP250" s="205"/>
      <c r="EQ250" s="205"/>
      <c r="ER250" s="205"/>
      <c r="ES250" s="205"/>
      <c r="ET250" s="205"/>
      <c r="EU250" s="205"/>
      <c r="EV250" s="205"/>
      <c r="EW250" s="205"/>
      <c r="EX250" s="205"/>
      <c r="EY250" s="205"/>
      <c r="EZ250" s="205"/>
      <c r="FA250" s="205"/>
      <c r="FB250" s="205"/>
      <c r="FC250" s="205"/>
      <c r="FD250" s="205"/>
      <c r="FE250" s="205"/>
      <c r="FF250" s="205"/>
      <c r="FG250" s="205"/>
      <c r="FH250" s="205"/>
      <c r="FI250" s="205"/>
      <c r="FJ250" s="205"/>
      <c r="FK250" s="205"/>
      <c r="FL250" s="205"/>
      <c r="FM250" s="205"/>
      <c r="FN250" s="205"/>
      <c r="FO250" s="205"/>
      <c r="FP250" s="205"/>
      <c r="FQ250" s="205"/>
      <c r="FR250" s="205"/>
      <c r="FS250" s="205"/>
      <c r="FT250" s="205"/>
      <c r="FU250" s="205"/>
      <c r="FV250" s="205"/>
      <c r="FW250" s="205"/>
      <c r="FX250" s="205"/>
      <c r="FY250" s="205"/>
      <c r="FZ250" s="205"/>
      <c r="GA250" s="205"/>
      <c r="GB250" s="205"/>
      <c r="GC250" s="205"/>
      <c r="GD250" s="205"/>
      <c r="GE250" s="205"/>
      <c r="GF250" s="205"/>
      <c r="GG250" s="205"/>
      <c r="GH250" s="205"/>
      <c r="GI250" s="205"/>
      <c r="GJ250" s="205"/>
      <c r="GK250" s="205"/>
      <c r="GL250" s="205"/>
      <c r="GM250" s="205"/>
      <c r="GN250" s="205"/>
      <c r="GO250" s="205"/>
      <c r="GP250" s="205"/>
      <c r="GQ250" s="205"/>
      <c r="GR250" s="205"/>
      <c r="GS250" s="205"/>
      <c r="GT250" s="205"/>
      <c r="GU250" s="205"/>
      <c r="GV250" s="205"/>
      <c r="GW250" s="205"/>
      <c r="GX250" s="205"/>
      <c r="GY250" s="205"/>
      <c r="GZ250" s="205"/>
      <c r="HA250" s="205"/>
      <c r="HB250" s="205"/>
      <c r="HC250" s="205"/>
      <c r="HD250" s="205"/>
      <c r="HE250" s="205"/>
      <c r="HF250" s="205"/>
      <c r="HG250" s="205"/>
      <c r="HH250" s="205"/>
      <c r="HI250" s="205"/>
      <c r="HJ250" s="205"/>
      <c r="HK250" s="205"/>
      <c r="HL250" s="205"/>
      <c r="HM250" s="205"/>
      <c r="HN250" s="205"/>
      <c r="HO250" s="205"/>
      <c r="HP250" s="205"/>
      <c r="HQ250" s="205"/>
      <c r="HR250" s="205"/>
      <c r="HS250" s="205"/>
      <c r="HT250" s="205"/>
      <c r="HU250" s="205"/>
      <c r="HV250" s="205"/>
      <c r="HW250" s="205"/>
      <c r="HX250" s="205"/>
      <c r="HY250" s="205"/>
      <c r="HZ250" s="205"/>
      <c r="IA250" s="205"/>
      <c r="IB250" s="205"/>
      <c r="IC250" s="205"/>
      <c r="ID250" s="205"/>
      <c r="IE250" s="205"/>
      <c r="IF250" s="205"/>
      <c r="IG250" s="205"/>
      <c r="IH250" s="205"/>
      <c r="II250" s="205"/>
      <c r="IJ250" s="205"/>
      <c r="IK250" s="205"/>
      <c r="IL250" s="205"/>
      <c r="IM250" s="205"/>
      <c r="IN250" s="205"/>
      <c r="IO250" s="205"/>
      <c r="IP250" s="205"/>
      <c r="IQ250" s="205"/>
      <c r="IR250" s="205"/>
      <c r="IS250" s="205"/>
      <c r="IT250" s="205"/>
      <c r="IU250" s="205"/>
      <c r="IV250" s="205"/>
      <c r="IW250" s="205"/>
      <c r="IX250" s="205"/>
    </row>
    <row r="251" spans="1:258" s="203" customFormat="1" x14ac:dyDescent="0.2">
      <c r="A251" s="669"/>
      <c r="B251" s="670"/>
      <c r="C251" s="1358"/>
      <c r="D251" s="672"/>
      <c r="E251" s="1359"/>
      <c r="F251" s="1359"/>
      <c r="G251" s="1360"/>
      <c r="H251" s="1361"/>
      <c r="I251" s="1362"/>
      <c r="J251" s="1362"/>
      <c r="K251" s="1362"/>
      <c r="L251" s="1362"/>
      <c r="M251" s="1362"/>
      <c r="N251" s="1362"/>
      <c r="O251" s="1362"/>
      <c r="P251" s="1362"/>
      <c r="Q251" s="1362"/>
      <c r="R251" s="1363">
        <f>SUM(R249:R250)</f>
        <v>430.89804264000009</v>
      </c>
      <c r="S251" s="1364">
        <f>R251</f>
        <v>430.89804264000009</v>
      </c>
      <c r="T251" s="722" t="s">
        <v>298</v>
      </c>
      <c r="U251" s="205"/>
      <c r="V251" s="685"/>
      <c r="W251" s="205"/>
      <c r="X251" s="205"/>
      <c r="Y251" s="205"/>
      <c r="Z251" s="205"/>
      <c r="AA251" s="205"/>
      <c r="AB251" s="205"/>
      <c r="AC251" s="205"/>
      <c r="AD251" s="205"/>
      <c r="AE251" s="205"/>
      <c r="AF251" s="205"/>
      <c r="AG251" s="205"/>
      <c r="AH251" s="205"/>
      <c r="AI251" s="205"/>
      <c r="AJ251" s="205"/>
      <c r="AK251" s="205"/>
      <c r="AL251" s="205"/>
      <c r="AM251" s="205"/>
      <c r="AN251" s="205"/>
      <c r="AO251" s="205"/>
      <c r="AP251" s="205"/>
      <c r="AQ251" s="205"/>
      <c r="AR251" s="205"/>
      <c r="AS251" s="205"/>
      <c r="AT251" s="205"/>
      <c r="AU251" s="205"/>
      <c r="AV251" s="205"/>
      <c r="AW251" s="205"/>
      <c r="AX251" s="205"/>
      <c r="AY251" s="205"/>
      <c r="AZ251" s="205"/>
      <c r="BA251" s="205"/>
      <c r="BB251" s="205"/>
      <c r="BC251" s="205"/>
      <c r="BD251" s="205"/>
      <c r="BE251" s="205"/>
      <c r="BF251" s="205"/>
      <c r="BG251" s="205"/>
      <c r="BH251" s="205"/>
      <c r="BI251" s="205"/>
      <c r="BJ251" s="205"/>
      <c r="BK251" s="205"/>
      <c r="BL251" s="205"/>
      <c r="BM251" s="205"/>
      <c r="BN251" s="205"/>
      <c r="BO251" s="205"/>
      <c r="BP251" s="205"/>
      <c r="BQ251" s="205"/>
      <c r="BR251" s="205"/>
      <c r="BS251" s="205"/>
      <c r="BT251" s="205"/>
      <c r="BU251" s="205"/>
      <c r="BV251" s="205"/>
      <c r="BW251" s="205"/>
      <c r="BX251" s="205"/>
      <c r="BY251" s="205"/>
      <c r="BZ251" s="205"/>
      <c r="CA251" s="205"/>
      <c r="CB251" s="205"/>
      <c r="CC251" s="205"/>
      <c r="CD251" s="205"/>
      <c r="CE251" s="205"/>
      <c r="CF251" s="205"/>
      <c r="CG251" s="205"/>
      <c r="CH251" s="205"/>
      <c r="CI251" s="205"/>
      <c r="CJ251" s="205"/>
      <c r="CK251" s="205"/>
      <c r="CL251" s="205"/>
      <c r="CM251" s="205"/>
      <c r="CN251" s="205"/>
      <c r="CO251" s="205"/>
      <c r="CP251" s="205"/>
      <c r="CQ251" s="205"/>
      <c r="CR251" s="205"/>
      <c r="CS251" s="205"/>
      <c r="CT251" s="205"/>
      <c r="CU251" s="205"/>
      <c r="CV251" s="205"/>
      <c r="CW251" s="205"/>
      <c r="CX251" s="205"/>
      <c r="CY251" s="205"/>
      <c r="CZ251" s="205"/>
      <c r="DA251" s="205"/>
      <c r="DB251" s="205"/>
      <c r="DC251" s="205"/>
      <c r="DD251" s="205"/>
      <c r="DE251" s="205"/>
      <c r="DF251" s="205"/>
      <c r="DG251" s="205"/>
      <c r="DH251" s="205"/>
      <c r="DI251" s="205"/>
      <c r="DJ251" s="205"/>
      <c r="DK251" s="205"/>
      <c r="DL251" s="205"/>
      <c r="DM251" s="205"/>
      <c r="DN251" s="205"/>
      <c r="DO251" s="205"/>
      <c r="DP251" s="205"/>
      <c r="DQ251" s="205"/>
      <c r="DR251" s="205"/>
      <c r="DS251" s="205"/>
      <c r="DT251" s="205"/>
      <c r="DU251" s="205"/>
      <c r="DV251" s="205"/>
      <c r="DW251" s="205"/>
      <c r="DX251" s="205"/>
      <c r="DY251" s="205"/>
      <c r="DZ251" s="205"/>
      <c r="EA251" s="205"/>
      <c r="EB251" s="205"/>
      <c r="EC251" s="205"/>
      <c r="ED251" s="205"/>
      <c r="EE251" s="205"/>
      <c r="EF251" s="205"/>
      <c r="EG251" s="205"/>
      <c r="EH251" s="205"/>
      <c r="EI251" s="205"/>
      <c r="EJ251" s="205"/>
      <c r="EK251" s="205"/>
      <c r="EL251" s="205"/>
      <c r="EM251" s="205"/>
      <c r="EN251" s="205"/>
      <c r="EO251" s="205"/>
      <c r="EP251" s="205"/>
      <c r="EQ251" s="205"/>
      <c r="ER251" s="205"/>
      <c r="ES251" s="205"/>
      <c r="ET251" s="205"/>
      <c r="EU251" s="205"/>
      <c r="EV251" s="205"/>
      <c r="EW251" s="205"/>
      <c r="EX251" s="205"/>
      <c r="EY251" s="205"/>
      <c r="EZ251" s="205"/>
      <c r="FA251" s="205"/>
      <c r="FB251" s="205"/>
      <c r="FC251" s="205"/>
      <c r="FD251" s="205"/>
      <c r="FE251" s="205"/>
      <c r="FF251" s="205"/>
      <c r="FG251" s="205"/>
      <c r="FH251" s="205"/>
      <c r="FI251" s="205"/>
      <c r="FJ251" s="205"/>
      <c r="FK251" s="205"/>
      <c r="FL251" s="205"/>
      <c r="FM251" s="205"/>
      <c r="FN251" s="205"/>
      <c r="FO251" s="205"/>
      <c r="FP251" s="205"/>
      <c r="FQ251" s="205"/>
      <c r="FR251" s="205"/>
      <c r="FS251" s="205"/>
      <c r="FT251" s="205"/>
      <c r="FU251" s="205"/>
      <c r="FV251" s="205"/>
      <c r="FW251" s="205"/>
      <c r="FX251" s="205"/>
      <c r="FY251" s="205"/>
      <c r="FZ251" s="205"/>
      <c r="GA251" s="205"/>
      <c r="GB251" s="205"/>
      <c r="GC251" s="205"/>
      <c r="GD251" s="205"/>
      <c r="GE251" s="205"/>
      <c r="GF251" s="205"/>
      <c r="GG251" s="205"/>
      <c r="GH251" s="205"/>
      <c r="GI251" s="205"/>
      <c r="GJ251" s="205"/>
      <c r="GK251" s="205"/>
      <c r="GL251" s="205"/>
      <c r="GM251" s="205"/>
      <c r="GN251" s="205"/>
      <c r="GO251" s="205"/>
      <c r="GP251" s="205"/>
      <c r="GQ251" s="205"/>
      <c r="GR251" s="205"/>
      <c r="GS251" s="205"/>
      <c r="GT251" s="205"/>
      <c r="GU251" s="205"/>
      <c r="GV251" s="205"/>
      <c r="GW251" s="205"/>
      <c r="GX251" s="205"/>
      <c r="GY251" s="205"/>
      <c r="GZ251" s="205"/>
      <c r="HA251" s="205"/>
      <c r="HB251" s="205"/>
      <c r="HC251" s="205"/>
      <c r="HD251" s="205"/>
      <c r="HE251" s="205"/>
      <c r="HF251" s="205"/>
      <c r="HG251" s="205"/>
      <c r="HH251" s="205"/>
      <c r="HI251" s="205"/>
      <c r="HJ251" s="205"/>
      <c r="HK251" s="205"/>
      <c r="HL251" s="205"/>
      <c r="HM251" s="205"/>
      <c r="HN251" s="205"/>
      <c r="HO251" s="205"/>
      <c r="HP251" s="205"/>
      <c r="HQ251" s="205"/>
      <c r="HR251" s="205"/>
      <c r="HS251" s="205"/>
      <c r="HT251" s="205"/>
      <c r="HU251" s="205"/>
      <c r="HV251" s="205"/>
      <c r="HW251" s="205"/>
      <c r="HX251" s="205"/>
      <c r="HY251" s="205"/>
      <c r="HZ251" s="205"/>
      <c r="IA251" s="205"/>
      <c r="IB251" s="205"/>
      <c r="IC251" s="205"/>
      <c r="ID251" s="205"/>
      <c r="IE251" s="205"/>
      <c r="IF251" s="205"/>
      <c r="IG251" s="205"/>
      <c r="IH251" s="205"/>
      <c r="II251" s="205"/>
      <c r="IJ251" s="205"/>
      <c r="IK251" s="205"/>
      <c r="IL251" s="205"/>
      <c r="IM251" s="205"/>
      <c r="IN251" s="205"/>
      <c r="IO251" s="205"/>
      <c r="IP251" s="205"/>
      <c r="IQ251" s="205"/>
      <c r="IR251" s="205"/>
      <c r="IS251" s="205"/>
      <c r="IT251" s="205"/>
      <c r="IU251" s="205"/>
      <c r="IV251" s="205"/>
      <c r="IW251" s="205"/>
      <c r="IX251" s="205"/>
    </row>
    <row r="252" spans="1:258" s="203" customFormat="1" x14ac:dyDescent="0.2">
      <c r="A252" s="669"/>
      <c r="B252" s="670"/>
      <c r="C252" s="1358"/>
      <c r="D252" s="672"/>
      <c r="E252" s="1359"/>
      <c r="F252" s="1359"/>
      <c r="G252" s="1360"/>
      <c r="H252" s="1361"/>
      <c r="I252" s="1362"/>
      <c r="J252" s="1362"/>
      <c r="K252" s="1362"/>
      <c r="L252" s="1362"/>
      <c r="M252" s="1362"/>
      <c r="N252" s="1362"/>
      <c r="O252" s="1362"/>
      <c r="P252" s="1362"/>
      <c r="Q252" s="1362"/>
      <c r="R252" s="1363"/>
      <c r="S252" s="1364"/>
      <c r="T252" s="722"/>
      <c r="U252" s="205"/>
      <c r="V252" s="685"/>
      <c r="W252" s="205"/>
      <c r="X252" s="205"/>
      <c r="Y252" s="205"/>
      <c r="Z252" s="205"/>
      <c r="AA252" s="205"/>
      <c r="AB252" s="205"/>
      <c r="AC252" s="205"/>
      <c r="AD252" s="205"/>
      <c r="AE252" s="205"/>
      <c r="AF252" s="205"/>
      <c r="AG252" s="205"/>
      <c r="AH252" s="205"/>
      <c r="AI252" s="205"/>
      <c r="AJ252" s="205"/>
      <c r="AK252" s="205"/>
      <c r="AL252" s="205"/>
      <c r="AM252" s="205"/>
      <c r="AN252" s="205"/>
      <c r="AO252" s="205"/>
      <c r="AP252" s="205"/>
      <c r="AQ252" s="205"/>
      <c r="AR252" s="205"/>
      <c r="AS252" s="205"/>
      <c r="AT252" s="205"/>
      <c r="AU252" s="205"/>
      <c r="AV252" s="205"/>
      <c r="AW252" s="205"/>
      <c r="AX252" s="205"/>
      <c r="AY252" s="205"/>
      <c r="AZ252" s="205"/>
      <c r="BA252" s="205"/>
      <c r="BB252" s="205"/>
      <c r="BC252" s="205"/>
      <c r="BD252" s="205"/>
      <c r="BE252" s="205"/>
      <c r="BF252" s="205"/>
      <c r="BG252" s="205"/>
      <c r="BH252" s="205"/>
      <c r="BI252" s="205"/>
      <c r="BJ252" s="205"/>
      <c r="BK252" s="205"/>
      <c r="BL252" s="205"/>
      <c r="BM252" s="205"/>
      <c r="BN252" s="205"/>
      <c r="BO252" s="205"/>
      <c r="BP252" s="205"/>
      <c r="BQ252" s="205"/>
      <c r="BR252" s="205"/>
      <c r="BS252" s="205"/>
      <c r="BT252" s="205"/>
      <c r="BU252" s="205"/>
      <c r="BV252" s="205"/>
      <c r="BW252" s="205"/>
      <c r="BX252" s="205"/>
      <c r="BY252" s="205"/>
      <c r="BZ252" s="205"/>
      <c r="CA252" s="205"/>
      <c r="CB252" s="205"/>
      <c r="CC252" s="205"/>
      <c r="CD252" s="205"/>
      <c r="CE252" s="205"/>
      <c r="CF252" s="205"/>
      <c r="CG252" s="205"/>
      <c r="CH252" s="205"/>
      <c r="CI252" s="205"/>
      <c r="CJ252" s="205"/>
      <c r="CK252" s="205"/>
      <c r="CL252" s="205"/>
      <c r="CM252" s="205"/>
      <c r="CN252" s="205"/>
      <c r="CO252" s="205"/>
      <c r="CP252" s="205"/>
      <c r="CQ252" s="205"/>
      <c r="CR252" s="205"/>
      <c r="CS252" s="205"/>
      <c r="CT252" s="205"/>
      <c r="CU252" s="205"/>
      <c r="CV252" s="205"/>
      <c r="CW252" s="205"/>
      <c r="CX252" s="205"/>
      <c r="CY252" s="205"/>
      <c r="CZ252" s="205"/>
      <c r="DA252" s="205"/>
      <c r="DB252" s="205"/>
      <c r="DC252" s="205"/>
      <c r="DD252" s="205"/>
      <c r="DE252" s="205"/>
      <c r="DF252" s="205"/>
      <c r="DG252" s="205"/>
      <c r="DH252" s="205"/>
      <c r="DI252" s="205"/>
      <c r="DJ252" s="205"/>
      <c r="DK252" s="205"/>
      <c r="DL252" s="205"/>
      <c r="DM252" s="205"/>
      <c r="DN252" s="205"/>
      <c r="DO252" s="205"/>
      <c r="DP252" s="205"/>
      <c r="DQ252" s="205"/>
      <c r="DR252" s="205"/>
      <c r="DS252" s="205"/>
      <c r="DT252" s="205"/>
      <c r="DU252" s="205"/>
      <c r="DV252" s="205"/>
      <c r="DW252" s="205"/>
      <c r="DX252" s="205"/>
      <c r="DY252" s="205"/>
      <c r="DZ252" s="205"/>
      <c r="EA252" s="205"/>
      <c r="EB252" s="205"/>
      <c r="EC252" s="205"/>
      <c r="ED252" s="205"/>
      <c r="EE252" s="205"/>
      <c r="EF252" s="205"/>
      <c r="EG252" s="205"/>
      <c r="EH252" s="205"/>
      <c r="EI252" s="205"/>
      <c r="EJ252" s="205"/>
      <c r="EK252" s="205"/>
      <c r="EL252" s="205"/>
      <c r="EM252" s="205"/>
      <c r="EN252" s="205"/>
      <c r="EO252" s="205"/>
      <c r="EP252" s="205"/>
      <c r="EQ252" s="205"/>
      <c r="ER252" s="205"/>
      <c r="ES252" s="205"/>
      <c r="ET252" s="205"/>
      <c r="EU252" s="205"/>
      <c r="EV252" s="205"/>
      <c r="EW252" s="205"/>
      <c r="EX252" s="205"/>
      <c r="EY252" s="205"/>
      <c r="EZ252" s="205"/>
      <c r="FA252" s="205"/>
      <c r="FB252" s="205"/>
      <c r="FC252" s="205"/>
      <c r="FD252" s="205"/>
      <c r="FE252" s="205"/>
      <c r="FF252" s="205"/>
      <c r="FG252" s="205"/>
      <c r="FH252" s="205"/>
      <c r="FI252" s="205"/>
      <c r="FJ252" s="205"/>
      <c r="FK252" s="205"/>
      <c r="FL252" s="205"/>
      <c r="FM252" s="205"/>
      <c r="FN252" s="205"/>
      <c r="FO252" s="205"/>
      <c r="FP252" s="205"/>
      <c r="FQ252" s="205"/>
      <c r="FR252" s="205"/>
      <c r="FS252" s="205"/>
      <c r="FT252" s="205"/>
      <c r="FU252" s="205"/>
      <c r="FV252" s="205"/>
      <c r="FW252" s="205"/>
      <c r="FX252" s="205"/>
      <c r="FY252" s="205"/>
      <c r="FZ252" s="205"/>
      <c r="GA252" s="205"/>
      <c r="GB252" s="205"/>
      <c r="GC252" s="205"/>
      <c r="GD252" s="205"/>
      <c r="GE252" s="205"/>
      <c r="GF252" s="205"/>
      <c r="GG252" s="205"/>
      <c r="GH252" s="205"/>
      <c r="GI252" s="205"/>
      <c r="GJ252" s="205"/>
      <c r="GK252" s="205"/>
      <c r="GL252" s="205"/>
      <c r="GM252" s="205"/>
      <c r="GN252" s="205"/>
      <c r="GO252" s="205"/>
      <c r="GP252" s="205"/>
      <c r="GQ252" s="205"/>
      <c r="GR252" s="205"/>
      <c r="GS252" s="205"/>
      <c r="GT252" s="205"/>
      <c r="GU252" s="205"/>
      <c r="GV252" s="205"/>
      <c r="GW252" s="205"/>
      <c r="GX252" s="205"/>
      <c r="GY252" s="205"/>
      <c r="GZ252" s="205"/>
      <c r="HA252" s="205"/>
      <c r="HB252" s="205"/>
      <c r="HC252" s="205"/>
      <c r="HD252" s="205"/>
      <c r="HE252" s="205"/>
      <c r="HF252" s="205"/>
      <c r="HG252" s="205"/>
      <c r="HH252" s="205"/>
      <c r="HI252" s="205"/>
      <c r="HJ252" s="205"/>
      <c r="HK252" s="205"/>
      <c r="HL252" s="205"/>
      <c r="HM252" s="205"/>
      <c r="HN252" s="205"/>
      <c r="HO252" s="205"/>
      <c r="HP252" s="205"/>
      <c r="HQ252" s="205"/>
      <c r="HR252" s="205"/>
      <c r="HS252" s="205"/>
      <c r="HT252" s="205"/>
      <c r="HU252" s="205"/>
      <c r="HV252" s="205"/>
      <c r="HW252" s="205"/>
      <c r="HX252" s="205"/>
      <c r="HY252" s="205"/>
      <c r="HZ252" s="205"/>
      <c r="IA252" s="205"/>
      <c r="IB252" s="205"/>
      <c r="IC252" s="205"/>
      <c r="ID252" s="205"/>
      <c r="IE252" s="205"/>
      <c r="IF252" s="205"/>
      <c r="IG252" s="205"/>
      <c r="IH252" s="205"/>
      <c r="II252" s="205"/>
      <c r="IJ252" s="205"/>
      <c r="IK252" s="205"/>
      <c r="IL252" s="205"/>
      <c r="IM252" s="205"/>
      <c r="IN252" s="205"/>
      <c r="IO252" s="205"/>
      <c r="IP252" s="205"/>
      <c r="IQ252" s="205"/>
      <c r="IR252" s="205"/>
      <c r="IS252" s="205"/>
      <c r="IT252" s="205"/>
      <c r="IU252" s="205"/>
      <c r="IV252" s="205"/>
      <c r="IW252" s="205"/>
      <c r="IX252" s="205"/>
    </row>
    <row r="253" spans="1:258" s="203" customFormat="1" x14ac:dyDescent="0.2">
      <c r="A253" s="669"/>
      <c r="B253" s="670">
        <f>RAB!B88</f>
        <v>23</v>
      </c>
      <c r="C253" s="686" t="e">
        <f>RAB!D88</f>
        <v>#REF!</v>
      </c>
      <c r="D253" s="672"/>
      <c r="E253" s="673"/>
      <c r="F253" s="673"/>
      <c r="G253" s="674"/>
      <c r="H253" s="675"/>
      <c r="I253" s="676"/>
      <c r="J253" s="676"/>
      <c r="K253" s="676"/>
      <c r="L253" s="676"/>
      <c r="M253" s="676"/>
      <c r="N253" s="676"/>
      <c r="O253" s="676"/>
      <c r="P253" s="676"/>
      <c r="Q253" s="676"/>
      <c r="R253" s="677"/>
      <c r="S253" s="678"/>
      <c r="T253" s="684"/>
      <c r="U253" s="205"/>
      <c r="V253" s="685"/>
      <c r="W253" s="205"/>
      <c r="X253" s="205"/>
      <c r="Y253" s="205"/>
      <c r="Z253" s="205"/>
      <c r="AA253" s="205"/>
      <c r="AB253" s="205"/>
      <c r="AC253" s="205"/>
      <c r="AD253" s="205"/>
      <c r="AE253" s="205"/>
      <c r="AF253" s="205"/>
      <c r="AG253" s="205"/>
      <c r="AH253" s="205"/>
      <c r="AI253" s="205"/>
      <c r="AJ253" s="205"/>
      <c r="AK253" s="205"/>
      <c r="AL253" s="205"/>
      <c r="AM253" s="205"/>
      <c r="AN253" s="205"/>
      <c r="AO253" s="205"/>
      <c r="AP253" s="205"/>
      <c r="AQ253" s="205"/>
      <c r="AR253" s="205"/>
      <c r="AS253" s="205"/>
      <c r="AT253" s="205"/>
      <c r="AU253" s="205"/>
      <c r="AV253" s="205"/>
      <c r="AW253" s="205"/>
      <c r="AX253" s="205"/>
      <c r="AY253" s="205"/>
      <c r="AZ253" s="205"/>
      <c r="BA253" s="205"/>
      <c r="BB253" s="205"/>
      <c r="BC253" s="205"/>
      <c r="BD253" s="205"/>
      <c r="BE253" s="205"/>
      <c r="BF253" s="205"/>
      <c r="BG253" s="205"/>
      <c r="BH253" s="205"/>
      <c r="BI253" s="205"/>
      <c r="BJ253" s="205"/>
      <c r="BK253" s="205"/>
      <c r="BL253" s="205"/>
      <c r="BM253" s="205"/>
      <c r="BN253" s="205"/>
      <c r="BO253" s="205"/>
      <c r="BP253" s="205"/>
      <c r="BQ253" s="205"/>
      <c r="BR253" s="205"/>
      <c r="BS253" s="205"/>
      <c r="BT253" s="205"/>
      <c r="BU253" s="205"/>
      <c r="BV253" s="205"/>
      <c r="BW253" s="205"/>
      <c r="BX253" s="205"/>
      <c r="BY253" s="205"/>
      <c r="BZ253" s="205"/>
      <c r="CA253" s="205"/>
      <c r="CB253" s="205"/>
      <c r="CC253" s="205"/>
      <c r="CD253" s="205"/>
      <c r="CE253" s="205"/>
      <c r="CF253" s="205"/>
      <c r="CG253" s="205"/>
      <c r="CH253" s="205"/>
      <c r="CI253" s="205"/>
      <c r="CJ253" s="205"/>
      <c r="CK253" s="205"/>
      <c r="CL253" s="205"/>
      <c r="CM253" s="205"/>
      <c r="CN253" s="205"/>
      <c r="CO253" s="205"/>
      <c r="CP253" s="205"/>
      <c r="CQ253" s="205"/>
      <c r="CR253" s="205"/>
      <c r="CS253" s="205"/>
      <c r="CT253" s="205"/>
      <c r="CU253" s="205"/>
      <c r="CV253" s="205"/>
      <c r="CW253" s="205"/>
      <c r="CX253" s="205"/>
      <c r="CY253" s="205"/>
      <c r="CZ253" s="205"/>
      <c r="DA253" s="205"/>
      <c r="DB253" s="205"/>
      <c r="DC253" s="205"/>
      <c r="DD253" s="205"/>
      <c r="DE253" s="205"/>
      <c r="DF253" s="205"/>
      <c r="DG253" s="205"/>
      <c r="DH253" s="205"/>
      <c r="DI253" s="205"/>
      <c r="DJ253" s="205"/>
      <c r="DK253" s="205"/>
      <c r="DL253" s="205"/>
      <c r="DM253" s="205"/>
      <c r="DN253" s="205"/>
      <c r="DO253" s="205"/>
      <c r="DP253" s="205"/>
      <c r="DQ253" s="205"/>
      <c r="DR253" s="205"/>
      <c r="DS253" s="205"/>
      <c r="DT253" s="205"/>
      <c r="DU253" s="205"/>
      <c r="DV253" s="205"/>
      <c r="DW253" s="205"/>
      <c r="DX253" s="205"/>
      <c r="DY253" s="205"/>
      <c r="DZ253" s="205"/>
      <c r="EA253" s="205"/>
      <c r="EB253" s="205"/>
      <c r="EC253" s="205"/>
      <c r="ED253" s="205"/>
      <c r="EE253" s="205"/>
      <c r="EF253" s="205"/>
      <c r="EG253" s="205"/>
      <c r="EH253" s="205"/>
      <c r="EI253" s="205"/>
      <c r="EJ253" s="205"/>
      <c r="EK253" s="205"/>
      <c r="EL253" s="205"/>
      <c r="EM253" s="205"/>
      <c r="EN253" s="205"/>
      <c r="EO253" s="205"/>
      <c r="EP253" s="205"/>
      <c r="EQ253" s="205"/>
      <c r="ER253" s="205"/>
      <c r="ES253" s="205"/>
      <c r="ET253" s="205"/>
      <c r="EU253" s="205"/>
      <c r="EV253" s="205"/>
      <c r="EW253" s="205"/>
      <c r="EX253" s="205"/>
      <c r="EY253" s="205"/>
      <c r="EZ253" s="205"/>
      <c r="FA253" s="205"/>
      <c r="FB253" s="205"/>
      <c r="FC253" s="205"/>
      <c r="FD253" s="205"/>
      <c r="FE253" s="205"/>
      <c r="FF253" s="205"/>
      <c r="FG253" s="205"/>
      <c r="FH253" s="205"/>
      <c r="FI253" s="205"/>
      <c r="FJ253" s="205"/>
      <c r="FK253" s="205"/>
      <c r="FL253" s="205"/>
      <c r="FM253" s="205"/>
      <c r="FN253" s="205"/>
      <c r="FO253" s="205"/>
      <c r="FP253" s="205"/>
      <c r="FQ253" s="205"/>
      <c r="FR253" s="205"/>
      <c r="FS253" s="205"/>
      <c r="FT253" s="205"/>
      <c r="FU253" s="205"/>
      <c r="FV253" s="205"/>
      <c r="FW253" s="205"/>
      <c r="FX253" s="205"/>
      <c r="FY253" s="205"/>
      <c r="FZ253" s="205"/>
      <c r="GA253" s="205"/>
      <c r="GB253" s="205"/>
      <c r="GC253" s="205"/>
      <c r="GD253" s="205"/>
      <c r="GE253" s="205"/>
      <c r="GF253" s="205"/>
      <c r="GG253" s="205"/>
      <c r="GH253" s="205"/>
      <c r="GI253" s="205"/>
      <c r="GJ253" s="205"/>
      <c r="GK253" s="205"/>
      <c r="GL253" s="205"/>
      <c r="GM253" s="205"/>
      <c r="GN253" s="205"/>
      <c r="GO253" s="205"/>
      <c r="GP253" s="205"/>
      <c r="GQ253" s="205"/>
      <c r="GR253" s="205"/>
      <c r="GS253" s="205"/>
      <c r="GT253" s="205"/>
      <c r="GU253" s="205"/>
      <c r="GV253" s="205"/>
      <c r="GW253" s="205"/>
      <c r="GX253" s="205"/>
      <c r="GY253" s="205"/>
      <c r="GZ253" s="205"/>
      <c r="HA253" s="205"/>
      <c r="HB253" s="205"/>
      <c r="HC253" s="205"/>
      <c r="HD253" s="205"/>
      <c r="HE253" s="205"/>
      <c r="HF253" s="205"/>
      <c r="HG253" s="205"/>
      <c r="HH253" s="205"/>
      <c r="HI253" s="205"/>
      <c r="HJ253" s="205"/>
      <c r="HK253" s="205"/>
      <c r="HL253" s="205"/>
      <c r="HM253" s="205"/>
      <c r="HN253" s="205"/>
      <c r="HO253" s="205"/>
      <c r="HP253" s="205"/>
      <c r="HQ253" s="205"/>
      <c r="HR253" s="205"/>
      <c r="HS253" s="205"/>
      <c r="HT253" s="205"/>
      <c r="HU253" s="205"/>
      <c r="HV253" s="205"/>
      <c r="HW253" s="205"/>
      <c r="HX253" s="205"/>
      <c r="HY253" s="205"/>
      <c r="HZ253" s="205"/>
      <c r="IA253" s="205"/>
      <c r="IB253" s="205"/>
      <c r="IC253" s="205"/>
      <c r="ID253" s="205"/>
      <c r="IE253" s="205"/>
      <c r="IF253" s="205"/>
      <c r="IG253" s="205"/>
      <c r="IH253" s="205"/>
      <c r="II253" s="205"/>
      <c r="IJ253" s="205"/>
      <c r="IK253" s="205"/>
      <c r="IL253" s="205"/>
      <c r="IM253" s="205"/>
      <c r="IN253" s="205"/>
      <c r="IO253" s="205"/>
      <c r="IP253" s="205"/>
      <c r="IQ253" s="205"/>
      <c r="IR253" s="205"/>
      <c r="IS253" s="205"/>
      <c r="IT253" s="205"/>
      <c r="IU253" s="205"/>
      <c r="IV253" s="205"/>
      <c r="IW253" s="205"/>
      <c r="IX253" s="205"/>
    </row>
    <row r="254" spans="1:258" s="203" customFormat="1" x14ac:dyDescent="0.2">
      <c r="A254" s="669"/>
      <c r="B254" s="670"/>
      <c r="C254" s="1358"/>
      <c r="D254" s="672"/>
      <c r="E254" s="1359"/>
      <c r="F254" s="1359"/>
      <c r="G254" s="1360"/>
      <c r="H254" s="1361">
        <f>H246</f>
        <v>129.30000000000001</v>
      </c>
      <c r="I254" s="1362" t="s">
        <v>424</v>
      </c>
      <c r="J254" s="1362">
        <f>J246+L246</f>
        <v>0.24</v>
      </c>
      <c r="K254" s="1362"/>
      <c r="L254" s="1362"/>
      <c r="M254" s="1362"/>
      <c r="N254" s="1362"/>
      <c r="O254" s="1362"/>
      <c r="P254" s="1362"/>
      <c r="Q254" s="1362" t="s">
        <v>696</v>
      </c>
      <c r="R254" s="1363">
        <f>H254*J254</f>
        <v>31.032</v>
      </c>
      <c r="S254" s="1364">
        <f>R254</f>
        <v>31.032</v>
      </c>
      <c r="T254" s="722" t="s">
        <v>338</v>
      </c>
      <c r="U254" s="205"/>
      <c r="V254" s="685"/>
      <c r="W254" s="205"/>
      <c r="X254" s="205"/>
      <c r="Y254" s="205"/>
      <c r="Z254" s="205"/>
      <c r="AA254" s="205"/>
      <c r="AB254" s="205"/>
      <c r="AC254" s="205"/>
      <c r="AD254" s="205"/>
      <c r="AE254" s="205"/>
      <c r="AF254" s="205"/>
      <c r="AG254" s="205"/>
      <c r="AH254" s="205"/>
      <c r="AI254" s="205"/>
      <c r="AJ254" s="205"/>
      <c r="AK254" s="205"/>
      <c r="AL254" s="205"/>
      <c r="AM254" s="205"/>
      <c r="AN254" s="205"/>
      <c r="AO254" s="205"/>
      <c r="AP254" s="205"/>
      <c r="AQ254" s="205"/>
      <c r="AR254" s="205"/>
      <c r="AS254" s="205"/>
      <c r="AT254" s="205"/>
      <c r="AU254" s="205"/>
      <c r="AV254" s="205"/>
      <c r="AW254" s="205"/>
      <c r="AX254" s="205"/>
      <c r="AY254" s="205"/>
      <c r="AZ254" s="205"/>
      <c r="BA254" s="205"/>
      <c r="BB254" s="205"/>
      <c r="BC254" s="205"/>
      <c r="BD254" s="205"/>
      <c r="BE254" s="205"/>
      <c r="BF254" s="205"/>
      <c r="BG254" s="205"/>
      <c r="BH254" s="205"/>
      <c r="BI254" s="205"/>
      <c r="BJ254" s="205"/>
      <c r="BK254" s="205"/>
      <c r="BL254" s="205"/>
      <c r="BM254" s="205"/>
      <c r="BN254" s="205"/>
      <c r="BO254" s="205"/>
      <c r="BP254" s="205"/>
      <c r="BQ254" s="205"/>
      <c r="BR254" s="205"/>
      <c r="BS254" s="205"/>
      <c r="BT254" s="205"/>
      <c r="BU254" s="205"/>
      <c r="BV254" s="205"/>
      <c r="BW254" s="205"/>
      <c r="BX254" s="205"/>
      <c r="BY254" s="205"/>
      <c r="BZ254" s="205"/>
      <c r="CA254" s="205"/>
      <c r="CB254" s="205"/>
      <c r="CC254" s="205"/>
      <c r="CD254" s="205"/>
      <c r="CE254" s="205"/>
      <c r="CF254" s="205"/>
      <c r="CG254" s="205"/>
      <c r="CH254" s="205"/>
      <c r="CI254" s="205"/>
      <c r="CJ254" s="205"/>
      <c r="CK254" s="205"/>
      <c r="CL254" s="205"/>
      <c r="CM254" s="205"/>
      <c r="CN254" s="205"/>
      <c r="CO254" s="205"/>
      <c r="CP254" s="205"/>
      <c r="CQ254" s="205"/>
      <c r="CR254" s="205"/>
      <c r="CS254" s="205"/>
      <c r="CT254" s="205"/>
      <c r="CU254" s="205"/>
      <c r="CV254" s="205"/>
      <c r="CW254" s="205"/>
      <c r="CX254" s="205"/>
      <c r="CY254" s="205"/>
      <c r="CZ254" s="205"/>
      <c r="DA254" s="205"/>
      <c r="DB254" s="205"/>
      <c r="DC254" s="205"/>
      <c r="DD254" s="205"/>
      <c r="DE254" s="205"/>
      <c r="DF254" s="205"/>
      <c r="DG254" s="205"/>
      <c r="DH254" s="205"/>
      <c r="DI254" s="205"/>
      <c r="DJ254" s="205"/>
      <c r="DK254" s="205"/>
      <c r="DL254" s="205"/>
      <c r="DM254" s="205"/>
      <c r="DN254" s="205"/>
      <c r="DO254" s="205"/>
      <c r="DP254" s="205"/>
      <c r="DQ254" s="205"/>
      <c r="DR254" s="205"/>
      <c r="DS254" s="205"/>
      <c r="DT254" s="205"/>
      <c r="DU254" s="205"/>
      <c r="DV254" s="205"/>
      <c r="DW254" s="205"/>
      <c r="DX254" s="205"/>
      <c r="DY254" s="205"/>
      <c r="DZ254" s="205"/>
      <c r="EA254" s="205"/>
      <c r="EB254" s="205"/>
      <c r="EC254" s="205"/>
      <c r="ED254" s="205"/>
      <c r="EE254" s="205"/>
      <c r="EF254" s="205"/>
      <c r="EG254" s="205"/>
      <c r="EH254" s="205"/>
      <c r="EI254" s="205"/>
      <c r="EJ254" s="205"/>
      <c r="EK254" s="205"/>
      <c r="EL254" s="205"/>
      <c r="EM254" s="205"/>
      <c r="EN254" s="205"/>
      <c r="EO254" s="205"/>
      <c r="EP254" s="205"/>
      <c r="EQ254" s="205"/>
      <c r="ER254" s="205"/>
      <c r="ES254" s="205"/>
      <c r="ET254" s="205"/>
      <c r="EU254" s="205"/>
      <c r="EV254" s="205"/>
      <c r="EW254" s="205"/>
      <c r="EX254" s="205"/>
      <c r="EY254" s="205"/>
      <c r="EZ254" s="205"/>
      <c r="FA254" s="205"/>
      <c r="FB254" s="205"/>
      <c r="FC254" s="205"/>
      <c r="FD254" s="205"/>
      <c r="FE254" s="205"/>
      <c r="FF254" s="205"/>
      <c r="FG254" s="205"/>
      <c r="FH254" s="205"/>
      <c r="FI254" s="205"/>
      <c r="FJ254" s="205"/>
      <c r="FK254" s="205"/>
      <c r="FL254" s="205"/>
      <c r="FM254" s="205"/>
      <c r="FN254" s="205"/>
      <c r="FO254" s="205"/>
      <c r="FP254" s="205"/>
      <c r="FQ254" s="205"/>
      <c r="FR254" s="205"/>
      <c r="FS254" s="205"/>
      <c r="FT254" s="205"/>
      <c r="FU254" s="205"/>
      <c r="FV254" s="205"/>
      <c r="FW254" s="205"/>
      <c r="FX254" s="205"/>
      <c r="FY254" s="205"/>
      <c r="FZ254" s="205"/>
      <c r="GA254" s="205"/>
      <c r="GB254" s="205"/>
      <c r="GC254" s="205"/>
      <c r="GD254" s="205"/>
      <c r="GE254" s="205"/>
      <c r="GF254" s="205"/>
      <c r="GG254" s="205"/>
      <c r="GH254" s="205"/>
      <c r="GI254" s="205"/>
      <c r="GJ254" s="205"/>
      <c r="GK254" s="205"/>
      <c r="GL254" s="205"/>
      <c r="GM254" s="205"/>
      <c r="GN254" s="205"/>
      <c r="GO254" s="205"/>
      <c r="GP254" s="205"/>
      <c r="GQ254" s="205"/>
      <c r="GR254" s="205"/>
      <c r="GS254" s="205"/>
      <c r="GT254" s="205"/>
      <c r="GU254" s="205"/>
      <c r="GV254" s="205"/>
      <c r="GW254" s="205"/>
      <c r="GX254" s="205"/>
      <c r="GY254" s="205"/>
      <c r="GZ254" s="205"/>
      <c r="HA254" s="205"/>
      <c r="HB254" s="205"/>
      <c r="HC254" s="205"/>
      <c r="HD254" s="205"/>
      <c r="HE254" s="205"/>
      <c r="HF254" s="205"/>
      <c r="HG254" s="205"/>
      <c r="HH254" s="205"/>
      <c r="HI254" s="205"/>
      <c r="HJ254" s="205"/>
      <c r="HK254" s="205"/>
      <c r="HL254" s="205"/>
      <c r="HM254" s="205"/>
      <c r="HN254" s="205"/>
      <c r="HO254" s="205"/>
      <c r="HP254" s="205"/>
      <c r="HQ254" s="205"/>
      <c r="HR254" s="205"/>
      <c r="HS254" s="205"/>
      <c r="HT254" s="205"/>
      <c r="HU254" s="205"/>
      <c r="HV254" s="205"/>
      <c r="HW254" s="205"/>
      <c r="HX254" s="205"/>
      <c r="HY254" s="205"/>
      <c r="HZ254" s="205"/>
      <c r="IA254" s="205"/>
      <c r="IB254" s="205"/>
      <c r="IC254" s="205"/>
      <c r="ID254" s="205"/>
      <c r="IE254" s="205"/>
      <c r="IF254" s="205"/>
      <c r="IG254" s="205"/>
      <c r="IH254" s="205"/>
      <c r="II254" s="205"/>
      <c r="IJ254" s="205"/>
      <c r="IK254" s="205"/>
      <c r="IL254" s="205"/>
      <c r="IM254" s="205"/>
      <c r="IN254" s="205"/>
      <c r="IO254" s="205"/>
      <c r="IP254" s="205"/>
      <c r="IQ254" s="205"/>
      <c r="IR254" s="205"/>
      <c r="IS254" s="205"/>
      <c r="IT254" s="205"/>
      <c r="IU254" s="205"/>
      <c r="IV254" s="205"/>
      <c r="IW254" s="205"/>
      <c r="IX254" s="205"/>
    </row>
    <row r="255" spans="1:258" s="203" customFormat="1" x14ac:dyDescent="0.2">
      <c r="A255" s="669"/>
      <c r="B255" s="670"/>
      <c r="C255" s="1358"/>
      <c r="D255" s="672"/>
      <c r="E255" s="1359"/>
      <c r="F255" s="1359"/>
      <c r="G255" s="1360"/>
      <c r="H255" s="1361"/>
      <c r="I255" s="1362"/>
      <c r="J255" s="1362"/>
      <c r="K255" s="1362"/>
      <c r="L255" s="1362"/>
      <c r="M255" s="1362"/>
      <c r="N255" s="1362"/>
      <c r="O255" s="1362"/>
      <c r="P255" s="1362"/>
      <c r="Q255" s="1362"/>
      <c r="R255" s="1363"/>
      <c r="S255" s="1364"/>
      <c r="T255" s="722"/>
      <c r="U255" s="205"/>
      <c r="V255" s="685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C255" s="205"/>
      <c r="BD255" s="205"/>
      <c r="BE255" s="205"/>
      <c r="BF255" s="205"/>
      <c r="BG255" s="205"/>
      <c r="BH255" s="205"/>
      <c r="BI255" s="205"/>
      <c r="BJ255" s="205"/>
      <c r="BK255" s="205"/>
      <c r="BL255" s="205"/>
      <c r="BM255" s="205"/>
      <c r="BN255" s="205"/>
      <c r="BO255" s="205"/>
      <c r="BP255" s="205"/>
      <c r="BQ255" s="205"/>
      <c r="BR255" s="205"/>
      <c r="BS255" s="205"/>
      <c r="BT255" s="205"/>
      <c r="BU255" s="205"/>
      <c r="BV255" s="205"/>
      <c r="BW255" s="205"/>
      <c r="BX255" s="205"/>
      <c r="BY255" s="205"/>
      <c r="BZ255" s="205"/>
      <c r="CA255" s="205"/>
      <c r="CB255" s="205"/>
      <c r="CC255" s="205"/>
      <c r="CD255" s="205"/>
      <c r="CE255" s="205"/>
      <c r="CF255" s="205"/>
      <c r="CG255" s="205"/>
      <c r="CH255" s="205"/>
      <c r="CI255" s="205"/>
      <c r="CJ255" s="205"/>
      <c r="CK255" s="205"/>
      <c r="CL255" s="205"/>
      <c r="CM255" s="205"/>
      <c r="CN255" s="205"/>
      <c r="CO255" s="205"/>
      <c r="CP255" s="205"/>
      <c r="CQ255" s="205"/>
      <c r="CR255" s="205"/>
      <c r="CS255" s="205"/>
      <c r="CT255" s="205"/>
      <c r="CU255" s="205"/>
      <c r="CV255" s="205"/>
      <c r="CW255" s="205"/>
      <c r="CX255" s="205"/>
      <c r="CY255" s="205"/>
      <c r="CZ255" s="205"/>
      <c r="DA255" s="205"/>
      <c r="DB255" s="205"/>
      <c r="DC255" s="205"/>
      <c r="DD255" s="205"/>
      <c r="DE255" s="205"/>
      <c r="DF255" s="205"/>
      <c r="DG255" s="205"/>
      <c r="DH255" s="205"/>
      <c r="DI255" s="205"/>
      <c r="DJ255" s="205"/>
      <c r="DK255" s="205"/>
      <c r="DL255" s="205"/>
      <c r="DM255" s="205"/>
      <c r="DN255" s="205"/>
      <c r="DO255" s="205"/>
      <c r="DP255" s="205"/>
      <c r="DQ255" s="205"/>
      <c r="DR255" s="205"/>
      <c r="DS255" s="205"/>
      <c r="DT255" s="205"/>
      <c r="DU255" s="205"/>
      <c r="DV255" s="205"/>
      <c r="DW255" s="205"/>
      <c r="DX255" s="205"/>
      <c r="DY255" s="205"/>
      <c r="DZ255" s="205"/>
      <c r="EA255" s="205"/>
      <c r="EB255" s="205"/>
      <c r="EC255" s="205"/>
      <c r="ED255" s="205"/>
      <c r="EE255" s="205"/>
      <c r="EF255" s="205"/>
      <c r="EG255" s="205"/>
      <c r="EH255" s="205"/>
      <c r="EI255" s="205"/>
      <c r="EJ255" s="205"/>
      <c r="EK255" s="205"/>
      <c r="EL255" s="205"/>
      <c r="EM255" s="205"/>
      <c r="EN255" s="205"/>
      <c r="EO255" s="205"/>
      <c r="EP255" s="205"/>
      <c r="EQ255" s="205"/>
      <c r="ER255" s="205"/>
      <c r="ES255" s="205"/>
      <c r="ET255" s="205"/>
      <c r="EU255" s="205"/>
      <c r="EV255" s="205"/>
      <c r="EW255" s="205"/>
      <c r="EX255" s="205"/>
      <c r="EY255" s="205"/>
      <c r="EZ255" s="205"/>
      <c r="FA255" s="205"/>
      <c r="FB255" s="205"/>
      <c r="FC255" s="205"/>
      <c r="FD255" s="205"/>
      <c r="FE255" s="205"/>
      <c r="FF255" s="205"/>
      <c r="FG255" s="205"/>
      <c r="FH255" s="205"/>
      <c r="FI255" s="205"/>
      <c r="FJ255" s="205"/>
      <c r="FK255" s="205"/>
      <c r="FL255" s="205"/>
      <c r="FM255" s="205"/>
      <c r="FN255" s="205"/>
      <c r="FO255" s="205"/>
      <c r="FP255" s="205"/>
      <c r="FQ255" s="205"/>
      <c r="FR255" s="205"/>
      <c r="FS255" s="205"/>
      <c r="FT255" s="205"/>
      <c r="FU255" s="205"/>
      <c r="FV255" s="205"/>
      <c r="FW255" s="205"/>
      <c r="FX255" s="205"/>
      <c r="FY255" s="205"/>
      <c r="FZ255" s="205"/>
      <c r="GA255" s="205"/>
      <c r="GB255" s="205"/>
      <c r="GC255" s="205"/>
      <c r="GD255" s="205"/>
      <c r="GE255" s="205"/>
      <c r="GF255" s="205"/>
      <c r="GG255" s="205"/>
      <c r="GH255" s="205"/>
      <c r="GI255" s="205"/>
      <c r="GJ255" s="205"/>
      <c r="GK255" s="205"/>
      <c r="GL255" s="205"/>
      <c r="GM255" s="205"/>
      <c r="GN255" s="205"/>
      <c r="GO255" s="205"/>
      <c r="GP255" s="205"/>
      <c r="GQ255" s="205"/>
      <c r="GR255" s="205"/>
      <c r="GS255" s="205"/>
      <c r="GT255" s="205"/>
      <c r="GU255" s="205"/>
      <c r="GV255" s="205"/>
      <c r="GW255" s="205"/>
      <c r="GX255" s="205"/>
      <c r="GY255" s="205"/>
      <c r="GZ255" s="205"/>
      <c r="HA255" s="205"/>
      <c r="HB255" s="205"/>
      <c r="HC255" s="205"/>
      <c r="HD255" s="205"/>
      <c r="HE255" s="205"/>
      <c r="HF255" s="205"/>
      <c r="HG255" s="205"/>
      <c r="HH255" s="205"/>
      <c r="HI255" s="205"/>
      <c r="HJ255" s="205"/>
      <c r="HK255" s="205"/>
      <c r="HL255" s="205"/>
      <c r="HM255" s="205"/>
      <c r="HN255" s="205"/>
      <c r="HO255" s="205"/>
      <c r="HP255" s="205"/>
      <c r="HQ255" s="205"/>
      <c r="HR255" s="205"/>
      <c r="HS255" s="205"/>
      <c r="HT255" s="205"/>
      <c r="HU255" s="205"/>
      <c r="HV255" s="205"/>
      <c r="HW255" s="205"/>
      <c r="HX255" s="205"/>
      <c r="HY255" s="205"/>
      <c r="HZ255" s="205"/>
      <c r="IA255" s="205"/>
      <c r="IB255" s="205"/>
      <c r="IC255" s="205"/>
      <c r="ID255" s="205"/>
      <c r="IE255" s="205"/>
      <c r="IF255" s="205"/>
      <c r="IG255" s="205"/>
      <c r="IH255" s="205"/>
      <c r="II255" s="205"/>
      <c r="IJ255" s="205"/>
      <c r="IK255" s="205"/>
      <c r="IL255" s="205"/>
      <c r="IM255" s="205"/>
      <c r="IN255" s="205"/>
      <c r="IO255" s="205"/>
      <c r="IP255" s="205"/>
      <c r="IQ255" s="205"/>
      <c r="IR255" s="205"/>
      <c r="IS255" s="205"/>
      <c r="IT255" s="205"/>
      <c r="IU255" s="205"/>
      <c r="IV255" s="205"/>
      <c r="IW255" s="205"/>
      <c r="IX255" s="205"/>
    </row>
    <row r="256" spans="1:258" s="203" customFormat="1" x14ac:dyDescent="0.2">
      <c r="A256" s="669"/>
      <c r="B256" s="670"/>
      <c r="C256" s="682" t="str">
        <f>RAB!D89</f>
        <v>Plat beton atap KM</v>
      </c>
      <c r="D256" s="672"/>
      <c r="E256" s="673"/>
      <c r="F256" s="673"/>
      <c r="G256" s="674"/>
      <c r="H256" s="675"/>
      <c r="I256" s="676"/>
      <c r="J256" s="676"/>
      <c r="K256" s="676"/>
      <c r="L256" s="676"/>
      <c r="M256" s="676"/>
      <c r="N256" s="676"/>
      <c r="O256" s="676"/>
      <c r="P256" s="676"/>
      <c r="Q256" s="676"/>
      <c r="R256" s="677"/>
      <c r="S256" s="678"/>
      <c r="T256" s="684"/>
      <c r="U256" s="205"/>
      <c r="V256" s="685"/>
      <c r="W256" s="205"/>
      <c r="X256" s="205"/>
      <c r="Y256" s="205"/>
      <c r="Z256" s="205"/>
      <c r="AA256" s="205"/>
      <c r="AB256" s="205"/>
      <c r="AC256" s="205"/>
      <c r="AD256" s="205"/>
      <c r="AE256" s="205"/>
      <c r="AF256" s="205"/>
      <c r="AG256" s="205"/>
      <c r="AH256" s="205"/>
      <c r="AI256" s="205"/>
      <c r="AJ256" s="205"/>
      <c r="AK256" s="205"/>
      <c r="AL256" s="205"/>
      <c r="AM256" s="205"/>
      <c r="AN256" s="205"/>
      <c r="AO256" s="205"/>
      <c r="AP256" s="205"/>
      <c r="AQ256" s="205"/>
      <c r="AR256" s="205"/>
      <c r="AS256" s="205"/>
      <c r="AT256" s="205"/>
      <c r="AU256" s="205"/>
      <c r="AV256" s="205"/>
      <c r="AW256" s="205"/>
      <c r="AX256" s="205"/>
      <c r="AY256" s="205"/>
      <c r="AZ256" s="205"/>
      <c r="BA256" s="205"/>
      <c r="BB256" s="205"/>
      <c r="BC256" s="205"/>
      <c r="BD256" s="205"/>
      <c r="BE256" s="205"/>
      <c r="BF256" s="205"/>
      <c r="BG256" s="205"/>
      <c r="BH256" s="205"/>
      <c r="BI256" s="205"/>
      <c r="BJ256" s="205"/>
      <c r="BK256" s="205"/>
      <c r="BL256" s="205"/>
      <c r="BM256" s="205"/>
      <c r="BN256" s="205"/>
      <c r="BO256" s="205"/>
      <c r="BP256" s="205"/>
      <c r="BQ256" s="205"/>
      <c r="BR256" s="205"/>
      <c r="BS256" s="205"/>
      <c r="BT256" s="205"/>
      <c r="BU256" s="205"/>
      <c r="BV256" s="205"/>
      <c r="BW256" s="205"/>
      <c r="BX256" s="205"/>
      <c r="BY256" s="205"/>
      <c r="BZ256" s="205"/>
      <c r="CA256" s="205"/>
      <c r="CB256" s="205"/>
      <c r="CC256" s="205"/>
      <c r="CD256" s="205"/>
      <c r="CE256" s="205"/>
      <c r="CF256" s="205"/>
      <c r="CG256" s="205"/>
      <c r="CH256" s="205"/>
      <c r="CI256" s="205"/>
      <c r="CJ256" s="205"/>
      <c r="CK256" s="205"/>
      <c r="CL256" s="205"/>
      <c r="CM256" s="205"/>
      <c r="CN256" s="205"/>
      <c r="CO256" s="205"/>
      <c r="CP256" s="205"/>
      <c r="CQ256" s="205"/>
      <c r="CR256" s="205"/>
      <c r="CS256" s="205"/>
      <c r="CT256" s="205"/>
      <c r="CU256" s="205"/>
      <c r="CV256" s="205"/>
      <c r="CW256" s="205"/>
      <c r="CX256" s="205"/>
      <c r="CY256" s="205"/>
      <c r="CZ256" s="205"/>
      <c r="DA256" s="205"/>
      <c r="DB256" s="205"/>
      <c r="DC256" s="205"/>
      <c r="DD256" s="205"/>
      <c r="DE256" s="205"/>
      <c r="DF256" s="205"/>
      <c r="DG256" s="205"/>
      <c r="DH256" s="205"/>
      <c r="DI256" s="205"/>
      <c r="DJ256" s="205"/>
      <c r="DK256" s="205"/>
      <c r="DL256" s="205"/>
      <c r="DM256" s="205"/>
      <c r="DN256" s="205"/>
      <c r="DO256" s="205"/>
      <c r="DP256" s="205"/>
      <c r="DQ256" s="205"/>
      <c r="DR256" s="205"/>
      <c r="DS256" s="205"/>
      <c r="DT256" s="205"/>
      <c r="DU256" s="205"/>
      <c r="DV256" s="205"/>
      <c r="DW256" s="205"/>
      <c r="DX256" s="205"/>
      <c r="DY256" s="205"/>
      <c r="DZ256" s="205"/>
      <c r="EA256" s="205"/>
      <c r="EB256" s="205"/>
      <c r="EC256" s="205"/>
      <c r="ED256" s="205"/>
      <c r="EE256" s="205"/>
      <c r="EF256" s="205"/>
      <c r="EG256" s="205"/>
      <c r="EH256" s="205"/>
      <c r="EI256" s="205"/>
      <c r="EJ256" s="205"/>
      <c r="EK256" s="205"/>
      <c r="EL256" s="205"/>
      <c r="EM256" s="205"/>
      <c r="EN256" s="205"/>
      <c r="EO256" s="205"/>
      <c r="EP256" s="205"/>
      <c r="EQ256" s="205"/>
      <c r="ER256" s="205"/>
      <c r="ES256" s="205"/>
      <c r="ET256" s="205"/>
      <c r="EU256" s="205"/>
      <c r="EV256" s="205"/>
      <c r="EW256" s="205"/>
      <c r="EX256" s="205"/>
      <c r="EY256" s="205"/>
      <c r="EZ256" s="205"/>
      <c r="FA256" s="205"/>
      <c r="FB256" s="205"/>
      <c r="FC256" s="205"/>
      <c r="FD256" s="205"/>
      <c r="FE256" s="205"/>
      <c r="FF256" s="205"/>
      <c r="FG256" s="205"/>
      <c r="FH256" s="205"/>
      <c r="FI256" s="205"/>
      <c r="FJ256" s="205"/>
      <c r="FK256" s="205"/>
      <c r="FL256" s="205"/>
      <c r="FM256" s="205"/>
      <c r="FN256" s="205"/>
      <c r="FO256" s="205"/>
      <c r="FP256" s="205"/>
      <c r="FQ256" s="205"/>
      <c r="FR256" s="205"/>
      <c r="FS256" s="205"/>
      <c r="FT256" s="205"/>
      <c r="FU256" s="205"/>
      <c r="FV256" s="205"/>
      <c r="FW256" s="205"/>
      <c r="FX256" s="205"/>
      <c r="FY256" s="205"/>
      <c r="FZ256" s="205"/>
      <c r="GA256" s="205"/>
      <c r="GB256" s="205"/>
      <c r="GC256" s="205"/>
      <c r="GD256" s="205"/>
      <c r="GE256" s="205"/>
      <c r="GF256" s="205"/>
      <c r="GG256" s="205"/>
      <c r="GH256" s="205"/>
      <c r="GI256" s="205"/>
      <c r="GJ256" s="205"/>
      <c r="GK256" s="205"/>
      <c r="GL256" s="205"/>
      <c r="GM256" s="205"/>
      <c r="GN256" s="205"/>
      <c r="GO256" s="205"/>
      <c r="GP256" s="205"/>
      <c r="GQ256" s="205"/>
      <c r="GR256" s="205"/>
      <c r="GS256" s="205"/>
      <c r="GT256" s="205"/>
      <c r="GU256" s="205"/>
      <c r="GV256" s="205"/>
      <c r="GW256" s="205"/>
      <c r="GX256" s="205"/>
      <c r="GY256" s="205"/>
      <c r="GZ256" s="205"/>
      <c r="HA256" s="205"/>
      <c r="HB256" s="205"/>
      <c r="HC256" s="205"/>
      <c r="HD256" s="205"/>
      <c r="HE256" s="205"/>
      <c r="HF256" s="205"/>
      <c r="HG256" s="205"/>
      <c r="HH256" s="205"/>
      <c r="HI256" s="205"/>
      <c r="HJ256" s="205"/>
      <c r="HK256" s="205"/>
      <c r="HL256" s="205"/>
      <c r="HM256" s="205"/>
      <c r="HN256" s="205"/>
      <c r="HO256" s="205"/>
      <c r="HP256" s="205"/>
      <c r="HQ256" s="205"/>
      <c r="HR256" s="205"/>
      <c r="HS256" s="205"/>
      <c r="HT256" s="205"/>
      <c r="HU256" s="205"/>
      <c r="HV256" s="205"/>
      <c r="HW256" s="205"/>
      <c r="HX256" s="205"/>
      <c r="HY256" s="205"/>
      <c r="HZ256" s="205"/>
      <c r="IA256" s="205"/>
      <c r="IB256" s="205"/>
      <c r="IC256" s="205"/>
      <c r="ID256" s="205"/>
      <c r="IE256" s="205"/>
      <c r="IF256" s="205"/>
      <c r="IG256" s="205"/>
      <c r="IH256" s="205"/>
      <c r="II256" s="205"/>
      <c r="IJ256" s="205"/>
      <c r="IK256" s="205"/>
      <c r="IL256" s="205"/>
      <c r="IM256" s="205"/>
      <c r="IN256" s="205"/>
      <c r="IO256" s="205"/>
      <c r="IP256" s="205"/>
      <c r="IQ256" s="205"/>
      <c r="IR256" s="205"/>
      <c r="IS256" s="205"/>
      <c r="IT256" s="205"/>
      <c r="IU256" s="205"/>
      <c r="IV256" s="205"/>
      <c r="IW256" s="205"/>
      <c r="IX256" s="205"/>
    </row>
    <row r="257" spans="1:258" s="203" customFormat="1" x14ac:dyDescent="0.2">
      <c r="A257" s="669"/>
      <c r="B257" s="670">
        <f>RAB!B90</f>
        <v>24</v>
      </c>
      <c r="C257" s="686" t="e">
        <f>RAB!D90</f>
        <v>#REF!</v>
      </c>
      <c r="D257" s="672"/>
      <c r="E257" s="673"/>
      <c r="F257" s="673"/>
      <c r="G257" s="674"/>
      <c r="H257" s="675">
        <v>3</v>
      </c>
      <c r="I257" s="676" t="s">
        <v>424</v>
      </c>
      <c r="J257" s="676">
        <v>2</v>
      </c>
      <c r="K257" s="676" t="s">
        <v>424</v>
      </c>
      <c r="L257" s="676">
        <v>0.1</v>
      </c>
      <c r="M257" s="676"/>
      <c r="N257" s="676"/>
      <c r="O257" s="676"/>
      <c r="P257" s="676"/>
      <c r="Q257" s="1362" t="s">
        <v>696</v>
      </c>
      <c r="R257" s="1363">
        <f t="shared" ref="R257" si="117">H257*J257*L257</f>
        <v>0.60000000000000009</v>
      </c>
      <c r="S257" s="678">
        <f>R257</f>
        <v>0.60000000000000009</v>
      </c>
      <c r="T257" s="684" t="s">
        <v>293</v>
      </c>
      <c r="U257" s="205"/>
      <c r="V257" s="685">
        <f>S261/S257</f>
        <v>98.596000000000018</v>
      </c>
      <c r="W257" s="205"/>
      <c r="X257" s="205"/>
      <c r="Y257" s="205"/>
      <c r="Z257" s="205"/>
      <c r="AA257" s="205"/>
      <c r="AB257" s="205"/>
      <c r="AC257" s="205"/>
      <c r="AD257" s="205"/>
      <c r="AE257" s="205"/>
      <c r="AF257" s="205"/>
      <c r="AG257" s="205"/>
      <c r="AH257" s="205"/>
      <c r="AI257" s="205"/>
      <c r="AJ257" s="205"/>
      <c r="AK257" s="205"/>
      <c r="AL257" s="205"/>
      <c r="AM257" s="205"/>
      <c r="AN257" s="205"/>
      <c r="AO257" s="205"/>
      <c r="AP257" s="205"/>
      <c r="AQ257" s="205"/>
      <c r="AR257" s="205"/>
      <c r="AS257" s="205"/>
      <c r="AT257" s="205"/>
      <c r="AU257" s="205"/>
      <c r="AV257" s="205"/>
      <c r="AW257" s="205"/>
      <c r="AX257" s="205"/>
      <c r="AY257" s="205"/>
      <c r="AZ257" s="205"/>
      <c r="BA257" s="205"/>
      <c r="BB257" s="205"/>
      <c r="BC257" s="205"/>
      <c r="BD257" s="205"/>
      <c r="BE257" s="205"/>
      <c r="BF257" s="205"/>
      <c r="BG257" s="205"/>
      <c r="BH257" s="205"/>
      <c r="BI257" s="205"/>
      <c r="BJ257" s="205"/>
      <c r="BK257" s="205"/>
      <c r="BL257" s="205"/>
      <c r="BM257" s="205"/>
      <c r="BN257" s="205"/>
      <c r="BO257" s="205"/>
      <c r="BP257" s="205"/>
      <c r="BQ257" s="205"/>
      <c r="BR257" s="205"/>
      <c r="BS257" s="205"/>
      <c r="BT257" s="205"/>
      <c r="BU257" s="205"/>
      <c r="BV257" s="205"/>
      <c r="BW257" s="205"/>
      <c r="BX257" s="205"/>
      <c r="BY257" s="205"/>
      <c r="BZ257" s="205"/>
      <c r="CA257" s="205"/>
      <c r="CB257" s="205"/>
      <c r="CC257" s="205"/>
      <c r="CD257" s="205"/>
      <c r="CE257" s="205"/>
      <c r="CF257" s="205"/>
      <c r="CG257" s="205"/>
      <c r="CH257" s="205"/>
      <c r="CI257" s="205"/>
      <c r="CJ257" s="205"/>
      <c r="CK257" s="205"/>
      <c r="CL257" s="205"/>
      <c r="CM257" s="205"/>
      <c r="CN257" s="205"/>
      <c r="CO257" s="205"/>
      <c r="CP257" s="205"/>
      <c r="CQ257" s="205"/>
      <c r="CR257" s="205"/>
      <c r="CS257" s="205"/>
      <c r="CT257" s="205"/>
      <c r="CU257" s="205"/>
      <c r="CV257" s="205"/>
      <c r="CW257" s="205"/>
      <c r="CX257" s="205"/>
      <c r="CY257" s="205"/>
      <c r="CZ257" s="205"/>
      <c r="DA257" s="205"/>
      <c r="DB257" s="205"/>
      <c r="DC257" s="205"/>
      <c r="DD257" s="205"/>
      <c r="DE257" s="205"/>
      <c r="DF257" s="205"/>
      <c r="DG257" s="205"/>
      <c r="DH257" s="205"/>
      <c r="DI257" s="205"/>
      <c r="DJ257" s="205"/>
      <c r="DK257" s="205"/>
      <c r="DL257" s="205"/>
      <c r="DM257" s="205"/>
      <c r="DN257" s="205"/>
      <c r="DO257" s="205"/>
      <c r="DP257" s="205"/>
      <c r="DQ257" s="205"/>
      <c r="DR257" s="205"/>
      <c r="DS257" s="205"/>
      <c r="DT257" s="205"/>
      <c r="DU257" s="205"/>
      <c r="DV257" s="205"/>
      <c r="DW257" s="205"/>
      <c r="DX257" s="205"/>
      <c r="DY257" s="205"/>
      <c r="DZ257" s="205"/>
      <c r="EA257" s="205"/>
      <c r="EB257" s="205"/>
      <c r="EC257" s="205"/>
      <c r="ED257" s="205"/>
      <c r="EE257" s="205"/>
      <c r="EF257" s="205"/>
      <c r="EG257" s="205"/>
      <c r="EH257" s="205"/>
      <c r="EI257" s="205"/>
      <c r="EJ257" s="205"/>
      <c r="EK257" s="205"/>
      <c r="EL257" s="205"/>
      <c r="EM257" s="205"/>
      <c r="EN257" s="205"/>
      <c r="EO257" s="205"/>
      <c r="EP257" s="205"/>
      <c r="EQ257" s="205"/>
      <c r="ER257" s="205"/>
      <c r="ES257" s="205"/>
      <c r="ET257" s="205"/>
      <c r="EU257" s="205"/>
      <c r="EV257" s="205"/>
      <c r="EW257" s="205"/>
      <c r="EX257" s="205"/>
      <c r="EY257" s="205"/>
      <c r="EZ257" s="205"/>
      <c r="FA257" s="205"/>
      <c r="FB257" s="205"/>
      <c r="FC257" s="205"/>
      <c r="FD257" s="205"/>
      <c r="FE257" s="205"/>
      <c r="FF257" s="205"/>
      <c r="FG257" s="205"/>
      <c r="FH257" s="205"/>
      <c r="FI257" s="205"/>
      <c r="FJ257" s="205"/>
      <c r="FK257" s="205"/>
      <c r="FL257" s="205"/>
      <c r="FM257" s="205"/>
      <c r="FN257" s="205"/>
      <c r="FO257" s="205"/>
      <c r="FP257" s="205"/>
      <c r="FQ257" s="205"/>
      <c r="FR257" s="205"/>
      <c r="FS257" s="205"/>
      <c r="FT257" s="205"/>
      <c r="FU257" s="205"/>
      <c r="FV257" s="205"/>
      <c r="FW257" s="205"/>
      <c r="FX257" s="205"/>
      <c r="FY257" s="205"/>
      <c r="FZ257" s="205"/>
      <c r="GA257" s="205"/>
      <c r="GB257" s="205"/>
      <c r="GC257" s="205"/>
      <c r="GD257" s="205"/>
      <c r="GE257" s="205"/>
      <c r="GF257" s="205"/>
      <c r="GG257" s="205"/>
      <c r="GH257" s="205"/>
      <c r="GI257" s="205"/>
      <c r="GJ257" s="205"/>
      <c r="GK257" s="205"/>
      <c r="GL257" s="205"/>
      <c r="GM257" s="205"/>
      <c r="GN257" s="205"/>
      <c r="GO257" s="205"/>
      <c r="GP257" s="205"/>
      <c r="GQ257" s="205"/>
      <c r="GR257" s="205"/>
      <c r="GS257" s="205"/>
      <c r="GT257" s="205"/>
      <c r="GU257" s="205"/>
      <c r="GV257" s="205"/>
      <c r="GW257" s="205"/>
      <c r="GX257" s="205"/>
      <c r="GY257" s="205"/>
      <c r="GZ257" s="205"/>
      <c r="HA257" s="205"/>
      <c r="HB257" s="205"/>
      <c r="HC257" s="205"/>
      <c r="HD257" s="205"/>
      <c r="HE257" s="205"/>
      <c r="HF257" s="205"/>
      <c r="HG257" s="205"/>
      <c r="HH257" s="205"/>
      <c r="HI257" s="205"/>
      <c r="HJ257" s="205"/>
      <c r="HK257" s="205"/>
      <c r="HL257" s="205"/>
      <c r="HM257" s="205"/>
      <c r="HN257" s="205"/>
      <c r="HO257" s="205"/>
      <c r="HP257" s="205"/>
      <c r="HQ257" s="205"/>
      <c r="HR257" s="205"/>
      <c r="HS257" s="205"/>
      <c r="HT257" s="205"/>
      <c r="HU257" s="205"/>
      <c r="HV257" s="205"/>
      <c r="HW257" s="205"/>
      <c r="HX257" s="205"/>
      <c r="HY257" s="205"/>
      <c r="HZ257" s="205"/>
      <c r="IA257" s="205"/>
      <c r="IB257" s="205"/>
      <c r="IC257" s="205"/>
      <c r="ID257" s="205"/>
      <c r="IE257" s="205"/>
      <c r="IF257" s="205"/>
      <c r="IG257" s="205"/>
      <c r="IH257" s="205"/>
      <c r="II257" s="205"/>
      <c r="IJ257" s="205"/>
      <c r="IK257" s="205"/>
      <c r="IL257" s="205"/>
      <c r="IM257" s="205"/>
      <c r="IN257" s="205"/>
      <c r="IO257" s="205"/>
      <c r="IP257" s="205"/>
      <c r="IQ257" s="205"/>
      <c r="IR257" s="205"/>
      <c r="IS257" s="205"/>
      <c r="IT257" s="205"/>
      <c r="IU257" s="205"/>
      <c r="IV257" s="205"/>
      <c r="IW257" s="205"/>
      <c r="IX257" s="205"/>
    </row>
    <row r="258" spans="1:258" s="203" customFormat="1" x14ac:dyDescent="0.2">
      <c r="A258" s="669"/>
      <c r="B258" s="670">
        <f>RAB!B91</f>
        <v>25</v>
      </c>
      <c r="C258" s="686" t="str">
        <f>RAB!D91</f>
        <v>Pembesian 1 kg dengan besi polos atau besi ulir</v>
      </c>
      <c r="D258" s="672"/>
      <c r="E258" s="673"/>
      <c r="F258" s="673"/>
      <c r="G258" s="674"/>
      <c r="H258" s="675"/>
      <c r="I258" s="676"/>
      <c r="J258" s="676"/>
      <c r="K258" s="676"/>
      <c r="L258" s="676"/>
      <c r="M258" s="676"/>
      <c r="N258" s="676"/>
      <c r="O258" s="676"/>
      <c r="P258" s="676"/>
      <c r="Q258" s="676"/>
      <c r="R258" s="677"/>
      <c r="S258" s="678"/>
      <c r="T258" s="684"/>
      <c r="U258" s="205"/>
      <c r="V258" s="685"/>
      <c r="W258" s="205"/>
      <c r="X258" s="205"/>
      <c r="Y258" s="205"/>
      <c r="Z258" s="205"/>
      <c r="AA258" s="205"/>
      <c r="AB258" s="205"/>
      <c r="AC258" s="205"/>
      <c r="AD258" s="205"/>
      <c r="AE258" s="205"/>
      <c r="AF258" s="205"/>
      <c r="AG258" s="205"/>
      <c r="AH258" s="205"/>
      <c r="AI258" s="205"/>
      <c r="AJ258" s="205"/>
      <c r="AK258" s="205"/>
      <c r="AL258" s="205"/>
      <c r="AM258" s="205"/>
      <c r="AN258" s="205"/>
      <c r="AO258" s="205"/>
      <c r="AP258" s="205"/>
      <c r="AQ258" s="205"/>
      <c r="AR258" s="205"/>
      <c r="AS258" s="205"/>
      <c r="AT258" s="205"/>
      <c r="AU258" s="205"/>
      <c r="AV258" s="205"/>
      <c r="AW258" s="205"/>
      <c r="AX258" s="205"/>
      <c r="AY258" s="205"/>
      <c r="AZ258" s="205"/>
      <c r="BA258" s="205"/>
      <c r="BB258" s="205"/>
      <c r="BC258" s="205"/>
      <c r="BD258" s="205"/>
      <c r="BE258" s="205"/>
      <c r="BF258" s="205"/>
      <c r="BG258" s="205"/>
      <c r="BH258" s="205"/>
      <c r="BI258" s="205"/>
      <c r="BJ258" s="205"/>
      <c r="BK258" s="205"/>
      <c r="BL258" s="205"/>
      <c r="BM258" s="205"/>
      <c r="BN258" s="205"/>
      <c r="BO258" s="205"/>
      <c r="BP258" s="205"/>
      <c r="BQ258" s="205"/>
      <c r="BR258" s="205"/>
      <c r="BS258" s="205"/>
      <c r="BT258" s="205"/>
      <c r="BU258" s="205"/>
      <c r="BV258" s="205"/>
      <c r="BW258" s="205"/>
      <c r="BX258" s="205"/>
      <c r="BY258" s="205"/>
      <c r="BZ258" s="205"/>
      <c r="CA258" s="205"/>
      <c r="CB258" s="205"/>
      <c r="CC258" s="205"/>
      <c r="CD258" s="205"/>
      <c r="CE258" s="205"/>
      <c r="CF258" s="205"/>
      <c r="CG258" s="205"/>
      <c r="CH258" s="205"/>
      <c r="CI258" s="205"/>
      <c r="CJ258" s="205"/>
      <c r="CK258" s="205"/>
      <c r="CL258" s="205"/>
      <c r="CM258" s="205"/>
      <c r="CN258" s="205"/>
      <c r="CO258" s="205"/>
      <c r="CP258" s="205"/>
      <c r="CQ258" s="205"/>
      <c r="CR258" s="205"/>
      <c r="CS258" s="205"/>
      <c r="CT258" s="205"/>
      <c r="CU258" s="205"/>
      <c r="CV258" s="205"/>
      <c r="CW258" s="205"/>
      <c r="CX258" s="205"/>
      <c r="CY258" s="205"/>
      <c r="CZ258" s="205"/>
      <c r="DA258" s="205"/>
      <c r="DB258" s="205"/>
      <c r="DC258" s="205"/>
      <c r="DD258" s="205"/>
      <c r="DE258" s="205"/>
      <c r="DF258" s="205"/>
      <c r="DG258" s="205"/>
      <c r="DH258" s="205"/>
      <c r="DI258" s="205"/>
      <c r="DJ258" s="205"/>
      <c r="DK258" s="205"/>
      <c r="DL258" s="205"/>
      <c r="DM258" s="205"/>
      <c r="DN258" s="205"/>
      <c r="DO258" s="205"/>
      <c r="DP258" s="205"/>
      <c r="DQ258" s="205"/>
      <c r="DR258" s="205"/>
      <c r="DS258" s="205"/>
      <c r="DT258" s="205"/>
      <c r="DU258" s="205"/>
      <c r="DV258" s="205"/>
      <c r="DW258" s="205"/>
      <c r="DX258" s="205"/>
      <c r="DY258" s="205"/>
      <c r="DZ258" s="205"/>
      <c r="EA258" s="205"/>
      <c r="EB258" s="205"/>
      <c r="EC258" s="205"/>
      <c r="ED258" s="205"/>
      <c r="EE258" s="205"/>
      <c r="EF258" s="205"/>
      <c r="EG258" s="205"/>
      <c r="EH258" s="205"/>
      <c r="EI258" s="205"/>
      <c r="EJ258" s="205"/>
      <c r="EK258" s="205"/>
      <c r="EL258" s="205"/>
      <c r="EM258" s="205"/>
      <c r="EN258" s="205"/>
      <c r="EO258" s="205"/>
      <c r="EP258" s="205"/>
      <c r="EQ258" s="205"/>
      <c r="ER258" s="205"/>
      <c r="ES258" s="205"/>
      <c r="ET258" s="205"/>
      <c r="EU258" s="205"/>
      <c r="EV258" s="205"/>
      <c r="EW258" s="205"/>
      <c r="EX258" s="205"/>
      <c r="EY258" s="205"/>
      <c r="EZ258" s="205"/>
      <c r="FA258" s="205"/>
      <c r="FB258" s="205"/>
      <c r="FC258" s="205"/>
      <c r="FD258" s="205"/>
      <c r="FE258" s="205"/>
      <c r="FF258" s="205"/>
      <c r="FG258" s="205"/>
      <c r="FH258" s="205"/>
      <c r="FI258" s="205"/>
      <c r="FJ258" s="205"/>
      <c r="FK258" s="205"/>
      <c r="FL258" s="205"/>
      <c r="FM258" s="205"/>
      <c r="FN258" s="205"/>
      <c r="FO258" s="205"/>
      <c r="FP258" s="205"/>
      <c r="FQ258" s="205"/>
      <c r="FR258" s="205"/>
      <c r="FS258" s="205"/>
      <c r="FT258" s="205"/>
      <c r="FU258" s="205"/>
      <c r="FV258" s="205"/>
      <c r="FW258" s="205"/>
      <c r="FX258" s="205"/>
      <c r="FY258" s="205"/>
      <c r="FZ258" s="205"/>
      <c r="GA258" s="205"/>
      <c r="GB258" s="205"/>
      <c r="GC258" s="205"/>
      <c r="GD258" s="205"/>
      <c r="GE258" s="205"/>
      <c r="GF258" s="205"/>
      <c r="GG258" s="205"/>
      <c r="GH258" s="205"/>
      <c r="GI258" s="205"/>
      <c r="GJ258" s="205"/>
      <c r="GK258" s="205"/>
      <c r="GL258" s="205"/>
      <c r="GM258" s="205"/>
      <c r="GN258" s="205"/>
      <c r="GO258" s="205"/>
      <c r="GP258" s="205"/>
      <c r="GQ258" s="205"/>
      <c r="GR258" s="205"/>
      <c r="GS258" s="205"/>
      <c r="GT258" s="205"/>
      <c r="GU258" s="205"/>
      <c r="GV258" s="205"/>
      <c r="GW258" s="205"/>
      <c r="GX258" s="205"/>
      <c r="GY258" s="205"/>
      <c r="GZ258" s="205"/>
      <c r="HA258" s="205"/>
      <c r="HB258" s="205"/>
      <c r="HC258" s="205"/>
      <c r="HD258" s="205"/>
      <c r="HE258" s="205"/>
      <c r="HF258" s="205"/>
      <c r="HG258" s="205"/>
      <c r="HH258" s="205"/>
      <c r="HI258" s="205"/>
      <c r="HJ258" s="205"/>
      <c r="HK258" s="205"/>
      <c r="HL258" s="205"/>
      <c r="HM258" s="205"/>
      <c r="HN258" s="205"/>
      <c r="HO258" s="205"/>
      <c r="HP258" s="205"/>
      <c r="HQ258" s="205"/>
      <c r="HR258" s="205"/>
      <c r="HS258" s="205"/>
      <c r="HT258" s="205"/>
      <c r="HU258" s="205"/>
      <c r="HV258" s="205"/>
      <c r="HW258" s="205"/>
      <c r="HX258" s="205"/>
      <c r="HY258" s="205"/>
      <c r="HZ258" s="205"/>
      <c r="IA258" s="205"/>
      <c r="IB258" s="205"/>
      <c r="IC258" s="205"/>
      <c r="ID258" s="205"/>
      <c r="IE258" s="205"/>
      <c r="IF258" s="205"/>
      <c r="IG258" s="205"/>
      <c r="IH258" s="205"/>
      <c r="II258" s="205"/>
      <c r="IJ258" s="205"/>
      <c r="IK258" s="205"/>
      <c r="IL258" s="205"/>
      <c r="IM258" s="205"/>
      <c r="IN258" s="205"/>
      <c r="IO258" s="205"/>
      <c r="IP258" s="205"/>
      <c r="IQ258" s="205"/>
      <c r="IR258" s="205"/>
      <c r="IS258" s="205"/>
      <c r="IT258" s="205"/>
      <c r="IU258" s="205"/>
      <c r="IV258" s="205"/>
      <c r="IW258" s="205"/>
      <c r="IX258" s="205"/>
    </row>
    <row r="259" spans="1:258" s="203" customFormat="1" x14ac:dyDescent="0.2">
      <c r="A259" s="669"/>
      <c r="B259" s="670"/>
      <c r="C259" s="1358"/>
      <c r="D259" s="672"/>
      <c r="E259" s="1359"/>
      <c r="F259" s="1359"/>
      <c r="G259" s="1360"/>
      <c r="H259" s="1361">
        <f>H257</f>
        <v>3</v>
      </c>
      <c r="I259" s="1362" t="s">
        <v>424</v>
      </c>
      <c r="J259" s="1362">
        <f>J257/0.125</f>
        <v>16</v>
      </c>
      <c r="K259" s="1362" t="s">
        <v>424</v>
      </c>
      <c r="L259" s="1375">
        <f t="shared" ref="L259:L260" si="118">Z259</f>
        <v>0.61622500000000013</v>
      </c>
      <c r="M259" s="1362"/>
      <c r="N259" s="1362"/>
      <c r="O259" s="1362"/>
      <c r="P259" s="1362"/>
      <c r="Q259" s="1362" t="s">
        <v>696</v>
      </c>
      <c r="R259" s="1363">
        <f t="shared" ref="R259" si="119">H259*J259*L259</f>
        <v>29.578800000000008</v>
      </c>
      <c r="S259" s="1364"/>
      <c r="T259" s="722"/>
      <c r="U259" s="205"/>
      <c r="V259" s="687" t="s">
        <v>1556</v>
      </c>
      <c r="W259" s="688">
        <v>0.01</v>
      </c>
      <c r="X259" s="689">
        <v>7850</v>
      </c>
      <c r="Y259" s="690">
        <f t="shared" ref="Y259:Y260" si="120">0.25*3.14*(W259*W259)</f>
        <v>7.8500000000000011E-5</v>
      </c>
      <c r="Z259" s="691">
        <f t="shared" ref="Z259:Z260" si="121">X259*Y259*AA259</f>
        <v>0.61622500000000013</v>
      </c>
      <c r="AA259" s="689">
        <v>1</v>
      </c>
      <c r="AB259" s="692">
        <f t="shared" ref="AB259:AB260" si="122">Z259*12</f>
        <v>7.394700000000002</v>
      </c>
      <c r="AC259" s="693" t="s">
        <v>1554</v>
      </c>
      <c r="AD259" s="205"/>
      <c r="AE259" s="205"/>
      <c r="AF259" s="205"/>
      <c r="AG259" s="205"/>
      <c r="AH259" s="205"/>
      <c r="AI259" s="205"/>
      <c r="AJ259" s="205"/>
      <c r="AK259" s="205"/>
      <c r="AL259" s="205"/>
      <c r="AM259" s="205"/>
      <c r="AN259" s="205"/>
      <c r="AO259" s="205"/>
      <c r="AP259" s="205"/>
      <c r="AQ259" s="205"/>
      <c r="AR259" s="205"/>
      <c r="AS259" s="205"/>
      <c r="AT259" s="205"/>
      <c r="AU259" s="205"/>
      <c r="AV259" s="205"/>
      <c r="AW259" s="205"/>
      <c r="AX259" s="205"/>
      <c r="AY259" s="205"/>
      <c r="AZ259" s="205"/>
      <c r="BA259" s="205"/>
      <c r="BB259" s="205"/>
      <c r="BC259" s="205"/>
      <c r="BD259" s="205"/>
      <c r="BE259" s="205"/>
      <c r="BF259" s="205"/>
      <c r="BG259" s="205"/>
      <c r="BH259" s="205"/>
      <c r="BI259" s="205"/>
      <c r="BJ259" s="205"/>
      <c r="BK259" s="205"/>
      <c r="BL259" s="205"/>
      <c r="BM259" s="205"/>
      <c r="BN259" s="205"/>
      <c r="BO259" s="205"/>
      <c r="BP259" s="205"/>
      <c r="BQ259" s="205"/>
      <c r="BR259" s="205"/>
      <c r="BS259" s="205"/>
      <c r="BT259" s="205"/>
      <c r="BU259" s="205"/>
      <c r="BV259" s="205"/>
      <c r="BW259" s="205"/>
      <c r="BX259" s="205"/>
      <c r="BY259" s="205"/>
      <c r="BZ259" s="205"/>
      <c r="CA259" s="205"/>
      <c r="CB259" s="205"/>
      <c r="CC259" s="205"/>
      <c r="CD259" s="205"/>
      <c r="CE259" s="205"/>
      <c r="CF259" s="205"/>
      <c r="CG259" s="205"/>
      <c r="CH259" s="205"/>
      <c r="CI259" s="205"/>
      <c r="CJ259" s="205"/>
      <c r="CK259" s="205"/>
      <c r="CL259" s="205"/>
      <c r="CM259" s="205"/>
      <c r="CN259" s="205"/>
      <c r="CO259" s="205"/>
      <c r="CP259" s="205"/>
      <c r="CQ259" s="205"/>
      <c r="CR259" s="205"/>
      <c r="CS259" s="205"/>
      <c r="CT259" s="205"/>
      <c r="CU259" s="205"/>
      <c r="CV259" s="205"/>
      <c r="CW259" s="205"/>
      <c r="CX259" s="205"/>
      <c r="CY259" s="205"/>
      <c r="CZ259" s="205"/>
      <c r="DA259" s="205"/>
      <c r="DB259" s="205"/>
      <c r="DC259" s="205"/>
      <c r="DD259" s="205"/>
      <c r="DE259" s="205"/>
      <c r="DF259" s="205"/>
      <c r="DG259" s="205"/>
      <c r="DH259" s="205"/>
      <c r="DI259" s="205"/>
      <c r="DJ259" s="205"/>
      <c r="DK259" s="205"/>
      <c r="DL259" s="205"/>
      <c r="DM259" s="205"/>
      <c r="DN259" s="205"/>
      <c r="DO259" s="205"/>
      <c r="DP259" s="205"/>
      <c r="DQ259" s="205"/>
      <c r="DR259" s="205"/>
      <c r="DS259" s="205"/>
      <c r="DT259" s="205"/>
      <c r="DU259" s="205"/>
      <c r="DV259" s="205"/>
      <c r="DW259" s="205"/>
      <c r="DX259" s="205"/>
      <c r="DY259" s="205"/>
      <c r="DZ259" s="205"/>
      <c r="EA259" s="205"/>
      <c r="EB259" s="205"/>
      <c r="EC259" s="205"/>
      <c r="ED259" s="205"/>
      <c r="EE259" s="205"/>
      <c r="EF259" s="205"/>
      <c r="EG259" s="205"/>
      <c r="EH259" s="205"/>
      <c r="EI259" s="205"/>
      <c r="EJ259" s="205"/>
      <c r="EK259" s="205"/>
      <c r="EL259" s="205"/>
      <c r="EM259" s="205"/>
      <c r="EN259" s="205"/>
      <c r="EO259" s="205"/>
      <c r="EP259" s="205"/>
      <c r="EQ259" s="205"/>
      <c r="ER259" s="205"/>
      <c r="ES259" s="205"/>
      <c r="ET259" s="205"/>
      <c r="EU259" s="205"/>
      <c r="EV259" s="205"/>
      <c r="EW259" s="205"/>
      <c r="EX259" s="205"/>
      <c r="EY259" s="205"/>
      <c r="EZ259" s="205"/>
      <c r="FA259" s="205"/>
      <c r="FB259" s="205"/>
      <c r="FC259" s="205"/>
      <c r="FD259" s="205"/>
      <c r="FE259" s="205"/>
      <c r="FF259" s="205"/>
      <c r="FG259" s="205"/>
      <c r="FH259" s="205"/>
      <c r="FI259" s="205"/>
      <c r="FJ259" s="205"/>
      <c r="FK259" s="205"/>
      <c r="FL259" s="205"/>
      <c r="FM259" s="205"/>
      <c r="FN259" s="205"/>
      <c r="FO259" s="205"/>
      <c r="FP259" s="205"/>
      <c r="FQ259" s="205"/>
      <c r="FR259" s="205"/>
      <c r="FS259" s="205"/>
      <c r="FT259" s="205"/>
      <c r="FU259" s="205"/>
      <c r="FV259" s="205"/>
      <c r="FW259" s="205"/>
      <c r="FX259" s="205"/>
      <c r="FY259" s="205"/>
      <c r="FZ259" s="205"/>
      <c r="GA259" s="205"/>
      <c r="GB259" s="205"/>
      <c r="GC259" s="205"/>
      <c r="GD259" s="205"/>
      <c r="GE259" s="205"/>
      <c r="GF259" s="205"/>
      <c r="GG259" s="205"/>
      <c r="GH259" s="205"/>
      <c r="GI259" s="205"/>
      <c r="GJ259" s="205"/>
      <c r="GK259" s="205"/>
      <c r="GL259" s="205"/>
      <c r="GM259" s="205"/>
      <c r="GN259" s="205"/>
      <c r="GO259" s="205"/>
      <c r="GP259" s="205"/>
      <c r="GQ259" s="205"/>
      <c r="GR259" s="205"/>
      <c r="GS259" s="205"/>
      <c r="GT259" s="205"/>
      <c r="GU259" s="205"/>
      <c r="GV259" s="205"/>
      <c r="GW259" s="205"/>
      <c r="GX259" s="205"/>
      <c r="GY259" s="205"/>
      <c r="GZ259" s="205"/>
      <c r="HA259" s="205"/>
      <c r="HB259" s="205"/>
      <c r="HC259" s="205"/>
      <c r="HD259" s="205"/>
      <c r="HE259" s="205"/>
      <c r="HF259" s="205"/>
      <c r="HG259" s="205"/>
      <c r="HH259" s="205"/>
      <c r="HI259" s="205"/>
      <c r="HJ259" s="205"/>
      <c r="HK259" s="205"/>
      <c r="HL259" s="205"/>
      <c r="HM259" s="205"/>
      <c r="HN259" s="205"/>
      <c r="HO259" s="205"/>
      <c r="HP259" s="205"/>
      <c r="HQ259" s="205"/>
      <c r="HR259" s="205"/>
      <c r="HS259" s="205"/>
      <c r="HT259" s="205"/>
      <c r="HU259" s="205"/>
      <c r="HV259" s="205"/>
      <c r="HW259" s="205"/>
      <c r="HX259" s="205"/>
      <c r="HY259" s="205"/>
      <c r="HZ259" s="205"/>
      <c r="IA259" s="205"/>
      <c r="IB259" s="205"/>
      <c r="IC259" s="205"/>
      <c r="ID259" s="205"/>
      <c r="IE259" s="205"/>
      <c r="IF259" s="205"/>
      <c r="IG259" s="205"/>
      <c r="IH259" s="205"/>
      <c r="II259" s="205"/>
      <c r="IJ259" s="205"/>
      <c r="IK259" s="205"/>
      <c r="IL259" s="205"/>
      <c r="IM259" s="205"/>
      <c r="IN259" s="205"/>
      <c r="IO259" s="205"/>
      <c r="IP259" s="205"/>
      <c r="IQ259" s="205"/>
      <c r="IR259" s="205"/>
      <c r="IS259" s="205"/>
      <c r="IT259" s="205"/>
      <c r="IU259" s="205"/>
      <c r="IV259" s="205"/>
      <c r="IW259" s="205"/>
      <c r="IX259" s="205"/>
    </row>
    <row r="260" spans="1:258" s="203" customFormat="1" x14ac:dyDescent="0.2">
      <c r="A260" s="669"/>
      <c r="B260" s="670"/>
      <c r="C260" s="1358"/>
      <c r="D260" s="672"/>
      <c r="E260" s="1359"/>
      <c r="F260" s="1359"/>
      <c r="G260" s="1360"/>
      <c r="H260" s="1361">
        <f>J257</f>
        <v>2</v>
      </c>
      <c r="I260" s="1362" t="s">
        <v>424</v>
      </c>
      <c r="J260" s="1362">
        <f>H257/0.125</f>
        <v>24</v>
      </c>
      <c r="K260" s="1362" t="s">
        <v>424</v>
      </c>
      <c r="L260" s="1375">
        <f t="shared" si="118"/>
        <v>0.61622500000000013</v>
      </c>
      <c r="M260" s="1362"/>
      <c r="N260" s="1362"/>
      <c r="O260" s="1362"/>
      <c r="P260" s="1362"/>
      <c r="Q260" s="1362" t="s">
        <v>696</v>
      </c>
      <c r="R260" s="1363">
        <f t="shared" ref="R260" si="123">H260*J260*L260</f>
        <v>29.578800000000008</v>
      </c>
      <c r="S260" s="1364"/>
      <c r="T260" s="722"/>
      <c r="U260" s="205"/>
      <c r="V260" s="687" t="s">
        <v>1556</v>
      </c>
      <c r="W260" s="688">
        <v>0.01</v>
      </c>
      <c r="X260" s="689">
        <v>7850</v>
      </c>
      <c r="Y260" s="690">
        <f t="shared" si="120"/>
        <v>7.8500000000000011E-5</v>
      </c>
      <c r="Z260" s="691">
        <f t="shared" si="121"/>
        <v>0.61622500000000013</v>
      </c>
      <c r="AA260" s="689">
        <v>1</v>
      </c>
      <c r="AB260" s="692">
        <f t="shared" si="122"/>
        <v>7.394700000000002</v>
      </c>
      <c r="AC260" s="693" t="s">
        <v>1554</v>
      </c>
      <c r="AD260" s="205"/>
      <c r="AE260" s="205"/>
      <c r="AF260" s="205"/>
      <c r="AG260" s="205"/>
      <c r="AH260" s="205"/>
      <c r="AI260" s="205"/>
      <c r="AJ260" s="205"/>
      <c r="AK260" s="205"/>
      <c r="AL260" s="205"/>
      <c r="AM260" s="205"/>
      <c r="AN260" s="205"/>
      <c r="AO260" s="205"/>
      <c r="AP260" s="205"/>
      <c r="AQ260" s="205"/>
      <c r="AR260" s="205"/>
      <c r="AS260" s="205"/>
      <c r="AT260" s="205"/>
      <c r="AU260" s="205"/>
      <c r="AV260" s="205"/>
      <c r="AW260" s="205"/>
      <c r="AX260" s="205"/>
      <c r="AY260" s="205"/>
      <c r="AZ260" s="205"/>
      <c r="BA260" s="205"/>
      <c r="BB260" s="205"/>
      <c r="BC260" s="205"/>
      <c r="BD260" s="205"/>
      <c r="BE260" s="205"/>
      <c r="BF260" s="205"/>
      <c r="BG260" s="205"/>
      <c r="BH260" s="205"/>
      <c r="BI260" s="205"/>
      <c r="BJ260" s="205"/>
      <c r="BK260" s="205"/>
      <c r="BL260" s="205"/>
      <c r="BM260" s="205"/>
      <c r="BN260" s="205"/>
      <c r="BO260" s="205"/>
      <c r="BP260" s="205"/>
      <c r="BQ260" s="205"/>
      <c r="BR260" s="205"/>
      <c r="BS260" s="205"/>
      <c r="BT260" s="205"/>
      <c r="BU260" s="205"/>
      <c r="BV260" s="205"/>
      <c r="BW260" s="205"/>
      <c r="BX260" s="205"/>
      <c r="BY260" s="205"/>
      <c r="BZ260" s="205"/>
      <c r="CA260" s="205"/>
      <c r="CB260" s="205"/>
      <c r="CC260" s="205"/>
      <c r="CD260" s="205"/>
      <c r="CE260" s="205"/>
      <c r="CF260" s="205"/>
      <c r="CG260" s="205"/>
      <c r="CH260" s="205"/>
      <c r="CI260" s="205"/>
      <c r="CJ260" s="205"/>
      <c r="CK260" s="205"/>
      <c r="CL260" s="205"/>
      <c r="CM260" s="205"/>
      <c r="CN260" s="205"/>
      <c r="CO260" s="205"/>
      <c r="CP260" s="205"/>
      <c r="CQ260" s="205"/>
      <c r="CR260" s="205"/>
      <c r="CS260" s="205"/>
      <c r="CT260" s="205"/>
      <c r="CU260" s="205"/>
      <c r="CV260" s="205"/>
      <c r="CW260" s="205"/>
      <c r="CX260" s="205"/>
      <c r="CY260" s="205"/>
      <c r="CZ260" s="205"/>
      <c r="DA260" s="205"/>
      <c r="DB260" s="205"/>
      <c r="DC260" s="205"/>
      <c r="DD260" s="205"/>
      <c r="DE260" s="205"/>
      <c r="DF260" s="205"/>
      <c r="DG260" s="205"/>
      <c r="DH260" s="205"/>
      <c r="DI260" s="205"/>
      <c r="DJ260" s="205"/>
      <c r="DK260" s="205"/>
      <c r="DL260" s="205"/>
      <c r="DM260" s="205"/>
      <c r="DN260" s="205"/>
      <c r="DO260" s="205"/>
      <c r="DP260" s="205"/>
      <c r="DQ260" s="205"/>
      <c r="DR260" s="205"/>
      <c r="DS260" s="205"/>
      <c r="DT260" s="205"/>
      <c r="DU260" s="205"/>
      <c r="DV260" s="205"/>
      <c r="DW260" s="205"/>
      <c r="DX260" s="205"/>
      <c r="DY260" s="205"/>
      <c r="DZ260" s="205"/>
      <c r="EA260" s="205"/>
      <c r="EB260" s="205"/>
      <c r="EC260" s="205"/>
      <c r="ED260" s="205"/>
      <c r="EE260" s="205"/>
      <c r="EF260" s="205"/>
      <c r="EG260" s="205"/>
      <c r="EH260" s="205"/>
      <c r="EI260" s="205"/>
      <c r="EJ260" s="205"/>
      <c r="EK260" s="205"/>
      <c r="EL260" s="205"/>
      <c r="EM260" s="205"/>
      <c r="EN260" s="205"/>
      <c r="EO260" s="205"/>
      <c r="EP260" s="205"/>
      <c r="EQ260" s="205"/>
      <c r="ER260" s="205"/>
      <c r="ES260" s="205"/>
      <c r="ET260" s="205"/>
      <c r="EU260" s="205"/>
      <c r="EV260" s="205"/>
      <c r="EW260" s="205"/>
      <c r="EX260" s="205"/>
      <c r="EY260" s="205"/>
      <c r="EZ260" s="205"/>
      <c r="FA260" s="205"/>
      <c r="FB260" s="205"/>
      <c r="FC260" s="205"/>
      <c r="FD260" s="205"/>
      <c r="FE260" s="205"/>
      <c r="FF260" s="205"/>
      <c r="FG260" s="205"/>
      <c r="FH260" s="205"/>
      <c r="FI260" s="205"/>
      <c r="FJ260" s="205"/>
      <c r="FK260" s="205"/>
      <c r="FL260" s="205"/>
      <c r="FM260" s="205"/>
      <c r="FN260" s="205"/>
      <c r="FO260" s="205"/>
      <c r="FP260" s="205"/>
      <c r="FQ260" s="205"/>
      <c r="FR260" s="205"/>
      <c r="FS260" s="205"/>
      <c r="FT260" s="205"/>
      <c r="FU260" s="205"/>
      <c r="FV260" s="205"/>
      <c r="FW260" s="205"/>
      <c r="FX260" s="205"/>
      <c r="FY260" s="205"/>
      <c r="FZ260" s="205"/>
      <c r="GA260" s="205"/>
      <c r="GB260" s="205"/>
      <c r="GC260" s="205"/>
      <c r="GD260" s="205"/>
      <c r="GE260" s="205"/>
      <c r="GF260" s="205"/>
      <c r="GG260" s="205"/>
      <c r="GH260" s="205"/>
      <c r="GI260" s="205"/>
      <c r="GJ260" s="205"/>
      <c r="GK260" s="205"/>
      <c r="GL260" s="205"/>
      <c r="GM260" s="205"/>
      <c r="GN260" s="205"/>
      <c r="GO260" s="205"/>
      <c r="GP260" s="205"/>
      <c r="GQ260" s="205"/>
      <c r="GR260" s="205"/>
      <c r="GS260" s="205"/>
      <c r="GT260" s="205"/>
      <c r="GU260" s="205"/>
      <c r="GV260" s="205"/>
      <c r="GW260" s="205"/>
      <c r="GX260" s="205"/>
      <c r="GY260" s="205"/>
      <c r="GZ260" s="205"/>
      <c r="HA260" s="205"/>
      <c r="HB260" s="205"/>
      <c r="HC260" s="205"/>
      <c r="HD260" s="205"/>
      <c r="HE260" s="205"/>
      <c r="HF260" s="205"/>
      <c r="HG260" s="205"/>
      <c r="HH260" s="205"/>
      <c r="HI260" s="205"/>
      <c r="HJ260" s="205"/>
      <c r="HK260" s="205"/>
      <c r="HL260" s="205"/>
      <c r="HM260" s="205"/>
      <c r="HN260" s="205"/>
      <c r="HO260" s="205"/>
      <c r="HP260" s="205"/>
      <c r="HQ260" s="205"/>
      <c r="HR260" s="205"/>
      <c r="HS260" s="205"/>
      <c r="HT260" s="205"/>
      <c r="HU260" s="205"/>
      <c r="HV260" s="205"/>
      <c r="HW260" s="205"/>
      <c r="HX260" s="205"/>
      <c r="HY260" s="205"/>
      <c r="HZ260" s="205"/>
      <c r="IA260" s="205"/>
      <c r="IB260" s="205"/>
      <c r="IC260" s="205"/>
      <c r="ID260" s="205"/>
      <c r="IE260" s="205"/>
      <c r="IF260" s="205"/>
      <c r="IG260" s="205"/>
      <c r="IH260" s="205"/>
      <c r="II260" s="205"/>
      <c r="IJ260" s="205"/>
      <c r="IK260" s="205"/>
      <c r="IL260" s="205"/>
      <c r="IM260" s="205"/>
      <c r="IN260" s="205"/>
      <c r="IO260" s="205"/>
      <c r="IP260" s="205"/>
      <c r="IQ260" s="205"/>
      <c r="IR260" s="205"/>
      <c r="IS260" s="205"/>
      <c r="IT260" s="205"/>
      <c r="IU260" s="205"/>
      <c r="IV260" s="205"/>
      <c r="IW260" s="205"/>
      <c r="IX260" s="205"/>
    </row>
    <row r="261" spans="1:258" s="203" customFormat="1" x14ac:dyDescent="0.2">
      <c r="A261" s="669"/>
      <c r="B261" s="670"/>
      <c r="C261" s="1358"/>
      <c r="D261" s="672"/>
      <c r="E261" s="1359"/>
      <c r="F261" s="1359"/>
      <c r="G261" s="1360"/>
      <c r="H261" s="1361"/>
      <c r="I261" s="1362"/>
      <c r="J261" s="1362"/>
      <c r="K261" s="1362"/>
      <c r="L261" s="1362"/>
      <c r="M261" s="1362"/>
      <c r="N261" s="1362"/>
      <c r="O261" s="1362"/>
      <c r="P261" s="1362"/>
      <c r="Q261" s="1362"/>
      <c r="R261" s="1363">
        <f>SUM(R259:R260)</f>
        <v>59.157600000000016</v>
      </c>
      <c r="S261" s="1364">
        <f>R261</f>
        <v>59.157600000000016</v>
      </c>
      <c r="T261" s="722" t="s">
        <v>298</v>
      </c>
      <c r="U261" s="205"/>
      <c r="V261" s="685"/>
      <c r="W261" s="205"/>
      <c r="X261" s="205"/>
      <c r="Y261" s="205"/>
      <c r="Z261" s="205"/>
      <c r="AA261" s="205"/>
      <c r="AB261" s="205"/>
      <c r="AC261" s="205"/>
      <c r="AD261" s="205"/>
      <c r="AE261" s="205"/>
      <c r="AF261" s="205"/>
      <c r="AG261" s="205"/>
      <c r="AH261" s="205"/>
      <c r="AI261" s="205"/>
      <c r="AJ261" s="205"/>
      <c r="AK261" s="205"/>
      <c r="AL261" s="205"/>
      <c r="AM261" s="205"/>
      <c r="AN261" s="205"/>
      <c r="AO261" s="205"/>
      <c r="AP261" s="205"/>
      <c r="AQ261" s="205"/>
      <c r="AR261" s="205"/>
      <c r="AS261" s="205"/>
      <c r="AT261" s="205"/>
      <c r="AU261" s="205"/>
      <c r="AV261" s="205"/>
      <c r="AW261" s="205"/>
      <c r="AX261" s="205"/>
      <c r="AY261" s="205"/>
      <c r="AZ261" s="205"/>
      <c r="BA261" s="205"/>
      <c r="BB261" s="205"/>
      <c r="BC261" s="205"/>
      <c r="BD261" s="205"/>
      <c r="BE261" s="205"/>
      <c r="BF261" s="205"/>
      <c r="BG261" s="205"/>
      <c r="BH261" s="205"/>
      <c r="BI261" s="205"/>
      <c r="BJ261" s="205"/>
      <c r="BK261" s="205"/>
      <c r="BL261" s="205"/>
      <c r="BM261" s="205"/>
      <c r="BN261" s="205"/>
      <c r="BO261" s="205"/>
      <c r="BP261" s="205"/>
      <c r="BQ261" s="205"/>
      <c r="BR261" s="205"/>
      <c r="BS261" s="205"/>
      <c r="BT261" s="205"/>
      <c r="BU261" s="205"/>
      <c r="BV261" s="205"/>
      <c r="BW261" s="205"/>
      <c r="BX261" s="205"/>
      <c r="BY261" s="205"/>
      <c r="BZ261" s="205"/>
      <c r="CA261" s="205"/>
      <c r="CB261" s="205"/>
      <c r="CC261" s="205"/>
      <c r="CD261" s="205"/>
      <c r="CE261" s="205"/>
      <c r="CF261" s="205"/>
      <c r="CG261" s="205"/>
      <c r="CH261" s="205"/>
      <c r="CI261" s="205"/>
      <c r="CJ261" s="205"/>
      <c r="CK261" s="205"/>
      <c r="CL261" s="205"/>
      <c r="CM261" s="205"/>
      <c r="CN261" s="205"/>
      <c r="CO261" s="205"/>
      <c r="CP261" s="205"/>
      <c r="CQ261" s="205"/>
      <c r="CR261" s="205"/>
      <c r="CS261" s="205"/>
      <c r="CT261" s="205"/>
      <c r="CU261" s="205"/>
      <c r="CV261" s="205"/>
      <c r="CW261" s="205"/>
      <c r="CX261" s="205"/>
      <c r="CY261" s="205"/>
      <c r="CZ261" s="205"/>
      <c r="DA261" s="205"/>
      <c r="DB261" s="205"/>
      <c r="DC261" s="205"/>
      <c r="DD261" s="205"/>
      <c r="DE261" s="205"/>
      <c r="DF261" s="205"/>
      <c r="DG261" s="205"/>
      <c r="DH261" s="205"/>
      <c r="DI261" s="205"/>
      <c r="DJ261" s="205"/>
      <c r="DK261" s="205"/>
      <c r="DL261" s="205"/>
      <c r="DM261" s="205"/>
      <c r="DN261" s="205"/>
      <c r="DO261" s="205"/>
      <c r="DP261" s="205"/>
      <c r="DQ261" s="205"/>
      <c r="DR261" s="205"/>
      <c r="DS261" s="205"/>
      <c r="DT261" s="205"/>
      <c r="DU261" s="205"/>
      <c r="DV261" s="205"/>
      <c r="DW261" s="205"/>
      <c r="DX261" s="205"/>
      <c r="DY261" s="205"/>
      <c r="DZ261" s="205"/>
      <c r="EA261" s="205"/>
      <c r="EB261" s="205"/>
      <c r="EC261" s="205"/>
      <c r="ED261" s="205"/>
      <c r="EE261" s="205"/>
      <c r="EF261" s="205"/>
      <c r="EG261" s="205"/>
      <c r="EH261" s="205"/>
      <c r="EI261" s="205"/>
      <c r="EJ261" s="205"/>
      <c r="EK261" s="205"/>
      <c r="EL261" s="205"/>
      <c r="EM261" s="205"/>
      <c r="EN261" s="205"/>
      <c r="EO261" s="205"/>
      <c r="EP261" s="205"/>
      <c r="EQ261" s="205"/>
      <c r="ER261" s="205"/>
      <c r="ES261" s="205"/>
      <c r="ET261" s="205"/>
      <c r="EU261" s="205"/>
      <c r="EV261" s="205"/>
      <c r="EW261" s="205"/>
      <c r="EX261" s="205"/>
      <c r="EY261" s="205"/>
      <c r="EZ261" s="205"/>
      <c r="FA261" s="205"/>
      <c r="FB261" s="205"/>
      <c r="FC261" s="205"/>
      <c r="FD261" s="205"/>
      <c r="FE261" s="205"/>
      <c r="FF261" s="205"/>
      <c r="FG261" s="205"/>
      <c r="FH261" s="205"/>
      <c r="FI261" s="205"/>
      <c r="FJ261" s="205"/>
      <c r="FK261" s="205"/>
      <c r="FL261" s="205"/>
      <c r="FM261" s="205"/>
      <c r="FN261" s="205"/>
      <c r="FO261" s="205"/>
      <c r="FP261" s="205"/>
      <c r="FQ261" s="205"/>
      <c r="FR261" s="205"/>
      <c r="FS261" s="205"/>
      <c r="FT261" s="205"/>
      <c r="FU261" s="205"/>
      <c r="FV261" s="205"/>
      <c r="FW261" s="205"/>
      <c r="FX261" s="205"/>
      <c r="FY261" s="205"/>
      <c r="FZ261" s="205"/>
      <c r="GA261" s="205"/>
      <c r="GB261" s="205"/>
      <c r="GC261" s="205"/>
      <c r="GD261" s="205"/>
      <c r="GE261" s="205"/>
      <c r="GF261" s="205"/>
      <c r="GG261" s="205"/>
      <c r="GH261" s="205"/>
      <c r="GI261" s="205"/>
      <c r="GJ261" s="205"/>
      <c r="GK261" s="205"/>
      <c r="GL261" s="205"/>
      <c r="GM261" s="205"/>
      <c r="GN261" s="205"/>
      <c r="GO261" s="205"/>
      <c r="GP261" s="205"/>
      <c r="GQ261" s="205"/>
      <c r="GR261" s="205"/>
      <c r="GS261" s="205"/>
      <c r="GT261" s="205"/>
      <c r="GU261" s="205"/>
      <c r="GV261" s="205"/>
      <c r="GW261" s="205"/>
      <c r="GX261" s="205"/>
      <c r="GY261" s="205"/>
      <c r="GZ261" s="205"/>
      <c r="HA261" s="205"/>
      <c r="HB261" s="205"/>
      <c r="HC261" s="205"/>
      <c r="HD261" s="205"/>
      <c r="HE261" s="205"/>
      <c r="HF261" s="205"/>
      <c r="HG261" s="205"/>
      <c r="HH261" s="205"/>
      <c r="HI261" s="205"/>
      <c r="HJ261" s="205"/>
      <c r="HK261" s="205"/>
      <c r="HL261" s="205"/>
      <c r="HM261" s="205"/>
      <c r="HN261" s="205"/>
      <c r="HO261" s="205"/>
      <c r="HP261" s="205"/>
      <c r="HQ261" s="205"/>
      <c r="HR261" s="205"/>
      <c r="HS261" s="205"/>
      <c r="HT261" s="205"/>
      <c r="HU261" s="205"/>
      <c r="HV261" s="205"/>
      <c r="HW261" s="205"/>
      <c r="HX261" s="205"/>
      <c r="HY261" s="205"/>
      <c r="HZ261" s="205"/>
      <c r="IA261" s="205"/>
      <c r="IB261" s="205"/>
      <c r="IC261" s="205"/>
      <c r="ID261" s="205"/>
      <c r="IE261" s="205"/>
      <c r="IF261" s="205"/>
      <c r="IG261" s="205"/>
      <c r="IH261" s="205"/>
      <c r="II261" s="205"/>
      <c r="IJ261" s="205"/>
      <c r="IK261" s="205"/>
      <c r="IL261" s="205"/>
      <c r="IM261" s="205"/>
      <c r="IN261" s="205"/>
      <c r="IO261" s="205"/>
      <c r="IP261" s="205"/>
      <c r="IQ261" s="205"/>
      <c r="IR261" s="205"/>
      <c r="IS261" s="205"/>
      <c r="IT261" s="205"/>
      <c r="IU261" s="205"/>
      <c r="IV261" s="205"/>
      <c r="IW261" s="205"/>
      <c r="IX261" s="205"/>
    </row>
    <row r="262" spans="1:258" s="203" customFormat="1" x14ac:dyDescent="0.2">
      <c r="A262" s="669"/>
      <c r="B262" s="670">
        <f>RAB!B92</f>
        <v>26</v>
      </c>
      <c r="C262" s="686" t="str">
        <f>RAB!D92</f>
        <v>Memasang bekisting untuk lantai (2x pakai)</v>
      </c>
      <c r="D262" s="672"/>
      <c r="E262" s="673"/>
      <c r="F262" s="673"/>
      <c r="G262" s="674"/>
      <c r="H262" s="675"/>
      <c r="I262" s="676"/>
      <c r="J262" s="676"/>
      <c r="K262" s="676"/>
      <c r="L262" s="676"/>
      <c r="M262" s="676"/>
      <c r="N262" s="676"/>
      <c r="O262" s="676"/>
      <c r="P262" s="676"/>
      <c r="Q262" s="676"/>
      <c r="R262" s="677"/>
      <c r="S262" s="678"/>
      <c r="T262" s="684"/>
      <c r="U262" s="205"/>
      <c r="V262" s="685"/>
      <c r="W262" s="205"/>
      <c r="X262" s="205"/>
      <c r="Y262" s="205"/>
      <c r="Z262" s="205"/>
      <c r="AA262" s="205"/>
      <c r="AB262" s="205"/>
      <c r="AC262" s="205"/>
      <c r="AD262" s="205"/>
      <c r="AE262" s="205"/>
      <c r="AF262" s="205"/>
      <c r="AG262" s="205"/>
      <c r="AH262" s="205"/>
      <c r="AI262" s="205"/>
      <c r="AJ262" s="205"/>
      <c r="AK262" s="205"/>
      <c r="AL262" s="205"/>
      <c r="AM262" s="205"/>
      <c r="AN262" s="205"/>
      <c r="AO262" s="205"/>
      <c r="AP262" s="205"/>
      <c r="AQ262" s="205"/>
      <c r="AR262" s="205"/>
      <c r="AS262" s="205"/>
      <c r="AT262" s="205"/>
      <c r="AU262" s="205"/>
      <c r="AV262" s="205"/>
      <c r="AW262" s="205"/>
      <c r="AX262" s="205"/>
      <c r="AY262" s="205"/>
      <c r="AZ262" s="205"/>
      <c r="BA262" s="205"/>
      <c r="BB262" s="205"/>
      <c r="BC262" s="205"/>
      <c r="BD262" s="205"/>
      <c r="BE262" s="205"/>
      <c r="BF262" s="205"/>
      <c r="BG262" s="205"/>
      <c r="BH262" s="205"/>
      <c r="BI262" s="205"/>
      <c r="BJ262" s="205"/>
      <c r="BK262" s="205"/>
      <c r="BL262" s="205"/>
      <c r="BM262" s="205"/>
      <c r="BN262" s="205"/>
      <c r="BO262" s="205"/>
      <c r="BP262" s="205"/>
      <c r="BQ262" s="205"/>
      <c r="BR262" s="205"/>
      <c r="BS262" s="205"/>
      <c r="BT262" s="205"/>
      <c r="BU262" s="205"/>
      <c r="BV262" s="205"/>
      <c r="BW262" s="205"/>
      <c r="BX262" s="205"/>
      <c r="BY262" s="205"/>
      <c r="BZ262" s="205"/>
      <c r="CA262" s="205"/>
      <c r="CB262" s="205"/>
      <c r="CC262" s="205"/>
      <c r="CD262" s="205"/>
      <c r="CE262" s="205"/>
      <c r="CF262" s="205"/>
      <c r="CG262" s="205"/>
      <c r="CH262" s="205"/>
      <c r="CI262" s="205"/>
      <c r="CJ262" s="205"/>
      <c r="CK262" s="205"/>
      <c r="CL262" s="205"/>
      <c r="CM262" s="205"/>
      <c r="CN262" s="205"/>
      <c r="CO262" s="205"/>
      <c r="CP262" s="205"/>
      <c r="CQ262" s="205"/>
      <c r="CR262" s="205"/>
      <c r="CS262" s="205"/>
      <c r="CT262" s="205"/>
      <c r="CU262" s="205"/>
      <c r="CV262" s="205"/>
      <c r="CW262" s="205"/>
      <c r="CX262" s="205"/>
      <c r="CY262" s="205"/>
      <c r="CZ262" s="205"/>
      <c r="DA262" s="205"/>
      <c r="DB262" s="205"/>
      <c r="DC262" s="205"/>
      <c r="DD262" s="205"/>
      <c r="DE262" s="205"/>
      <c r="DF262" s="205"/>
      <c r="DG262" s="205"/>
      <c r="DH262" s="205"/>
      <c r="DI262" s="205"/>
      <c r="DJ262" s="205"/>
      <c r="DK262" s="205"/>
      <c r="DL262" s="205"/>
      <c r="DM262" s="205"/>
      <c r="DN262" s="205"/>
      <c r="DO262" s="205"/>
      <c r="DP262" s="205"/>
      <c r="DQ262" s="205"/>
      <c r="DR262" s="205"/>
      <c r="DS262" s="205"/>
      <c r="DT262" s="205"/>
      <c r="DU262" s="205"/>
      <c r="DV262" s="205"/>
      <c r="DW262" s="205"/>
      <c r="DX262" s="205"/>
      <c r="DY262" s="205"/>
      <c r="DZ262" s="205"/>
      <c r="EA262" s="205"/>
      <c r="EB262" s="205"/>
      <c r="EC262" s="205"/>
      <c r="ED262" s="205"/>
      <c r="EE262" s="205"/>
      <c r="EF262" s="205"/>
      <c r="EG262" s="205"/>
      <c r="EH262" s="205"/>
      <c r="EI262" s="205"/>
      <c r="EJ262" s="205"/>
      <c r="EK262" s="205"/>
      <c r="EL262" s="205"/>
      <c r="EM262" s="205"/>
      <c r="EN262" s="205"/>
      <c r="EO262" s="205"/>
      <c r="EP262" s="205"/>
      <c r="EQ262" s="205"/>
      <c r="ER262" s="205"/>
      <c r="ES262" s="205"/>
      <c r="ET262" s="205"/>
      <c r="EU262" s="205"/>
      <c r="EV262" s="205"/>
      <c r="EW262" s="205"/>
      <c r="EX262" s="205"/>
      <c r="EY262" s="205"/>
      <c r="EZ262" s="205"/>
      <c r="FA262" s="205"/>
      <c r="FB262" s="205"/>
      <c r="FC262" s="205"/>
      <c r="FD262" s="205"/>
      <c r="FE262" s="205"/>
      <c r="FF262" s="205"/>
      <c r="FG262" s="205"/>
      <c r="FH262" s="205"/>
      <c r="FI262" s="205"/>
      <c r="FJ262" s="205"/>
      <c r="FK262" s="205"/>
      <c r="FL262" s="205"/>
      <c r="FM262" s="205"/>
      <c r="FN262" s="205"/>
      <c r="FO262" s="205"/>
      <c r="FP262" s="205"/>
      <c r="FQ262" s="205"/>
      <c r="FR262" s="205"/>
      <c r="FS262" s="205"/>
      <c r="FT262" s="205"/>
      <c r="FU262" s="205"/>
      <c r="FV262" s="205"/>
      <c r="FW262" s="205"/>
      <c r="FX262" s="205"/>
      <c r="FY262" s="205"/>
      <c r="FZ262" s="205"/>
      <c r="GA262" s="205"/>
      <c r="GB262" s="205"/>
      <c r="GC262" s="205"/>
      <c r="GD262" s="205"/>
      <c r="GE262" s="205"/>
      <c r="GF262" s="205"/>
      <c r="GG262" s="205"/>
      <c r="GH262" s="205"/>
      <c r="GI262" s="205"/>
      <c r="GJ262" s="205"/>
      <c r="GK262" s="205"/>
      <c r="GL262" s="205"/>
      <c r="GM262" s="205"/>
      <c r="GN262" s="205"/>
      <c r="GO262" s="205"/>
      <c r="GP262" s="205"/>
      <c r="GQ262" s="205"/>
      <c r="GR262" s="205"/>
      <c r="GS262" s="205"/>
      <c r="GT262" s="205"/>
      <c r="GU262" s="205"/>
      <c r="GV262" s="205"/>
      <c r="GW262" s="205"/>
      <c r="GX262" s="205"/>
      <c r="GY262" s="205"/>
      <c r="GZ262" s="205"/>
      <c r="HA262" s="205"/>
      <c r="HB262" s="205"/>
      <c r="HC262" s="205"/>
      <c r="HD262" s="205"/>
      <c r="HE262" s="205"/>
      <c r="HF262" s="205"/>
      <c r="HG262" s="205"/>
      <c r="HH262" s="205"/>
      <c r="HI262" s="205"/>
      <c r="HJ262" s="205"/>
      <c r="HK262" s="205"/>
      <c r="HL262" s="205"/>
      <c r="HM262" s="205"/>
      <c r="HN262" s="205"/>
      <c r="HO262" s="205"/>
      <c r="HP262" s="205"/>
      <c r="HQ262" s="205"/>
      <c r="HR262" s="205"/>
      <c r="HS262" s="205"/>
      <c r="HT262" s="205"/>
      <c r="HU262" s="205"/>
      <c r="HV262" s="205"/>
      <c r="HW262" s="205"/>
      <c r="HX262" s="205"/>
      <c r="HY262" s="205"/>
      <c r="HZ262" s="205"/>
      <c r="IA262" s="205"/>
      <c r="IB262" s="205"/>
      <c r="IC262" s="205"/>
      <c r="ID262" s="205"/>
      <c r="IE262" s="205"/>
      <c r="IF262" s="205"/>
      <c r="IG262" s="205"/>
      <c r="IH262" s="205"/>
      <c r="II262" s="205"/>
      <c r="IJ262" s="205"/>
      <c r="IK262" s="205"/>
      <c r="IL262" s="205"/>
      <c r="IM262" s="205"/>
      <c r="IN262" s="205"/>
      <c r="IO262" s="205"/>
      <c r="IP262" s="205"/>
      <c r="IQ262" s="205"/>
      <c r="IR262" s="205"/>
      <c r="IS262" s="205"/>
      <c r="IT262" s="205"/>
      <c r="IU262" s="205"/>
      <c r="IV262" s="205"/>
      <c r="IW262" s="205"/>
      <c r="IX262" s="205"/>
    </row>
    <row r="263" spans="1:258" s="203" customFormat="1" x14ac:dyDescent="0.2">
      <c r="A263" s="669"/>
      <c r="B263" s="670"/>
      <c r="C263" s="1358"/>
      <c r="D263" s="672"/>
      <c r="E263" s="1359"/>
      <c r="F263" s="1359"/>
      <c r="G263" s="1360"/>
      <c r="H263" s="1361">
        <f>H259</f>
        <v>3</v>
      </c>
      <c r="I263" s="1362" t="s">
        <v>424</v>
      </c>
      <c r="J263" s="1362">
        <f>J257</f>
        <v>2</v>
      </c>
      <c r="K263" s="1362"/>
      <c r="L263" s="1362"/>
      <c r="M263" s="1362"/>
      <c r="N263" s="1362"/>
      <c r="O263" s="1362"/>
      <c r="P263" s="1362"/>
      <c r="Q263" s="1362" t="s">
        <v>696</v>
      </c>
      <c r="R263" s="1363">
        <f>H263*J263</f>
        <v>6</v>
      </c>
      <c r="S263" s="1364">
        <f>R263</f>
        <v>6</v>
      </c>
      <c r="T263" s="722" t="s">
        <v>338</v>
      </c>
      <c r="U263" s="205"/>
      <c r="V263" s="685"/>
      <c r="W263" s="205"/>
      <c r="X263" s="205"/>
      <c r="Y263" s="205"/>
      <c r="Z263" s="205"/>
      <c r="AA263" s="205"/>
      <c r="AB263" s="205"/>
      <c r="AC263" s="205"/>
      <c r="AD263" s="205"/>
      <c r="AE263" s="205"/>
      <c r="AF263" s="205"/>
      <c r="AG263" s="205"/>
      <c r="AH263" s="205"/>
      <c r="AI263" s="205"/>
      <c r="AJ263" s="205"/>
      <c r="AK263" s="205"/>
      <c r="AL263" s="205"/>
      <c r="AM263" s="205"/>
      <c r="AN263" s="205"/>
      <c r="AO263" s="205"/>
      <c r="AP263" s="205"/>
      <c r="AQ263" s="205"/>
      <c r="AR263" s="205"/>
      <c r="AS263" s="205"/>
      <c r="AT263" s="205"/>
      <c r="AU263" s="205"/>
      <c r="AV263" s="205"/>
      <c r="AW263" s="205"/>
      <c r="AX263" s="205"/>
      <c r="AY263" s="205"/>
      <c r="AZ263" s="205"/>
      <c r="BA263" s="205"/>
      <c r="BB263" s="205"/>
      <c r="BC263" s="205"/>
      <c r="BD263" s="205"/>
      <c r="BE263" s="205"/>
      <c r="BF263" s="205"/>
      <c r="BG263" s="205"/>
      <c r="BH263" s="205"/>
      <c r="BI263" s="205"/>
      <c r="BJ263" s="205"/>
      <c r="BK263" s="205"/>
      <c r="BL263" s="205"/>
      <c r="BM263" s="205"/>
      <c r="BN263" s="205"/>
      <c r="BO263" s="205"/>
      <c r="BP263" s="205"/>
      <c r="BQ263" s="205"/>
      <c r="BR263" s="205"/>
      <c r="BS263" s="205"/>
      <c r="BT263" s="205"/>
      <c r="BU263" s="205"/>
      <c r="BV263" s="205"/>
      <c r="BW263" s="205"/>
      <c r="BX263" s="205"/>
      <c r="BY263" s="205"/>
      <c r="BZ263" s="205"/>
      <c r="CA263" s="205"/>
      <c r="CB263" s="205"/>
      <c r="CC263" s="205"/>
      <c r="CD263" s="205"/>
      <c r="CE263" s="205"/>
      <c r="CF263" s="205"/>
      <c r="CG263" s="205"/>
      <c r="CH263" s="205"/>
      <c r="CI263" s="205"/>
      <c r="CJ263" s="205"/>
      <c r="CK263" s="205"/>
      <c r="CL263" s="205"/>
      <c r="CM263" s="205"/>
      <c r="CN263" s="205"/>
      <c r="CO263" s="205"/>
      <c r="CP263" s="205"/>
      <c r="CQ263" s="205"/>
      <c r="CR263" s="205"/>
      <c r="CS263" s="205"/>
      <c r="CT263" s="205"/>
      <c r="CU263" s="205"/>
      <c r="CV263" s="205"/>
      <c r="CW263" s="205"/>
      <c r="CX263" s="205"/>
      <c r="CY263" s="205"/>
      <c r="CZ263" s="205"/>
      <c r="DA263" s="205"/>
      <c r="DB263" s="205"/>
      <c r="DC263" s="205"/>
      <c r="DD263" s="205"/>
      <c r="DE263" s="205"/>
      <c r="DF263" s="205"/>
      <c r="DG263" s="205"/>
      <c r="DH263" s="205"/>
      <c r="DI263" s="205"/>
      <c r="DJ263" s="205"/>
      <c r="DK263" s="205"/>
      <c r="DL263" s="205"/>
      <c r="DM263" s="205"/>
      <c r="DN263" s="205"/>
      <c r="DO263" s="205"/>
      <c r="DP263" s="205"/>
      <c r="DQ263" s="205"/>
      <c r="DR263" s="205"/>
      <c r="DS263" s="205"/>
      <c r="DT263" s="205"/>
      <c r="DU263" s="205"/>
      <c r="DV263" s="205"/>
      <c r="DW263" s="205"/>
      <c r="DX263" s="205"/>
      <c r="DY263" s="205"/>
      <c r="DZ263" s="205"/>
      <c r="EA263" s="205"/>
      <c r="EB263" s="205"/>
      <c r="EC263" s="205"/>
      <c r="ED263" s="205"/>
      <c r="EE263" s="205"/>
      <c r="EF263" s="205"/>
      <c r="EG263" s="205"/>
      <c r="EH263" s="205"/>
      <c r="EI263" s="205"/>
      <c r="EJ263" s="205"/>
      <c r="EK263" s="205"/>
      <c r="EL263" s="205"/>
      <c r="EM263" s="205"/>
      <c r="EN263" s="205"/>
      <c r="EO263" s="205"/>
      <c r="EP263" s="205"/>
      <c r="EQ263" s="205"/>
      <c r="ER263" s="205"/>
      <c r="ES263" s="205"/>
      <c r="ET263" s="205"/>
      <c r="EU263" s="205"/>
      <c r="EV263" s="205"/>
      <c r="EW263" s="205"/>
      <c r="EX263" s="205"/>
      <c r="EY263" s="205"/>
      <c r="EZ263" s="205"/>
      <c r="FA263" s="205"/>
      <c r="FB263" s="205"/>
      <c r="FC263" s="205"/>
      <c r="FD263" s="205"/>
      <c r="FE263" s="205"/>
      <c r="FF263" s="205"/>
      <c r="FG263" s="205"/>
      <c r="FH263" s="205"/>
      <c r="FI263" s="205"/>
      <c r="FJ263" s="205"/>
      <c r="FK263" s="205"/>
      <c r="FL263" s="205"/>
      <c r="FM263" s="205"/>
      <c r="FN263" s="205"/>
      <c r="FO263" s="205"/>
      <c r="FP263" s="205"/>
      <c r="FQ263" s="205"/>
      <c r="FR263" s="205"/>
      <c r="FS263" s="205"/>
      <c r="FT263" s="205"/>
      <c r="FU263" s="205"/>
      <c r="FV263" s="205"/>
      <c r="FW263" s="205"/>
      <c r="FX263" s="205"/>
      <c r="FY263" s="205"/>
      <c r="FZ263" s="205"/>
      <c r="GA263" s="205"/>
      <c r="GB263" s="205"/>
      <c r="GC263" s="205"/>
      <c r="GD263" s="205"/>
      <c r="GE263" s="205"/>
      <c r="GF263" s="205"/>
      <c r="GG263" s="205"/>
      <c r="GH263" s="205"/>
      <c r="GI263" s="205"/>
      <c r="GJ263" s="205"/>
      <c r="GK263" s="205"/>
      <c r="GL263" s="205"/>
      <c r="GM263" s="205"/>
      <c r="GN263" s="205"/>
      <c r="GO263" s="205"/>
      <c r="GP263" s="205"/>
      <c r="GQ263" s="205"/>
      <c r="GR263" s="205"/>
      <c r="GS263" s="205"/>
      <c r="GT263" s="205"/>
      <c r="GU263" s="205"/>
      <c r="GV263" s="205"/>
      <c r="GW263" s="205"/>
      <c r="GX263" s="205"/>
      <c r="GY263" s="205"/>
      <c r="GZ263" s="205"/>
      <c r="HA263" s="205"/>
      <c r="HB263" s="205"/>
      <c r="HC263" s="205"/>
      <c r="HD263" s="205"/>
      <c r="HE263" s="205"/>
      <c r="HF263" s="205"/>
      <c r="HG263" s="205"/>
      <c r="HH263" s="205"/>
      <c r="HI263" s="205"/>
      <c r="HJ263" s="205"/>
      <c r="HK263" s="205"/>
      <c r="HL263" s="205"/>
      <c r="HM263" s="205"/>
      <c r="HN263" s="205"/>
      <c r="HO263" s="205"/>
      <c r="HP263" s="205"/>
      <c r="HQ263" s="205"/>
      <c r="HR263" s="205"/>
      <c r="HS263" s="205"/>
      <c r="HT263" s="205"/>
      <c r="HU263" s="205"/>
      <c r="HV263" s="205"/>
      <c r="HW263" s="205"/>
      <c r="HX263" s="205"/>
      <c r="HY263" s="205"/>
      <c r="HZ263" s="205"/>
      <c r="IA263" s="205"/>
      <c r="IB263" s="205"/>
      <c r="IC263" s="205"/>
      <c r="ID263" s="205"/>
      <c r="IE263" s="205"/>
      <c r="IF263" s="205"/>
      <c r="IG263" s="205"/>
      <c r="IH263" s="205"/>
      <c r="II263" s="205"/>
      <c r="IJ263" s="205"/>
      <c r="IK263" s="205"/>
      <c r="IL263" s="205"/>
      <c r="IM263" s="205"/>
      <c r="IN263" s="205"/>
      <c r="IO263" s="205"/>
      <c r="IP263" s="205"/>
      <c r="IQ263" s="205"/>
      <c r="IR263" s="205"/>
      <c r="IS263" s="205"/>
      <c r="IT263" s="205"/>
      <c r="IU263" s="205"/>
      <c r="IV263" s="205"/>
      <c r="IW263" s="205"/>
      <c r="IX263" s="205"/>
    </row>
    <row r="264" spans="1:258" s="203" customFormat="1" x14ac:dyDescent="0.2">
      <c r="A264" s="669"/>
      <c r="B264" s="670"/>
      <c r="C264" s="1358"/>
      <c r="D264" s="672"/>
      <c r="E264" s="1359"/>
      <c r="F264" s="1359"/>
      <c r="G264" s="1360"/>
      <c r="H264" s="1361"/>
      <c r="I264" s="1362"/>
      <c r="J264" s="1362"/>
      <c r="K264" s="1362"/>
      <c r="L264" s="1362"/>
      <c r="M264" s="1362"/>
      <c r="N264" s="1362"/>
      <c r="O264" s="1362"/>
      <c r="P264" s="1362"/>
      <c r="Q264" s="1362"/>
      <c r="R264" s="1363"/>
      <c r="S264" s="1364"/>
      <c r="T264" s="722"/>
      <c r="U264" s="205"/>
      <c r="V264" s="685"/>
      <c r="W264" s="205"/>
      <c r="X264" s="205"/>
      <c r="Y264" s="205"/>
      <c r="Z264" s="205"/>
      <c r="AA264" s="205"/>
      <c r="AB264" s="205"/>
      <c r="AC264" s="205"/>
      <c r="AD264" s="205"/>
      <c r="AE264" s="205"/>
      <c r="AF264" s="205"/>
      <c r="AG264" s="205"/>
      <c r="AH264" s="205"/>
      <c r="AI264" s="205"/>
      <c r="AJ264" s="205"/>
      <c r="AK264" s="205"/>
      <c r="AL264" s="205"/>
      <c r="AM264" s="205"/>
      <c r="AN264" s="205"/>
      <c r="AO264" s="205"/>
      <c r="AP264" s="205"/>
      <c r="AQ264" s="205"/>
      <c r="AR264" s="205"/>
      <c r="AS264" s="205"/>
      <c r="AT264" s="205"/>
      <c r="AU264" s="205"/>
      <c r="AV264" s="205"/>
      <c r="AW264" s="205"/>
      <c r="AX264" s="205"/>
      <c r="AY264" s="205"/>
      <c r="AZ264" s="205"/>
      <c r="BA264" s="205"/>
      <c r="BB264" s="205"/>
      <c r="BC264" s="205"/>
      <c r="BD264" s="205"/>
      <c r="BE264" s="205"/>
      <c r="BF264" s="205"/>
      <c r="BG264" s="205"/>
      <c r="BH264" s="205"/>
      <c r="BI264" s="205"/>
      <c r="BJ264" s="205"/>
      <c r="BK264" s="205"/>
      <c r="BL264" s="205"/>
      <c r="BM264" s="205"/>
      <c r="BN264" s="205"/>
      <c r="BO264" s="205"/>
      <c r="BP264" s="205"/>
      <c r="BQ264" s="205"/>
      <c r="BR264" s="205"/>
      <c r="BS264" s="205"/>
      <c r="BT264" s="205"/>
      <c r="BU264" s="205"/>
      <c r="BV264" s="205"/>
      <c r="BW264" s="205"/>
      <c r="BX264" s="205"/>
      <c r="BY264" s="205"/>
      <c r="BZ264" s="205"/>
      <c r="CA264" s="205"/>
      <c r="CB264" s="205"/>
      <c r="CC264" s="205"/>
      <c r="CD264" s="205"/>
      <c r="CE264" s="205"/>
      <c r="CF264" s="205"/>
      <c r="CG264" s="205"/>
      <c r="CH264" s="205"/>
      <c r="CI264" s="205"/>
      <c r="CJ264" s="205"/>
      <c r="CK264" s="205"/>
      <c r="CL264" s="205"/>
      <c r="CM264" s="205"/>
      <c r="CN264" s="205"/>
      <c r="CO264" s="205"/>
      <c r="CP264" s="205"/>
      <c r="CQ264" s="205"/>
      <c r="CR264" s="205"/>
      <c r="CS264" s="205"/>
      <c r="CT264" s="205"/>
      <c r="CU264" s="205"/>
      <c r="CV264" s="205"/>
      <c r="CW264" s="205"/>
      <c r="CX264" s="205"/>
      <c r="CY264" s="205"/>
      <c r="CZ264" s="205"/>
      <c r="DA264" s="205"/>
      <c r="DB264" s="205"/>
      <c r="DC264" s="205"/>
      <c r="DD264" s="205"/>
      <c r="DE264" s="205"/>
      <c r="DF264" s="205"/>
      <c r="DG264" s="205"/>
      <c r="DH264" s="205"/>
      <c r="DI264" s="205"/>
      <c r="DJ264" s="205"/>
      <c r="DK264" s="205"/>
      <c r="DL264" s="205"/>
      <c r="DM264" s="205"/>
      <c r="DN264" s="205"/>
      <c r="DO264" s="205"/>
      <c r="DP264" s="205"/>
      <c r="DQ264" s="205"/>
      <c r="DR264" s="205"/>
      <c r="DS264" s="205"/>
      <c r="DT264" s="205"/>
      <c r="DU264" s="205"/>
      <c r="DV264" s="205"/>
      <c r="DW264" s="205"/>
      <c r="DX264" s="205"/>
      <c r="DY264" s="205"/>
      <c r="DZ264" s="205"/>
      <c r="EA264" s="205"/>
      <c r="EB264" s="205"/>
      <c r="EC264" s="205"/>
      <c r="ED264" s="205"/>
      <c r="EE264" s="205"/>
      <c r="EF264" s="205"/>
      <c r="EG264" s="205"/>
      <c r="EH264" s="205"/>
      <c r="EI264" s="205"/>
      <c r="EJ264" s="205"/>
      <c r="EK264" s="205"/>
      <c r="EL264" s="205"/>
      <c r="EM264" s="205"/>
      <c r="EN264" s="205"/>
      <c r="EO264" s="205"/>
      <c r="EP264" s="205"/>
      <c r="EQ264" s="205"/>
      <c r="ER264" s="205"/>
      <c r="ES264" s="205"/>
      <c r="ET264" s="205"/>
      <c r="EU264" s="205"/>
      <c r="EV264" s="205"/>
      <c r="EW264" s="205"/>
      <c r="EX264" s="205"/>
      <c r="EY264" s="205"/>
      <c r="EZ264" s="205"/>
      <c r="FA264" s="205"/>
      <c r="FB264" s="205"/>
      <c r="FC264" s="205"/>
      <c r="FD264" s="205"/>
      <c r="FE264" s="205"/>
      <c r="FF264" s="205"/>
      <c r="FG264" s="205"/>
      <c r="FH264" s="205"/>
      <c r="FI264" s="205"/>
      <c r="FJ264" s="205"/>
      <c r="FK264" s="205"/>
      <c r="FL264" s="205"/>
      <c r="FM264" s="205"/>
      <c r="FN264" s="205"/>
      <c r="FO264" s="205"/>
      <c r="FP264" s="205"/>
      <c r="FQ264" s="205"/>
      <c r="FR264" s="205"/>
      <c r="FS264" s="205"/>
      <c r="FT264" s="205"/>
      <c r="FU264" s="205"/>
      <c r="FV264" s="205"/>
      <c r="FW264" s="205"/>
      <c r="FX264" s="205"/>
      <c r="FY264" s="205"/>
      <c r="FZ264" s="205"/>
      <c r="GA264" s="205"/>
      <c r="GB264" s="205"/>
      <c r="GC264" s="205"/>
      <c r="GD264" s="205"/>
      <c r="GE264" s="205"/>
      <c r="GF264" s="205"/>
      <c r="GG264" s="205"/>
      <c r="GH264" s="205"/>
      <c r="GI264" s="205"/>
      <c r="GJ264" s="205"/>
      <c r="GK264" s="205"/>
      <c r="GL264" s="205"/>
      <c r="GM264" s="205"/>
      <c r="GN264" s="205"/>
      <c r="GO264" s="205"/>
      <c r="GP264" s="205"/>
      <c r="GQ264" s="205"/>
      <c r="GR264" s="205"/>
      <c r="GS264" s="205"/>
      <c r="GT264" s="205"/>
      <c r="GU264" s="205"/>
      <c r="GV264" s="205"/>
      <c r="GW264" s="205"/>
      <c r="GX264" s="205"/>
      <c r="GY264" s="205"/>
      <c r="GZ264" s="205"/>
      <c r="HA264" s="205"/>
      <c r="HB264" s="205"/>
      <c r="HC264" s="205"/>
      <c r="HD264" s="205"/>
      <c r="HE264" s="205"/>
      <c r="HF264" s="205"/>
      <c r="HG264" s="205"/>
      <c r="HH264" s="205"/>
      <c r="HI264" s="205"/>
      <c r="HJ264" s="205"/>
      <c r="HK264" s="205"/>
      <c r="HL264" s="205"/>
      <c r="HM264" s="205"/>
      <c r="HN264" s="205"/>
      <c r="HO264" s="205"/>
      <c r="HP264" s="205"/>
      <c r="HQ264" s="205"/>
      <c r="HR264" s="205"/>
      <c r="HS264" s="205"/>
      <c r="HT264" s="205"/>
      <c r="HU264" s="205"/>
      <c r="HV264" s="205"/>
      <c r="HW264" s="205"/>
      <c r="HX264" s="205"/>
      <c r="HY264" s="205"/>
      <c r="HZ264" s="205"/>
      <c r="IA264" s="205"/>
      <c r="IB264" s="205"/>
      <c r="IC264" s="205"/>
      <c r="ID264" s="205"/>
      <c r="IE264" s="205"/>
      <c r="IF264" s="205"/>
      <c r="IG264" s="205"/>
      <c r="IH264" s="205"/>
      <c r="II264" s="205"/>
      <c r="IJ264" s="205"/>
      <c r="IK264" s="205"/>
      <c r="IL264" s="205"/>
      <c r="IM264" s="205"/>
      <c r="IN264" s="205"/>
      <c r="IO264" s="205"/>
      <c r="IP264" s="205"/>
      <c r="IQ264" s="205"/>
      <c r="IR264" s="205"/>
      <c r="IS264" s="205"/>
      <c r="IT264" s="205"/>
      <c r="IU264" s="205"/>
      <c r="IV264" s="205"/>
      <c r="IW264" s="205"/>
      <c r="IX264" s="205"/>
    </row>
    <row r="265" spans="1:258" s="203" customFormat="1" x14ac:dyDescent="0.2">
      <c r="A265" s="669"/>
      <c r="B265" s="670"/>
      <c r="C265" s="682" t="str">
        <f>RAB!D93</f>
        <v>Plat Talang dan lisplank</v>
      </c>
      <c r="D265" s="672"/>
      <c r="E265" s="673"/>
      <c r="F265" s="673"/>
      <c r="G265" s="674"/>
      <c r="H265" s="675"/>
      <c r="I265" s="676"/>
      <c r="J265" s="676"/>
      <c r="K265" s="676"/>
      <c r="L265" s="676"/>
      <c r="M265" s="676"/>
      <c r="N265" s="676"/>
      <c r="O265" s="676"/>
      <c r="P265" s="676"/>
      <c r="Q265" s="676"/>
      <c r="R265" s="677"/>
      <c r="S265" s="678"/>
      <c r="T265" s="684"/>
      <c r="U265" s="205"/>
      <c r="V265" s="685"/>
      <c r="W265" s="205"/>
      <c r="X265" s="205"/>
      <c r="Y265" s="205"/>
      <c r="Z265" s="205"/>
      <c r="AA265" s="205"/>
      <c r="AB265" s="205"/>
      <c r="AC265" s="205"/>
      <c r="AD265" s="205"/>
      <c r="AE265" s="205"/>
      <c r="AF265" s="205"/>
      <c r="AG265" s="205"/>
      <c r="AH265" s="205"/>
      <c r="AI265" s="205"/>
      <c r="AJ265" s="205"/>
      <c r="AK265" s="205"/>
      <c r="AL265" s="205"/>
      <c r="AM265" s="205"/>
      <c r="AN265" s="205"/>
      <c r="AO265" s="205"/>
      <c r="AP265" s="205"/>
      <c r="AQ265" s="205"/>
      <c r="AR265" s="205"/>
      <c r="AS265" s="205"/>
      <c r="AT265" s="205"/>
      <c r="AU265" s="205"/>
      <c r="AV265" s="205"/>
      <c r="AW265" s="205"/>
      <c r="AX265" s="205"/>
      <c r="AY265" s="205"/>
      <c r="AZ265" s="205"/>
      <c r="BA265" s="205"/>
      <c r="BB265" s="205"/>
      <c r="BC265" s="205"/>
      <c r="BD265" s="205"/>
      <c r="BE265" s="205"/>
      <c r="BF265" s="205"/>
      <c r="BG265" s="205"/>
      <c r="BH265" s="205"/>
      <c r="BI265" s="205"/>
      <c r="BJ265" s="205"/>
      <c r="BK265" s="205"/>
      <c r="BL265" s="205"/>
      <c r="BM265" s="205"/>
      <c r="BN265" s="205"/>
      <c r="BO265" s="205"/>
      <c r="BP265" s="205"/>
      <c r="BQ265" s="205"/>
      <c r="BR265" s="205"/>
      <c r="BS265" s="205"/>
      <c r="BT265" s="205"/>
      <c r="BU265" s="205"/>
      <c r="BV265" s="205"/>
      <c r="BW265" s="205"/>
      <c r="BX265" s="205"/>
      <c r="BY265" s="205"/>
      <c r="BZ265" s="205"/>
      <c r="CA265" s="205"/>
      <c r="CB265" s="205"/>
      <c r="CC265" s="205"/>
      <c r="CD265" s="205"/>
      <c r="CE265" s="205"/>
      <c r="CF265" s="205"/>
      <c r="CG265" s="205"/>
      <c r="CH265" s="205"/>
      <c r="CI265" s="205"/>
      <c r="CJ265" s="205"/>
      <c r="CK265" s="205"/>
      <c r="CL265" s="205"/>
      <c r="CM265" s="205"/>
      <c r="CN265" s="205"/>
      <c r="CO265" s="205"/>
      <c r="CP265" s="205"/>
      <c r="CQ265" s="205"/>
      <c r="CR265" s="205"/>
      <c r="CS265" s="205"/>
      <c r="CT265" s="205"/>
      <c r="CU265" s="205"/>
      <c r="CV265" s="205"/>
      <c r="CW265" s="205"/>
      <c r="CX265" s="205"/>
      <c r="CY265" s="205"/>
      <c r="CZ265" s="205"/>
      <c r="DA265" s="205"/>
      <c r="DB265" s="205"/>
      <c r="DC265" s="205"/>
      <c r="DD265" s="205"/>
      <c r="DE265" s="205"/>
      <c r="DF265" s="205"/>
      <c r="DG265" s="205"/>
      <c r="DH265" s="205"/>
      <c r="DI265" s="205"/>
      <c r="DJ265" s="205"/>
      <c r="DK265" s="205"/>
      <c r="DL265" s="205"/>
      <c r="DM265" s="205"/>
      <c r="DN265" s="205"/>
      <c r="DO265" s="205"/>
      <c r="DP265" s="205"/>
      <c r="DQ265" s="205"/>
      <c r="DR265" s="205"/>
      <c r="DS265" s="205"/>
      <c r="DT265" s="205"/>
      <c r="DU265" s="205"/>
      <c r="DV265" s="205"/>
      <c r="DW265" s="205"/>
      <c r="DX265" s="205"/>
      <c r="DY265" s="205"/>
      <c r="DZ265" s="205"/>
      <c r="EA265" s="205"/>
      <c r="EB265" s="205"/>
      <c r="EC265" s="205"/>
      <c r="ED265" s="205"/>
      <c r="EE265" s="205"/>
      <c r="EF265" s="205"/>
      <c r="EG265" s="205"/>
      <c r="EH265" s="205"/>
      <c r="EI265" s="205"/>
      <c r="EJ265" s="205"/>
      <c r="EK265" s="205"/>
      <c r="EL265" s="205"/>
      <c r="EM265" s="205"/>
      <c r="EN265" s="205"/>
      <c r="EO265" s="205"/>
      <c r="EP265" s="205"/>
      <c r="EQ265" s="205"/>
      <c r="ER265" s="205"/>
      <c r="ES265" s="205"/>
      <c r="ET265" s="205"/>
      <c r="EU265" s="205"/>
      <c r="EV265" s="205"/>
      <c r="EW265" s="205"/>
      <c r="EX265" s="205"/>
      <c r="EY265" s="205"/>
      <c r="EZ265" s="205"/>
      <c r="FA265" s="205"/>
      <c r="FB265" s="205"/>
      <c r="FC265" s="205"/>
      <c r="FD265" s="205"/>
      <c r="FE265" s="205"/>
      <c r="FF265" s="205"/>
      <c r="FG265" s="205"/>
      <c r="FH265" s="205"/>
      <c r="FI265" s="205"/>
      <c r="FJ265" s="205"/>
      <c r="FK265" s="205"/>
      <c r="FL265" s="205"/>
      <c r="FM265" s="205"/>
      <c r="FN265" s="205"/>
      <c r="FO265" s="205"/>
      <c r="FP265" s="205"/>
      <c r="FQ265" s="205"/>
      <c r="FR265" s="205"/>
      <c r="FS265" s="205"/>
      <c r="FT265" s="205"/>
      <c r="FU265" s="205"/>
      <c r="FV265" s="205"/>
      <c r="FW265" s="205"/>
      <c r="FX265" s="205"/>
      <c r="FY265" s="205"/>
      <c r="FZ265" s="205"/>
      <c r="GA265" s="205"/>
      <c r="GB265" s="205"/>
      <c r="GC265" s="205"/>
      <c r="GD265" s="205"/>
      <c r="GE265" s="205"/>
      <c r="GF265" s="205"/>
      <c r="GG265" s="205"/>
      <c r="GH265" s="205"/>
      <c r="GI265" s="205"/>
      <c r="GJ265" s="205"/>
      <c r="GK265" s="205"/>
      <c r="GL265" s="205"/>
      <c r="GM265" s="205"/>
      <c r="GN265" s="205"/>
      <c r="GO265" s="205"/>
      <c r="GP265" s="205"/>
      <c r="GQ265" s="205"/>
      <c r="GR265" s="205"/>
      <c r="GS265" s="205"/>
      <c r="GT265" s="205"/>
      <c r="GU265" s="205"/>
      <c r="GV265" s="205"/>
      <c r="GW265" s="205"/>
      <c r="GX265" s="205"/>
      <c r="GY265" s="205"/>
      <c r="GZ265" s="205"/>
      <c r="HA265" s="205"/>
      <c r="HB265" s="205"/>
      <c r="HC265" s="205"/>
      <c r="HD265" s="205"/>
      <c r="HE265" s="205"/>
      <c r="HF265" s="205"/>
      <c r="HG265" s="205"/>
      <c r="HH265" s="205"/>
      <c r="HI265" s="205"/>
      <c r="HJ265" s="205"/>
      <c r="HK265" s="205"/>
      <c r="HL265" s="205"/>
      <c r="HM265" s="205"/>
      <c r="HN265" s="205"/>
      <c r="HO265" s="205"/>
      <c r="HP265" s="205"/>
      <c r="HQ265" s="205"/>
      <c r="HR265" s="205"/>
      <c r="HS265" s="205"/>
      <c r="HT265" s="205"/>
      <c r="HU265" s="205"/>
      <c r="HV265" s="205"/>
      <c r="HW265" s="205"/>
      <c r="HX265" s="205"/>
      <c r="HY265" s="205"/>
      <c r="HZ265" s="205"/>
      <c r="IA265" s="205"/>
      <c r="IB265" s="205"/>
      <c r="IC265" s="205"/>
      <c r="ID265" s="205"/>
      <c r="IE265" s="205"/>
      <c r="IF265" s="205"/>
      <c r="IG265" s="205"/>
      <c r="IH265" s="205"/>
      <c r="II265" s="205"/>
      <c r="IJ265" s="205"/>
      <c r="IK265" s="205"/>
      <c r="IL265" s="205"/>
      <c r="IM265" s="205"/>
      <c r="IN265" s="205"/>
      <c r="IO265" s="205"/>
      <c r="IP265" s="205"/>
      <c r="IQ265" s="205"/>
      <c r="IR265" s="205"/>
      <c r="IS265" s="205"/>
      <c r="IT265" s="205"/>
      <c r="IU265" s="205"/>
      <c r="IV265" s="205"/>
      <c r="IW265" s="205"/>
      <c r="IX265" s="205"/>
    </row>
    <row r="266" spans="1:258" s="203" customFormat="1" x14ac:dyDescent="0.2">
      <c r="A266" s="669"/>
      <c r="B266" s="670">
        <f>RAB!B94</f>
        <v>27</v>
      </c>
      <c r="C266" s="686" t="e">
        <f>RAB!D94</f>
        <v>#REF!</v>
      </c>
      <c r="D266" s="672"/>
      <c r="E266" s="673"/>
      <c r="F266" s="673"/>
      <c r="G266" s="674"/>
      <c r="H266" s="675"/>
      <c r="I266" s="676"/>
      <c r="J266" s="676"/>
      <c r="K266" s="676"/>
      <c r="L266" s="676"/>
      <c r="M266" s="676"/>
      <c r="N266" s="676"/>
      <c r="O266" s="676"/>
      <c r="P266" s="676"/>
      <c r="Q266" s="676"/>
      <c r="R266" s="677"/>
      <c r="S266" s="678"/>
      <c r="T266" s="684"/>
      <c r="U266" s="205"/>
      <c r="V266" s="685"/>
      <c r="W266" s="205"/>
      <c r="X266" s="205"/>
      <c r="Y266" s="205"/>
      <c r="Z266" s="205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  <c r="AP266" s="205"/>
      <c r="AQ266" s="205"/>
      <c r="AR266" s="205"/>
      <c r="AS266" s="205"/>
      <c r="AT266" s="205"/>
      <c r="AU266" s="205"/>
      <c r="AV266" s="205"/>
      <c r="AW266" s="205"/>
      <c r="AX266" s="205"/>
      <c r="AY266" s="205"/>
      <c r="AZ266" s="205"/>
      <c r="BA266" s="205"/>
      <c r="BB266" s="205"/>
      <c r="BC266" s="205"/>
      <c r="BD266" s="205"/>
      <c r="BE266" s="205"/>
      <c r="BF266" s="205"/>
      <c r="BG266" s="205"/>
      <c r="BH266" s="205"/>
      <c r="BI266" s="205"/>
      <c r="BJ266" s="205"/>
      <c r="BK266" s="205"/>
      <c r="BL266" s="205"/>
      <c r="BM266" s="205"/>
      <c r="BN266" s="205"/>
      <c r="BO266" s="205"/>
      <c r="BP266" s="205"/>
      <c r="BQ266" s="205"/>
      <c r="BR266" s="205"/>
      <c r="BS266" s="205"/>
      <c r="BT266" s="205"/>
      <c r="BU266" s="205"/>
      <c r="BV266" s="205"/>
      <c r="BW266" s="205"/>
      <c r="BX266" s="205"/>
      <c r="BY266" s="205"/>
      <c r="BZ266" s="205"/>
      <c r="CA266" s="205"/>
      <c r="CB266" s="205"/>
      <c r="CC266" s="205"/>
      <c r="CD266" s="205"/>
      <c r="CE266" s="205"/>
      <c r="CF266" s="205"/>
      <c r="CG266" s="205"/>
      <c r="CH266" s="205"/>
      <c r="CI266" s="205"/>
      <c r="CJ266" s="205"/>
      <c r="CK266" s="205"/>
      <c r="CL266" s="205"/>
      <c r="CM266" s="205"/>
      <c r="CN266" s="205"/>
      <c r="CO266" s="205"/>
      <c r="CP266" s="205"/>
      <c r="CQ266" s="205"/>
      <c r="CR266" s="205"/>
      <c r="CS266" s="205"/>
      <c r="CT266" s="205"/>
      <c r="CU266" s="205"/>
      <c r="CV266" s="205"/>
      <c r="CW266" s="205"/>
      <c r="CX266" s="205"/>
      <c r="CY266" s="205"/>
      <c r="CZ266" s="205"/>
      <c r="DA266" s="205"/>
      <c r="DB266" s="205"/>
      <c r="DC266" s="205"/>
      <c r="DD266" s="205"/>
      <c r="DE266" s="205"/>
      <c r="DF266" s="205"/>
      <c r="DG266" s="205"/>
      <c r="DH266" s="205"/>
      <c r="DI266" s="205"/>
      <c r="DJ266" s="205"/>
      <c r="DK266" s="205"/>
      <c r="DL266" s="205"/>
      <c r="DM266" s="205"/>
      <c r="DN266" s="205"/>
      <c r="DO266" s="205"/>
      <c r="DP266" s="205"/>
      <c r="DQ266" s="205"/>
      <c r="DR266" s="205"/>
      <c r="DS266" s="205"/>
      <c r="DT266" s="205"/>
      <c r="DU266" s="205"/>
      <c r="DV266" s="205"/>
      <c r="DW266" s="205"/>
      <c r="DX266" s="205"/>
      <c r="DY266" s="205"/>
      <c r="DZ266" s="205"/>
      <c r="EA266" s="205"/>
      <c r="EB266" s="205"/>
      <c r="EC266" s="205"/>
      <c r="ED266" s="205"/>
      <c r="EE266" s="205"/>
      <c r="EF266" s="205"/>
      <c r="EG266" s="205"/>
      <c r="EH266" s="205"/>
      <c r="EI266" s="205"/>
      <c r="EJ266" s="205"/>
      <c r="EK266" s="205"/>
      <c r="EL266" s="205"/>
      <c r="EM266" s="205"/>
      <c r="EN266" s="205"/>
      <c r="EO266" s="205"/>
      <c r="EP266" s="205"/>
      <c r="EQ266" s="205"/>
      <c r="ER266" s="205"/>
      <c r="ES266" s="205"/>
      <c r="ET266" s="205"/>
      <c r="EU266" s="205"/>
      <c r="EV266" s="205"/>
      <c r="EW266" s="205"/>
      <c r="EX266" s="205"/>
      <c r="EY266" s="205"/>
      <c r="EZ266" s="205"/>
      <c r="FA266" s="205"/>
      <c r="FB266" s="205"/>
      <c r="FC266" s="205"/>
      <c r="FD266" s="205"/>
      <c r="FE266" s="205"/>
      <c r="FF266" s="205"/>
      <c r="FG266" s="205"/>
      <c r="FH266" s="205"/>
      <c r="FI266" s="205"/>
      <c r="FJ266" s="205"/>
      <c r="FK266" s="205"/>
      <c r="FL266" s="205"/>
      <c r="FM266" s="205"/>
      <c r="FN266" s="205"/>
      <c r="FO266" s="205"/>
      <c r="FP266" s="205"/>
      <c r="FQ266" s="205"/>
      <c r="FR266" s="205"/>
      <c r="FS266" s="205"/>
      <c r="FT266" s="205"/>
      <c r="FU266" s="205"/>
      <c r="FV266" s="205"/>
      <c r="FW266" s="205"/>
      <c r="FX266" s="205"/>
      <c r="FY266" s="205"/>
      <c r="FZ266" s="205"/>
      <c r="GA266" s="205"/>
      <c r="GB266" s="205"/>
      <c r="GC266" s="205"/>
      <c r="GD266" s="205"/>
      <c r="GE266" s="205"/>
      <c r="GF266" s="205"/>
      <c r="GG266" s="205"/>
      <c r="GH266" s="205"/>
      <c r="GI266" s="205"/>
      <c r="GJ266" s="205"/>
      <c r="GK266" s="205"/>
      <c r="GL266" s="205"/>
      <c r="GM266" s="205"/>
      <c r="GN266" s="205"/>
      <c r="GO266" s="205"/>
      <c r="GP266" s="205"/>
      <c r="GQ266" s="205"/>
      <c r="GR266" s="205"/>
      <c r="GS266" s="205"/>
      <c r="GT266" s="205"/>
      <c r="GU266" s="205"/>
      <c r="GV266" s="205"/>
      <c r="GW266" s="205"/>
      <c r="GX266" s="205"/>
      <c r="GY266" s="205"/>
      <c r="GZ266" s="205"/>
      <c r="HA266" s="205"/>
      <c r="HB266" s="205"/>
      <c r="HC266" s="205"/>
      <c r="HD266" s="205"/>
      <c r="HE266" s="205"/>
      <c r="HF266" s="205"/>
      <c r="HG266" s="205"/>
      <c r="HH266" s="205"/>
      <c r="HI266" s="205"/>
      <c r="HJ266" s="205"/>
      <c r="HK266" s="205"/>
      <c r="HL266" s="205"/>
      <c r="HM266" s="205"/>
      <c r="HN266" s="205"/>
      <c r="HO266" s="205"/>
      <c r="HP266" s="205"/>
      <c r="HQ266" s="205"/>
      <c r="HR266" s="205"/>
      <c r="HS266" s="205"/>
      <c r="HT266" s="205"/>
      <c r="HU266" s="205"/>
      <c r="HV266" s="205"/>
      <c r="HW266" s="205"/>
      <c r="HX266" s="205"/>
      <c r="HY266" s="205"/>
      <c r="HZ266" s="205"/>
      <c r="IA266" s="205"/>
      <c r="IB266" s="205"/>
      <c r="IC266" s="205"/>
      <c r="ID266" s="205"/>
      <c r="IE266" s="205"/>
      <c r="IF266" s="205"/>
      <c r="IG266" s="205"/>
      <c r="IH266" s="205"/>
      <c r="II266" s="205"/>
      <c r="IJ266" s="205"/>
      <c r="IK266" s="205"/>
      <c r="IL266" s="205"/>
      <c r="IM266" s="205"/>
      <c r="IN266" s="205"/>
      <c r="IO266" s="205"/>
      <c r="IP266" s="205"/>
      <c r="IQ266" s="205"/>
      <c r="IR266" s="205"/>
      <c r="IS266" s="205"/>
      <c r="IT266" s="205"/>
      <c r="IU266" s="205"/>
      <c r="IV266" s="205"/>
      <c r="IW266" s="205"/>
      <c r="IX266" s="205"/>
    </row>
    <row r="267" spans="1:258" s="203" customFormat="1" x14ac:dyDescent="0.2">
      <c r="A267" s="669"/>
      <c r="B267" s="670"/>
      <c r="C267" s="1358"/>
      <c r="D267" s="672"/>
      <c r="E267" s="1359"/>
      <c r="F267" s="1359"/>
      <c r="G267" s="1360" t="s">
        <v>1665</v>
      </c>
      <c r="H267" s="1361">
        <f>18+6+2</f>
        <v>26</v>
      </c>
      <c r="I267" s="1362" t="s">
        <v>424</v>
      </c>
      <c r="J267" s="1362">
        <v>0.7</v>
      </c>
      <c r="K267" s="1362" t="s">
        <v>424</v>
      </c>
      <c r="L267" s="1362">
        <v>0.1</v>
      </c>
      <c r="M267" s="1362"/>
      <c r="N267" s="1362"/>
      <c r="O267" s="1362"/>
      <c r="P267" s="1362"/>
      <c r="Q267" s="1362" t="s">
        <v>696</v>
      </c>
      <c r="R267" s="1363">
        <f t="shared" ref="R267" si="124">H267*J267*L267</f>
        <v>1.82</v>
      </c>
      <c r="S267" s="1364"/>
      <c r="T267" s="722"/>
      <c r="U267" s="205"/>
      <c r="V267" s="685"/>
      <c r="W267" s="205"/>
      <c r="X267" s="205"/>
      <c r="Y267" s="205"/>
      <c r="Z267" s="205"/>
      <c r="AA267" s="205"/>
      <c r="AB267" s="205"/>
      <c r="AC267" s="205"/>
      <c r="AD267" s="205"/>
      <c r="AE267" s="205"/>
      <c r="AF267" s="205"/>
      <c r="AG267" s="205"/>
      <c r="AH267" s="205"/>
      <c r="AI267" s="205"/>
      <c r="AJ267" s="205"/>
      <c r="AK267" s="205"/>
      <c r="AL267" s="205"/>
      <c r="AM267" s="205"/>
      <c r="AN267" s="205"/>
      <c r="AO267" s="205"/>
      <c r="AP267" s="205"/>
      <c r="AQ267" s="205"/>
      <c r="AR267" s="205"/>
      <c r="AS267" s="205"/>
      <c r="AT267" s="205"/>
      <c r="AU267" s="205"/>
      <c r="AV267" s="205"/>
      <c r="AW267" s="205"/>
      <c r="AX267" s="205"/>
      <c r="AY267" s="205"/>
      <c r="AZ267" s="205"/>
      <c r="BA267" s="205"/>
      <c r="BB267" s="205"/>
      <c r="BC267" s="205"/>
      <c r="BD267" s="205"/>
      <c r="BE267" s="205"/>
      <c r="BF267" s="205"/>
      <c r="BG267" s="205"/>
      <c r="BH267" s="205"/>
      <c r="BI267" s="205"/>
      <c r="BJ267" s="205"/>
      <c r="BK267" s="205"/>
      <c r="BL267" s="205"/>
      <c r="BM267" s="205"/>
      <c r="BN267" s="205"/>
      <c r="BO267" s="205"/>
      <c r="BP267" s="205"/>
      <c r="BQ267" s="205"/>
      <c r="BR267" s="205"/>
      <c r="BS267" s="205"/>
      <c r="BT267" s="205"/>
      <c r="BU267" s="205"/>
      <c r="BV267" s="205"/>
      <c r="BW267" s="205"/>
      <c r="BX267" s="205"/>
      <c r="BY267" s="205"/>
      <c r="BZ267" s="205"/>
      <c r="CA267" s="205"/>
      <c r="CB267" s="205"/>
      <c r="CC267" s="205"/>
      <c r="CD267" s="205"/>
      <c r="CE267" s="205"/>
      <c r="CF267" s="205"/>
      <c r="CG267" s="205"/>
      <c r="CH267" s="205"/>
      <c r="CI267" s="205"/>
      <c r="CJ267" s="205"/>
      <c r="CK267" s="205"/>
      <c r="CL267" s="205"/>
      <c r="CM267" s="205"/>
      <c r="CN267" s="205"/>
      <c r="CO267" s="205"/>
      <c r="CP267" s="205"/>
      <c r="CQ267" s="205"/>
      <c r="CR267" s="205"/>
      <c r="CS267" s="205"/>
      <c r="CT267" s="205"/>
      <c r="CU267" s="205"/>
      <c r="CV267" s="205"/>
      <c r="CW267" s="205"/>
      <c r="CX267" s="205"/>
      <c r="CY267" s="205"/>
      <c r="CZ267" s="205"/>
      <c r="DA267" s="205"/>
      <c r="DB267" s="205"/>
      <c r="DC267" s="205"/>
      <c r="DD267" s="205"/>
      <c r="DE267" s="205"/>
      <c r="DF267" s="205"/>
      <c r="DG267" s="205"/>
      <c r="DH267" s="205"/>
      <c r="DI267" s="205"/>
      <c r="DJ267" s="205"/>
      <c r="DK267" s="205"/>
      <c r="DL267" s="205"/>
      <c r="DM267" s="205"/>
      <c r="DN267" s="205"/>
      <c r="DO267" s="205"/>
      <c r="DP267" s="205"/>
      <c r="DQ267" s="205"/>
      <c r="DR267" s="205"/>
      <c r="DS267" s="205"/>
      <c r="DT267" s="205"/>
      <c r="DU267" s="205"/>
      <c r="DV267" s="205"/>
      <c r="DW267" s="205"/>
      <c r="DX267" s="205"/>
      <c r="DY267" s="205"/>
      <c r="DZ267" s="205"/>
      <c r="EA267" s="205"/>
      <c r="EB267" s="205"/>
      <c r="EC267" s="205"/>
      <c r="ED267" s="205"/>
      <c r="EE267" s="205"/>
      <c r="EF267" s="205"/>
      <c r="EG267" s="205"/>
      <c r="EH267" s="205"/>
      <c r="EI267" s="205"/>
      <c r="EJ267" s="205"/>
      <c r="EK267" s="205"/>
      <c r="EL267" s="205"/>
      <c r="EM267" s="205"/>
      <c r="EN267" s="205"/>
      <c r="EO267" s="205"/>
      <c r="EP267" s="205"/>
      <c r="EQ267" s="205"/>
      <c r="ER267" s="205"/>
      <c r="ES267" s="205"/>
      <c r="ET267" s="205"/>
      <c r="EU267" s="205"/>
      <c r="EV267" s="205"/>
      <c r="EW267" s="205"/>
      <c r="EX267" s="205"/>
      <c r="EY267" s="205"/>
      <c r="EZ267" s="205"/>
      <c r="FA267" s="205"/>
      <c r="FB267" s="205"/>
      <c r="FC267" s="205"/>
      <c r="FD267" s="205"/>
      <c r="FE267" s="205"/>
      <c r="FF267" s="205"/>
      <c r="FG267" s="205"/>
      <c r="FH267" s="205"/>
      <c r="FI267" s="205"/>
      <c r="FJ267" s="205"/>
      <c r="FK267" s="205"/>
      <c r="FL267" s="205"/>
      <c r="FM267" s="205"/>
      <c r="FN267" s="205"/>
      <c r="FO267" s="205"/>
      <c r="FP267" s="205"/>
      <c r="FQ267" s="205"/>
      <c r="FR267" s="205"/>
      <c r="FS267" s="205"/>
      <c r="FT267" s="205"/>
      <c r="FU267" s="205"/>
      <c r="FV267" s="205"/>
      <c r="FW267" s="205"/>
      <c r="FX267" s="205"/>
      <c r="FY267" s="205"/>
      <c r="FZ267" s="205"/>
      <c r="GA267" s="205"/>
      <c r="GB267" s="205"/>
      <c r="GC267" s="205"/>
      <c r="GD267" s="205"/>
      <c r="GE267" s="205"/>
      <c r="GF267" s="205"/>
      <c r="GG267" s="205"/>
      <c r="GH267" s="205"/>
      <c r="GI267" s="205"/>
      <c r="GJ267" s="205"/>
      <c r="GK267" s="205"/>
      <c r="GL267" s="205"/>
      <c r="GM267" s="205"/>
      <c r="GN267" s="205"/>
      <c r="GO267" s="205"/>
      <c r="GP267" s="205"/>
      <c r="GQ267" s="205"/>
      <c r="GR267" s="205"/>
      <c r="GS267" s="205"/>
      <c r="GT267" s="205"/>
      <c r="GU267" s="205"/>
      <c r="GV267" s="205"/>
      <c r="GW267" s="205"/>
      <c r="GX267" s="205"/>
      <c r="GY267" s="205"/>
      <c r="GZ267" s="205"/>
      <c r="HA267" s="205"/>
      <c r="HB267" s="205"/>
      <c r="HC267" s="205"/>
      <c r="HD267" s="205"/>
      <c r="HE267" s="205"/>
      <c r="HF267" s="205"/>
      <c r="HG267" s="205"/>
      <c r="HH267" s="205"/>
      <c r="HI267" s="205"/>
      <c r="HJ267" s="205"/>
      <c r="HK267" s="205"/>
      <c r="HL267" s="205"/>
      <c r="HM267" s="205"/>
      <c r="HN267" s="205"/>
      <c r="HO267" s="205"/>
      <c r="HP267" s="205"/>
      <c r="HQ267" s="205"/>
      <c r="HR267" s="205"/>
      <c r="HS267" s="205"/>
      <c r="HT267" s="205"/>
      <c r="HU267" s="205"/>
      <c r="HV267" s="205"/>
      <c r="HW267" s="205"/>
      <c r="HX267" s="205"/>
      <c r="HY267" s="205"/>
      <c r="HZ267" s="205"/>
      <c r="IA267" s="205"/>
      <c r="IB267" s="205"/>
      <c r="IC267" s="205"/>
      <c r="ID267" s="205"/>
      <c r="IE267" s="205"/>
      <c r="IF267" s="205"/>
      <c r="IG267" s="205"/>
      <c r="IH267" s="205"/>
      <c r="II267" s="205"/>
      <c r="IJ267" s="205"/>
      <c r="IK267" s="205"/>
      <c r="IL267" s="205"/>
      <c r="IM267" s="205"/>
      <c r="IN267" s="205"/>
      <c r="IO267" s="205"/>
      <c r="IP267" s="205"/>
      <c r="IQ267" s="205"/>
      <c r="IR267" s="205"/>
      <c r="IS267" s="205"/>
      <c r="IT267" s="205"/>
      <c r="IU267" s="205"/>
      <c r="IV267" s="205"/>
      <c r="IW267" s="205"/>
      <c r="IX267" s="205"/>
    </row>
    <row r="268" spans="1:258" s="203" customFormat="1" x14ac:dyDescent="0.2">
      <c r="A268" s="669"/>
      <c r="B268" s="670"/>
      <c r="C268" s="1358"/>
      <c r="D268" s="672"/>
      <c r="E268" s="1359"/>
      <c r="F268" s="1359"/>
      <c r="G268" s="1360" t="s">
        <v>1664</v>
      </c>
      <c r="H268" s="1361">
        <f>H267</f>
        <v>26</v>
      </c>
      <c r="I268" s="1362" t="s">
        <v>424</v>
      </c>
      <c r="J268" s="1362">
        <v>0.6</v>
      </c>
      <c r="K268" s="1362" t="s">
        <v>424</v>
      </c>
      <c r="L268" s="1362">
        <f>L267</f>
        <v>0.1</v>
      </c>
      <c r="M268" s="1362"/>
      <c r="N268" s="1362"/>
      <c r="O268" s="1362"/>
      <c r="P268" s="1362"/>
      <c r="Q268" s="1362" t="s">
        <v>696</v>
      </c>
      <c r="R268" s="1363">
        <f t="shared" ref="R268" si="125">H268*J268*L268</f>
        <v>1.56</v>
      </c>
      <c r="S268" s="1364"/>
      <c r="T268" s="722"/>
      <c r="U268" s="205"/>
      <c r="V268" s="685"/>
      <c r="W268" s="205"/>
      <c r="X268" s="205"/>
      <c r="Y268" s="205"/>
      <c r="Z268" s="205"/>
      <c r="AA268" s="205"/>
      <c r="AB268" s="205"/>
      <c r="AC268" s="205"/>
      <c r="AD268" s="205"/>
      <c r="AE268" s="205"/>
      <c r="AF268" s="205"/>
      <c r="AG268" s="205"/>
      <c r="AH268" s="205"/>
      <c r="AI268" s="205"/>
      <c r="AJ268" s="205"/>
      <c r="AK268" s="205"/>
      <c r="AL268" s="205"/>
      <c r="AM268" s="205"/>
      <c r="AN268" s="205"/>
      <c r="AO268" s="205"/>
      <c r="AP268" s="205"/>
      <c r="AQ268" s="205"/>
      <c r="AR268" s="205"/>
      <c r="AS268" s="205"/>
      <c r="AT268" s="205"/>
      <c r="AU268" s="205"/>
      <c r="AV268" s="205"/>
      <c r="AW268" s="205"/>
      <c r="AX268" s="205"/>
      <c r="AY268" s="205"/>
      <c r="AZ268" s="205"/>
      <c r="BA268" s="205"/>
      <c r="BB268" s="205"/>
      <c r="BC268" s="205"/>
      <c r="BD268" s="205"/>
      <c r="BE268" s="205"/>
      <c r="BF268" s="205"/>
      <c r="BG268" s="205"/>
      <c r="BH268" s="205"/>
      <c r="BI268" s="205"/>
      <c r="BJ268" s="205"/>
      <c r="BK268" s="205"/>
      <c r="BL268" s="205"/>
      <c r="BM268" s="205"/>
      <c r="BN268" s="205"/>
      <c r="BO268" s="205"/>
      <c r="BP268" s="205"/>
      <c r="BQ268" s="205"/>
      <c r="BR268" s="205"/>
      <c r="BS268" s="205"/>
      <c r="BT268" s="205"/>
      <c r="BU268" s="205"/>
      <c r="BV268" s="205"/>
      <c r="BW268" s="205"/>
      <c r="BX268" s="205"/>
      <c r="BY268" s="205"/>
      <c r="BZ268" s="205"/>
      <c r="CA268" s="205"/>
      <c r="CB268" s="205"/>
      <c r="CC268" s="205"/>
      <c r="CD268" s="205"/>
      <c r="CE268" s="205"/>
      <c r="CF268" s="205"/>
      <c r="CG268" s="205"/>
      <c r="CH268" s="205"/>
      <c r="CI268" s="205"/>
      <c r="CJ268" s="205"/>
      <c r="CK268" s="205"/>
      <c r="CL268" s="205"/>
      <c r="CM268" s="205"/>
      <c r="CN268" s="205"/>
      <c r="CO268" s="205"/>
      <c r="CP268" s="205"/>
      <c r="CQ268" s="205"/>
      <c r="CR268" s="205"/>
      <c r="CS268" s="205"/>
      <c r="CT268" s="205"/>
      <c r="CU268" s="205"/>
      <c r="CV268" s="205"/>
      <c r="CW268" s="205"/>
      <c r="CX268" s="205"/>
      <c r="CY268" s="205"/>
      <c r="CZ268" s="205"/>
      <c r="DA268" s="205"/>
      <c r="DB268" s="205"/>
      <c r="DC268" s="205"/>
      <c r="DD268" s="205"/>
      <c r="DE268" s="205"/>
      <c r="DF268" s="205"/>
      <c r="DG268" s="205"/>
      <c r="DH268" s="205"/>
      <c r="DI268" s="205"/>
      <c r="DJ268" s="205"/>
      <c r="DK268" s="205"/>
      <c r="DL268" s="205"/>
      <c r="DM268" s="205"/>
      <c r="DN268" s="205"/>
      <c r="DO268" s="205"/>
      <c r="DP268" s="205"/>
      <c r="DQ268" s="205"/>
      <c r="DR268" s="205"/>
      <c r="DS268" s="205"/>
      <c r="DT268" s="205"/>
      <c r="DU268" s="205"/>
      <c r="DV268" s="205"/>
      <c r="DW268" s="205"/>
      <c r="DX268" s="205"/>
      <c r="DY268" s="205"/>
      <c r="DZ268" s="205"/>
      <c r="EA268" s="205"/>
      <c r="EB268" s="205"/>
      <c r="EC268" s="205"/>
      <c r="ED268" s="205"/>
      <c r="EE268" s="205"/>
      <c r="EF268" s="205"/>
      <c r="EG268" s="205"/>
      <c r="EH268" s="205"/>
      <c r="EI268" s="205"/>
      <c r="EJ268" s="205"/>
      <c r="EK268" s="205"/>
      <c r="EL268" s="205"/>
      <c r="EM268" s="205"/>
      <c r="EN268" s="205"/>
      <c r="EO268" s="205"/>
      <c r="EP268" s="205"/>
      <c r="EQ268" s="205"/>
      <c r="ER268" s="205"/>
      <c r="ES268" s="205"/>
      <c r="ET268" s="205"/>
      <c r="EU268" s="205"/>
      <c r="EV268" s="205"/>
      <c r="EW268" s="205"/>
      <c r="EX268" s="205"/>
      <c r="EY268" s="205"/>
      <c r="EZ268" s="205"/>
      <c r="FA268" s="205"/>
      <c r="FB268" s="205"/>
      <c r="FC268" s="205"/>
      <c r="FD268" s="205"/>
      <c r="FE268" s="205"/>
      <c r="FF268" s="205"/>
      <c r="FG268" s="205"/>
      <c r="FH268" s="205"/>
      <c r="FI268" s="205"/>
      <c r="FJ268" s="205"/>
      <c r="FK268" s="205"/>
      <c r="FL268" s="205"/>
      <c r="FM268" s="205"/>
      <c r="FN268" s="205"/>
      <c r="FO268" s="205"/>
      <c r="FP268" s="205"/>
      <c r="FQ268" s="205"/>
      <c r="FR268" s="205"/>
      <c r="FS268" s="205"/>
      <c r="FT268" s="205"/>
      <c r="FU268" s="205"/>
      <c r="FV268" s="205"/>
      <c r="FW268" s="205"/>
      <c r="FX268" s="205"/>
      <c r="FY268" s="205"/>
      <c r="FZ268" s="205"/>
      <c r="GA268" s="205"/>
      <c r="GB268" s="205"/>
      <c r="GC268" s="205"/>
      <c r="GD268" s="205"/>
      <c r="GE268" s="205"/>
      <c r="GF268" s="205"/>
      <c r="GG268" s="205"/>
      <c r="GH268" s="205"/>
      <c r="GI268" s="205"/>
      <c r="GJ268" s="205"/>
      <c r="GK268" s="205"/>
      <c r="GL268" s="205"/>
      <c r="GM268" s="205"/>
      <c r="GN268" s="205"/>
      <c r="GO268" s="205"/>
      <c r="GP268" s="205"/>
      <c r="GQ268" s="205"/>
      <c r="GR268" s="205"/>
      <c r="GS268" s="205"/>
      <c r="GT268" s="205"/>
      <c r="GU268" s="205"/>
      <c r="GV268" s="205"/>
      <c r="GW268" s="205"/>
      <c r="GX268" s="205"/>
      <c r="GY268" s="205"/>
      <c r="GZ268" s="205"/>
      <c r="HA268" s="205"/>
      <c r="HB268" s="205"/>
      <c r="HC268" s="205"/>
      <c r="HD268" s="205"/>
      <c r="HE268" s="205"/>
      <c r="HF268" s="205"/>
      <c r="HG268" s="205"/>
      <c r="HH268" s="205"/>
      <c r="HI268" s="205"/>
      <c r="HJ268" s="205"/>
      <c r="HK268" s="205"/>
      <c r="HL268" s="205"/>
      <c r="HM268" s="205"/>
      <c r="HN268" s="205"/>
      <c r="HO268" s="205"/>
      <c r="HP268" s="205"/>
      <c r="HQ268" s="205"/>
      <c r="HR268" s="205"/>
      <c r="HS268" s="205"/>
      <c r="HT268" s="205"/>
      <c r="HU268" s="205"/>
      <c r="HV268" s="205"/>
      <c r="HW268" s="205"/>
      <c r="HX268" s="205"/>
      <c r="HY268" s="205"/>
      <c r="HZ268" s="205"/>
      <c r="IA268" s="205"/>
      <c r="IB268" s="205"/>
      <c r="IC268" s="205"/>
      <c r="ID268" s="205"/>
      <c r="IE268" s="205"/>
      <c r="IF268" s="205"/>
      <c r="IG268" s="205"/>
      <c r="IH268" s="205"/>
      <c r="II268" s="205"/>
      <c r="IJ268" s="205"/>
      <c r="IK268" s="205"/>
      <c r="IL268" s="205"/>
      <c r="IM268" s="205"/>
      <c r="IN268" s="205"/>
      <c r="IO268" s="205"/>
      <c r="IP268" s="205"/>
      <c r="IQ268" s="205"/>
      <c r="IR268" s="205"/>
      <c r="IS268" s="205"/>
      <c r="IT268" s="205"/>
      <c r="IU268" s="205"/>
      <c r="IV268" s="205"/>
      <c r="IW268" s="205"/>
      <c r="IX268" s="205"/>
    </row>
    <row r="269" spans="1:258" s="203" customFormat="1" x14ac:dyDescent="0.2">
      <c r="A269" s="669"/>
      <c r="B269" s="670"/>
      <c r="C269" s="1358"/>
      <c r="D269" s="672"/>
      <c r="E269" s="1359"/>
      <c r="F269" s="1359"/>
      <c r="G269" s="1360"/>
      <c r="H269" s="1361"/>
      <c r="I269" s="1362"/>
      <c r="J269" s="1362"/>
      <c r="K269" s="1362"/>
      <c r="L269" s="1362"/>
      <c r="M269" s="1362"/>
      <c r="N269" s="1362"/>
      <c r="O269" s="1362"/>
      <c r="P269" s="1362"/>
      <c r="Q269" s="1362"/>
      <c r="R269" s="1363">
        <f>SUM(R267:R268)</f>
        <v>3.38</v>
      </c>
      <c r="S269" s="1364">
        <f>R269</f>
        <v>3.38</v>
      </c>
      <c r="T269" s="722" t="s">
        <v>293</v>
      </c>
      <c r="U269" s="205"/>
      <c r="V269" s="685">
        <f>S276/S269</f>
        <v>75.236332307692308</v>
      </c>
      <c r="W269" s="205"/>
      <c r="X269" s="205"/>
      <c r="Y269" s="205"/>
      <c r="Z269" s="205"/>
      <c r="AA269" s="205"/>
      <c r="AB269" s="205"/>
      <c r="AC269" s="205"/>
      <c r="AD269" s="205"/>
      <c r="AE269" s="205"/>
      <c r="AF269" s="205"/>
      <c r="AG269" s="205"/>
      <c r="AH269" s="205"/>
      <c r="AI269" s="205"/>
      <c r="AJ269" s="205"/>
      <c r="AK269" s="205"/>
      <c r="AL269" s="205"/>
      <c r="AM269" s="205"/>
      <c r="AN269" s="205"/>
      <c r="AO269" s="205"/>
      <c r="AP269" s="205"/>
      <c r="AQ269" s="205"/>
      <c r="AR269" s="205"/>
      <c r="AS269" s="205"/>
      <c r="AT269" s="205"/>
      <c r="AU269" s="205"/>
      <c r="AV269" s="205"/>
      <c r="AW269" s="205"/>
      <c r="AX269" s="205"/>
      <c r="AY269" s="205"/>
      <c r="AZ269" s="205"/>
      <c r="BA269" s="205"/>
      <c r="BB269" s="205"/>
      <c r="BC269" s="205"/>
      <c r="BD269" s="205"/>
      <c r="BE269" s="205"/>
      <c r="BF269" s="205"/>
      <c r="BG269" s="205"/>
      <c r="BH269" s="205"/>
      <c r="BI269" s="205"/>
      <c r="BJ269" s="205"/>
      <c r="BK269" s="205"/>
      <c r="BL269" s="205"/>
      <c r="BM269" s="205"/>
      <c r="BN269" s="205"/>
      <c r="BO269" s="205"/>
      <c r="BP269" s="205"/>
      <c r="BQ269" s="205"/>
      <c r="BR269" s="205"/>
      <c r="BS269" s="205"/>
      <c r="BT269" s="205"/>
      <c r="BU269" s="205"/>
      <c r="BV269" s="205"/>
      <c r="BW269" s="205"/>
      <c r="BX269" s="205"/>
      <c r="BY269" s="205"/>
      <c r="BZ269" s="205"/>
      <c r="CA269" s="205"/>
      <c r="CB269" s="205"/>
      <c r="CC269" s="205"/>
      <c r="CD269" s="205"/>
      <c r="CE269" s="205"/>
      <c r="CF269" s="205"/>
      <c r="CG269" s="205"/>
      <c r="CH269" s="205"/>
      <c r="CI269" s="205"/>
      <c r="CJ269" s="205"/>
      <c r="CK269" s="205"/>
      <c r="CL269" s="205"/>
      <c r="CM269" s="205"/>
      <c r="CN269" s="205"/>
      <c r="CO269" s="205"/>
      <c r="CP269" s="205"/>
      <c r="CQ269" s="205"/>
      <c r="CR269" s="205"/>
      <c r="CS269" s="205"/>
      <c r="CT269" s="205"/>
      <c r="CU269" s="205"/>
      <c r="CV269" s="205"/>
      <c r="CW269" s="205"/>
      <c r="CX269" s="205"/>
      <c r="CY269" s="205"/>
      <c r="CZ269" s="205"/>
      <c r="DA269" s="205"/>
      <c r="DB269" s="205"/>
      <c r="DC269" s="205"/>
      <c r="DD269" s="205"/>
      <c r="DE269" s="205"/>
      <c r="DF269" s="205"/>
      <c r="DG269" s="205"/>
      <c r="DH269" s="205"/>
      <c r="DI269" s="205"/>
      <c r="DJ269" s="205"/>
      <c r="DK269" s="205"/>
      <c r="DL269" s="205"/>
      <c r="DM269" s="205"/>
      <c r="DN269" s="205"/>
      <c r="DO269" s="205"/>
      <c r="DP269" s="205"/>
      <c r="DQ269" s="205"/>
      <c r="DR269" s="205"/>
      <c r="DS269" s="205"/>
      <c r="DT269" s="205"/>
      <c r="DU269" s="205"/>
      <c r="DV269" s="205"/>
      <c r="DW269" s="205"/>
      <c r="DX269" s="205"/>
      <c r="DY269" s="205"/>
      <c r="DZ269" s="205"/>
      <c r="EA269" s="205"/>
      <c r="EB269" s="205"/>
      <c r="EC269" s="205"/>
      <c r="ED269" s="205"/>
      <c r="EE269" s="205"/>
      <c r="EF269" s="205"/>
      <c r="EG269" s="205"/>
      <c r="EH269" s="205"/>
      <c r="EI269" s="205"/>
      <c r="EJ269" s="205"/>
      <c r="EK269" s="205"/>
      <c r="EL269" s="205"/>
      <c r="EM269" s="205"/>
      <c r="EN269" s="205"/>
      <c r="EO269" s="205"/>
      <c r="EP269" s="205"/>
      <c r="EQ269" s="205"/>
      <c r="ER269" s="205"/>
      <c r="ES269" s="205"/>
      <c r="ET269" s="205"/>
      <c r="EU269" s="205"/>
      <c r="EV269" s="205"/>
      <c r="EW269" s="205"/>
      <c r="EX269" s="205"/>
      <c r="EY269" s="205"/>
      <c r="EZ269" s="205"/>
      <c r="FA269" s="205"/>
      <c r="FB269" s="205"/>
      <c r="FC269" s="205"/>
      <c r="FD269" s="205"/>
      <c r="FE269" s="205"/>
      <c r="FF269" s="205"/>
      <c r="FG269" s="205"/>
      <c r="FH269" s="205"/>
      <c r="FI269" s="205"/>
      <c r="FJ269" s="205"/>
      <c r="FK269" s="205"/>
      <c r="FL269" s="205"/>
      <c r="FM269" s="205"/>
      <c r="FN269" s="205"/>
      <c r="FO269" s="205"/>
      <c r="FP269" s="205"/>
      <c r="FQ269" s="205"/>
      <c r="FR269" s="205"/>
      <c r="FS269" s="205"/>
      <c r="FT269" s="205"/>
      <c r="FU269" s="205"/>
      <c r="FV269" s="205"/>
      <c r="FW269" s="205"/>
      <c r="FX269" s="205"/>
      <c r="FY269" s="205"/>
      <c r="FZ269" s="205"/>
      <c r="GA269" s="205"/>
      <c r="GB269" s="205"/>
      <c r="GC269" s="205"/>
      <c r="GD269" s="205"/>
      <c r="GE269" s="205"/>
      <c r="GF269" s="205"/>
      <c r="GG269" s="205"/>
      <c r="GH269" s="205"/>
      <c r="GI269" s="205"/>
      <c r="GJ269" s="205"/>
      <c r="GK269" s="205"/>
      <c r="GL269" s="205"/>
      <c r="GM269" s="205"/>
      <c r="GN269" s="205"/>
      <c r="GO269" s="205"/>
      <c r="GP269" s="205"/>
      <c r="GQ269" s="205"/>
      <c r="GR269" s="205"/>
      <c r="GS269" s="205"/>
      <c r="GT269" s="205"/>
      <c r="GU269" s="205"/>
      <c r="GV269" s="205"/>
      <c r="GW269" s="205"/>
      <c r="GX269" s="205"/>
      <c r="GY269" s="205"/>
      <c r="GZ269" s="205"/>
      <c r="HA269" s="205"/>
      <c r="HB269" s="205"/>
      <c r="HC269" s="205"/>
      <c r="HD269" s="205"/>
      <c r="HE269" s="205"/>
      <c r="HF269" s="205"/>
      <c r="HG269" s="205"/>
      <c r="HH269" s="205"/>
      <c r="HI269" s="205"/>
      <c r="HJ269" s="205"/>
      <c r="HK269" s="205"/>
      <c r="HL269" s="205"/>
      <c r="HM269" s="205"/>
      <c r="HN269" s="205"/>
      <c r="HO269" s="205"/>
      <c r="HP269" s="205"/>
      <c r="HQ269" s="205"/>
      <c r="HR269" s="205"/>
      <c r="HS269" s="205"/>
      <c r="HT269" s="205"/>
      <c r="HU269" s="205"/>
      <c r="HV269" s="205"/>
      <c r="HW269" s="205"/>
      <c r="HX269" s="205"/>
      <c r="HY269" s="205"/>
      <c r="HZ269" s="205"/>
      <c r="IA269" s="205"/>
      <c r="IB269" s="205"/>
      <c r="IC269" s="205"/>
      <c r="ID269" s="205"/>
      <c r="IE269" s="205"/>
      <c r="IF269" s="205"/>
      <c r="IG269" s="205"/>
      <c r="IH269" s="205"/>
      <c r="II269" s="205"/>
      <c r="IJ269" s="205"/>
      <c r="IK269" s="205"/>
      <c r="IL269" s="205"/>
      <c r="IM269" s="205"/>
      <c r="IN269" s="205"/>
      <c r="IO269" s="205"/>
      <c r="IP269" s="205"/>
      <c r="IQ269" s="205"/>
      <c r="IR269" s="205"/>
      <c r="IS269" s="205"/>
      <c r="IT269" s="205"/>
      <c r="IU269" s="205"/>
      <c r="IV269" s="205"/>
      <c r="IW269" s="205"/>
      <c r="IX269" s="205"/>
    </row>
    <row r="270" spans="1:258" s="203" customFormat="1" x14ac:dyDescent="0.2">
      <c r="A270" s="669"/>
      <c r="B270" s="670"/>
      <c r="C270" s="1358"/>
      <c r="D270" s="672"/>
      <c r="E270" s="1359"/>
      <c r="F270" s="1359"/>
      <c r="G270" s="1360"/>
      <c r="H270" s="1361"/>
      <c r="I270" s="1362"/>
      <c r="J270" s="1362"/>
      <c r="K270" s="1362"/>
      <c r="L270" s="1362"/>
      <c r="M270" s="1362"/>
      <c r="N270" s="1362"/>
      <c r="O270" s="1362"/>
      <c r="P270" s="1362"/>
      <c r="Q270" s="1362"/>
      <c r="R270" s="1363"/>
      <c r="S270" s="1364"/>
      <c r="T270" s="722"/>
      <c r="U270" s="205"/>
      <c r="V270" s="685"/>
      <c r="W270" s="205"/>
      <c r="X270" s="205"/>
      <c r="Y270" s="205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C270" s="205"/>
      <c r="BD270" s="205"/>
      <c r="BE270" s="205"/>
      <c r="BF270" s="205"/>
      <c r="BG270" s="205"/>
      <c r="BH270" s="205"/>
      <c r="BI270" s="205"/>
      <c r="BJ270" s="205"/>
      <c r="BK270" s="205"/>
      <c r="BL270" s="205"/>
      <c r="BM270" s="205"/>
      <c r="BN270" s="205"/>
      <c r="BO270" s="205"/>
      <c r="BP270" s="205"/>
      <c r="BQ270" s="205"/>
      <c r="BR270" s="205"/>
      <c r="BS270" s="205"/>
      <c r="BT270" s="205"/>
      <c r="BU270" s="205"/>
      <c r="BV270" s="205"/>
      <c r="BW270" s="205"/>
      <c r="BX270" s="205"/>
      <c r="BY270" s="205"/>
      <c r="BZ270" s="205"/>
      <c r="CA270" s="205"/>
      <c r="CB270" s="205"/>
      <c r="CC270" s="205"/>
      <c r="CD270" s="205"/>
      <c r="CE270" s="205"/>
      <c r="CF270" s="205"/>
      <c r="CG270" s="205"/>
      <c r="CH270" s="205"/>
      <c r="CI270" s="205"/>
      <c r="CJ270" s="205"/>
      <c r="CK270" s="205"/>
      <c r="CL270" s="205"/>
      <c r="CM270" s="205"/>
      <c r="CN270" s="205"/>
      <c r="CO270" s="205"/>
      <c r="CP270" s="205"/>
      <c r="CQ270" s="205"/>
      <c r="CR270" s="205"/>
      <c r="CS270" s="205"/>
      <c r="CT270" s="205"/>
      <c r="CU270" s="205"/>
      <c r="CV270" s="205"/>
      <c r="CW270" s="205"/>
      <c r="CX270" s="205"/>
      <c r="CY270" s="205"/>
      <c r="CZ270" s="205"/>
      <c r="DA270" s="205"/>
      <c r="DB270" s="205"/>
      <c r="DC270" s="205"/>
      <c r="DD270" s="205"/>
      <c r="DE270" s="205"/>
      <c r="DF270" s="205"/>
      <c r="DG270" s="205"/>
      <c r="DH270" s="205"/>
      <c r="DI270" s="205"/>
      <c r="DJ270" s="205"/>
      <c r="DK270" s="205"/>
      <c r="DL270" s="205"/>
      <c r="DM270" s="205"/>
      <c r="DN270" s="205"/>
      <c r="DO270" s="205"/>
      <c r="DP270" s="205"/>
      <c r="DQ270" s="205"/>
      <c r="DR270" s="205"/>
      <c r="DS270" s="205"/>
      <c r="DT270" s="205"/>
      <c r="DU270" s="205"/>
      <c r="DV270" s="205"/>
      <c r="DW270" s="205"/>
      <c r="DX270" s="205"/>
      <c r="DY270" s="205"/>
      <c r="DZ270" s="205"/>
      <c r="EA270" s="205"/>
      <c r="EB270" s="205"/>
      <c r="EC270" s="205"/>
      <c r="ED270" s="205"/>
      <c r="EE270" s="205"/>
      <c r="EF270" s="205"/>
      <c r="EG270" s="205"/>
      <c r="EH270" s="205"/>
      <c r="EI270" s="205"/>
      <c r="EJ270" s="205"/>
      <c r="EK270" s="205"/>
      <c r="EL270" s="205"/>
      <c r="EM270" s="205"/>
      <c r="EN270" s="205"/>
      <c r="EO270" s="205"/>
      <c r="EP270" s="205"/>
      <c r="EQ270" s="205"/>
      <c r="ER270" s="205"/>
      <c r="ES270" s="205"/>
      <c r="ET270" s="205"/>
      <c r="EU270" s="205"/>
      <c r="EV270" s="205"/>
      <c r="EW270" s="205"/>
      <c r="EX270" s="205"/>
      <c r="EY270" s="205"/>
      <c r="EZ270" s="205"/>
      <c r="FA270" s="205"/>
      <c r="FB270" s="205"/>
      <c r="FC270" s="205"/>
      <c r="FD270" s="205"/>
      <c r="FE270" s="205"/>
      <c r="FF270" s="205"/>
      <c r="FG270" s="205"/>
      <c r="FH270" s="205"/>
      <c r="FI270" s="205"/>
      <c r="FJ270" s="205"/>
      <c r="FK270" s="205"/>
      <c r="FL270" s="205"/>
      <c r="FM270" s="205"/>
      <c r="FN270" s="205"/>
      <c r="FO270" s="205"/>
      <c r="FP270" s="205"/>
      <c r="FQ270" s="205"/>
      <c r="FR270" s="205"/>
      <c r="FS270" s="205"/>
      <c r="FT270" s="205"/>
      <c r="FU270" s="205"/>
      <c r="FV270" s="205"/>
      <c r="FW270" s="205"/>
      <c r="FX270" s="205"/>
      <c r="FY270" s="205"/>
      <c r="FZ270" s="205"/>
      <c r="GA270" s="205"/>
      <c r="GB270" s="205"/>
      <c r="GC270" s="205"/>
      <c r="GD270" s="205"/>
      <c r="GE270" s="205"/>
      <c r="GF270" s="205"/>
      <c r="GG270" s="205"/>
      <c r="GH270" s="205"/>
      <c r="GI270" s="205"/>
      <c r="GJ270" s="205"/>
      <c r="GK270" s="205"/>
      <c r="GL270" s="205"/>
      <c r="GM270" s="205"/>
      <c r="GN270" s="205"/>
      <c r="GO270" s="205"/>
      <c r="GP270" s="205"/>
      <c r="GQ270" s="205"/>
      <c r="GR270" s="205"/>
      <c r="GS270" s="205"/>
      <c r="GT270" s="205"/>
      <c r="GU270" s="205"/>
      <c r="GV270" s="205"/>
      <c r="GW270" s="205"/>
      <c r="GX270" s="205"/>
      <c r="GY270" s="205"/>
      <c r="GZ270" s="205"/>
      <c r="HA270" s="205"/>
      <c r="HB270" s="205"/>
      <c r="HC270" s="205"/>
      <c r="HD270" s="205"/>
      <c r="HE270" s="205"/>
      <c r="HF270" s="205"/>
      <c r="HG270" s="205"/>
      <c r="HH270" s="205"/>
      <c r="HI270" s="205"/>
      <c r="HJ270" s="205"/>
      <c r="HK270" s="205"/>
      <c r="HL270" s="205"/>
      <c r="HM270" s="205"/>
      <c r="HN270" s="205"/>
      <c r="HO270" s="205"/>
      <c r="HP270" s="205"/>
      <c r="HQ270" s="205"/>
      <c r="HR270" s="205"/>
      <c r="HS270" s="205"/>
      <c r="HT270" s="205"/>
      <c r="HU270" s="205"/>
      <c r="HV270" s="205"/>
      <c r="HW270" s="205"/>
      <c r="HX270" s="205"/>
      <c r="HY270" s="205"/>
      <c r="HZ270" s="205"/>
      <c r="IA270" s="205"/>
      <c r="IB270" s="205"/>
      <c r="IC270" s="205"/>
      <c r="ID270" s="205"/>
      <c r="IE270" s="205"/>
      <c r="IF270" s="205"/>
      <c r="IG270" s="205"/>
      <c r="IH270" s="205"/>
      <c r="II270" s="205"/>
      <c r="IJ270" s="205"/>
      <c r="IK270" s="205"/>
      <c r="IL270" s="205"/>
      <c r="IM270" s="205"/>
      <c r="IN270" s="205"/>
      <c r="IO270" s="205"/>
      <c r="IP270" s="205"/>
      <c r="IQ270" s="205"/>
      <c r="IR270" s="205"/>
      <c r="IS270" s="205"/>
      <c r="IT270" s="205"/>
      <c r="IU270" s="205"/>
      <c r="IV270" s="205"/>
      <c r="IW270" s="205"/>
      <c r="IX270" s="205"/>
    </row>
    <row r="271" spans="1:258" s="203" customFormat="1" x14ac:dyDescent="0.2">
      <c r="A271" s="669"/>
      <c r="B271" s="670">
        <f>RAB!B95</f>
        <v>28</v>
      </c>
      <c r="C271" s="686" t="str">
        <f>RAB!D95</f>
        <v>Pembesian 1 kg dengan besi polos atau besi ulir</v>
      </c>
      <c r="D271" s="672"/>
      <c r="E271" s="673"/>
      <c r="F271" s="673"/>
      <c r="G271" s="674"/>
      <c r="H271" s="675"/>
      <c r="I271" s="676"/>
      <c r="J271" s="676"/>
      <c r="K271" s="676"/>
      <c r="L271" s="676"/>
      <c r="M271" s="676"/>
      <c r="N271" s="676"/>
      <c r="O271" s="676"/>
      <c r="P271" s="676"/>
      <c r="Q271" s="676"/>
      <c r="R271" s="677"/>
      <c r="S271" s="678"/>
      <c r="T271" s="684"/>
      <c r="U271" s="205"/>
      <c r="V271" s="685"/>
      <c r="W271" s="205"/>
      <c r="X271" s="205"/>
      <c r="Y271" s="205"/>
      <c r="Z271" s="205"/>
      <c r="AA271" s="205"/>
      <c r="AB271" s="205"/>
      <c r="AC271" s="205"/>
      <c r="AD271" s="205"/>
      <c r="AE271" s="205"/>
      <c r="AF271" s="205"/>
      <c r="AG271" s="205"/>
      <c r="AH271" s="205"/>
      <c r="AI271" s="205"/>
      <c r="AJ271" s="205"/>
      <c r="AK271" s="205"/>
      <c r="AL271" s="205"/>
      <c r="AM271" s="205"/>
      <c r="AN271" s="205"/>
      <c r="AO271" s="205"/>
      <c r="AP271" s="205"/>
      <c r="AQ271" s="205"/>
      <c r="AR271" s="205"/>
      <c r="AS271" s="205"/>
      <c r="AT271" s="205"/>
      <c r="AU271" s="205"/>
      <c r="AV271" s="205"/>
      <c r="AW271" s="205"/>
      <c r="AX271" s="205"/>
      <c r="AY271" s="205"/>
      <c r="AZ271" s="205"/>
      <c r="BA271" s="205"/>
      <c r="BB271" s="205"/>
      <c r="BC271" s="205"/>
      <c r="BD271" s="205"/>
      <c r="BE271" s="205"/>
      <c r="BF271" s="205"/>
      <c r="BG271" s="205"/>
      <c r="BH271" s="205"/>
      <c r="BI271" s="205"/>
      <c r="BJ271" s="205"/>
      <c r="BK271" s="205"/>
      <c r="BL271" s="205"/>
      <c r="BM271" s="205"/>
      <c r="BN271" s="205"/>
      <c r="BO271" s="205"/>
      <c r="BP271" s="205"/>
      <c r="BQ271" s="205"/>
      <c r="BR271" s="205"/>
      <c r="BS271" s="205"/>
      <c r="BT271" s="205"/>
      <c r="BU271" s="205"/>
      <c r="BV271" s="205"/>
      <c r="BW271" s="205"/>
      <c r="BX271" s="205"/>
      <c r="BY271" s="205"/>
      <c r="BZ271" s="205"/>
      <c r="CA271" s="205"/>
      <c r="CB271" s="205"/>
      <c r="CC271" s="205"/>
      <c r="CD271" s="205"/>
      <c r="CE271" s="205"/>
      <c r="CF271" s="205"/>
      <c r="CG271" s="205"/>
      <c r="CH271" s="205"/>
      <c r="CI271" s="205"/>
      <c r="CJ271" s="205"/>
      <c r="CK271" s="205"/>
      <c r="CL271" s="205"/>
      <c r="CM271" s="205"/>
      <c r="CN271" s="205"/>
      <c r="CO271" s="205"/>
      <c r="CP271" s="205"/>
      <c r="CQ271" s="205"/>
      <c r="CR271" s="205"/>
      <c r="CS271" s="205"/>
      <c r="CT271" s="205"/>
      <c r="CU271" s="205"/>
      <c r="CV271" s="205"/>
      <c r="CW271" s="205"/>
      <c r="CX271" s="205"/>
      <c r="CY271" s="205"/>
      <c r="CZ271" s="205"/>
      <c r="DA271" s="205"/>
      <c r="DB271" s="205"/>
      <c r="DC271" s="205"/>
      <c r="DD271" s="205"/>
      <c r="DE271" s="205"/>
      <c r="DF271" s="205"/>
      <c r="DG271" s="205"/>
      <c r="DH271" s="205"/>
      <c r="DI271" s="205"/>
      <c r="DJ271" s="205"/>
      <c r="DK271" s="205"/>
      <c r="DL271" s="205"/>
      <c r="DM271" s="205"/>
      <c r="DN271" s="205"/>
      <c r="DO271" s="205"/>
      <c r="DP271" s="205"/>
      <c r="DQ271" s="205"/>
      <c r="DR271" s="205"/>
      <c r="DS271" s="205"/>
      <c r="DT271" s="205"/>
      <c r="DU271" s="205"/>
      <c r="DV271" s="205"/>
      <c r="DW271" s="205"/>
      <c r="DX271" s="205"/>
      <c r="DY271" s="205"/>
      <c r="DZ271" s="205"/>
      <c r="EA271" s="205"/>
      <c r="EB271" s="205"/>
      <c r="EC271" s="205"/>
      <c r="ED271" s="205"/>
      <c r="EE271" s="205"/>
      <c r="EF271" s="205"/>
      <c r="EG271" s="205"/>
      <c r="EH271" s="205"/>
      <c r="EI271" s="205"/>
      <c r="EJ271" s="205"/>
      <c r="EK271" s="205"/>
      <c r="EL271" s="205"/>
      <c r="EM271" s="205"/>
      <c r="EN271" s="205"/>
      <c r="EO271" s="205"/>
      <c r="EP271" s="205"/>
      <c r="EQ271" s="205"/>
      <c r="ER271" s="205"/>
      <c r="ES271" s="205"/>
      <c r="ET271" s="205"/>
      <c r="EU271" s="205"/>
      <c r="EV271" s="205"/>
      <c r="EW271" s="205"/>
      <c r="EX271" s="205"/>
      <c r="EY271" s="205"/>
      <c r="EZ271" s="205"/>
      <c r="FA271" s="205"/>
      <c r="FB271" s="205"/>
      <c r="FC271" s="205"/>
      <c r="FD271" s="205"/>
      <c r="FE271" s="205"/>
      <c r="FF271" s="205"/>
      <c r="FG271" s="205"/>
      <c r="FH271" s="205"/>
      <c r="FI271" s="205"/>
      <c r="FJ271" s="205"/>
      <c r="FK271" s="205"/>
      <c r="FL271" s="205"/>
      <c r="FM271" s="205"/>
      <c r="FN271" s="205"/>
      <c r="FO271" s="205"/>
      <c r="FP271" s="205"/>
      <c r="FQ271" s="205"/>
      <c r="FR271" s="205"/>
      <c r="FS271" s="205"/>
      <c r="FT271" s="205"/>
      <c r="FU271" s="205"/>
      <c r="FV271" s="205"/>
      <c r="FW271" s="205"/>
      <c r="FX271" s="205"/>
      <c r="FY271" s="205"/>
      <c r="FZ271" s="205"/>
      <c r="GA271" s="205"/>
      <c r="GB271" s="205"/>
      <c r="GC271" s="205"/>
      <c r="GD271" s="205"/>
      <c r="GE271" s="205"/>
      <c r="GF271" s="205"/>
      <c r="GG271" s="205"/>
      <c r="GH271" s="205"/>
      <c r="GI271" s="205"/>
      <c r="GJ271" s="205"/>
      <c r="GK271" s="205"/>
      <c r="GL271" s="205"/>
      <c r="GM271" s="205"/>
      <c r="GN271" s="205"/>
      <c r="GO271" s="205"/>
      <c r="GP271" s="205"/>
      <c r="GQ271" s="205"/>
      <c r="GR271" s="205"/>
      <c r="GS271" s="205"/>
      <c r="GT271" s="205"/>
      <c r="GU271" s="205"/>
      <c r="GV271" s="205"/>
      <c r="GW271" s="205"/>
      <c r="GX271" s="205"/>
      <c r="GY271" s="205"/>
      <c r="GZ271" s="205"/>
      <c r="HA271" s="205"/>
      <c r="HB271" s="205"/>
      <c r="HC271" s="205"/>
      <c r="HD271" s="205"/>
      <c r="HE271" s="205"/>
      <c r="HF271" s="205"/>
      <c r="HG271" s="205"/>
      <c r="HH271" s="205"/>
      <c r="HI271" s="205"/>
      <c r="HJ271" s="205"/>
      <c r="HK271" s="205"/>
      <c r="HL271" s="205"/>
      <c r="HM271" s="205"/>
      <c r="HN271" s="205"/>
      <c r="HO271" s="205"/>
      <c r="HP271" s="205"/>
      <c r="HQ271" s="205"/>
      <c r="HR271" s="205"/>
      <c r="HS271" s="205"/>
      <c r="HT271" s="205"/>
      <c r="HU271" s="205"/>
      <c r="HV271" s="205"/>
      <c r="HW271" s="205"/>
      <c r="HX271" s="205"/>
      <c r="HY271" s="205"/>
      <c r="HZ271" s="205"/>
      <c r="IA271" s="205"/>
      <c r="IB271" s="205"/>
      <c r="IC271" s="205"/>
      <c r="ID271" s="205"/>
      <c r="IE271" s="205"/>
      <c r="IF271" s="205"/>
      <c r="IG271" s="205"/>
      <c r="IH271" s="205"/>
      <c r="II271" s="205"/>
      <c r="IJ271" s="205"/>
      <c r="IK271" s="205"/>
      <c r="IL271" s="205"/>
      <c r="IM271" s="205"/>
      <c r="IN271" s="205"/>
      <c r="IO271" s="205"/>
      <c r="IP271" s="205"/>
      <c r="IQ271" s="205"/>
      <c r="IR271" s="205"/>
      <c r="IS271" s="205"/>
      <c r="IT271" s="205"/>
      <c r="IU271" s="205"/>
      <c r="IV271" s="205"/>
      <c r="IW271" s="205"/>
      <c r="IX271" s="205"/>
    </row>
    <row r="272" spans="1:258" s="203" customFormat="1" x14ac:dyDescent="0.2">
      <c r="A272" s="669"/>
      <c r="B272" s="670"/>
      <c r="C272" s="1358"/>
      <c r="D272" s="672"/>
      <c r="E272" s="1359"/>
      <c r="F272" s="1359"/>
      <c r="G272" s="1360" t="str">
        <f>G267</f>
        <v>Talang</v>
      </c>
      <c r="H272" s="1361">
        <f>H267</f>
        <v>26</v>
      </c>
      <c r="I272" s="1362" t="s">
        <v>424</v>
      </c>
      <c r="J272" s="1362">
        <f>J267/0.125</f>
        <v>5.6</v>
      </c>
      <c r="K272" s="1362" t="s">
        <v>424</v>
      </c>
      <c r="L272" s="1375">
        <f t="shared" ref="L272" si="126">Z272</f>
        <v>0.39438400000000001</v>
      </c>
      <c r="M272" s="1362"/>
      <c r="N272" s="1362"/>
      <c r="O272" s="1362"/>
      <c r="P272" s="1362"/>
      <c r="Q272" s="1362" t="s">
        <v>696</v>
      </c>
      <c r="R272" s="1363">
        <f t="shared" ref="R272:R275" si="127">H272*J272*L272</f>
        <v>57.422310400000001</v>
      </c>
      <c r="S272" s="1364"/>
      <c r="T272" s="722"/>
      <c r="U272" s="205"/>
      <c r="V272" s="687" t="s">
        <v>1555</v>
      </c>
      <c r="W272" s="688">
        <v>8.0000000000000002E-3</v>
      </c>
      <c r="X272" s="689">
        <v>7850</v>
      </c>
      <c r="Y272" s="690">
        <f t="shared" ref="Y272:Y274" si="128">0.25*3.14*(W272*W272)</f>
        <v>5.024E-5</v>
      </c>
      <c r="Z272" s="691">
        <f t="shared" ref="Z272:Z274" si="129">X272*Y272*AA272</f>
        <v>0.39438400000000001</v>
      </c>
      <c r="AA272" s="689">
        <v>1</v>
      </c>
      <c r="AB272" s="692">
        <f t="shared" ref="AB272:AB274" si="130">Z272*12</f>
        <v>4.7326079999999999</v>
      </c>
      <c r="AC272" s="693" t="s">
        <v>1554</v>
      </c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5"/>
      <c r="BN272" s="205"/>
      <c r="BO272" s="205"/>
      <c r="BP272" s="205"/>
      <c r="BQ272" s="205"/>
      <c r="BR272" s="205"/>
      <c r="BS272" s="205"/>
      <c r="BT272" s="205"/>
      <c r="BU272" s="205"/>
      <c r="BV272" s="205"/>
      <c r="BW272" s="205"/>
      <c r="BX272" s="205"/>
      <c r="BY272" s="205"/>
      <c r="BZ272" s="205"/>
      <c r="CA272" s="205"/>
      <c r="CB272" s="205"/>
      <c r="CC272" s="205"/>
      <c r="CD272" s="205"/>
      <c r="CE272" s="205"/>
      <c r="CF272" s="205"/>
      <c r="CG272" s="205"/>
      <c r="CH272" s="205"/>
      <c r="CI272" s="205"/>
      <c r="CJ272" s="205"/>
      <c r="CK272" s="205"/>
      <c r="CL272" s="205"/>
      <c r="CM272" s="205"/>
      <c r="CN272" s="205"/>
      <c r="CO272" s="205"/>
      <c r="CP272" s="205"/>
      <c r="CQ272" s="205"/>
      <c r="CR272" s="205"/>
      <c r="CS272" s="205"/>
      <c r="CT272" s="205"/>
      <c r="CU272" s="205"/>
      <c r="CV272" s="205"/>
      <c r="CW272" s="205"/>
      <c r="CX272" s="205"/>
      <c r="CY272" s="205"/>
      <c r="CZ272" s="205"/>
      <c r="DA272" s="205"/>
      <c r="DB272" s="205"/>
      <c r="DC272" s="205"/>
      <c r="DD272" s="205"/>
      <c r="DE272" s="205"/>
      <c r="DF272" s="205"/>
      <c r="DG272" s="205"/>
      <c r="DH272" s="205"/>
      <c r="DI272" s="205"/>
      <c r="DJ272" s="205"/>
      <c r="DK272" s="205"/>
      <c r="DL272" s="205"/>
      <c r="DM272" s="205"/>
      <c r="DN272" s="205"/>
      <c r="DO272" s="205"/>
      <c r="DP272" s="205"/>
      <c r="DQ272" s="205"/>
      <c r="DR272" s="205"/>
      <c r="DS272" s="205"/>
      <c r="DT272" s="205"/>
      <c r="DU272" s="205"/>
      <c r="DV272" s="205"/>
      <c r="DW272" s="205"/>
      <c r="DX272" s="205"/>
      <c r="DY272" s="205"/>
      <c r="DZ272" s="205"/>
      <c r="EA272" s="205"/>
      <c r="EB272" s="205"/>
      <c r="EC272" s="205"/>
      <c r="ED272" s="205"/>
      <c r="EE272" s="205"/>
      <c r="EF272" s="205"/>
      <c r="EG272" s="205"/>
      <c r="EH272" s="205"/>
      <c r="EI272" s="205"/>
      <c r="EJ272" s="205"/>
      <c r="EK272" s="205"/>
      <c r="EL272" s="205"/>
      <c r="EM272" s="205"/>
      <c r="EN272" s="205"/>
      <c r="EO272" s="205"/>
      <c r="EP272" s="205"/>
      <c r="EQ272" s="205"/>
      <c r="ER272" s="205"/>
      <c r="ES272" s="205"/>
      <c r="ET272" s="205"/>
      <c r="EU272" s="205"/>
      <c r="EV272" s="205"/>
      <c r="EW272" s="205"/>
      <c r="EX272" s="205"/>
      <c r="EY272" s="205"/>
      <c r="EZ272" s="205"/>
      <c r="FA272" s="205"/>
      <c r="FB272" s="205"/>
      <c r="FC272" s="205"/>
      <c r="FD272" s="205"/>
      <c r="FE272" s="205"/>
      <c r="FF272" s="205"/>
      <c r="FG272" s="205"/>
      <c r="FH272" s="205"/>
      <c r="FI272" s="205"/>
      <c r="FJ272" s="205"/>
      <c r="FK272" s="205"/>
      <c r="FL272" s="205"/>
      <c r="FM272" s="205"/>
      <c r="FN272" s="205"/>
      <c r="FO272" s="205"/>
      <c r="FP272" s="205"/>
      <c r="FQ272" s="205"/>
      <c r="FR272" s="205"/>
      <c r="FS272" s="205"/>
      <c r="FT272" s="205"/>
      <c r="FU272" s="205"/>
      <c r="FV272" s="205"/>
      <c r="FW272" s="205"/>
      <c r="FX272" s="205"/>
      <c r="FY272" s="205"/>
      <c r="FZ272" s="205"/>
      <c r="GA272" s="205"/>
      <c r="GB272" s="205"/>
      <c r="GC272" s="205"/>
      <c r="GD272" s="205"/>
      <c r="GE272" s="205"/>
      <c r="GF272" s="205"/>
      <c r="GG272" s="205"/>
      <c r="GH272" s="205"/>
      <c r="GI272" s="205"/>
      <c r="GJ272" s="205"/>
      <c r="GK272" s="205"/>
      <c r="GL272" s="205"/>
      <c r="GM272" s="205"/>
      <c r="GN272" s="205"/>
      <c r="GO272" s="205"/>
      <c r="GP272" s="205"/>
      <c r="GQ272" s="205"/>
      <c r="GR272" s="205"/>
      <c r="GS272" s="205"/>
      <c r="GT272" s="205"/>
      <c r="GU272" s="205"/>
      <c r="GV272" s="205"/>
      <c r="GW272" s="205"/>
      <c r="GX272" s="205"/>
      <c r="GY272" s="205"/>
      <c r="GZ272" s="205"/>
      <c r="HA272" s="205"/>
      <c r="HB272" s="205"/>
      <c r="HC272" s="205"/>
      <c r="HD272" s="205"/>
      <c r="HE272" s="205"/>
      <c r="HF272" s="205"/>
      <c r="HG272" s="205"/>
      <c r="HH272" s="205"/>
      <c r="HI272" s="205"/>
      <c r="HJ272" s="205"/>
      <c r="HK272" s="205"/>
      <c r="HL272" s="205"/>
      <c r="HM272" s="205"/>
      <c r="HN272" s="205"/>
      <c r="HO272" s="205"/>
      <c r="HP272" s="205"/>
      <c r="HQ272" s="205"/>
      <c r="HR272" s="205"/>
      <c r="HS272" s="205"/>
      <c r="HT272" s="205"/>
      <c r="HU272" s="205"/>
      <c r="HV272" s="205"/>
      <c r="HW272" s="205"/>
      <c r="HX272" s="205"/>
      <c r="HY272" s="205"/>
      <c r="HZ272" s="205"/>
      <c r="IA272" s="205"/>
      <c r="IB272" s="205"/>
      <c r="IC272" s="205"/>
      <c r="ID272" s="205"/>
      <c r="IE272" s="205"/>
      <c r="IF272" s="205"/>
      <c r="IG272" s="205"/>
      <c r="IH272" s="205"/>
      <c r="II272" s="205"/>
      <c r="IJ272" s="205"/>
      <c r="IK272" s="205"/>
      <c r="IL272" s="205"/>
      <c r="IM272" s="205"/>
      <c r="IN272" s="205"/>
      <c r="IO272" s="205"/>
      <c r="IP272" s="205"/>
      <c r="IQ272" s="205"/>
      <c r="IR272" s="205"/>
      <c r="IS272" s="205"/>
      <c r="IT272" s="205"/>
      <c r="IU272" s="205"/>
      <c r="IV272" s="205"/>
      <c r="IW272" s="205"/>
      <c r="IX272" s="205"/>
    </row>
    <row r="273" spans="1:258" s="203" customFormat="1" x14ac:dyDescent="0.2">
      <c r="A273" s="669"/>
      <c r="B273" s="670"/>
      <c r="C273" s="1358"/>
      <c r="D273" s="672"/>
      <c r="E273" s="1359"/>
      <c r="F273" s="1359"/>
      <c r="G273" s="1360"/>
      <c r="H273" s="1361">
        <f>J268+0.3</f>
        <v>0.89999999999999991</v>
      </c>
      <c r="I273" s="1362" t="s">
        <v>424</v>
      </c>
      <c r="J273" s="1362">
        <f>H272/0.125</f>
        <v>208</v>
      </c>
      <c r="K273" s="1362" t="s">
        <v>424</v>
      </c>
      <c r="L273" s="1375">
        <f>L272</f>
        <v>0.39438400000000001</v>
      </c>
      <c r="M273" s="1362"/>
      <c r="N273" s="1362"/>
      <c r="O273" s="1362"/>
      <c r="P273" s="1362"/>
      <c r="Q273" s="1362" t="s">
        <v>696</v>
      </c>
      <c r="R273" s="1363">
        <f t="shared" ref="R273" si="131">H273*J273*L273</f>
        <v>73.828684800000005</v>
      </c>
      <c r="S273" s="1364"/>
      <c r="T273" s="722"/>
      <c r="U273" s="205"/>
      <c r="V273" s="687"/>
      <c r="W273" s="688"/>
      <c r="X273" s="689"/>
      <c r="Y273" s="690"/>
      <c r="Z273" s="691"/>
      <c r="AA273" s="689"/>
      <c r="AB273" s="692"/>
      <c r="AC273" s="693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5"/>
      <c r="BN273" s="205"/>
      <c r="BO273" s="205"/>
      <c r="BP273" s="205"/>
      <c r="BQ273" s="205"/>
      <c r="BR273" s="205"/>
      <c r="BS273" s="205"/>
      <c r="BT273" s="205"/>
      <c r="BU273" s="205"/>
      <c r="BV273" s="205"/>
      <c r="BW273" s="205"/>
      <c r="BX273" s="205"/>
      <c r="BY273" s="205"/>
      <c r="BZ273" s="205"/>
      <c r="CA273" s="205"/>
      <c r="CB273" s="205"/>
      <c r="CC273" s="205"/>
      <c r="CD273" s="205"/>
      <c r="CE273" s="205"/>
      <c r="CF273" s="205"/>
      <c r="CG273" s="205"/>
      <c r="CH273" s="205"/>
      <c r="CI273" s="205"/>
      <c r="CJ273" s="205"/>
      <c r="CK273" s="205"/>
      <c r="CL273" s="205"/>
      <c r="CM273" s="205"/>
      <c r="CN273" s="205"/>
      <c r="CO273" s="205"/>
      <c r="CP273" s="205"/>
      <c r="CQ273" s="205"/>
      <c r="CR273" s="205"/>
      <c r="CS273" s="205"/>
      <c r="CT273" s="205"/>
      <c r="CU273" s="205"/>
      <c r="CV273" s="205"/>
      <c r="CW273" s="205"/>
      <c r="CX273" s="205"/>
      <c r="CY273" s="205"/>
      <c r="CZ273" s="205"/>
      <c r="DA273" s="205"/>
      <c r="DB273" s="205"/>
      <c r="DC273" s="205"/>
      <c r="DD273" s="205"/>
      <c r="DE273" s="205"/>
      <c r="DF273" s="205"/>
      <c r="DG273" s="205"/>
      <c r="DH273" s="205"/>
      <c r="DI273" s="205"/>
      <c r="DJ273" s="205"/>
      <c r="DK273" s="205"/>
      <c r="DL273" s="205"/>
      <c r="DM273" s="205"/>
      <c r="DN273" s="205"/>
      <c r="DO273" s="205"/>
      <c r="DP273" s="205"/>
      <c r="DQ273" s="205"/>
      <c r="DR273" s="205"/>
      <c r="DS273" s="205"/>
      <c r="DT273" s="205"/>
      <c r="DU273" s="205"/>
      <c r="DV273" s="205"/>
      <c r="DW273" s="205"/>
      <c r="DX273" s="205"/>
      <c r="DY273" s="205"/>
      <c r="DZ273" s="205"/>
      <c r="EA273" s="205"/>
      <c r="EB273" s="205"/>
      <c r="EC273" s="205"/>
      <c r="ED273" s="205"/>
      <c r="EE273" s="205"/>
      <c r="EF273" s="205"/>
      <c r="EG273" s="205"/>
      <c r="EH273" s="205"/>
      <c r="EI273" s="205"/>
      <c r="EJ273" s="205"/>
      <c r="EK273" s="205"/>
      <c r="EL273" s="205"/>
      <c r="EM273" s="205"/>
      <c r="EN273" s="205"/>
      <c r="EO273" s="205"/>
      <c r="EP273" s="205"/>
      <c r="EQ273" s="205"/>
      <c r="ER273" s="205"/>
      <c r="ES273" s="205"/>
      <c r="ET273" s="205"/>
      <c r="EU273" s="205"/>
      <c r="EV273" s="205"/>
      <c r="EW273" s="205"/>
      <c r="EX273" s="205"/>
      <c r="EY273" s="205"/>
      <c r="EZ273" s="205"/>
      <c r="FA273" s="205"/>
      <c r="FB273" s="205"/>
      <c r="FC273" s="205"/>
      <c r="FD273" s="205"/>
      <c r="FE273" s="205"/>
      <c r="FF273" s="205"/>
      <c r="FG273" s="205"/>
      <c r="FH273" s="205"/>
      <c r="FI273" s="205"/>
      <c r="FJ273" s="205"/>
      <c r="FK273" s="205"/>
      <c r="FL273" s="205"/>
      <c r="FM273" s="205"/>
      <c r="FN273" s="205"/>
      <c r="FO273" s="205"/>
      <c r="FP273" s="205"/>
      <c r="FQ273" s="205"/>
      <c r="FR273" s="205"/>
      <c r="FS273" s="205"/>
      <c r="FT273" s="205"/>
      <c r="FU273" s="205"/>
      <c r="FV273" s="205"/>
      <c r="FW273" s="205"/>
      <c r="FX273" s="205"/>
      <c r="FY273" s="205"/>
      <c r="FZ273" s="205"/>
      <c r="GA273" s="205"/>
      <c r="GB273" s="205"/>
      <c r="GC273" s="205"/>
      <c r="GD273" s="205"/>
      <c r="GE273" s="205"/>
      <c r="GF273" s="205"/>
      <c r="GG273" s="205"/>
      <c r="GH273" s="205"/>
      <c r="GI273" s="205"/>
      <c r="GJ273" s="205"/>
      <c r="GK273" s="205"/>
      <c r="GL273" s="205"/>
      <c r="GM273" s="205"/>
      <c r="GN273" s="205"/>
      <c r="GO273" s="205"/>
      <c r="GP273" s="205"/>
      <c r="GQ273" s="205"/>
      <c r="GR273" s="205"/>
      <c r="GS273" s="205"/>
      <c r="GT273" s="205"/>
      <c r="GU273" s="205"/>
      <c r="GV273" s="205"/>
      <c r="GW273" s="205"/>
      <c r="GX273" s="205"/>
      <c r="GY273" s="205"/>
      <c r="GZ273" s="205"/>
      <c r="HA273" s="205"/>
      <c r="HB273" s="205"/>
      <c r="HC273" s="205"/>
      <c r="HD273" s="205"/>
      <c r="HE273" s="205"/>
      <c r="HF273" s="205"/>
      <c r="HG273" s="205"/>
      <c r="HH273" s="205"/>
      <c r="HI273" s="205"/>
      <c r="HJ273" s="205"/>
      <c r="HK273" s="205"/>
      <c r="HL273" s="205"/>
      <c r="HM273" s="205"/>
      <c r="HN273" s="205"/>
      <c r="HO273" s="205"/>
      <c r="HP273" s="205"/>
      <c r="HQ273" s="205"/>
      <c r="HR273" s="205"/>
      <c r="HS273" s="205"/>
      <c r="HT273" s="205"/>
      <c r="HU273" s="205"/>
      <c r="HV273" s="205"/>
      <c r="HW273" s="205"/>
      <c r="HX273" s="205"/>
      <c r="HY273" s="205"/>
      <c r="HZ273" s="205"/>
      <c r="IA273" s="205"/>
      <c r="IB273" s="205"/>
      <c r="IC273" s="205"/>
      <c r="ID273" s="205"/>
      <c r="IE273" s="205"/>
      <c r="IF273" s="205"/>
      <c r="IG273" s="205"/>
      <c r="IH273" s="205"/>
      <c r="II273" s="205"/>
      <c r="IJ273" s="205"/>
      <c r="IK273" s="205"/>
      <c r="IL273" s="205"/>
      <c r="IM273" s="205"/>
      <c r="IN273" s="205"/>
      <c r="IO273" s="205"/>
      <c r="IP273" s="205"/>
      <c r="IQ273" s="205"/>
      <c r="IR273" s="205"/>
      <c r="IS273" s="205"/>
      <c r="IT273" s="205"/>
      <c r="IU273" s="205"/>
      <c r="IV273" s="205"/>
      <c r="IW273" s="205"/>
      <c r="IX273" s="205"/>
    </row>
    <row r="274" spans="1:258" s="203" customFormat="1" x14ac:dyDescent="0.2">
      <c r="A274" s="669"/>
      <c r="B274" s="670"/>
      <c r="C274" s="1358"/>
      <c r="D274" s="672"/>
      <c r="E274" s="1359"/>
      <c r="F274" s="1359"/>
      <c r="G274" s="1360" t="str">
        <f>G268</f>
        <v>Lisplank</v>
      </c>
      <c r="H274" s="1361">
        <f>H268</f>
        <v>26</v>
      </c>
      <c r="I274" s="1362" t="s">
        <v>424</v>
      </c>
      <c r="J274" s="1362">
        <f>J268/0.125</f>
        <v>4.8</v>
      </c>
      <c r="K274" s="1362" t="s">
        <v>424</v>
      </c>
      <c r="L274" s="1375">
        <f t="shared" ref="L274" si="132">Z274</f>
        <v>0.39438400000000001</v>
      </c>
      <c r="M274" s="1362"/>
      <c r="N274" s="1362"/>
      <c r="O274" s="1362"/>
      <c r="P274" s="1362"/>
      <c r="Q274" s="1362" t="s">
        <v>696</v>
      </c>
      <c r="R274" s="1363">
        <f t="shared" si="127"/>
        <v>49.219123199999999</v>
      </c>
      <c r="S274" s="1364"/>
      <c r="T274" s="722"/>
      <c r="U274" s="205"/>
      <c r="V274" s="687" t="s">
        <v>1555</v>
      </c>
      <c r="W274" s="688">
        <v>8.0000000000000002E-3</v>
      </c>
      <c r="X274" s="689">
        <v>7850</v>
      </c>
      <c r="Y274" s="690">
        <f t="shared" si="128"/>
        <v>5.024E-5</v>
      </c>
      <c r="Z274" s="691">
        <f t="shared" si="129"/>
        <v>0.39438400000000001</v>
      </c>
      <c r="AA274" s="689">
        <v>1</v>
      </c>
      <c r="AB274" s="692">
        <f t="shared" si="130"/>
        <v>4.7326079999999999</v>
      </c>
      <c r="AC274" s="693" t="s">
        <v>1554</v>
      </c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5"/>
      <c r="BN274" s="205"/>
      <c r="BO274" s="205"/>
      <c r="BP274" s="205"/>
      <c r="BQ274" s="205"/>
      <c r="BR274" s="205"/>
      <c r="BS274" s="205"/>
      <c r="BT274" s="205"/>
      <c r="BU274" s="205"/>
      <c r="BV274" s="205"/>
      <c r="BW274" s="205"/>
      <c r="BX274" s="205"/>
      <c r="BY274" s="205"/>
      <c r="BZ274" s="205"/>
      <c r="CA274" s="205"/>
      <c r="CB274" s="205"/>
      <c r="CC274" s="205"/>
      <c r="CD274" s="205"/>
      <c r="CE274" s="205"/>
      <c r="CF274" s="205"/>
      <c r="CG274" s="205"/>
      <c r="CH274" s="205"/>
      <c r="CI274" s="205"/>
      <c r="CJ274" s="205"/>
      <c r="CK274" s="205"/>
      <c r="CL274" s="205"/>
      <c r="CM274" s="205"/>
      <c r="CN274" s="205"/>
      <c r="CO274" s="205"/>
      <c r="CP274" s="205"/>
      <c r="CQ274" s="205"/>
      <c r="CR274" s="205"/>
      <c r="CS274" s="205"/>
      <c r="CT274" s="205"/>
      <c r="CU274" s="205"/>
      <c r="CV274" s="205"/>
      <c r="CW274" s="205"/>
      <c r="CX274" s="205"/>
      <c r="CY274" s="205"/>
      <c r="CZ274" s="205"/>
      <c r="DA274" s="205"/>
      <c r="DB274" s="205"/>
      <c r="DC274" s="205"/>
      <c r="DD274" s="205"/>
      <c r="DE274" s="205"/>
      <c r="DF274" s="205"/>
      <c r="DG274" s="205"/>
      <c r="DH274" s="205"/>
      <c r="DI274" s="205"/>
      <c r="DJ274" s="205"/>
      <c r="DK274" s="205"/>
      <c r="DL274" s="205"/>
      <c r="DM274" s="205"/>
      <c r="DN274" s="205"/>
      <c r="DO274" s="205"/>
      <c r="DP274" s="205"/>
      <c r="DQ274" s="205"/>
      <c r="DR274" s="205"/>
      <c r="DS274" s="205"/>
      <c r="DT274" s="205"/>
      <c r="DU274" s="205"/>
      <c r="DV274" s="205"/>
      <c r="DW274" s="205"/>
      <c r="DX274" s="205"/>
      <c r="DY274" s="205"/>
      <c r="DZ274" s="205"/>
      <c r="EA274" s="205"/>
      <c r="EB274" s="205"/>
      <c r="EC274" s="205"/>
      <c r="ED274" s="205"/>
      <c r="EE274" s="205"/>
      <c r="EF274" s="205"/>
      <c r="EG274" s="205"/>
      <c r="EH274" s="205"/>
      <c r="EI274" s="205"/>
      <c r="EJ274" s="205"/>
      <c r="EK274" s="205"/>
      <c r="EL274" s="205"/>
      <c r="EM274" s="205"/>
      <c r="EN274" s="205"/>
      <c r="EO274" s="205"/>
      <c r="EP274" s="205"/>
      <c r="EQ274" s="205"/>
      <c r="ER274" s="205"/>
      <c r="ES274" s="205"/>
      <c r="ET274" s="205"/>
      <c r="EU274" s="205"/>
      <c r="EV274" s="205"/>
      <c r="EW274" s="205"/>
      <c r="EX274" s="205"/>
      <c r="EY274" s="205"/>
      <c r="EZ274" s="205"/>
      <c r="FA274" s="205"/>
      <c r="FB274" s="205"/>
      <c r="FC274" s="205"/>
      <c r="FD274" s="205"/>
      <c r="FE274" s="205"/>
      <c r="FF274" s="205"/>
      <c r="FG274" s="205"/>
      <c r="FH274" s="205"/>
      <c r="FI274" s="205"/>
      <c r="FJ274" s="205"/>
      <c r="FK274" s="205"/>
      <c r="FL274" s="205"/>
      <c r="FM274" s="205"/>
      <c r="FN274" s="205"/>
      <c r="FO274" s="205"/>
      <c r="FP274" s="205"/>
      <c r="FQ274" s="205"/>
      <c r="FR274" s="205"/>
      <c r="FS274" s="205"/>
      <c r="FT274" s="205"/>
      <c r="FU274" s="205"/>
      <c r="FV274" s="205"/>
      <c r="FW274" s="205"/>
      <c r="FX274" s="205"/>
      <c r="FY274" s="205"/>
      <c r="FZ274" s="205"/>
      <c r="GA274" s="205"/>
      <c r="GB274" s="205"/>
      <c r="GC274" s="205"/>
      <c r="GD274" s="205"/>
      <c r="GE274" s="205"/>
      <c r="GF274" s="205"/>
      <c r="GG274" s="205"/>
      <c r="GH274" s="205"/>
      <c r="GI274" s="205"/>
      <c r="GJ274" s="205"/>
      <c r="GK274" s="205"/>
      <c r="GL274" s="205"/>
      <c r="GM274" s="205"/>
      <c r="GN274" s="205"/>
      <c r="GO274" s="205"/>
      <c r="GP274" s="205"/>
      <c r="GQ274" s="205"/>
      <c r="GR274" s="205"/>
      <c r="GS274" s="205"/>
      <c r="GT274" s="205"/>
      <c r="GU274" s="205"/>
      <c r="GV274" s="205"/>
      <c r="GW274" s="205"/>
      <c r="GX274" s="205"/>
      <c r="GY274" s="205"/>
      <c r="GZ274" s="205"/>
      <c r="HA274" s="205"/>
      <c r="HB274" s="205"/>
      <c r="HC274" s="205"/>
      <c r="HD274" s="205"/>
      <c r="HE274" s="205"/>
      <c r="HF274" s="205"/>
      <c r="HG274" s="205"/>
      <c r="HH274" s="205"/>
      <c r="HI274" s="205"/>
      <c r="HJ274" s="205"/>
      <c r="HK274" s="205"/>
      <c r="HL274" s="205"/>
      <c r="HM274" s="205"/>
      <c r="HN274" s="205"/>
      <c r="HO274" s="205"/>
      <c r="HP274" s="205"/>
      <c r="HQ274" s="205"/>
      <c r="HR274" s="205"/>
      <c r="HS274" s="205"/>
      <c r="HT274" s="205"/>
      <c r="HU274" s="205"/>
      <c r="HV274" s="205"/>
      <c r="HW274" s="205"/>
      <c r="HX274" s="205"/>
      <c r="HY274" s="205"/>
      <c r="HZ274" s="205"/>
      <c r="IA274" s="205"/>
      <c r="IB274" s="205"/>
      <c r="IC274" s="205"/>
      <c r="ID274" s="205"/>
      <c r="IE274" s="205"/>
      <c r="IF274" s="205"/>
      <c r="IG274" s="205"/>
      <c r="IH274" s="205"/>
      <c r="II274" s="205"/>
      <c r="IJ274" s="205"/>
      <c r="IK274" s="205"/>
      <c r="IL274" s="205"/>
      <c r="IM274" s="205"/>
      <c r="IN274" s="205"/>
      <c r="IO274" s="205"/>
      <c r="IP274" s="205"/>
      <c r="IQ274" s="205"/>
      <c r="IR274" s="205"/>
      <c r="IS274" s="205"/>
      <c r="IT274" s="205"/>
      <c r="IU274" s="205"/>
      <c r="IV274" s="205"/>
      <c r="IW274" s="205"/>
      <c r="IX274" s="205"/>
    </row>
    <row r="275" spans="1:258" s="203" customFormat="1" x14ac:dyDescent="0.2">
      <c r="A275" s="669"/>
      <c r="B275" s="670"/>
      <c r="C275" s="1358"/>
      <c r="D275" s="672"/>
      <c r="E275" s="1359"/>
      <c r="F275" s="1359"/>
      <c r="G275" s="1360"/>
      <c r="H275" s="1361">
        <f>J268+0.3</f>
        <v>0.89999999999999991</v>
      </c>
      <c r="I275" s="1362" t="s">
        <v>424</v>
      </c>
      <c r="J275" s="1362">
        <f>H274/0.125</f>
        <v>208</v>
      </c>
      <c r="K275" s="1362" t="s">
        <v>424</v>
      </c>
      <c r="L275" s="1375">
        <f>L274</f>
        <v>0.39438400000000001</v>
      </c>
      <c r="M275" s="1362"/>
      <c r="N275" s="1362"/>
      <c r="O275" s="1362"/>
      <c r="P275" s="1362"/>
      <c r="Q275" s="1362" t="s">
        <v>696</v>
      </c>
      <c r="R275" s="1363">
        <f t="shared" si="127"/>
        <v>73.828684800000005</v>
      </c>
      <c r="S275" s="1364"/>
      <c r="T275" s="722"/>
      <c r="U275" s="205"/>
      <c r="V275" s="68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5"/>
      <c r="BN275" s="205"/>
      <c r="BO275" s="205"/>
      <c r="BP275" s="205"/>
      <c r="BQ275" s="205"/>
      <c r="BR275" s="205"/>
      <c r="BS275" s="205"/>
      <c r="BT275" s="205"/>
      <c r="BU275" s="205"/>
      <c r="BV275" s="205"/>
      <c r="BW275" s="205"/>
      <c r="BX275" s="205"/>
      <c r="BY275" s="205"/>
      <c r="BZ275" s="205"/>
      <c r="CA275" s="205"/>
      <c r="CB275" s="205"/>
      <c r="CC275" s="205"/>
      <c r="CD275" s="205"/>
      <c r="CE275" s="205"/>
      <c r="CF275" s="205"/>
      <c r="CG275" s="205"/>
      <c r="CH275" s="205"/>
      <c r="CI275" s="205"/>
      <c r="CJ275" s="205"/>
      <c r="CK275" s="205"/>
      <c r="CL275" s="205"/>
      <c r="CM275" s="205"/>
      <c r="CN275" s="205"/>
      <c r="CO275" s="205"/>
      <c r="CP275" s="205"/>
      <c r="CQ275" s="205"/>
      <c r="CR275" s="205"/>
      <c r="CS275" s="205"/>
      <c r="CT275" s="205"/>
      <c r="CU275" s="205"/>
      <c r="CV275" s="205"/>
      <c r="CW275" s="205"/>
      <c r="CX275" s="205"/>
      <c r="CY275" s="205"/>
      <c r="CZ275" s="205"/>
      <c r="DA275" s="205"/>
      <c r="DB275" s="205"/>
      <c r="DC275" s="205"/>
      <c r="DD275" s="205"/>
      <c r="DE275" s="205"/>
      <c r="DF275" s="205"/>
      <c r="DG275" s="205"/>
      <c r="DH275" s="205"/>
      <c r="DI275" s="205"/>
      <c r="DJ275" s="205"/>
      <c r="DK275" s="205"/>
      <c r="DL275" s="205"/>
      <c r="DM275" s="205"/>
      <c r="DN275" s="205"/>
      <c r="DO275" s="205"/>
      <c r="DP275" s="205"/>
      <c r="DQ275" s="205"/>
      <c r="DR275" s="205"/>
      <c r="DS275" s="205"/>
      <c r="DT275" s="205"/>
      <c r="DU275" s="205"/>
      <c r="DV275" s="205"/>
      <c r="DW275" s="205"/>
      <c r="DX275" s="205"/>
      <c r="DY275" s="205"/>
      <c r="DZ275" s="205"/>
      <c r="EA275" s="205"/>
      <c r="EB275" s="205"/>
      <c r="EC275" s="205"/>
      <c r="ED275" s="205"/>
      <c r="EE275" s="205"/>
      <c r="EF275" s="205"/>
      <c r="EG275" s="205"/>
      <c r="EH275" s="205"/>
      <c r="EI275" s="205"/>
      <c r="EJ275" s="205"/>
      <c r="EK275" s="205"/>
      <c r="EL275" s="205"/>
      <c r="EM275" s="205"/>
      <c r="EN275" s="205"/>
      <c r="EO275" s="205"/>
      <c r="EP275" s="205"/>
      <c r="EQ275" s="205"/>
      <c r="ER275" s="205"/>
      <c r="ES275" s="205"/>
      <c r="ET275" s="205"/>
      <c r="EU275" s="205"/>
      <c r="EV275" s="205"/>
      <c r="EW275" s="205"/>
      <c r="EX275" s="205"/>
      <c r="EY275" s="205"/>
      <c r="EZ275" s="205"/>
      <c r="FA275" s="205"/>
      <c r="FB275" s="205"/>
      <c r="FC275" s="205"/>
      <c r="FD275" s="205"/>
      <c r="FE275" s="205"/>
      <c r="FF275" s="205"/>
      <c r="FG275" s="205"/>
      <c r="FH275" s="205"/>
      <c r="FI275" s="205"/>
      <c r="FJ275" s="205"/>
      <c r="FK275" s="205"/>
      <c r="FL275" s="205"/>
      <c r="FM275" s="205"/>
      <c r="FN275" s="205"/>
      <c r="FO275" s="205"/>
      <c r="FP275" s="205"/>
      <c r="FQ275" s="205"/>
      <c r="FR275" s="205"/>
      <c r="FS275" s="205"/>
      <c r="FT275" s="205"/>
      <c r="FU275" s="205"/>
      <c r="FV275" s="205"/>
      <c r="FW275" s="205"/>
      <c r="FX275" s="205"/>
      <c r="FY275" s="205"/>
      <c r="FZ275" s="205"/>
      <c r="GA275" s="205"/>
      <c r="GB275" s="205"/>
      <c r="GC275" s="205"/>
      <c r="GD275" s="205"/>
      <c r="GE275" s="205"/>
      <c r="GF275" s="205"/>
      <c r="GG275" s="205"/>
      <c r="GH275" s="205"/>
      <c r="GI275" s="205"/>
      <c r="GJ275" s="205"/>
      <c r="GK275" s="205"/>
      <c r="GL275" s="205"/>
      <c r="GM275" s="205"/>
      <c r="GN275" s="205"/>
      <c r="GO275" s="205"/>
      <c r="GP275" s="205"/>
      <c r="GQ275" s="205"/>
      <c r="GR275" s="205"/>
      <c r="GS275" s="205"/>
      <c r="GT275" s="205"/>
      <c r="GU275" s="205"/>
      <c r="GV275" s="205"/>
      <c r="GW275" s="205"/>
      <c r="GX275" s="205"/>
      <c r="GY275" s="205"/>
      <c r="GZ275" s="205"/>
      <c r="HA275" s="205"/>
      <c r="HB275" s="205"/>
      <c r="HC275" s="205"/>
      <c r="HD275" s="205"/>
      <c r="HE275" s="205"/>
      <c r="HF275" s="205"/>
      <c r="HG275" s="205"/>
      <c r="HH275" s="205"/>
      <c r="HI275" s="205"/>
      <c r="HJ275" s="205"/>
      <c r="HK275" s="205"/>
      <c r="HL275" s="205"/>
      <c r="HM275" s="205"/>
      <c r="HN275" s="205"/>
      <c r="HO275" s="205"/>
      <c r="HP275" s="205"/>
      <c r="HQ275" s="205"/>
      <c r="HR275" s="205"/>
      <c r="HS275" s="205"/>
      <c r="HT275" s="205"/>
      <c r="HU275" s="205"/>
      <c r="HV275" s="205"/>
      <c r="HW275" s="205"/>
      <c r="HX275" s="205"/>
      <c r="HY275" s="205"/>
      <c r="HZ275" s="205"/>
      <c r="IA275" s="205"/>
      <c r="IB275" s="205"/>
      <c r="IC275" s="205"/>
      <c r="ID275" s="205"/>
      <c r="IE275" s="205"/>
      <c r="IF275" s="205"/>
      <c r="IG275" s="205"/>
      <c r="IH275" s="205"/>
      <c r="II275" s="205"/>
      <c r="IJ275" s="205"/>
      <c r="IK275" s="205"/>
      <c r="IL275" s="205"/>
      <c r="IM275" s="205"/>
      <c r="IN275" s="205"/>
      <c r="IO275" s="205"/>
      <c r="IP275" s="205"/>
      <c r="IQ275" s="205"/>
      <c r="IR275" s="205"/>
      <c r="IS275" s="205"/>
      <c r="IT275" s="205"/>
      <c r="IU275" s="205"/>
      <c r="IV275" s="205"/>
      <c r="IW275" s="205"/>
      <c r="IX275" s="205"/>
    </row>
    <row r="276" spans="1:258" s="203" customFormat="1" x14ac:dyDescent="0.2">
      <c r="A276" s="669"/>
      <c r="B276" s="670"/>
      <c r="C276" s="1358"/>
      <c r="D276" s="672"/>
      <c r="E276" s="1359"/>
      <c r="F276" s="1359"/>
      <c r="G276" s="1360"/>
      <c r="H276" s="1361"/>
      <c r="I276" s="1362"/>
      <c r="J276" s="1362"/>
      <c r="K276" s="1362"/>
      <c r="L276" s="1362"/>
      <c r="M276" s="1362"/>
      <c r="N276" s="1362"/>
      <c r="O276" s="1362"/>
      <c r="P276" s="1362"/>
      <c r="Q276" s="1362"/>
      <c r="R276" s="1363">
        <f>SUM(R272:R275)</f>
        <v>254.29880320000001</v>
      </c>
      <c r="S276" s="1364">
        <f>R276</f>
        <v>254.29880320000001</v>
      </c>
      <c r="T276" s="722" t="s">
        <v>298</v>
      </c>
      <c r="U276" s="205"/>
      <c r="V276" s="68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5"/>
      <c r="BN276" s="205"/>
      <c r="BO276" s="205"/>
      <c r="BP276" s="205"/>
      <c r="BQ276" s="205"/>
      <c r="BR276" s="205"/>
      <c r="BS276" s="205"/>
      <c r="BT276" s="205"/>
      <c r="BU276" s="205"/>
      <c r="BV276" s="205"/>
      <c r="BW276" s="205"/>
      <c r="BX276" s="205"/>
      <c r="BY276" s="205"/>
      <c r="BZ276" s="205"/>
      <c r="CA276" s="205"/>
      <c r="CB276" s="205"/>
      <c r="CC276" s="205"/>
      <c r="CD276" s="205"/>
      <c r="CE276" s="205"/>
      <c r="CF276" s="205"/>
      <c r="CG276" s="205"/>
      <c r="CH276" s="205"/>
      <c r="CI276" s="205"/>
      <c r="CJ276" s="205"/>
      <c r="CK276" s="205"/>
      <c r="CL276" s="205"/>
      <c r="CM276" s="205"/>
      <c r="CN276" s="205"/>
      <c r="CO276" s="205"/>
      <c r="CP276" s="205"/>
      <c r="CQ276" s="205"/>
      <c r="CR276" s="205"/>
      <c r="CS276" s="205"/>
      <c r="CT276" s="205"/>
      <c r="CU276" s="205"/>
      <c r="CV276" s="205"/>
      <c r="CW276" s="205"/>
      <c r="CX276" s="205"/>
      <c r="CY276" s="205"/>
      <c r="CZ276" s="205"/>
      <c r="DA276" s="205"/>
      <c r="DB276" s="205"/>
      <c r="DC276" s="205"/>
      <c r="DD276" s="205"/>
      <c r="DE276" s="205"/>
      <c r="DF276" s="205"/>
      <c r="DG276" s="205"/>
      <c r="DH276" s="205"/>
      <c r="DI276" s="205"/>
      <c r="DJ276" s="205"/>
      <c r="DK276" s="205"/>
      <c r="DL276" s="205"/>
      <c r="DM276" s="205"/>
      <c r="DN276" s="205"/>
      <c r="DO276" s="205"/>
      <c r="DP276" s="205"/>
      <c r="DQ276" s="205"/>
      <c r="DR276" s="205"/>
      <c r="DS276" s="205"/>
      <c r="DT276" s="205"/>
      <c r="DU276" s="205"/>
      <c r="DV276" s="205"/>
      <c r="DW276" s="205"/>
      <c r="DX276" s="205"/>
      <c r="DY276" s="205"/>
      <c r="DZ276" s="205"/>
      <c r="EA276" s="205"/>
      <c r="EB276" s="205"/>
      <c r="EC276" s="205"/>
      <c r="ED276" s="205"/>
      <c r="EE276" s="205"/>
      <c r="EF276" s="205"/>
      <c r="EG276" s="205"/>
      <c r="EH276" s="205"/>
      <c r="EI276" s="205"/>
      <c r="EJ276" s="205"/>
      <c r="EK276" s="205"/>
      <c r="EL276" s="205"/>
      <c r="EM276" s="205"/>
      <c r="EN276" s="205"/>
      <c r="EO276" s="205"/>
      <c r="EP276" s="205"/>
      <c r="EQ276" s="205"/>
      <c r="ER276" s="205"/>
      <c r="ES276" s="205"/>
      <c r="ET276" s="205"/>
      <c r="EU276" s="205"/>
      <c r="EV276" s="205"/>
      <c r="EW276" s="205"/>
      <c r="EX276" s="205"/>
      <c r="EY276" s="205"/>
      <c r="EZ276" s="205"/>
      <c r="FA276" s="205"/>
      <c r="FB276" s="205"/>
      <c r="FC276" s="205"/>
      <c r="FD276" s="205"/>
      <c r="FE276" s="205"/>
      <c r="FF276" s="205"/>
      <c r="FG276" s="205"/>
      <c r="FH276" s="205"/>
      <c r="FI276" s="205"/>
      <c r="FJ276" s="205"/>
      <c r="FK276" s="205"/>
      <c r="FL276" s="205"/>
      <c r="FM276" s="205"/>
      <c r="FN276" s="205"/>
      <c r="FO276" s="205"/>
      <c r="FP276" s="205"/>
      <c r="FQ276" s="205"/>
      <c r="FR276" s="205"/>
      <c r="FS276" s="205"/>
      <c r="FT276" s="205"/>
      <c r="FU276" s="205"/>
      <c r="FV276" s="205"/>
      <c r="FW276" s="205"/>
      <c r="FX276" s="205"/>
      <c r="FY276" s="205"/>
      <c r="FZ276" s="205"/>
      <c r="GA276" s="205"/>
      <c r="GB276" s="205"/>
      <c r="GC276" s="205"/>
      <c r="GD276" s="205"/>
      <c r="GE276" s="205"/>
      <c r="GF276" s="205"/>
      <c r="GG276" s="205"/>
      <c r="GH276" s="205"/>
      <c r="GI276" s="205"/>
      <c r="GJ276" s="205"/>
      <c r="GK276" s="205"/>
      <c r="GL276" s="205"/>
      <c r="GM276" s="205"/>
      <c r="GN276" s="205"/>
      <c r="GO276" s="205"/>
      <c r="GP276" s="205"/>
      <c r="GQ276" s="205"/>
      <c r="GR276" s="205"/>
      <c r="GS276" s="205"/>
      <c r="GT276" s="205"/>
      <c r="GU276" s="205"/>
      <c r="GV276" s="205"/>
      <c r="GW276" s="205"/>
      <c r="GX276" s="205"/>
      <c r="GY276" s="205"/>
      <c r="GZ276" s="205"/>
      <c r="HA276" s="205"/>
      <c r="HB276" s="205"/>
      <c r="HC276" s="205"/>
      <c r="HD276" s="205"/>
      <c r="HE276" s="205"/>
      <c r="HF276" s="205"/>
      <c r="HG276" s="205"/>
      <c r="HH276" s="205"/>
      <c r="HI276" s="205"/>
      <c r="HJ276" s="205"/>
      <c r="HK276" s="205"/>
      <c r="HL276" s="205"/>
      <c r="HM276" s="205"/>
      <c r="HN276" s="205"/>
      <c r="HO276" s="205"/>
      <c r="HP276" s="205"/>
      <c r="HQ276" s="205"/>
      <c r="HR276" s="205"/>
      <c r="HS276" s="205"/>
      <c r="HT276" s="205"/>
      <c r="HU276" s="205"/>
      <c r="HV276" s="205"/>
      <c r="HW276" s="205"/>
      <c r="HX276" s="205"/>
      <c r="HY276" s="205"/>
      <c r="HZ276" s="205"/>
      <c r="IA276" s="205"/>
      <c r="IB276" s="205"/>
      <c r="IC276" s="205"/>
      <c r="ID276" s="205"/>
      <c r="IE276" s="205"/>
      <c r="IF276" s="205"/>
      <c r="IG276" s="205"/>
      <c r="IH276" s="205"/>
      <c r="II276" s="205"/>
      <c r="IJ276" s="205"/>
      <c r="IK276" s="205"/>
      <c r="IL276" s="205"/>
      <c r="IM276" s="205"/>
      <c r="IN276" s="205"/>
      <c r="IO276" s="205"/>
      <c r="IP276" s="205"/>
      <c r="IQ276" s="205"/>
      <c r="IR276" s="205"/>
      <c r="IS276" s="205"/>
      <c r="IT276" s="205"/>
      <c r="IU276" s="205"/>
      <c r="IV276" s="205"/>
      <c r="IW276" s="205"/>
      <c r="IX276" s="205"/>
    </row>
    <row r="277" spans="1:258" s="203" customFormat="1" x14ac:dyDescent="0.2">
      <c r="A277" s="669"/>
      <c r="B277" s="670">
        <f>RAB!B96</f>
        <v>29</v>
      </c>
      <c r="C277" s="686" t="str">
        <f>RAB!D96</f>
        <v>Memasang bekisting untuk lantai (2x pakai)</v>
      </c>
      <c r="D277" s="672"/>
      <c r="E277" s="673"/>
      <c r="F277" s="673"/>
      <c r="G277" s="674"/>
      <c r="H277" s="675"/>
      <c r="I277" s="676"/>
      <c r="J277" s="676"/>
      <c r="K277" s="676"/>
      <c r="L277" s="676"/>
      <c r="M277" s="676"/>
      <c r="N277" s="676"/>
      <c r="O277" s="676"/>
      <c r="P277" s="676"/>
      <c r="Q277" s="676"/>
      <c r="R277" s="677"/>
      <c r="S277" s="678"/>
      <c r="T277" s="684"/>
      <c r="U277" s="205"/>
      <c r="V277" s="685"/>
      <c r="W277" s="205"/>
      <c r="X277" s="205"/>
      <c r="Y277" s="205"/>
      <c r="Z277" s="205"/>
      <c r="AA277" s="205"/>
      <c r="AB277" s="205"/>
      <c r="AC277" s="205"/>
      <c r="AD277" s="205"/>
      <c r="AE277" s="205"/>
      <c r="AF277" s="205"/>
      <c r="AG277" s="205"/>
      <c r="AH277" s="205"/>
      <c r="AI277" s="205"/>
      <c r="AJ277" s="205"/>
      <c r="AK277" s="205"/>
      <c r="AL277" s="205"/>
      <c r="AM277" s="205"/>
      <c r="AN277" s="205"/>
      <c r="AO277" s="205"/>
      <c r="AP277" s="205"/>
      <c r="AQ277" s="205"/>
      <c r="AR277" s="205"/>
      <c r="AS277" s="205"/>
      <c r="AT277" s="205"/>
      <c r="AU277" s="205"/>
      <c r="AV277" s="205"/>
      <c r="AW277" s="205"/>
      <c r="AX277" s="205"/>
      <c r="AY277" s="205"/>
      <c r="AZ277" s="205"/>
      <c r="BA277" s="205"/>
      <c r="BB277" s="205"/>
      <c r="BC277" s="205"/>
      <c r="BD277" s="205"/>
      <c r="BE277" s="205"/>
      <c r="BF277" s="205"/>
      <c r="BG277" s="205"/>
      <c r="BH277" s="205"/>
      <c r="BI277" s="205"/>
      <c r="BJ277" s="205"/>
      <c r="BK277" s="205"/>
      <c r="BL277" s="205"/>
      <c r="BM277" s="205"/>
      <c r="BN277" s="205"/>
      <c r="BO277" s="205"/>
      <c r="BP277" s="205"/>
      <c r="BQ277" s="205"/>
      <c r="BR277" s="205"/>
      <c r="BS277" s="205"/>
      <c r="BT277" s="205"/>
      <c r="BU277" s="205"/>
      <c r="BV277" s="205"/>
      <c r="BW277" s="205"/>
      <c r="BX277" s="205"/>
      <c r="BY277" s="205"/>
      <c r="BZ277" s="205"/>
      <c r="CA277" s="205"/>
      <c r="CB277" s="205"/>
      <c r="CC277" s="205"/>
      <c r="CD277" s="205"/>
      <c r="CE277" s="205"/>
      <c r="CF277" s="205"/>
      <c r="CG277" s="205"/>
      <c r="CH277" s="205"/>
      <c r="CI277" s="205"/>
      <c r="CJ277" s="205"/>
      <c r="CK277" s="205"/>
      <c r="CL277" s="205"/>
      <c r="CM277" s="205"/>
      <c r="CN277" s="205"/>
      <c r="CO277" s="205"/>
      <c r="CP277" s="205"/>
      <c r="CQ277" s="205"/>
      <c r="CR277" s="205"/>
      <c r="CS277" s="205"/>
      <c r="CT277" s="205"/>
      <c r="CU277" s="205"/>
      <c r="CV277" s="205"/>
      <c r="CW277" s="205"/>
      <c r="CX277" s="205"/>
      <c r="CY277" s="205"/>
      <c r="CZ277" s="205"/>
      <c r="DA277" s="205"/>
      <c r="DB277" s="205"/>
      <c r="DC277" s="205"/>
      <c r="DD277" s="205"/>
      <c r="DE277" s="205"/>
      <c r="DF277" s="205"/>
      <c r="DG277" s="205"/>
      <c r="DH277" s="205"/>
      <c r="DI277" s="205"/>
      <c r="DJ277" s="205"/>
      <c r="DK277" s="205"/>
      <c r="DL277" s="205"/>
      <c r="DM277" s="205"/>
      <c r="DN277" s="205"/>
      <c r="DO277" s="205"/>
      <c r="DP277" s="205"/>
      <c r="DQ277" s="205"/>
      <c r="DR277" s="205"/>
      <c r="DS277" s="205"/>
      <c r="DT277" s="205"/>
      <c r="DU277" s="205"/>
      <c r="DV277" s="205"/>
      <c r="DW277" s="205"/>
      <c r="DX277" s="205"/>
      <c r="DY277" s="205"/>
      <c r="DZ277" s="205"/>
      <c r="EA277" s="205"/>
      <c r="EB277" s="205"/>
      <c r="EC277" s="205"/>
      <c r="ED277" s="205"/>
      <c r="EE277" s="205"/>
      <c r="EF277" s="205"/>
      <c r="EG277" s="205"/>
      <c r="EH277" s="205"/>
      <c r="EI277" s="205"/>
      <c r="EJ277" s="205"/>
      <c r="EK277" s="205"/>
      <c r="EL277" s="205"/>
      <c r="EM277" s="205"/>
      <c r="EN277" s="205"/>
      <c r="EO277" s="205"/>
      <c r="EP277" s="205"/>
      <c r="EQ277" s="205"/>
      <c r="ER277" s="205"/>
      <c r="ES277" s="205"/>
      <c r="ET277" s="205"/>
      <c r="EU277" s="205"/>
      <c r="EV277" s="205"/>
      <c r="EW277" s="205"/>
      <c r="EX277" s="205"/>
      <c r="EY277" s="205"/>
      <c r="EZ277" s="205"/>
      <c r="FA277" s="205"/>
      <c r="FB277" s="205"/>
      <c r="FC277" s="205"/>
      <c r="FD277" s="205"/>
      <c r="FE277" s="205"/>
      <c r="FF277" s="205"/>
      <c r="FG277" s="205"/>
      <c r="FH277" s="205"/>
      <c r="FI277" s="205"/>
      <c r="FJ277" s="205"/>
      <c r="FK277" s="205"/>
      <c r="FL277" s="205"/>
      <c r="FM277" s="205"/>
      <c r="FN277" s="205"/>
      <c r="FO277" s="205"/>
      <c r="FP277" s="205"/>
      <c r="FQ277" s="205"/>
      <c r="FR277" s="205"/>
      <c r="FS277" s="205"/>
      <c r="FT277" s="205"/>
      <c r="FU277" s="205"/>
      <c r="FV277" s="205"/>
      <c r="FW277" s="205"/>
      <c r="FX277" s="205"/>
      <c r="FY277" s="205"/>
      <c r="FZ277" s="205"/>
      <c r="GA277" s="205"/>
      <c r="GB277" s="205"/>
      <c r="GC277" s="205"/>
      <c r="GD277" s="205"/>
      <c r="GE277" s="205"/>
      <c r="GF277" s="205"/>
      <c r="GG277" s="205"/>
      <c r="GH277" s="205"/>
      <c r="GI277" s="205"/>
      <c r="GJ277" s="205"/>
      <c r="GK277" s="205"/>
      <c r="GL277" s="205"/>
      <c r="GM277" s="205"/>
      <c r="GN277" s="205"/>
      <c r="GO277" s="205"/>
      <c r="GP277" s="205"/>
      <c r="GQ277" s="205"/>
      <c r="GR277" s="205"/>
      <c r="GS277" s="205"/>
      <c r="GT277" s="205"/>
      <c r="GU277" s="205"/>
      <c r="GV277" s="205"/>
      <c r="GW277" s="205"/>
      <c r="GX277" s="205"/>
      <c r="GY277" s="205"/>
      <c r="GZ277" s="205"/>
      <c r="HA277" s="205"/>
      <c r="HB277" s="205"/>
      <c r="HC277" s="205"/>
      <c r="HD277" s="205"/>
      <c r="HE277" s="205"/>
      <c r="HF277" s="205"/>
      <c r="HG277" s="205"/>
      <c r="HH277" s="205"/>
      <c r="HI277" s="205"/>
      <c r="HJ277" s="205"/>
      <c r="HK277" s="205"/>
      <c r="HL277" s="205"/>
      <c r="HM277" s="205"/>
      <c r="HN277" s="205"/>
      <c r="HO277" s="205"/>
      <c r="HP277" s="205"/>
      <c r="HQ277" s="205"/>
      <c r="HR277" s="205"/>
      <c r="HS277" s="205"/>
      <c r="HT277" s="205"/>
      <c r="HU277" s="205"/>
      <c r="HV277" s="205"/>
      <c r="HW277" s="205"/>
      <c r="HX277" s="205"/>
      <c r="HY277" s="205"/>
      <c r="HZ277" s="205"/>
      <c r="IA277" s="205"/>
      <c r="IB277" s="205"/>
      <c r="IC277" s="205"/>
      <c r="ID277" s="205"/>
      <c r="IE277" s="205"/>
      <c r="IF277" s="205"/>
      <c r="IG277" s="205"/>
      <c r="IH277" s="205"/>
      <c r="II277" s="205"/>
      <c r="IJ277" s="205"/>
      <c r="IK277" s="205"/>
      <c r="IL277" s="205"/>
      <c r="IM277" s="205"/>
      <c r="IN277" s="205"/>
      <c r="IO277" s="205"/>
      <c r="IP277" s="205"/>
      <c r="IQ277" s="205"/>
      <c r="IR277" s="205"/>
      <c r="IS277" s="205"/>
      <c r="IT277" s="205"/>
      <c r="IU277" s="205"/>
      <c r="IV277" s="205"/>
      <c r="IW277" s="205"/>
      <c r="IX277" s="205"/>
    </row>
    <row r="278" spans="1:258" s="203" customFormat="1" x14ac:dyDescent="0.2">
      <c r="A278" s="669"/>
      <c r="B278" s="670"/>
      <c r="C278" s="1390"/>
      <c r="D278" s="672"/>
      <c r="E278" s="1391"/>
      <c r="F278" s="1391"/>
      <c r="G278" s="1392" t="str">
        <f>G267</f>
        <v>Talang</v>
      </c>
      <c r="H278" s="1393">
        <f>H267</f>
        <v>26</v>
      </c>
      <c r="I278" s="1394" t="s">
        <v>424</v>
      </c>
      <c r="J278" s="1394">
        <f>J267</f>
        <v>0.7</v>
      </c>
      <c r="K278" s="1394"/>
      <c r="L278" s="1394"/>
      <c r="M278" s="1394"/>
      <c r="N278" s="1394"/>
      <c r="O278" s="1394"/>
      <c r="P278" s="1394"/>
      <c r="Q278" s="1362" t="s">
        <v>696</v>
      </c>
      <c r="R278" s="1363">
        <f>H278*J278</f>
        <v>18.2</v>
      </c>
      <c r="S278" s="1396"/>
      <c r="T278" s="1397"/>
      <c r="U278" s="205"/>
      <c r="V278" s="685"/>
      <c r="W278" s="205"/>
      <c r="X278" s="205"/>
      <c r="Y278" s="205"/>
      <c r="Z278" s="205"/>
      <c r="AA278" s="205"/>
      <c r="AB278" s="205"/>
      <c r="AC278" s="205"/>
      <c r="AD278" s="205"/>
      <c r="AE278" s="205"/>
      <c r="AF278" s="205"/>
      <c r="AG278" s="205"/>
      <c r="AH278" s="205"/>
      <c r="AI278" s="205"/>
      <c r="AJ278" s="205"/>
      <c r="AK278" s="205"/>
      <c r="AL278" s="205"/>
      <c r="AM278" s="205"/>
      <c r="AN278" s="205"/>
      <c r="AO278" s="205"/>
      <c r="AP278" s="205"/>
      <c r="AQ278" s="205"/>
      <c r="AR278" s="205"/>
      <c r="AS278" s="205"/>
      <c r="AT278" s="205"/>
      <c r="AU278" s="205"/>
      <c r="AV278" s="205"/>
      <c r="AW278" s="205"/>
      <c r="AX278" s="205"/>
      <c r="AY278" s="205"/>
      <c r="AZ278" s="205"/>
      <c r="BA278" s="205"/>
      <c r="BB278" s="205"/>
      <c r="BC278" s="205"/>
      <c r="BD278" s="205"/>
      <c r="BE278" s="205"/>
      <c r="BF278" s="205"/>
      <c r="BG278" s="205"/>
      <c r="BH278" s="205"/>
      <c r="BI278" s="205"/>
      <c r="BJ278" s="205"/>
      <c r="BK278" s="205"/>
      <c r="BL278" s="205"/>
      <c r="BM278" s="205"/>
      <c r="BN278" s="205"/>
      <c r="BO278" s="205"/>
      <c r="BP278" s="205"/>
      <c r="BQ278" s="205"/>
      <c r="BR278" s="205"/>
      <c r="BS278" s="205"/>
      <c r="BT278" s="205"/>
      <c r="BU278" s="205"/>
      <c r="BV278" s="205"/>
      <c r="BW278" s="205"/>
      <c r="BX278" s="205"/>
      <c r="BY278" s="205"/>
      <c r="BZ278" s="205"/>
      <c r="CA278" s="205"/>
      <c r="CB278" s="205"/>
      <c r="CC278" s="205"/>
      <c r="CD278" s="205"/>
      <c r="CE278" s="205"/>
      <c r="CF278" s="205"/>
      <c r="CG278" s="205"/>
      <c r="CH278" s="205"/>
      <c r="CI278" s="205"/>
      <c r="CJ278" s="205"/>
      <c r="CK278" s="205"/>
      <c r="CL278" s="205"/>
      <c r="CM278" s="205"/>
      <c r="CN278" s="205"/>
      <c r="CO278" s="205"/>
      <c r="CP278" s="205"/>
      <c r="CQ278" s="205"/>
      <c r="CR278" s="205"/>
      <c r="CS278" s="205"/>
      <c r="CT278" s="205"/>
      <c r="CU278" s="205"/>
      <c r="CV278" s="205"/>
      <c r="CW278" s="205"/>
      <c r="CX278" s="205"/>
      <c r="CY278" s="205"/>
      <c r="CZ278" s="205"/>
      <c r="DA278" s="205"/>
      <c r="DB278" s="205"/>
      <c r="DC278" s="205"/>
      <c r="DD278" s="205"/>
      <c r="DE278" s="205"/>
      <c r="DF278" s="205"/>
      <c r="DG278" s="205"/>
      <c r="DH278" s="205"/>
      <c r="DI278" s="205"/>
      <c r="DJ278" s="205"/>
      <c r="DK278" s="205"/>
      <c r="DL278" s="205"/>
      <c r="DM278" s="205"/>
      <c r="DN278" s="205"/>
      <c r="DO278" s="205"/>
      <c r="DP278" s="205"/>
      <c r="DQ278" s="205"/>
      <c r="DR278" s="205"/>
      <c r="DS278" s="205"/>
      <c r="DT278" s="205"/>
      <c r="DU278" s="205"/>
      <c r="DV278" s="205"/>
      <c r="DW278" s="205"/>
      <c r="DX278" s="205"/>
      <c r="DY278" s="205"/>
      <c r="DZ278" s="205"/>
      <c r="EA278" s="205"/>
      <c r="EB278" s="205"/>
      <c r="EC278" s="205"/>
      <c r="ED278" s="205"/>
      <c r="EE278" s="205"/>
      <c r="EF278" s="205"/>
      <c r="EG278" s="205"/>
      <c r="EH278" s="205"/>
      <c r="EI278" s="205"/>
      <c r="EJ278" s="205"/>
      <c r="EK278" s="205"/>
      <c r="EL278" s="205"/>
      <c r="EM278" s="205"/>
      <c r="EN278" s="205"/>
      <c r="EO278" s="205"/>
      <c r="EP278" s="205"/>
      <c r="EQ278" s="205"/>
      <c r="ER278" s="205"/>
      <c r="ES278" s="205"/>
      <c r="ET278" s="205"/>
      <c r="EU278" s="205"/>
      <c r="EV278" s="205"/>
      <c r="EW278" s="205"/>
      <c r="EX278" s="205"/>
      <c r="EY278" s="205"/>
      <c r="EZ278" s="205"/>
      <c r="FA278" s="205"/>
      <c r="FB278" s="205"/>
      <c r="FC278" s="205"/>
      <c r="FD278" s="205"/>
      <c r="FE278" s="205"/>
      <c r="FF278" s="205"/>
      <c r="FG278" s="205"/>
      <c r="FH278" s="205"/>
      <c r="FI278" s="205"/>
      <c r="FJ278" s="205"/>
      <c r="FK278" s="205"/>
      <c r="FL278" s="205"/>
      <c r="FM278" s="205"/>
      <c r="FN278" s="205"/>
      <c r="FO278" s="205"/>
      <c r="FP278" s="205"/>
      <c r="FQ278" s="205"/>
      <c r="FR278" s="205"/>
      <c r="FS278" s="205"/>
      <c r="FT278" s="205"/>
      <c r="FU278" s="205"/>
      <c r="FV278" s="205"/>
      <c r="FW278" s="205"/>
      <c r="FX278" s="205"/>
      <c r="FY278" s="205"/>
      <c r="FZ278" s="205"/>
      <c r="GA278" s="205"/>
      <c r="GB278" s="205"/>
      <c r="GC278" s="205"/>
      <c r="GD278" s="205"/>
      <c r="GE278" s="205"/>
      <c r="GF278" s="205"/>
      <c r="GG278" s="205"/>
      <c r="GH278" s="205"/>
      <c r="GI278" s="205"/>
      <c r="GJ278" s="205"/>
      <c r="GK278" s="205"/>
      <c r="GL278" s="205"/>
      <c r="GM278" s="205"/>
      <c r="GN278" s="205"/>
      <c r="GO278" s="205"/>
      <c r="GP278" s="205"/>
      <c r="GQ278" s="205"/>
      <c r="GR278" s="205"/>
      <c r="GS278" s="205"/>
      <c r="GT278" s="205"/>
      <c r="GU278" s="205"/>
      <c r="GV278" s="205"/>
      <c r="GW278" s="205"/>
      <c r="GX278" s="205"/>
      <c r="GY278" s="205"/>
      <c r="GZ278" s="205"/>
      <c r="HA278" s="205"/>
      <c r="HB278" s="205"/>
      <c r="HC278" s="205"/>
      <c r="HD278" s="205"/>
      <c r="HE278" s="205"/>
      <c r="HF278" s="205"/>
      <c r="HG278" s="205"/>
      <c r="HH278" s="205"/>
      <c r="HI278" s="205"/>
      <c r="HJ278" s="205"/>
      <c r="HK278" s="205"/>
      <c r="HL278" s="205"/>
      <c r="HM278" s="205"/>
      <c r="HN278" s="205"/>
      <c r="HO278" s="205"/>
      <c r="HP278" s="205"/>
      <c r="HQ278" s="205"/>
      <c r="HR278" s="205"/>
      <c r="HS278" s="205"/>
      <c r="HT278" s="205"/>
      <c r="HU278" s="205"/>
      <c r="HV278" s="205"/>
      <c r="HW278" s="205"/>
      <c r="HX278" s="205"/>
      <c r="HY278" s="205"/>
      <c r="HZ278" s="205"/>
      <c r="IA278" s="205"/>
      <c r="IB278" s="205"/>
      <c r="IC278" s="205"/>
      <c r="ID278" s="205"/>
      <c r="IE278" s="205"/>
      <c r="IF278" s="205"/>
      <c r="IG278" s="205"/>
      <c r="IH278" s="205"/>
      <c r="II278" s="205"/>
      <c r="IJ278" s="205"/>
      <c r="IK278" s="205"/>
      <c r="IL278" s="205"/>
      <c r="IM278" s="205"/>
      <c r="IN278" s="205"/>
      <c r="IO278" s="205"/>
      <c r="IP278" s="205"/>
      <c r="IQ278" s="205"/>
      <c r="IR278" s="205"/>
      <c r="IS278" s="205"/>
      <c r="IT278" s="205"/>
      <c r="IU278" s="205"/>
      <c r="IV278" s="205"/>
      <c r="IW278" s="205"/>
      <c r="IX278" s="205"/>
    </row>
    <row r="279" spans="1:258" s="203" customFormat="1" x14ac:dyDescent="0.2">
      <c r="A279" s="669"/>
      <c r="B279" s="670"/>
      <c r="C279" s="1390"/>
      <c r="D279" s="672"/>
      <c r="E279" s="1391"/>
      <c r="F279" s="1391"/>
      <c r="G279" s="1392" t="str">
        <f>G268</f>
        <v>Lisplank</v>
      </c>
      <c r="H279" s="1393">
        <f>H268</f>
        <v>26</v>
      </c>
      <c r="I279" s="1394" t="s">
        <v>424</v>
      </c>
      <c r="J279" s="1394">
        <f>J268+0.2</f>
        <v>0.8</v>
      </c>
      <c r="K279" s="1394"/>
      <c r="L279" s="1394"/>
      <c r="M279" s="1394"/>
      <c r="N279" s="1394"/>
      <c r="O279" s="1394"/>
      <c r="P279" s="1394"/>
      <c r="Q279" s="1362" t="s">
        <v>696</v>
      </c>
      <c r="R279" s="1363">
        <f>H279*J279</f>
        <v>20.8</v>
      </c>
      <c r="S279" s="1396"/>
      <c r="T279" s="1397"/>
      <c r="U279" s="205"/>
      <c r="V279" s="685"/>
      <c r="W279" s="205"/>
      <c r="X279" s="205"/>
      <c r="Y279" s="205"/>
      <c r="Z279" s="205"/>
      <c r="AA279" s="205"/>
      <c r="AB279" s="205"/>
      <c r="AC279" s="205"/>
      <c r="AD279" s="205"/>
      <c r="AE279" s="205"/>
      <c r="AF279" s="205"/>
      <c r="AG279" s="205"/>
      <c r="AH279" s="205"/>
      <c r="AI279" s="205"/>
      <c r="AJ279" s="205"/>
      <c r="AK279" s="205"/>
      <c r="AL279" s="205"/>
      <c r="AM279" s="205"/>
      <c r="AN279" s="205"/>
      <c r="AO279" s="205"/>
      <c r="AP279" s="205"/>
      <c r="AQ279" s="205"/>
      <c r="AR279" s="205"/>
      <c r="AS279" s="205"/>
      <c r="AT279" s="205"/>
      <c r="AU279" s="205"/>
      <c r="AV279" s="205"/>
      <c r="AW279" s="205"/>
      <c r="AX279" s="205"/>
      <c r="AY279" s="205"/>
      <c r="AZ279" s="205"/>
      <c r="BA279" s="205"/>
      <c r="BB279" s="205"/>
      <c r="BC279" s="205"/>
      <c r="BD279" s="205"/>
      <c r="BE279" s="205"/>
      <c r="BF279" s="205"/>
      <c r="BG279" s="205"/>
      <c r="BH279" s="205"/>
      <c r="BI279" s="205"/>
      <c r="BJ279" s="205"/>
      <c r="BK279" s="205"/>
      <c r="BL279" s="205"/>
      <c r="BM279" s="205"/>
      <c r="BN279" s="205"/>
      <c r="BO279" s="205"/>
      <c r="BP279" s="205"/>
      <c r="BQ279" s="205"/>
      <c r="BR279" s="205"/>
      <c r="BS279" s="205"/>
      <c r="BT279" s="205"/>
      <c r="BU279" s="205"/>
      <c r="BV279" s="205"/>
      <c r="BW279" s="205"/>
      <c r="BX279" s="205"/>
      <c r="BY279" s="205"/>
      <c r="BZ279" s="205"/>
      <c r="CA279" s="205"/>
      <c r="CB279" s="205"/>
      <c r="CC279" s="205"/>
      <c r="CD279" s="205"/>
      <c r="CE279" s="205"/>
      <c r="CF279" s="205"/>
      <c r="CG279" s="205"/>
      <c r="CH279" s="205"/>
      <c r="CI279" s="205"/>
      <c r="CJ279" s="205"/>
      <c r="CK279" s="205"/>
      <c r="CL279" s="205"/>
      <c r="CM279" s="205"/>
      <c r="CN279" s="205"/>
      <c r="CO279" s="205"/>
      <c r="CP279" s="205"/>
      <c r="CQ279" s="205"/>
      <c r="CR279" s="205"/>
      <c r="CS279" s="205"/>
      <c r="CT279" s="205"/>
      <c r="CU279" s="205"/>
      <c r="CV279" s="205"/>
      <c r="CW279" s="205"/>
      <c r="CX279" s="205"/>
      <c r="CY279" s="205"/>
      <c r="CZ279" s="205"/>
      <c r="DA279" s="205"/>
      <c r="DB279" s="205"/>
      <c r="DC279" s="205"/>
      <c r="DD279" s="205"/>
      <c r="DE279" s="205"/>
      <c r="DF279" s="205"/>
      <c r="DG279" s="205"/>
      <c r="DH279" s="205"/>
      <c r="DI279" s="205"/>
      <c r="DJ279" s="205"/>
      <c r="DK279" s="205"/>
      <c r="DL279" s="205"/>
      <c r="DM279" s="205"/>
      <c r="DN279" s="205"/>
      <c r="DO279" s="205"/>
      <c r="DP279" s="205"/>
      <c r="DQ279" s="205"/>
      <c r="DR279" s="205"/>
      <c r="DS279" s="205"/>
      <c r="DT279" s="205"/>
      <c r="DU279" s="205"/>
      <c r="DV279" s="205"/>
      <c r="DW279" s="205"/>
      <c r="DX279" s="205"/>
      <c r="DY279" s="205"/>
      <c r="DZ279" s="205"/>
      <c r="EA279" s="205"/>
      <c r="EB279" s="205"/>
      <c r="EC279" s="205"/>
      <c r="ED279" s="205"/>
      <c r="EE279" s="205"/>
      <c r="EF279" s="205"/>
      <c r="EG279" s="205"/>
      <c r="EH279" s="205"/>
      <c r="EI279" s="205"/>
      <c r="EJ279" s="205"/>
      <c r="EK279" s="205"/>
      <c r="EL279" s="205"/>
      <c r="EM279" s="205"/>
      <c r="EN279" s="205"/>
      <c r="EO279" s="205"/>
      <c r="EP279" s="205"/>
      <c r="EQ279" s="205"/>
      <c r="ER279" s="205"/>
      <c r="ES279" s="205"/>
      <c r="ET279" s="205"/>
      <c r="EU279" s="205"/>
      <c r="EV279" s="205"/>
      <c r="EW279" s="205"/>
      <c r="EX279" s="205"/>
      <c r="EY279" s="205"/>
      <c r="EZ279" s="205"/>
      <c r="FA279" s="205"/>
      <c r="FB279" s="205"/>
      <c r="FC279" s="205"/>
      <c r="FD279" s="205"/>
      <c r="FE279" s="205"/>
      <c r="FF279" s="205"/>
      <c r="FG279" s="205"/>
      <c r="FH279" s="205"/>
      <c r="FI279" s="205"/>
      <c r="FJ279" s="205"/>
      <c r="FK279" s="205"/>
      <c r="FL279" s="205"/>
      <c r="FM279" s="205"/>
      <c r="FN279" s="205"/>
      <c r="FO279" s="205"/>
      <c r="FP279" s="205"/>
      <c r="FQ279" s="205"/>
      <c r="FR279" s="205"/>
      <c r="FS279" s="205"/>
      <c r="FT279" s="205"/>
      <c r="FU279" s="205"/>
      <c r="FV279" s="205"/>
      <c r="FW279" s="205"/>
      <c r="FX279" s="205"/>
      <c r="FY279" s="205"/>
      <c r="FZ279" s="205"/>
      <c r="GA279" s="205"/>
      <c r="GB279" s="205"/>
      <c r="GC279" s="205"/>
      <c r="GD279" s="205"/>
      <c r="GE279" s="205"/>
      <c r="GF279" s="205"/>
      <c r="GG279" s="205"/>
      <c r="GH279" s="205"/>
      <c r="GI279" s="205"/>
      <c r="GJ279" s="205"/>
      <c r="GK279" s="205"/>
      <c r="GL279" s="205"/>
      <c r="GM279" s="205"/>
      <c r="GN279" s="205"/>
      <c r="GO279" s="205"/>
      <c r="GP279" s="205"/>
      <c r="GQ279" s="205"/>
      <c r="GR279" s="205"/>
      <c r="GS279" s="205"/>
      <c r="GT279" s="205"/>
      <c r="GU279" s="205"/>
      <c r="GV279" s="205"/>
      <c r="GW279" s="205"/>
      <c r="GX279" s="205"/>
      <c r="GY279" s="205"/>
      <c r="GZ279" s="205"/>
      <c r="HA279" s="205"/>
      <c r="HB279" s="205"/>
      <c r="HC279" s="205"/>
      <c r="HD279" s="205"/>
      <c r="HE279" s="205"/>
      <c r="HF279" s="205"/>
      <c r="HG279" s="205"/>
      <c r="HH279" s="205"/>
      <c r="HI279" s="205"/>
      <c r="HJ279" s="205"/>
      <c r="HK279" s="205"/>
      <c r="HL279" s="205"/>
      <c r="HM279" s="205"/>
      <c r="HN279" s="205"/>
      <c r="HO279" s="205"/>
      <c r="HP279" s="205"/>
      <c r="HQ279" s="205"/>
      <c r="HR279" s="205"/>
      <c r="HS279" s="205"/>
      <c r="HT279" s="205"/>
      <c r="HU279" s="205"/>
      <c r="HV279" s="205"/>
      <c r="HW279" s="205"/>
      <c r="HX279" s="205"/>
      <c r="HY279" s="205"/>
      <c r="HZ279" s="205"/>
      <c r="IA279" s="205"/>
      <c r="IB279" s="205"/>
      <c r="IC279" s="205"/>
      <c r="ID279" s="205"/>
      <c r="IE279" s="205"/>
      <c r="IF279" s="205"/>
      <c r="IG279" s="205"/>
      <c r="IH279" s="205"/>
      <c r="II279" s="205"/>
      <c r="IJ279" s="205"/>
      <c r="IK279" s="205"/>
      <c r="IL279" s="205"/>
      <c r="IM279" s="205"/>
      <c r="IN279" s="205"/>
      <c r="IO279" s="205"/>
      <c r="IP279" s="205"/>
      <c r="IQ279" s="205"/>
      <c r="IR279" s="205"/>
      <c r="IS279" s="205"/>
      <c r="IT279" s="205"/>
      <c r="IU279" s="205"/>
      <c r="IV279" s="205"/>
      <c r="IW279" s="205"/>
      <c r="IX279" s="205"/>
    </row>
    <row r="280" spans="1:258" s="203" customFormat="1" x14ac:dyDescent="0.2">
      <c r="A280" s="669"/>
      <c r="B280" s="670"/>
      <c r="C280" s="1390"/>
      <c r="D280" s="672"/>
      <c r="E280" s="1391"/>
      <c r="F280" s="1391"/>
      <c r="G280" s="1392"/>
      <c r="H280" s="1393"/>
      <c r="I280" s="1394"/>
      <c r="J280" s="1394"/>
      <c r="K280" s="1394"/>
      <c r="L280" s="1394"/>
      <c r="M280" s="1394"/>
      <c r="N280" s="1394"/>
      <c r="O280" s="1394"/>
      <c r="P280" s="1394"/>
      <c r="Q280" s="1394"/>
      <c r="R280" s="1395">
        <f>SUM(R278:R279)</f>
        <v>39</v>
      </c>
      <c r="S280" s="1396">
        <f>R280</f>
        <v>39</v>
      </c>
      <c r="T280" s="1397" t="s">
        <v>338</v>
      </c>
      <c r="U280" s="205"/>
      <c r="V280" s="685"/>
      <c r="W280" s="205"/>
      <c r="X280" s="205"/>
      <c r="Y280" s="205"/>
      <c r="Z280" s="205"/>
      <c r="AA280" s="205"/>
      <c r="AB280" s="205"/>
      <c r="AC280" s="205"/>
      <c r="AD280" s="205"/>
      <c r="AE280" s="205"/>
      <c r="AF280" s="205"/>
      <c r="AG280" s="205"/>
      <c r="AH280" s="205"/>
      <c r="AI280" s="205"/>
      <c r="AJ280" s="205"/>
      <c r="AK280" s="205"/>
      <c r="AL280" s="205"/>
      <c r="AM280" s="205"/>
      <c r="AN280" s="205"/>
      <c r="AO280" s="205"/>
      <c r="AP280" s="205"/>
      <c r="AQ280" s="205"/>
      <c r="AR280" s="205"/>
      <c r="AS280" s="205"/>
      <c r="AT280" s="205"/>
      <c r="AU280" s="205"/>
      <c r="AV280" s="205"/>
      <c r="AW280" s="205"/>
      <c r="AX280" s="205"/>
      <c r="AY280" s="205"/>
      <c r="AZ280" s="205"/>
      <c r="BA280" s="205"/>
      <c r="BB280" s="205"/>
      <c r="BC280" s="205"/>
      <c r="BD280" s="205"/>
      <c r="BE280" s="205"/>
      <c r="BF280" s="205"/>
      <c r="BG280" s="205"/>
      <c r="BH280" s="205"/>
      <c r="BI280" s="205"/>
      <c r="BJ280" s="205"/>
      <c r="BK280" s="205"/>
      <c r="BL280" s="205"/>
      <c r="BM280" s="205"/>
      <c r="BN280" s="205"/>
      <c r="BO280" s="205"/>
      <c r="BP280" s="205"/>
      <c r="BQ280" s="205"/>
      <c r="BR280" s="205"/>
      <c r="BS280" s="205"/>
      <c r="BT280" s="205"/>
      <c r="BU280" s="205"/>
      <c r="BV280" s="205"/>
      <c r="BW280" s="205"/>
      <c r="BX280" s="205"/>
      <c r="BY280" s="205"/>
      <c r="BZ280" s="205"/>
      <c r="CA280" s="205"/>
      <c r="CB280" s="205"/>
      <c r="CC280" s="205"/>
      <c r="CD280" s="205"/>
      <c r="CE280" s="205"/>
      <c r="CF280" s="205"/>
      <c r="CG280" s="205"/>
      <c r="CH280" s="205"/>
      <c r="CI280" s="205"/>
      <c r="CJ280" s="205"/>
      <c r="CK280" s="205"/>
      <c r="CL280" s="205"/>
      <c r="CM280" s="205"/>
      <c r="CN280" s="205"/>
      <c r="CO280" s="205"/>
      <c r="CP280" s="205"/>
      <c r="CQ280" s="205"/>
      <c r="CR280" s="205"/>
      <c r="CS280" s="205"/>
      <c r="CT280" s="205"/>
      <c r="CU280" s="205"/>
      <c r="CV280" s="205"/>
      <c r="CW280" s="205"/>
      <c r="CX280" s="205"/>
      <c r="CY280" s="205"/>
      <c r="CZ280" s="205"/>
      <c r="DA280" s="205"/>
      <c r="DB280" s="205"/>
      <c r="DC280" s="205"/>
      <c r="DD280" s="205"/>
      <c r="DE280" s="205"/>
      <c r="DF280" s="205"/>
      <c r="DG280" s="205"/>
      <c r="DH280" s="205"/>
      <c r="DI280" s="205"/>
      <c r="DJ280" s="205"/>
      <c r="DK280" s="205"/>
      <c r="DL280" s="205"/>
      <c r="DM280" s="205"/>
      <c r="DN280" s="205"/>
      <c r="DO280" s="205"/>
      <c r="DP280" s="205"/>
      <c r="DQ280" s="205"/>
      <c r="DR280" s="205"/>
      <c r="DS280" s="205"/>
      <c r="DT280" s="205"/>
      <c r="DU280" s="205"/>
      <c r="DV280" s="205"/>
      <c r="DW280" s="205"/>
      <c r="DX280" s="205"/>
      <c r="DY280" s="205"/>
      <c r="DZ280" s="205"/>
      <c r="EA280" s="205"/>
      <c r="EB280" s="205"/>
      <c r="EC280" s="205"/>
      <c r="ED280" s="205"/>
      <c r="EE280" s="205"/>
      <c r="EF280" s="205"/>
      <c r="EG280" s="205"/>
      <c r="EH280" s="205"/>
      <c r="EI280" s="205"/>
      <c r="EJ280" s="205"/>
      <c r="EK280" s="205"/>
      <c r="EL280" s="205"/>
      <c r="EM280" s="205"/>
      <c r="EN280" s="205"/>
      <c r="EO280" s="205"/>
      <c r="EP280" s="205"/>
      <c r="EQ280" s="205"/>
      <c r="ER280" s="205"/>
      <c r="ES280" s="205"/>
      <c r="ET280" s="205"/>
      <c r="EU280" s="205"/>
      <c r="EV280" s="205"/>
      <c r="EW280" s="205"/>
      <c r="EX280" s="205"/>
      <c r="EY280" s="205"/>
      <c r="EZ280" s="205"/>
      <c r="FA280" s="205"/>
      <c r="FB280" s="205"/>
      <c r="FC280" s="205"/>
      <c r="FD280" s="205"/>
      <c r="FE280" s="205"/>
      <c r="FF280" s="205"/>
      <c r="FG280" s="205"/>
      <c r="FH280" s="205"/>
      <c r="FI280" s="205"/>
      <c r="FJ280" s="205"/>
      <c r="FK280" s="205"/>
      <c r="FL280" s="205"/>
      <c r="FM280" s="205"/>
      <c r="FN280" s="205"/>
      <c r="FO280" s="205"/>
      <c r="FP280" s="205"/>
      <c r="FQ280" s="205"/>
      <c r="FR280" s="205"/>
      <c r="FS280" s="205"/>
      <c r="FT280" s="205"/>
      <c r="FU280" s="205"/>
      <c r="FV280" s="205"/>
      <c r="FW280" s="205"/>
      <c r="FX280" s="205"/>
      <c r="FY280" s="205"/>
      <c r="FZ280" s="205"/>
      <c r="GA280" s="205"/>
      <c r="GB280" s="205"/>
      <c r="GC280" s="205"/>
      <c r="GD280" s="205"/>
      <c r="GE280" s="205"/>
      <c r="GF280" s="205"/>
      <c r="GG280" s="205"/>
      <c r="GH280" s="205"/>
      <c r="GI280" s="205"/>
      <c r="GJ280" s="205"/>
      <c r="GK280" s="205"/>
      <c r="GL280" s="205"/>
      <c r="GM280" s="205"/>
      <c r="GN280" s="205"/>
      <c r="GO280" s="205"/>
      <c r="GP280" s="205"/>
      <c r="GQ280" s="205"/>
      <c r="GR280" s="205"/>
      <c r="GS280" s="205"/>
      <c r="GT280" s="205"/>
      <c r="GU280" s="205"/>
      <c r="GV280" s="205"/>
      <c r="GW280" s="205"/>
      <c r="GX280" s="205"/>
      <c r="GY280" s="205"/>
      <c r="GZ280" s="205"/>
      <c r="HA280" s="205"/>
      <c r="HB280" s="205"/>
      <c r="HC280" s="205"/>
      <c r="HD280" s="205"/>
      <c r="HE280" s="205"/>
      <c r="HF280" s="205"/>
      <c r="HG280" s="205"/>
      <c r="HH280" s="205"/>
      <c r="HI280" s="205"/>
      <c r="HJ280" s="205"/>
      <c r="HK280" s="205"/>
      <c r="HL280" s="205"/>
      <c r="HM280" s="205"/>
      <c r="HN280" s="205"/>
      <c r="HO280" s="205"/>
      <c r="HP280" s="205"/>
      <c r="HQ280" s="205"/>
      <c r="HR280" s="205"/>
      <c r="HS280" s="205"/>
      <c r="HT280" s="205"/>
      <c r="HU280" s="205"/>
      <c r="HV280" s="205"/>
      <c r="HW280" s="205"/>
      <c r="HX280" s="205"/>
      <c r="HY280" s="205"/>
      <c r="HZ280" s="205"/>
      <c r="IA280" s="205"/>
      <c r="IB280" s="205"/>
      <c r="IC280" s="205"/>
      <c r="ID280" s="205"/>
      <c r="IE280" s="205"/>
      <c r="IF280" s="205"/>
      <c r="IG280" s="205"/>
      <c r="IH280" s="205"/>
      <c r="II280" s="205"/>
      <c r="IJ280" s="205"/>
      <c r="IK280" s="205"/>
      <c r="IL280" s="205"/>
      <c r="IM280" s="205"/>
      <c r="IN280" s="205"/>
      <c r="IO280" s="205"/>
      <c r="IP280" s="205"/>
      <c r="IQ280" s="205"/>
      <c r="IR280" s="205"/>
      <c r="IS280" s="205"/>
      <c r="IT280" s="205"/>
      <c r="IU280" s="205"/>
      <c r="IV280" s="205"/>
      <c r="IW280" s="205"/>
      <c r="IX280" s="205"/>
    </row>
    <row r="281" spans="1:258" s="203" customFormat="1" x14ac:dyDescent="0.2">
      <c r="A281" s="669"/>
      <c r="B281" s="670"/>
      <c r="C281" s="682" t="str">
        <f>RAB!D97</f>
        <v>Konsol talang beton</v>
      </c>
      <c r="D281" s="672"/>
      <c r="E281" s="673"/>
      <c r="F281" s="673"/>
      <c r="G281" s="674"/>
      <c r="H281" s="675"/>
      <c r="I281" s="676"/>
      <c r="J281" s="676"/>
      <c r="K281" s="676"/>
      <c r="L281" s="676"/>
      <c r="M281" s="676"/>
      <c r="N281" s="676"/>
      <c r="O281" s="676"/>
      <c r="P281" s="676"/>
      <c r="Q281" s="676"/>
      <c r="R281" s="677"/>
      <c r="S281" s="678"/>
      <c r="T281" s="684"/>
      <c r="U281" s="205"/>
      <c r="V281" s="685"/>
      <c r="W281" s="205"/>
      <c r="X281" s="205"/>
      <c r="Y281" s="205"/>
      <c r="Z281" s="205"/>
      <c r="AA281" s="205"/>
      <c r="AB281" s="205"/>
      <c r="AC281" s="205"/>
      <c r="AD281" s="205"/>
      <c r="AE281" s="205"/>
      <c r="AF281" s="205"/>
      <c r="AG281" s="205"/>
      <c r="AH281" s="205"/>
      <c r="AI281" s="205"/>
      <c r="AJ281" s="205"/>
      <c r="AK281" s="205"/>
      <c r="AL281" s="205"/>
      <c r="AM281" s="205"/>
      <c r="AN281" s="205"/>
      <c r="AO281" s="205"/>
      <c r="AP281" s="205"/>
      <c r="AQ281" s="205"/>
      <c r="AR281" s="205"/>
      <c r="AS281" s="205"/>
      <c r="AT281" s="205"/>
      <c r="AU281" s="205"/>
      <c r="AV281" s="205"/>
      <c r="AW281" s="205"/>
      <c r="AX281" s="205"/>
      <c r="AY281" s="205"/>
      <c r="AZ281" s="205"/>
      <c r="BA281" s="205"/>
      <c r="BB281" s="205"/>
      <c r="BC281" s="205"/>
      <c r="BD281" s="205"/>
      <c r="BE281" s="205"/>
      <c r="BF281" s="205"/>
      <c r="BG281" s="205"/>
      <c r="BH281" s="205"/>
      <c r="BI281" s="205"/>
      <c r="BJ281" s="205"/>
      <c r="BK281" s="205"/>
      <c r="BL281" s="205"/>
      <c r="BM281" s="205"/>
      <c r="BN281" s="205"/>
      <c r="BO281" s="205"/>
      <c r="BP281" s="205"/>
      <c r="BQ281" s="205"/>
      <c r="BR281" s="205"/>
      <c r="BS281" s="205"/>
      <c r="BT281" s="205"/>
      <c r="BU281" s="205"/>
      <c r="BV281" s="205"/>
      <c r="BW281" s="205"/>
      <c r="BX281" s="205"/>
      <c r="BY281" s="205"/>
      <c r="BZ281" s="205"/>
      <c r="CA281" s="205"/>
      <c r="CB281" s="205"/>
      <c r="CC281" s="205"/>
      <c r="CD281" s="205"/>
      <c r="CE281" s="205"/>
      <c r="CF281" s="205"/>
      <c r="CG281" s="205"/>
      <c r="CH281" s="205"/>
      <c r="CI281" s="205"/>
      <c r="CJ281" s="205"/>
      <c r="CK281" s="205"/>
      <c r="CL281" s="205"/>
      <c r="CM281" s="205"/>
      <c r="CN281" s="205"/>
      <c r="CO281" s="205"/>
      <c r="CP281" s="205"/>
      <c r="CQ281" s="205"/>
      <c r="CR281" s="205"/>
      <c r="CS281" s="205"/>
      <c r="CT281" s="205"/>
      <c r="CU281" s="205"/>
      <c r="CV281" s="205"/>
      <c r="CW281" s="205"/>
      <c r="CX281" s="205"/>
      <c r="CY281" s="205"/>
      <c r="CZ281" s="205"/>
      <c r="DA281" s="205"/>
      <c r="DB281" s="205"/>
      <c r="DC281" s="205"/>
      <c r="DD281" s="205"/>
      <c r="DE281" s="205"/>
      <c r="DF281" s="205"/>
      <c r="DG281" s="205"/>
      <c r="DH281" s="205"/>
      <c r="DI281" s="205"/>
      <c r="DJ281" s="205"/>
      <c r="DK281" s="205"/>
      <c r="DL281" s="205"/>
      <c r="DM281" s="205"/>
      <c r="DN281" s="205"/>
      <c r="DO281" s="205"/>
      <c r="DP281" s="205"/>
      <c r="DQ281" s="205"/>
      <c r="DR281" s="205"/>
      <c r="DS281" s="205"/>
      <c r="DT281" s="205"/>
      <c r="DU281" s="205"/>
      <c r="DV281" s="205"/>
      <c r="DW281" s="205"/>
      <c r="DX281" s="205"/>
      <c r="DY281" s="205"/>
      <c r="DZ281" s="205"/>
      <c r="EA281" s="205"/>
      <c r="EB281" s="205"/>
      <c r="EC281" s="205"/>
      <c r="ED281" s="205"/>
      <c r="EE281" s="205"/>
      <c r="EF281" s="205"/>
      <c r="EG281" s="205"/>
      <c r="EH281" s="205"/>
      <c r="EI281" s="205"/>
      <c r="EJ281" s="205"/>
      <c r="EK281" s="205"/>
      <c r="EL281" s="205"/>
      <c r="EM281" s="205"/>
      <c r="EN281" s="205"/>
      <c r="EO281" s="205"/>
      <c r="EP281" s="205"/>
      <c r="EQ281" s="205"/>
      <c r="ER281" s="205"/>
      <c r="ES281" s="205"/>
      <c r="ET281" s="205"/>
      <c r="EU281" s="205"/>
      <c r="EV281" s="205"/>
      <c r="EW281" s="205"/>
      <c r="EX281" s="205"/>
      <c r="EY281" s="205"/>
      <c r="EZ281" s="205"/>
      <c r="FA281" s="205"/>
      <c r="FB281" s="205"/>
      <c r="FC281" s="205"/>
      <c r="FD281" s="205"/>
      <c r="FE281" s="205"/>
      <c r="FF281" s="205"/>
      <c r="FG281" s="205"/>
      <c r="FH281" s="205"/>
      <c r="FI281" s="205"/>
      <c r="FJ281" s="205"/>
      <c r="FK281" s="205"/>
      <c r="FL281" s="205"/>
      <c r="FM281" s="205"/>
      <c r="FN281" s="205"/>
      <c r="FO281" s="205"/>
      <c r="FP281" s="205"/>
      <c r="FQ281" s="205"/>
      <c r="FR281" s="205"/>
      <c r="FS281" s="205"/>
      <c r="FT281" s="205"/>
      <c r="FU281" s="205"/>
      <c r="FV281" s="205"/>
      <c r="FW281" s="205"/>
      <c r="FX281" s="205"/>
      <c r="FY281" s="205"/>
      <c r="FZ281" s="205"/>
      <c r="GA281" s="205"/>
      <c r="GB281" s="205"/>
      <c r="GC281" s="205"/>
      <c r="GD281" s="205"/>
      <c r="GE281" s="205"/>
      <c r="GF281" s="205"/>
      <c r="GG281" s="205"/>
      <c r="GH281" s="205"/>
      <c r="GI281" s="205"/>
      <c r="GJ281" s="205"/>
      <c r="GK281" s="205"/>
      <c r="GL281" s="205"/>
      <c r="GM281" s="205"/>
      <c r="GN281" s="205"/>
      <c r="GO281" s="205"/>
      <c r="GP281" s="205"/>
      <c r="GQ281" s="205"/>
      <c r="GR281" s="205"/>
      <c r="GS281" s="205"/>
      <c r="GT281" s="205"/>
      <c r="GU281" s="205"/>
      <c r="GV281" s="205"/>
      <c r="GW281" s="205"/>
      <c r="GX281" s="205"/>
      <c r="GY281" s="205"/>
      <c r="GZ281" s="205"/>
      <c r="HA281" s="205"/>
      <c r="HB281" s="205"/>
      <c r="HC281" s="205"/>
      <c r="HD281" s="205"/>
      <c r="HE281" s="205"/>
      <c r="HF281" s="205"/>
      <c r="HG281" s="205"/>
      <c r="HH281" s="205"/>
      <c r="HI281" s="205"/>
      <c r="HJ281" s="205"/>
      <c r="HK281" s="205"/>
      <c r="HL281" s="205"/>
      <c r="HM281" s="205"/>
      <c r="HN281" s="205"/>
      <c r="HO281" s="205"/>
      <c r="HP281" s="205"/>
      <c r="HQ281" s="205"/>
      <c r="HR281" s="205"/>
      <c r="HS281" s="205"/>
      <c r="HT281" s="205"/>
      <c r="HU281" s="205"/>
      <c r="HV281" s="205"/>
      <c r="HW281" s="205"/>
      <c r="HX281" s="205"/>
      <c r="HY281" s="205"/>
      <c r="HZ281" s="205"/>
      <c r="IA281" s="205"/>
      <c r="IB281" s="205"/>
      <c r="IC281" s="205"/>
      <c r="ID281" s="205"/>
      <c r="IE281" s="205"/>
      <c r="IF281" s="205"/>
      <c r="IG281" s="205"/>
      <c r="IH281" s="205"/>
      <c r="II281" s="205"/>
      <c r="IJ281" s="205"/>
      <c r="IK281" s="205"/>
      <c r="IL281" s="205"/>
      <c r="IM281" s="205"/>
      <c r="IN281" s="205"/>
      <c r="IO281" s="205"/>
      <c r="IP281" s="205"/>
      <c r="IQ281" s="205"/>
      <c r="IR281" s="205"/>
      <c r="IS281" s="205"/>
      <c r="IT281" s="205"/>
      <c r="IU281" s="205"/>
      <c r="IV281" s="205"/>
      <c r="IW281" s="205"/>
      <c r="IX281" s="205"/>
    </row>
    <row r="282" spans="1:258" s="203" customFormat="1" x14ac:dyDescent="0.2">
      <c r="A282" s="669"/>
      <c r="B282" s="670">
        <f>RAB!B98</f>
        <v>30</v>
      </c>
      <c r="C282" s="686" t="e">
        <f>RAB!D98</f>
        <v>#REF!</v>
      </c>
      <c r="D282" s="672"/>
      <c r="E282" s="1391"/>
      <c r="F282" s="1391"/>
      <c r="G282" s="1392"/>
      <c r="H282" s="1393"/>
      <c r="I282" s="1394"/>
      <c r="J282" s="1394"/>
      <c r="K282" s="1394"/>
      <c r="L282" s="1394"/>
      <c r="M282" s="1394"/>
      <c r="N282" s="1394"/>
      <c r="O282" s="1394"/>
      <c r="P282" s="1394"/>
      <c r="Q282" s="1394"/>
      <c r="R282" s="1395"/>
      <c r="S282" s="1396"/>
      <c r="T282" s="1397"/>
      <c r="U282" s="205"/>
      <c r="V282" s="685"/>
      <c r="W282" s="205"/>
      <c r="X282" s="205"/>
      <c r="Y282" s="205"/>
      <c r="Z282" s="205"/>
      <c r="AA282" s="205"/>
      <c r="AB282" s="205"/>
      <c r="AC282" s="205"/>
      <c r="AD282" s="205"/>
      <c r="AE282" s="205"/>
      <c r="AF282" s="205"/>
      <c r="AG282" s="205"/>
      <c r="AH282" s="205"/>
      <c r="AI282" s="205"/>
      <c r="AJ282" s="205"/>
      <c r="AK282" s="205"/>
      <c r="AL282" s="205"/>
      <c r="AM282" s="205"/>
      <c r="AN282" s="205"/>
      <c r="AO282" s="205"/>
      <c r="AP282" s="205"/>
      <c r="AQ282" s="205"/>
      <c r="AR282" s="205"/>
      <c r="AS282" s="205"/>
      <c r="AT282" s="205"/>
      <c r="AU282" s="205"/>
      <c r="AV282" s="205"/>
      <c r="AW282" s="205"/>
      <c r="AX282" s="205"/>
      <c r="AY282" s="205"/>
      <c r="AZ282" s="205"/>
      <c r="BA282" s="205"/>
      <c r="BB282" s="205"/>
      <c r="BC282" s="205"/>
      <c r="BD282" s="205"/>
      <c r="BE282" s="205"/>
      <c r="BF282" s="205"/>
      <c r="BG282" s="205"/>
      <c r="BH282" s="205"/>
      <c r="BI282" s="205"/>
      <c r="BJ282" s="205"/>
      <c r="BK282" s="205"/>
      <c r="BL282" s="205"/>
      <c r="BM282" s="205"/>
      <c r="BN282" s="205"/>
      <c r="BO282" s="205"/>
      <c r="BP282" s="205"/>
      <c r="BQ282" s="205"/>
      <c r="BR282" s="205"/>
      <c r="BS282" s="205"/>
      <c r="BT282" s="205"/>
      <c r="BU282" s="205"/>
      <c r="BV282" s="205"/>
      <c r="BW282" s="205"/>
      <c r="BX282" s="205"/>
      <c r="BY282" s="205"/>
      <c r="BZ282" s="205"/>
      <c r="CA282" s="205"/>
      <c r="CB282" s="205"/>
      <c r="CC282" s="205"/>
      <c r="CD282" s="205"/>
      <c r="CE282" s="205"/>
      <c r="CF282" s="205"/>
      <c r="CG282" s="205"/>
      <c r="CH282" s="205"/>
      <c r="CI282" s="205"/>
      <c r="CJ282" s="205"/>
      <c r="CK282" s="205"/>
      <c r="CL282" s="205"/>
      <c r="CM282" s="205"/>
      <c r="CN282" s="205"/>
      <c r="CO282" s="205"/>
      <c r="CP282" s="205"/>
      <c r="CQ282" s="205"/>
      <c r="CR282" s="205"/>
      <c r="CS282" s="205"/>
      <c r="CT282" s="205"/>
      <c r="CU282" s="205"/>
      <c r="CV282" s="205"/>
      <c r="CW282" s="205"/>
      <c r="CX282" s="205"/>
      <c r="CY282" s="205"/>
      <c r="CZ282" s="205"/>
      <c r="DA282" s="205"/>
      <c r="DB282" s="205"/>
      <c r="DC282" s="205"/>
      <c r="DD282" s="205"/>
      <c r="DE282" s="205"/>
      <c r="DF282" s="205"/>
      <c r="DG282" s="205"/>
      <c r="DH282" s="205"/>
      <c r="DI282" s="205"/>
      <c r="DJ282" s="205"/>
      <c r="DK282" s="205"/>
      <c r="DL282" s="205"/>
      <c r="DM282" s="205"/>
      <c r="DN282" s="205"/>
      <c r="DO282" s="205"/>
      <c r="DP282" s="205"/>
      <c r="DQ282" s="205"/>
      <c r="DR282" s="205"/>
      <c r="DS282" s="205"/>
      <c r="DT282" s="205"/>
      <c r="DU282" s="205"/>
      <c r="DV282" s="205"/>
      <c r="DW282" s="205"/>
      <c r="DX282" s="205"/>
      <c r="DY282" s="205"/>
      <c r="DZ282" s="205"/>
      <c r="EA282" s="205"/>
      <c r="EB282" s="205"/>
      <c r="EC282" s="205"/>
      <c r="ED282" s="205"/>
      <c r="EE282" s="205"/>
      <c r="EF282" s="205"/>
      <c r="EG282" s="205"/>
      <c r="EH282" s="205"/>
      <c r="EI282" s="205"/>
      <c r="EJ282" s="205"/>
      <c r="EK282" s="205"/>
      <c r="EL282" s="205"/>
      <c r="EM282" s="205"/>
      <c r="EN282" s="205"/>
      <c r="EO282" s="205"/>
      <c r="EP282" s="205"/>
      <c r="EQ282" s="205"/>
      <c r="ER282" s="205"/>
      <c r="ES282" s="205"/>
      <c r="ET282" s="205"/>
      <c r="EU282" s="205"/>
      <c r="EV282" s="205"/>
      <c r="EW282" s="205"/>
      <c r="EX282" s="205"/>
      <c r="EY282" s="205"/>
      <c r="EZ282" s="205"/>
      <c r="FA282" s="205"/>
      <c r="FB282" s="205"/>
      <c r="FC282" s="205"/>
      <c r="FD282" s="205"/>
      <c r="FE282" s="205"/>
      <c r="FF282" s="205"/>
      <c r="FG282" s="205"/>
      <c r="FH282" s="205"/>
      <c r="FI282" s="205"/>
      <c r="FJ282" s="205"/>
      <c r="FK282" s="205"/>
      <c r="FL282" s="205"/>
      <c r="FM282" s="205"/>
      <c r="FN282" s="205"/>
      <c r="FO282" s="205"/>
      <c r="FP282" s="205"/>
      <c r="FQ282" s="205"/>
      <c r="FR282" s="205"/>
      <c r="FS282" s="205"/>
      <c r="FT282" s="205"/>
      <c r="FU282" s="205"/>
      <c r="FV282" s="205"/>
      <c r="FW282" s="205"/>
      <c r="FX282" s="205"/>
      <c r="FY282" s="205"/>
      <c r="FZ282" s="205"/>
      <c r="GA282" s="205"/>
      <c r="GB282" s="205"/>
      <c r="GC282" s="205"/>
      <c r="GD282" s="205"/>
      <c r="GE282" s="205"/>
      <c r="GF282" s="205"/>
      <c r="GG282" s="205"/>
      <c r="GH282" s="205"/>
      <c r="GI282" s="205"/>
      <c r="GJ282" s="205"/>
      <c r="GK282" s="205"/>
      <c r="GL282" s="205"/>
      <c r="GM282" s="205"/>
      <c r="GN282" s="205"/>
      <c r="GO282" s="205"/>
      <c r="GP282" s="205"/>
      <c r="GQ282" s="205"/>
      <c r="GR282" s="205"/>
      <c r="GS282" s="205"/>
      <c r="GT282" s="205"/>
      <c r="GU282" s="205"/>
      <c r="GV282" s="205"/>
      <c r="GW282" s="205"/>
      <c r="GX282" s="205"/>
      <c r="GY282" s="205"/>
      <c r="GZ282" s="205"/>
      <c r="HA282" s="205"/>
      <c r="HB282" s="205"/>
      <c r="HC282" s="205"/>
      <c r="HD282" s="205"/>
      <c r="HE282" s="205"/>
      <c r="HF282" s="205"/>
      <c r="HG282" s="205"/>
      <c r="HH282" s="205"/>
      <c r="HI282" s="205"/>
      <c r="HJ282" s="205"/>
      <c r="HK282" s="205"/>
      <c r="HL282" s="205"/>
      <c r="HM282" s="205"/>
      <c r="HN282" s="205"/>
      <c r="HO282" s="205"/>
      <c r="HP282" s="205"/>
      <c r="HQ282" s="205"/>
      <c r="HR282" s="205"/>
      <c r="HS282" s="205"/>
      <c r="HT282" s="205"/>
      <c r="HU282" s="205"/>
      <c r="HV282" s="205"/>
      <c r="HW282" s="205"/>
      <c r="HX282" s="205"/>
      <c r="HY282" s="205"/>
      <c r="HZ282" s="205"/>
      <c r="IA282" s="205"/>
      <c r="IB282" s="205"/>
      <c r="IC282" s="205"/>
      <c r="ID282" s="205"/>
      <c r="IE282" s="205"/>
      <c r="IF282" s="205"/>
      <c r="IG282" s="205"/>
      <c r="IH282" s="205"/>
      <c r="II282" s="205"/>
      <c r="IJ282" s="205"/>
      <c r="IK282" s="205"/>
      <c r="IL282" s="205"/>
      <c r="IM282" s="205"/>
      <c r="IN282" s="205"/>
      <c r="IO282" s="205"/>
      <c r="IP282" s="205"/>
      <c r="IQ282" s="205"/>
      <c r="IR282" s="205"/>
      <c r="IS282" s="205"/>
      <c r="IT282" s="205"/>
      <c r="IU282" s="205"/>
      <c r="IV282" s="205"/>
      <c r="IW282" s="205"/>
      <c r="IX282" s="205"/>
    </row>
    <row r="283" spans="1:258" s="203" customFormat="1" x14ac:dyDescent="0.2">
      <c r="A283" s="669"/>
      <c r="B283" s="670"/>
      <c r="C283" s="1390"/>
      <c r="D283" s="672"/>
      <c r="E283" s="1391"/>
      <c r="F283" s="1391"/>
      <c r="G283" s="1392"/>
      <c r="H283" s="1393">
        <v>0.8</v>
      </c>
      <c r="I283" s="1394" t="s">
        <v>424</v>
      </c>
      <c r="J283" s="1394">
        <v>0.15</v>
      </c>
      <c r="K283" s="1394" t="s">
        <v>424</v>
      </c>
      <c r="L283" s="1394">
        <v>0.2</v>
      </c>
      <c r="M283" s="1394" t="s">
        <v>424</v>
      </c>
      <c r="N283" s="1394">
        <v>10</v>
      </c>
      <c r="O283" s="1394"/>
      <c r="P283" s="1394"/>
      <c r="Q283" s="1362" t="s">
        <v>696</v>
      </c>
      <c r="R283" s="1363">
        <f>H283*J283*L283*N283</f>
        <v>0.24</v>
      </c>
      <c r="S283" s="1396">
        <f>R283</f>
        <v>0.24</v>
      </c>
      <c r="T283" s="1397" t="s">
        <v>293</v>
      </c>
      <c r="U283" s="205"/>
      <c r="V283" s="685">
        <f>S288/S283</f>
        <v>379.59460000000007</v>
      </c>
      <c r="W283" s="205"/>
      <c r="X283" s="205"/>
      <c r="Y283" s="205"/>
      <c r="Z283" s="205"/>
      <c r="AA283" s="205"/>
      <c r="AB283" s="205"/>
      <c r="AC283" s="205"/>
      <c r="AD283" s="205"/>
      <c r="AE283" s="205"/>
      <c r="AF283" s="205"/>
      <c r="AG283" s="205"/>
      <c r="AH283" s="205"/>
      <c r="AI283" s="205"/>
      <c r="AJ283" s="205"/>
      <c r="AK283" s="205"/>
      <c r="AL283" s="205"/>
      <c r="AM283" s="205"/>
      <c r="AN283" s="205"/>
      <c r="AO283" s="205"/>
      <c r="AP283" s="205"/>
      <c r="AQ283" s="205"/>
      <c r="AR283" s="205"/>
      <c r="AS283" s="205"/>
      <c r="AT283" s="205"/>
      <c r="AU283" s="205"/>
      <c r="AV283" s="205"/>
      <c r="AW283" s="205"/>
      <c r="AX283" s="205"/>
      <c r="AY283" s="205"/>
      <c r="AZ283" s="205"/>
      <c r="BA283" s="205"/>
      <c r="BB283" s="205"/>
      <c r="BC283" s="205"/>
      <c r="BD283" s="205"/>
      <c r="BE283" s="205"/>
      <c r="BF283" s="205"/>
      <c r="BG283" s="205"/>
      <c r="BH283" s="205"/>
      <c r="BI283" s="205"/>
      <c r="BJ283" s="205"/>
      <c r="BK283" s="205"/>
      <c r="BL283" s="205"/>
      <c r="BM283" s="205"/>
      <c r="BN283" s="205"/>
      <c r="BO283" s="205"/>
      <c r="BP283" s="205"/>
      <c r="BQ283" s="205"/>
      <c r="BR283" s="205"/>
      <c r="BS283" s="205"/>
      <c r="BT283" s="205"/>
      <c r="BU283" s="205"/>
      <c r="BV283" s="205"/>
      <c r="BW283" s="205"/>
      <c r="BX283" s="205"/>
      <c r="BY283" s="205"/>
      <c r="BZ283" s="205"/>
      <c r="CA283" s="205"/>
      <c r="CB283" s="205"/>
      <c r="CC283" s="205"/>
      <c r="CD283" s="205"/>
      <c r="CE283" s="205"/>
      <c r="CF283" s="205"/>
      <c r="CG283" s="205"/>
      <c r="CH283" s="205"/>
      <c r="CI283" s="205"/>
      <c r="CJ283" s="205"/>
      <c r="CK283" s="205"/>
      <c r="CL283" s="205"/>
      <c r="CM283" s="205"/>
      <c r="CN283" s="205"/>
      <c r="CO283" s="205"/>
      <c r="CP283" s="205"/>
      <c r="CQ283" s="205"/>
      <c r="CR283" s="205"/>
      <c r="CS283" s="205"/>
      <c r="CT283" s="205"/>
      <c r="CU283" s="205"/>
      <c r="CV283" s="205"/>
      <c r="CW283" s="205"/>
      <c r="CX283" s="205"/>
      <c r="CY283" s="205"/>
      <c r="CZ283" s="205"/>
      <c r="DA283" s="205"/>
      <c r="DB283" s="205"/>
      <c r="DC283" s="205"/>
      <c r="DD283" s="205"/>
      <c r="DE283" s="205"/>
      <c r="DF283" s="205"/>
      <c r="DG283" s="205"/>
      <c r="DH283" s="205"/>
      <c r="DI283" s="205"/>
      <c r="DJ283" s="205"/>
      <c r="DK283" s="205"/>
      <c r="DL283" s="205"/>
      <c r="DM283" s="205"/>
      <c r="DN283" s="205"/>
      <c r="DO283" s="205"/>
      <c r="DP283" s="205"/>
      <c r="DQ283" s="205"/>
      <c r="DR283" s="205"/>
      <c r="DS283" s="205"/>
      <c r="DT283" s="205"/>
      <c r="DU283" s="205"/>
      <c r="DV283" s="205"/>
      <c r="DW283" s="205"/>
      <c r="DX283" s="205"/>
      <c r="DY283" s="205"/>
      <c r="DZ283" s="205"/>
      <c r="EA283" s="205"/>
      <c r="EB283" s="205"/>
      <c r="EC283" s="205"/>
      <c r="ED283" s="205"/>
      <c r="EE283" s="205"/>
      <c r="EF283" s="205"/>
      <c r="EG283" s="205"/>
      <c r="EH283" s="205"/>
      <c r="EI283" s="205"/>
      <c r="EJ283" s="205"/>
      <c r="EK283" s="205"/>
      <c r="EL283" s="205"/>
      <c r="EM283" s="205"/>
      <c r="EN283" s="205"/>
      <c r="EO283" s="205"/>
      <c r="EP283" s="205"/>
      <c r="EQ283" s="205"/>
      <c r="ER283" s="205"/>
      <c r="ES283" s="205"/>
      <c r="ET283" s="205"/>
      <c r="EU283" s="205"/>
      <c r="EV283" s="205"/>
      <c r="EW283" s="205"/>
      <c r="EX283" s="205"/>
      <c r="EY283" s="205"/>
      <c r="EZ283" s="205"/>
      <c r="FA283" s="205"/>
      <c r="FB283" s="205"/>
      <c r="FC283" s="205"/>
      <c r="FD283" s="205"/>
      <c r="FE283" s="205"/>
      <c r="FF283" s="205"/>
      <c r="FG283" s="205"/>
      <c r="FH283" s="205"/>
      <c r="FI283" s="205"/>
      <c r="FJ283" s="205"/>
      <c r="FK283" s="205"/>
      <c r="FL283" s="205"/>
      <c r="FM283" s="205"/>
      <c r="FN283" s="205"/>
      <c r="FO283" s="205"/>
      <c r="FP283" s="205"/>
      <c r="FQ283" s="205"/>
      <c r="FR283" s="205"/>
      <c r="FS283" s="205"/>
      <c r="FT283" s="205"/>
      <c r="FU283" s="205"/>
      <c r="FV283" s="205"/>
      <c r="FW283" s="205"/>
      <c r="FX283" s="205"/>
      <c r="FY283" s="205"/>
      <c r="FZ283" s="205"/>
      <c r="GA283" s="205"/>
      <c r="GB283" s="205"/>
      <c r="GC283" s="205"/>
      <c r="GD283" s="205"/>
      <c r="GE283" s="205"/>
      <c r="GF283" s="205"/>
      <c r="GG283" s="205"/>
      <c r="GH283" s="205"/>
      <c r="GI283" s="205"/>
      <c r="GJ283" s="205"/>
      <c r="GK283" s="205"/>
      <c r="GL283" s="205"/>
      <c r="GM283" s="205"/>
      <c r="GN283" s="205"/>
      <c r="GO283" s="205"/>
      <c r="GP283" s="205"/>
      <c r="GQ283" s="205"/>
      <c r="GR283" s="205"/>
      <c r="GS283" s="205"/>
      <c r="GT283" s="205"/>
      <c r="GU283" s="205"/>
      <c r="GV283" s="205"/>
      <c r="GW283" s="205"/>
      <c r="GX283" s="205"/>
      <c r="GY283" s="205"/>
      <c r="GZ283" s="205"/>
      <c r="HA283" s="205"/>
      <c r="HB283" s="205"/>
      <c r="HC283" s="205"/>
      <c r="HD283" s="205"/>
      <c r="HE283" s="205"/>
      <c r="HF283" s="205"/>
      <c r="HG283" s="205"/>
      <c r="HH283" s="205"/>
      <c r="HI283" s="205"/>
      <c r="HJ283" s="205"/>
      <c r="HK283" s="205"/>
      <c r="HL283" s="205"/>
      <c r="HM283" s="205"/>
      <c r="HN283" s="205"/>
      <c r="HO283" s="205"/>
      <c r="HP283" s="205"/>
      <c r="HQ283" s="205"/>
      <c r="HR283" s="205"/>
      <c r="HS283" s="205"/>
      <c r="HT283" s="205"/>
      <c r="HU283" s="205"/>
      <c r="HV283" s="205"/>
      <c r="HW283" s="205"/>
      <c r="HX283" s="205"/>
      <c r="HY283" s="205"/>
      <c r="HZ283" s="205"/>
      <c r="IA283" s="205"/>
      <c r="IB283" s="205"/>
      <c r="IC283" s="205"/>
      <c r="ID283" s="205"/>
      <c r="IE283" s="205"/>
      <c r="IF283" s="205"/>
      <c r="IG283" s="205"/>
      <c r="IH283" s="205"/>
      <c r="II283" s="205"/>
      <c r="IJ283" s="205"/>
      <c r="IK283" s="205"/>
      <c r="IL283" s="205"/>
      <c r="IM283" s="205"/>
      <c r="IN283" s="205"/>
      <c r="IO283" s="205"/>
      <c r="IP283" s="205"/>
      <c r="IQ283" s="205"/>
      <c r="IR283" s="205"/>
      <c r="IS283" s="205"/>
      <c r="IT283" s="205"/>
      <c r="IU283" s="205"/>
      <c r="IV283" s="205"/>
      <c r="IW283" s="205"/>
      <c r="IX283" s="205"/>
    </row>
    <row r="284" spans="1:258" s="203" customFormat="1" x14ac:dyDescent="0.2">
      <c r="A284" s="669"/>
      <c r="B284" s="670"/>
      <c r="C284" s="1390"/>
      <c r="D284" s="672"/>
      <c r="E284" s="1391"/>
      <c r="F284" s="1391"/>
      <c r="G284" s="1392"/>
      <c r="H284" s="1393"/>
      <c r="I284" s="1394"/>
      <c r="J284" s="1394"/>
      <c r="K284" s="1394"/>
      <c r="L284" s="1394"/>
      <c r="M284" s="1394"/>
      <c r="N284" s="1394"/>
      <c r="O284" s="1394"/>
      <c r="P284" s="1394"/>
      <c r="Q284" s="1394"/>
      <c r="R284" s="1395"/>
      <c r="S284" s="1396"/>
      <c r="T284" s="1397"/>
      <c r="U284" s="205"/>
      <c r="V284" s="685"/>
      <c r="W284" s="205"/>
      <c r="X284" s="205"/>
      <c r="Y284" s="205"/>
      <c r="Z284" s="205"/>
      <c r="AA284" s="205"/>
      <c r="AB284" s="205"/>
      <c r="AC284" s="205"/>
      <c r="AD284" s="205"/>
      <c r="AE284" s="205"/>
      <c r="AF284" s="205"/>
      <c r="AG284" s="205"/>
      <c r="AH284" s="205"/>
      <c r="AI284" s="205"/>
      <c r="AJ284" s="205"/>
      <c r="AK284" s="205"/>
      <c r="AL284" s="205"/>
      <c r="AM284" s="205"/>
      <c r="AN284" s="205"/>
      <c r="AO284" s="205"/>
      <c r="AP284" s="205"/>
      <c r="AQ284" s="205"/>
      <c r="AR284" s="205"/>
      <c r="AS284" s="205"/>
      <c r="AT284" s="205"/>
      <c r="AU284" s="205"/>
      <c r="AV284" s="205"/>
      <c r="AW284" s="205"/>
      <c r="AX284" s="205"/>
      <c r="AY284" s="205"/>
      <c r="AZ284" s="205"/>
      <c r="BA284" s="205"/>
      <c r="BB284" s="205"/>
      <c r="BC284" s="205"/>
      <c r="BD284" s="205"/>
      <c r="BE284" s="205"/>
      <c r="BF284" s="205"/>
      <c r="BG284" s="205"/>
      <c r="BH284" s="205"/>
      <c r="BI284" s="205"/>
      <c r="BJ284" s="205"/>
      <c r="BK284" s="205"/>
      <c r="BL284" s="205"/>
      <c r="BM284" s="205"/>
      <c r="BN284" s="205"/>
      <c r="BO284" s="205"/>
      <c r="BP284" s="205"/>
      <c r="BQ284" s="205"/>
      <c r="BR284" s="205"/>
      <c r="BS284" s="205"/>
      <c r="BT284" s="205"/>
      <c r="BU284" s="205"/>
      <c r="BV284" s="205"/>
      <c r="BW284" s="205"/>
      <c r="BX284" s="205"/>
      <c r="BY284" s="205"/>
      <c r="BZ284" s="205"/>
      <c r="CA284" s="205"/>
      <c r="CB284" s="205"/>
      <c r="CC284" s="205"/>
      <c r="CD284" s="205"/>
      <c r="CE284" s="205"/>
      <c r="CF284" s="205"/>
      <c r="CG284" s="205"/>
      <c r="CH284" s="205"/>
      <c r="CI284" s="205"/>
      <c r="CJ284" s="205"/>
      <c r="CK284" s="205"/>
      <c r="CL284" s="205"/>
      <c r="CM284" s="205"/>
      <c r="CN284" s="205"/>
      <c r="CO284" s="205"/>
      <c r="CP284" s="205"/>
      <c r="CQ284" s="205"/>
      <c r="CR284" s="205"/>
      <c r="CS284" s="205"/>
      <c r="CT284" s="205"/>
      <c r="CU284" s="205"/>
      <c r="CV284" s="205"/>
      <c r="CW284" s="205"/>
      <c r="CX284" s="205"/>
      <c r="CY284" s="205"/>
      <c r="CZ284" s="205"/>
      <c r="DA284" s="205"/>
      <c r="DB284" s="205"/>
      <c r="DC284" s="205"/>
      <c r="DD284" s="205"/>
      <c r="DE284" s="205"/>
      <c r="DF284" s="205"/>
      <c r="DG284" s="205"/>
      <c r="DH284" s="205"/>
      <c r="DI284" s="205"/>
      <c r="DJ284" s="205"/>
      <c r="DK284" s="205"/>
      <c r="DL284" s="205"/>
      <c r="DM284" s="205"/>
      <c r="DN284" s="205"/>
      <c r="DO284" s="205"/>
      <c r="DP284" s="205"/>
      <c r="DQ284" s="205"/>
      <c r="DR284" s="205"/>
      <c r="DS284" s="205"/>
      <c r="DT284" s="205"/>
      <c r="DU284" s="205"/>
      <c r="DV284" s="205"/>
      <c r="DW284" s="205"/>
      <c r="DX284" s="205"/>
      <c r="DY284" s="205"/>
      <c r="DZ284" s="205"/>
      <c r="EA284" s="205"/>
      <c r="EB284" s="205"/>
      <c r="EC284" s="205"/>
      <c r="ED284" s="205"/>
      <c r="EE284" s="205"/>
      <c r="EF284" s="205"/>
      <c r="EG284" s="205"/>
      <c r="EH284" s="205"/>
      <c r="EI284" s="205"/>
      <c r="EJ284" s="205"/>
      <c r="EK284" s="205"/>
      <c r="EL284" s="205"/>
      <c r="EM284" s="205"/>
      <c r="EN284" s="205"/>
      <c r="EO284" s="205"/>
      <c r="EP284" s="205"/>
      <c r="EQ284" s="205"/>
      <c r="ER284" s="205"/>
      <c r="ES284" s="205"/>
      <c r="ET284" s="205"/>
      <c r="EU284" s="205"/>
      <c r="EV284" s="205"/>
      <c r="EW284" s="205"/>
      <c r="EX284" s="205"/>
      <c r="EY284" s="205"/>
      <c r="EZ284" s="205"/>
      <c r="FA284" s="205"/>
      <c r="FB284" s="205"/>
      <c r="FC284" s="205"/>
      <c r="FD284" s="205"/>
      <c r="FE284" s="205"/>
      <c r="FF284" s="205"/>
      <c r="FG284" s="205"/>
      <c r="FH284" s="205"/>
      <c r="FI284" s="205"/>
      <c r="FJ284" s="205"/>
      <c r="FK284" s="205"/>
      <c r="FL284" s="205"/>
      <c r="FM284" s="205"/>
      <c r="FN284" s="205"/>
      <c r="FO284" s="205"/>
      <c r="FP284" s="205"/>
      <c r="FQ284" s="205"/>
      <c r="FR284" s="205"/>
      <c r="FS284" s="205"/>
      <c r="FT284" s="205"/>
      <c r="FU284" s="205"/>
      <c r="FV284" s="205"/>
      <c r="FW284" s="205"/>
      <c r="FX284" s="205"/>
      <c r="FY284" s="205"/>
      <c r="FZ284" s="205"/>
      <c r="GA284" s="205"/>
      <c r="GB284" s="205"/>
      <c r="GC284" s="205"/>
      <c r="GD284" s="205"/>
      <c r="GE284" s="205"/>
      <c r="GF284" s="205"/>
      <c r="GG284" s="205"/>
      <c r="GH284" s="205"/>
      <c r="GI284" s="205"/>
      <c r="GJ284" s="205"/>
      <c r="GK284" s="205"/>
      <c r="GL284" s="205"/>
      <c r="GM284" s="205"/>
      <c r="GN284" s="205"/>
      <c r="GO284" s="205"/>
      <c r="GP284" s="205"/>
      <c r="GQ284" s="205"/>
      <c r="GR284" s="205"/>
      <c r="GS284" s="205"/>
      <c r="GT284" s="205"/>
      <c r="GU284" s="205"/>
      <c r="GV284" s="205"/>
      <c r="GW284" s="205"/>
      <c r="GX284" s="205"/>
      <c r="GY284" s="205"/>
      <c r="GZ284" s="205"/>
      <c r="HA284" s="205"/>
      <c r="HB284" s="205"/>
      <c r="HC284" s="205"/>
      <c r="HD284" s="205"/>
      <c r="HE284" s="205"/>
      <c r="HF284" s="205"/>
      <c r="HG284" s="205"/>
      <c r="HH284" s="205"/>
      <c r="HI284" s="205"/>
      <c r="HJ284" s="205"/>
      <c r="HK284" s="205"/>
      <c r="HL284" s="205"/>
      <c r="HM284" s="205"/>
      <c r="HN284" s="205"/>
      <c r="HO284" s="205"/>
      <c r="HP284" s="205"/>
      <c r="HQ284" s="205"/>
      <c r="HR284" s="205"/>
      <c r="HS284" s="205"/>
      <c r="HT284" s="205"/>
      <c r="HU284" s="205"/>
      <c r="HV284" s="205"/>
      <c r="HW284" s="205"/>
      <c r="HX284" s="205"/>
      <c r="HY284" s="205"/>
      <c r="HZ284" s="205"/>
      <c r="IA284" s="205"/>
      <c r="IB284" s="205"/>
      <c r="IC284" s="205"/>
      <c r="ID284" s="205"/>
      <c r="IE284" s="205"/>
      <c r="IF284" s="205"/>
      <c r="IG284" s="205"/>
      <c r="IH284" s="205"/>
      <c r="II284" s="205"/>
      <c r="IJ284" s="205"/>
      <c r="IK284" s="205"/>
      <c r="IL284" s="205"/>
      <c r="IM284" s="205"/>
      <c r="IN284" s="205"/>
      <c r="IO284" s="205"/>
      <c r="IP284" s="205"/>
      <c r="IQ284" s="205"/>
      <c r="IR284" s="205"/>
      <c r="IS284" s="205"/>
      <c r="IT284" s="205"/>
      <c r="IU284" s="205"/>
      <c r="IV284" s="205"/>
      <c r="IW284" s="205"/>
      <c r="IX284" s="205"/>
    </row>
    <row r="285" spans="1:258" s="203" customFormat="1" x14ac:dyDescent="0.2">
      <c r="A285" s="669"/>
      <c r="B285" s="670">
        <f>RAB!B99</f>
        <v>31</v>
      </c>
      <c r="C285" s="686" t="str">
        <f>RAB!D99</f>
        <v>Pembesian 1 kg dengan besi polos atau besi ulir</v>
      </c>
      <c r="D285" s="672"/>
      <c r="E285" s="1391"/>
      <c r="F285" s="1391"/>
      <c r="G285" s="1392"/>
      <c r="H285" s="1393"/>
      <c r="I285" s="1394"/>
      <c r="J285" s="1394"/>
      <c r="K285" s="1394"/>
      <c r="L285" s="1394"/>
      <c r="M285" s="1394"/>
      <c r="N285" s="1394"/>
      <c r="O285" s="1394"/>
      <c r="P285" s="1394"/>
      <c r="Q285" s="1394"/>
      <c r="R285" s="1395"/>
      <c r="S285" s="1396"/>
      <c r="T285" s="1397"/>
      <c r="U285" s="205"/>
      <c r="V285" s="685"/>
      <c r="W285" s="205"/>
      <c r="X285" s="205"/>
      <c r="Y285" s="205"/>
      <c r="Z285" s="205"/>
      <c r="AA285" s="205"/>
      <c r="AB285" s="205"/>
      <c r="AC285" s="205"/>
      <c r="AD285" s="205"/>
      <c r="AE285" s="205"/>
      <c r="AF285" s="205"/>
      <c r="AG285" s="205"/>
      <c r="AH285" s="205"/>
      <c r="AI285" s="205"/>
      <c r="AJ285" s="205"/>
      <c r="AK285" s="205"/>
      <c r="AL285" s="205"/>
      <c r="AM285" s="205"/>
      <c r="AN285" s="205"/>
      <c r="AO285" s="205"/>
      <c r="AP285" s="205"/>
      <c r="AQ285" s="205"/>
      <c r="AR285" s="205"/>
      <c r="AS285" s="205"/>
      <c r="AT285" s="205"/>
      <c r="AU285" s="205"/>
      <c r="AV285" s="205"/>
      <c r="AW285" s="205"/>
      <c r="AX285" s="205"/>
      <c r="AY285" s="205"/>
      <c r="AZ285" s="205"/>
      <c r="BA285" s="205"/>
      <c r="BB285" s="205"/>
      <c r="BC285" s="205"/>
      <c r="BD285" s="205"/>
      <c r="BE285" s="205"/>
      <c r="BF285" s="205"/>
      <c r="BG285" s="205"/>
      <c r="BH285" s="205"/>
      <c r="BI285" s="205"/>
      <c r="BJ285" s="205"/>
      <c r="BK285" s="205"/>
      <c r="BL285" s="205"/>
      <c r="BM285" s="205"/>
      <c r="BN285" s="205"/>
      <c r="BO285" s="205"/>
      <c r="BP285" s="205"/>
      <c r="BQ285" s="205"/>
      <c r="BR285" s="205"/>
      <c r="BS285" s="205"/>
      <c r="BT285" s="205"/>
      <c r="BU285" s="205"/>
      <c r="BV285" s="205"/>
      <c r="BW285" s="205"/>
      <c r="BX285" s="205"/>
      <c r="BY285" s="205"/>
      <c r="BZ285" s="205"/>
      <c r="CA285" s="205"/>
      <c r="CB285" s="205"/>
      <c r="CC285" s="205"/>
      <c r="CD285" s="205"/>
      <c r="CE285" s="205"/>
      <c r="CF285" s="205"/>
      <c r="CG285" s="205"/>
      <c r="CH285" s="205"/>
      <c r="CI285" s="205"/>
      <c r="CJ285" s="205"/>
      <c r="CK285" s="205"/>
      <c r="CL285" s="205"/>
      <c r="CM285" s="205"/>
      <c r="CN285" s="205"/>
      <c r="CO285" s="205"/>
      <c r="CP285" s="205"/>
      <c r="CQ285" s="205"/>
      <c r="CR285" s="205"/>
      <c r="CS285" s="205"/>
      <c r="CT285" s="205"/>
      <c r="CU285" s="205"/>
      <c r="CV285" s="205"/>
      <c r="CW285" s="205"/>
      <c r="CX285" s="205"/>
      <c r="CY285" s="205"/>
      <c r="CZ285" s="205"/>
      <c r="DA285" s="205"/>
      <c r="DB285" s="205"/>
      <c r="DC285" s="205"/>
      <c r="DD285" s="205"/>
      <c r="DE285" s="205"/>
      <c r="DF285" s="205"/>
      <c r="DG285" s="205"/>
      <c r="DH285" s="205"/>
      <c r="DI285" s="205"/>
      <c r="DJ285" s="205"/>
      <c r="DK285" s="205"/>
      <c r="DL285" s="205"/>
      <c r="DM285" s="205"/>
      <c r="DN285" s="205"/>
      <c r="DO285" s="205"/>
      <c r="DP285" s="205"/>
      <c r="DQ285" s="205"/>
      <c r="DR285" s="205"/>
      <c r="DS285" s="205"/>
      <c r="DT285" s="205"/>
      <c r="DU285" s="205"/>
      <c r="DV285" s="205"/>
      <c r="DW285" s="205"/>
      <c r="DX285" s="205"/>
      <c r="DY285" s="205"/>
      <c r="DZ285" s="205"/>
      <c r="EA285" s="205"/>
      <c r="EB285" s="205"/>
      <c r="EC285" s="205"/>
      <c r="ED285" s="205"/>
      <c r="EE285" s="205"/>
      <c r="EF285" s="205"/>
      <c r="EG285" s="205"/>
      <c r="EH285" s="205"/>
      <c r="EI285" s="205"/>
      <c r="EJ285" s="205"/>
      <c r="EK285" s="205"/>
      <c r="EL285" s="205"/>
      <c r="EM285" s="205"/>
      <c r="EN285" s="205"/>
      <c r="EO285" s="205"/>
      <c r="EP285" s="205"/>
      <c r="EQ285" s="205"/>
      <c r="ER285" s="205"/>
      <c r="ES285" s="205"/>
      <c r="ET285" s="205"/>
      <c r="EU285" s="205"/>
      <c r="EV285" s="205"/>
      <c r="EW285" s="205"/>
      <c r="EX285" s="205"/>
      <c r="EY285" s="205"/>
      <c r="EZ285" s="205"/>
      <c r="FA285" s="205"/>
      <c r="FB285" s="205"/>
      <c r="FC285" s="205"/>
      <c r="FD285" s="205"/>
      <c r="FE285" s="205"/>
      <c r="FF285" s="205"/>
      <c r="FG285" s="205"/>
      <c r="FH285" s="205"/>
      <c r="FI285" s="205"/>
      <c r="FJ285" s="205"/>
      <c r="FK285" s="205"/>
      <c r="FL285" s="205"/>
      <c r="FM285" s="205"/>
      <c r="FN285" s="205"/>
      <c r="FO285" s="205"/>
      <c r="FP285" s="205"/>
      <c r="FQ285" s="205"/>
      <c r="FR285" s="205"/>
      <c r="FS285" s="205"/>
      <c r="FT285" s="205"/>
      <c r="FU285" s="205"/>
      <c r="FV285" s="205"/>
      <c r="FW285" s="205"/>
      <c r="FX285" s="205"/>
      <c r="FY285" s="205"/>
      <c r="FZ285" s="205"/>
      <c r="GA285" s="205"/>
      <c r="GB285" s="205"/>
      <c r="GC285" s="205"/>
      <c r="GD285" s="205"/>
      <c r="GE285" s="205"/>
      <c r="GF285" s="205"/>
      <c r="GG285" s="205"/>
      <c r="GH285" s="205"/>
      <c r="GI285" s="205"/>
      <c r="GJ285" s="205"/>
      <c r="GK285" s="205"/>
      <c r="GL285" s="205"/>
      <c r="GM285" s="205"/>
      <c r="GN285" s="205"/>
      <c r="GO285" s="205"/>
      <c r="GP285" s="205"/>
      <c r="GQ285" s="205"/>
      <c r="GR285" s="205"/>
      <c r="GS285" s="205"/>
      <c r="GT285" s="205"/>
      <c r="GU285" s="205"/>
      <c r="GV285" s="205"/>
      <c r="GW285" s="205"/>
      <c r="GX285" s="205"/>
      <c r="GY285" s="205"/>
      <c r="GZ285" s="205"/>
      <c r="HA285" s="205"/>
      <c r="HB285" s="205"/>
      <c r="HC285" s="205"/>
      <c r="HD285" s="205"/>
      <c r="HE285" s="205"/>
      <c r="HF285" s="205"/>
      <c r="HG285" s="205"/>
      <c r="HH285" s="205"/>
      <c r="HI285" s="205"/>
      <c r="HJ285" s="205"/>
      <c r="HK285" s="205"/>
      <c r="HL285" s="205"/>
      <c r="HM285" s="205"/>
      <c r="HN285" s="205"/>
      <c r="HO285" s="205"/>
      <c r="HP285" s="205"/>
      <c r="HQ285" s="205"/>
      <c r="HR285" s="205"/>
      <c r="HS285" s="205"/>
      <c r="HT285" s="205"/>
      <c r="HU285" s="205"/>
      <c r="HV285" s="205"/>
      <c r="HW285" s="205"/>
      <c r="HX285" s="205"/>
      <c r="HY285" s="205"/>
      <c r="HZ285" s="205"/>
      <c r="IA285" s="205"/>
      <c r="IB285" s="205"/>
      <c r="IC285" s="205"/>
      <c r="ID285" s="205"/>
      <c r="IE285" s="205"/>
      <c r="IF285" s="205"/>
      <c r="IG285" s="205"/>
      <c r="IH285" s="205"/>
      <c r="II285" s="205"/>
      <c r="IJ285" s="205"/>
      <c r="IK285" s="205"/>
      <c r="IL285" s="205"/>
      <c r="IM285" s="205"/>
      <c r="IN285" s="205"/>
      <c r="IO285" s="205"/>
      <c r="IP285" s="205"/>
      <c r="IQ285" s="205"/>
      <c r="IR285" s="205"/>
      <c r="IS285" s="205"/>
      <c r="IT285" s="205"/>
      <c r="IU285" s="205"/>
      <c r="IV285" s="205"/>
      <c r="IW285" s="205"/>
      <c r="IX285" s="205"/>
    </row>
    <row r="286" spans="1:258" s="203" customFormat="1" x14ac:dyDescent="0.2">
      <c r="A286" s="669"/>
      <c r="B286" s="670"/>
      <c r="C286" s="1390"/>
      <c r="D286" s="672"/>
      <c r="E286" s="1391"/>
      <c r="F286" s="1391"/>
      <c r="G286" s="1392" t="s">
        <v>1716</v>
      </c>
      <c r="H286" s="1393">
        <f>H283+0.3</f>
        <v>1.1000000000000001</v>
      </c>
      <c r="I286" s="1394" t="s">
        <v>424</v>
      </c>
      <c r="J286" s="1394">
        <v>6</v>
      </c>
      <c r="K286" s="1394" t="s">
        <v>424</v>
      </c>
      <c r="L286" s="1375">
        <f t="shared" ref="L286:L287" si="133">Z286</f>
        <v>0.88736400000000004</v>
      </c>
      <c r="M286" s="1394" t="s">
        <v>424</v>
      </c>
      <c r="N286" s="1394">
        <f>N283</f>
        <v>10</v>
      </c>
      <c r="O286" s="1394"/>
      <c r="P286" s="1394"/>
      <c r="Q286" s="1362" t="s">
        <v>696</v>
      </c>
      <c r="R286" s="1363">
        <f>H286*J286*L286*N286</f>
        <v>58.566024000000006</v>
      </c>
      <c r="S286" s="1396"/>
      <c r="T286" s="1397"/>
      <c r="U286" s="205"/>
      <c r="V286" s="687" t="s">
        <v>1553</v>
      </c>
      <c r="W286" s="688">
        <v>1.2E-2</v>
      </c>
      <c r="X286" s="689">
        <v>7850</v>
      </c>
      <c r="Y286" s="690">
        <f t="shared" ref="Y286:Y287" si="134">0.25*3.14*(W286*W286)</f>
        <v>1.1304E-4</v>
      </c>
      <c r="Z286" s="691">
        <f t="shared" ref="Z286:Z287" si="135">X286*Y286*AA286</f>
        <v>0.88736400000000004</v>
      </c>
      <c r="AA286" s="689">
        <v>1</v>
      </c>
      <c r="AB286" s="692">
        <f t="shared" ref="AB286:AB287" si="136">Z286*12</f>
        <v>10.648368000000001</v>
      </c>
      <c r="AC286" s="693" t="s">
        <v>1554</v>
      </c>
      <c r="AD286" s="205"/>
      <c r="AE286" s="205"/>
      <c r="AF286" s="205"/>
      <c r="AG286" s="205"/>
      <c r="AH286" s="205"/>
      <c r="AI286" s="205"/>
      <c r="AJ286" s="205"/>
      <c r="AK286" s="205"/>
      <c r="AL286" s="205"/>
      <c r="AM286" s="205"/>
      <c r="AN286" s="205"/>
      <c r="AO286" s="205"/>
      <c r="AP286" s="205"/>
      <c r="AQ286" s="205"/>
      <c r="AR286" s="205"/>
      <c r="AS286" s="205"/>
      <c r="AT286" s="205"/>
      <c r="AU286" s="205"/>
      <c r="AV286" s="205"/>
      <c r="AW286" s="205"/>
      <c r="AX286" s="205"/>
      <c r="AY286" s="205"/>
      <c r="AZ286" s="205"/>
      <c r="BA286" s="205"/>
      <c r="BB286" s="205"/>
      <c r="BC286" s="205"/>
      <c r="BD286" s="205"/>
      <c r="BE286" s="205"/>
      <c r="BF286" s="205"/>
      <c r="BG286" s="205"/>
      <c r="BH286" s="205"/>
      <c r="BI286" s="205"/>
      <c r="BJ286" s="205"/>
      <c r="BK286" s="205"/>
      <c r="BL286" s="205"/>
      <c r="BM286" s="205"/>
      <c r="BN286" s="205"/>
      <c r="BO286" s="205"/>
      <c r="BP286" s="205"/>
      <c r="BQ286" s="205"/>
      <c r="BR286" s="205"/>
      <c r="BS286" s="205"/>
      <c r="BT286" s="205"/>
      <c r="BU286" s="205"/>
      <c r="BV286" s="205"/>
      <c r="BW286" s="205"/>
      <c r="BX286" s="205"/>
      <c r="BY286" s="205"/>
      <c r="BZ286" s="205"/>
      <c r="CA286" s="205"/>
      <c r="CB286" s="205"/>
      <c r="CC286" s="205"/>
      <c r="CD286" s="205"/>
      <c r="CE286" s="205"/>
      <c r="CF286" s="205"/>
      <c r="CG286" s="205"/>
      <c r="CH286" s="205"/>
      <c r="CI286" s="205"/>
      <c r="CJ286" s="205"/>
      <c r="CK286" s="205"/>
      <c r="CL286" s="205"/>
      <c r="CM286" s="205"/>
      <c r="CN286" s="205"/>
      <c r="CO286" s="205"/>
      <c r="CP286" s="205"/>
      <c r="CQ286" s="205"/>
      <c r="CR286" s="205"/>
      <c r="CS286" s="205"/>
      <c r="CT286" s="205"/>
      <c r="CU286" s="205"/>
      <c r="CV286" s="205"/>
      <c r="CW286" s="205"/>
      <c r="CX286" s="205"/>
      <c r="CY286" s="205"/>
      <c r="CZ286" s="205"/>
      <c r="DA286" s="205"/>
      <c r="DB286" s="205"/>
      <c r="DC286" s="205"/>
      <c r="DD286" s="205"/>
      <c r="DE286" s="205"/>
      <c r="DF286" s="205"/>
      <c r="DG286" s="205"/>
      <c r="DH286" s="205"/>
      <c r="DI286" s="205"/>
      <c r="DJ286" s="205"/>
      <c r="DK286" s="205"/>
      <c r="DL286" s="205"/>
      <c r="DM286" s="205"/>
      <c r="DN286" s="205"/>
      <c r="DO286" s="205"/>
      <c r="DP286" s="205"/>
      <c r="DQ286" s="205"/>
      <c r="DR286" s="205"/>
      <c r="DS286" s="205"/>
      <c r="DT286" s="205"/>
      <c r="DU286" s="205"/>
      <c r="DV286" s="205"/>
      <c r="DW286" s="205"/>
      <c r="DX286" s="205"/>
      <c r="DY286" s="205"/>
      <c r="DZ286" s="205"/>
      <c r="EA286" s="205"/>
      <c r="EB286" s="205"/>
      <c r="EC286" s="205"/>
      <c r="ED286" s="205"/>
      <c r="EE286" s="205"/>
      <c r="EF286" s="205"/>
      <c r="EG286" s="205"/>
      <c r="EH286" s="205"/>
      <c r="EI286" s="205"/>
      <c r="EJ286" s="205"/>
      <c r="EK286" s="205"/>
      <c r="EL286" s="205"/>
      <c r="EM286" s="205"/>
      <c r="EN286" s="205"/>
      <c r="EO286" s="205"/>
      <c r="EP286" s="205"/>
      <c r="EQ286" s="205"/>
      <c r="ER286" s="205"/>
      <c r="ES286" s="205"/>
      <c r="ET286" s="205"/>
      <c r="EU286" s="205"/>
      <c r="EV286" s="205"/>
      <c r="EW286" s="205"/>
      <c r="EX286" s="205"/>
      <c r="EY286" s="205"/>
      <c r="EZ286" s="205"/>
      <c r="FA286" s="205"/>
      <c r="FB286" s="205"/>
      <c r="FC286" s="205"/>
      <c r="FD286" s="205"/>
      <c r="FE286" s="205"/>
      <c r="FF286" s="205"/>
      <c r="FG286" s="205"/>
      <c r="FH286" s="205"/>
      <c r="FI286" s="205"/>
      <c r="FJ286" s="205"/>
      <c r="FK286" s="205"/>
      <c r="FL286" s="205"/>
      <c r="FM286" s="205"/>
      <c r="FN286" s="205"/>
      <c r="FO286" s="205"/>
      <c r="FP286" s="205"/>
      <c r="FQ286" s="205"/>
      <c r="FR286" s="205"/>
      <c r="FS286" s="205"/>
      <c r="FT286" s="205"/>
      <c r="FU286" s="205"/>
      <c r="FV286" s="205"/>
      <c r="FW286" s="205"/>
      <c r="FX286" s="205"/>
      <c r="FY286" s="205"/>
      <c r="FZ286" s="205"/>
      <c r="GA286" s="205"/>
      <c r="GB286" s="205"/>
      <c r="GC286" s="205"/>
      <c r="GD286" s="205"/>
      <c r="GE286" s="205"/>
      <c r="GF286" s="205"/>
      <c r="GG286" s="205"/>
      <c r="GH286" s="205"/>
      <c r="GI286" s="205"/>
      <c r="GJ286" s="205"/>
      <c r="GK286" s="205"/>
      <c r="GL286" s="205"/>
      <c r="GM286" s="205"/>
      <c r="GN286" s="205"/>
      <c r="GO286" s="205"/>
      <c r="GP286" s="205"/>
      <c r="GQ286" s="205"/>
      <c r="GR286" s="205"/>
      <c r="GS286" s="205"/>
      <c r="GT286" s="205"/>
      <c r="GU286" s="205"/>
      <c r="GV286" s="205"/>
      <c r="GW286" s="205"/>
      <c r="GX286" s="205"/>
      <c r="GY286" s="205"/>
      <c r="GZ286" s="205"/>
      <c r="HA286" s="205"/>
      <c r="HB286" s="205"/>
      <c r="HC286" s="205"/>
      <c r="HD286" s="205"/>
      <c r="HE286" s="205"/>
      <c r="HF286" s="205"/>
      <c r="HG286" s="205"/>
      <c r="HH286" s="205"/>
      <c r="HI286" s="205"/>
      <c r="HJ286" s="205"/>
      <c r="HK286" s="205"/>
      <c r="HL286" s="205"/>
      <c r="HM286" s="205"/>
      <c r="HN286" s="205"/>
      <c r="HO286" s="205"/>
      <c r="HP286" s="205"/>
      <c r="HQ286" s="205"/>
      <c r="HR286" s="205"/>
      <c r="HS286" s="205"/>
      <c r="HT286" s="205"/>
      <c r="HU286" s="205"/>
      <c r="HV286" s="205"/>
      <c r="HW286" s="205"/>
      <c r="HX286" s="205"/>
      <c r="HY286" s="205"/>
      <c r="HZ286" s="205"/>
      <c r="IA286" s="205"/>
      <c r="IB286" s="205"/>
      <c r="IC286" s="205"/>
      <c r="ID286" s="205"/>
      <c r="IE286" s="205"/>
      <c r="IF286" s="205"/>
      <c r="IG286" s="205"/>
      <c r="IH286" s="205"/>
      <c r="II286" s="205"/>
      <c r="IJ286" s="205"/>
      <c r="IK286" s="205"/>
      <c r="IL286" s="205"/>
      <c r="IM286" s="205"/>
      <c r="IN286" s="205"/>
      <c r="IO286" s="205"/>
      <c r="IP286" s="205"/>
      <c r="IQ286" s="205"/>
      <c r="IR286" s="205"/>
      <c r="IS286" s="205"/>
      <c r="IT286" s="205"/>
      <c r="IU286" s="205"/>
      <c r="IV286" s="205"/>
      <c r="IW286" s="205"/>
      <c r="IX286" s="205"/>
    </row>
    <row r="287" spans="1:258" s="203" customFormat="1" x14ac:dyDescent="0.2">
      <c r="A287" s="669"/>
      <c r="B287" s="670"/>
      <c r="C287" s="1390"/>
      <c r="D287" s="672"/>
      <c r="E287" s="1391"/>
      <c r="F287" s="1391"/>
      <c r="G287" s="1392" t="s">
        <v>1654</v>
      </c>
      <c r="H287" s="1361">
        <f>0.12+0.12+0.17+0.17+0.08</f>
        <v>0.66</v>
      </c>
      <c r="I287" s="1394" t="s">
        <v>424</v>
      </c>
      <c r="J287" s="1394">
        <f>H283/0.1</f>
        <v>8</v>
      </c>
      <c r="K287" s="1394" t="s">
        <v>424</v>
      </c>
      <c r="L287" s="1375">
        <f t="shared" si="133"/>
        <v>0.61622500000000013</v>
      </c>
      <c r="M287" s="1394" t="s">
        <v>424</v>
      </c>
      <c r="N287" s="1394">
        <f>N286</f>
        <v>10</v>
      </c>
      <c r="O287" s="1394"/>
      <c r="P287" s="1394"/>
      <c r="Q287" s="1362" t="s">
        <v>696</v>
      </c>
      <c r="R287" s="1363">
        <f>H287*J287*L287*N287</f>
        <v>32.536680000000004</v>
      </c>
      <c r="S287" s="1396"/>
      <c r="T287" s="1397"/>
      <c r="U287" s="205"/>
      <c r="V287" s="687" t="s">
        <v>1556</v>
      </c>
      <c r="W287" s="688">
        <v>0.01</v>
      </c>
      <c r="X287" s="689">
        <v>7850</v>
      </c>
      <c r="Y287" s="690">
        <f t="shared" si="134"/>
        <v>7.8500000000000011E-5</v>
      </c>
      <c r="Z287" s="691">
        <f t="shared" si="135"/>
        <v>0.61622500000000013</v>
      </c>
      <c r="AA287" s="689">
        <v>1</v>
      </c>
      <c r="AB287" s="692">
        <f t="shared" si="136"/>
        <v>7.394700000000002</v>
      </c>
      <c r="AC287" s="693" t="s">
        <v>1554</v>
      </c>
      <c r="AD287" s="205"/>
      <c r="AE287" s="205"/>
      <c r="AF287" s="205"/>
      <c r="AG287" s="205"/>
      <c r="AH287" s="205"/>
      <c r="AI287" s="205"/>
      <c r="AJ287" s="205"/>
      <c r="AK287" s="205"/>
      <c r="AL287" s="205"/>
      <c r="AM287" s="205"/>
      <c r="AN287" s="205"/>
      <c r="AO287" s="205"/>
      <c r="AP287" s="205"/>
      <c r="AQ287" s="205"/>
      <c r="AR287" s="205"/>
      <c r="AS287" s="205"/>
      <c r="AT287" s="205"/>
      <c r="AU287" s="205"/>
      <c r="AV287" s="205"/>
      <c r="AW287" s="205"/>
      <c r="AX287" s="205"/>
      <c r="AY287" s="205"/>
      <c r="AZ287" s="205"/>
      <c r="BA287" s="205"/>
      <c r="BB287" s="205"/>
      <c r="BC287" s="205"/>
      <c r="BD287" s="205"/>
      <c r="BE287" s="205"/>
      <c r="BF287" s="205"/>
      <c r="BG287" s="205"/>
      <c r="BH287" s="205"/>
      <c r="BI287" s="205"/>
      <c r="BJ287" s="205"/>
      <c r="BK287" s="205"/>
      <c r="BL287" s="205"/>
      <c r="BM287" s="205"/>
      <c r="BN287" s="205"/>
      <c r="BO287" s="205"/>
      <c r="BP287" s="205"/>
      <c r="BQ287" s="205"/>
      <c r="BR287" s="205"/>
      <c r="BS287" s="205"/>
      <c r="BT287" s="205"/>
      <c r="BU287" s="205"/>
      <c r="BV287" s="205"/>
      <c r="BW287" s="205"/>
      <c r="BX287" s="205"/>
      <c r="BY287" s="205"/>
      <c r="BZ287" s="205"/>
      <c r="CA287" s="205"/>
      <c r="CB287" s="205"/>
      <c r="CC287" s="205"/>
      <c r="CD287" s="205"/>
      <c r="CE287" s="205"/>
      <c r="CF287" s="205"/>
      <c r="CG287" s="205"/>
      <c r="CH287" s="205"/>
      <c r="CI287" s="205"/>
      <c r="CJ287" s="205"/>
      <c r="CK287" s="205"/>
      <c r="CL287" s="205"/>
      <c r="CM287" s="205"/>
      <c r="CN287" s="205"/>
      <c r="CO287" s="205"/>
      <c r="CP287" s="205"/>
      <c r="CQ287" s="205"/>
      <c r="CR287" s="205"/>
      <c r="CS287" s="205"/>
      <c r="CT287" s="205"/>
      <c r="CU287" s="205"/>
      <c r="CV287" s="205"/>
      <c r="CW287" s="205"/>
      <c r="CX287" s="205"/>
      <c r="CY287" s="205"/>
      <c r="CZ287" s="205"/>
      <c r="DA287" s="205"/>
      <c r="DB287" s="205"/>
      <c r="DC287" s="205"/>
      <c r="DD287" s="205"/>
      <c r="DE287" s="205"/>
      <c r="DF287" s="205"/>
      <c r="DG287" s="205"/>
      <c r="DH287" s="205"/>
      <c r="DI287" s="205"/>
      <c r="DJ287" s="205"/>
      <c r="DK287" s="205"/>
      <c r="DL287" s="205"/>
      <c r="DM287" s="205"/>
      <c r="DN287" s="205"/>
      <c r="DO287" s="205"/>
      <c r="DP287" s="205"/>
      <c r="DQ287" s="205"/>
      <c r="DR287" s="205"/>
      <c r="DS287" s="205"/>
      <c r="DT287" s="205"/>
      <c r="DU287" s="205"/>
      <c r="DV287" s="205"/>
      <c r="DW287" s="205"/>
      <c r="DX287" s="205"/>
      <c r="DY287" s="205"/>
      <c r="DZ287" s="205"/>
      <c r="EA287" s="205"/>
      <c r="EB287" s="205"/>
      <c r="EC287" s="205"/>
      <c r="ED287" s="205"/>
      <c r="EE287" s="205"/>
      <c r="EF287" s="205"/>
      <c r="EG287" s="205"/>
      <c r="EH287" s="205"/>
      <c r="EI287" s="205"/>
      <c r="EJ287" s="205"/>
      <c r="EK287" s="205"/>
      <c r="EL287" s="205"/>
      <c r="EM287" s="205"/>
      <c r="EN287" s="205"/>
      <c r="EO287" s="205"/>
      <c r="EP287" s="205"/>
      <c r="EQ287" s="205"/>
      <c r="ER287" s="205"/>
      <c r="ES287" s="205"/>
      <c r="ET287" s="205"/>
      <c r="EU287" s="205"/>
      <c r="EV287" s="205"/>
      <c r="EW287" s="205"/>
      <c r="EX287" s="205"/>
      <c r="EY287" s="205"/>
      <c r="EZ287" s="205"/>
      <c r="FA287" s="205"/>
      <c r="FB287" s="205"/>
      <c r="FC287" s="205"/>
      <c r="FD287" s="205"/>
      <c r="FE287" s="205"/>
      <c r="FF287" s="205"/>
      <c r="FG287" s="205"/>
      <c r="FH287" s="205"/>
      <c r="FI287" s="205"/>
      <c r="FJ287" s="205"/>
      <c r="FK287" s="205"/>
      <c r="FL287" s="205"/>
      <c r="FM287" s="205"/>
      <c r="FN287" s="205"/>
      <c r="FO287" s="205"/>
      <c r="FP287" s="205"/>
      <c r="FQ287" s="205"/>
      <c r="FR287" s="205"/>
      <c r="FS287" s="205"/>
      <c r="FT287" s="205"/>
      <c r="FU287" s="205"/>
      <c r="FV287" s="205"/>
      <c r="FW287" s="205"/>
      <c r="FX287" s="205"/>
      <c r="FY287" s="205"/>
      <c r="FZ287" s="205"/>
      <c r="GA287" s="205"/>
      <c r="GB287" s="205"/>
      <c r="GC287" s="205"/>
      <c r="GD287" s="205"/>
      <c r="GE287" s="205"/>
      <c r="GF287" s="205"/>
      <c r="GG287" s="205"/>
      <c r="GH287" s="205"/>
      <c r="GI287" s="205"/>
      <c r="GJ287" s="205"/>
      <c r="GK287" s="205"/>
      <c r="GL287" s="205"/>
      <c r="GM287" s="205"/>
      <c r="GN287" s="205"/>
      <c r="GO287" s="205"/>
      <c r="GP287" s="205"/>
      <c r="GQ287" s="205"/>
      <c r="GR287" s="205"/>
      <c r="GS287" s="205"/>
      <c r="GT287" s="205"/>
      <c r="GU287" s="205"/>
      <c r="GV287" s="205"/>
      <c r="GW287" s="205"/>
      <c r="GX287" s="205"/>
      <c r="GY287" s="205"/>
      <c r="GZ287" s="205"/>
      <c r="HA287" s="205"/>
      <c r="HB287" s="205"/>
      <c r="HC287" s="205"/>
      <c r="HD287" s="205"/>
      <c r="HE287" s="205"/>
      <c r="HF287" s="205"/>
      <c r="HG287" s="205"/>
      <c r="HH287" s="205"/>
      <c r="HI287" s="205"/>
      <c r="HJ287" s="205"/>
      <c r="HK287" s="205"/>
      <c r="HL287" s="205"/>
      <c r="HM287" s="205"/>
      <c r="HN287" s="205"/>
      <c r="HO287" s="205"/>
      <c r="HP287" s="205"/>
      <c r="HQ287" s="205"/>
      <c r="HR287" s="205"/>
      <c r="HS287" s="205"/>
      <c r="HT287" s="205"/>
      <c r="HU287" s="205"/>
      <c r="HV287" s="205"/>
      <c r="HW287" s="205"/>
      <c r="HX287" s="205"/>
      <c r="HY287" s="205"/>
      <c r="HZ287" s="205"/>
      <c r="IA287" s="205"/>
      <c r="IB287" s="205"/>
      <c r="IC287" s="205"/>
      <c r="ID287" s="205"/>
      <c r="IE287" s="205"/>
      <c r="IF287" s="205"/>
      <c r="IG287" s="205"/>
      <c r="IH287" s="205"/>
      <c r="II287" s="205"/>
      <c r="IJ287" s="205"/>
      <c r="IK287" s="205"/>
      <c r="IL287" s="205"/>
      <c r="IM287" s="205"/>
      <c r="IN287" s="205"/>
      <c r="IO287" s="205"/>
      <c r="IP287" s="205"/>
      <c r="IQ287" s="205"/>
      <c r="IR287" s="205"/>
      <c r="IS287" s="205"/>
      <c r="IT287" s="205"/>
      <c r="IU287" s="205"/>
      <c r="IV287" s="205"/>
      <c r="IW287" s="205"/>
      <c r="IX287" s="205"/>
    </row>
    <row r="288" spans="1:258" s="203" customFormat="1" x14ac:dyDescent="0.2">
      <c r="A288" s="669"/>
      <c r="B288" s="670"/>
      <c r="C288" s="1390"/>
      <c r="D288" s="672"/>
      <c r="E288" s="1391"/>
      <c r="F288" s="1391"/>
      <c r="G288" s="1392"/>
      <c r="H288" s="1393"/>
      <c r="I288" s="1394"/>
      <c r="J288" s="1394"/>
      <c r="K288" s="1394"/>
      <c r="L288" s="1394"/>
      <c r="M288" s="1394"/>
      <c r="N288" s="1394"/>
      <c r="O288" s="1394"/>
      <c r="P288" s="1394"/>
      <c r="Q288" s="1394"/>
      <c r="R288" s="1395">
        <f>SUM(R286:R287)</f>
        <v>91.102704000000017</v>
      </c>
      <c r="S288" s="1396">
        <f>R288</f>
        <v>91.102704000000017</v>
      </c>
      <c r="T288" s="1397" t="s">
        <v>298</v>
      </c>
      <c r="U288" s="205"/>
      <c r="V288" s="68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205"/>
      <c r="BN288" s="205"/>
      <c r="BO288" s="205"/>
      <c r="BP288" s="205"/>
      <c r="BQ288" s="205"/>
      <c r="BR288" s="205"/>
      <c r="BS288" s="205"/>
      <c r="BT288" s="205"/>
      <c r="BU288" s="205"/>
      <c r="BV288" s="205"/>
      <c r="BW288" s="205"/>
      <c r="BX288" s="205"/>
      <c r="BY288" s="205"/>
      <c r="BZ288" s="205"/>
      <c r="CA288" s="205"/>
      <c r="CB288" s="205"/>
      <c r="CC288" s="205"/>
      <c r="CD288" s="205"/>
      <c r="CE288" s="205"/>
      <c r="CF288" s="205"/>
      <c r="CG288" s="205"/>
      <c r="CH288" s="205"/>
      <c r="CI288" s="205"/>
      <c r="CJ288" s="205"/>
      <c r="CK288" s="205"/>
      <c r="CL288" s="205"/>
      <c r="CM288" s="205"/>
      <c r="CN288" s="205"/>
      <c r="CO288" s="205"/>
      <c r="CP288" s="205"/>
      <c r="CQ288" s="205"/>
      <c r="CR288" s="205"/>
      <c r="CS288" s="205"/>
      <c r="CT288" s="205"/>
      <c r="CU288" s="205"/>
      <c r="CV288" s="205"/>
      <c r="CW288" s="205"/>
      <c r="CX288" s="205"/>
      <c r="CY288" s="205"/>
      <c r="CZ288" s="205"/>
      <c r="DA288" s="205"/>
      <c r="DB288" s="205"/>
      <c r="DC288" s="205"/>
      <c r="DD288" s="205"/>
      <c r="DE288" s="205"/>
      <c r="DF288" s="205"/>
      <c r="DG288" s="205"/>
      <c r="DH288" s="205"/>
      <c r="DI288" s="205"/>
      <c r="DJ288" s="205"/>
      <c r="DK288" s="205"/>
      <c r="DL288" s="205"/>
      <c r="DM288" s="205"/>
      <c r="DN288" s="205"/>
      <c r="DO288" s="205"/>
      <c r="DP288" s="205"/>
      <c r="DQ288" s="205"/>
      <c r="DR288" s="205"/>
      <c r="DS288" s="205"/>
      <c r="DT288" s="205"/>
      <c r="DU288" s="205"/>
      <c r="DV288" s="205"/>
      <c r="DW288" s="205"/>
      <c r="DX288" s="205"/>
      <c r="DY288" s="205"/>
      <c r="DZ288" s="205"/>
      <c r="EA288" s="205"/>
      <c r="EB288" s="205"/>
      <c r="EC288" s="205"/>
      <c r="ED288" s="205"/>
      <c r="EE288" s="205"/>
      <c r="EF288" s="205"/>
      <c r="EG288" s="205"/>
      <c r="EH288" s="205"/>
      <c r="EI288" s="205"/>
      <c r="EJ288" s="205"/>
      <c r="EK288" s="205"/>
      <c r="EL288" s="205"/>
      <c r="EM288" s="205"/>
      <c r="EN288" s="205"/>
      <c r="EO288" s="205"/>
      <c r="EP288" s="205"/>
      <c r="EQ288" s="205"/>
      <c r="ER288" s="205"/>
      <c r="ES288" s="205"/>
      <c r="ET288" s="205"/>
      <c r="EU288" s="205"/>
      <c r="EV288" s="205"/>
      <c r="EW288" s="205"/>
      <c r="EX288" s="205"/>
      <c r="EY288" s="205"/>
      <c r="EZ288" s="205"/>
      <c r="FA288" s="205"/>
      <c r="FB288" s="205"/>
      <c r="FC288" s="205"/>
      <c r="FD288" s="205"/>
      <c r="FE288" s="205"/>
      <c r="FF288" s="205"/>
      <c r="FG288" s="205"/>
      <c r="FH288" s="205"/>
      <c r="FI288" s="205"/>
      <c r="FJ288" s="205"/>
      <c r="FK288" s="205"/>
      <c r="FL288" s="205"/>
      <c r="FM288" s="205"/>
      <c r="FN288" s="205"/>
      <c r="FO288" s="205"/>
      <c r="FP288" s="205"/>
      <c r="FQ288" s="205"/>
      <c r="FR288" s="205"/>
      <c r="FS288" s="205"/>
      <c r="FT288" s="205"/>
      <c r="FU288" s="205"/>
      <c r="FV288" s="205"/>
      <c r="FW288" s="205"/>
      <c r="FX288" s="205"/>
      <c r="FY288" s="205"/>
      <c r="FZ288" s="205"/>
      <c r="GA288" s="205"/>
      <c r="GB288" s="205"/>
      <c r="GC288" s="205"/>
      <c r="GD288" s="205"/>
      <c r="GE288" s="205"/>
      <c r="GF288" s="205"/>
      <c r="GG288" s="205"/>
      <c r="GH288" s="205"/>
      <c r="GI288" s="205"/>
      <c r="GJ288" s="205"/>
      <c r="GK288" s="205"/>
      <c r="GL288" s="205"/>
      <c r="GM288" s="205"/>
      <c r="GN288" s="205"/>
      <c r="GO288" s="205"/>
      <c r="GP288" s="205"/>
      <c r="GQ288" s="205"/>
      <c r="GR288" s="205"/>
      <c r="GS288" s="205"/>
      <c r="GT288" s="205"/>
      <c r="GU288" s="205"/>
      <c r="GV288" s="205"/>
      <c r="GW288" s="205"/>
      <c r="GX288" s="205"/>
      <c r="GY288" s="205"/>
      <c r="GZ288" s="205"/>
      <c r="HA288" s="205"/>
      <c r="HB288" s="205"/>
      <c r="HC288" s="205"/>
      <c r="HD288" s="205"/>
      <c r="HE288" s="205"/>
      <c r="HF288" s="205"/>
      <c r="HG288" s="205"/>
      <c r="HH288" s="205"/>
      <c r="HI288" s="205"/>
      <c r="HJ288" s="205"/>
      <c r="HK288" s="205"/>
      <c r="HL288" s="205"/>
      <c r="HM288" s="205"/>
      <c r="HN288" s="205"/>
      <c r="HO288" s="205"/>
      <c r="HP288" s="205"/>
      <c r="HQ288" s="205"/>
      <c r="HR288" s="205"/>
      <c r="HS288" s="205"/>
      <c r="HT288" s="205"/>
      <c r="HU288" s="205"/>
      <c r="HV288" s="205"/>
      <c r="HW288" s="205"/>
      <c r="HX288" s="205"/>
      <c r="HY288" s="205"/>
      <c r="HZ288" s="205"/>
      <c r="IA288" s="205"/>
      <c r="IB288" s="205"/>
      <c r="IC288" s="205"/>
      <c r="ID288" s="205"/>
      <c r="IE288" s="205"/>
      <c r="IF288" s="205"/>
      <c r="IG288" s="205"/>
      <c r="IH288" s="205"/>
      <c r="II288" s="205"/>
      <c r="IJ288" s="205"/>
      <c r="IK288" s="205"/>
      <c r="IL288" s="205"/>
      <c r="IM288" s="205"/>
      <c r="IN288" s="205"/>
      <c r="IO288" s="205"/>
      <c r="IP288" s="205"/>
      <c r="IQ288" s="205"/>
      <c r="IR288" s="205"/>
      <c r="IS288" s="205"/>
      <c r="IT288" s="205"/>
      <c r="IU288" s="205"/>
      <c r="IV288" s="205"/>
      <c r="IW288" s="205"/>
      <c r="IX288" s="205"/>
    </row>
    <row r="289" spans="1:258" s="203" customFormat="1" x14ac:dyDescent="0.2">
      <c r="A289" s="669"/>
      <c r="B289" s="670"/>
      <c r="C289" s="1390"/>
      <c r="D289" s="672"/>
      <c r="E289" s="1391"/>
      <c r="F289" s="1391"/>
      <c r="G289" s="1392"/>
      <c r="H289" s="1393"/>
      <c r="I289" s="1394"/>
      <c r="J289" s="1394"/>
      <c r="K289" s="1394"/>
      <c r="L289" s="1394"/>
      <c r="M289" s="1394"/>
      <c r="N289" s="1394"/>
      <c r="O289" s="1394"/>
      <c r="P289" s="1394"/>
      <c r="Q289" s="1394"/>
      <c r="R289" s="1395"/>
      <c r="S289" s="1396"/>
      <c r="T289" s="1397"/>
      <c r="U289" s="205"/>
      <c r="V289" s="685"/>
      <c r="W289" s="205"/>
      <c r="X289" s="205"/>
      <c r="Y289" s="205"/>
      <c r="Z289" s="205"/>
      <c r="AA289" s="205"/>
      <c r="AB289" s="205"/>
      <c r="AC289" s="205"/>
      <c r="AD289" s="205"/>
      <c r="AE289" s="205"/>
      <c r="AF289" s="205"/>
      <c r="AG289" s="205"/>
      <c r="AH289" s="205"/>
      <c r="AI289" s="205"/>
      <c r="AJ289" s="205"/>
      <c r="AK289" s="205"/>
      <c r="AL289" s="205"/>
      <c r="AM289" s="205"/>
      <c r="AN289" s="205"/>
      <c r="AO289" s="205"/>
      <c r="AP289" s="205"/>
      <c r="AQ289" s="205"/>
      <c r="AR289" s="205"/>
      <c r="AS289" s="205"/>
      <c r="AT289" s="205"/>
      <c r="AU289" s="205"/>
      <c r="AV289" s="205"/>
      <c r="AW289" s="205"/>
      <c r="AX289" s="205"/>
      <c r="AY289" s="205"/>
      <c r="AZ289" s="205"/>
      <c r="BA289" s="205"/>
      <c r="BB289" s="205"/>
      <c r="BC289" s="205"/>
      <c r="BD289" s="205"/>
      <c r="BE289" s="205"/>
      <c r="BF289" s="205"/>
      <c r="BG289" s="205"/>
      <c r="BH289" s="205"/>
      <c r="BI289" s="205"/>
      <c r="BJ289" s="205"/>
      <c r="BK289" s="205"/>
      <c r="BL289" s="205"/>
      <c r="BM289" s="205"/>
      <c r="BN289" s="205"/>
      <c r="BO289" s="205"/>
      <c r="BP289" s="205"/>
      <c r="BQ289" s="205"/>
      <c r="BR289" s="205"/>
      <c r="BS289" s="205"/>
      <c r="BT289" s="205"/>
      <c r="BU289" s="205"/>
      <c r="BV289" s="205"/>
      <c r="BW289" s="205"/>
      <c r="BX289" s="205"/>
      <c r="BY289" s="205"/>
      <c r="BZ289" s="205"/>
      <c r="CA289" s="205"/>
      <c r="CB289" s="205"/>
      <c r="CC289" s="205"/>
      <c r="CD289" s="205"/>
      <c r="CE289" s="205"/>
      <c r="CF289" s="205"/>
      <c r="CG289" s="205"/>
      <c r="CH289" s="205"/>
      <c r="CI289" s="205"/>
      <c r="CJ289" s="205"/>
      <c r="CK289" s="205"/>
      <c r="CL289" s="205"/>
      <c r="CM289" s="205"/>
      <c r="CN289" s="205"/>
      <c r="CO289" s="205"/>
      <c r="CP289" s="205"/>
      <c r="CQ289" s="205"/>
      <c r="CR289" s="205"/>
      <c r="CS289" s="205"/>
      <c r="CT289" s="205"/>
      <c r="CU289" s="205"/>
      <c r="CV289" s="205"/>
      <c r="CW289" s="205"/>
      <c r="CX289" s="205"/>
      <c r="CY289" s="205"/>
      <c r="CZ289" s="205"/>
      <c r="DA289" s="205"/>
      <c r="DB289" s="205"/>
      <c r="DC289" s="205"/>
      <c r="DD289" s="205"/>
      <c r="DE289" s="205"/>
      <c r="DF289" s="205"/>
      <c r="DG289" s="205"/>
      <c r="DH289" s="205"/>
      <c r="DI289" s="205"/>
      <c r="DJ289" s="205"/>
      <c r="DK289" s="205"/>
      <c r="DL289" s="205"/>
      <c r="DM289" s="205"/>
      <c r="DN289" s="205"/>
      <c r="DO289" s="205"/>
      <c r="DP289" s="205"/>
      <c r="DQ289" s="205"/>
      <c r="DR289" s="205"/>
      <c r="DS289" s="205"/>
      <c r="DT289" s="205"/>
      <c r="DU289" s="205"/>
      <c r="DV289" s="205"/>
      <c r="DW289" s="205"/>
      <c r="DX289" s="205"/>
      <c r="DY289" s="205"/>
      <c r="DZ289" s="205"/>
      <c r="EA289" s="205"/>
      <c r="EB289" s="205"/>
      <c r="EC289" s="205"/>
      <c r="ED289" s="205"/>
      <c r="EE289" s="205"/>
      <c r="EF289" s="205"/>
      <c r="EG289" s="205"/>
      <c r="EH289" s="205"/>
      <c r="EI289" s="205"/>
      <c r="EJ289" s="205"/>
      <c r="EK289" s="205"/>
      <c r="EL289" s="205"/>
      <c r="EM289" s="205"/>
      <c r="EN289" s="205"/>
      <c r="EO289" s="205"/>
      <c r="EP289" s="205"/>
      <c r="EQ289" s="205"/>
      <c r="ER289" s="205"/>
      <c r="ES289" s="205"/>
      <c r="ET289" s="205"/>
      <c r="EU289" s="205"/>
      <c r="EV289" s="205"/>
      <c r="EW289" s="205"/>
      <c r="EX289" s="205"/>
      <c r="EY289" s="205"/>
      <c r="EZ289" s="205"/>
      <c r="FA289" s="205"/>
      <c r="FB289" s="205"/>
      <c r="FC289" s="205"/>
      <c r="FD289" s="205"/>
      <c r="FE289" s="205"/>
      <c r="FF289" s="205"/>
      <c r="FG289" s="205"/>
      <c r="FH289" s="205"/>
      <c r="FI289" s="205"/>
      <c r="FJ289" s="205"/>
      <c r="FK289" s="205"/>
      <c r="FL289" s="205"/>
      <c r="FM289" s="205"/>
      <c r="FN289" s="205"/>
      <c r="FO289" s="205"/>
      <c r="FP289" s="205"/>
      <c r="FQ289" s="205"/>
      <c r="FR289" s="205"/>
      <c r="FS289" s="205"/>
      <c r="FT289" s="205"/>
      <c r="FU289" s="205"/>
      <c r="FV289" s="205"/>
      <c r="FW289" s="205"/>
      <c r="FX289" s="205"/>
      <c r="FY289" s="205"/>
      <c r="FZ289" s="205"/>
      <c r="GA289" s="205"/>
      <c r="GB289" s="205"/>
      <c r="GC289" s="205"/>
      <c r="GD289" s="205"/>
      <c r="GE289" s="205"/>
      <c r="GF289" s="205"/>
      <c r="GG289" s="205"/>
      <c r="GH289" s="205"/>
      <c r="GI289" s="205"/>
      <c r="GJ289" s="205"/>
      <c r="GK289" s="205"/>
      <c r="GL289" s="205"/>
      <c r="GM289" s="205"/>
      <c r="GN289" s="205"/>
      <c r="GO289" s="205"/>
      <c r="GP289" s="205"/>
      <c r="GQ289" s="205"/>
      <c r="GR289" s="205"/>
      <c r="GS289" s="205"/>
      <c r="GT289" s="205"/>
      <c r="GU289" s="205"/>
      <c r="GV289" s="205"/>
      <c r="GW289" s="205"/>
      <c r="GX289" s="205"/>
      <c r="GY289" s="205"/>
      <c r="GZ289" s="205"/>
      <c r="HA289" s="205"/>
      <c r="HB289" s="205"/>
      <c r="HC289" s="205"/>
      <c r="HD289" s="205"/>
      <c r="HE289" s="205"/>
      <c r="HF289" s="205"/>
      <c r="HG289" s="205"/>
      <c r="HH289" s="205"/>
      <c r="HI289" s="205"/>
      <c r="HJ289" s="205"/>
      <c r="HK289" s="205"/>
      <c r="HL289" s="205"/>
      <c r="HM289" s="205"/>
      <c r="HN289" s="205"/>
      <c r="HO289" s="205"/>
      <c r="HP289" s="205"/>
      <c r="HQ289" s="205"/>
      <c r="HR289" s="205"/>
      <c r="HS289" s="205"/>
      <c r="HT289" s="205"/>
      <c r="HU289" s="205"/>
      <c r="HV289" s="205"/>
      <c r="HW289" s="205"/>
      <c r="HX289" s="205"/>
      <c r="HY289" s="205"/>
      <c r="HZ289" s="205"/>
      <c r="IA289" s="205"/>
      <c r="IB289" s="205"/>
      <c r="IC289" s="205"/>
      <c r="ID289" s="205"/>
      <c r="IE289" s="205"/>
      <c r="IF289" s="205"/>
      <c r="IG289" s="205"/>
      <c r="IH289" s="205"/>
      <c r="II289" s="205"/>
      <c r="IJ289" s="205"/>
      <c r="IK289" s="205"/>
      <c r="IL289" s="205"/>
      <c r="IM289" s="205"/>
      <c r="IN289" s="205"/>
      <c r="IO289" s="205"/>
      <c r="IP289" s="205"/>
      <c r="IQ289" s="205"/>
      <c r="IR289" s="205"/>
      <c r="IS289" s="205"/>
      <c r="IT289" s="205"/>
      <c r="IU289" s="205"/>
      <c r="IV289" s="205"/>
      <c r="IW289" s="205"/>
      <c r="IX289" s="205"/>
    </row>
    <row r="290" spans="1:258" s="203" customFormat="1" x14ac:dyDescent="0.2">
      <c r="A290" s="669"/>
      <c r="B290" s="670">
        <f>RAB!B100</f>
        <v>32</v>
      </c>
      <c r="C290" s="686" t="str">
        <f>RAB!D100</f>
        <v>Memasang bekisting untuk balok (2x pakai)</v>
      </c>
      <c r="D290" s="672"/>
      <c r="E290" s="1391"/>
      <c r="F290" s="1391"/>
      <c r="G290" s="1392"/>
      <c r="H290" s="1393">
        <f>H283</f>
        <v>0.8</v>
      </c>
      <c r="I290" s="1394" t="s">
        <v>424</v>
      </c>
      <c r="J290" s="1394">
        <f>J283+L283</f>
        <v>0.35</v>
      </c>
      <c r="K290" s="1394" t="s">
        <v>424</v>
      </c>
      <c r="L290" s="1394">
        <f>N287</f>
        <v>10</v>
      </c>
      <c r="M290" s="1394"/>
      <c r="N290" s="1394"/>
      <c r="O290" s="1394"/>
      <c r="P290" s="1394"/>
      <c r="Q290" s="1362" t="s">
        <v>696</v>
      </c>
      <c r="R290" s="1363">
        <f>H290*J290*L290</f>
        <v>2.8</v>
      </c>
      <c r="S290" s="1396">
        <f>R290</f>
        <v>2.8</v>
      </c>
      <c r="T290" s="1397" t="s">
        <v>338</v>
      </c>
      <c r="U290" s="205"/>
      <c r="V290" s="685"/>
      <c r="W290" s="205"/>
      <c r="X290" s="205"/>
      <c r="Y290" s="205"/>
      <c r="Z290" s="205"/>
      <c r="AA290" s="205"/>
      <c r="AB290" s="205"/>
      <c r="AC290" s="205"/>
      <c r="AD290" s="205"/>
      <c r="AE290" s="205"/>
      <c r="AF290" s="205"/>
      <c r="AG290" s="205"/>
      <c r="AH290" s="205"/>
      <c r="AI290" s="205"/>
      <c r="AJ290" s="205"/>
      <c r="AK290" s="205"/>
      <c r="AL290" s="205"/>
      <c r="AM290" s="205"/>
      <c r="AN290" s="205"/>
      <c r="AO290" s="205"/>
      <c r="AP290" s="205"/>
      <c r="AQ290" s="205"/>
      <c r="AR290" s="205"/>
      <c r="AS290" s="205"/>
      <c r="AT290" s="205"/>
      <c r="AU290" s="205"/>
      <c r="AV290" s="205"/>
      <c r="AW290" s="205"/>
      <c r="AX290" s="205"/>
      <c r="AY290" s="205"/>
      <c r="AZ290" s="205"/>
      <c r="BA290" s="205"/>
      <c r="BB290" s="205"/>
      <c r="BC290" s="205"/>
      <c r="BD290" s="205"/>
      <c r="BE290" s="205"/>
      <c r="BF290" s="205"/>
      <c r="BG290" s="205"/>
      <c r="BH290" s="205"/>
      <c r="BI290" s="205"/>
      <c r="BJ290" s="205"/>
      <c r="BK290" s="205"/>
      <c r="BL290" s="205"/>
      <c r="BM290" s="205"/>
      <c r="BN290" s="205"/>
      <c r="BO290" s="205"/>
      <c r="BP290" s="205"/>
      <c r="BQ290" s="205"/>
      <c r="BR290" s="205"/>
      <c r="BS290" s="205"/>
      <c r="BT290" s="205"/>
      <c r="BU290" s="205"/>
      <c r="BV290" s="205"/>
      <c r="BW290" s="205"/>
      <c r="BX290" s="205"/>
      <c r="BY290" s="205"/>
      <c r="BZ290" s="205"/>
      <c r="CA290" s="205"/>
      <c r="CB290" s="205"/>
      <c r="CC290" s="205"/>
      <c r="CD290" s="205"/>
      <c r="CE290" s="205"/>
      <c r="CF290" s="205"/>
      <c r="CG290" s="205"/>
      <c r="CH290" s="205"/>
      <c r="CI290" s="205"/>
      <c r="CJ290" s="205"/>
      <c r="CK290" s="205"/>
      <c r="CL290" s="205"/>
      <c r="CM290" s="205"/>
      <c r="CN290" s="205"/>
      <c r="CO290" s="205"/>
      <c r="CP290" s="205"/>
      <c r="CQ290" s="205"/>
      <c r="CR290" s="205"/>
      <c r="CS290" s="205"/>
      <c r="CT290" s="205"/>
      <c r="CU290" s="205"/>
      <c r="CV290" s="205"/>
      <c r="CW290" s="205"/>
      <c r="CX290" s="205"/>
      <c r="CY290" s="205"/>
      <c r="CZ290" s="205"/>
      <c r="DA290" s="205"/>
      <c r="DB290" s="205"/>
      <c r="DC290" s="205"/>
      <c r="DD290" s="205"/>
      <c r="DE290" s="205"/>
      <c r="DF290" s="205"/>
      <c r="DG290" s="205"/>
      <c r="DH290" s="205"/>
      <c r="DI290" s="205"/>
      <c r="DJ290" s="205"/>
      <c r="DK290" s="205"/>
      <c r="DL290" s="205"/>
      <c r="DM290" s="205"/>
      <c r="DN290" s="205"/>
      <c r="DO290" s="205"/>
      <c r="DP290" s="205"/>
      <c r="DQ290" s="205"/>
      <c r="DR290" s="205"/>
      <c r="DS290" s="205"/>
      <c r="DT290" s="205"/>
      <c r="DU290" s="205"/>
      <c r="DV290" s="205"/>
      <c r="DW290" s="205"/>
      <c r="DX290" s="205"/>
      <c r="DY290" s="205"/>
      <c r="DZ290" s="205"/>
      <c r="EA290" s="205"/>
      <c r="EB290" s="205"/>
      <c r="EC290" s="205"/>
      <c r="ED290" s="205"/>
      <c r="EE290" s="205"/>
      <c r="EF290" s="205"/>
      <c r="EG290" s="205"/>
      <c r="EH290" s="205"/>
      <c r="EI290" s="205"/>
      <c r="EJ290" s="205"/>
      <c r="EK290" s="205"/>
      <c r="EL290" s="205"/>
      <c r="EM290" s="205"/>
      <c r="EN290" s="205"/>
      <c r="EO290" s="205"/>
      <c r="EP290" s="205"/>
      <c r="EQ290" s="205"/>
      <c r="ER290" s="205"/>
      <c r="ES290" s="205"/>
      <c r="ET290" s="205"/>
      <c r="EU290" s="205"/>
      <c r="EV290" s="205"/>
      <c r="EW290" s="205"/>
      <c r="EX290" s="205"/>
      <c r="EY290" s="205"/>
      <c r="EZ290" s="205"/>
      <c r="FA290" s="205"/>
      <c r="FB290" s="205"/>
      <c r="FC290" s="205"/>
      <c r="FD290" s="205"/>
      <c r="FE290" s="205"/>
      <c r="FF290" s="205"/>
      <c r="FG290" s="205"/>
      <c r="FH290" s="205"/>
      <c r="FI290" s="205"/>
      <c r="FJ290" s="205"/>
      <c r="FK290" s="205"/>
      <c r="FL290" s="205"/>
      <c r="FM290" s="205"/>
      <c r="FN290" s="205"/>
      <c r="FO290" s="205"/>
      <c r="FP290" s="205"/>
      <c r="FQ290" s="205"/>
      <c r="FR290" s="205"/>
      <c r="FS290" s="205"/>
      <c r="FT290" s="205"/>
      <c r="FU290" s="205"/>
      <c r="FV290" s="205"/>
      <c r="FW290" s="205"/>
      <c r="FX290" s="205"/>
      <c r="FY290" s="205"/>
      <c r="FZ290" s="205"/>
      <c r="GA290" s="205"/>
      <c r="GB290" s="205"/>
      <c r="GC290" s="205"/>
      <c r="GD290" s="205"/>
      <c r="GE290" s="205"/>
      <c r="GF290" s="205"/>
      <c r="GG290" s="205"/>
      <c r="GH290" s="205"/>
      <c r="GI290" s="205"/>
      <c r="GJ290" s="205"/>
      <c r="GK290" s="205"/>
      <c r="GL290" s="205"/>
      <c r="GM290" s="205"/>
      <c r="GN290" s="205"/>
      <c r="GO290" s="205"/>
      <c r="GP290" s="205"/>
      <c r="GQ290" s="205"/>
      <c r="GR290" s="205"/>
      <c r="GS290" s="205"/>
      <c r="GT290" s="205"/>
      <c r="GU290" s="205"/>
      <c r="GV290" s="205"/>
      <c r="GW290" s="205"/>
      <c r="GX290" s="205"/>
      <c r="GY290" s="205"/>
      <c r="GZ290" s="205"/>
      <c r="HA290" s="205"/>
      <c r="HB290" s="205"/>
      <c r="HC290" s="205"/>
      <c r="HD290" s="205"/>
      <c r="HE290" s="205"/>
      <c r="HF290" s="205"/>
      <c r="HG290" s="205"/>
      <c r="HH290" s="205"/>
      <c r="HI290" s="205"/>
      <c r="HJ290" s="205"/>
      <c r="HK290" s="205"/>
      <c r="HL290" s="205"/>
      <c r="HM290" s="205"/>
      <c r="HN290" s="205"/>
      <c r="HO290" s="205"/>
      <c r="HP290" s="205"/>
      <c r="HQ290" s="205"/>
      <c r="HR290" s="205"/>
      <c r="HS290" s="205"/>
      <c r="HT290" s="205"/>
      <c r="HU290" s="205"/>
      <c r="HV290" s="205"/>
      <c r="HW290" s="205"/>
      <c r="HX290" s="205"/>
      <c r="HY290" s="205"/>
      <c r="HZ290" s="205"/>
      <c r="IA290" s="205"/>
      <c r="IB290" s="205"/>
      <c r="IC290" s="205"/>
      <c r="ID290" s="205"/>
      <c r="IE290" s="205"/>
      <c r="IF290" s="205"/>
      <c r="IG290" s="205"/>
      <c r="IH290" s="205"/>
      <c r="II290" s="205"/>
      <c r="IJ290" s="205"/>
      <c r="IK290" s="205"/>
      <c r="IL290" s="205"/>
      <c r="IM290" s="205"/>
      <c r="IN290" s="205"/>
      <c r="IO290" s="205"/>
      <c r="IP290" s="205"/>
      <c r="IQ290" s="205"/>
      <c r="IR290" s="205"/>
      <c r="IS290" s="205"/>
      <c r="IT290" s="205"/>
      <c r="IU290" s="205"/>
      <c r="IV290" s="205"/>
      <c r="IW290" s="205"/>
      <c r="IX290" s="205"/>
    </row>
    <row r="291" spans="1:258" s="203" customFormat="1" x14ac:dyDescent="0.2">
      <c r="A291" s="669"/>
      <c r="B291" s="670"/>
      <c r="C291" s="1390"/>
      <c r="D291" s="672"/>
      <c r="E291" s="1391"/>
      <c r="F291" s="1391"/>
      <c r="G291" s="1392"/>
      <c r="H291" s="1393"/>
      <c r="I291" s="1394"/>
      <c r="J291" s="1394"/>
      <c r="K291" s="1394"/>
      <c r="L291" s="1394"/>
      <c r="M291" s="1394"/>
      <c r="N291" s="1394"/>
      <c r="O291" s="1394"/>
      <c r="P291" s="1394"/>
      <c r="Q291" s="1394"/>
      <c r="R291" s="1395"/>
      <c r="S291" s="1396"/>
      <c r="T291" s="1397"/>
      <c r="U291" s="205"/>
      <c r="V291" s="685"/>
      <c r="W291" s="205"/>
      <c r="X291" s="205"/>
      <c r="Y291" s="205"/>
      <c r="Z291" s="205"/>
      <c r="AA291" s="205"/>
      <c r="AB291" s="205"/>
      <c r="AC291" s="205"/>
      <c r="AD291" s="205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  <c r="AP291" s="205"/>
      <c r="AQ291" s="205"/>
      <c r="AR291" s="205"/>
      <c r="AS291" s="205"/>
      <c r="AT291" s="205"/>
      <c r="AU291" s="205"/>
      <c r="AV291" s="205"/>
      <c r="AW291" s="205"/>
      <c r="AX291" s="205"/>
      <c r="AY291" s="205"/>
      <c r="AZ291" s="205"/>
      <c r="BA291" s="205"/>
      <c r="BB291" s="205"/>
      <c r="BC291" s="205"/>
      <c r="BD291" s="205"/>
      <c r="BE291" s="205"/>
      <c r="BF291" s="205"/>
      <c r="BG291" s="205"/>
      <c r="BH291" s="205"/>
      <c r="BI291" s="205"/>
      <c r="BJ291" s="205"/>
      <c r="BK291" s="205"/>
      <c r="BL291" s="205"/>
      <c r="BM291" s="205"/>
      <c r="BN291" s="205"/>
      <c r="BO291" s="205"/>
      <c r="BP291" s="205"/>
      <c r="BQ291" s="205"/>
      <c r="BR291" s="205"/>
      <c r="BS291" s="205"/>
      <c r="BT291" s="205"/>
      <c r="BU291" s="205"/>
      <c r="BV291" s="205"/>
      <c r="BW291" s="205"/>
      <c r="BX291" s="205"/>
      <c r="BY291" s="205"/>
      <c r="BZ291" s="205"/>
      <c r="CA291" s="205"/>
      <c r="CB291" s="205"/>
      <c r="CC291" s="205"/>
      <c r="CD291" s="205"/>
      <c r="CE291" s="205"/>
      <c r="CF291" s="205"/>
      <c r="CG291" s="205"/>
      <c r="CH291" s="205"/>
      <c r="CI291" s="205"/>
      <c r="CJ291" s="205"/>
      <c r="CK291" s="205"/>
      <c r="CL291" s="205"/>
      <c r="CM291" s="205"/>
      <c r="CN291" s="205"/>
      <c r="CO291" s="205"/>
      <c r="CP291" s="205"/>
      <c r="CQ291" s="205"/>
      <c r="CR291" s="205"/>
      <c r="CS291" s="205"/>
      <c r="CT291" s="205"/>
      <c r="CU291" s="205"/>
      <c r="CV291" s="205"/>
      <c r="CW291" s="205"/>
      <c r="CX291" s="205"/>
      <c r="CY291" s="205"/>
      <c r="CZ291" s="205"/>
      <c r="DA291" s="205"/>
      <c r="DB291" s="205"/>
      <c r="DC291" s="205"/>
      <c r="DD291" s="205"/>
      <c r="DE291" s="205"/>
      <c r="DF291" s="205"/>
      <c r="DG291" s="205"/>
      <c r="DH291" s="205"/>
      <c r="DI291" s="205"/>
      <c r="DJ291" s="205"/>
      <c r="DK291" s="205"/>
      <c r="DL291" s="205"/>
      <c r="DM291" s="205"/>
      <c r="DN291" s="205"/>
      <c r="DO291" s="205"/>
      <c r="DP291" s="205"/>
      <c r="DQ291" s="205"/>
      <c r="DR291" s="205"/>
      <c r="DS291" s="205"/>
      <c r="DT291" s="205"/>
      <c r="DU291" s="205"/>
      <c r="DV291" s="205"/>
      <c r="DW291" s="205"/>
      <c r="DX291" s="205"/>
      <c r="DY291" s="205"/>
      <c r="DZ291" s="205"/>
      <c r="EA291" s="205"/>
      <c r="EB291" s="205"/>
      <c r="EC291" s="205"/>
      <c r="ED291" s="205"/>
      <c r="EE291" s="205"/>
      <c r="EF291" s="205"/>
      <c r="EG291" s="205"/>
      <c r="EH291" s="205"/>
      <c r="EI291" s="205"/>
      <c r="EJ291" s="205"/>
      <c r="EK291" s="205"/>
      <c r="EL291" s="205"/>
      <c r="EM291" s="205"/>
      <c r="EN291" s="205"/>
      <c r="EO291" s="205"/>
      <c r="EP291" s="205"/>
      <c r="EQ291" s="205"/>
      <c r="ER291" s="205"/>
      <c r="ES291" s="205"/>
      <c r="ET291" s="205"/>
      <c r="EU291" s="205"/>
      <c r="EV291" s="205"/>
      <c r="EW291" s="205"/>
      <c r="EX291" s="205"/>
      <c r="EY291" s="205"/>
      <c r="EZ291" s="205"/>
      <c r="FA291" s="205"/>
      <c r="FB291" s="205"/>
      <c r="FC291" s="205"/>
      <c r="FD291" s="205"/>
      <c r="FE291" s="205"/>
      <c r="FF291" s="205"/>
      <c r="FG291" s="205"/>
      <c r="FH291" s="205"/>
      <c r="FI291" s="205"/>
      <c r="FJ291" s="205"/>
      <c r="FK291" s="205"/>
      <c r="FL291" s="205"/>
      <c r="FM291" s="205"/>
      <c r="FN291" s="205"/>
      <c r="FO291" s="205"/>
      <c r="FP291" s="205"/>
      <c r="FQ291" s="205"/>
      <c r="FR291" s="205"/>
      <c r="FS291" s="205"/>
      <c r="FT291" s="205"/>
      <c r="FU291" s="205"/>
      <c r="FV291" s="205"/>
      <c r="FW291" s="205"/>
      <c r="FX291" s="205"/>
      <c r="FY291" s="205"/>
      <c r="FZ291" s="205"/>
      <c r="GA291" s="205"/>
      <c r="GB291" s="205"/>
      <c r="GC291" s="205"/>
      <c r="GD291" s="205"/>
      <c r="GE291" s="205"/>
      <c r="GF291" s="205"/>
      <c r="GG291" s="205"/>
      <c r="GH291" s="205"/>
      <c r="GI291" s="205"/>
      <c r="GJ291" s="205"/>
      <c r="GK291" s="205"/>
      <c r="GL291" s="205"/>
      <c r="GM291" s="205"/>
      <c r="GN291" s="205"/>
      <c r="GO291" s="205"/>
      <c r="GP291" s="205"/>
      <c r="GQ291" s="205"/>
      <c r="GR291" s="205"/>
      <c r="GS291" s="205"/>
      <c r="GT291" s="205"/>
      <c r="GU291" s="205"/>
      <c r="GV291" s="205"/>
      <c r="GW291" s="205"/>
      <c r="GX291" s="205"/>
      <c r="GY291" s="205"/>
      <c r="GZ291" s="205"/>
      <c r="HA291" s="205"/>
      <c r="HB291" s="205"/>
      <c r="HC291" s="205"/>
      <c r="HD291" s="205"/>
      <c r="HE291" s="205"/>
      <c r="HF291" s="205"/>
      <c r="HG291" s="205"/>
      <c r="HH291" s="205"/>
      <c r="HI291" s="205"/>
      <c r="HJ291" s="205"/>
      <c r="HK291" s="205"/>
      <c r="HL291" s="205"/>
      <c r="HM291" s="205"/>
      <c r="HN291" s="205"/>
      <c r="HO291" s="205"/>
      <c r="HP291" s="205"/>
      <c r="HQ291" s="205"/>
      <c r="HR291" s="205"/>
      <c r="HS291" s="205"/>
      <c r="HT291" s="205"/>
      <c r="HU291" s="205"/>
      <c r="HV291" s="205"/>
      <c r="HW291" s="205"/>
      <c r="HX291" s="205"/>
      <c r="HY291" s="205"/>
      <c r="HZ291" s="205"/>
      <c r="IA291" s="205"/>
      <c r="IB291" s="205"/>
      <c r="IC291" s="205"/>
      <c r="ID291" s="205"/>
      <c r="IE291" s="205"/>
      <c r="IF291" s="205"/>
      <c r="IG291" s="205"/>
      <c r="IH291" s="205"/>
      <c r="II291" s="205"/>
      <c r="IJ291" s="205"/>
      <c r="IK291" s="205"/>
      <c r="IL291" s="205"/>
      <c r="IM291" s="205"/>
      <c r="IN291" s="205"/>
      <c r="IO291" s="205"/>
      <c r="IP291" s="205"/>
      <c r="IQ291" s="205"/>
      <c r="IR291" s="205"/>
      <c r="IS291" s="205"/>
      <c r="IT291" s="205"/>
      <c r="IU291" s="205"/>
      <c r="IV291" s="205"/>
      <c r="IW291" s="205"/>
      <c r="IX291" s="205"/>
    </row>
    <row r="292" spans="1:258" s="203" customFormat="1" x14ac:dyDescent="0.2">
      <c r="A292" s="669"/>
      <c r="B292" s="670"/>
      <c r="C292" s="686"/>
      <c r="D292" s="672"/>
      <c r="E292" s="673"/>
      <c r="F292" s="673"/>
      <c r="G292" s="674"/>
      <c r="H292" s="675"/>
      <c r="I292" s="676"/>
      <c r="J292" s="676"/>
      <c r="K292" s="676"/>
      <c r="L292" s="676"/>
      <c r="M292" s="676"/>
      <c r="N292" s="676"/>
      <c r="O292" s="676"/>
      <c r="P292" s="676"/>
      <c r="Q292" s="676"/>
      <c r="R292" s="677"/>
      <c r="S292" s="678"/>
      <c r="T292" s="684"/>
      <c r="U292" s="205"/>
      <c r="V292" s="685"/>
      <c r="W292" s="205"/>
      <c r="X292" s="205"/>
      <c r="Y292" s="205"/>
      <c r="Z292" s="205"/>
      <c r="AA292" s="205"/>
      <c r="AB292" s="205"/>
      <c r="AC292" s="205"/>
      <c r="AD292" s="205"/>
      <c r="AE292" s="205"/>
      <c r="AF292" s="205"/>
      <c r="AG292" s="205"/>
      <c r="AH292" s="205"/>
      <c r="AI292" s="205"/>
      <c r="AJ292" s="205"/>
      <c r="AK292" s="205"/>
      <c r="AL292" s="205"/>
      <c r="AM292" s="205"/>
      <c r="AN292" s="205"/>
      <c r="AO292" s="205"/>
      <c r="AP292" s="205"/>
      <c r="AQ292" s="205"/>
      <c r="AR292" s="205"/>
      <c r="AS292" s="205"/>
      <c r="AT292" s="205"/>
      <c r="AU292" s="205"/>
      <c r="AV292" s="205"/>
      <c r="AW292" s="205"/>
      <c r="AX292" s="205"/>
      <c r="AY292" s="205"/>
      <c r="AZ292" s="205"/>
      <c r="BA292" s="205"/>
      <c r="BB292" s="205"/>
      <c r="BC292" s="205"/>
      <c r="BD292" s="205"/>
      <c r="BE292" s="205"/>
      <c r="BF292" s="205"/>
      <c r="BG292" s="205"/>
      <c r="BH292" s="205"/>
      <c r="BI292" s="205"/>
      <c r="BJ292" s="205"/>
      <c r="BK292" s="205"/>
      <c r="BL292" s="205"/>
      <c r="BM292" s="205"/>
      <c r="BN292" s="205"/>
      <c r="BO292" s="205"/>
      <c r="BP292" s="205"/>
      <c r="BQ292" s="205"/>
      <c r="BR292" s="205"/>
      <c r="BS292" s="205"/>
      <c r="BT292" s="205"/>
      <c r="BU292" s="205"/>
      <c r="BV292" s="205"/>
      <c r="BW292" s="205"/>
      <c r="BX292" s="205"/>
      <c r="BY292" s="205"/>
      <c r="BZ292" s="205"/>
      <c r="CA292" s="205"/>
      <c r="CB292" s="205"/>
      <c r="CC292" s="205"/>
      <c r="CD292" s="205"/>
      <c r="CE292" s="205"/>
      <c r="CF292" s="205"/>
      <c r="CG292" s="205"/>
      <c r="CH292" s="205"/>
      <c r="CI292" s="205"/>
      <c r="CJ292" s="205"/>
      <c r="CK292" s="205"/>
      <c r="CL292" s="205"/>
      <c r="CM292" s="205"/>
      <c r="CN292" s="205"/>
      <c r="CO292" s="205"/>
      <c r="CP292" s="205"/>
      <c r="CQ292" s="205"/>
      <c r="CR292" s="205"/>
      <c r="CS292" s="205"/>
      <c r="CT292" s="205"/>
      <c r="CU292" s="205"/>
      <c r="CV292" s="205"/>
      <c r="CW292" s="205"/>
      <c r="CX292" s="205"/>
      <c r="CY292" s="205"/>
      <c r="CZ292" s="205"/>
      <c r="DA292" s="205"/>
      <c r="DB292" s="205"/>
      <c r="DC292" s="205"/>
      <c r="DD292" s="205"/>
      <c r="DE292" s="205"/>
      <c r="DF292" s="205"/>
      <c r="DG292" s="205"/>
      <c r="DH292" s="205"/>
      <c r="DI292" s="205"/>
      <c r="DJ292" s="205"/>
      <c r="DK292" s="205"/>
      <c r="DL292" s="205"/>
      <c r="DM292" s="205"/>
      <c r="DN292" s="205"/>
      <c r="DO292" s="205"/>
      <c r="DP292" s="205"/>
      <c r="DQ292" s="205"/>
      <c r="DR292" s="205"/>
      <c r="DS292" s="205"/>
      <c r="DT292" s="205"/>
      <c r="DU292" s="205"/>
      <c r="DV292" s="205"/>
      <c r="DW292" s="205"/>
      <c r="DX292" s="205"/>
      <c r="DY292" s="205"/>
      <c r="DZ292" s="205"/>
      <c r="EA292" s="205"/>
      <c r="EB292" s="205"/>
      <c r="EC292" s="205"/>
      <c r="ED292" s="205"/>
      <c r="EE292" s="205"/>
      <c r="EF292" s="205"/>
      <c r="EG292" s="205"/>
      <c r="EH292" s="205"/>
      <c r="EI292" s="205"/>
      <c r="EJ292" s="205"/>
      <c r="EK292" s="205"/>
      <c r="EL292" s="205"/>
      <c r="EM292" s="205"/>
      <c r="EN292" s="205"/>
      <c r="EO292" s="205"/>
      <c r="EP292" s="205"/>
      <c r="EQ292" s="205"/>
      <c r="ER292" s="205"/>
      <c r="ES292" s="205"/>
      <c r="ET292" s="205"/>
      <c r="EU292" s="205"/>
      <c r="EV292" s="205"/>
      <c r="EW292" s="205"/>
      <c r="EX292" s="205"/>
      <c r="EY292" s="205"/>
      <c r="EZ292" s="205"/>
      <c r="FA292" s="205"/>
      <c r="FB292" s="205"/>
      <c r="FC292" s="205"/>
      <c r="FD292" s="205"/>
      <c r="FE292" s="205"/>
      <c r="FF292" s="205"/>
      <c r="FG292" s="205"/>
      <c r="FH292" s="205"/>
      <c r="FI292" s="205"/>
      <c r="FJ292" s="205"/>
      <c r="FK292" s="205"/>
      <c r="FL292" s="205"/>
      <c r="FM292" s="205"/>
      <c r="FN292" s="205"/>
      <c r="FO292" s="205"/>
      <c r="FP292" s="205"/>
      <c r="FQ292" s="205"/>
      <c r="FR292" s="205"/>
      <c r="FS292" s="205"/>
      <c r="FT292" s="205"/>
      <c r="FU292" s="205"/>
      <c r="FV292" s="205"/>
      <c r="FW292" s="205"/>
      <c r="FX292" s="205"/>
      <c r="FY292" s="205"/>
      <c r="FZ292" s="205"/>
      <c r="GA292" s="205"/>
      <c r="GB292" s="205"/>
      <c r="GC292" s="205"/>
      <c r="GD292" s="205"/>
      <c r="GE292" s="205"/>
      <c r="GF292" s="205"/>
      <c r="GG292" s="205"/>
      <c r="GH292" s="205"/>
      <c r="GI292" s="205"/>
      <c r="GJ292" s="205"/>
      <c r="GK292" s="205"/>
      <c r="GL292" s="205"/>
      <c r="GM292" s="205"/>
      <c r="GN292" s="205"/>
      <c r="GO292" s="205"/>
      <c r="GP292" s="205"/>
      <c r="GQ292" s="205"/>
      <c r="GR292" s="205"/>
      <c r="GS292" s="205"/>
      <c r="GT292" s="205"/>
      <c r="GU292" s="205"/>
      <c r="GV292" s="205"/>
      <c r="GW292" s="205"/>
      <c r="GX292" s="205"/>
      <c r="GY292" s="205"/>
      <c r="GZ292" s="205"/>
      <c r="HA292" s="205"/>
      <c r="HB292" s="205"/>
      <c r="HC292" s="205"/>
      <c r="HD292" s="205"/>
      <c r="HE292" s="205"/>
      <c r="HF292" s="205"/>
      <c r="HG292" s="205"/>
      <c r="HH292" s="205"/>
      <c r="HI292" s="205"/>
      <c r="HJ292" s="205"/>
      <c r="HK292" s="205"/>
      <c r="HL292" s="205"/>
      <c r="HM292" s="205"/>
      <c r="HN292" s="205"/>
      <c r="HO292" s="205"/>
      <c r="HP292" s="205"/>
      <c r="HQ292" s="205"/>
      <c r="HR292" s="205"/>
      <c r="HS292" s="205"/>
      <c r="HT292" s="205"/>
      <c r="HU292" s="205"/>
      <c r="HV292" s="205"/>
      <c r="HW292" s="205"/>
      <c r="HX292" s="205"/>
      <c r="HY292" s="205"/>
      <c r="HZ292" s="205"/>
      <c r="IA292" s="205"/>
      <c r="IB292" s="205"/>
      <c r="IC292" s="205"/>
      <c r="ID292" s="205"/>
      <c r="IE292" s="205"/>
      <c r="IF292" s="205"/>
      <c r="IG292" s="205"/>
      <c r="IH292" s="205"/>
      <c r="II292" s="205"/>
      <c r="IJ292" s="205"/>
      <c r="IK292" s="205"/>
      <c r="IL292" s="205"/>
      <c r="IM292" s="205"/>
      <c r="IN292" s="205"/>
      <c r="IO292" s="205"/>
      <c r="IP292" s="205"/>
      <c r="IQ292" s="205"/>
      <c r="IR292" s="205"/>
      <c r="IS292" s="205"/>
      <c r="IT292" s="205"/>
      <c r="IU292" s="205"/>
      <c r="IV292" s="205"/>
      <c r="IW292" s="205"/>
      <c r="IX292" s="205"/>
    </row>
    <row r="293" spans="1:258" s="203" customFormat="1" x14ac:dyDescent="0.2">
      <c r="A293" s="669"/>
      <c r="B293" s="681" t="str">
        <f>RAB!B103</f>
        <v>V</v>
      </c>
      <c r="C293" s="682" t="str">
        <f>RAB!D103</f>
        <v>PEKERJAAN KERAMIK LANTAI DAN DINDING</v>
      </c>
      <c r="D293" s="672"/>
      <c r="E293" s="673"/>
      <c r="F293" s="673"/>
      <c r="G293" s="674"/>
      <c r="H293" s="675"/>
      <c r="I293" s="676"/>
      <c r="J293" s="676"/>
      <c r="K293" s="676"/>
      <c r="L293" s="676"/>
      <c r="M293" s="676"/>
      <c r="N293" s="676"/>
      <c r="O293" s="676"/>
      <c r="P293" s="676"/>
      <c r="Q293" s="676"/>
      <c r="R293" s="677"/>
      <c r="S293" s="678"/>
      <c r="T293" s="684"/>
      <c r="U293" s="205"/>
      <c r="V293" s="685"/>
      <c r="W293" s="205"/>
      <c r="X293" s="205"/>
      <c r="Y293" s="205"/>
      <c r="Z293" s="205"/>
      <c r="AA293" s="205"/>
      <c r="AB293" s="205"/>
      <c r="AC293" s="205"/>
      <c r="AD293" s="205"/>
      <c r="AE293" s="205"/>
      <c r="AF293" s="205"/>
      <c r="AG293" s="205"/>
      <c r="AH293" s="205"/>
      <c r="AI293" s="205"/>
      <c r="AJ293" s="205"/>
      <c r="AK293" s="205"/>
      <c r="AL293" s="205"/>
      <c r="AM293" s="205"/>
      <c r="AN293" s="205"/>
      <c r="AO293" s="205"/>
      <c r="AP293" s="205"/>
      <c r="AQ293" s="205"/>
      <c r="AR293" s="205"/>
      <c r="AS293" s="205"/>
      <c r="AT293" s="205"/>
      <c r="AU293" s="205"/>
      <c r="AV293" s="205"/>
      <c r="AW293" s="205"/>
      <c r="AX293" s="205"/>
      <c r="AY293" s="205"/>
      <c r="AZ293" s="205"/>
      <c r="BA293" s="205"/>
      <c r="BB293" s="205"/>
      <c r="BC293" s="205"/>
      <c r="BD293" s="205"/>
      <c r="BE293" s="205"/>
      <c r="BF293" s="205"/>
      <c r="BG293" s="205"/>
      <c r="BH293" s="205"/>
      <c r="BI293" s="205"/>
      <c r="BJ293" s="205"/>
      <c r="BK293" s="205"/>
      <c r="BL293" s="205"/>
      <c r="BM293" s="205"/>
      <c r="BN293" s="205"/>
      <c r="BO293" s="205"/>
      <c r="BP293" s="205"/>
      <c r="BQ293" s="205"/>
      <c r="BR293" s="205"/>
      <c r="BS293" s="205"/>
      <c r="BT293" s="205"/>
      <c r="BU293" s="205"/>
      <c r="BV293" s="205"/>
      <c r="BW293" s="205"/>
      <c r="BX293" s="205"/>
      <c r="BY293" s="205"/>
      <c r="BZ293" s="205"/>
      <c r="CA293" s="205"/>
      <c r="CB293" s="205"/>
      <c r="CC293" s="205"/>
      <c r="CD293" s="205"/>
      <c r="CE293" s="205"/>
      <c r="CF293" s="205"/>
      <c r="CG293" s="205"/>
      <c r="CH293" s="205"/>
      <c r="CI293" s="205"/>
      <c r="CJ293" s="205"/>
      <c r="CK293" s="205"/>
      <c r="CL293" s="205"/>
      <c r="CM293" s="205"/>
      <c r="CN293" s="205"/>
      <c r="CO293" s="205"/>
      <c r="CP293" s="205"/>
      <c r="CQ293" s="205"/>
      <c r="CR293" s="205"/>
      <c r="CS293" s="205"/>
      <c r="CT293" s="205"/>
      <c r="CU293" s="205"/>
      <c r="CV293" s="205"/>
      <c r="CW293" s="205"/>
      <c r="CX293" s="205"/>
      <c r="CY293" s="205"/>
      <c r="CZ293" s="205"/>
      <c r="DA293" s="205"/>
      <c r="DB293" s="205"/>
      <c r="DC293" s="205"/>
      <c r="DD293" s="205"/>
      <c r="DE293" s="205"/>
      <c r="DF293" s="205"/>
      <c r="DG293" s="205"/>
      <c r="DH293" s="205"/>
      <c r="DI293" s="205"/>
      <c r="DJ293" s="205"/>
      <c r="DK293" s="205"/>
      <c r="DL293" s="205"/>
      <c r="DM293" s="205"/>
      <c r="DN293" s="205"/>
      <c r="DO293" s="205"/>
      <c r="DP293" s="205"/>
      <c r="DQ293" s="205"/>
      <c r="DR293" s="205"/>
      <c r="DS293" s="205"/>
      <c r="DT293" s="205"/>
      <c r="DU293" s="205"/>
      <c r="DV293" s="205"/>
      <c r="DW293" s="205"/>
      <c r="DX293" s="205"/>
      <c r="DY293" s="205"/>
      <c r="DZ293" s="205"/>
      <c r="EA293" s="205"/>
      <c r="EB293" s="205"/>
      <c r="EC293" s="205"/>
      <c r="ED293" s="205"/>
      <c r="EE293" s="205"/>
      <c r="EF293" s="205"/>
      <c r="EG293" s="205"/>
      <c r="EH293" s="205"/>
      <c r="EI293" s="205"/>
      <c r="EJ293" s="205"/>
      <c r="EK293" s="205"/>
      <c r="EL293" s="205"/>
      <c r="EM293" s="205"/>
      <c r="EN293" s="205"/>
      <c r="EO293" s="205"/>
      <c r="EP293" s="205"/>
      <c r="EQ293" s="205"/>
      <c r="ER293" s="205"/>
      <c r="ES293" s="205"/>
      <c r="ET293" s="205"/>
      <c r="EU293" s="205"/>
      <c r="EV293" s="205"/>
      <c r="EW293" s="205"/>
      <c r="EX293" s="205"/>
      <c r="EY293" s="205"/>
      <c r="EZ293" s="205"/>
      <c r="FA293" s="205"/>
      <c r="FB293" s="205"/>
      <c r="FC293" s="205"/>
      <c r="FD293" s="205"/>
      <c r="FE293" s="205"/>
      <c r="FF293" s="205"/>
      <c r="FG293" s="205"/>
      <c r="FH293" s="205"/>
      <c r="FI293" s="205"/>
      <c r="FJ293" s="205"/>
      <c r="FK293" s="205"/>
      <c r="FL293" s="205"/>
      <c r="FM293" s="205"/>
      <c r="FN293" s="205"/>
      <c r="FO293" s="205"/>
      <c r="FP293" s="205"/>
      <c r="FQ293" s="205"/>
      <c r="FR293" s="205"/>
      <c r="FS293" s="205"/>
      <c r="FT293" s="205"/>
      <c r="FU293" s="205"/>
      <c r="FV293" s="205"/>
      <c r="FW293" s="205"/>
      <c r="FX293" s="205"/>
      <c r="FY293" s="205"/>
      <c r="FZ293" s="205"/>
      <c r="GA293" s="205"/>
      <c r="GB293" s="205"/>
      <c r="GC293" s="205"/>
      <c r="GD293" s="205"/>
      <c r="GE293" s="205"/>
      <c r="GF293" s="205"/>
      <c r="GG293" s="205"/>
      <c r="GH293" s="205"/>
      <c r="GI293" s="205"/>
      <c r="GJ293" s="205"/>
      <c r="GK293" s="205"/>
      <c r="GL293" s="205"/>
      <c r="GM293" s="205"/>
      <c r="GN293" s="205"/>
      <c r="GO293" s="205"/>
      <c r="GP293" s="205"/>
      <c r="GQ293" s="205"/>
      <c r="GR293" s="205"/>
      <c r="GS293" s="205"/>
      <c r="GT293" s="205"/>
      <c r="GU293" s="205"/>
      <c r="GV293" s="205"/>
      <c r="GW293" s="205"/>
      <c r="GX293" s="205"/>
      <c r="GY293" s="205"/>
      <c r="GZ293" s="205"/>
      <c r="HA293" s="205"/>
      <c r="HB293" s="205"/>
      <c r="HC293" s="205"/>
      <c r="HD293" s="205"/>
      <c r="HE293" s="205"/>
      <c r="HF293" s="205"/>
      <c r="HG293" s="205"/>
      <c r="HH293" s="205"/>
      <c r="HI293" s="205"/>
      <c r="HJ293" s="205"/>
      <c r="HK293" s="205"/>
      <c r="HL293" s="205"/>
      <c r="HM293" s="205"/>
      <c r="HN293" s="205"/>
      <c r="HO293" s="205"/>
      <c r="HP293" s="205"/>
      <c r="HQ293" s="205"/>
      <c r="HR293" s="205"/>
      <c r="HS293" s="205"/>
      <c r="HT293" s="205"/>
      <c r="HU293" s="205"/>
      <c r="HV293" s="205"/>
      <c r="HW293" s="205"/>
      <c r="HX293" s="205"/>
      <c r="HY293" s="205"/>
      <c r="HZ293" s="205"/>
      <c r="IA293" s="205"/>
      <c r="IB293" s="205"/>
      <c r="IC293" s="205"/>
      <c r="ID293" s="205"/>
      <c r="IE293" s="205"/>
      <c r="IF293" s="205"/>
      <c r="IG293" s="205"/>
      <c r="IH293" s="205"/>
      <c r="II293" s="205"/>
      <c r="IJ293" s="205"/>
      <c r="IK293" s="205"/>
      <c r="IL293" s="205"/>
      <c r="IM293" s="205"/>
      <c r="IN293" s="205"/>
      <c r="IO293" s="205"/>
      <c r="IP293" s="205"/>
      <c r="IQ293" s="205"/>
      <c r="IR293" s="205"/>
      <c r="IS293" s="205"/>
      <c r="IT293" s="205"/>
      <c r="IU293" s="205"/>
      <c r="IV293" s="205"/>
      <c r="IW293" s="205"/>
      <c r="IX293" s="205"/>
    </row>
    <row r="294" spans="1:258" s="203" customFormat="1" x14ac:dyDescent="0.2">
      <c r="A294" s="669"/>
      <c r="B294" s="670">
        <f>RAB!B104</f>
        <v>1</v>
      </c>
      <c r="C294" s="686" t="str">
        <f>RAB!D104</f>
        <v>Memasang lantai homogenius tile polished ( 60 x 60 ) cm</v>
      </c>
      <c r="D294" s="672"/>
      <c r="E294" s="673"/>
      <c r="F294" s="673"/>
      <c r="G294" s="674"/>
      <c r="H294" s="675"/>
      <c r="I294" s="676"/>
      <c r="J294" s="676"/>
      <c r="K294" s="676"/>
      <c r="L294" s="676"/>
      <c r="M294" s="676"/>
      <c r="N294" s="676"/>
      <c r="O294" s="676"/>
      <c r="P294" s="676"/>
      <c r="Q294" s="676"/>
      <c r="R294" s="677"/>
      <c r="S294" s="678"/>
      <c r="T294" s="684"/>
      <c r="U294" s="205"/>
      <c r="V294" s="685"/>
      <c r="W294" s="205"/>
      <c r="X294" s="205"/>
      <c r="Y294" s="205"/>
      <c r="Z294" s="205"/>
      <c r="AA294" s="205"/>
      <c r="AB294" s="205"/>
      <c r="AC294" s="205"/>
      <c r="AD294" s="205"/>
      <c r="AE294" s="205"/>
      <c r="AF294" s="205"/>
      <c r="AG294" s="205"/>
      <c r="AH294" s="205"/>
      <c r="AI294" s="205"/>
      <c r="AJ294" s="205"/>
      <c r="AK294" s="205"/>
      <c r="AL294" s="205"/>
      <c r="AM294" s="205"/>
      <c r="AN294" s="205"/>
      <c r="AO294" s="205"/>
      <c r="AP294" s="205"/>
      <c r="AQ294" s="205"/>
      <c r="AR294" s="205"/>
      <c r="AS294" s="205"/>
      <c r="AT294" s="205"/>
      <c r="AU294" s="205"/>
      <c r="AV294" s="205"/>
      <c r="AW294" s="205"/>
      <c r="AX294" s="205"/>
      <c r="AY294" s="205"/>
      <c r="AZ294" s="205"/>
      <c r="BA294" s="205"/>
      <c r="BB294" s="205"/>
      <c r="BC294" s="205"/>
      <c r="BD294" s="205"/>
      <c r="BE294" s="205"/>
      <c r="BF294" s="205"/>
      <c r="BG294" s="205"/>
      <c r="BH294" s="205"/>
      <c r="BI294" s="205"/>
      <c r="BJ294" s="205"/>
      <c r="BK294" s="205"/>
      <c r="BL294" s="205"/>
      <c r="BM294" s="205"/>
      <c r="BN294" s="205"/>
      <c r="BO294" s="205"/>
      <c r="BP294" s="205"/>
      <c r="BQ294" s="205"/>
      <c r="BR294" s="205"/>
      <c r="BS294" s="205"/>
      <c r="BT294" s="205"/>
      <c r="BU294" s="205"/>
      <c r="BV294" s="205"/>
      <c r="BW294" s="205"/>
      <c r="BX294" s="205"/>
      <c r="BY294" s="205"/>
      <c r="BZ294" s="205"/>
      <c r="CA294" s="205"/>
      <c r="CB294" s="205"/>
      <c r="CC294" s="205"/>
      <c r="CD294" s="205"/>
      <c r="CE294" s="205"/>
      <c r="CF294" s="205"/>
      <c r="CG294" s="205"/>
      <c r="CH294" s="205"/>
      <c r="CI294" s="205"/>
      <c r="CJ294" s="205"/>
      <c r="CK294" s="205"/>
      <c r="CL294" s="205"/>
      <c r="CM294" s="205"/>
      <c r="CN294" s="205"/>
      <c r="CO294" s="205"/>
      <c r="CP294" s="205"/>
      <c r="CQ294" s="205"/>
      <c r="CR294" s="205"/>
      <c r="CS294" s="205"/>
      <c r="CT294" s="205"/>
      <c r="CU294" s="205"/>
      <c r="CV294" s="205"/>
      <c r="CW294" s="205"/>
      <c r="CX294" s="205"/>
      <c r="CY294" s="205"/>
      <c r="CZ294" s="205"/>
      <c r="DA294" s="205"/>
      <c r="DB294" s="205"/>
      <c r="DC294" s="205"/>
      <c r="DD294" s="205"/>
      <c r="DE294" s="205"/>
      <c r="DF294" s="205"/>
      <c r="DG294" s="205"/>
      <c r="DH294" s="205"/>
      <c r="DI294" s="205"/>
      <c r="DJ294" s="205"/>
      <c r="DK294" s="205"/>
      <c r="DL294" s="205"/>
      <c r="DM294" s="205"/>
      <c r="DN294" s="205"/>
      <c r="DO294" s="205"/>
      <c r="DP294" s="205"/>
      <c r="DQ294" s="205"/>
      <c r="DR294" s="205"/>
      <c r="DS294" s="205"/>
      <c r="DT294" s="205"/>
      <c r="DU294" s="205"/>
      <c r="DV294" s="205"/>
      <c r="DW294" s="205"/>
      <c r="DX294" s="205"/>
      <c r="DY294" s="205"/>
      <c r="DZ294" s="205"/>
      <c r="EA294" s="205"/>
      <c r="EB294" s="205"/>
      <c r="EC294" s="205"/>
      <c r="ED294" s="205"/>
      <c r="EE294" s="205"/>
      <c r="EF294" s="205"/>
      <c r="EG294" s="205"/>
      <c r="EH294" s="205"/>
      <c r="EI294" s="205"/>
      <c r="EJ294" s="205"/>
      <c r="EK294" s="205"/>
      <c r="EL294" s="205"/>
      <c r="EM294" s="205"/>
      <c r="EN294" s="205"/>
      <c r="EO294" s="205"/>
      <c r="EP294" s="205"/>
      <c r="EQ294" s="205"/>
      <c r="ER294" s="205"/>
      <c r="ES294" s="205"/>
      <c r="ET294" s="205"/>
      <c r="EU294" s="205"/>
      <c r="EV294" s="205"/>
      <c r="EW294" s="205"/>
      <c r="EX294" s="205"/>
      <c r="EY294" s="205"/>
      <c r="EZ294" s="205"/>
      <c r="FA294" s="205"/>
      <c r="FB294" s="205"/>
      <c r="FC294" s="205"/>
      <c r="FD294" s="205"/>
      <c r="FE294" s="205"/>
      <c r="FF294" s="205"/>
      <c r="FG294" s="205"/>
      <c r="FH294" s="205"/>
      <c r="FI294" s="205"/>
      <c r="FJ294" s="205"/>
      <c r="FK294" s="205"/>
      <c r="FL294" s="205"/>
      <c r="FM294" s="205"/>
      <c r="FN294" s="205"/>
      <c r="FO294" s="205"/>
      <c r="FP294" s="205"/>
      <c r="FQ294" s="205"/>
      <c r="FR294" s="205"/>
      <c r="FS294" s="205"/>
      <c r="FT294" s="205"/>
      <c r="FU294" s="205"/>
      <c r="FV294" s="205"/>
      <c r="FW294" s="205"/>
      <c r="FX294" s="205"/>
      <c r="FY294" s="205"/>
      <c r="FZ294" s="205"/>
      <c r="GA294" s="205"/>
      <c r="GB294" s="205"/>
      <c r="GC294" s="205"/>
      <c r="GD294" s="205"/>
      <c r="GE294" s="205"/>
      <c r="GF294" s="205"/>
      <c r="GG294" s="205"/>
      <c r="GH294" s="205"/>
      <c r="GI294" s="205"/>
      <c r="GJ294" s="205"/>
      <c r="GK294" s="205"/>
      <c r="GL294" s="205"/>
      <c r="GM294" s="205"/>
      <c r="GN294" s="205"/>
      <c r="GO294" s="205"/>
      <c r="GP294" s="205"/>
      <c r="GQ294" s="205"/>
      <c r="GR294" s="205"/>
      <c r="GS294" s="205"/>
      <c r="GT294" s="205"/>
      <c r="GU294" s="205"/>
      <c r="GV294" s="205"/>
      <c r="GW294" s="205"/>
      <c r="GX294" s="205"/>
      <c r="GY294" s="205"/>
      <c r="GZ294" s="205"/>
      <c r="HA294" s="205"/>
      <c r="HB294" s="205"/>
      <c r="HC294" s="205"/>
      <c r="HD294" s="205"/>
      <c r="HE294" s="205"/>
      <c r="HF294" s="205"/>
      <c r="HG294" s="205"/>
      <c r="HH294" s="205"/>
      <c r="HI294" s="205"/>
      <c r="HJ294" s="205"/>
      <c r="HK294" s="205"/>
      <c r="HL294" s="205"/>
      <c r="HM294" s="205"/>
      <c r="HN294" s="205"/>
      <c r="HO294" s="205"/>
      <c r="HP294" s="205"/>
      <c r="HQ294" s="205"/>
      <c r="HR294" s="205"/>
      <c r="HS294" s="205"/>
      <c r="HT294" s="205"/>
      <c r="HU294" s="205"/>
      <c r="HV294" s="205"/>
      <c r="HW294" s="205"/>
      <c r="HX294" s="205"/>
      <c r="HY294" s="205"/>
      <c r="HZ294" s="205"/>
      <c r="IA294" s="205"/>
      <c r="IB294" s="205"/>
      <c r="IC294" s="205"/>
      <c r="ID294" s="205"/>
      <c r="IE294" s="205"/>
      <c r="IF294" s="205"/>
      <c r="IG294" s="205"/>
      <c r="IH294" s="205"/>
      <c r="II294" s="205"/>
      <c r="IJ294" s="205"/>
      <c r="IK294" s="205"/>
      <c r="IL294" s="205"/>
      <c r="IM294" s="205"/>
      <c r="IN294" s="205"/>
      <c r="IO294" s="205"/>
      <c r="IP294" s="205"/>
      <c r="IQ294" s="205"/>
      <c r="IR294" s="205"/>
      <c r="IS294" s="205"/>
      <c r="IT294" s="205"/>
      <c r="IU294" s="205"/>
      <c r="IV294" s="205"/>
      <c r="IW294" s="205"/>
      <c r="IX294" s="205"/>
    </row>
    <row r="295" spans="1:258" s="203" customFormat="1" x14ac:dyDescent="0.2">
      <c r="A295" s="669"/>
      <c r="B295" s="670"/>
      <c r="C295" s="1390"/>
      <c r="D295" s="672"/>
      <c r="E295" s="1391"/>
      <c r="F295" s="1391"/>
      <c r="G295" s="1392" t="s">
        <v>1717</v>
      </c>
      <c r="H295" s="1393"/>
      <c r="I295" s="1394"/>
      <c r="J295" s="1394"/>
      <c r="K295" s="1394"/>
      <c r="L295" s="1394"/>
      <c r="M295" s="1394"/>
      <c r="N295" s="1394"/>
      <c r="O295" s="1394"/>
      <c r="P295" s="1394"/>
      <c r="Q295" s="1394"/>
      <c r="R295" s="1395"/>
      <c r="S295" s="1396"/>
      <c r="T295" s="1397"/>
      <c r="U295" s="205"/>
      <c r="V295" s="685"/>
      <c r="W295" s="205"/>
      <c r="X295" s="205"/>
      <c r="Y295" s="205"/>
      <c r="Z295" s="205"/>
      <c r="AA295" s="205"/>
      <c r="AB295" s="205"/>
      <c r="AC295" s="205"/>
      <c r="AD295" s="205"/>
      <c r="AE295" s="205"/>
      <c r="AF295" s="205"/>
      <c r="AG295" s="205"/>
      <c r="AH295" s="205"/>
      <c r="AI295" s="205"/>
      <c r="AJ295" s="205"/>
      <c r="AK295" s="205"/>
      <c r="AL295" s="205"/>
      <c r="AM295" s="205"/>
      <c r="AN295" s="205"/>
      <c r="AO295" s="205"/>
      <c r="AP295" s="205"/>
      <c r="AQ295" s="205"/>
      <c r="AR295" s="205"/>
      <c r="AS295" s="205"/>
      <c r="AT295" s="205"/>
      <c r="AU295" s="205"/>
      <c r="AV295" s="205"/>
      <c r="AW295" s="205"/>
      <c r="AX295" s="205"/>
      <c r="AY295" s="205"/>
      <c r="AZ295" s="205"/>
      <c r="BA295" s="205"/>
      <c r="BB295" s="205"/>
      <c r="BC295" s="205"/>
      <c r="BD295" s="205"/>
      <c r="BE295" s="205"/>
      <c r="BF295" s="205"/>
      <c r="BG295" s="205"/>
      <c r="BH295" s="205"/>
      <c r="BI295" s="205"/>
      <c r="BJ295" s="205"/>
      <c r="BK295" s="205"/>
      <c r="BL295" s="205"/>
      <c r="BM295" s="205"/>
      <c r="BN295" s="205"/>
      <c r="BO295" s="205"/>
      <c r="BP295" s="205"/>
      <c r="BQ295" s="205"/>
      <c r="BR295" s="205"/>
      <c r="BS295" s="205"/>
      <c r="BT295" s="205"/>
      <c r="BU295" s="205"/>
      <c r="BV295" s="205"/>
      <c r="BW295" s="205"/>
      <c r="BX295" s="205"/>
      <c r="BY295" s="205"/>
      <c r="BZ295" s="205"/>
      <c r="CA295" s="205"/>
      <c r="CB295" s="205"/>
      <c r="CC295" s="205"/>
      <c r="CD295" s="205"/>
      <c r="CE295" s="205"/>
      <c r="CF295" s="205"/>
      <c r="CG295" s="205"/>
      <c r="CH295" s="205"/>
      <c r="CI295" s="205"/>
      <c r="CJ295" s="205"/>
      <c r="CK295" s="205"/>
      <c r="CL295" s="205"/>
      <c r="CM295" s="205"/>
      <c r="CN295" s="205"/>
      <c r="CO295" s="205"/>
      <c r="CP295" s="205"/>
      <c r="CQ295" s="205"/>
      <c r="CR295" s="205"/>
      <c r="CS295" s="205"/>
      <c r="CT295" s="205"/>
      <c r="CU295" s="205"/>
      <c r="CV295" s="205"/>
      <c r="CW295" s="205"/>
      <c r="CX295" s="205"/>
      <c r="CY295" s="205"/>
      <c r="CZ295" s="205"/>
      <c r="DA295" s="205"/>
      <c r="DB295" s="205"/>
      <c r="DC295" s="205"/>
      <c r="DD295" s="205"/>
      <c r="DE295" s="205"/>
      <c r="DF295" s="205"/>
      <c r="DG295" s="205"/>
      <c r="DH295" s="205"/>
      <c r="DI295" s="205"/>
      <c r="DJ295" s="205"/>
      <c r="DK295" s="205"/>
      <c r="DL295" s="205"/>
      <c r="DM295" s="205"/>
      <c r="DN295" s="205"/>
      <c r="DO295" s="205"/>
      <c r="DP295" s="205"/>
      <c r="DQ295" s="205"/>
      <c r="DR295" s="205"/>
      <c r="DS295" s="205"/>
      <c r="DT295" s="205"/>
      <c r="DU295" s="205"/>
      <c r="DV295" s="205"/>
      <c r="DW295" s="205"/>
      <c r="DX295" s="205"/>
      <c r="DY295" s="205"/>
      <c r="DZ295" s="205"/>
      <c r="EA295" s="205"/>
      <c r="EB295" s="205"/>
      <c r="EC295" s="205"/>
      <c r="ED295" s="205"/>
      <c r="EE295" s="205"/>
      <c r="EF295" s="205"/>
      <c r="EG295" s="205"/>
      <c r="EH295" s="205"/>
      <c r="EI295" s="205"/>
      <c r="EJ295" s="205"/>
      <c r="EK295" s="205"/>
      <c r="EL295" s="205"/>
      <c r="EM295" s="205"/>
      <c r="EN295" s="205"/>
      <c r="EO295" s="205"/>
      <c r="EP295" s="205"/>
      <c r="EQ295" s="205"/>
      <c r="ER295" s="205"/>
      <c r="ES295" s="205"/>
      <c r="ET295" s="205"/>
      <c r="EU295" s="205"/>
      <c r="EV295" s="205"/>
      <c r="EW295" s="205"/>
      <c r="EX295" s="205"/>
      <c r="EY295" s="205"/>
      <c r="EZ295" s="205"/>
      <c r="FA295" s="205"/>
      <c r="FB295" s="205"/>
      <c r="FC295" s="205"/>
      <c r="FD295" s="205"/>
      <c r="FE295" s="205"/>
      <c r="FF295" s="205"/>
      <c r="FG295" s="205"/>
      <c r="FH295" s="205"/>
      <c r="FI295" s="205"/>
      <c r="FJ295" s="205"/>
      <c r="FK295" s="205"/>
      <c r="FL295" s="205"/>
      <c r="FM295" s="205"/>
      <c r="FN295" s="205"/>
      <c r="FO295" s="205"/>
      <c r="FP295" s="205"/>
      <c r="FQ295" s="205"/>
      <c r="FR295" s="205"/>
      <c r="FS295" s="205"/>
      <c r="FT295" s="205"/>
      <c r="FU295" s="205"/>
      <c r="FV295" s="205"/>
      <c r="FW295" s="205"/>
      <c r="FX295" s="205"/>
      <c r="FY295" s="205"/>
      <c r="FZ295" s="205"/>
      <c r="GA295" s="205"/>
      <c r="GB295" s="205"/>
      <c r="GC295" s="205"/>
      <c r="GD295" s="205"/>
      <c r="GE295" s="205"/>
      <c r="GF295" s="205"/>
      <c r="GG295" s="205"/>
      <c r="GH295" s="205"/>
      <c r="GI295" s="205"/>
      <c r="GJ295" s="205"/>
      <c r="GK295" s="205"/>
      <c r="GL295" s="205"/>
      <c r="GM295" s="205"/>
      <c r="GN295" s="205"/>
      <c r="GO295" s="205"/>
      <c r="GP295" s="205"/>
      <c r="GQ295" s="205"/>
      <c r="GR295" s="205"/>
      <c r="GS295" s="205"/>
      <c r="GT295" s="205"/>
      <c r="GU295" s="205"/>
      <c r="GV295" s="205"/>
      <c r="GW295" s="205"/>
      <c r="GX295" s="205"/>
      <c r="GY295" s="205"/>
      <c r="GZ295" s="205"/>
      <c r="HA295" s="205"/>
      <c r="HB295" s="205"/>
      <c r="HC295" s="205"/>
      <c r="HD295" s="205"/>
      <c r="HE295" s="205"/>
      <c r="HF295" s="205"/>
      <c r="HG295" s="205"/>
      <c r="HH295" s="205"/>
      <c r="HI295" s="205"/>
      <c r="HJ295" s="205"/>
      <c r="HK295" s="205"/>
      <c r="HL295" s="205"/>
      <c r="HM295" s="205"/>
      <c r="HN295" s="205"/>
      <c r="HO295" s="205"/>
      <c r="HP295" s="205"/>
      <c r="HQ295" s="205"/>
      <c r="HR295" s="205"/>
      <c r="HS295" s="205"/>
      <c r="HT295" s="205"/>
      <c r="HU295" s="205"/>
      <c r="HV295" s="205"/>
      <c r="HW295" s="205"/>
      <c r="HX295" s="205"/>
      <c r="HY295" s="205"/>
      <c r="HZ295" s="205"/>
      <c r="IA295" s="205"/>
      <c r="IB295" s="205"/>
      <c r="IC295" s="205"/>
      <c r="ID295" s="205"/>
      <c r="IE295" s="205"/>
      <c r="IF295" s="205"/>
      <c r="IG295" s="205"/>
      <c r="IH295" s="205"/>
      <c r="II295" s="205"/>
      <c r="IJ295" s="205"/>
      <c r="IK295" s="205"/>
      <c r="IL295" s="205"/>
      <c r="IM295" s="205"/>
      <c r="IN295" s="205"/>
      <c r="IO295" s="205"/>
      <c r="IP295" s="205"/>
      <c r="IQ295" s="205"/>
      <c r="IR295" s="205"/>
      <c r="IS295" s="205"/>
      <c r="IT295" s="205"/>
      <c r="IU295" s="205"/>
      <c r="IV295" s="205"/>
      <c r="IW295" s="205"/>
      <c r="IX295" s="205"/>
    </row>
    <row r="296" spans="1:258" s="203" customFormat="1" x14ac:dyDescent="0.2">
      <c r="A296" s="669"/>
      <c r="B296" s="670"/>
      <c r="C296" s="1390"/>
      <c r="D296" s="672"/>
      <c r="E296" s="1391"/>
      <c r="F296" s="1391"/>
      <c r="G296" s="1392" t="s">
        <v>1718</v>
      </c>
      <c r="H296" s="1393">
        <v>7</v>
      </c>
      <c r="I296" s="1394" t="s">
        <v>424</v>
      </c>
      <c r="J296" s="1394">
        <f>10-0.15</f>
        <v>9.85</v>
      </c>
      <c r="K296" s="1394"/>
      <c r="L296" s="1394"/>
      <c r="M296" s="1394"/>
      <c r="N296" s="1394"/>
      <c r="O296" s="1394"/>
      <c r="P296" s="1394"/>
      <c r="Q296" s="1394" t="s">
        <v>696</v>
      </c>
      <c r="R296" s="1363">
        <f>H296*J296</f>
        <v>68.95</v>
      </c>
      <c r="S296" s="1396"/>
      <c r="T296" s="1397"/>
      <c r="U296" s="205"/>
      <c r="V296" s="685"/>
      <c r="W296" s="205"/>
      <c r="X296" s="205"/>
      <c r="Y296" s="205"/>
      <c r="Z296" s="205"/>
      <c r="AA296" s="205"/>
      <c r="AB296" s="205"/>
      <c r="AC296" s="205"/>
      <c r="AD296" s="205"/>
      <c r="AE296" s="205"/>
      <c r="AF296" s="205"/>
      <c r="AG296" s="205"/>
      <c r="AH296" s="205"/>
      <c r="AI296" s="205"/>
      <c r="AJ296" s="205"/>
      <c r="AK296" s="205"/>
      <c r="AL296" s="205"/>
      <c r="AM296" s="205"/>
      <c r="AN296" s="205"/>
      <c r="AO296" s="205"/>
      <c r="AP296" s="205"/>
      <c r="AQ296" s="205"/>
      <c r="AR296" s="205"/>
      <c r="AS296" s="205"/>
      <c r="AT296" s="205"/>
      <c r="AU296" s="205"/>
      <c r="AV296" s="205"/>
      <c r="AW296" s="205"/>
      <c r="AX296" s="205"/>
      <c r="AY296" s="205"/>
      <c r="AZ296" s="205"/>
      <c r="BA296" s="205"/>
      <c r="BB296" s="205"/>
      <c r="BC296" s="205"/>
      <c r="BD296" s="205"/>
      <c r="BE296" s="205"/>
      <c r="BF296" s="205"/>
      <c r="BG296" s="205"/>
      <c r="BH296" s="205"/>
      <c r="BI296" s="205"/>
      <c r="BJ296" s="205"/>
      <c r="BK296" s="205"/>
      <c r="BL296" s="205"/>
      <c r="BM296" s="205"/>
      <c r="BN296" s="205"/>
      <c r="BO296" s="205"/>
      <c r="BP296" s="205"/>
      <c r="BQ296" s="205"/>
      <c r="BR296" s="205"/>
      <c r="BS296" s="205"/>
      <c r="BT296" s="205"/>
      <c r="BU296" s="205"/>
      <c r="BV296" s="205"/>
      <c r="BW296" s="205"/>
      <c r="BX296" s="205"/>
      <c r="BY296" s="205"/>
      <c r="BZ296" s="205"/>
      <c r="CA296" s="205"/>
      <c r="CB296" s="205"/>
      <c r="CC296" s="205"/>
      <c r="CD296" s="205"/>
      <c r="CE296" s="205"/>
      <c r="CF296" s="205"/>
      <c r="CG296" s="205"/>
      <c r="CH296" s="205"/>
      <c r="CI296" s="205"/>
      <c r="CJ296" s="205"/>
      <c r="CK296" s="205"/>
      <c r="CL296" s="205"/>
      <c r="CM296" s="205"/>
      <c r="CN296" s="205"/>
      <c r="CO296" s="205"/>
      <c r="CP296" s="205"/>
      <c r="CQ296" s="205"/>
      <c r="CR296" s="205"/>
      <c r="CS296" s="205"/>
      <c r="CT296" s="205"/>
      <c r="CU296" s="205"/>
      <c r="CV296" s="205"/>
      <c r="CW296" s="205"/>
      <c r="CX296" s="205"/>
      <c r="CY296" s="205"/>
      <c r="CZ296" s="205"/>
      <c r="DA296" s="205"/>
      <c r="DB296" s="205"/>
      <c r="DC296" s="205"/>
      <c r="DD296" s="205"/>
      <c r="DE296" s="205"/>
      <c r="DF296" s="205"/>
      <c r="DG296" s="205"/>
      <c r="DH296" s="205"/>
      <c r="DI296" s="205"/>
      <c r="DJ296" s="205"/>
      <c r="DK296" s="205"/>
      <c r="DL296" s="205"/>
      <c r="DM296" s="205"/>
      <c r="DN296" s="205"/>
      <c r="DO296" s="205"/>
      <c r="DP296" s="205"/>
      <c r="DQ296" s="205"/>
      <c r="DR296" s="205"/>
      <c r="DS296" s="205"/>
      <c r="DT296" s="205"/>
      <c r="DU296" s="205"/>
      <c r="DV296" s="205"/>
      <c r="DW296" s="205"/>
      <c r="DX296" s="205"/>
      <c r="DY296" s="205"/>
      <c r="DZ296" s="205"/>
      <c r="EA296" s="205"/>
      <c r="EB296" s="205"/>
      <c r="EC296" s="205"/>
      <c r="ED296" s="205"/>
      <c r="EE296" s="205"/>
      <c r="EF296" s="205"/>
      <c r="EG296" s="205"/>
      <c r="EH296" s="205"/>
      <c r="EI296" s="205"/>
      <c r="EJ296" s="205"/>
      <c r="EK296" s="205"/>
      <c r="EL296" s="205"/>
      <c r="EM296" s="205"/>
      <c r="EN296" s="205"/>
      <c r="EO296" s="205"/>
      <c r="EP296" s="205"/>
      <c r="EQ296" s="205"/>
      <c r="ER296" s="205"/>
      <c r="ES296" s="205"/>
      <c r="ET296" s="205"/>
      <c r="EU296" s="205"/>
      <c r="EV296" s="205"/>
      <c r="EW296" s="205"/>
      <c r="EX296" s="205"/>
      <c r="EY296" s="205"/>
      <c r="EZ296" s="205"/>
      <c r="FA296" s="205"/>
      <c r="FB296" s="205"/>
      <c r="FC296" s="205"/>
      <c r="FD296" s="205"/>
      <c r="FE296" s="205"/>
      <c r="FF296" s="205"/>
      <c r="FG296" s="205"/>
      <c r="FH296" s="205"/>
      <c r="FI296" s="205"/>
      <c r="FJ296" s="205"/>
      <c r="FK296" s="205"/>
      <c r="FL296" s="205"/>
      <c r="FM296" s="205"/>
      <c r="FN296" s="205"/>
      <c r="FO296" s="205"/>
      <c r="FP296" s="205"/>
      <c r="FQ296" s="205"/>
      <c r="FR296" s="205"/>
      <c r="FS296" s="205"/>
      <c r="FT296" s="205"/>
      <c r="FU296" s="205"/>
      <c r="FV296" s="205"/>
      <c r="FW296" s="205"/>
      <c r="FX296" s="205"/>
      <c r="FY296" s="205"/>
      <c r="FZ296" s="205"/>
      <c r="GA296" s="205"/>
      <c r="GB296" s="205"/>
      <c r="GC296" s="205"/>
      <c r="GD296" s="205"/>
      <c r="GE296" s="205"/>
      <c r="GF296" s="205"/>
      <c r="GG296" s="205"/>
      <c r="GH296" s="205"/>
      <c r="GI296" s="205"/>
      <c r="GJ296" s="205"/>
      <c r="GK296" s="205"/>
      <c r="GL296" s="205"/>
      <c r="GM296" s="205"/>
      <c r="GN296" s="205"/>
      <c r="GO296" s="205"/>
      <c r="GP296" s="205"/>
      <c r="GQ296" s="205"/>
      <c r="GR296" s="205"/>
      <c r="GS296" s="205"/>
      <c r="GT296" s="205"/>
      <c r="GU296" s="205"/>
      <c r="GV296" s="205"/>
      <c r="GW296" s="205"/>
      <c r="GX296" s="205"/>
      <c r="GY296" s="205"/>
      <c r="GZ296" s="205"/>
      <c r="HA296" s="205"/>
      <c r="HB296" s="205"/>
      <c r="HC296" s="205"/>
      <c r="HD296" s="205"/>
      <c r="HE296" s="205"/>
      <c r="HF296" s="205"/>
      <c r="HG296" s="205"/>
      <c r="HH296" s="205"/>
      <c r="HI296" s="205"/>
      <c r="HJ296" s="205"/>
      <c r="HK296" s="205"/>
      <c r="HL296" s="205"/>
      <c r="HM296" s="205"/>
      <c r="HN296" s="205"/>
      <c r="HO296" s="205"/>
      <c r="HP296" s="205"/>
      <c r="HQ296" s="205"/>
      <c r="HR296" s="205"/>
      <c r="HS296" s="205"/>
      <c r="HT296" s="205"/>
      <c r="HU296" s="205"/>
      <c r="HV296" s="205"/>
      <c r="HW296" s="205"/>
      <c r="HX296" s="205"/>
      <c r="HY296" s="205"/>
      <c r="HZ296" s="205"/>
      <c r="IA296" s="205"/>
      <c r="IB296" s="205"/>
      <c r="IC296" s="205"/>
      <c r="ID296" s="205"/>
      <c r="IE296" s="205"/>
      <c r="IF296" s="205"/>
      <c r="IG296" s="205"/>
      <c r="IH296" s="205"/>
      <c r="II296" s="205"/>
      <c r="IJ296" s="205"/>
      <c r="IK296" s="205"/>
      <c r="IL296" s="205"/>
      <c r="IM296" s="205"/>
      <c r="IN296" s="205"/>
      <c r="IO296" s="205"/>
      <c r="IP296" s="205"/>
      <c r="IQ296" s="205"/>
      <c r="IR296" s="205"/>
      <c r="IS296" s="205"/>
      <c r="IT296" s="205"/>
      <c r="IU296" s="205"/>
      <c r="IV296" s="205"/>
      <c r="IW296" s="205"/>
      <c r="IX296" s="205"/>
    </row>
    <row r="297" spans="1:258" s="203" customFormat="1" x14ac:dyDescent="0.2">
      <c r="A297" s="669"/>
      <c r="B297" s="670"/>
      <c r="C297" s="1390"/>
      <c r="D297" s="672"/>
      <c r="E297" s="1391"/>
      <c r="F297" s="1391"/>
      <c r="G297" s="1392" t="s">
        <v>1719</v>
      </c>
      <c r="H297" s="1393">
        <f>6-0.15</f>
        <v>5.85</v>
      </c>
      <c r="I297" s="1394" t="s">
        <v>424</v>
      </c>
      <c r="J297" s="1394">
        <f>5.5-0.15</f>
        <v>5.35</v>
      </c>
      <c r="K297" s="1394"/>
      <c r="L297" s="1394"/>
      <c r="M297" s="1394"/>
      <c r="N297" s="1394"/>
      <c r="O297" s="1394"/>
      <c r="P297" s="1394"/>
      <c r="Q297" s="1394" t="s">
        <v>696</v>
      </c>
      <c r="R297" s="1363">
        <f>H297*J297</f>
        <v>31.297499999999996</v>
      </c>
      <c r="S297" s="1396"/>
      <c r="T297" s="1397"/>
      <c r="U297" s="205"/>
      <c r="V297" s="685"/>
      <c r="W297" s="205"/>
      <c r="X297" s="205"/>
      <c r="Y297" s="205"/>
      <c r="Z297" s="205"/>
      <c r="AA297" s="205"/>
      <c r="AB297" s="205"/>
      <c r="AC297" s="205"/>
      <c r="AD297" s="205"/>
      <c r="AE297" s="205"/>
      <c r="AF297" s="205"/>
      <c r="AG297" s="205"/>
      <c r="AH297" s="205"/>
      <c r="AI297" s="205"/>
      <c r="AJ297" s="205"/>
      <c r="AK297" s="205"/>
      <c r="AL297" s="205"/>
      <c r="AM297" s="205"/>
      <c r="AN297" s="205"/>
      <c r="AO297" s="205"/>
      <c r="AP297" s="205"/>
      <c r="AQ297" s="205"/>
      <c r="AR297" s="205"/>
      <c r="AS297" s="205"/>
      <c r="AT297" s="205"/>
      <c r="AU297" s="205"/>
      <c r="AV297" s="205"/>
      <c r="AW297" s="205"/>
      <c r="AX297" s="205"/>
      <c r="AY297" s="205"/>
      <c r="AZ297" s="205"/>
      <c r="BA297" s="205"/>
      <c r="BB297" s="205"/>
      <c r="BC297" s="205"/>
      <c r="BD297" s="205"/>
      <c r="BE297" s="205"/>
      <c r="BF297" s="205"/>
      <c r="BG297" s="205"/>
      <c r="BH297" s="205"/>
      <c r="BI297" s="205"/>
      <c r="BJ297" s="205"/>
      <c r="BK297" s="205"/>
      <c r="BL297" s="205"/>
      <c r="BM297" s="205"/>
      <c r="BN297" s="205"/>
      <c r="BO297" s="205"/>
      <c r="BP297" s="205"/>
      <c r="BQ297" s="205"/>
      <c r="BR297" s="205"/>
      <c r="BS297" s="205"/>
      <c r="BT297" s="205"/>
      <c r="BU297" s="205"/>
      <c r="BV297" s="205"/>
      <c r="BW297" s="205"/>
      <c r="BX297" s="205"/>
      <c r="BY297" s="205"/>
      <c r="BZ297" s="205"/>
      <c r="CA297" s="205"/>
      <c r="CB297" s="205"/>
      <c r="CC297" s="205"/>
      <c r="CD297" s="205"/>
      <c r="CE297" s="205"/>
      <c r="CF297" s="205"/>
      <c r="CG297" s="205"/>
      <c r="CH297" s="205"/>
      <c r="CI297" s="205"/>
      <c r="CJ297" s="205"/>
      <c r="CK297" s="205"/>
      <c r="CL297" s="205"/>
      <c r="CM297" s="205"/>
      <c r="CN297" s="205"/>
      <c r="CO297" s="205"/>
      <c r="CP297" s="205"/>
      <c r="CQ297" s="205"/>
      <c r="CR297" s="205"/>
      <c r="CS297" s="205"/>
      <c r="CT297" s="205"/>
      <c r="CU297" s="205"/>
      <c r="CV297" s="205"/>
      <c r="CW297" s="205"/>
      <c r="CX297" s="205"/>
      <c r="CY297" s="205"/>
      <c r="CZ297" s="205"/>
      <c r="DA297" s="205"/>
      <c r="DB297" s="205"/>
      <c r="DC297" s="205"/>
      <c r="DD297" s="205"/>
      <c r="DE297" s="205"/>
      <c r="DF297" s="205"/>
      <c r="DG297" s="205"/>
      <c r="DH297" s="205"/>
      <c r="DI297" s="205"/>
      <c r="DJ297" s="205"/>
      <c r="DK297" s="205"/>
      <c r="DL297" s="205"/>
      <c r="DM297" s="205"/>
      <c r="DN297" s="205"/>
      <c r="DO297" s="205"/>
      <c r="DP297" s="205"/>
      <c r="DQ297" s="205"/>
      <c r="DR297" s="205"/>
      <c r="DS297" s="205"/>
      <c r="DT297" s="205"/>
      <c r="DU297" s="205"/>
      <c r="DV297" s="205"/>
      <c r="DW297" s="205"/>
      <c r="DX297" s="205"/>
      <c r="DY297" s="205"/>
      <c r="DZ297" s="205"/>
      <c r="EA297" s="205"/>
      <c r="EB297" s="205"/>
      <c r="EC297" s="205"/>
      <c r="ED297" s="205"/>
      <c r="EE297" s="205"/>
      <c r="EF297" s="205"/>
      <c r="EG297" s="205"/>
      <c r="EH297" s="205"/>
      <c r="EI297" s="205"/>
      <c r="EJ297" s="205"/>
      <c r="EK297" s="205"/>
      <c r="EL297" s="205"/>
      <c r="EM297" s="205"/>
      <c r="EN297" s="205"/>
      <c r="EO297" s="205"/>
      <c r="EP297" s="205"/>
      <c r="EQ297" s="205"/>
      <c r="ER297" s="205"/>
      <c r="ES297" s="205"/>
      <c r="ET297" s="205"/>
      <c r="EU297" s="205"/>
      <c r="EV297" s="205"/>
      <c r="EW297" s="205"/>
      <c r="EX297" s="205"/>
      <c r="EY297" s="205"/>
      <c r="EZ297" s="205"/>
      <c r="FA297" s="205"/>
      <c r="FB297" s="205"/>
      <c r="FC297" s="205"/>
      <c r="FD297" s="205"/>
      <c r="FE297" s="205"/>
      <c r="FF297" s="205"/>
      <c r="FG297" s="205"/>
      <c r="FH297" s="205"/>
      <c r="FI297" s="205"/>
      <c r="FJ297" s="205"/>
      <c r="FK297" s="205"/>
      <c r="FL297" s="205"/>
      <c r="FM297" s="205"/>
      <c r="FN297" s="205"/>
      <c r="FO297" s="205"/>
      <c r="FP297" s="205"/>
      <c r="FQ297" s="205"/>
      <c r="FR297" s="205"/>
      <c r="FS297" s="205"/>
      <c r="FT297" s="205"/>
      <c r="FU297" s="205"/>
      <c r="FV297" s="205"/>
      <c r="FW297" s="205"/>
      <c r="FX297" s="205"/>
      <c r="FY297" s="205"/>
      <c r="FZ297" s="205"/>
      <c r="GA297" s="205"/>
      <c r="GB297" s="205"/>
      <c r="GC297" s="205"/>
      <c r="GD297" s="205"/>
      <c r="GE297" s="205"/>
      <c r="GF297" s="205"/>
      <c r="GG297" s="205"/>
      <c r="GH297" s="205"/>
      <c r="GI297" s="205"/>
      <c r="GJ297" s="205"/>
      <c r="GK297" s="205"/>
      <c r="GL297" s="205"/>
      <c r="GM297" s="205"/>
      <c r="GN297" s="205"/>
      <c r="GO297" s="205"/>
      <c r="GP297" s="205"/>
      <c r="GQ297" s="205"/>
      <c r="GR297" s="205"/>
      <c r="GS297" s="205"/>
      <c r="GT297" s="205"/>
      <c r="GU297" s="205"/>
      <c r="GV297" s="205"/>
      <c r="GW297" s="205"/>
      <c r="GX297" s="205"/>
      <c r="GY297" s="205"/>
      <c r="GZ297" s="205"/>
      <c r="HA297" s="205"/>
      <c r="HB297" s="205"/>
      <c r="HC297" s="205"/>
      <c r="HD297" s="205"/>
      <c r="HE297" s="205"/>
      <c r="HF297" s="205"/>
      <c r="HG297" s="205"/>
      <c r="HH297" s="205"/>
      <c r="HI297" s="205"/>
      <c r="HJ297" s="205"/>
      <c r="HK297" s="205"/>
      <c r="HL297" s="205"/>
      <c r="HM297" s="205"/>
      <c r="HN297" s="205"/>
      <c r="HO297" s="205"/>
      <c r="HP297" s="205"/>
      <c r="HQ297" s="205"/>
      <c r="HR297" s="205"/>
      <c r="HS297" s="205"/>
      <c r="HT297" s="205"/>
      <c r="HU297" s="205"/>
      <c r="HV297" s="205"/>
      <c r="HW297" s="205"/>
      <c r="HX297" s="205"/>
      <c r="HY297" s="205"/>
      <c r="HZ297" s="205"/>
      <c r="IA297" s="205"/>
      <c r="IB297" s="205"/>
      <c r="IC297" s="205"/>
      <c r="ID297" s="205"/>
      <c r="IE297" s="205"/>
      <c r="IF297" s="205"/>
      <c r="IG297" s="205"/>
      <c r="IH297" s="205"/>
      <c r="II297" s="205"/>
      <c r="IJ297" s="205"/>
      <c r="IK297" s="205"/>
      <c r="IL297" s="205"/>
      <c r="IM297" s="205"/>
      <c r="IN297" s="205"/>
      <c r="IO297" s="205"/>
      <c r="IP297" s="205"/>
      <c r="IQ297" s="205"/>
      <c r="IR297" s="205"/>
      <c r="IS297" s="205"/>
      <c r="IT297" s="205"/>
      <c r="IU297" s="205"/>
      <c r="IV297" s="205"/>
      <c r="IW297" s="205"/>
      <c r="IX297" s="205"/>
    </row>
    <row r="298" spans="1:258" s="203" customFormat="1" x14ac:dyDescent="0.2">
      <c r="A298" s="669"/>
      <c r="B298" s="670"/>
      <c r="C298" s="1390"/>
      <c r="D298" s="672"/>
      <c r="E298" s="1391"/>
      <c r="F298" s="1391"/>
      <c r="G298" s="1392" t="s">
        <v>1721</v>
      </c>
      <c r="H298" s="1393">
        <f>3-0.15</f>
        <v>2.85</v>
      </c>
      <c r="I298" s="1394" t="s">
        <v>424</v>
      </c>
      <c r="J298" s="1394">
        <f>3.25-0.15</f>
        <v>3.1</v>
      </c>
      <c r="K298" s="1394" t="s">
        <v>424</v>
      </c>
      <c r="L298" s="1394">
        <v>2</v>
      </c>
      <c r="M298" s="1394"/>
      <c r="N298" s="1394"/>
      <c r="O298" s="1394"/>
      <c r="P298" s="1394"/>
      <c r="Q298" s="1362" t="s">
        <v>696</v>
      </c>
      <c r="R298" s="1363">
        <f>H298*J298*L298</f>
        <v>17.670000000000002</v>
      </c>
      <c r="S298" s="1396"/>
      <c r="T298" s="1397"/>
      <c r="U298" s="205"/>
      <c r="V298" s="685"/>
      <c r="W298" s="205"/>
      <c r="X298" s="205"/>
      <c r="Y298" s="205"/>
      <c r="Z298" s="205"/>
      <c r="AA298" s="205"/>
      <c r="AB298" s="205"/>
      <c r="AC298" s="205"/>
      <c r="AD298" s="205"/>
      <c r="AE298" s="205"/>
      <c r="AF298" s="205"/>
      <c r="AG298" s="205"/>
      <c r="AH298" s="205"/>
      <c r="AI298" s="205"/>
      <c r="AJ298" s="205"/>
      <c r="AK298" s="205"/>
      <c r="AL298" s="205"/>
      <c r="AM298" s="205"/>
      <c r="AN298" s="205"/>
      <c r="AO298" s="205"/>
      <c r="AP298" s="205"/>
      <c r="AQ298" s="205"/>
      <c r="AR298" s="205"/>
      <c r="AS298" s="205"/>
      <c r="AT298" s="205"/>
      <c r="AU298" s="205"/>
      <c r="AV298" s="205"/>
      <c r="AW298" s="205"/>
      <c r="AX298" s="205"/>
      <c r="AY298" s="205"/>
      <c r="AZ298" s="205"/>
      <c r="BA298" s="205"/>
      <c r="BB298" s="205"/>
      <c r="BC298" s="205"/>
      <c r="BD298" s="205"/>
      <c r="BE298" s="205"/>
      <c r="BF298" s="205"/>
      <c r="BG298" s="205"/>
      <c r="BH298" s="205"/>
      <c r="BI298" s="205"/>
      <c r="BJ298" s="205"/>
      <c r="BK298" s="205"/>
      <c r="BL298" s="205"/>
      <c r="BM298" s="205"/>
      <c r="BN298" s="205"/>
      <c r="BO298" s="205"/>
      <c r="BP298" s="205"/>
      <c r="BQ298" s="205"/>
      <c r="BR298" s="205"/>
      <c r="BS298" s="205"/>
      <c r="BT298" s="205"/>
      <c r="BU298" s="205"/>
      <c r="BV298" s="205"/>
      <c r="BW298" s="205"/>
      <c r="BX298" s="205"/>
      <c r="BY298" s="205"/>
      <c r="BZ298" s="205"/>
      <c r="CA298" s="205"/>
      <c r="CB298" s="205"/>
      <c r="CC298" s="205"/>
      <c r="CD298" s="205"/>
      <c r="CE298" s="205"/>
      <c r="CF298" s="205"/>
      <c r="CG298" s="205"/>
      <c r="CH298" s="205"/>
      <c r="CI298" s="205"/>
      <c r="CJ298" s="205"/>
      <c r="CK298" s="205"/>
      <c r="CL298" s="205"/>
      <c r="CM298" s="205"/>
      <c r="CN298" s="205"/>
      <c r="CO298" s="205"/>
      <c r="CP298" s="205"/>
      <c r="CQ298" s="205"/>
      <c r="CR298" s="205"/>
      <c r="CS298" s="205"/>
      <c r="CT298" s="205"/>
      <c r="CU298" s="205"/>
      <c r="CV298" s="205"/>
      <c r="CW298" s="205"/>
      <c r="CX298" s="205"/>
      <c r="CY298" s="205"/>
      <c r="CZ298" s="205"/>
      <c r="DA298" s="205"/>
      <c r="DB298" s="205"/>
      <c r="DC298" s="205"/>
      <c r="DD298" s="205"/>
      <c r="DE298" s="205"/>
      <c r="DF298" s="205"/>
      <c r="DG298" s="205"/>
      <c r="DH298" s="205"/>
      <c r="DI298" s="205"/>
      <c r="DJ298" s="205"/>
      <c r="DK298" s="205"/>
      <c r="DL298" s="205"/>
      <c r="DM298" s="205"/>
      <c r="DN298" s="205"/>
      <c r="DO298" s="205"/>
      <c r="DP298" s="205"/>
      <c r="DQ298" s="205"/>
      <c r="DR298" s="205"/>
      <c r="DS298" s="205"/>
      <c r="DT298" s="205"/>
      <c r="DU298" s="205"/>
      <c r="DV298" s="205"/>
      <c r="DW298" s="205"/>
      <c r="DX298" s="205"/>
      <c r="DY298" s="205"/>
      <c r="DZ298" s="205"/>
      <c r="EA298" s="205"/>
      <c r="EB298" s="205"/>
      <c r="EC298" s="205"/>
      <c r="ED298" s="205"/>
      <c r="EE298" s="205"/>
      <c r="EF298" s="205"/>
      <c r="EG298" s="205"/>
      <c r="EH298" s="205"/>
      <c r="EI298" s="205"/>
      <c r="EJ298" s="205"/>
      <c r="EK298" s="205"/>
      <c r="EL298" s="205"/>
      <c r="EM298" s="205"/>
      <c r="EN298" s="205"/>
      <c r="EO298" s="205"/>
      <c r="EP298" s="205"/>
      <c r="EQ298" s="205"/>
      <c r="ER298" s="205"/>
      <c r="ES298" s="205"/>
      <c r="ET298" s="205"/>
      <c r="EU298" s="205"/>
      <c r="EV298" s="205"/>
      <c r="EW298" s="205"/>
      <c r="EX298" s="205"/>
      <c r="EY298" s="205"/>
      <c r="EZ298" s="205"/>
      <c r="FA298" s="205"/>
      <c r="FB298" s="205"/>
      <c r="FC298" s="205"/>
      <c r="FD298" s="205"/>
      <c r="FE298" s="205"/>
      <c r="FF298" s="205"/>
      <c r="FG298" s="205"/>
      <c r="FH298" s="205"/>
      <c r="FI298" s="205"/>
      <c r="FJ298" s="205"/>
      <c r="FK298" s="205"/>
      <c r="FL298" s="205"/>
      <c r="FM298" s="205"/>
      <c r="FN298" s="205"/>
      <c r="FO298" s="205"/>
      <c r="FP298" s="205"/>
      <c r="FQ298" s="205"/>
      <c r="FR298" s="205"/>
      <c r="FS298" s="205"/>
      <c r="FT298" s="205"/>
      <c r="FU298" s="205"/>
      <c r="FV298" s="205"/>
      <c r="FW298" s="205"/>
      <c r="FX298" s="205"/>
      <c r="FY298" s="205"/>
      <c r="FZ298" s="205"/>
      <c r="GA298" s="205"/>
      <c r="GB298" s="205"/>
      <c r="GC298" s="205"/>
      <c r="GD298" s="205"/>
      <c r="GE298" s="205"/>
      <c r="GF298" s="205"/>
      <c r="GG298" s="205"/>
      <c r="GH298" s="205"/>
      <c r="GI298" s="205"/>
      <c r="GJ298" s="205"/>
      <c r="GK298" s="205"/>
      <c r="GL298" s="205"/>
      <c r="GM298" s="205"/>
      <c r="GN298" s="205"/>
      <c r="GO298" s="205"/>
      <c r="GP298" s="205"/>
      <c r="GQ298" s="205"/>
      <c r="GR298" s="205"/>
      <c r="GS298" s="205"/>
      <c r="GT298" s="205"/>
      <c r="GU298" s="205"/>
      <c r="GV298" s="205"/>
      <c r="GW298" s="205"/>
      <c r="GX298" s="205"/>
      <c r="GY298" s="205"/>
      <c r="GZ298" s="205"/>
      <c r="HA298" s="205"/>
      <c r="HB298" s="205"/>
      <c r="HC298" s="205"/>
      <c r="HD298" s="205"/>
      <c r="HE298" s="205"/>
      <c r="HF298" s="205"/>
      <c r="HG298" s="205"/>
      <c r="HH298" s="205"/>
      <c r="HI298" s="205"/>
      <c r="HJ298" s="205"/>
      <c r="HK298" s="205"/>
      <c r="HL298" s="205"/>
      <c r="HM298" s="205"/>
      <c r="HN298" s="205"/>
      <c r="HO298" s="205"/>
      <c r="HP298" s="205"/>
      <c r="HQ298" s="205"/>
      <c r="HR298" s="205"/>
      <c r="HS298" s="205"/>
      <c r="HT298" s="205"/>
      <c r="HU298" s="205"/>
      <c r="HV298" s="205"/>
      <c r="HW298" s="205"/>
      <c r="HX298" s="205"/>
      <c r="HY298" s="205"/>
      <c r="HZ298" s="205"/>
      <c r="IA298" s="205"/>
      <c r="IB298" s="205"/>
      <c r="IC298" s="205"/>
      <c r="ID298" s="205"/>
      <c r="IE298" s="205"/>
      <c r="IF298" s="205"/>
      <c r="IG298" s="205"/>
      <c r="IH298" s="205"/>
      <c r="II298" s="205"/>
      <c r="IJ298" s="205"/>
      <c r="IK298" s="205"/>
      <c r="IL298" s="205"/>
      <c r="IM298" s="205"/>
      <c r="IN298" s="205"/>
      <c r="IO298" s="205"/>
      <c r="IP298" s="205"/>
      <c r="IQ298" s="205"/>
      <c r="IR298" s="205"/>
      <c r="IS298" s="205"/>
      <c r="IT298" s="205"/>
      <c r="IU298" s="205"/>
      <c r="IV298" s="205"/>
      <c r="IW298" s="205"/>
      <c r="IX298" s="205"/>
    </row>
    <row r="299" spans="1:258" s="203" customFormat="1" x14ac:dyDescent="0.2">
      <c r="A299" s="669"/>
      <c r="B299" s="670"/>
      <c r="C299" s="1390"/>
      <c r="D299" s="672"/>
      <c r="E299" s="1391"/>
      <c r="F299" s="1391"/>
      <c r="G299" s="1392"/>
      <c r="H299" s="1393">
        <v>1.75</v>
      </c>
      <c r="I299" s="1394" t="s">
        <v>424</v>
      </c>
      <c r="J299" s="1394">
        <f>1.75-0.15</f>
        <v>1.6</v>
      </c>
      <c r="K299" s="1394" t="s">
        <v>424</v>
      </c>
      <c r="L299" s="1394">
        <v>2</v>
      </c>
      <c r="M299" s="1394"/>
      <c r="N299" s="1394"/>
      <c r="O299" s="1394"/>
      <c r="P299" s="1394"/>
      <c r="Q299" s="1362" t="s">
        <v>696</v>
      </c>
      <c r="R299" s="1363">
        <f>H299*J299*L299</f>
        <v>5.6000000000000005</v>
      </c>
      <c r="S299" s="1396"/>
      <c r="T299" s="1397"/>
      <c r="U299" s="205"/>
      <c r="V299" s="685"/>
      <c r="W299" s="205"/>
      <c r="X299" s="205"/>
      <c r="Y299" s="205"/>
      <c r="Z299" s="205"/>
      <c r="AA299" s="205"/>
      <c r="AB299" s="205"/>
      <c r="AC299" s="205"/>
      <c r="AD299" s="205"/>
      <c r="AE299" s="205"/>
      <c r="AF299" s="205"/>
      <c r="AG299" s="205"/>
      <c r="AH299" s="205"/>
      <c r="AI299" s="205"/>
      <c r="AJ299" s="205"/>
      <c r="AK299" s="205"/>
      <c r="AL299" s="205"/>
      <c r="AM299" s="205"/>
      <c r="AN299" s="205"/>
      <c r="AO299" s="205"/>
      <c r="AP299" s="205"/>
      <c r="AQ299" s="205"/>
      <c r="AR299" s="205"/>
      <c r="AS299" s="205"/>
      <c r="AT299" s="205"/>
      <c r="AU299" s="205"/>
      <c r="AV299" s="205"/>
      <c r="AW299" s="205"/>
      <c r="AX299" s="205"/>
      <c r="AY299" s="205"/>
      <c r="AZ299" s="205"/>
      <c r="BA299" s="205"/>
      <c r="BB299" s="205"/>
      <c r="BC299" s="205"/>
      <c r="BD299" s="205"/>
      <c r="BE299" s="205"/>
      <c r="BF299" s="205"/>
      <c r="BG299" s="205"/>
      <c r="BH299" s="205"/>
      <c r="BI299" s="205"/>
      <c r="BJ299" s="205"/>
      <c r="BK299" s="205"/>
      <c r="BL299" s="205"/>
      <c r="BM299" s="205"/>
      <c r="BN299" s="205"/>
      <c r="BO299" s="205"/>
      <c r="BP299" s="205"/>
      <c r="BQ299" s="205"/>
      <c r="BR299" s="205"/>
      <c r="BS299" s="205"/>
      <c r="BT299" s="205"/>
      <c r="BU299" s="205"/>
      <c r="BV299" s="205"/>
      <c r="BW299" s="205"/>
      <c r="BX299" s="205"/>
      <c r="BY299" s="205"/>
      <c r="BZ299" s="205"/>
      <c r="CA299" s="205"/>
      <c r="CB299" s="205"/>
      <c r="CC299" s="205"/>
      <c r="CD299" s="205"/>
      <c r="CE299" s="205"/>
      <c r="CF299" s="205"/>
      <c r="CG299" s="205"/>
      <c r="CH299" s="205"/>
      <c r="CI299" s="205"/>
      <c r="CJ299" s="205"/>
      <c r="CK299" s="205"/>
      <c r="CL299" s="205"/>
      <c r="CM299" s="205"/>
      <c r="CN299" s="205"/>
      <c r="CO299" s="205"/>
      <c r="CP299" s="205"/>
      <c r="CQ299" s="205"/>
      <c r="CR299" s="205"/>
      <c r="CS299" s="205"/>
      <c r="CT299" s="205"/>
      <c r="CU299" s="205"/>
      <c r="CV299" s="205"/>
      <c r="CW299" s="205"/>
      <c r="CX299" s="205"/>
      <c r="CY299" s="205"/>
      <c r="CZ299" s="205"/>
      <c r="DA299" s="205"/>
      <c r="DB299" s="205"/>
      <c r="DC299" s="205"/>
      <c r="DD299" s="205"/>
      <c r="DE299" s="205"/>
      <c r="DF299" s="205"/>
      <c r="DG299" s="205"/>
      <c r="DH299" s="205"/>
      <c r="DI299" s="205"/>
      <c r="DJ299" s="205"/>
      <c r="DK299" s="205"/>
      <c r="DL299" s="205"/>
      <c r="DM299" s="205"/>
      <c r="DN299" s="205"/>
      <c r="DO299" s="205"/>
      <c r="DP299" s="205"/>
      <c r="DQ299" s="205"/>
      <c r="DR299" s="205"/>
      <c r="DS299" s="205"/>
      <c r="DT299" s="205"/>
      <c r="DU299" s="205"/>
      <c r="DV299" s="205"/>
      <c r="DW299" s="205"/>
      <c r="DX299" s="205"/>
      <c r="DY299" s="205"/>
      <c r="DZ299" s="205"/>
      <c r="EA299" s="205"/>
      <c r="EB299" s="205"/>
      <c r="EC299" s="205"/>
      <c r="ED299" s="205"/>
      <c r="EE299" s="205"/>
      <c r="EF299" s="205"/>
      <c r="EG299" s="205"/>
      <c r="EH299" s="205"/>
      <c r="EI299" s="205"/>
      <c r="EJ299" s="205"/>
      <c r="EK299" s="205"/>
      <c r="EL299" s="205"/>
      <c r="EM299" s="205"/>
      <c r="EN299" s="205"/>
      <c r="EO299" s="205"/>
      <c r="EP299" s="205"/>
      <c r="EQ299" s="205"/>
      <c r="ER299" s="205"/>
      <c r="ES299" s="205"/>
      <c r="ET299" s="205"/>
      <c r="EU299" s="205"/>
      <c r="EV299" s="205"/>
      <c r="EW299" s="205"/>
      <c r="EX299" s="205"/>
      <c r="EY299" s="205"/>
      <c r="EZ299" s="205"/>
      <c r="FA299" s="205"/>
      <c r="FB299" s="205"/>
      <c r="FC299" s="205"/>
      <c r="FD299" s="205"/>
      <c r="FE299" s="205"/>
      <c r="FF299" s="205"/>
      <c r="FG299" s="205"/>
      <c r="FH299" s="205"/>
      <c r="FI299" s="205"/>
      <c r="FJ299" s="205"/>
      <c r="FK299" s="205"/>
      <c r="FL299" s="205"/>
      <c r="FM299" s="205"/>
      <c r="FN299" s="205"/>
      <c r="FO299" s="205"/>
      <c r="FP299" s="205"/>
      <c r="FQ299" s="205"/>
      <c r="FR299" s="205"/>
      <c r="FS299" s="205"/>
      <c r="FT299" s="205"/>
      <c r="FU299" s="205"/>
      <c r="FV299" s="205"/>
      <c r="FW299" s="205"/>
      <c r="FX299" s="205"/>
      <c r="FY299" s="205"/>
      <c r="FZ299" s="205"/>
      <c r="GA299" s="205"/>
      <c r="GB299" s="205"/>
      <c r="GC299" s="205"/>
      <c r="GD299" s="205"/>
      <c r="GE299" s="205"/>
      <c r="GF299" s="205"/>
      <c r="GG299" s="205"/>
      <c r="GH299" s="205"/>
      <c r="GI299" s="205"/>
      <c r="GJ299" s="205"/>
      <c r="GK299" s="205"/>
      <c r="GL299" s="205"/>
      <c r="GM299" s="205"/>
      <c r="GN299" s="205"/>
      <c r="GO299" s="205"/>
      <c r="GP299" s="205"/>
      <c r="GQ299" s="205"/>
      <c r="GR299" s="205"/>
      <c r="GS299" s="205"/>
      <c r="GT299" s="205"/>
      <c r="GU299" s="205"/>
      <c r="GV299" s="205"/>
      <c r="GW299" s="205"/>
      <c r="GX299" s="205"/>
      <c r="GY299" s="205"/>
      <c r="GZ299" s="205"/>
      <c r="HA299" s="205"/>
      <c r="HB299" s="205"/>
      <c r="HC299" s="205"/>
      <c r="HD299" s="205"/>
      <c r="HE299" s="205"/>
      <c r="HF299" s="205"/>
      <c r="HG299" s="205"/>
      <c r="HH299" s="205"/>
      <c r="HI299" s="205"/>
      <c r="HJ299" s="205"/>
      <c r="HK299" s="205"/>
      <c r="HL299" s="205"/>
      <c r="HM299" s="205"/>
      <c r="HN299" s="205"/>
      <c r="HO299" s="205"/>
      <c r="HP299" s="205"/>
      <c r="HQ299" s="205"/>
      <c r="HR299" s="205"/>
      <c r="HS299" s="205"/>
      <c r="HT299" s="205"/>
      <c r="HU299" s="205"/>
      <c r="HV299" s="205"/>
      <c r="HW299" s="205"/>
      <c r="HX299" s="205"/>
      <c r="HY299" s="205"/>
      <c r="HZ299" s="205"/>
      <c r="IA299" s="205"/>
      <c r="IB299" s="205"/>
      <c r="IC299" s="205"/>
      <c r="ID299" s="205"/>
      <c r="IE299" s="205"/>
      <c r="IF299" s="205"/>
      <c r="IG299" s="205"/>
      <c r="IH299" s="205"/>
      <c r="II299" s="205"/>
      <c r="IJ299" s="205"/>
      <c r="IK299" s="205"/>
      <c r="IL299" s="205"/>
      <c r="IM299" s="205"/>
      <c r="IN299" s="205"/>
      <c r="IO299" s="205"/>
      <c r="IP299" s="205"/>
      <c r="IQ299" s="205"/>
      <c r="IR299" s="205"/>
      <c r="IS299" s="205"/>
      <c r="IT299" s="205"/>
      <c r="IU299" s="205"/>
      <c r="IV299" s="205"/>
      <c r="IW299" s="205"/>
      <c r="IX299" s="205"/>
    </row>
    <row r="300" spans="1:258" s="203" customFormat="1" x14ac:dyDescent="0.2">
      <c r="A300" s="669"/>
      <c r="B300" s="670"/>
      <c r="C300" s="1390"/>
      <c r="D300" s="672"/>
      <c r="E300" s="1391"/>
      <c r="F300" s="1391"/>
      <c r="G300" s="1392" t="s">
        <v>1722</v>
      </c>
      <c r="H300" s="1393">
        <f>4-0.15</f>
        <v>3.85</v>
      </c>
      <c r="I300" s="1394" t="s">
        <v>424</v>
      </c>
      <c r="J300" s="1394">
        <f>3.5-0.15</f>
        <v>3.35</v>
      </c>
      <c r="K300" s="1394" t="s">
        <v>424</v>
      </c>
      <c r="L300" s="1394">
        <v>5</v>
      </c>
      <c r="M300" s="1394"/>
      <c r="N300" s="1394"/>
      <c r="O300" s="1394"/>
      <c r="P300" s="1394"/>
      <c r="Q300" s="1362" t="s">
        <v>696</v>
      </c>
      <c r="R300" s="1363">
        <f>H300*J300*L300</f>
        <v>64.487500000000011</v>
      </c>
      <c r="S300" s="1396"/>
      <c r="T300" s="1397"/>
      <c r="U300" s="205"/>
      <c r="V300" s="685"/>
      <c r="W300" s="205"/>
      <c r="X300" s="205"/>
      <c r="Y300" s="205"/>
      <c r="Z300" s="205"/>
      <c r="AA300" s="205"/>
      <c r="AB300" s="205"/>
      <c r="AC300" s="205"/>
      <c r="AD300" s="205"/>
      <c r="AE300" s="205"/>
      <c r="AF300" s="205"/>
      <c r="AG300" s="205"/>
      <c r="AH300" s="205"/>
      <c r="AI300" s="205"/>
      <c r="AJ300" s="205"/>
      <c r="AK300" s="205"/>
      <c r="AL300" s="205"/>
      <c r="AM300" s="205"/>
      <c r="AN300" s="205"/>
      <c r="AO300" s="205"/>
      <c r="AP300" s="205"/>
      <c r="AQ300" s="205"/>
      <c r="AR300" s="205"/>
      <c r="AS300" s="205"/>
      <c r="AT300" s="205"/>
      <c r="AU300" s="205"/>
      <c r="AV300" s="205"/>
      <c r="AW300" s="205"/>
      <c r="AX300" s="205"/>
      <c r="AY300" s="205"/>
      <c r="AZ300" s="205"/>
      <c r="BA300" s="205"/>
      <c r="BB300" s="205"/>
      <c r="BC300" s="205"/>
      <c r="BD300" s="205"/>
      <c r="BE300" s="205"/>
      <c r="BF300" s="205"/>
      <c r="BG300" s="205"/>
      <c r="BH300" s="205"/>
      <c r="BI300" s="205"/>
      <c r="BJ300" s="205"/>
      <c r="BK300" s="205"/>
      <c r="BL300" s="205"/>
      <c r="BM300" s="205"/>
      <c r="BN300" s="205"/>
      <c r="BO300" s="205"/>
      <c r="BP300" s="205"/>
      <c r="BQ300" s="205"/>
      <c r="BR300" s="205"/>
      <c r="BS300" s="205"/>
      <c r="BT300" s="205"/>
      <c r="BU300" s="205"/>
      <c r="BV300" s="205"/>
      <c r="BW300" s="205"/>
      <c r="BX300" s="205"/>
      <c r="BY300" s="205"/>
      <c r="BZ300" s="205"/>
      <c r="CA300" s="205"/>
      <c r="CB300" s="205"/>
      <c r="CC300" s="205"/>
      <c r="CD300" s="205"/>
      <c r="CE300" s="205"/>
      <c r="CF300" s="205"/>
      <c r="CG300" s="205"/>
      <c r="CH300" s="205"/>
      <c r="CI300" s="205"/>
      <c r="CJ300" s="205"/>
      <c r="CK300" s="205"/>
      <c r="CL300" s="205"/>
      <c r="CM300" s="205"/>
      <c r="CN300" s="205"/>
      <c r="CO300" s="205"/>
      <c r="CP300" s="205"/>
      <c r="CQ300" s="205"/>
      <c r="CR300" s="205"/>
      <c r="CS300" s="205"/>
      <c r="CT300" s="205"/>
      <c r="CU300" s="205"/>
      <c r="CV300" s="205"/>
      <c r="CW300" s="205"/>
      <c r="CX300" s="205"/>
      <c r="CY300" s="205"/>
      <c r="CZ300" s="205"/>
      <c r="DA300" s="205"/>
      <c r="DB300" s="205"/>
      <c r="DC300" s="205"/>
      <c r="DD300" s="205"/>
      <c r="DE300" s="205"/>
      <c r="DF300" s="205"/>
      <c r="DG300" s="205"/>
      <c r="DH300" s="205"/>
      <c r="DI300" s="205"/>
      <c r="DJ300" s="205"/>
      <c r="DK300" s="205"/>
      <c r="DL300" s="205"/>
      <c r="DM300" s="205"/>
      <c r="DN300" s="205"/>
      <c r="DO300" s="205"/>
      <c r="DP300" s="205"/>
      <c r="DQ300" s="205"/>
      <c r="DR300" s="205"/>
      <c r="DS300" s="205"/>
      <c r="DT300" s="205"/>
      <c r="DU300" s="205"/>
      <c r="DV300" s="205"/>
      <c r="DW300" s="205"/>
      <c r="DX300" s="205"/>
      <c r="DY300" s="205"/>
      <c r="DZ300" s="205"/>
      <c r="EA300" s="205"/>
      <c r="EB300" s="205"/>
      <c r="EC300" s="205"/>
      <c r="ED300" s="205"/>
      <c r="EE300" s="205"/>
      <c r="EF300" s="205"/>
      <c r="EG300" s="205"/>
      <c r="EH300" s="205"/>
      <c r="EI300" s="205"/>
      <c r="EJ300" s="205"/>
      <c r="EK300" s="205"/>
      <c r="EL300" s="205"/>
      <c r="EM300" s="205"/>
      <c r="EN300" s="205"/>
      <c r="EO300" s="205"/>
      <c r="EP300" s="205"/>
      <c r="EQ300" s="205"/>
      <c r="ER300" s="205"/>
      <c r="ES300" s="205"/>
      <c r="ET300" s="205"/>
      <c r="EU300" s="205"/>
      <c r="EV300" s="205"/>
      <c r="EW300" s="205"/>
      <c r="EX300" s="205"/>
      <c r="EY300" s="205"/>
      <c r="EZ300" s="205"/>
      <c r="FA300" s="205"/>
      <c r="FB300" s="205"/>
      <c r="FC300" s="205"/>
      <c r="FD300" s="205"/>
      <c r="FE300" s="205"/>
      <c r="FF300" s="205"/>
      <c r="FG300" s="205"/>
      <c r="FH300" s="205"/>
      <c r="FI300" s="205"/>
      <c r="FJ300" s="205"/>
      <c r="FK300" s="205"/>
      <c r="FL300" s="205"/>
      <c r="FM300" s="205"/>
      <c r="FN300" s="205"/>
      <c r="FO300" s="205"/>
      <c r="FP300" s="205"/>
      <c r="FQ300" s="205"/>
      <c r="FR300" s="205"/>
      <c r="FS300" s="205"/>
      <c r="FT300" s="205"/>
      <c r="FU300" s="205"/>
      <c r="FV300" s="205"/>
      <c r="FW300" s="205"/>
      <c r="FX300" s="205"/>
      <c r="FY300" s="205"/>
      <c r="FZ300" s="205"/>
      <c r="GA300" s="205"/>
      <c r="GB300" s="205"/>
      <c r="GC300" s="205"/>
      <c r="GD300" s="205"/>
      <c r="GE300" s="205"/>
      <c r="GF300" s="205"/>
      <c r="GG300" s="205"/>
      <c r="GH300" s="205"/>
      <c r="GI300" s="205"/>
      <c r="GJ300" s="205"/>
      <c r="GK300" s="205"/>
      <c r="GL300" s="205"/>
      <c r="GM300" s="205"/>
      <c r="GN300" s="205"/>
      <c r="GO300" s="205"/>
      <c r="GP300" s="205"/>
      <c r="GQ300" s="205"/>
      <c r="GR300" s="205"/>
      <c r="GS300" s="205"/>
      <c r="GT300" s="205"/>
      <c r="GU300" s="205"/>
      <c r="GV300" s="205"/>
      <c r="GW300" s="205"/>
      <c r="GX300" s="205"/>
      <c r="GY300" s="205"/>
      <c r="GZ300" s="205"/>
      <c r="HA300" s="205"/>
      <c r="HB300" s="205"/>
      <c r="HC300" s="205"/>
      <c r="HD300" s="205"/>
      <c r="HE300" s="205"/>
      <c r="HF300" s="205"/>
      <c r="HG300" s="205"/>
      <c r="HH300" s="205"/>
      <c r="HI300" s="205"/>
      <c r="HJ300" s="205"/>
      <c r="HK300" s="205"/>
      <c r="HL300" s="205"/>
      <c r="HM300" s="205"/>
      <c r="HN300" s="205"/>
      <c r="HO300" s="205"/>
      <c r="HP300" s="205"/>
      <c r="HQ300" s="205"/>
      <c r="HR300" s="205"/>
      <c r="HS300" s="205"/>
      <c r="HT300" s="205"/>
      <c r="HU300" s="205"/>
      <c r="HV300" s="205"/>
      <c r="HW300" s="205"/>
      <c r="HX300" s="205"/>
      <c r="HY300" s="205"/>
      <c r="HZ300" s="205"/>
      <c r="IA300" s="205"/>
      <c r="IB300" s="205"/>
      <c r="IC300" s="205"/>
      <c r="ID300" s="205"/>
      <c r="IE300" s="205"/>
      <c r="IF300" s="205"/>
      <c r="IG300" s="205"/>
      <c r="IH300" s="205"/>
      <c r="II300" s="205"/>
      <c r="IJ300" s="205"/>
      <c r="IK300" s="205"/>
      <c r="IL300" s="205"/>
      <c r="IM300" s="205"/>
      <c r="IN300" s="205"/>
      <c r="IO300" s="205"/>
      <c r="IP300" s="205"/>
      <c r="IQ300" s="205"/>
      <c r="IR300" s="205"/>
      <c r="IS300" s="205"/>
      <c r="IT300" s="205"/>
      <c r="IU300" s="205"/>
      <c r="IV300" s="205"/>
      <c r="IW300" s="205"/>
      <c r="IX300" s="205"/>
    </row>
    <row r="301" spans="1:258" s="203" customFormat="1" x14ac:dyDescent="0.2">
      <c r="A301" s="669"/>
      <c r="B301" s="670"/>
      <c r="C301" s="1390"/>
      <c r="D301" s="672"/>
      <c r="E301" s="1391"/>
      <c r="F301" s="1391"/>
      <c r="G301" s="1392"/>
      <c r="H301" s="1393">
        <v>1.7</v>
      </c>
      <c r="I301" s="1394" t="s">
        <v>424</v>
      </c>
      <c r="J301" s="1394">
        <f>2.5-0.15</f>
        <v>2.35</v>
      </c>
      <c r="K301" s="1394" t="s">
        <v>424</v>
      </c>
      <c r="L301" s="1394">
        <f>L300</f>
        <v>5</v>
      </c>
      <c r="M301" s="1394"/>
      <c r="N301" s="1394"/>
      <c r="O301" s="1394"/>
      <c r="P301" s="1394"/>
      <c r="Q301" s="1362" t="s">
        <v>696</v>
      </c>
      <c r="R301" s="1363">
        <f>H301*J301*L301</f>
        <v>19.975000000000001</v>
      </c>
      <c r="S301" s="1396"/>
      <c r="T301" s="1397"/>
      <c r="U301" s="205"/>
      <c r="V301" s="685"/>
      <c r="W301" s="205"/>
      <c r="X301" s="205"/>
      <c r="Y301" s="205"/>
      <c r="Z301" s="205"/>
      <c r="AA301" s="205"/>
      <c r="AB301" s="205"/>
      <c r="AC301" s="205"/>
      <c r="AD301" s="205"/>
      <c r="AE301" s="205"/>
      <c r="AF301" s="205"/>
      <c r="AG301" s="205"/>
      <c r="AH301" s="205"/>
      <c r="AI301" s="205"/>
      <c r="AJ301" s="205"/>
      <c r="AK301" s="205"/>
      <c r="AL301" s="205"/>
      <c r="AM301" s="205"/>
      <c r="AN301" s="205"/>
      <c r="AO301" s="205"/>
      <c r="AP301" s="205"/>
      <c r="AQ301" s="205"/>
      <c r="AR301" s="205"/>
      <c r="AS301" s="205"/>
      <c r="AT301" s="205"/>
      <c r="AU301" s="205"/>
      <c r="AV301" s="205"/>
      <c r="AW301" s="205"/>
      <c r="AX301" s="205"/>
      <c r="AY301" s="205"/>
      <c r="AZ301" s="205"/>
      <c r="BA301" s="205"/>
      <c r="BB301" s="205"/>
      <c r="BC301" s="205"/>
      <c r="BD301" s="205"/>
      <c r="BE301" s="205"/>
      <c r="BF301" s="205"/>
      <c r="BG301" s="205"/>
      <c r="BH301" s="205"/>
      <c r="BI301" s="205"/>
      <c r="BJ301" s="205"/>
      <c r="BK301" s="205"/>
      <c r="BL301" s="205"/>
      <c r="BM301" s="205"/>
      <c r="BN301" s="205"/>
      <c r="BO301" s="205"/>
      <c r="BP301" s="205"/>
      <c r="BQ301" s="205"/>
      <c r="BR301" s="205"/>
      <c r="BS301" s="205"/>
      <c r="BT301" s="205"/>
      <c r="BU301" s="205"/>
      <c r="BV301" s="205"/>
      <c r="BW301" s="205"/>
      <c r="BX301" s="205"/>
      <c r="BY301" s="205"/>
      <c r="BZ301" s="205"/>
      <c r="CA301" s="205"/>
      <c r="CB301" s="205"/>
      <c r="CC301" s="205"/>
      <c r="CD301" s="205"/>
      <c r="CE301" s="205"/>
      <c r="CF301" s="205"/>
      <c r="CG301" s="205"/>
      <c r="CH301" s="205"/>
      <c r="CI301" s="205"/>
      <c r="CJ301" s="205"/>
      <c r="CK301" s="205"/>
      <c r="CL301" s="205"/>
      <c r="CM301" s="205"/>
      <c r="CN301" s="205"/>
      <c r="CO301" s="205"/>
      <c r="CP301" s="205"/>
      <c r="CQ301" s="205"/>
      <c r="CR301" s="205"/>
      <c r="CS301" s="205"/>
      <c r="CT301" s="205"/>
      <c r="CU301" s="205"/>
      <c r="CV301" s="205"/>
      <c r="CW301" s="205"/>
      <c r="CX301" s="205"/>
      <c r="CY301" s="205"/>
      <c r="CZ301" s="205"/>
      <c r="DA301" s="205"/>
      <c r="DB301" s="205"/>
      <c r="DC301" s="205"/>
      <c r="DD301" s="205"/>
      <c r="DE301" s="205"/>
      <c r="DF301" s="205"/>
      <c r="DG301" s="205"/>
      <c r="DH301" s="205"/>
      <c r="DI301" s="205"/>
      <c r="DJ301" s="205"/>
      <c r="DK301" s="205"/>
      <c r="DL301" s="205"/>
      <c r="DM301" s="205"/>
      <c r="DN301" s="205"/>
      <c r="DO301" s="205"/>
      <c r="DP301" s="205"/>
      <c r="DQ301" s="205"/>
      <c r="DR301" s="205"/>
      <c r="DS301" s="205"/>
      <c r="DT301" s="205"/>
      <c r="DU301" s="205"/>
      <c r="DV301" s="205"/>
      <c r="DW301" s="205"/>
      <c r="DX301" s="205"/>
      <c r="DY301" s="205"/>
      <c r="DZ301" s="205"/>
      <c r="EA301" s="205"/>
      <c r="EB301" s="205"/>
      <c r="EC301" s="205"/>
      <c r="ED301" s="205"/>
      <c r="EE301" s="205"/>
      <c r="EF301" s="205"/>
      <c r="EG301" s="205"/>
      <c r="EH301" s="205"/>
      <c r="EI301" s="205"/>
      <c r="EJ301" s="205"/>
      <c r="EK301" s="205"/>
      <c r="EL301" s="205"/>
      <c r="EM301" s="205"/>
      <c r="EN301" s="205"/>
      <c r="EO301" s="205"/>
      <c r="EP301" s="205"/>
      <c r="EQ301" s="205"/>
      <c r="ER301" s="205"/>
      <c r="ES301" s="205"/>
      <c r="ET301" s="205"/>
      <c r="EU301" s="205"/>
      <c r="EV301" s="205"/>
      <c r="EW301" s="205"/>
      <c r="EX301" s="205"/>
      <c r="EY301" s="205"/>
      <c r="EZ301" s="205"/>
      <c r="FA301" s="205"/>
      <c r="FB301" s="205"/>
      <c r="FC301" s="205"/>
      <c r="FD301" s="205"/>
      <c r="FE301" s="205"/>
      <c r="FF301" s="205"/>
      <c r="FG301" s="205"/>
      <c r="FH301" s="205"/>
      <c r="FI301" s="205"/>
      <c r="FJ301" s="205"/>
      <c r="FK301" s="205"/>
      <c r="FL301" s="205"/>
      <c r="FM301" s="205"/>
      <c r="FN301" s="205"/>
      <c r="FO301" s="205"/>
      <c r="FP301" s="205"/>
      <c r="FQ301" s="205"/>
      <c r="FR301" s="205"/>
      <c r="FS301" s="205"/>
      <c r="FT301" s="205"/>
      <c r="FU301" s="205"/>
      <c r="FV301" s="205"/>
      <c r="FW301" s="205"/>
      <c r="FX301" s="205"/>
      <c r="FY301" s="205"/>
      <c r="FZ301" s="205"/>
      <c r="GA301" s="205"/>
      <c r="GB301" s="205"/>
      <c r="GC301" s="205"/>
      <c r="GD301" s="205"/>
      <c r="GE301" s="205"/>
      <c r="GF301" s="205"/>
      <c r="GG301" s="205"/>
      <c r="GH301" s="205"/>
      <c r="GI301" s="205"/>
      <c r="GJ301" s="205"/>
      <c r="GK301" s="205"/>
      <c r="GL301" s="205"/>
      <c r="GM301" s="205"/>
      <c r="GN301" s="205"/>
      <c r="GO301" s="205"/>
      <c r="GP301" s="205"/>
      <c r="GQ301" s="205"/>
      <c r="GR301" s="205"/>
      <c r="GS301" s="205"/>
      <c r="GT301" s="205"/>
      <c r="GU301" s="205"/>
      <c r="GV301" s="205"/>
      <c r="GW301" s="205"/>
      <c r="GX301" s="205"/>
      <c r="GY301" s="205"/>
      <c r="GZ301" s="205"/>
      <c r="HA301" s="205"/>
      <c r="HB301" s="205"/>
      <c r="HC301" s="205"/>
      <c r="HD301" s="205"/>
      <c r="HE301" s="205"/>
      <c r="HF301" s="205"/>
      <c r="HG301" s="205"/>
      <c r="HH301" s="205"/>
      <c r="HI301" s="205"/>
      <c r="HJ301" s="205"/>
      <c r="HK301" s="205"/>
      <c r="HL301" s="205"/>
      <c r="HM301" s="205"/>
      <c r="HN301" s="205"/>
      <c r="HO301" s="205"/>
      <c r="HP301" s="205"/>
      <c r="HQ301" s="205"/>
      <c r="HR301" s="205"/>
      <c r="HS301" s="205"/>
      <c r="HT301" s="205"/>
      <c r="HU301" s="205"/>
      <c r="HV301" s="205"/>
      <c r="HW301" s="205"/>
      <c r="HX301" s="205"/>
      <c r="HY301" s="205"/>
      <c r="HZ301" s="205"/>
      <c r="IA301" s="205"/>
      <c r="IB301" s="205"/>
      <c r="IC301" s="205"/>
      <c r="ID301" s="205"/>
      <c r="IE301" s="205"/>
      <c r="IF301" s="205"/>
      <c r="IG301" s="205"/>
      <c r="IH301" s="205"/>
      <c r="II301" s="205"/>
      <c r="IJ301" s="205"/>
      <c r="IK301" s="205"/>
      <c r="IL301" s="205"/>
      <c r="IM301" s="205"/>
      <c r="IN301" s="205"/>
      <c r="IO301" s="205"/>
      <c r="IP301" s="205"/>
      <c r="IQ301" s="205"/>
      <c r="IR301" s="205"/>
      <c r="IS301" s="205"/>
      <c r="IT301" s="205"/>
      <c r="IU301" s="205"/>
      <c r="IV301" s="205"/>
      <c r="IW301" s="205"/>
      <c r="IX301" s="205"/>
    </row>
    <row r="302" spans="1:258" s="203" customFormat="1" x14ac:dyDescent="0.2">
      <c r="A302" s="669"/>
      <c r="B302" s="670"/>
      <c r="C302" s="1390"/>
      <c r="D302" s="672"/>
      <c r="E302" s="1391"/>
      <c r="F302" s="1391"/>
      <c r="G302" s="1392" t="s">
        <v>1723</v>
      </c>
      <c r="H302" s="1393">
        <v>22</v>
      </c>
      <c r="I302" s="1394" t="s">
        <v>424</v>
      </c>
      <c r="J302" s="1394">
        <v>2</v>
      </c>
      <c r="K302" s="1394"/>
      <c r="L302" s="1394"/>
      <c r="M302" s="1394"/>
      <c r="N302" s="1394"/>
      <c r="O302" s="1394"/>
      <c r="P302" s="1394"/>
      <c r="Q302" s="1394" t="s">
        <v>696</v>
      </c>
      <c r="R302" s="1363">
        <f>H302*J302</f>
        <v>44</v>
      </c>
      <c r="S302" s="1396"/>
      <c r="T302" s="1397"/>
      <c r="U302" s="205"/>
      <c r="V302" s="685"/>
      <c r="W302" s="205"/>
      <c r="X302" s="205"/>
      <c r="Y302" s="205"/>
      <c r="Z302" s="205"/>
      <c r="AA302" s="205"/>
      <c r="AB302" s="205"/>
      <c r="AC302" s="205"/>
      <c r="AD302" s="205"/>
      <c r="AE302" s="205"/>
      <c r="AF302" s="205"/>
      <c r="AG302" s="205"/>
      <c r="AH302" s="205"/>
      <c r="AI302" s="205"/>
      <c r="AJ302" s="205"/>
      <c r="AK302" s="205"/>
      <c r="AL302" s="205"/>
      <c r="AM302" s="205"/>
      <c r="AN302" s="205"/>
      <c r="AO302" s="205"/>
      <c r="AP302" s="205"/>
      <c r="AQ302" s="205"/>
      <c r="AR302" s="205"/>
      <c r="AS302" s="205"/>
      <c r="AT302" s="205"/>
      <c r="AU302" s="205"/>
      <c r="AV302" s="205"/>
      <c r="AW302" s="205"/>
      <c r="AX302" s="205"/>
      <c r="AY302" s="205"/>
      <c r="AZ302" s="205"/>
      <c r="BA302" s="205"/>
      <c r="BB302" s="205"/>
      <c r="BC302" s="205"/>
      <c r="BD302" s="205"/>
      <c r="BE302" s="205"/>
      <c r="BF302" s="205"/>
      <c r="BG302" s="205"/>
      <c r="BH302" s="205"/>
      <c r="BI302" s="205"/>
      <c r="BJ302" s="205"/>
      <c r="BK302" s="205"/>
      <c r="BL302" s="205"/>
      <c r="BM302" s="205"/>
      <c r="BN302" s="205"/>
      <c r="BO302" s="205"/>
      <c r="BP302" s="205"/>
      <c r="BQ302" s="205"/>
      <c r="BR302" s="205"/>
      <c r="BS302" s="205"/>
      <c r="BT302" s="205"/>
      <c r="BU302" s="205"/>
      <c r="BV302" s="205"/>
      <c r="BW302" s="205"/>
      <c r="BX302" s="205"/>
      <c r="BY302" s="205"/>
      <c r="BZ302" s="205"/>
      <c r="CA302" s="205"/>
      <c r="CB302" s="205"/>
      <c r="CC302" s="205"/>
      <c r="CD302" s="205"/>
      <c r="CE302" s="205"/>
      <c r="CF302" s="205"/>
      <c r="CG302" s="205"/>
      <c r="CH302" s="205"/>
      <c r="CI302" s="205"/>
      <c r="CJ302" s="205"/>
      <c r="CK302" s="205"/>
      <c r="CL302" s="205"/>
      <c r="CM302" s="205"/>
      <c r="CN302" s="205"/>
      <c r="CO302" s="205"/>
      <c r="CP302" s="205"/>
      <c r="CQ302" s="205"/>
      <c r="CR302" s="205"/>
      <c r="CS302" s="205"/>
      <c r="CT302" s="205"/>
      <c r="CU302" s="205"/>
      <c r="CV302" s="205"/>
      <c r="CW302" s="205"/>
      <c r="CX302" s="205"/>
      <c r="CY302" s="205"/>
      <c r="CZ302" s="205"/>
      <c r="DA302" s="205"/>
      <c r="DB302" s="205"/>
      <c r="DC302" s="205"/>
      <c r="DD302" s="205"/>
      <c r="DE302" s="205"/>
      <c r="DF302" s="205"/>
      <c r="DG302" s="205"/>
      <c r="DH302" s="205"/>
      <c r="DI302" s="205"/>
      <c r="DJ302" s="205"/>
      <c r="DK302" s="205"/>
      <c r="DL302" s="205"/>
      <c r="DM302" s="205"/>
      <c r="DN302" s="205"/>
      <c r="DO302" s="205"/>
      <c r="DP302" s="205"/>
      <c r="DQ302" s="205"/>
      <c r="DR302" s="205"/>
      <c r="DS302" s="205"/>
      <c r="DT302" s="205"/>
      <c r="DU302" s="205"/>
      <c r="DV302" s="205"/>
      <c r="DW302" s="205"/>
      <c r="DX302" s="205"/>
      <c r="DY302" s="205"/>
      <c r="DZ302" s="205"/>
      <c r="EA302" s="205"/>
      <c r="EB302" s="205"/>
      <c r="EC302" s="205"/>
      <c r="ED302" s="205"/>
      <c r="EE302" s="205"/>
      <c r="EF302" s="205"/>
      <c r="EG302" s="205"/>
      <c r="EH302" s="205"/>
      <c r="EI302" s="205"/>
      <c r="EJ302" s="205"/>
      <c r="EK302" s="205"/>
      <c r="EL302" s="205"/>
      <c r="EM302" s="205"/>
      <c r="EN302" s="205"/>
      <c r="EO302" s="205"/>
      <c r="EP302" s="205"/>
      <c r="EQ302" s="205"/>
      <c r="ER302" s="205"/>
      <c r="ES302" s="205"/>
      <c r="ET302" s="205"/>
      <c r="EU302" s="205"/>
      <c r="EV302" s="205"/>
      <c r="EW302" s="205"/>
      <c r="EX302" s="205"/>
      <c r="EY302" s="205"/>
      <c r="EZ302" s="205"/>
      <c r="FA302" s="205"/>
      <c r="FB302" s="205"/>
      <c r="FC302" s="205"/>
      <c r="FD302" s="205"/>
      <c r="FE302" s="205"/>
      <c r="FF302" s="205"/>
      <c r="FG302" s="205"/>
      <c r="FH302" s="205"/>
      <c r="FI302" s="205"/>
      <c r="FJ302" s="205"/>
      <c r="FK302" s="205"/>
      <c r="FL302" s="205"/>
      <c r="FM302" s="205"/>
      <c r="FN302" s="205"/>
      <c r="FO302" s="205"/>
      <c r="FP302" s="205"/>
      <c r="FQ302" s="205"/>
      <c r="FR302" s="205"/>
      <c r="FS302" s="205"/>
      <c r="FT302" s="205"/>
      <c r="FU302" s="205"/>
      <c r="FV302" s="205"/>
      <c r="FW302" s="205"/>
      <c r="FX302" s="205"/>
      <c r="FY302" s="205"/>
      <c r="FZ302" s="205"/>
      <c r="GA302" s="205"/>
      <c r="GB302" s="205"/>
      <c r="GC302" s="205"/>
      <c r="GD302" s="205"/>
      <c r="GE302" s="205"/>
      <c r="GF302" s="205"/>
      <c r="GG302" s="205"/>
      <c r="GH302" s="205"/>
      <c r="GI302" s="205"/>
      <c r="GJ302" s="205"/>
      <c r="GK302" s="205"/>
      <c r="GL302" s="205"/>
      <c r="GM302" s="205"/>
      <c r="GN302" s="205"/>
      <c r="GO302" s="205"/>
      <c r="GP302" s="205"/>
      <c r="GQ302" s="205"/>
      <c r="GR302" s="205"/>
      <c r="GS302" s="205"/>
      <c r="GT302" s="205"/>
      <c r="GU302" s="205"/>
      <c r="GV302" s="205"/>
      <c r="GW302" s="205"/>
      <c r="GX302" s="205"/>
      <c r="GY302" s="205"/>
      <c r="GZ302" s="205"/>
      <c r="HA302" s="205"/>
      <c r="HB302" s="205"/>
      <c r="HC302" s="205"/>
      <c r="HD302" s="205"/>
      <c r="HE302" s="205"/>
      <c r="HF302" s="205"/>
      <c r="HG302" s="205"/>
      <c r="HH302" s="205"/>
      <c r="HI302" s="205"/>
      <c r="HJ302" s="205"/>
      <c r="HK302" s="205"/>
      <c r="HL302" s="205"/>
      <c r="HM302" s="205"/>
      <c r="HN302" s="205"/>
      <c r="HO302" s="205"/>
      <c r="HP302" s="205"/>
      <c r="HQ302" s="205"/>
      <c r="HR302" s="205"/>
      <c r="HS302" s="205"/>
      <c r="HT302" s="205"/>
      <c r="HU302" s="205"/>
      <c r="HV302" s="205"/>
      <c r="HW302" s="205"/>
      <c r="HX302" s="205"/>
      <c r="HY302" s="205"/>
      <c r="HZ302" s="205"/>
      <c r="IA302" s="205"/>
      <c r="IB302" s="205"/>
      <c r="IC302" s="205"/>
      <c r="ID302" s="205"/>
      <c r="IE302" s="205"/>
      <c r="IF302" s="205"/>
      <c r="IG302" s="205"/>
      <c r="IH302" s="205"/>
      <c r="II302" s="205"/>
      <c r="IJ302" s="205"/>
      <c r="IK302" s="205"/>
      <c r="IL302" s="205"/>
      <c r="IM302" s="205"/>
      <c r="IN302" s="205"/>
      <c r="IO302" s="205"/>
      <c r="IP302" s="205"/>
      <c r="IQ302" s="205"/>
      <c r="IR302" s="205"/>
      <c r="IS302" s="205"/>
      <c r="IT302" s="205"/>
      <c r="IU302" s="205"/>
      <c r="IV302" s="205"/>
      <c r="IW302" s="205"/>
      <c r="IX302" s="205"/>
    </row>
    <row r="303" spans="1:258" s="203" customFormat="1" x14ac:dyDescent="0.2">
      <c r="A303" s="669"/>
      <c r="B303" s="670"/>
      <c r="C303" s="1390"/>
      <c r="D303" s="672"/>
      <c r="E303" s="1391"/>
      <c r="F303" s="1391"/>
      <c r="G303" s="1392"/>
      <c r="H303" s="1393">
        <f>5</f>
        <v>5</v>
      </c>
      <c r="I303" s="1394" t="s">
        <v>424</v>
      </c>
      <c r="J303" s="1394">
        <f>2-0.15</f>
        <v>1.85</v>
      </c>
      <c r="K303" s="1394"/>
      <c r="L303" s="1394"/>
      <c r="M303" s="1394"/>
      <c r="N303" s="1394"/>
      <c r="O303" s="1394"/>
      <c r="P303" s="1394"/>
      <c r="Q303" s="1394" t="s">
        <v>696</v>
      </c>
      <c r="R303" s="1363">
        <f>H303*J303</f>
        <v>9.25</v>
      </c>
      <c r="S303" s="1396"/>
      <c r="T303" s="1397"/>
      <c r="U303" s="205"/>
      <c r="V303" s="685"/>
      <c r="W303" s="205"/>
      <c r="X303" s="205"/>
      <c r="Y303" s="205"/>
      <c r="Z303" s="205"/>
      <c r="AA303" s="205"/>
      <c r="AB303" s="205"/>
      <c r="AC303" s="205"/>
      <c r="AD303" s="205"/>
      <c r="AE303" s="205"/>
      <c r="AF303" s="205"/>
      <c r="AG303" s="205"/>
      <c r="AH303" s="205"/>
      <c r="AI303" s="205"/>
      <c r="AJ303" s="205"/>
      <c r="AK303" s="205"/>
      <c r="AL303" s="205"/>
      <c r="AM303" s="205"/>
      <c r="AN303" s="205"/>
      <c r="AO303" s="205"/>
      <c r="AP303" s="205"/>
      <c r="AQ303" s="205"/>
      <c r="AR303" s="205"/>
      <c r="AS303" s="205"/>
      <c r="AT303" s="205"/>
      <c r="AU303" s="205"/>
      <c r="AV303" s="205"/>
      <c r="AW303" s="205"/>
      <c r="AX303" s="205"/>
      <c r="AY303" s="205"/>
      <c r="AZ303" s="205"/>
      <c r="BA303" s="205"/>
      <c r="BB303" s="205"/>
      <c r="BC303" s="205"/>
      <c r="BD303" s="205"/>
      <c r="BE303" s="205"/>
      <c r="BF303" s="205"/>
      <c r="BG303" s="205"/>
      <c r="BH303" s="205"/>
      <c r="BI303" s="205"/>
      <c r="BJ303" s="205"/>
      <c r="BK303" s="205"/>
      <c r="BL303" s="205"/>
      <c r="BM303" s="205"/>
      <c r="BN303" s="205"/>
      <c r="BO303" s="205"/>
      <c r="BP303" s="205"/>
      <c r="BQ303" s="205"/>
      <c r="BR303" s="205"/>
      <c r="BS303" s="205"/>
      <c r="BT303" s="205"/>
      <c r="BU303" s="205"/>
      <c r="BV303" s="205"/>
      <c r="BW303" s="205"/>
      <c r="BX303" s="205"/>
      <c r="BY303" s="205"/>
      <c r="BZ303" s="205"/>
      <c r="CA303" s="205"/>
      <c r="CB303" s="205"/>
      <c r="CC303" s="205"/>
      <c r="CD303" s="205"/>
      <c r="CE303" s="205"/>
      <c r="CF303" s="205"/>
      <c r="CG303" s="205"/>
      <c r="CH303" s="205"/>
      <c r="CI303" s="205"/>
      <c r="CJ303" s="205"/>
      <c r="CK303" s="205"/>
      <c r="CL303" s="205"/>
      <c r="CM303" s="205"/>
      <c r="CN303" s="205"/>
      <c r="CO303" s="205"/>
      <c r="CP303" s="205"/>
      <c r="CQ303" s="205"/>
      <c r="CR303" s="205"/>
      <c r="CS303" s="205"/>
      <c r="CT303" s="205"/>
      <c r="CU303" s="205"/>
      <c r="CV303" s="205"/>
      <c r="CW303" s="205"/>
      <c r="CX303" s="205"/>
      <c r="CY303" s="205"/>
      <c r="CZ303" s="205"/>
      <c r="DA303" s="205"/>
      <c r="DB303" s="205"/>
      <c r="DC303" s="205"/>
      <c r="DD303" s="205"/>
      <c r="DE303" s="205"/>
      <c r="DF303" s="205"/>
      <c r="DG303" s="205"/>
      <c r="DH303" s="205"/>
      <c r="DI303" s="205"/>
      <c r="DJ303" s="205"/>
      <c r="DK303" s="205"/>
      <c r="DL303" s="205"/>
      <c r="DM303" s="205"/>
      <c r="DN303" s="205"/>
      <c r="DO303" s="205"/>
      <c r="DP303" s="205"/>
      <c r="DQ303" s="205"/>
      <c r="DR303" s="205"/>
      <c r="DS303" s="205"/>
      <c r="DT303" s="205"/>
      <c r="DU303" s="205"/>
      <c r="DV303" s="205"/>
      <c r="DW303" s="205"/>
      <c r="DX303" s="205"/>
      <c r="DY303" s="205"/>
      <c r="DZ303" s="205"/>
      <c r="EA303" s="205"/>
      <c r="EB303" s="205"/>
      <c r="EC303" s="205"/>
      <c r="ED303" s="205"/>
      <c r="EE303" s="205"/>
      <c r="EF303" s="205"/>
      <c r="EG303" s="205"/>
      <c r="EH303" s="205"/>
      <c r="EI303" s="205"/>
      <c r="EJ303" s="205"/>
      <c r="EK303" s="205"/>
      <c r="EL303" s="205"/>
      <c r="EM303" s="205"/>
      <c r="EN303" s="205"/>
      <c r="EO303" s="205"/>
      <c r="EP303" s="205"/>
      <c r="EQ303" s="205"/>
      <c r="ER303" s="205"/>
      <c r="ES303" s="205"/>
      <c r="ET303" s="205"/>
      <c r="EU303" s="205"/>
      <c r="EV303" s="205"/>
      <c r="EW303" s="205"/>
      <c r="EX303" s="205"/>
      <c r="EY303" s="205"/>
      <c r="EZ303" s="205"/>
      <c r="FA303" s="205"/>
      <c r="FB303" s="205"/>
      <c r="FC303" s="205"/>
      <c r="FD303" s="205"/>
      <c r="FE303" s="205"/>
      <c r="FF303" s="205"/>
      <c r="FG303" s="205"/>
      <c r="FH303" s="205"/>
      <c r="FI303" s="205"/>
      <c r="FJ303" s="205"/>
      <c r="FK303" s="205"/>
      <c r="FL303" s="205"/>
      <c r="FM303" s="205"/>
      <c r="FN303" s="205"/>
      <c r="FO303" s="205"/>
      <c r="FP303" s="205"/>
      <c r="FQ303" s="205"/>
      <c r="FR303" s="205"/>
      <c r="FS303" s="205"/>
      <c r="FT303" s="205"/>
      <c r="FU303" s="205"/>
      <c r="FV303" s="205"/>
      <c r="FW303" s="205"/>
      <c r="FX303" s="205"/>
      <c r="FY303" s="205"/>
      <c r="FZ303" s="205"/>
      <c r="GA303" s="205"/>
      <c r="GB303" s="205"/>
      <c r="GC303" s="205"/>
      <c r="GD303" s="205"/>
      <c r="GE303" s="205"/>
      <c r="GF303" s="205"/>
      <c r="GG303" s="205"/>
      <c r="GH303" s="205"/>
      <c r="GI303" s="205"/>
      <c r="GJ303" s="205"/>
      <c r="GK303" s="205"/>
      <c r="GL303" s="205"/>
      <c r="GM303" s="205"/>
      <c r="GN303" s="205"/>
      <c r="GO303" s="205"/>
      <c r="GP303" s="205"/>
      <c r="GQ303" s="205"/>
      <c r="GR303" s="205"/>
      <c r="GS303" s="205"/>
      <c r="GT303" s="205"/>
      <c r="GU303" s="205"/>
      <c r="GV303" s="205"/>
      <c r="GW303" s="205"/>
      <c r="GX303" s="205"/>
      <c r="GY303" s="205"/>
      <c r="GZ303" s="205"/>
      <c r="HA303" s="205"/>
      <c r="HB303" s="205"/>
      <c r="HC303" s="205"/>
      <c r="HD303" s="205"/>
      <c r="HE303" s="205"/>
      <c r="HF303" s="205"/>
      <c r="HG303" s="205"/>
      <c r="HH303" s="205"/>
      <c r="HI303" s="205"/>
      <c r="HJ303" s="205"/>
      <c r="HK303" s="205"/>
      <c r="HL303" s="205"/>
      <c r="HM303" s="205"/>
      <c r="HN303" s="205"/>
      <c r="HO303" s="205"/>
      <c r="HP303" s="205"/>
      <c r="HQ303" s="205"/>
      <c r="HR303" s="205"/>
      <c r="HS303" s="205"/>
      <c r="HT303" s="205"/>
      <c r="HU303" s="205"/>
      <c r="HV303" s="205"/>
      <c r="HW303" s="205"/>
      <c r="HX303" s="205"/>
      <c r="HY303" s="205"/>
      <c r="HZ303" s="205"/>
      <c r="IA303" s="205"/>
      <c r="IB303" s="205"/>
      <c r="IC303" s="205"/>
      <c r="ID303" s="205"/>
      <c r="IE303" s="205"/>
      <c r="IF303" s="205"/>
      <c r="IG303" s="205"/>
      <c r="IH303" s="205"/>
      <c r="II303" s="205"/>
      <c r="IJ303" s="205"/>
      <c r="IK303" s="205"/>
      <c r="IL303" s="205"/>
      <c r="IM303" s="205"/>
      <c r="IN303" s="205"/>
      <c r="IO303" s="205"/>
      <c r="IP303" s="205"/>
      <c r="IQ303" s="205"/>
      <c r="IR303" s="205"/>
      <c r="IS303" s="205"/>
      <c r="IT303" s="205"/>
      <c r="IU303" s="205"/>
      <c r="IV303" s="205"/>
      <c r="IW303" s="205"/>
      <c r="IX303" s="205"/>
    </row>
    <row r="304" spans="1:258" s="203" customFormat="1" x14ac:dyDescent="0.2">
      <c r="A304" s="669"/>
      <c r="B304" s="670"/>
      <c r="C304" s="1390"/>
      <c r="D304" s="672"/>
      <c r="E304" s="1391"/>
      <c r="F304" s="1391"/>
      <c r="G304" s="1392"/>
      <c r="H304" s="1393">
        <f>4-0.15</f>
        <v>3.85</v>
      </c>
      <c r="I304" s="1394" t="s">
        <v>424</v>
      </c>
      <c r="J304" s="1394">
        <v>2.5</v>
      </c>
      <c r="K304" s="1394"/>
      <c r="L304" s="1394"/>
      <c r="M304" s="1394"/>
      <c r="N304" s="1394"/>
      <c r="O304" s="1394"/>
      <c r="P304" s="1394"/>
      <c r="Q304" s="1394" t="s">
        <v>696</v>
      </c>
      <c r="R304" s="1363">
        <f>H304*J304</f>
        <v>9.625</v>
      </c>
      <c r="S304" s="1396"/>
      <c r="T304" s="1397"/>
      <c r="U304" s="205"/>
      <c r="V304" s="685"/>
      <c r="W304" s="205"/>
      <c r="X304" s="205"/>
      <c r="Y304" s="205"/>
      <c r="Z304" s="205"/>
      <c r="AA304" s="205"/>
      <c r="AB304" s="205"/>
      <c r="AC304" s="205"/>
      <c r="AD304" s="205"/>
      <c r="AE304" s="205"/>
      <c r="AF304" s="205"/>
      <c r="AG304" s="205"/>
      <c r="AH304" s="205"/>
      <c r="AI304" s="205"/>
      <c r="AJ304" s="205"/>
      <c r="AK304" s="205"/>
      <c r="AL304" s="205"/>
      <c r="AM304" s="205"/>
      <c r="AN304" s="205"/>
      <c r="AO304" s="205"/>
      <c r="AP304" s="205"/>
      <c r="AQ304" s="205"/>
      <c r="AR304" s="205"/>
      <c r="AS304" s="205"/>
      <c r="AT304" s="205"/>
      <c r="AU304" s="205"/>
      <c r="AV304" s="205"/>
      <c r="AW304" s="205"/>
      <c r="AX304" s="205"/>
      <c r="AY304" s="205"/>
      <c r="AZ304" s="205"/>
      <c r="BA304" s="205"/>
      <c r="BB304" s="205"/>
      <c r="BC304" s="205"/>
      <c r="BD304" s="205"/>
      <c r="BE304" s="205"/>
      <c r="BF304" s="205"/>
      <c r="BG304" s="205"/>
      <c r="BH304" s="205"/>
      <c r="BI304" s="205"/>
      <c r="BJ304" s="205"/>
      <c r="BK304" s="205"/>
      <c r="BL304" s="205"/>
      <c r="BM304" s="205"/>
      <c r="BN304" s="205"/>
      <c r="BO304" s="205"/>
      <c r="BP304" s="205"/>
      <c r="BQ304" s="205"/>
      <c r="BR304" s="205"/>
      <c r="BS304" s="205"/>
      <c r="BT304" s="205"/>
      <c r="BU304" s="205"/>
      <c r="BV304" s="205"/>
      <c r="BW304" s="205"/>
      <c r="BX304" s="205"/>
      <c r="BY304" s="205"/>
      <c r="BZ304" s="205"/>
      <c r="CA304" s="205"/>
      <c r="CB304" s="205"/>
      <c r="CC304" s="205"/>
      <c r="CD304" s="205"/>
      <c r="CE304" s="205"/>
      <c r="CF304" s="205"/>
      <c r="CG304" s="205"/>
      <c r="CH304" s="205"/>
      <c r="CI304" s="205"/>
      <c r="CJ304" s="205"/>
      <c r="CK304" s="205"/>
      <c r="CL304" s="205"/>
      <c r="CM304" s="205"/>
      <c r="CN304" s="205"/>
      <c r="CO304" s="205"/>
      <c r="CP304" s="205"/>
      <c r="CQ304" s="205"/>
      <c r="CR304" s="205"/>
      <c r="CS304" s="205"/>
      <c r="CT304" s="205"/>
      <c r="CU304" s="205"/>
      <c r="CV304" s="205"/>
      <c r="CW304" s="205"/>
      <c r="CX304" s="205"/>
      <c r="CY304" s="205"/>
      <c r="CZ304" s="205"/>
      <c r="DA304" s="205"/>
      <c r="DB304" s="205"/>
      <c r="DC304" s="205"/>
      <c r="DD304" s="205"/>
      <c r="DE304" s="205"/>
      <c r="DF304" s="205"/>
      <c r="DG304" s="205"/>
      <c r="DH304" s="205"/>
      <c r="DI304" s="205"/>
      <c r="DJ304" s="205"/>
      <c r="DK304" s="205"/>
      <c r="DL304" s="205"/>
      <c r="DM304" s="205"/>
      <c r="DN304" s="205"/>
      <c r="DO304" s="205"/>
      <c r="DP304" s="205"/>
      <c r="DQ304" s="205"/>
      <c r="DR304" s="205"/>
      <c r="DS304" s="205"/>
      <c r="DT304" s="205"/>
      <c r="DU304" s="205"/>
      <c r="DV304" s="205"/>
      <c r="DW304" s="205"/>
      <c r="DX304" s="205"/>
      <c r="DY304" s="205"/>
      <c r="DZ304" s="205"/>
      <c r="EA304" s="205"/>
      <c r="EB304" s="205"/>
      <c r="EC304" s="205"/>
      <c r="ED304" s="205"/>
      <c r="EE304" s="205"/>
      <c r="EF304" s="205"/>
      <c r="EG304" s="205"/>
      <c r="EH304" s="205"/>
      <c r="EI304" s="205"/>
      <c r="EJ304" s="205"/>
      <c r="EK304" s="205"/>
      <c r="EL304" s="205"/>
      <c r="EM304" s="205"/>
      <c r="EN304" s="205"/>
      <c r="EO304" s="205"/>
      <c r="EP304" s="205"/>
      <c r="EQ304" s="205"/>
      <c r="ER304" s="205"/>
      <c r="ES304" s="205"/>
      <c r="ET304" s="205"/>
      <c r="EU304" s="205"/>
      <c r="EV304" s="205"/>
      <c r="EW304" s="205"/>
      <c r="EX304" s="205"/>
      <c r="EY304" s="205"/>
      <c r="EZ304" s="205"/>
      <c r="FA304" s="205"/>
      <c r="FB304" s="205"/>
      <c r="FC304" s="205"/>
      <c r="FD304" s="205"/>
      <c r="FE304" s="205"/>
      <c r="FF304" s="205"/>
      <c r="FG304" s="205"/>
      <c r="FH304" s="205"/>
      <c r="FI304" s="205"/>
      <c r="FJ304" s="205"/>
      <c r="FK304" s="205"/>
      <c r="FL304" s="205"/>
      <c r="FM304" s="205"/>
      <c r="FN304" s="205"/>
      <c r="FO304" s="205"/>
      <c r="FP304" s="205"/>
      <c r="FQ304" s="205"/>
      <c r="FR304" s="205"/>
      <c r="FS304" s="205"/>
      <c r="FT304" s="205"/>
      <c r="FU304" s="205"/>
      <c r="FV304" s="205"/>
      <c r="FW304" s="205"/>
      <c r="FX304" s="205"/>
      <c r="FY304" s="205"/>
      <c r="FZ304" s="205"/>
      <c r="GA304" s="205"/>
      <c r="GB304" s="205"/>
      <c r="GC304" s="205"/>
      <c r="GD304" s="205"/>
      <c r="GE304" s="205"/>
      <c r="GF304" s="205"/>
      <c r="GG304" s="205"/>
      <c r="GH304" s="205"/>
      <c r="GI304" s="205"/>
      <c r="GJ304" s="205"/>
      <c r="GK304" s="205"/>
      <c r="GL304" s="205"/>
      <c r="GM304" s="205"/>
      <c r="GN304" s="205"/>
      <c r="GO304" s="205"/>
      <c r="GP304" s="205"/>
      <c r="GQ304" s="205"/>
      <c r="GR304" s="205"/>
      <c r="GS304" s="205"/>
      <c r="GT304" s="205"/>
      <c r="GU304" s="205"/>
      <c r="GV304" s="205"/>
      <c r="GW304" s="205"/>
      <c r="GX304" s="205"/>
      <c r="GY304" s="205"/>
      <c r="GZ304" s="205"/>
      <c r="HA304" s="205"/>
      <c r="HB304" s="205"/>
      <c r="HC304" s="205"/>
      <c r="HD304" s="205"/>
      <c r="HE304" s="205"/>
      <c r="HF304" s="205"/>
      <c r="HG304" s="205"/>
      <c r="HH304" s="205"/>
      <c r="HI304" s="205"/>
      <c r="HJ304" s="205"/>
      <c r="HK304" s="205"/>
      <c r="HL304" s="205"/>
      <c r="HM304" s="205"/>
      <c r="HN304" s="205"/>
      <c r="HO304" s="205"/>
      <c r="HP304" s="205"/>
      <c r="HQ304" s="205"/>
      <c r="HR304" s="205"/>
      <c r="HS304" s="205"/>
      <c r="HT304" s="205"/>
      <c r="HU304" s="205"/>
      <c r="HV304" s="205"/>
      <c r="HW304" s="205"/>
      <c r="HX304" s="205"/>
      <c r="HY304" s="205"/>
      <c r="HZ304" s="205"/>
      <c r="IA304" s="205"/>
      <c r="IB304" s="205"/>
      <c r="IC304" s="205"/>
      <c r="ID304" s="205"/>
      <c r="IE304" s="205"/>
      <c r="IF304" s="205"/>
      <c r="IG304" s="205"/>
      <c r="IH304" s="205"/>
      <c r="II304" s="205"/>
      <c r="IJ304" s="205"/>
      <c r="IK304" s="205"/>
      <c r="IL304" s="205"/>
      <c r="IM304" s="205"/>
      <c r="IN304" s="205"/>
      <c r="IO304" s="205"/>
      <c r="IP304" s="205"/>
      <c r="IQ304" s="205"/>
      <c r="IR304" s="205"/>
      <c r="IS304" s="205"/>
      <c r="IT304" s="205"/>
      <c r="IU304" s="205"/>
      <c r="IV304" s="205"/>
      <c r="IW304" s="205"/>
      <c r="IX304" s="205"/>
    </row>
    <row r="305" spans="1:258" s="203" customFormat="1" x14ac:dyDescent="0.2">
      <c r="A305" s="669"/>
      <c r="B305" s="670"/>
      <c r="C305" s="1390"/>
      <c r="D305" s="672"/>
      <c r="E305" s="1391"/>
      <c r="F305" s="1391"/>
      <c r="G305" s="1392"/>
      <c r="H305" s="1393"/>
      <c r="I305" s="1394"/>
      <c r="J305" s="1394"/>
      <c r="K305" s="1394"/>
      <c r="L305" s="1394"/>
      <c r="M305" s="1394"/>
      <c r="N305" s="1394"/>
      <c r="O305" s="1394"/>
      <c r="P305" s="1394"/>
      <c r="Q305" s="1394"/>
      <c r="R305" s="1395">
        <f>SUM(R296:R304)</f>
        <v>270.85500000000002</v>
      </c>
      <c r="S305" s="1396">
        <f>R305</f>
        <v>270.85500000000002</v>
      </c>
      <c r="T305" s="1397" t="s">
        <v>338</v>
      </c>
      <c r="U305" s="205"/>
      <c r="V305" s="685"/>
      <c r="W305" s="205"/>
      <c r="X305" s="205"/>
      <c r="Y305" s="205"/>
      <c r="Z305" s="205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C305" s="205"/>
      <c r="BD305" s="205"/>
      <c r="BE305" s="205"/>
      <c r="BF305" s="205"/>
      <c r="BG305" s="205"/>
      <c r="BH305" s="205"/>
      <c r="BI305" s="205"/>
      <c r="BJ305" s="205"/>
      <c r="BK305" s="205"/>
      <c r="BL305" s="205"/>
      <c r="BM305" s="205"/>
      <c r="BN305" s="205"/>
      <c r="BO305" s="205"/>
      <c r="BP305" s="205"/>
      <c r="BQ305" s="205"/>
      <c r="BR305" s="205"/>
      <c r="BS305" s="205"/>
      <c r="BT305" s="205"/>
      <c r="BU305" s="205"/>
      <c r="BV305" s="205"/>
      <c r="BW305" s="205"/>
      <c r="BX305" s="205"/>
      <c r="BY305" s="205"/>
      <c r="BZ305" s="205"/>
      <c r="CA305" s="205"/>
      <c r="CB305" s="205"/>
      <c r="CC305" s="205"/>
      <c r="CD305" s="205"/>
      <c r="CE305" s="205"/>
      <c r="CF305" s="205"/>
      <c r="CG305" s="205"/>
      <c r="CH305" s="205"/>
      <c r="CI305" s="205"/>
      <c r="CJ305" s="205"/>
      <c r="CK305" s="205"/>
      <c r="CL305" s="205"/>
      <c r="CM305" s="205"/>
      <c r="CN305" s="205"/>
      <c r="CO305" s="205"/>
      <c r="CP305" s="205"/>
      <c r="CQ305" s="205"/>
      <c r="CR305" s="205"/>
      <c r="CS305" s="205"/>
      <c r="CT305" s="205"/>
      <c r="CU305" s="205"/>
      <c r="CV305" s="205"/>
      <c r="CW305" s="205"/>
      <c r="CX305" s="205"/>
      <c r="CY305" s="205"/>
      <c r="CZ305" s="205"/>
      <c r="DA305" s="205"/>
      <c r="DB305" s="205"/>
      <c r="DC305" s="205"/>
      <c r="DD305" s="205"/>
      <c r="DE305" s="205"/>
      <c r="DF305" s="205"/>
      <c r="DG305" s="205"/>
      <c r="DH305" s="205"/>
      <c r="DI305" s="205"/>
      <c r="DJ305" s="205"/>
      <c r="DK305" s="205"/>
      <c r="DL305" s="205"/>
      <c r="DM305" s="205"/>
      <c r="DN305" s="205"/>
      <c r="DO305" s="205"/>
      <c r="DP305" s="205"/>
      <c r="DQ305" s="205"/>
      <c r="DR305" s="205"/>
      <c r="DS305" s="205"/>
      <c r="DT305" s="205"/>
      <c r="DU305" s="205"/>
      <c r="DV305" s="205"/>
      <c r="DW305" s="205"/>
      <c r="DX305" s="205"/>
      <c r="DY305" s="205"/>
      <c r="DZ305" s="205"/>
      <c r="EA305" s="205"/>
      <c r="EB305" s="205"/>
      <c r="EC305" s="205"/>
      <c r="ED305" s="205"/>
      <c r="EE305" s="205"/>
      <c r="EF305" s="205"/>
      <c r="EG305" s="205"/>
      <c r="EH305" s="205"/>
      <c r="EI305" s="205"/>
      <c r="EJ305" s="205"/>
      <c r="EK305" s="205"/>
      <c r="EL305" s="205"/>
      <c r="EM305" s="205"/>
      <c r="EN305" s="205"/>
      <c r="EO305" s="205"/>
      <c r="EP305" s="205"/>
      <c r="EQ305" s="205"/>
      <c r="ER305" s="205"/>
      <c r="ES305" s="205"/>
      <c r="ET305" s="205"/>
      <c r="EU305" s="205"/>
      <c r="EV305" s="205"/>
      <c r="EW305" s="205"/>
      <c r="EX305" s="205"/>
      <c r="EY305" s="205"/>
      <c r="EZ305" s="205"/>
      <c r="FA305" s="205"/>
      <c r="FB305" s="205"/>
      <c r="FC305" s="205"/>
      <c r="FD305" s="205"/>
      <c r="FE305" s="205"/>
      <c r="FF305" s="205"/>
      <c r="FG305" s="205"/>
      <c r="FH305" s="205"/>
      <c r="FI305" s="205"/>
      <c r="FJ305" s="205"/>
      <c r="FK305" s="205"/>
      <c r="FL305" s="205"/>
      <c r="FM305" s="205"/>
      <c r="FN305" s="205"/>
      <c r="FO305" s="205"/>
      <c r="FP305" s="205"/>
      <c r="FQ305" s="205"/>
      <c r="FR305" s="205"/>
      <c r="FS305" s="205"/>
      <c r="FT305" s="205"/>
      <c r="FU305" s="205"/>
      <c r="FV305" s="205"/>
      <c r="FW305" s="205"/>
      <c r="FX305" s="205"/>
      <c r="FY305" s="205"/>
      <c r="FZ305" s="205"/>
      <c r="GA305" s="205"/>
      <c r="GB305" s="205"/>
      <c r="GC305" s="205"/>
      <c r="GD305" s="205"/>
      <c r="GE305" s="205"/>
      <c r="GF305" s="205"/>
      <c r="GG305" s="205"/>
      <c r="GH305" s="205"/>
      <c r="GI305" s="205"/>
      <c r="GJ305" s="205"/>
      <c r="GK305" s="205"/>
      <c r="GL305" s="205"/>
      <c r="GM305" s="205"/>
      <c r="GN305" s="205"/>
      <c r="GO305" s="205"/>
      <c r="GP305" s="205"/>
      <c r="GQ305" s="205"/>
      <c r="GR305" s="205"/>
      <c r="GS305" s="205"/>
      <c r="GT305" s="205"/>
      <c r="GU305" s="205"/>
      <c r="GV305" s="205"/>
      <c r="GW305" s="205"/>
      <c r="GX305" s="205"/>
      <c r="GY305" s="205"/>
      <c r="GZ305" s="205"/>
      <c r="HA305" s="205"/>
      <c r="HB305" s="205"/>
      <c r="HC305" s="205"/>
      <c r="HD305" s="205"/>
      <c r="HE305" s="205"/>
      <c r="HF305" s="205"/>
      <c r="HG305" s="205"/>
      <c r="HH305" s="205"/>
      <c r="HI305" s="205"/>
      <c r="HJ305" s="205"/>
      <c r="HK305" s="205"/>
      <c r="HL305" s="205"/>
      <c r="HM305" s="205"/>
      <c r="HN305" s="205"/>
      <c r="HO305" s="205"/>
      <c r="HP305" s="205"/>
      <c r="HQ305" s="205"/>
      <c r="HR305" s="205"/>
      <c r="HS305" s="205"/>
      <c r="HT305" s="205"/>
      <c r="HU305" s="205"/>
      <c r="HV305" s="205"/>
      <c r="HW305" s="205"/>
      <c r="HX305" s="205"/>
      <c r="HY305" s="205"/>
      <c r="HZ305" s="205"/>
      <c r="IA305" s="205"/>
      <c r="IB305" s="205"/>
      <c r="IC305" s="205"/>
      <c r="ID305" s="205"/>
      <c r="IE305" s="205"/>
      <c r="IF305" s="205"/>
      <c r="IG305" s="205"/>
      <c r="IH305" s="205"/>
      <c r="II305" s="205"/>
      <c r="IJ305" s="205"/>
      <c r="IK305" s="205"/>
      <c r="IL305" s="205"/>
      <c r="IM305" s="205"/>
      <c r="IN305" s="205"/>
      <c r="IO305" s="205"/>
      <c r="IP305" s="205"/>
      <c r="IQ305" s="205"/>
      <c r="IR305" s="205"/>
      <c r="IS305" s="205"/>
      <c r="IT305" s="205"/>
      <c r="IU305" s="205"/>
      <c r="IV305" s="205"/>
      <c r="IW305" s="205"/>
      <c r="IX305" s="205"/>
    </row>
    <row r="306" spans="1:258" s="203" customFormat="1" x14ac:dyDescent="0.2">
      <c r="A306" s="669"/>
      <c r="B306" s="670"/>
      <c r="C306" s="1390"/>
      <c r="D306" s="672"/>
      <c r="E306" s="1391"/>
      <c r="F306" s="1391"/>
      <c r="G306" s="1392"/>
      <c r="H306" s="1393"/>
      <c r="I306" s="1394"/>
      <c r="J306" s="1394"/>
      <c r="K306" s="1394"/>
      <c r="L306" s="1394"/>
      <c r="M306" s="1394"/>
      <c r="N306" s="1394"/>
      <c r="O306" s="1394"/>
      <c r="P306" s="1394"/>
      <c r="Q306" s="1394"/>
      <c r="R306" s="1395"/>
      <c r="S306" s="1396"/>
      <c r="T306" s="1397"/>
      <c r="U306" s="205"/>
      <c r="V306" s="68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  <c r="BK306" s="205"/>
      <c r="BL306" s="205"/>
      <c r="BM306" s="205"/>
      <c r="BN306" s="205"/>
      <c r="BO306" s="205"/>
      <c r="BP306" s="205"/>
      <c r="BQ306" s="205"/>
      <c r="BR306" s="205"/>
      <c r="BS306" s="205"/>
      <c r="BT306" s="205"/>
      <c r="BU306" s="205"/>
      <c r="BV306" s="205"/>
      <c r="BW306" s="205"/>
      <c r="BX306" s="205"/>
      <c r="BY306" s="205"/>
      <c r="BZ306" s="205"/>
      <c r="CA306" s="205"/>
      <c r="CB306" s="205"/>
      <c r="CC306" s="205"/>
      <c r="CD306" s="205"/>
      <c r="CE306" s="205"/>
      <c r="CF306" s="205"/>
      <c r="CG306" s="205"/>
      <c r="CH306" s="205"/>
      <c r="CI306" s="205"/>
      <c r="CJ306" s="205"/>
      <c r="CK306" s="205"/>
      <c r="CL306" s="205"/>
      <c r="CM306" s="205"/>
      <c r="CN306" s="205"/>
      <c r="CO306" s="205"/>
      <c r="CP306" s="205"/>
      <c r="CQ306" s="205"/>
      <c r="CR306" s="205"/>
      <c r="CS306" s="205"/>
      <c r="CT306" s="205"/>
      <c r="CU306" s="205"/>
      <c r="CV306" s="205"/>
      <c r="CW306" s="205"/>
      <c r="CX306" s="205"/>
      <c r="CY306" s="205"/>
      <c r="CZ306" s="205"/>
      <c r="DA306" s="205"/>
      <c r="DB306" s="205"/>
      <c r="DC306" s="205"/>
      <c r="DD306" s="205"/>
      <c r="DE306" s="205"/>
      <c r="DF306" s="205"/>
      <c r="DG306" s="205"/>
      <c r="DH306" s="205"/>
      <c r="DI306" s="205"/>
      <c r="DJ306" s="205"/>
      <c r="DK306" s="205"/>
      <c r="DL306" s="205"/>
      <c r="DM306" s="205"/>
      <c r="DN306" s="205"/>
      <c r="DO306" s="205"/>
      <c r="DP306" s="205"/>
      <c r="DQ306" s="205"/>
      <c r="DR306" s="205"/>
      <c r="DS306" s="205"/>
      <c r="DT306" s="205"/>
      <c r="DU306" s="205"/>
      <c r="DV306" s="205"/>
      <c r="DW306" s="205"/>
      <c r="DX306" s="205"/>
      <c r="DY306" s="205"/>
      <c r="DZ306" s="205"/>
      <c r="EA306" s="205"/>
      <c r="EB306" s="205"/>
      <c r="EC306" s="205"/>
      <c r="ED306" s="205"/>
      <c r="EE306" s="205"/>
      <c r="EF306" s="205"/>
      <c r="EG306" s="205"/>
      <c r="EH306" s="205"/>
      <c r="EI306" s="205"/>
      <c r="EJ306" s="205"/>
      <c r="EK306" s="205"/>
      <c r="EL306" s="205"/>
      <c r="EM306" s="205"/>
      <c r="EN306" s="205"/>
      <c r="EO306" s="205"/>
      <c r="EP306" s="205"/>
      <c r="EQ306" s="205"/>
      <c r="ER306" s="205"/>
      <c r="ES306" s="205"/>
      <c r="ET306" s="205"/>
      <c r="EU306" s="205"/>
      <c r="EV306" s="205"/>
      <c r="EW306" s="205"/>
      <c r="EX306" s="205"/>
      <c r="EY306" s="205"/>
      <c r="EZ306" s="205"/>
      <c r="FA306" s="205"/>
      <c r="FB306" s="205"/>
      <c r="FC306" s="205"/>
      <c r="FD306" s="205"/>
      <c r="FE306" s="205"/>
      <c r="FF306" s="205"/>
      <c r="FG306" s="205"/>
      <c r="FH306" s="205"/>
      <c r="FI306" s="205"/>
      <c r="FJ306" s="205"/>
      <c r="FK306" s="205"/>
      <c r="FL306" s="205"/>
      <c r="FM306" s="205"/>
      <c r="FN306" s="205"/>
      <c r="FO306" s="205"/>
      <c r="FP306" s="205"/>
      <c r="FQ306" s="205"/>
      <c r="FR306" s="205"/>
      <c r="FS306" s="205"/>
      <c r="FT306" s="205"/>
      <c r="FU306" s="205"/>
      <c r="FV306" s="205"/>
      <c r="FW306" s="205"/>
      <c r="FX306" s="205"/>
      <c r="FY306" s="205"/>
      <c r="FZ306" s="205"/>
      <c r="GA306" s="205"/>
      <c r="GB306" s="205"/>
      <c r="GC306" s="205"/>
      <c r="GD306" s="205"/>
      <c r="GE306" s="205"/>
      <c r="GF306" s="205"/>
      <c r="GG306" s="205"/>
      <c r="GH306" s="205"/>
      <c r="GI306" s="205"/>
      <c r="GJ306" s="205"/>
      <c r="GK306" s="205"/>
      <c r="GL306" s="205"/>
      <c r="GM306" s="205"/>
      <c r="GN306" s="205"/>
      <c r="GO306" s="205"/>
      <c r="GP306" s="205"/>
      <c r="GQ306" s="205"/>
      <c r="GR306" s="205"/>
      <c r="GS306" s="205"/>
      <c r="GT306" s="205"/>
      <c r="GU306" s="205"/>
      <c r="GV306" s="205"/>
      <c r="GW306" s="205"/>
      <c r="GX306" s="205"/>
      <c r="GY306" s="205"/>
      <c r="GZ306" s="205"/>
      <c r="HA306" s="205"/>
      <c r="HB306" s="205"/>
      <c r="HC306" s="205"/>
      <c r="HD306" s="205"/>
      <c r="HE306" s="205"/>
      <c r="HF306" s="205"/>
      <c r="HG306" s="205"/>
      <c r="HH306" s="205"/>
      <c r="HI306" s="205"/>
      <c r="HJ306" s="205"/>
      <c r="HK306" s="205"/>
      <c r="HL306" s="205"/>
      <c r="HM306" s="205"/>
      <c r="HN306" s="205"/>
      <c r="HO306" s="205"/>
      <c r="HP306" s="205"/>
      <c r="HQ306" s="205"/>
      <c r="HR306" s="205"/>
      <c r="HS306" s="205"/>
      <c r="HT306" s="205"/>
      <c r="HU306" s="205"/>
      <c r="HV306" s="205"/>
      <c r="HW306" s="205"/>
      <c r="HX306" s="205"/>
      <c r="HY306" s="205"/>
      <c r="HZ306" s="205"/>
      <c r="IA306" s="205"/>
      <c r="IB306" s="205"/>
      <c r="IC306" s="205"/>
      <c r="ID306" s="205"/>
      <c r="IE306" s="205"/>
      <c r="IF306" s="205"/>
      <c r="IG306" s="205"/>
      <c r="IH306" s="205"/>
      <c r="II306" s="205"/>
      <c r="IJ306" s="205"/>
      <c r="IK306" s="205"/>
      <c r="IL306" s="205"/>
      <c r="IM306" s="205"/>
      <c r="IN306" s="205"/>
      <c r="IO306" s="205"/>
      <c r="IP306" s="205"/>
      <c r="IQ306" s="205"/>
      <c r="IR306" s="205"/>
      <c r="IS306" s="205"/>
      <c r="IT306" s="205"/>
      <c r="IU306" s="205"/>
      <c r="IV306" s="205"/>
      <c r="IW306" s="205"/>
      <c r="IX306" s="205"/>
    </row>
    <row r="307" spans="1:258" s="203" customFormat="1" x14ac:dyDescent="0.2">
      <c r="A307" s="669"/>
      <c r="B307" s="670">
        <f>RAB!B105</f>
        <v>2</v>
      </c>
      <c r="C307" s="686" t="e">
        <f>RAB!D105</f>
        <v>#REF!</v>
      </c>
      <c r="D307" s="672"/>
      <c r="E307" s="673"/>
      <c r="F307" s="673"/>
      <c r="G307" s="674"/>
      <c r="H307" s="675"/>
      <c r="I307" s="676"/>
      <c r="J307" s="676"/>
      <c r="K307" s="676"/>
      <c r="L307" s="676"/>
      <c r="M307" s="676"/>
      <c r="N307" s="676"/>
      <c r="O307" s="676"/>
      <c r="P307" s="676"/>
      <c r="Q307" s="676"/>
      <c r="R307" s="677"/>
      <c r="S307" s="678"/>
      <c r="T307" s="684"/>
      <c r="U307" s="205"/>
      <c r="V307" s="685"/>
      <c r="W307" s="205"/>
      <c r="X307" s="205"/>
      <c r="Y307" s="205"/>
      <c r="Z307" s="205"/>
      <c r="AA307" s="205"/>
      <c r="AB307" s="205"/>
      <c r="AC307" s="205"/>
      <c r="AD307" s="205"/>
      <c r="AE307" s="205"/>
      <c r="AF307" s="205"/>
      <c r="AG307" s="205"/>
      <c r="AH307" s="205"/>
      <c r="AI307" s="205"/>
      <c r="AJ307" s="205"/>
      <c r="AK307" s="205"/>
      <c r="AL307" s="205"/>
      <c r="AM307" s="205"/>
      <c r="AN307" s="205"/>
      <c r="AO307" s="205"/>
      <c r="AP307" s="205"/>
      <c r="AQ307" s="205"/>
      <c r="AR307" s="205"/>
      <c r="AS307" s="205"/>
      <c r="AT307" s="205"/>
      <c r="AU307" s="205"/>
      <c r="AV307" s="205"/>
      <c r="AW307" s="205"/>
      <c r="AX307" s="205"/>
      <c r="AY307" s="205"/>
      <c r="AZ307" s="205"/>
      <c r="BA307" s="205"/>
      <c r="BB307" s="205"/>
      <c r="BC307" s="205"/>
      <c r="BD307" s="205"/>
      <c r="BE307" s="205"/>
      <c r="BF307" s="205"/>
      <c r="BG307" s="205"/>
      <c r="BH307" s="205"/>
      <c r="BI307" s="205"/>
      <c r="BJ307" s="205"/>
      <c r="BK307" s="205"/>
      <c r="BL307" s="205"/>
      <c r="BM307" s="205"/>
      <c r="BN307" s="205"/>
      <c r="BO307" s="205"/>
      <c r="BP307" s="205"/>
      <c r="BQ307" s="205"/>
      <c r="BR307" s="205"/>
      <c r="BS307" s="205"/>
      <c r="BT307" s="205"/>
      <c r="BU307" s="205"/>
      <c r="BV307" s="205"/>
      <c r="BW307" s="205"/>
      <c r="BX307" s="205"/>
      <c r="BY307" s="205"/>
      <c r="BZ307" s="205"/>
      <c r="CA307" s="205"/>
      <c r="CB307" s="205"/>
      <c r="CC307" s="205"/>
      <c r="CD307" s="205"/>
      <c r="CE307" s="205"/>
      <c r="CF307" s="205"/>
      <c r="CG307" s="205"/>
      <c r="CH307" s="205"/>
      <c r="CI307" s="205"/>
      <c r="CJ307" s="205"/>
      <c r="CK307" s="205"/>
      <c r="CL307" s="205"/>
      <c r="CM307" s="205"/>
      <c r="CN307" s="205"/>
      <c r="CO307" s="205"/>
      <c r="CP307" s="205"/>
      <c r="CQ307" s="205"/>
      <c r="CR307" s="205"/>
      <c r="CS307" s="205"/>
      <c r="CT307" s="205"/>
      <c r="CU307" s="205"/>
      <c r="CV307" s="205"/>
      <c r="CW307" s="205"/>
      <c r="CX307" s="205"/>
      <c r="CY307" s="205"/>
      <c r="CZ307" s="205"/>
      <c r="DA307" s="205"/>
      <c r="DB307" s="205"/>
      <c r="DC307" s="205"/>
      <c r="DD307" s="205"/>
      <c r="DE307" s="205"/>
      <c r="DF307" s="205"/>
      <c r="DG307" s="205"/>
      <c r="DH307" s="205"/>
      <c r="DI307" s="205"/>
      <c r="DJ307" s="205"/>
      <c r="DK307" s="205"/>
      <c r="DL307" s="205"/>
      <c r="DM307" s="205"/>
      <c r="DN307" s="205"/>
      <c r="DO307" s="205"/>
      <c r="DP307" s="205"/>
      <c r="DQ307" s="205"/>
      <c r="DR307" s="205"/>
      <c r="DS307" s="205"/>
      <c r="DT307" s="205"/>
      <c r="DU307" s="205"/>
      <c r="DV307" s="205"/>
      <c r="DW307" s="205"/>
      <c r="DX307" s="205"/>
      <c r="DY307" s="205"/>
      <c r="DZ307" s="205"/>
      <c r="EA307" s="205"/>
      <c r="EB307" s="205"/>
      <c r="EC307" s="205"/>
      <c r="ED307" s="205"/>
      <c r="EE307" s="205"/>
      <c r="EF307" s="205"/>
      <c r="EG307" s="205"/>
      <c r="EH307" s="205"/>
      <c r="EI307" s="205"/>
      <c r="EJ307" s="205"/>
      <c r="EK307" s="205"/>
      <c r="EL307" s="205"/>
      <c r="EM307" s="205"/>
      <c r="EN307" s="205"/>
      <c r="EO307" s="205"/>
      <c r="EP307" s="205"/>
      <c r="EQ307" s="205"/>
      <c r="ER307" s="205"/>
      <c r="ES307" s="205"/>
      <c r="ET307" s="205"/>
      <c r="EU307" s="205"/>
      <c r="EV307" s="205"/>
      <c r="EW307" s="205"/>
      <c r="EX307" s="205"/>
      <c r="EY307" s="205"/>
      <c r="EZ307" s="205"/>
      <c r="FA307" s="205"/>
      <c r="FB307" s="205"/>
      <c r="FC307" s="205"/>
      <c r="FD307" s="205"/>
      <c r="FE307" s="205"/>
      <c r="FF307" s="205"/>
      <c r="FG307" s="205"/>
      <c r="FH307" s="205"/>
      <c r="FI307" s="205"/>
      <c r="FJ307" s="205"/>
      <c r="FK307" s="205"/>
      <c r="FL307" s="205"/>
      <c r="FM307" s="205"/>
      <c r="FN307" s="205"/>
      <c r="FO307" s="205"/>
      <c r="FP307" s="205"/>
      <c r="FQ307" s="205"/>
      <c r="FR307" s="205"/>
      <c r="FS307" s="205"/>
      <c r="FT307" s="205"/>
      <c r="FU307" s="205"/>
      <c r="FV307" s="205"/>
      <c r="FW307" s="205"/>
      <c r="FX307" s="205"/>
      <c r="FY307" s="205"/>
      <c r="FZ307" s="205"/>
      <c r="GA307" s="205"/>
      <c r="GB307" s="205"/>
      <c r="GC307" s="205"/>
      <c r="GD307" s="205"/>
      <c r="GE307" s="205"/>
      <c r="GF307" s="205"/>
      <c r="GG307" s="205"/>
      <c r="GH307" s="205"/>
      <c r="GI307" s="205"/>
      <c r="GJ307" s="205"/>
      <c r="GK307" s="205"/>
      <c r="GL307" s="205"/>
      <c r="GM307" s="205"/>
      <c r="GN307" s="205"/>
      <c r="GO307" s="205"/>
      <c r="GP307" s="205"/>
      <c r="GQ307" s="205"/>
      <c r="GR307" s="205"/>
      <c r="GS307" s="205"/>
      <c r="GT307" s="205"/>
      <c r="GU307" s="205"/>
      <c r="GV307" s="205"/>
      <c r="GW307" s="205"/>
      <c r="GX307" s="205"/>
      <c r="GY307" s="205"/>
      <c r="GZ307" s="205"/>
      <c r="HA307" s="205"/>
      <c r="HB307" s="205"/>
      <c r="HC307" s="205"/>
      <c r="HD307" s="205"/>
      <c r="HE307" s="205"/>
      <c r="HF307" s="205"/>
      <c r="HG307" s="205"/>
      <c r="HH307" s="205"/>
      <c r="HI307" s="205"/>
      <c r="HJ307" s="205"/>
      <c r="HK307" s="205"/>
      <c r="HL307" s="205"/>
      <c r="HM307" s="205"/>
      <c r="HN307" s="205"/>
      <c r="HO307" s="205"/>
      <c r="HP307" s="205"/>
      <c r="HQ307" s="205"/>
      <c r="HR307" s="205"/>
      <c r="HS307" s="205"/>
      <c r="HT307" s="205"/>
      <c r="HU307" s="205"/>
      <c r="HV307" s="205"/>
      <c r="HW307" s="205"/>
      <c r="HX307" s="205"/>
      <c r="HY307" s="205"/>
      <c r="HZ307" s="205"/>
      <c r="IA307" s="205"/>
      <c r="IB307" s="205"/>
      <c r="IC307" s="205"/>
      <c r="ID307" s="205"/>
      <c r="IE307" s="205"/>
      <c r="IF307" s="205"/>
      <c r="IG307" s="205"/>
      <c r="IH307" s="205"/>
      <c r="II307" s="205"/>
      <c r="IJ307" s="205"/>
      <c r="IK307" s="205"/>
      <c r="IL307" s="205"/>
      <c r="IM307" s="205"/>
      <c r="IN307" s="205"/>
      <c r="IO307" s="205"/>
      <c r="IP307" s="205"/>
      <c r="IQ307" s="205"/>
      <c r="IR307" s="205"/>
      <c r="IS307" s="205"/>
      <c r="IT307" s="205"/>
      <c r="IU307" s="205"/>
      <c r="IV307" s="205"/>
      <c r="IW307" s="205"/>
      <c r="IX307" s="205"/>
    </row>
    <row r="308" spans="1:258" s="203" customFormat="1" x14ac:dyDescent="0.2">
      <c r="A308" s="669"/>
      <c r="B308" s="670"/>
      <c r="C308" s="1390"/>
      <c r="D308" s="672"/>
      <c r="E308" s="1391"/>
      <c r="F308" s="1391"/>
      <c r="G308" s="1392" t="s">
        <v>1720</v>
      </c>
      <c r="H308" s="1393">
        <f>2-0.15</f>
        <v>1.85</v>
      </c>
      <c r="I308" s="1394" t="s">
        <v>424</v>
      </c>
      <c r="J308" s="1394">
        <f>2-0.15</f>
        <v>1.85</v>
      </c>
      <c r="K308" s="1394" t="s">
        <v>424</v>
      </c>
      <c r="L308" s="1394">
        <v>3</v>
      </c>
      <c r="M308" s="1394"/>
      <c r="N308" s="1394"/>
      <c r="O308" s="1394"/>
      <c r="P308" s="1394"/>
      <c r="Q308" s="1362" t="s">
        <v>696</v>
      </c>
      <c r="R308" s="1363">
        <f>H308*J308*L308</f>
        <v>10.267500000000002</v>
      </c>
      <c r="S308" s="1396"/>
      <c r="T308" s="1397"/>
      <c r="U308" s="205"/>
      <c r="V308" s="68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C308" s="205"/>
      <c r="BD308" s="205"/>
      <c r="BE308" s="205"/>
      <c r="BF308" s="205"/>
      <c r="BG308" s="205"/>
      <c r="BH308" s="205"/>
      <c r="BI308" s="205"/>
      <c r="BJ308" s="205"/>
      <c r="BK308" s="205"/>
      <c r="BL308" s="205"/>
      <c r="BM308" s="205"/>
      <c r="BN308" s="205"/>
      <c r="BO308" s="205"/>
      <c r="BP308" s="205"/>
      <c r="BQ308" s="205"/>
      <c r="BR308" s="205"/>
      <c r="BS308" s="205"/>
      <c r="BT308" s="205"/>
      <c r="BU308" s="205"/>
      <c r="BV308" s="205"/>
      <c r="BW308" s="205"/>
      <c r="BX308" s="205"/>
      <c r="BY308" s="205"/>
      <c r="BZ308" s="205"/>
      <c r="CA308" s="205"/>
      <c r="CB308" s="205"/>
      <c r="CC308" s="205"/>
      <c r="CD308" s="205"/>
      <c r="CE308" s="205"/>
      <c r="CF308" s="205"/>
      <c r="CG308" s="205"/>
      <c r="CH308" s="205"/>
      <c r="CI308" s="205"/>
      <c r="CJ308" s="205"/>
      <c r="CK308" s="205"/>
      <c r="CL308" s="205"/>
      <c r="CM308" s="205"/>
      <c r="CN308" s="205"/>
      <c r="CO308" s="205"/>
      <c r="CP308" s="205"/>
      <c r="CQ308" s="205"/>
      <c r="CR308" s="205"/>
      <c r="CS308" s="205"/>
      <c r="CT308" s="205"/>
      <c r="CU308" s="205"/>
      <c r="CV308" s="205"/>
      <c r="CW308" s="205"/>
      <c r="CX308" s="205"/>
      <c r="CY308" s="205"/>
      <c r="CZ308" s="205"/>
      <c r="DA308" s="205"/>
      <c r="DB308" s="205"/>
      <c r="DC308" s="205"/>
      <c r="DD308" s="205"/>
      <c r="DE308" s="205"/>
      <c r="DF308" s="205"/>
      <c r="DG308" s="205"/>
      <c r="DH308" s="205"/>
      <c r="DI308" s="205"/>
      <c r="DJ308" s="205"/>
      <c r="DK308" s="205"/>
      <c r="DL308" s="205"/>
      <c r="DM308" s="205"/>
      <c r="DN308" s="205"/>
      <c r="DO308" s="205"/>
      <c r="DP308" s="205"/>
      <c r="DQ308" s="205"/>
      <c r="DR308" s="205"/>
      <c r="DS308" s="205"/>
      <c r="DT308" s="205"/>
      <c r="DU308" s="205"/>
      <c r="DV308" s="205"/>
      <c r="DW308" s="205"/>
      <c r="DX308" s="205"/>
      <c r="DY308" s="205"/>
      <c r="DZ308" s="205"/>
      <c r="EA308" s="205"/>
      <c r="EB308" s="205"/>
      <c r="EC308" s="205"/>
      <c r="ED308" s="205"/>
      <c r="EE308" s="205"/>
      <c r="EF308" s="205"/>
      <c r="EG308" s="205"/>
      <c r="EH308" s="205"/>
      <c r="EI308" s="205"/>
      <c r="EJ308" s="205"/>
      <c r="EK308" s="205"/>
      <c r="EL308" s="205"/>
      <c r="EM308" s="205"/>
      <c r="EN308" s="205"/>
      <c r="EO308" s="205"/>
      <c r="EP308" s="205"/>
      <c r="EQ308" s="205"/>
      <c r="ER308" s="205"/>
      <c r="ES308" s="205"/>
      <c r="ET308" s="205"/>
      <c r="EU308" s="205"/>
      <c r="EV308" s="205"/>
      <c r="EW308" s="205"/>
      <c r="EX308" s="205"/>
      <c r="EY308" s="205"/>
      <c r="EZ308" s="205"/>
      <c r="FA308" s="205"/>
      <c r="FB308" s="205"/>
      <c r="FC308" s="205"/>
      <c r="FD308" s="205"/>
      <c r="FE308" s="205"/>
      <c r="FF308" s="205"/>
      <c r="FG308" s="205"/>
      <c r="FH308" s="205"/>
      <c r="FI308" s="205"/>
      <c r="FJ308" s="205"/>
      <c r="FK308" s="205"/>
      <c r="FL308" s="205"/>
      <c r="FM308" s="205"/>
      <c r="FN308" s="205"/>
      <c r="FO308" s="205"/>
      <c r="FP308" s="205"/>
      <c r="FQ308" s="205"/>
      <c r="FR308" s="205"/>
      <c r="FS308" s="205"/>
      <c r="FT308" s="205"/>
      <c r="FU308" s="205"/>
      <c r="FV308" s="205"/>
      <c r="FW308" s="205"/>
      <c r="FX308" s="205"/>
      <c r="FY308" s="205"/>
      <c r="FZ308" s="205"/>
      <c r="GA308" s="205"/>
      <c r="GB308" s="205"/>
      <c r="GC308" s="205"/>
      <c r="GD308" s="205"/>
      <c r="GE308" s="205"/>
      <c r="GF308" s="205"/>
      <c r="GG308" s="205"/>
      <c r="GH308" s="205"/>
      <c r="GI308" s="205"/>
      <c r="GJ308" s="205"/>
      <c r="GK308" s="205"/>
      <c r="GL308" s="205"/>
      <c r="GM308" s="205"/>
      <c r="GN308" s="205"/>
      <c r="GO308" s="205"/>
      <c r="GP308" s="205"/>
      <c r="GQ308" s="205"/>
      <c r="GR308" s="205"/>
      <c r="GS308" s="205"/>
      <c r="GT308" s="205"/>
      <c r="GU308" s="205"/>
      <c r="GV308" s="205"/>
      <c r="GW308" s="205"/>
      <c r="GX308" s="205"/>
      <c r="GY308" s="205"/>
      <c r="GZ308" s="205"/>
      <c r="HA308" s="205"/>
      <c r="HB308" s="205"/>
      <c r="HC308" s="205"/>
      <c r="HD308" s="205"/>
      <c r="HE308" s="205"/>
      <c r="HF308" s="205"/>
      <c r="HG308" s="205"/>
      <c r="HH308" s="205"/>
      <c r="HI308" s="205"/>
      <c r="HJ308" s="205"/>
      <c r="HK308" s="205"/>
      <c r="HL308" s="205"/>
      <c r="HM308" s="205"/>
      <c r="HN308" s="205"/>
      <c r="HO308" s="205"/>
      <c r="HP308" s="205"/>
      <c r="HQ308" s="205"/>
      <c r="HR308" s="205"/>
      <c r="HS308" s="205"/>
      <c r="HT308" s="205"/>
      <c r="HU308" s="205"/>
      <c r="HV308" s="205"/>
      <c r="HW308" s="205"/>
      <c r="HX308" s="205"/>
      <c r="HY308" s="205"/>
      <c r="HZ308" s="205"/>
      <c r="IA308" s="205"/>
      <c r="IB308" s="205"/>
      <c r="IC308" s="205"/>
      <c r="ID308" s="205"/>
      <c r="IE308" s="205"/>
      <c r="IF308" s="205"/>
      <c r="IG308" s="205"/>
      <c r="IH308" s="205"/>
      <c r="II308" s="205"/>
      <c r="IJ308" s="205"/>
      <c r="IK308" s="205"/>
      <c r="IL308" s="205"/>
      <c r="IM308" s="205"/>
      <c r="IN308" s="205"/>
      <c r="IO308" s="205"/>
      <c r="IP308" s="205"/>
      <c r="IQ308" s="205"/>
      <c r="IR308" s="205"/>
      <c r="IS308" s="205"/>
      <c r="IT308" s="205"/>
      <c r="IU308" s="205"/>
      <c r="IV308" s="205"/>
      <c r="IW308" s="205"/>
      <c r="IX308" s="205"/>
    </row>
    <row r="309" spans="1:258" s="203" customFormat="1" x14ac:dyDescent="0.2">
      <c r="A309" s="669"/>
      <c r="B309" s="670"/>
      <c r="C309" s="1390"/>
      <c r="D309" s="672"/>
      <c r="E309" s="1391"/>
      <c r="F309" s="1391"/>
      <c r="G309" s="1392" t="s">
        <v>1724</v>
      </c>
      <c r="H309" s="1393">
        <f>1.5-0.15</f>
        <v>1.35</v>
      </c>
      <c r="I309" s="1394" t="s">
        <v>424</v>
      </c>
      <c r="J309" s="1394">
        <f>1.5-0.15</f>
        <v>1.35</v>
      </c>
      <c r="K309" s="1394" t="s">
        <v>424</v>
      </c>
      <c r="L309" s="1394">
        <v>5</v>
      </c>
      <c r="M309" s="1394"/>
      <c r="N309" s="1394"/>
      <c r="O309" s="1394"/>
      <c r="P309" s="1394"/>
      <c r="Q309" s="1362" t="s">
        <v>696</v>
      </c>
      <c r="R309" s="1363">
        <f>H309*J309*L309</f>
        <v>9.1125000000000007</v>
      </c>
      <c r="S309" s="1396"/>
      <c r="T309" s="1397"/>
      <c r="U309" s="205"/>
      <c r="V309" s="685"/>
      <c r="W309" s="205"/>
      <c r="X309" s="205"/>
      <c r="Y309" s="205"/>
      <c r="Z309" s="205"/>
      <c r="AA309" s="205"/>
      <c r="AB309" s="205"/>
      <c r="AC309" s="205"/>
      <c r="AD309" s="205"/>
      <c r="AE309" s="205"/>
      <c r="AF309" s="205"/>
      <c r="AG309" s="205"/>
      <c r="AH309" s="205"/>
      <c r="AI309" s="205"/>
      <c r="AJ309" s="205"/>
      <c r="AK309" s="205"/>
      <c r="AL309" s="205"/>
      <c r="AM309" s="205"/>
      <c r="AN309" s="205"/>
      <c r="AO309" s="205"/>
      <c r="AP309" s="205"/>
      <c r="AQ309" s="205"/>
      <c r="AR309" s="205"/>
      <c r="AS309" s="205"/>
      <c r="AT309" s="205"/>
      <c r="AU309" s="205"/>
      <c r="AV309" s="205"/>
      <c r="AW309" s="205"/>
      <c r="AX309" s="205"/>
      <c r="AY309" s="205"/>
      <c r="AZ309" s="205"/>
      <c r="BA309" s="205"/>
      <c r="BB309" s="205"/>
      <c r="BC309" s="205"/>
      <c r="BD309" s="205"/>
      <c r="BE309" s="205"/>
      <c r="BF309" s="205"/>
      <c r="BG309" s="205"/>
      <c r="BH309" s="205"/>
      <c r="BI309" s="205"/>
      <c r="BJ309" s="205"/>
      <c r="BK309" s="205"/>
      <c r="BL309" s="205"/>
      <c r="BM309" s="205"/>
      <c r="BN309" s="205"/>
      <c r="BO309" s="205"/>
      <c r="BP309" s="205"/>
      <c r="BQ309" s="205"/>
      <c r="BR309" s="205"/>
      <c r="BS309" s="205"/>
      <c r="BT309" s="205"/>
      <c r="BU309" s="205"/>
      <c r="BV309" s="205"/>
      <c r="BW309" s="205"/>
      <c r="BX309" s="205"/>
      <c r="BY309" s="205"/>
      <c r="BZ309" s="205"/>
      <c r="CA309" s="205"/>
      <c r="CB309" s="205"/>
      <c r="CC309" s="205"/>
      <c r="CD309" s="205"/>
      <c r="CE309" s="205"/>
      <c r="CF309" s="205"/>
      <c r="CG309" s="205"/>
      <c r="CH309" s="205"/>
      <c r="CI309" s="205"/>
      <c r="CJ309" s="205"/>
      <c r="CK309" s="205"/>
      <c r="CL309" s="205"/>
      <c r="CM309" s="205"/>
      <c r="CN309" s="205"/>
      <c r="CO309" s="205"/>
      <c r="CP309" s="205"/>
      <c r="CQ309" s="205"/>
      <c r="CR309" s="205"/>
      <c r="CS309" s="205"/>
      <c r="CT309" s="205"/>
      <c r="CU309" s="205"/>
      <c r="CV309" s="205"/>
      <c r="CW309" s="205"/>
      <c r="CX309" s="205"/>
      <c r="CY309" s="205"/>
      <c r="CZ309" s="205"/>
      <c r="DA309" s="205"/>
      <c r="DB309" s="205"/>
      <c r="DC309" s="205"/>
      <c r="DD309" s="205"/>
      <c r="DE309" s="205"/>
      <c r="DF309" s="205"/>
      <c r="DG309" s="205"/>
      <c r="DH309" s="205"/>
      <c r="DI309" s="205"/>
      <c r="DJ309" s="205"/>
      <c r="DK309" s="205"/>
      <c r="DL309" s="205"/>
      <c r="DM309" s="205"/>
      <c r="DN309" s="205"/>
      <c r="DO309" s="205"/>
      <c r="DP309" s="205"/>
      <c r="DQ309" s="205"/>
      <c r="DR309" s="205"/>
      <c r="DS309" s="205"/>
      <c r="DT309" s="205"/>
      <c r="DU309" s="205"/>
      <c r="DV309" s="205"/>
      <c r="DW309" s="205"/>
      <c r="DX309" s="205"/>
      <c r="DY309" s="205"/>
      <c r="DZ309" s="205"/>
      <c r="EA309" s="205"/>
      <c r="EB309" s="205"/>
      <c r="EC309" s="205"/>
      <c r="ED309" s="205"/>
      <c r="EE309" s="205"/>
      <c r="EF309" s="205"/>
      <c r="EG309" s="205"/>
      <c r="EH309" s="205"/>
      <c r="EI309" s="205"/>
      <c r="EJ309" s="205"/>
      <c r="EK309" s="205"/>
      <c r="EL309" s="205"/>
      <c r="EM309" s="205"/>
      <c r="EN309" s="205"/>
      <c r="EO309" s="205"/>
      <c r="EP309" s="205"/>
      <c r="EQ309" s="205"/>
      <c r="ER309" s="205"/>
      <c r="ES309" s="205"/>
      <c r="ET309" s="205"/>
      <c r="EU309" s="205"/>
      <c r="EV309" s="205"/>
      <c r="EW309" s="205"/>
      <c r="EX309" s="205"/>
      <c r="EY309" s="205"/>
      <c r="EZ309" s="205"/>
      <c r="FA309" s="205"/>
      <c r="FB309" s="205"/>
      <c r="FC309" s="205"/>
      <c r="FD309" s="205"/>
      <c r="FE309" s="205"/>
      <c r="FF309" s="205"/>
      <c r="FG309" s="205"/>
      <c r="FH309" s="205"/>
      <c r="FI309" s="205"/>
      <c r="FJ309" s="205"/>
      <c r="FK309" s="205"/>
      <c r="FL309" s="205"/>
      <c r="FM309" s="205"/>
      <c r="FN309" s="205"/>
      <c r="FO309" s="205"/>
      <c r="FP309" s="205"/>
      <c r="FQ309" s="205"/>
      <c r="FR309" s="205"/>
      <c r="FS309" s="205"/>
      <c r="FT309" s="205"/>
      <c r="FU309" s="205"/>
      <c r="FV309" s="205"/>
      <c r="FW309" s="205"/>
      <c r="FX309" s="205"/>
      <c r="FY309" s="205"/>
      <c r="FZ309" s="205"/>
      <c r="GA309" s="205"/>
      <c r="GB309" s="205"/>
      <c r="GC309" s="205"/>
      <c r="GD309" s="205"/>
      <c r="GE309" s="205"/>
      <c r="GF309" s="205"/>
      <c r="GG309" s="205"/>
      <c r="GH309" s="205"/>
      <c r="GI309" s="205"/>
      <c r="GJ309" s="205"/>
      <c r="GK309" s="205"/>
      <c r="GL309" s="205"/>
      <c r="GM309" s="205"/>
      <c r="GN309" s="205"/>
      <c r="GO309" s="205"/>
      <c r="GP309" s="205"/>
      <c r="GQ309" s="205"/>
      <c r="GR309" s="205"/>
      <c r="GS309" s="205"/>
      <c r="GT309" s="205"/>
      <c r="GU309" s="205"/>
      <c r="GV309" s="205"/>
      <c r="GW309" s="205"/>
      <c r="GX309" s="205"/>
      <c r="GY309" s="205"/>
      <c r="GZ309" s="205"/>
      <c r="HA309" s="205"/>
      <c r="HB309" s="205"/>
      <c r="HC309" s="205"/>
      <c r="HD309" s="205"/>
      <c r="HE309" s="205"/>
      <c r="HF309" s="205"/>
      <c r="HG309" s="205"/>
      <c r="HH309" s="205"/>
      <c r="HI309" s="205"/>
      <c r="HJ309" s="205"/>
      <c r="HK309" s="205"/>
      <c r="HL309" s="205"/>
      <c r="HM309" s="205"/>
      <c r="HN309" s="205"/>
      <c r="HO309" s="205"/>
      <c r="HP309" s="205"/>
      <c r="HQ309" s="205"/>
      <c r="HR309" s="205"/>
      <c r="HS309" s="205"/>
      <c r="HT309" s="205"/>
      <c r="HU309" s="205"/>
      <c r="HV309" s="205"/>
      <c r="HW309" s="205"/>
      <c r="HX309" s="205"/>
      <c r="HY309" s="205"/>
      <c r="HZ309" s="205"/>
      <c r="IA309" s="205"/>
      <c r="IB309" s="205"/>
      <c r="IC309" s="205"/>
      <c r="ID309" s="205"/>
      <c r="IE309" s="205"/>
      <c r="IF309" s="205"/>
      <c r="IG309" s="205"/>
      <c r="IH309" s="205"/>
      <c r="II309" s="205"/>
      <c r="IJ309" s="205"/>
      <c r="IK309" s="205"/>
      <c r="IL309" s="205"/>
      <c r="IM309" s="205"/>
      <c r="IN309" s="205"/>
      <c r="IO309" s="205"/>
      <c r="IP309" s="205"/>
      <c r="IQ309" s="205"/>
      <c r="IR309" s="205"/>
      <c r="IS309" s="205"/>
      <c r="IT309" s="205"/>
      <c r="IU309" s="205"/>
      <c r="IV309" s="205"/>
      <c r="IW309" s="205"/>
      <c r="IX309" s="205"/>
    </row>
    <row r="310" spans="1:258" s="203" customFormat="1" x14ac:dyDescent="0.2">
      <c r="A310" s="669"/>
      <c r="B310" s="670"/>
      <c r="C310" s="1390"/>
      <c r="D310" s="672"/>
      <c r="E310" s="1391"/>
      <c r="F310" s="1391"/>
      <c r="G310" s="1392" t="s">
        <v>1725</v>
      </c>
      <c r="H310" s="1393">
        <f>1.75-0.15</f>
        <v>1.6</v>
      </c>
      <c r="I310" s="1394" t="s">
        <v>424</v>
      </c>
      <c r="J310" s="1394">
        <f>1.25-0.15</f>
        <v>1.1000000000000001</v>
      </c>
      <c r="K310" s="1394" t="s">
        <v>424</v>
      </c>
      <c r="L310" s="1394">
        <v>2</v>
      </c>
      <c r="M310" s="1394"/>
      <c r="N310" s="1394"/>
      <c r="O310" s="1394"/>
      <c r="P310" s="1394"/>
      <c r="Q310" s="1362" t="s">
        <v>696</v>
      </c>
      <c r="R310" s="1363">
        <f>H310*J310*L310</f>
        <v>3.5200000000000005</v>
      </c>
      <c r="S310" s="1396"/>
      <c r="T310" s="1397"/>
      <c r="U310" s="205"/>
      <c r="V310" s="685"/>
      <c r="W310" s="205"/>
      <c r="X310" s="205"/>
      <c r="Y310" s="205"/>
      <c r="Z310" s="205"/>
      <c r="AA310" s="205"/>
      <c r="AB310" s="205"/>
      <c r="AC310" s="205"/>
      <c r="AD310" s="205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  <c r="AP310" s="205"/>
      <c r="AQ310" s="205"/>
      <c r="AR310" s="205"/>
      <c r="AS310" s="205"/>
      <c r="AT310" s="205"/>
      <c r="AU310" s="205"/>
      <c r="AV310" s="205"/>
      <c r="AW310" s="205"/>
      <c r="AX310" s="205"/>
      <c r="AY310" s="205"/>
      <c r="AZ310" s="205"/>
      <c r="BA310" s="205"/>
      <c r="BB310" s="205"/>
      <c r="BC310" s="205"/>
      <c r="BD310" s="205"/>
      <c r="BE310" s="205"/>
      <c r="BF310" s="205"/>
      <c r="BG310" s="205"/>
      <c r="BH310" s="205"/>
      <c r="BI310" s="205"/>
      <c r="BJ310" s="205"/>
      <c r="BK310" s="205"/>
      <c r="BL310" s="205"/>
      <c r="BM310" s="205"/>
      <c r="BN310" s="205"/>
      <c r="BO310" s="205"/>
      <c r="BP310" s="205"/>
      <c r="BQ310" s="205"/>
      <c r="BR310" s="205"/>
      <c r="BS310" s="205"/>
      <c r="BT310" s="205"/>
      <c r="BU310" s="205"/>
      <c r="BV310" s="205"/>
      <c r="BW310" s="205"/>
      <c r="BX310" s="205"/>
      <c r="BY310" s="205"/>
      <c r="BZ310" s="205"/>
      <c r="CA310" s="205"/>
      <c r="CB310" s="205"/>
      <c r="CC310" s="205"/>
      <c r="CD310" s="205"/>
      <c r="CE310" s="205"/>
      <c r="CF310" s="205"/>
      <c r="CG310" s="205"/>
      <c r="CH310" s="205"/>
      <c r="CI310" s="205"/>
      <c r="CJ310" s="205"/>
      <c r="CK310" s="205"/>
      <c r="CL310" s="205"/>
      <c r="CM310" s="205"/>
      <c r="CN310" s="205"/>
      <c r="CO310" s="205"/>
      <c r="CP310" s="205"/>
      <c r="CQ310" s="205"/>
      <c r="CR310" s="205"/>
      <c r="CS310" s="205"/>
      <c r="CT310" s="205"/>
      <c r="CU310" s="205"/>
      <c r="CV310" s="205"/>
      <c r="CW310" s="205"/>
      <c r="CX310" s="205"/>
      <c r="CY310" s="205"/>
      <c r="CZ310" s="205"/>
      <c r="DA310" s="205"/>
      <c r="DB310" s="205"/>
      <c r="DC310" s="205"/>
      <c r="DD310" s="205"/>
      <c r="DE310" s="205"/>
      <c r="DF310" s="205"/>
      <c r="DG310" s="205"/>
      <c r="DH310" s="205"/>
      <c r="DI310" s="205"/>
      <c r="DJ310" s="205"/>
      <c r="DK310" s="205"/>
      <c r="DL310" s="205"/>
      <c r="DM310" s="205"/>
      <c r="DN310" s="205"/>
      <c r="DO310" s="205"/>
      <c r="DP310" s="205"/>
      <c r="DQ310" s="205"/>
      <c r="DR310" s="205"/>
      <c r="DS310" s="205"/>
      <c r="DT310" s="205"/>
      <c r="DU310" s="205"/>
      <c r="DV310" s="205"/>
      <c r="DW310" s="205"/>
      <c r="DX310" s="205"/>
      <c r="DY310" s="205"/>
      <c r="DZ310" s="205"/>
      <c r="EA310" s="205"/>
      <c r="EB310" s="205"/>
      <c r="EC310" s="205"/>
      <c r="ED310" s="205"/>
      <c r="EE310" s="205"/>
      <c r="EF310" s="205"/>
      <c r="EG310" s="205"/>
      <c r="EH310" s="205"/>
      <c r="EI310" s="205"/>
      <c r="EJ310" s="205"/>
      <c r="EK310" s="205"/>
      <c r="EL310" s="205"/>
      <c r="EM310" s="205"/>
      <c r="EN310" s="205"/>
      <c r="EO310" s="205"/>
      <c r="EP310" s="205"/>
      <c r="EQ310" s="205"/>
      <c r="ER310" s="205"/>
      <c r="ES310" s="205"/>
      <c r="ET310" s="205"/>
      <c r="EU310" s="205"/>
      <c r="EV310" s="205"/>
      <c r="EW310" s="205"/>
      <c r="EX310" s="205"/>
      <c r="EY310" s="205"/>
      <c r="EZ310" s="205"/>
      <c r="FA310" s="205"/>
      <c r="FB310" s="205"/>
      <c r="FC310" s="205"/>
      <c r="FD310" s="205"/>
      <c r="FE310" s="205"/>
      <c r="FF310" s="205"/>
      <c r="FG310" s="205"/>
      <c r="FH310" s="205"/>
      <c r="FI310" s="205"/>
      <c r="FJ310" s="205"/>
      <c r="FK310" s="205"/>
      <c r="FL310" s="205"/>
      <c r="FM310" s="205"/>
      <c r="FN310" s="205"/>
      <c r="FO310" s="205"/>
      <c r="FP310" s="205"/>
      <c r="FQ310" s="205"/>
      <c r="FR310" s="205"/>
      <c r="FS310" s="205"/>
      <c r="FT310" s="205"/>
      <c r="FU310" s="205"/>
      <c r="FV310" s="205"/>
      <c r="FW310" s="205"/>
      <c r="FX310" s="205"/>
      <c r="FY310" s="205"/>
      <c r="FZ310" s="205"/>
      <c r="GA310" s="205"/>
      <c r="GB310" s="205"/>
      <c r="GC310" s="205"/>
      <c r="GD310" s="205"/>
      <c r="GE310" s="205"/>
      <c r="GF310" s="205"/>
      <c r="GG310" s="205"/>
      <c r="GH310" s="205"/>
      <c r="GI310" s="205"/>
      <c r="GJ310" s="205"/>
      <c r="GK310" s="205"/>
      <c r="GL310" s="205"/>
      <c r="GM310" s="205"/>
      <c r="GN310" s="205"/>
      <c r="GO310" s="205"/>
      <c r="GP310" s="205"/>
      <c r="GQ310" s="205"/>
      <c r="GR310" s="205"/>
      <c r="GS310" s="205"/>
      <c r="GT310" s="205"/>
      <c r="GU310" s="205"/>
      <c r="GV310" s="205"/>
      <c r="GW310" s="205"/>
      <c r="GX310" s="205"/>
      <c r="GY310" s="205"/>
      <c r="GZ310" s="205"/>
      <c r="HA310" s="205"/>
      <c r="HB310" s="205"/>
      <c r="HC310" s="205"/>
      <c r="HD310" s="205"/>
      <c r="HE310" s="205"/>
      <c r="HF310" s="205"/>
      <c r="HG310" s="205"/>
      <c r="HH310" s="205"/>
      <c r="HI310" s="205"/>
      <c r="HJ310" s="205"/>
      <c r="HK310" s="205"/>
      <c r="HL310" s="205"/>
      <c r="HM310" s="205"/>
      <c r="HN310" s="205"/>
      <c r="HO310" s="205"/>
      <c r="HP310" s="205"/>
      <c r="HQ310" s="205"/>
      <c r="HR310" s="205"/>
      <c r="HS310" s="205"/>
      <c r="HT310" s="205"/>
      <c r="HU310" s="205"/>
      <c r="HV310" s="205"/>
      <c r="HW310" s="205"/>
      <c r="HX310" s="205"/>
      <c r="HY310" s="205"/>
      <c r="HZ310" s="205"/>
      <c r="IA310" s="205"/>
      <c r="IB310" s="205"/>
      <c r="IC310" s="205"/>
      <c r="ID310" s="205"/>
      <c r="IE310" s="205"/>
      <c r="IF310" s="205"/>
      <c r="IG310" s="205"/>
      <c r="IH310" s="205"/>
      <c r="II310" s="205"/>
      <c r="IJ310" s="205"/>
      <c r="IK310" s="205"/>
      <c r="IL310" s="205"/>
      <c r="IM310" s="205"/>
      <c r="IN310" s="205"/>
      <c r="IO310" s="205"/>
      <c r="IP310" s="205"/>
      <c r="IQ310" s="205"/>
      <c r="IR310" s="205"/>
      <c r="IS310" s="205"/>
      <c r="IT310" s="205"/>
      <c r="IU310" s="205"/>
      <c r="IV310" s="205"/>
      <c r="IW310" s="205"/>
      <c r="IX310" s="205"/>
    </row>
    <row r="311" spans="1:258" s="203" customFormat="1" x14ac:dyDescent="0.2">
      <c r="A311" s="669"/>
      <c r="B311" s="670"/>
      <c r="C311" s="1390"/>
      <c r="D311" s="672"/>
      <c r="E311" s="1391"/>
      <c r="F311" s="1391"/>
      <c r="G311" s="1392" t="s">
        <v>1726</v>
      </c>
      <c r="H311" s="1393">
        <f t="shared" ref="H311" si="137">1.75-0.15</f>
        <v>1.6</v>
      </c>
      <c r="I311" s="1394" t="s">
        <v>424</v>
      </c>
      <c r="J311" s="1394">
        <f>1.5-0.15</f>
        <v>1.35</v>
      </c>
      <c r="K311" s="1394" t="s">
        <v>424</v>
      </c>
      <c r="L311" s="1394">
        <v>1</v>
      </c>
      <c r="M311" s="1394"/>
      <c r="N311" s="1394"/>
      <c r="O311" s="1394"/>
      <c r="P311" s="1394"/>
      <c r="Q311" s="1362" t="s">
        <v>696</v>
      </c>
      <c r="R311" s="1363">
        <f t="shared" ref="R311:R312" si="138">H311*J311*L311</f>
        <v>2.16</v>
      </c>
      <c r="S311" s="1396"/>
      <c r="T311" s="1397"/>
      <c r="U311" s="205"/>
      <c r="V311" s="685"/>
      <c r="W311" s="205"/>
      <c r="X311" s="205"/>
      <c r="Y311" s="205"/>
      <c r="Z311" s="205"/>
      <c r="AA311" s="205"/>
      <c r="AB311" s="205"/>
      <c r="AC311" s="205"/>
      <c r="AD311" s="205"/>
      <c r="AE311" s="205"/>
      <c r="AF311" s="205"/>
      <c r="AG311" s="205"/>
      <c r="AH311" s="205"/>
      <c r="AI311" s="205"/>
      <c r="AJ311" s="205"/>
      <c r="AK311" s="205"/>
      <c r="AL311" s="205"/>
      <c r="AM311" s="205"/>
      <c r="AN311" s="205"/>
      <c r="AO311" s="205"/>
      <c r="AP311" s="205"/>
      <c r="AQ311" s="205"/>
      <c r="AR311" s="205"/>
      <c r="AS311" s="205"/>
      <c r="AT311" s="205"/>
      <c r="AU311" s="205"/>
      <c r="AV311" s="205"/>
      <c r="AW311" s="205"/>
      <c r="AX311" s="205"/>
      <c r="AY311" s="205"/>
      <c r="AZ311" s="205"/>
      <c r="BA311" s="205"/>
      <c r="BB311" s="205"/>
      <c r="BC311" s="205"/>
      <c r="BD311" s="205"/>
      <c r="BE311" s="205"/>
      <c r="BF311" s="205"/>
      <c r="BG311" s="205"/>
      <c r="BH311" s="205"/>
      <c r="BI311" s="205"/>
      <c r="BJ311" s="205"/>
      <c r="BK311" s="205"/>
      <c r="BL311" s="205"/>
      <c r="BM311" s="205"/>
      <c r="BN311" s="205"/>
      <c r="BO311" s="205"/>
      <c r="BP311" s="205"/>
      <c r="BQ311" s="205"/>
      <c r="BR311" s="205"/>
      <c r="BS311" s="205"/>
      <c r="BT311" s="205"/>
      <c r="BU311" s="205"/>
      <c r="BV311" s="205"/>
      <c r="BW311" s="205"/>
      <c r="BX311" s="205"/>
      <c r="BY311" s="205"/>
      <c r="BZ311" s="205"/>
      <c r="CA311" s="205"/>
      <c r="CB311" s="205"/>
      <c r="CC311" s="205"/>
      <c r="CD311" s="205"/>
      <c r="CE311" s="205"/>
      <c r="CF311" s="205"/>
      <c r="CG311" s="205"/>
      <c r="CH311" s="205"/>
      <c r="CI311" s="205"/>
      <c r="CJ311" s="205"/>
      <c r="CK311" s="205"/>
      <c r="CL311" s="205"/>
      <c r="CM311" s="205"/>
      <c r="CN311" s="205"/>
      <c r="CO311" s="205"/>
      <c r="CP311" s="205"/>
      <c r="CQ311" s="205"/>
      <c r="CR311" s="205"/>
      <c r="CS311" s="205"/>
      <c r="CT311" s="205"/>
      <c r="CU311" s="205"/>
      <c r="CV311" s="205"/>
      <c r="CW311" s="205"/>
      <c r="CX311" s="205"/>
      <c r="CY311" s="205"/>
      <c r="CZ311" s="205"/>
      <c r="DA311" s="205"/>
      <c r="DB311" s="205"/>
      <c r="DC311" s="205"/>
      <c r="DD311" s="205"/>
      <c r="DE311" s="205"/>
      <c r="DF311" s="205"/>
      <c r="DG311" s="205"/>
      <c r="DH311" s="205"/>
      <c r="DI311" s="205"/>
      <c r="DJ311" s="205"/>
      <c r="DK311" s="205"/>
      <c r="DL311" s="205"/>
      <c r="DM311" s="205"/>
      <c r="DN311" s="205"/>
      <c r="DO311" s="205"/>
      <c r="DP311" s="205"/>
      <c r="DQ311" s="205"/>
      <c r="DR311" s="205"/>
      <c r="DS311" s="205"/>
      <c r="DT311" s="205"/>
      <c r="DU311" s="205"/>
      <c r="DV311" s="205"/>
      <c r="DW311" s="205"/>
      <c r="DX311" s="205"/>
      <c r="DY311" s="205"/>
      <c r="DZ311" s="205"/>
      <c r="EA311" s="205"/>
      <c r="EB311" s="205"/>
      <c r="EC311" s="205"/>
      <c r="ED311" s="205"/>
      <c r="EE311" s="205"/>
      <c r="EF311" s="205"/>
      <c r="EG311" s="205"/>
      <c r="EH311" s="205"/>
      <c r="EI311" s="205"/>
      <c r="EJ311" s="205"/>
      <c r="EK311" s="205"/>
      <c r="EL311" s="205"/>
      <c r="EM311" s="205"/>
      <c r="EN311" s="205"/>
      <c r="EO311" s="205"/>
      <c r="EP311" s="205"/>
      <c r="EQ311" s="205"/>
      <c r="ER311" s="205"/>
      <c r="ES311" s="205"/>
      <c r="ET311" s="205"/>
      <c r="EU311" s="205"/>
      <c r="EV311" s="205"/>
      <c r="EW311" s="205"/>
      <c r="EX311" s="205"/>
      <c r="EY311" s="205"/>
      <c r="EZ311" s="205"/>
      <c r="FA311" s="205"/>
      <c r="FB311" s="205"/>
      <c r="FC311" s="205"/>
      <c r="FD311" s="205"/>
      <c r="FE311" s="205"/>
      <c r="FF311" s="205"/>
      <c r="FG311" s="205"/>
      <c r="FH311" s="205"/>
      <c r="FI311" s="205"/>
      <c r="FJ311" s="205"/>
      <c r="FK311" s="205"/>
      <c r="FL311" s="205"/>
      <c r="FM311" s="205"/>
      <c r="FN311" s="205"/>
      <c r="FO311" s="205"/>
      <c r="FP311" s="205"/>
      <c r="FQ311" s="205"/>
      <c r="FR311" s="205"/>
      <c r="FS311" s="205"/>
      <c r="FT311" s="205"/>
      <c r="FU311" s="205"/>
      <c r="FV311" s="205"/>
      <c r="FW311" s="205"/>
      <c r="FX311" s="205"/>
      <c r="FY311" s="205"/>
      <c r="FZ311" s="205"/>
      <c r="GA311" s="205"/>
      <c r="GB311" s="205"/>
      <c r="GC311" s="205"/>
      <c r="GD311" s="205"/>
      <c r="GE311" s="205"/>
      <c r="GF311" s="205"/>
      <c r="GG311" s="205"/>
      <c r="GH311" s="205"/>
      <c r="GI311" s="205"/>
      <c r="GJ311" s="205"/>
      <c r="GK311" s="205"/>
      <c r="GL311" s="205"/>
      <c r="GM311" s="205"/>
      <c r="GN311" s="205"/>
      <c r="GO311" s="205"/>
      <c r="GP311" s="205"/>
      <c r="GQ311" s="205"/>
      <c r="GR311" s="205"/>
      <c r="GS311" s="205"/>
      <c r="GT311" s="205"/>
      <c r="GU311" s="205"/>
      <c r="GV311" s="205"/>
      <c r="GW311" s="205"/>
      <c r="GX311" s="205"/>
      <c r="GY311" s="205"/>
      <c r="GZ311" s="205"/>
      <c r="HA311" s="205"/>
      <c r="HB311" s="205"/>
      <c r="HC311" s="205"/>
      <c r="HD311" s="205"/>
      <c r="HE311" s="205"/>
      <c r="HF311" s="205"/>
      <c r="HG311" s="205"/>
      <c r="HH311" s="205"/>
      <c r="HI311" s="205"/>
      <c r="HJ311" s="205"/>
      <c r="HK311" s="205"/>
      <c r="HL311" s="205"/>
      <c r="HM311" s="205"/>
      <c r="HN311" s="205"/>
      <c r="HO311" s="205"/>
      <c r="HP311" s="205"/>
      <c r="HQ311" s="205"/>
      <c r="HR311" s="205"/>
      <c r="HS311" s="205"/>
      <c r="HT311" s="205"/>
      <c r="HU311" s="205"/>
      <c r="HV311" s="205"/>
      <c r="HW311" s="205"/>
      <c r="HX311" s="205"/>
      <c r="HY311" s="205"/>
      <c r="HZ311" s="205"/>
      <c r="IA311" s="205"/>
      <c r="IB311" s="205"/>
      <c r="IC311" s="205"/>
      <c r="ID311" s="205"/>
      <c r="IE311" s="205"/>
      <c r="IF311" s="205"/>
      <c r="IG311" s="205"/>
      <c r="IH311" s="205"/>
      <c r="II311" s="205"/>
      <c r="IJ311" s="205"/>
      <c r="IK311" s="205"/>
      <c r="IL311" s="205"/>
      <c r="IM311" s="205"/>
      <c r="IN311" s="205"/>
      <c r="IO311" s="205"/>
      <c r="IP311" s="205"/>
      <c r="IQ311" s="205"/>
      <c r="IR311" s="205"/>
      <c r="IS311" s="205"/>
      <c r="IT311" s="205"/>
      <c r="IU311" s="205"/>
      <c r="IV311" s="205"/>
      <c r="IW311" s="205"/>
      <c r="IX311" s="205"/>
    </row>
    <row r="312" spans="1:258" s="203" customFormat="1" x14ac:dyDescent="0.2">
      <c r="A312" s="669"/>
      <c r="B312" s="670"/>
      <c r="C312" s="1390"/>
      <c r="D312" s="672"/>
      <c r="E312" s="1391"/>
      <c r="F312" s="1391"/>
      <c r="G312" s="1392"/>
      <c r="H312" s="1393">
        <f>1.5-0.15</f>
        <v>1.35</v>
      </c>
      <c r="I312" s="1394" t="s">
        <v>424</v>
      </c>
      <c r="J312" s="1394">
        <f t="shared" ref="J312" si="139">1.25-0.15</f>
        <v>1.1000000000000001</v>
      </c>
      <c r="K312" s="1394" t="s">
        <v>424</v>
      </c>
      <c r="L312" s="1394">
        <f>L311</f>
        <v>1</v>
      </c>
      <c r="M312" s="1394"/>
      <c r="N312" s="1394"/>
      <c r="O312" s="1394"/>
      <c r="P312" s="1394"/>
      <c r="Q312" s="1362" t="s">
        <v>696</v>
      </c>
      <c r="R312" s="1363">
        <f t="shared" si="138"/>
        <v>1.4850000000000003</v>
      </c>
      <c r="S312" s="1396"/>
      <c r="T312" s="1397"/>
      <c r="U312" s="205"/>
      <c r="V312" s="685"/>
      <c r="W312" s="205"/>
      <c r="X312" s="205"/>
      <c r="Y312" s="205"/>
      <c r="Z312" s="205"/>
      <c r="AA312" s="205"/>
      <c r="AB312" s="205"/>
      <c r="AC312" s="205"/>
      <c r="AD312" s="205"/>
      <c r="AE312" s="205"/>
      <c r="AF312" s="205"/>
      <c r="AG312" s="205"/>
      <c r="AH312" s="205"/>
      <c r="AI312" s="205"/>
      <c r="AJ312" s="205"/>
      <c r="AK312" s="205"/>
      <c r="AL312" s="205"/>
      <c r="AM312" s="205"/>
      <c r="AN312" s="205"/>
      <c r="AO312" s="205"/>
      <c r="AP312" s="205"/>
      <c r="AQ312" s="205"/>
      <c r="AR312" s="205"/>
      <c r="AS312" s="205"/>
      <c r="AT312" s="205"/>
      <c r="AU312" s="205"/>
      <c r="AV312" s="205"/>
      <c r="AW312" s="205"/>
      <c r="AX312" s="205"/>
      <c r="AY312" s="205"/>
      <c r="AZ312" s="205"/>
      <c r="BA312" s="205"/>
      <c r="BB312" s="205"/>
      <c r="BC312" s="205"/>
      <c r="BD312" s="205"/>
      <c r="BE312" s="205"/>
      <c r="BF312" s="205"/>
      <c r="BG312" s="205"/>
      <c r="BH312" s="205"/>
      <c r="BI312" s="205"/>
      <c r="BJ312" s="205"/>
      <c r="BK312" s="205"/>
      <c r="BL312" s="205"/>
      <c r="BM312" s="205"/>
      <c r="BN312" s="205"/>
      <c r="BO312" s="205"/>
      <c r="BP312" s="205"/>
      <c r="BQ312" s="205"/>
      <c r="BR312" s="205"/>
      <c r="BS312" s="205"/>
      <c r="BT312" s="205"/>
      <c r="BU312" s="205"/>
      <c r="BV312" s="205"/>
      <c r="BW312" s="205"/>
      <c r="BX312" s="205"/>
      <c r="BY312" s="205"/>
      <c r="BZ312" s="205"/>
      <c r="CA312" s="205"/>
      <c r="CB312" s="205"/>
      <c r="CC312" s="205"/>
      <c r="CD312" s="205"/>
      <c r="CE312" s="205"/>
      <c r="CF312" s="205"/>
      <c r="CG312" s="205"/>
      <c r="CH312" s="205"/>
      <c r="CI312" s="205"/>
      <c r="CJ312" s="205"/>
      <c r="CK312" s="205"/>
      <c r="CL312" s="205"/>
      <c r="CM312" s="205"/>
      <c r="CN312" s="205"/>
      <c r="CO312" s="205"/>
      <c r="CP312" s="205"/>
      <c r="CQ312" s="205"/>
      <c r="CR312" s="205"/>
      <c r="CS312" s="205"/>
      <c r="CT312" s="205"/>
      <c r="CU312" s="205"/>
      <c r="CV312" s="205"/>
      <c r="CW312" s="205"/>
      <c r="CX312" s="205"/>
      <c r="CY312" s="205"/>
      <c r="CZ312" s="205"/>
      <c r="DA312" s="205"/>
      <c r="DB312" s="205"/>
      <c r="DC312" s="205"/>
      <c r="DD312" s="205"/>
      <c r="DE312" s="205"/>
      <c r="DF312" s="205"/>
      <c r="DG312" s="205"/>
      <c r="DH312" s="205"/>
      <c r="DI312" s="205"/>
      <c r="DJ312" s="205"/>
      <c r="DK312" s="205"/>
      <c r="DL312" s="205"/>
      <c r="DM312" s="205"/>
      <c r="DN312" s="205"/>
      <c r="DO312" s="205"/>
      <c r="DP312" s="205"/>
      <c r="DQ312" s="205"/>
      <c r="DR312" s="205"/>
      <c r="DS312" s="205"/>
      <c r="DT312" s="205"/>
      <c r="DU312" s="205"/>
      <c r="DV312" s="205"/>
      <c r="DW312" s="205"/>
      <c r="DX312" s="205"/>
      <c r="DY312" s="205"/>
      <c r="DZ312" s="205"/>
      <c r="EA312" s="205"/>
      <c r="EB312" s="205"/>
      <c r="EC312" s="205"/>
      <c r="ED312" s="205"/>
      <c r="EE312" s="205"/>
      <c r="EF312" s="205"/>
      <c r="EG312" s="205"/>
      <c r="EH312" s="205"/>
      <c r="EI312" s="205"/>
      <c r="EJ312" s="205"/>
      <c r="EK312" s="205"/>
      <c r="EL312" s="205"/>
      <c r="EM312" s="205"/>
      <c r="EN312" s="205"/>
      <c r="EO312" s="205"/>
      <c r="EP312" s="205"/>
      <c r="EQ312" s="205"/>
      <c r="ER312" s="205"/>
      <c r="ES312" s="205"/>
      <c r="ET312" s="205"/>
      <c r="EU312" s="205"/>
      <c r="EV312" s="205"/>
      <c r="EW312" s="205"/>
      <c r="EX312" s="205"/>
      <c r="EY312" s="205"/>
      <c r="EZ312" s="205"/>
      <c r="FA312" s="205"/>
      <c r="FB312" s="205"/>
      <c r="FC312" s="205"/>
      <c r="FD312" s="205"/>
      <c r="FE312" s="205"/>
      <c r="FF312" s="205"/>
      <c r="FG312" s="205"/>
      <c r="FH312" s="205"/>
      <c r="FI312" s="205"/>
      <c r="FJ312" s="205"/>
      <c r="FK312" s="205"/>
      <c r="FL312" s="205"/>
      <c r="FM312" s="205"/>
      <c r="FN312" s="205"/>
      <c r="FO312" s="205"/>
      <c r="FP312" s="205"/>
      <c r="FQ312" s="205"/>
      <c r="FR312" s="205"/>
      <c r="FS312" s="205"/>
      <c r="FT312" s="205"/>
      <c r="FU312" s="205"/>
      <c r="FV312" s="205"/>
      <c r="FW312" s="205"/>
      <c r="FX312" s="205"/>
      <c r="FY312" s="205"/>
      <c r="FZ312" s="205"/>
      <c r="GA312" s="205"/>
      <c r="GB312" s="205"/>
      <c r="GC312" s="205"/>
      <c r="GD312" s="205"/>
      <c r="GE312" s="205"/>
      <c r="GF312" s="205"/>
      <c r="GG312" s="205"/>
      <c r="GH312" s="205"/>
      <c r="GI312" s="205"/>
      <c r="GJ312" s="205"/>
      <c r="GK312" s="205"/>
      <c r="GL312" s="205"/>
      <c r="GM312" s="205"/>
      <c r="GN312" s="205"/>
      <c r="GO312" s="205"/>
      <c r="GP312" s="205"/>
      <c r="GQ312" s="205"/>
      <c r="GR312" s="205"/>
      <c r="GS312" s="205"/>
      <c r="GT312" s="205"/>
      <c r="GU312" s="205"/>
      <c r="GV312" s="205"/>
      <c r="GW312" s="205"/>
      <c r="GX312" s="205"/>
      <c r="GY312" s="205"/>
      <c r="GZ312" s="205"/>
      <c r="HA312" s="205"/>
      <c r="HB312" s="205"/>
      <c r="HC312" s="205"/>
      <c r="HD312" s="205"/>
      <c r="HE312" s="205"/>
      <c r="HF312" s="205"/>
      <c r="HG312" s="205"/>
      <c r="HH312" s="205"/>
      <c r="HI312" s="205"/>
      <c r="HJ312" s="205"/>
      <c r="HK312" s="205"/>
      <c r="HL312" s="205"/>
      <c r="HM312" s="205"/>
      <c r="HN312" s="205"/>
      <c r="HO312" s="205"/>
      <c r="HP312" s="205"/>
      <c r="HQ312" s="205"/>
      <c r="HR312" s="205"/>
      <c r="HS312" s="205"/>
      <c r="HT312" s="205"/>
      <c r="HU312" s="205"/>
      <c r="HV312" s="205"/>
      <c r="HW312" s="205"/>
      <c r="HX312" s="205"/>
      <c r="HY312" s="205"/>
      <c r="HZ312" s="205"/>
      <c r="IA312" s="205"/>
      <c r="IB312" s="205"/>
      <c r="IC312" s="205"/>
      <c r="ID312" s="205"/>
      <c r="IE312" s="205"/>
      <c r="IF312" s="205"/>
      <c r="IG312" s="205"/>
      <c r="IH312" s="205"/>
      <c r="II312" s="205"/>
      <c r="IJ312" s="205"/>
      <c r="IK312" s="205"/>
      <c r="IL312" s="205"/>
      <c r="IM312" s="205"/>
      <c r="IN312" s="205"/>
      <c r="IO312" s="205"/>
      <c r="IP312" s="205"/>
      <c r="IQ312" s="205"/>
      <c r="IR312" s="205"/>
      <c r="IS312" s="205"/>
      <c r="IT312" s="205"/>
      <c r="IU312" s="205"/>
      <c r="IV312" s="205"/>
      <c r="IW312" s="205"/>
      <c r="IX312" s="205"/>
    </row>
    <row r="313" spans="1:258" s="203" customFormat="1" x14ac:dyDescent="0.2">
      <c r="A313" s="669"/>
      <c r="B313" s="670"/>
      <c r="C313" s="1390"/>
      <c r="D313" s="672"/>
      <c r="E313" s="1391"/>
      <c r="F313" s="1391"/>
      <c r="G313" s="1392" t="s">
        <v>1730</v>
      </c>
      <c r="H313" s="1393">
        <f>2-0.15</f>
        <v>1.85</v>
      </c>
      <c r="I313" s="1394" t="s">
        <v>424</v>
      </c>
      <c r="J313" s="1394">
        <f t="shared" ref="J313:J318" si="140">1.5-0.15</f>
        <v>1.35</v>
      </c>
      <c r="K313" s="1394" t="s">
        <v>424</v>
      </c>
      <c r="L313" s="1394">
        <v>1</v>
      </c>
      <c r="M313" s="1394"/>
      <c r="N313" s="1394"/>
      <c r="O313" s="1394"/>
      <c r="P313" s="1394"/>
      <c r="Q313" s="1362" t="s">
        <v>696</v>
      </c>
      <c r="R313" s="1363">
        <f t="shared" ref="R313" si="141">H313*J313*L313</f>
        <v>2.4975000000000005</v>
      </c>
      <c r="S313" s="1396"/>
      <c r="T313" s="1397"/>
      <c r="U313" s="205"/>
      <c r="V313" s="685"/>
      <c r="W313" s="205"/>
      <c r="X313" s="205"/>
      <c r="Y313" s="205"/>
      <c r="Z313" s="205"/>
      <c r="AA313" s="205"/>
      <c r="AB313" s="205"/>
      <c r="AC313" s="205"/>
      <c r="AD313" s="205"/>
      <c r="AE313" s="205"/>
      <c r="AF313" s="205"/>
      <c r="AG313" s="205"/>
      <c r="AH313" s="205"/>
      <c r="AI313" s="205"/>
      <c r="AJ313" s="205"/>
      <c r="AK313" s="205"/>
      <c r="AL313" s="205"/>
      <c r="AM313" s="205"/>
      <c r="AN313" s="205"/>
      <c r="AO313" s="205"/>
      <c r="AP313" s="205"/>
      <c r="AQ313" s="205"/>
      <c r="AR313" s="205"/>
      <c r="AS313" s="205"/>
      <c r="AT313" s="205"/>
      <c r="AU313" s="205"/>
      <c r="AV313" s="205"/>
      <c r="AW313" s="205"/>
      <c r="AX313" s="205"/>
      <c r="AY313" s="205"/>
      <c r="AZ313" s="205"/>
      <c r="BA313" s="205"/>
      <c r="BB313" s="205"/>
      <c r="BC313" s="205"/>
      <c r="BD313" s="205"/>
      <c r="BE313" s="205"/>
      <c r="BF313" s="205"/>
      <c r="BG313" s="205"/>
      <c r="BH313" s="205"/>
      <c r="BI313" s="205"/>
      <c r="BJ313" s="205"/>
      <c r="BK313" s="205"/>
      <c r="BL313" s="205"/>
      <c r="BM313" s="205"/>
      <c r="BN313" s="205"/>
      <c r="BO313" s="205"/>
      <c r="BP313" s="205"/>
      <c r="BQ313" s="205"/>
      <c r="BR313" s="205"/>
      <c r="BS313" s="205"/>
      <c r="BT313" s="205"/>
      <c r="BU313" s="205"/>
      <c r="BV313" s="205"/>
      <c r="BW313" s="205"/>
      <c r="BX313" s="205"/>
      <c r="BY313" s="205"/>
      <c r="BZ313" s="205"/>
      <c r="CA313" s="205"/>
      <c r="CB313" s="205"/>
      <c r="CC313" s="205"/>
      <c r="CD313" s="205"/>
      <c r="CE313" s="205"/>
      <c r="CF313" s="205"/>
      <c r="CG313" s="205"/>
      <c r="CH313" s="205"/>
      <c r="CI313" s="205"/>
      <c r="CJ313" s="205"/>
      <c r="CK313" s="205"/>
      <c r="CL313" s="205"/>
      <c r="CM313" s="205"/>
      <c r="CN313" s="205"/>
      <c r="CO313" s="205"/>
      <c r="CP313" s="205"/>
      <c r="CQ313" s="205"/>
      <c r="CR313" s="205"/>
      <c r="CS313" s="205"/>
      <c r="CT313" s="205"/>
      <c r="CU313" s="205"/>
      <c r="CV313" s="205"/>
      <c r="CW313" s="205"/>
      <c r="CX313" s="205"/>
      <c r="CY313" s="205"/>
      <c r="CZ313" s="205"/>
      <c r="DA313" s="205"/>
      <c r="DB313" s="205"/>
      <c r="DC313" s="205"/>
      <c r="DD313" s="205"/>
      <c r="DE313" s="205"/>
      <c r="DF313" s="205"/>
      <c r="DG313" s="205"/>
      <c r="DH313" s="205"/>
      <c r="DI313" s="205"/>
      <c r="DJ313" s="205"/>
      <c r="DK313" s="205"/>
      <c r="DL313" s="205"/>
      <c r="DM313" s="205"/>
      <c r="DN313" s="205"/>
      <c r="DO313" s="205"/>
      <c r="DP313" s="205"/>
      <c r="DQ313" s="205"/>
      <c r="DR313" s="205"/>
      <c r="DS313" s="205"/>
      <c r="DT313" s="205"/>
      <c r="DU313" s="205"/>
      <c r="DV313" s="205"/>
      <c r="DW313" s="205"/>
      <c r="DX313" s="205"/>
      <c r="DY313" s="205"/>
      <c r="DZ313" s="205"/>
      <c r="EA313" s="205"/>
      <c r="EB313" s="205"/>
      <c r="EC313" s="205"/>
      <c r="ED313" s="205"/>
      <c r="EE313" s="205"/>
      <c r="EF313" s="205"/>
      <c r="EG313" s="205"/>
      <c r="EH313" s="205"/>
      <c r="EI313" s="205"/>
      <c r="EJ313" s="205"/>
      <c r="EK313" s="205"/>
      <c r="EL313" s="205"/>
      <c r="EM313" s="205"/>
      <c r="EN313" s="205"/>
      <c r="EO313" s="205"/>
      <c r="EP313" s="205"/>
      <c r="EQ313" s="205"/>
      <c r="ER313" s="205"/>
      <c r="ES313" s="205"/>
      <c r="ET313" s="205"/>
      <c r="EU313" s="205"/>
      <c r="EV313" s="205"/>
      <c r="EW313" s="205"/>
      <c r="EX313" s="205"/>
      <c r="EY313" s="205"/>
      <c r="EZ313" s="205"/>
      <c r="FA313" s="205"/>
      <c r="FB313" s="205"/>
      <c r="FC313" s="205"/>
      <c r="FD313" s="205"/>
      <c r="FE313" s="205"/>
      <c r="FF313" s="205"/>
      <c r="FG313" s="205"/>
      <c r="FH313" s="205"/>
      <c r="FI313" s="205"/>
      <c r="FJ313" s="205"/>
      <c r="FK313" s="205"/>
      <c r="FL313" s="205"/>
      <c r="FM313" s="205"/>
      <c r="FN313" s="205"/>
      <c r="FO313" s="205"/>
      <c r="FP313" s="205"/>
      <c r="FQ313" s="205"/>
      <c r="FR313" s="205"/>
      <c r="FS313" s="205"/>
      <c r="FT313" s="205"/>
      <c r="FU313" s="205"/>
      <c r="FV313" s="205"/>
      <c r="FW313" s="205"/>
      <c r="FX313" s="205"/>
      <c r="FY313" s="205"/>
      <c r="FZ313" s="205"/>
      <c r="GA313" s="205"/>
      <c r="GB313" s="205"/>
      <c r="GC313" s="205"/>
      <c r="GD313" s="205"/>
      <c r="GE313" s="205"/>
      <c r="GF313" s="205"/>
      <c r="GG313" s="205"/>
      <c r="GH313" s="205"/>
      <c r="GI313" s="205"/>
      <c r="GJ313" s="205"/>
      <c r="GK313" s="205"/>
      <c r="GL313" s="205"/>
      <c r="GM313" s="205"/>
      <c r="GN313" s="205"/>
      <c r="GO313" s="205"/>
      <c r="GP313" s="205"/>
      <c r="GQ313" s="205"/>
      <c r="GR313" s="205"/>
      <c r="GS313" s="205"/>
      <c r="GT313" s="205"/>
      <c r="GU313" s="205"/>
      <c r="GV313" s="205"/>
      <c r="GW313" s="205"/>
      <c r="GX313" s="205"/>
      <c r="GY313" s="205"/>
      <c r="GZ313" s="205"/>
      <c r="HA313" s="205"/>
      <c r="HB313" s="205"/>
      <c r="HC313" s="205"/>
      <c r="HD313" s="205"/>
      <c r="HE313" s="205"/>
      <c r="HF313" s="205"/>
      <c r="HG313" s="205"/>
      <c r="HH313" s="205"/>
      <c r="HI313" s="205"/>
      <c r="HJ313" s="205"/>
      <c r="HK313" s="205"/>
      <c r="HL313" s="205"/>
      <c r="HM313" s="205"/>
      <c r="HN313" s="205"/>
      <c r="HO313" s="205"/>
      <c r="HP313" s="205"/>
      <c r="HQ313" s="205"/>
      <c r="HR313" s="205"/>
      <c r="HS313" s="205"/>
      <c r="HT313" s="205"/>
      <c r="HU313" s="205"/>
      <c r="HV313" s="205"/>
      <c r="HW313" s="205"/>
      <c r="HX313" s="205"/>
      <c r="HY313" s="205"/>
      <c r="HZ313" s="205"/>
      <c r="IA313" s="205"/>
      <c r="IB313" s="205"/>
      <c r="IC313" s="205"/>
      <c r="ID313" s="205"/>
      <c r="IE313" s="205"/>
      <c r="IF313" s="205"/>
      <c r="IG313" s="205"/>
      <c r="IH313" s="205"/>
      <c r="II313" s="205"/>
      <c r="IJ313" s="205"/>
      <c r="IK313" s="205"/>
      <c r="IL313" s="205"/>
      <c r="IM313" s="205"/>
      <c r="IN313" s="205"/>
      <c r="IO313" s="205"/>
      <c r="IP313" s="205"/>
      <c r="IQ313" s="205"/>
      <c r="IR313" s="205"/>
      <c r="IS313" s="205"/>
      <c r="IT313" s="205"/>
      <c r="IU313" s="205"/>
      <c r="IV313" s="205"/>
      <c r="IW313" s="205"/>
      <c r="IX313" s="205"/>
    </row>
    <row r="314" spans="1:258" s="203" customFormat="1" x14ac:dyDescent="0.2">
      <c r="A314" s="669"/>
      <c r="B314" s="670"/>
      <c r="C314" s="1390"/>
      <c r="D314" s="672"/>
      <c r="E314" s="1391"/>
      <c r="F314" s="1391"/>
      <c r="G314" s="1392"/>
      <c r="H314" s="1393">
        <f>1.5-0.15</f>
        <v>1.35</v>
      </c>
      <c r="I314" s="1394" t="s">
        <v>424</v>
      </c>
      <c r="J314" s="1394">
        <f t="shared" si="140"/>
        <v>1.35</v>
      </c>
      <c r="K314" s="1394" t="s">
        <v>424</v>
      </c>
      <c r="L314" s="1394">
        <v>2</v>
      </c>
      <c r="M314" s="1394"/>
      <c r="N314" s="1394"/>
      <c r="O314" s="1394"/>
      <c r="P314" s="1394"/>
      <c r="Q314" s="1362" t="s">
        <v>696</v>
      </c>
      <c r="R314" s="1363">
        <f t="shared" ref="R314:R315" si="142">H314*J314*L314</f>
        <v>3.6450000000000005</v>
      </c>
      <c r="S314" s="1396"/>
      <c r="T314" s="1397"/>
      <c r="U314" s="205"/>
      <c r="V314" s="68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5"/>
      <c r="BN314" s="205"/>
      <c r="BO314" s="205"/>
      <c r="BP314" s="205"/>
      <c r="BQ314" s="205"/>
      <c r="BR314" s="205"/>
      <c r="BS314" s="205"/>
      <c r="BT314" s="205"/>
      <c r="BU314" s="205"/>
      <c r="BV314" s="205"/>
      <c r="BW314" s="205"/>
      <c r="BX314" s="205"/>
      <c r="BY314" s="205"/>
      <c r="BZ314" s="205"/>
      <c r="CA314" s="205"/>
      <c r="CB314" s="205"/>
      <c r="CC314" s="205"/>
      <c r="CD314" s="205"/>
      <c r="CE314" s="205"/>
      <c r="CF314" s="205"/>
      <c r="CG314" s="205"/>
      <c r="CH314" s="205"/>
      <c r="CI314" s="205"/>
      <c r="CJ314" s="205"/>
      <c r="CK314" s="205"/>
      <c r="CL314" s="205"/>
      <c r="CM314" s="205"/>
      <c r="CN314" s="205"/>
      <c r="CO314" s="205"/>
      <c r="CP314" s="205"/>
      <c r="CQ314" s="205"/>
      <c r="CR314" s="205"/>
      <c r="CS314" s="205"/>
      <c r="CT314" s="205"/>
      <c r="CU314" s="205"/>
      <c r="CV314" s="205"/>
      <c r="CW314" s="205"/>
      <c r="CX314" s="205"/>
      <c r="CY314" s="205"/>
      <c r="CZ314" s="205"/>
      <c r="DA314" s="205"/>
      <c r="DB314" s="205"/>
      <c r="DC314" s="205"/>
      <c r="DD314" s="205"/>
      <c r="DE314" s="205"/>
      <c r="DF314" s="205"/>
      <c r="DG314" s="205"/>
      <c r="DH314" s="205"/>
      <c r="DI314" s="205"/>
      <c r="DJ314" s="205"/>
      <c r="DK314" s="205"/>
      <c r="DL314" s="205"/>
      <c r="DM314" s="205"/>
      <c r="DN314" s="205"/>
      <c r="DO314" s="205"/>
      <c r="DP314" s="205"/>
      <c r="DQ314" s="205"/>
      <c r="DR314" s="205"/>
      <c r="DS314" s="205"/>
      <c r="DT314" s="205"/>
      <c r="DU314" s="205"/>
      <c r="DV314" s="205"/>
      <c r="DW314" s="205"/>
      <c r="DX314" s="205"/>
      <c r="DY314" s="205"/>
      <c r="DZ314" s="205"/>
      <c r="EA314" s="205"/>
      <c r="EB314" s="205"/>
      <c r="EC314" s="205"/>
      <c r="ED314" s="205"/>
      <c r="EE314" s="205"/>
      <c r="EF314" s="205"/>
      <c r="EG314" s="205"/>
      <c r="EH314" s="205"/>
      <c r="EI314" s="205"/>
      <c r="EJ314" s="205"/>
      <c r="EK314" s="205"/>
      <c r="EL314" s="205"/>
      <c r="EM314" s="205"/>
      <c r="EN314" s="205"/>
      <c r="EO314" s="205"/>
      <c r="EP314" s="205"/>
      <c r="EQ314" s="205"/>
      <c r="ER314" s="205"/>
      <c r="ES314" s="205"/>
      <c r="ET314" s="205"/>
      <c r="EU314" s="205"/>
      <c r="EV314" s="205"/>
      <c r="EW314" s="205"/>
      <c r="EX314" s="205"/>
      <c r="EY314" s="205"/>
      <c r="EZ314" s="205"/>
      <c r="FA314" s="205"/>
      <c r="FB314" s="205"/>
      <c r="FC314" s="205"/>
      <c r="FD314" s="205"/>
      <c r="FE314" s="205"/>
      <c r="FF314" s="205"/>
      <c r="FG314" s="205"/>
      <c r="FH314" s="205"/>
      <c r="FI314" s="205"/>
      <c r="FJ314" s="205"/>
      <c r="FK314" s="205"/>
      <c r="FL314" s="205"/>
      <c r="FM314" s="205"/>
      <c r="FN314" s="205"/>
      <c r="FO314" s="205"/>
      <c r="FP314" s="205"/>
      <c r="FQ314" s="205"/>
      <c r="FR314" s="205"/>
      <c r="FS314" s="205"/>
      <c r="FT314" s="205"/>
      <c r="FU314" s="205"/>
      <c r="FV314" s="205"/>
      <c r="FW314" s="205"/>
      <c r="FX314" s="205"/>
      <c r="FY314" s="205"/>
      <c r="FZ314" s="205"/>
      <c r="GA314" s="205"/>
      <c r="GB314" s="205"/>
      <c r="GC314" s="205"/>
      <c r="GD314" s="205"/>
      <c r="GE314" s="205"/>
      <c r="GF314" s="205"/>
      <c r="GG314" s="205"/>
      <c r="GH314" s="205"/>
      <c r="GI314" s="205"/>
      <c r="GJ314" s="205"/>
      <c r="GK314" s="205"/>
      <c r="GL314" s="205"/>
      <c r="GM314" s="205"/>
      <c r="GN314" s="205"/>
      <c r="GO314" s="205"/>
      <c r="GP314" s="205"/>
      <c r="GQ314" s="205"/>
      <c r="GR314" s="205"/>
      <c r="GS314" s="205"/>
      <c r="GT314" s="205"/>
      <c r="GU314" s="205"/>
      <c r="GV314" s="205"/>
      <c r="GW314" s="205"/>
      <c r="GX314" s="205"/>
      <c r="GY314" s="205"/>
      <c r="GZ314" s="205"/>
      <c r="HA314" s="205"/>
      <c r="HB314" s="205"/>
      <c r="HC314" s="205"/>
      <c r="HD314" s="205"/>
      <c r="HE314" s="205"/>
      <c r="HF314" s="205"/>
      <c r="HG314" s="205"/>
      <c r="HH314" s="205"/>
      <c r="HI314" s="205"/>
      <c r="HJ314" s="205"/>
      <c r="HK314" s="205"/>
      <c r="HL314" s="205"/>
      <c r="HM314" s="205"/>
      <c r="HN314" s="205"/>
      <c r="HO314" s="205"/>
      <c r="HP314" s="205"/>
      <c r="HQ314" s="205"/>
      <c r="HR314" s="205"/>
      <c r="HS314" s="205"/>
      <c r="HT314" s="205"/>
      <c r="HU314" s="205"/>
      <c r="HV314" s="205"/>
      <c r="HW314" s="205"/>
      <c r="HX314" s="205"/>
      <c r="HY314" s="205"/>
      <c r="HZ314" s="205"/>
      <c r="IA314" s="205"/>
      <c r="IB314" s="205"/>
      <c r="IC314" s="205"/>
      <c r="ID314" s="205"/>
      <c r="IE314" s="205"/>
      <c r="IF314" s="205"/>
      <c r="IG314" s="205"/>
      <c r="IH314" s="205"/>
      <c r="II314" s="205"/>
      <c r="IJ314" s="205"/>
      <c r="IK314" s="205"/>
      <c r="IL314" s="205"/>
      <c r="IM314" s="205"/>
      <c r="IN314" s="205"/>
      <c r="IO314" s="205"/>
      <c r="IP314" s="205"/>
      <c r="IQ314" s="205"/>
      <c r="IR314" s="205"/>
      <c r="IS314" s="205"/>
      <c r="IT314" s="205"/>
      <c r="IU314" s="205"/>
      <c r="IV314" s="205"/>
      <c r="IW314" s="205"/>
      <c r="IX314" s="205"/>
    </row>
    <row r="315" spans="1:258" s="203" customFormat="1" x14ac:dyDescent="0.2">
      <c r="A315" s="669"/>
      <c r="B315" s="670"/>
      <c r="C315" s="1390"/>
      <c r="D315" s="672"/>
      <c r="E315" s="1391"/>
      <c r="F315" s="1391"/>
      <c r="G315" s="1392" t="s">
        <v>1727</v>
      </c>
      <c r="H315" s="1393">
        <f>1.75-0.15</f>
        <v>1.6</v>
      </c>
      <c r="I315" s="1394" t="s">
        <v>424</v>
      </c>
      <c r="J315" s="1394">
        <f t="shared" si="140"/>
        <v>1.35</v>
      </c>
      <c r="K315" s="1394" t="s">
        <v>424</v>
      </c>
      <c r="L315" s="1394">
        <v>1</v>
      </c>
      <c r="M315" s="1394"/>
      <c r="N315" s="1394"/>
      <c r="O315" s="1394"/>
      <c r="P315" s="1394"/>
      <c r="Q315" s="1362" t="s">
        <v>696</v>
      </c>
      <c r="R315" s="1363">
        <f t="shared" si="142"/>
        <v>2.16</v>
      </c>
      <c r="S315" s="1396"/>
      <c r="T315" s="1397"/>
      <c r="U315" s="205"/>
      <c r="V315" s="68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5"/>
      <c r="BN315" s="205"/>
      <c r="BO315" s="205"/>
      <c r="BP315" s="205"/>
      <c r="BQ315" s="205"/>
      <c r="BR315" s="205"/>
      <c r="BS315" s="205"/>
      <c r="BT315" s="205"/>
      <c r="BU315" s="205"/>
      <c r="BV315" s="205"/>
      <c r="BW315" s="205"/>
      <c r="BX315" s="205"/>
      <c r="BY315" s="205"/>
      <c r="BZ315" s="205"/>
      <c r="CA315" s="205"/>
      <c r="CB315" s="205"/>
      <c r="CC315" s="205"/>
      <c r="CD315" s="205"/>
      <c r="CE315" s="205"/>
      <c r="CF315" s="205"/>
      <c r="CG315" s="205"/>
      <c r="CH315" s="205"/>
      <c r="CI315" s="205"/>
      <c r="CJ315" s="205"/>
      <c r="CK315" s="205"/>
      <c r="CL315" s="205"/>
      <c r="CM315" s="205"/>
      <c r="CN315" s="205"/>
      <c r="CO315" s="205"/>
      <c r="CP315" s="205"/>
      <c r="CQ315" s="205"/>
      <c r="CR315" s="205"/>
      <c r="CS315" s="205"/>
      <c r="CT315" s="205"/>
      <c r="CU315" s="205"/>
      <c r="CV315" s="205"/>
      <c r="CW315" s="205"/>
      <c r="CX315" s="205"/>
      <c r="CY315" s="205"/>
      <c r="CZ315" s="205"/>
      <c r="DA315" s="205"/>
      <c r="DB315" s="205"/>
      <c r="DC315" s="205"/>
      <c r="DD315" s="205"/>
      <c r="DE315" s="205"/>
      <c r="DF315" s="205"/>
      <c r="DG315" s="205"/>
      <c r="DH315" s="205"/>
      <c r="DI315" s="205"/>
      <c r="DJ315" s="205"/>
      <c r="DK315" s="205"/>
      <c r="DL315" s="205"/>
      <c r="DM315" s="205"/>
      <c r="DN315" s="205"/>
      <c r="DO315" s="205"/>
      <c r="DP315" s="205"/>
      <c r="DQ315" s="205"/>
      <c r="DR315" s="205"/>
      <c r="DS315" s="205"/>
      <c r="DT315" s="205"/>
      <c r="DU315" s="205"/>
      <c r="DV315" s="205"/>
      <c r="DW315" s="205"/>
      <c r="DX315" s="205"/>
      <c r="DY315" s="205"/>
      <c r="DZ315" s="205"/>
      <c r="EA315" s="205"/>
      <c r="EB315" s="205"/>
      <c r="EC315" s="205"/>
      <c r="ED315" s="205"/>
      <c r="EE315" s="205"/>
      <c r="EF315" s="205"/>
      <c r="EG315" s="205"/>
      <c r="EH315" s="205"/>
      <c r="EI315" s="205"/>
      <c r="EJ315" s="205"/>
      <c r="EK315" s="205"/>
      <c r="EL315" s="205"/>
      <c r="EM315" s="205"/>
      <c r="EN315" s="205"/>
      <c r="EO315" s="205"/>
      <c r="EP315" s="205"/>
      <c r="EQ315" s="205"/>
      <c r="ER315" s="205"/>
      <c r="ES315" s="205"/>
      <c r="ET315" s="205"/>
      <c r="EU315" s="205"/>
      <c r="EV315" s="205"/>
      <c r="EW315" s="205"/>
      <c r="EX315" s="205"/>
      <c r="EY315" s="205"/>
      <c r="EZ315" s="205"/>
      <c r="FA315" s="205"/>
      <c r="FB315" s="205"/>
      <c r="FC315" s="205"/>
      <c r="FD315" s="205"/>
      <c r="FE315" s="205"/>
      <c r="FF315" s="205"/>
      <c r="FG315" s="205"/>
      <c r="FH315" s="205"/>
      <c r="FI315" s="205"/>
      <c r="FJ315" s="205"/>
      <c r="FK315" s="205"/>
      <c r="FL315" s="205"/>
      <c r="FM315" s="205"/>
      <c r="FN315" s="205"/>
      <c r="FO315" s="205"/>
      <c r="FP315" s="205"/>
      <c r="FQ315" s="205"/>
      <c r="FR315" s="205"/>
      <c r="FS315" s="205"/>
      <c r="FT315" s="205"/>
      <c r="FU315" s="205"/>
      <c r="FV315" s="205"/>
      <c r="FW315" s="205"/>
      <c r="FX315" s="205"/>
      <c r="FY315" s="205"/>
      <c r="FZ315" s="205"/>
      <c r="GA315" s="205"/>
      <c r="GB315" s="205"/>
      <c r="GC315" s="205"/>
      <c r="GD315" s="205"/>
      <c r="GE315" s="205"/>
      <c r="GF315" s="205"/>
      <c r="GG315" s="205"/>
      <c r="GH315" s="205"/>
      <c r="GI315" s="205"/>
      <c r="GJ315" s="205"/>
      <c r="GK315" s="205"/>
      <c r="GL315" s="205"/>
      <c r="GM315" s="205"/>
      <c r="GN315" s="205"/>
      <c r="GO315" s="205"/>
      <c r="GP315" s="205"/>
      <c r="GQ315" s="205"/>
      <c r="GR315" s="205"/>
      <c r="GS315" s="205"/>
      <c r="GT315" s="205"/>
      <c r="GU315" s="205"/>
      <c r="GV315" s="205"/>
      <c r="GW315" s="205"/>
      <c r="GX315" s="205"/>
      <c r="GY315" s="205"/>
      <c r="GZ315" s="205"/>
      <c r="HA315" s="205"/>
      <c r="HB315" s="205"/>
      <c r="HC315" s="205"/>
      <c r="HD315" s="205"/>
      <c r="HE315" s="205"/>
      <c r="HF315" s="205"/>
      <c r="HG315" s="205"/>
      <c r="HH315" s="205"/>
      <c r="HI315" s="205"/>
      <c r="HJ315" s="205"/>
      <c r="HK315" s="205"/>
      <c r="HL315" s="205"/>
      <c r="HM315" s="205"/>
      <c r="HN315" s="205"/>
      <c r="HO315" s="205"/>
      <c r="HP315" s="205"/>
      <c r="HQ315" s="205"/>
      <c r="HR315" s="205"/>
      <c r="HS315" s="205"/>
      <c r="HT315" s="205"/>
      <c r="HU315" s="205"/>
      <c r="HV315" s="205"/>
      <c r="HW315" s="205"/>
      <c r="HX315" s="205"/>
      <c r="HY315" s="205"/>
      <c r="HZ315" s="205"/>
      <c r="IA315" s="205"/>
      <c r="IB315" s="205"/>
      <c r="IC315" s="205"/>
      <c r="ID315" s="205"/>
      <c r="IE315" s="205"/>
      <c r="IF315" s="205"/>
      <c r="IG315" s="205"/>
      <c r="IH315" s="205"/>
      <c r="II315" s="205"/>
      <c r="IJ315" s="205"/>
      <c r="IK315" s="205"/>
      <c r="IL315" s="205"/>
      <c r="IM315" s="205"/>
      <c r="IN315" s="205"/>
      <c r="IO315" s="205"/>
      <c r="IP315" s="205"/>
      <c r="IQ315" s="205"/>
      <c r="IR315" s="205"/>
      <c r="IS315" s="205"/>
      <c r="IT315" s="205"/>
      <c r="IU315" s="205"/>
      <c r="IV315" s="205"/>
      <c r="IW315" s="205"/>
      <c r="IX315" s="205"/>
    </row>
    <row r="316" spans="1:258" s="203" customFormat="1" x14ac:dyDescent="0.2">
      <c r="A316" s="669"/>
      <c r="B316" s="670"/>
      <c r="C316" s="1390"/>
      <c r="D316" s="672"/>
      <c r="E316" s="1391"/>
      <c r="F316" s="1391"/>
      <c r="G316" s="1392" t="s">
        <v>1728</v>
      </c>
      <c r="H316" s="1393">
        <f>1.75-0.15</f>
        <v>1.6</v>
      </c>
      <c r="I316" s="1394" t="s">
        <v>424</v>
      </c>
      <c r="J316" s="1394">
        <f t="shared" si="140"/>
        <v>1.35</v>
      </c>
      <c r="K316" s="1394" t="s">
        <v>424</v>
      </c>
      <c r="L316" s="1394">
        <v>1</v>
      </c>
      <c r="M316" s="1394"/>
      <c r="N316" s="1394"/>
      <c r="O316" s="1394"/>
      <c r="P316" s="1394"/>
      <c r="Q316" s="1362" t="s">
        <v>696</v>
      </c>
      <c r="R316" s="1363">
        <f t="shared" ref="R316:R318" si="143">H316*J316*L316</f>
        <v>2.16</v>
      </c>
      <c r="S316" s="1396"/>
      <c r="T316" s="1397"/>
      <c r="U316" s="205"/>
      <c r="V316" s="68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5"/>
      <c r="BN316" s="205"/>
      <c r="BO316" s="205"/>
      <c r="BP316" s="205"/>
      <c r="BQ316" s="205"/>
      <c r="BR316" s="205"/>
      <c r="BS316" s="205"/>
      <c r="BT316" s="205"/>
      <c r="BU316" s="205"/>
      <c r="BV316" s="205"/>
      <c r="BW316" s="205"/>
      <c r="BX316" s="205"/>
      <c r="BY316" s="205"/>
      <c r="BZ316" s="205"/>
      <c r="CA316" s="205"/>
      <c r="CB316" s="205"/>
      <c r="CC316" s="205"/>
      <c r="CD316" s="205"/>
      <c r="CE316" s="205"/>
      <c r="CF316" s="205"/>
      <c r="CG316" s="205"/>
      <c r="CH316" s="205"/>
      <c r="CI316" s="205"/>
      <c r="CJ316" s="205"/>
      <c r="CK316" s="205"/>
      <c r="CL316" s="205"/>
      <c r="CM316" s="205"/>
      <c r="CN316" s="205"/>
      <c r="CO316" s="205"/>
      <c r="CP316" s="205"/>
      <c r="CQ316" s="205"/>
      <c r="CR316" s="205"/>
      <c r="CS316" s="205"/>
      <c r="CT316" s="205"/>
      <c r="CU316" s="205"/>
      <c r="CV316" s="205"/>
      <c r="CW316" s="205"/>
      <c r="CX316" s="205"/>
      <c r="CY316" s="205"/>
      <c r="CZ316" s="205"/>
      <c r="DA316" s="205"/>
      <c r="DB316" s="205"/>
      <c r="DC316" s="205"/>
      <c r="DD316" s="205"/>
      <c r="DE316" s="205"/>
      <c r="DF316" s="205"/>
      <c r="DG316" s="205"/>
      <c r="DH316" s="205"/>
      <c r="DI316" s="205"/>
      <c r="DJ316" s="205"/>
      <c r="DK316" s="205"/>
      <c r="DL316" s="205"/>
      <c r="DM316" s="205"/>
      <c r="DN316" s="205"/>
      <c r="DO316" s="205"/>
      <c r="DP316" s="205"/>
      <c r="DQ316" s="205"/>
      <c r="DR316" s="205"/>
      <c r="DS316" s="205"/>
      <c r="DT316" s="205"/>
      <c r="DU316" s="205"/>
      <c r="DV316" s="205"/>
      <c r="DW316" s="205"/>
      <c r="DX316" s="205"/>
      <c r="DY316" s="205"/>
      <c r="DZ316" s="205"/>
      <c r="EA316" s="205"/>
      <c r="EB316" s="205"/>
      <c r="EC316" s="205"/>
      <c r="ED316" s="205"/>
      <c r="EE316" s="205"/>
      <c r="EF316" s="205"/>
      <c r="EG316" s="205"/>
      <c r="EH316" s="205"/>
      <c r="EI316" s="205"/>
      <c r="EJ316" s="205"/>
      <c r="EK316" s="205"/>
      <c r="EL316" s="205"/>
      <c r="EM316" s="205"/>
      <c r="EN316" s="205"/>
      <c r="EO316" s="205"/>
      <c r="EP316" s="205"/>
      <c r="EQ316" s="205"/>
      <c r="ER316" s="205"/>
      <c r="ES316" s="205"/>
      <c r="ET316" s="205"/>
      <c r="EU316" s="205"/>
      <c r="EV316" s="205"/>
      <c r="EW316" s="205"/>
      <c r="EX316" s="205"/>
      <c r="EY316" s="205"/>
      <c r="EZ316" s="205"/>
      <c r="FA316" s="205"/>
      <c r="FB316" s="205"/>
      <c r="FC316" s="205"/>
      <c r="FD316" s="205"/>
      <c r="FE316" s="205"/>
      <c r="FF316" s="205"/>
      <c r="FG316" s="205"/>
      <c r="FH316" s="205"/>
      <c r="FI316" s="205"/>
      <c r="FJ316" s="205"/>
      <c r="FK316" s="205"/>
      <c r="FL316" s="205"/>
      <c r="FM316" s="205"/>
      <c r="FN316" s="205"/>
      <c r="FO316" s="205"/>
      <c r="FP316" s="205"/>
      <c r="FQ316" s="205"/>
      <c r="FR316" s="205"/>
      <c r="FS316" s="205"/>
      <c r="FT316" s="205"/>
      <c r="FU316" s="205"/>
      <c r="FV316" s="205"/>
      <c r="FW316" s="205"/>
      <c r="FX316" s="205"/>
      <c r="FY316" s="205"/>
      <c r="FZ316" s="205"/>
      <c r="GA316" s="205"/>
      <c r="GB316" s="205"/>
      <c r="GC316" s="205"/>
      <c r="GD316" s="205"/>
      <c r="GE316" s="205"/>
      <c r="GF316" s="205"/>
      <c r="GG316" s="205"/>
      <c r="GH316" s="205"/>
      <c r="GI316" s="205"/>
      <c r="GJ316" s="205"/>
      <c r="GK316" s="205"/>
      <c r="GL316" s="205"/>
      <c r="GM316" s="205"/>
      <c r="GN316" s="205"/>
      <c r="GO316" s="205"/>
      <c r="GP316" s="205"/>
      <c r="GQ316" s="205"/>
      <c r="GR316" s="205"/>
      <c r="GS316" s="205"/>
      <c r="GT316" s="205"/>
      <c r="GU316" s="205"/>
      <c r="GV316" s="205"/>
      <c r="GW316" s="205"/>
      <c r="GX316" s="205"/>
      <c r="GY316" s="205"/>
      <c r="GZ316" s="205"/>
      <c r="HA316" s="205"/>
      <c r="HB316" s="205"/>
      <c r="HC316" s="205"/>
      <c r="HD316" s="205"/>
      <c r="HE316" s="205"/>
      <c r="HF316" s="205"/>
      <c r="HG316" s="205"/>
      <c r="HH316" s="205"/>
      <c r="HI316" s="205"/>
      <c r="HJ316" s="205"/>
      <c r="HK316" s="205"/>
      <c r="HL316" s="205"/>
      <c r="HM316" s="205"/>
      <c r="HN316" s="205"/>
      <c r="HO316" s="205"/>
      <c r="HP316" s="205"/>
      <c r="HQ316" s="205"/>
      <c r="HR316" s="205"/>
      <c r="HS316" s="205"/>
      <c r="HT316" s="205"/>
      <c r="HU316" s="205"/>
      <c r="HV316" s="205"/>
      <c r="HW316" s="205"/>
      <c r="HX316" s="205"/>
      <c r="HY316" s="205"/>
      <c r="HZ316" s="205"/>
      <c r="IA316" s="205"/>
      <c r="IB316" s="205"/>
      <c r="IC316" s="205"/>
      <c r="ID316" s="205"/>
      <c r="IE316" s="205"/>
      <c r="IF316" s="205"/>
      <c r="IG316" s="205"/>
      <c r="IH316" s="205"/>
      <c r="II316" s="205"/>
      <c r="IJ316" s="205"/>
      <c r="IK316" s="205"/>
      <c r="IL316" s="205"/>
      <c r="IM316" s="205"/>
      <c r="IN316" s="205"/>
      <c r="IO316" s="205"/>
      <c r="IP316" s="205"/>
      <c r="IQ316" s="205"/>
      <c r="IR316" s="205"/>
      <c r="IS316" s="205"/>
      <c r="IT316" s="205"/>
      <c r="IU316" s="205"/>
      <c r="IV316" s="205"/>
      <c r="IW316" s="205"/>
      <c r="IX316" s="205"/>
    </row>
    <row r="317" spans="1:258" s="203" customFormat="1" x14ac:dyDescent="0.2">
      <c r="A317" s="669"/>
      <c r="B317" s="670"/>
      <c r="C317" s="1390"/>
      <c r="D317" s="672"/>
      <c r="E317" s="1391"/>
      <c r="F317" s="1391"/>
      <c r="G317" s="1392" t="s">
        <v>1729</v>
      </c>
      <c r="H317" s="1393">
        <f>2-0.15</f>
        <v>1.85</v>
      </c>
      <c r="I317" s="1394" t="s">
        <v>424</v>
      </c>
      <c r="J317" s="1394">
        <f t="shared" si="140"/>
        <v>1.35</v>
      </c>
      <c r="K317" s="1394" t="s">
        <v>424</v>
      </c>
      <c r="L317" s="1394">
        <v>1</v>
      </c>
      <c r="M317" s="1394"/>
      <c r="N317" s="1394"/>
      <c r="O317" s="1394"/>
      <c r="P317" s="1394"/>
      <c r="Q317" s="1362" t="s">
        <v>696</v>
      </c>
      <c r="R317" s="1363">
        <f t="shared" si="143"/>
        <v>2.4975000000000005</v>
      </c>
      <c r="S317" s="1396"/>
      <c r="T317" s="1397"/>
      <c r="U317" s="205"/>
      <c r="V317" s="68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5"/>
      <c r="BN317" s="205"/>
      <c r="BO317" s="205"/>
      <c r="BP317" s="205"/>
      <c r="BQ317" s="205"/>
      <c r="BR317" s="205"/>
      <c r="BS317" s="205"/>
      <c r="BT317" s="205"/>
      <c r="BU317" s="205"/>
      <c r="BV317" s="205"/>
      <c r="BW317" s="205"/>
      <c r="BX317" s="205"/>
      <c r="BY317" s="205"/>
      <c r="BZ317" s="205"/>
      <c r="CA317" s="205"/>
      <c r="CB317" s="205"/>
      <c r="CC317" s="205"/>
      <c r="CD317" s="205"/>
      <c r="CE317" s="205"/>
      <c r="CF317" s="205"/>
      <c r="CG317" s="205"/>
      <c r="CH317" s="205"/>
      <c r="CI317" s="205"/>
      <c r="CJ317" s="205"/>
      <c r="CK317" s="205"/>
      <c r="CL317" s="205"/>
      <c r="CM317" s="205"/>
      <c r="CN317" s="205"/>
      <c r="CO317" s="205"/>
      <c r="CP317" s="205"/>
      <c r="CQ317" s="205"/>
      <c r="CR317" s="205"/>
      <c r="CS317" s="205"/>
      <c r="CT317" s="205"/>
      <c r="CU317" s="205"/>
      <c r="CV317" s="205"/>
      <c r="CW317" s="205"/>
      <c r="CX317" s="205"/>
      <c r="CY317" s="205"/>
      <c r="CZ317" s="205"/>
      <c r="DA317" s="205"/>
      <c r="DB317" s="205"/>
      <c r="DC317" s="205"/>
      <c r="DD317" s="205"/>
      <c r="DE317" s="205"/>
      <c r="DF317" s="205"/>
      <c r="DG317" s="205"/>
      <c r="DH317" s="205"/>
      <c r="DI317" s="205"/>
      <c r="DJ317" s="205"/>
      <c r="DK317" s="205"/>
      <c r="DL317" s="205"/>
      <c r="DM317" s="205"/>
      <c r="DN317" s="205"/>
      <c r="DO317" s="205"/>
      <c r="DP317" s="205"/>
      <c r="DQ317" s="205"/>
      <c r="DR317" s="205"/>
      <c r="DS317" s="205"/>
      <c r="DT317" s="205"/>
      <c r="DU317" s="205"/>
      <c r="DV317" s="205"/>
      <c r="DW317" s="205"/>
      <c r="DX317" s="205"/>
      <c r="DY317" s="205"/>
      <c r="DZ317" s="205"/>
      <c r="EA317" s="205"/>
      <c r="EB317" s="205"/>
      <c r="EC317" s="205"/>
      <c r="ED317" s="205"/>
      <c r="EE317" s="205"/>
      <c r="EF317" s="205"/>
      <c r="EG317" s="205"/>
      <c r="EH317" s="205"/>
      <c r="EI317" s="205"/>
      <c r="EJ317" s="205"/>
      <c r="EK317" s="205"/>
      <c r="EL317" s="205"/>
      <c r="EM317" s="205"/>
      <c r="EN317" s="205"/>
      <c r="EO317" s="205"/>
      <c r="EP317" s="205"/>
      <c r="EQ317" s="205"/>
      <c r="ER317" s="205"/>
      <c r="ES317" s="205"/>
      <c r="ET317" s="205"/>
      <c r="EU317" s="205"/>
      <c r="EV317" s="205"/>
      <c r="EW317" s="205"/>
      <c r="EX317" s="205"/>
      <c r="EY317" s="205"/>
      <c r="EZ317" s="205"/>
      <c r="FA317" s="205"/>
      <c r="FB317" s="205"/>
      <c r="FC317" s="205"/>
      <c r="FD317" s="205"/>
      <c r="FE317" s="205"/>
      <c r="FF317" s="205"/>
      <c r="FG317" s="205"/>
      <c r="FH317" s="205"/>
      <c r="FI317" s="205"/>
      <c r="FJ317" s="205"/>
      <c r="FK317" s="205"/>
      <c r="FL317" s="205"/>
      <c r="FM317" s="205"/>
      <c r="FN317" s="205"/>
      <c r="FO317" s="205"/>
      <c r="FP317" s="205"/>
      <c r="FQ317" s="205"/>
      <c r="FR317" s="205"/>
      <c r="FS317" s="205"/>
      <c r="FT317" s="205"/>
      <c r="FU317" s="205"/>
      <c r="FV317" s="205"/>
      <c r="FW317" s="205"/>
      <c r="FX317" s="205"/>
      <c r="FY317" s="205"/>
      <c r="FZ317" s="205"/>
      <c r="GA317" s="205"/>
      <c r="GB317" s="205"/>
      <c r="GC317" s="205"/>
      <c r="GD317" s="205"/>
      <c r="GE317" s="205"/>
      <c r="GF317" s="205"/>
      <c r="GG317" s="205"/>
      <c r="GH317" s="205"/>
      <c r="GI317" s="205"/>
      <c r="GJ317" s="205"/>
      <c r="GK317" s="205"/>
      <c r="GL317" s="205"/>
      <c r="GM317" s="205"/>
      <c r="GN317" s="205"/>
      <c r="GO317" s="205"/>
      <c r="GP317" s="205"/>
      <c r="GQ317" s="205"/>
      <c r="GR317" s="205"/>
      <c r="GS317" s="205"/>
      <c r="GT317" s="205"/>
      <c r="GU317" s="205"/>
      <c r="GV317" s="205"/>
      <c r="GW317" s="205"/>
      <c r="GX317" s="205"/>
      <c r="GY317" s="205"/>
      <c r="GZ317" s="205"/>
      <c r="HA317" s="205"/>
      <c r="HB317" s="205"/>
      <c r="HC317" s="205"/>
      <c r="HD317" s="205"/>
      <c r="HE317" s="205"/>
      <c r="HF317" s="205"/>
      <c r="HG317" s="205"/>
      <c r="HH317" s="205"/>
      <c r="HI317" s="205"/>
      <c r="HJ317" s="205"/>
      <c r="HK317" s="205"/>
      <c r="HL317" s="205"/>
      <c r="HM317" s="205"/>
      <c r="HN317" s="205"/>
      <c r="HO317" s="205"/>
      <c r="HP317" s="205"/>
      <c r="HQ317" s="205"/>
      <c r="HR317" s="205"/>
      <c r="HS317" s="205"/>
      <c r="HT317" s="205"/>
      <c r="HU317" s="205"/>
      <c r="HV317" s="205"/>
      <c r="HW317" s="205"/>
      <c r="HX317" s="205"/>
      <c r="HY317" s="205"/>
      <c r="HZ317" s="205"/>
      <c r="IA317" s="205"/>
      <c r="IB317" s="205"/>
      <c r="IC317" s="205"/>
      <c r="ID317" s="205"/>
      <c r="IE317" s="205"/>
      <c r="IF317" s="205"/>
      <c r="IG317" s="205"/>
      <c r="IH317" s="205"/>
      <c r="II317" s="205"/>
      <c r="IJ317" s="205"/>
      <c r="IK317" s="205"/>
      <c r="IL317" s="205"/>
      <c r="IM317" s="205"/>
      <c r="IN317" s="205"/>
      <c r="IO317" s="205"/>
      <c r="IP317" s="205"/>
      <c r="IQ317" s="205"/>
      <c r="IR317" s="205"/>
      <c r="IS317" s="205"/>
      <c r="IT317" s="205"/>
      <c r="IU317" s="205"/>
      <c r="IV317" s="205"/>
      <c r="IW317" s="205"/>
      <c r="IX317" s="205"/>
    </row>
    <row r="318" spans="1:258" s="203" customFormat="1" x14ac:dyDescent="0.2">
      <c r="A318" s="669"/>
      <c r="B318" s="670"/>
      <c r="C318" s="1390"/>
      <c r="D318" s="672"/>
      <c r="E318" s="1391"/>
      <c r="F318" s="1391"/>
      <c r="G318" s="1392"/>
      <c r="H318" s="1393">
        <f>1.5-0.15</f>
        <v>1.35</v>
      </c>
      <c r="I318" s="1394" t="s">
        <v>424</v>
      </c>
      <c r="J318" s="1394">
        <f t="shared" si="140"/>
        <v>1.35</v>
      </c>
      <c r="K318" s="1394" t="s">
        <v>424</v>
      </c>
      <c r="L318" s="1394">
        <v>2</v>
      </c>
      <c r="M318" s="1394"/>
      <c r="N318" s="1394"/>
      <c r="O318" s="1394"/>
      <c r="P318" s="1394"/>
      <c r="Q318" s="1362" t="s">
        <v>696</v>
      </c>
      <c r="R318" s="1363">
        <f t="shared" si="143"/>
        <v>3.6450000000000005</v>
      </c>
      <c r="S318" s="1396"/>
      <c r="T318" s="1397"/>
      <c r="U318" s="205"/>
      <c r="V318" s="68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5"/>
      <c r="BN318" s="205"/>
      <c r="BO318" s="205"/>
      <c r="BP318" s="205"/>
      <c r="BQ318" s="205"/>
      <c r="BR318" s="205"/>
      <c r="BS318" s="205"/>
      <c r="BT318" s="205"/>
      <c r="BU318" s="205"/>
      <c r="BV318" s="205"/>
      <c r="BW318" s="205"/>
      <c r="BX318" s="205"/>
      <c r="BY318" s="205"/>
      <c r="BZ318" s="205"/>
      <c r="CA318" s="205"/>
      <c r="CB318" s="205"/>
      <c r="CC318" s="205"/>
      <c r="CD318" s="205"/>
      <c r="CE318" s="205"/>
      <c r="CF318" s="205"/>
      <c r="CG318" s="205"/>
      <c r="CH318" s="205"/>
      <c r="CI318" s="205"/>
      <c r="CJ318" s="205"/>
      <c r="CK318" s="205"/>
      <c r="CL318" s="205"/>
      <c r="CM318" s="205"/>
      <c r="CN318" s="205"/>
      <c r="CO318" s="205"/>
      <c r="CP318" s="205"/>
      <c r="CQ318" s="205"/>
      <c r="CR318" s="205"/>
      <c r="CS318" s="205"/>
      <c r="CT318" s="205"/>
      <c r="CU318" s="205"/>
      <c r="CV318" s="205"/>
      <c r="CW318" s="205"/>
      <c r="CX318" s="205"/>
      <c r="CY318" s="205"/>
      <c r="CZ318" s="205"/>
      <c r="DA318" s="205"/>
      <c r="DB318" s="205"/>
      <c r="DC318" s="205"/>
      <c r="DD318" s="205"/>
      <c r="DE318" s="205"/>
      <c r="DF318" s="205"/>
      <c r="DG318" s="205"/>
      <c r="DH318" s="205"/>
      <c r="DI318" s="205"/>
      <c r="DJ318" s="205"/>
      <c r="DK318" s="205"/>
      <c r="DL318" s="205"/>
      <c r="DM318" s="205"/>
      <c r="DN318" s="205"/>
      <c r="DO318" s="205"/>
      <c r="DP318" s="205"/>
      <c r="DQ318" s="205"/>
      <c r="DR318" s="205"/>
      <c r="DS318" s="205"/>
      <c r="DT318" s="205"/>
      <c r="DU318" s="205"/>
      <c r="DV318" s="205"/>
      <c r="DW318" s="205"/>
      <c r="DX318" s="205"/>
      <c r="DY318" s="205"/>
      <c r="DZ318" s="205"/>
      <c r="EA318" s="205"/>
      <c r="EB318" s="205"/>
      <c r="EC318" s="205"/>
      <c r="ED318" s="205"/>
      <c r="EE318" s="205"/>
      <c r="EF318" s="205"/>
      <c r="EG318" s="205"/>
      <c r="EH318" s="205"/>
      <c r="EI318" s="205"/>
      <c r="EJ318" s="205"/>
      <c r="EK318" s="205"/>
      <c r="EL318" s="205"/>
      <c r="EM318" s="205"/>
      <c r="EN318" s="205"/>
      <c r="EO318" s="205"/>
      <c r="EP318" s="205"/>
      <c r="EQ318" s="205"/>
      <c r="ER318" s="205"/>
      <c r="ES318" s="205"/>
      <c r="ET318" s="205"/>
      <c r="EU318" s="205"/>
      <c r="EV318" s="205"/>
      <c r="EW318" s="205"/>
      <c r="EX318" s="205"/>
      <c r="EY318" s="205"/>
      <c r="EZ318" s="205"/>
      <c r="FA318" s="205"/>
      <c r="FB318" s="205"/>
      <c r="FC318" s="205"/>
      <c r="FD318" s="205"/>
      <c r="FE318" s="205"/>
      <c r="FF318" s="205"/>
      <c r="FG318" s="205"/>
      <c r="FH318" s="205"/>
      <c r="FI318" s="205"/>
      <c r="FJ318" s="205"/>
      <c r="FK318" s="205"/>
      <c r="FL318" s="205"/>
      <c r="FM318" s="205"/>
      <c r="FN318" s="205"/>
      <c r="FO318" s="205"/>
      <c r="FP318" s="205"/>
      <c r="FQ318" s="205"/>
      <c r="FR318" s="205"/>
      <c r="FS318" s="205"/>
      <c r="FT318" s="205"/>
      <c r="FU318" s="205"/>
      <c r="FV318" s="205"/>
      <c r="FW318" s="205"/>
      <c r="FX318" s="205"/>
      <c r="FY318" s="205"/>
      <c r="FZ318" s="205"/>
      <c r="GA318" s="205"/>
      <c r="GB318" s="205"/>
      <c r="GC318" s="205"/>
      <c r="GD318" s="205"/>
      <c r="GE318" s="205"/>
      <c r="GF318" s="205"/>
      <c r="GG318" s="205"/>
      <c r="GH318" s="205"/>
      <c r="GI318" s="205"/>
      <c r="GJ318" s="205"/>
      <c r="GK318" s="205"/>
      <c r="GL318" s="205"/>
      <c r="GM318" s="205"/>
      <c r="GN318" s="205"/>
      <c r="GO318" s="205"/>
      <c r="GP318" s="205"/>
      <c r="GQ318" s="205"/>
      <c r="GR318" s="205"/>
      <c r="GS318" s="205"/>
      <c r="GT318" s="205"/>
      <c r="GU318" s="205"/>
      <c r="GV318" s="205"/>
      <c r="GW318" s="205"/>
      <c r="GX318" s="205"/>
      <c r="GY318" s="205"/>
      <c r="GZ318" s="205"/>
      <c r="HA318" s="205"/>
      <c r="HB318" s="205"/>
      <c r="HC318" s="205"/>
      <c r="HD318" s="205"/>
      <c r="HE318" s="205"/>
      <c r="HF318" s="205"/>
      <c r="HG318" s="205"/>
      <c r="HH318" s="205"/>
      <c r="HI318" s="205"/>
      <c r="HJ318" s="205"/>
      <c r="HK318" s="205"/>
      <c r="HL318" s="205"/>
      <c r="HM318" s="205"/>
      <c r="HN318" s="205"/>
      <c r="HO318" s="205"/>
      <c r="HP318" s="205"/>
      <c r="HQ318" s="205"/>
      <c r="HR318" s="205"/>
      <c r="HS318" s="205"/>
      <c r="HT318" s="205"/>
      <c r="HU318" s="205"/>
      <c r="HV318" s="205"/>
      <c r="HW318" s="205"/>
      <c r="HX318" s="205"/>
      <c r="HY318" s="205"/>
      <c r="HZ318" s="205"/>
      <c r="IA318" s="205"/>
      <c r="IB318" s="205"/>
      <c r="IC318" s="205"/>
      <c r="ID318" s="205"/>
      <c r="IE318" s="205"/>
      <c r="IF318" s="205"/>
      <c r="IG318" s="205"/>
      <c r="IH318" s="205"/>
      <c r="II318" s="205"/>
      <c r="IJ318" s="205"/>
      <c r="IK318" s="205"/>
      <c r="IL318" s="205"/>
      <c r="IM318" s="205"/>
      <c r="IN318" s="205"/>
      <c r="IO318" s="205"/>
      <c r="IP318" s="205"/>
      <c r="IQ318" s="205"/>
      <c r="IR318" s="205"/>
      <c r="IS318" s="205"/>
      <c r="IT318" s="205"/>
      <c r="IU318" s="205"/>
      <c r="IV318" s="205"/>
      <c r="IW318" s="205"/>
      <c r="IX318" s="205"/>
    </row>
    <row r="319" spans="1:258" s="203" customFormat="1" x14ac:dyDescent="0.2">
      <c r="A319" s="669"/>
      <c r="B319" s="670"/>
      <c r="C319" s="1390"/>
      <c r="D319" s="672"/>
      <c r="E319" s="1391"/>
      <c r="F319" s="1391"/>
      <c r="G319" s="1392"/>
      <c r="H319" s="1393"/>
      <c r="I319" s="1394"/>
      <c r="J319" s="1394"/>
      <c r="K319" s="1394"/>
      <c r="L319" s="1394"/>
      <c r="M319" s="1394"/>
      <c r="N319" s="1394"/>
      <c r="O319" s="1394"/>
      <c r="P319" s="1394"/>
      <c r="Q319" s="1394"/>
      <c r="R319" s="1395">
        <f>SUM(R308:R318)</f>
        <v>43.150000000000013</v>
      </c>
      <c r="S319" s="1396">
        <f>R319</f>
        <v>43.150000000000013</v>
      </c>
      <c r="T319" s="1397" t="s">
        <v>338</v>
      </c>
      <c r="U319" s="205"/>
      <c r="V319" s="685"/>
      <c r="W319" s="205"/>
      <c r="X319" s="205"/>
      <c r="Y319" s="205"/>
      <c r="Z319" s="205"/>
      <c r="AA319" s="205"/>
      <c r="AB319" s="205"/>
      <c r="AC319" s="205"/>
      <c r="AD319" s="205"/>
      <c r="AE319" s="205"/>
      <c r="AF319" s="205"/>
      <c r="AG319" s="205"/>
      <c r="AH319" s="205"/>
      <c r="AI319" s="205"/>
      <c r="AJ319" s="205"/>
      <c r="AK319" s="205"/>
      <c r="AL319" s="205"/>
      <c r="AM319" s="205"/>
      <c r="AN319" s="205"/>
      <c r="AO319" s="205"/>
      <c r="AP319" s="205"/>
      <c r="AQ319" s="205"/>
      <c r="AR319" s="205"/>
      <c r="AS319" s="205"/>
      <c r="AT319" s="205"/>
      <c r="AU319" s="205"/>
      <c r="AV319" s="205"/>
      <c r="AW319" s="205"/>
      <c r="AX319" s="205"/>
      <c r="AY319" s="205"/>
      <c r="AZ319" s="205"/>
      <c r="BA319" s="205"/>
      <c r="BB319" s="205"/>
      <c r="BC319" s="205"/>
      <c r="BD319" s="205"/>
      <c r="BE319" s="205"/>
      <c r="BF319" s="205"/>
      <c r="BG319" s="205"/>
      <c r="BH319" s="205"/>
      <c r="BI319" s="205"/>
      <c r="BJ319" s="205"/>
      <c r="BK319" s="205"/>
      <c r="BL319" s="205"/>
      <c r="BM319" s="205"/>
      <c r="BN319" s="205"/>
      <c r="BO319" s="205"/>
      <c r="BP319" s="205"/>
      <c r="BQ319" s="205"/>
      <c r="BR319" s="205"/>
      <c r="BS319" s="205"/>
      <c r="BT319" s="205"/>
      <c r="BU319" s="205"/>
      <c r="BV319" s="205"/>
      <c r="BW319" s="205"/>
      <c r="BX319" s="205"/>
      <c r="BY319" s="205"/>
      <c r="BZ319" s="205"/>
      <c r="CA319" s="205"/>
      <c r="CB319" s="205"/>
      <c r="CC319" s="205"/>
      <c r="CD319" s="205"/>
      <c r="CE319" s="205"/>
      <c r="CF319" s="205"/>
      <c r="CG319" s="205"/>
      <c r="CH319" s="205"/>
      <c r="CI319" s="205"/>
      <c r="CJ319" s="205"/>
      <c r="CK319" s="205"/>
      <c r="CL319" s="205"/>
      <c r="CM319" s="205"/>
      <c r="CN319" s="205"/>
      <c r="CO319" s="205"/>
      <c r="CP319" s="205"/>
      <c r="CQ319" s="205"/>
      <c r="CR319" s="205"/>
      <c r="CS319" s="205"/>
      <c r="CT319" s="205"/>
      <c r="CU319" s="205"/>
      <c r="CV319" s="205"/>
      <c r="CW319" s="205"/>
      <c r="CX319" s="205"/>
      <c r="CY319" s="205"/>
      <c r="CZ319" s="205"/>
      <c r="DA319" s="205"/>
      <c r="DB319" s="205"/>
      <c r="DC319" s="205"/>
      <c r="DD319" s="205"/>
      <c r="DE319" s="205"/>
      <c r="DF319" s="205"/>
      <c r="DG319" s="205"/>
      <c r="DH319" s="205"/>
      <c r="DI319" s="205"/>
      <c r="DJ319" s="205"/>
      <c r="DK319" s="205"/>
      <c r="DL319" s="205"/>
      <c r="DM319" s="205"/>
      <c r="DN319" s="205"/>
      <c r="DO319" s="205"/>
      <c r="DP319" s="205"/>
      <c r="DQ319" s="205"/>
      <c r="DR319" s="205"/>
      <c r="DS319" s="205"/>
      <c r="DT319" s="205"/>
      <c r="DU319" s="205"/>
      <c r="DV319" s="205"/>
      <c r="DW319" s="205"/>
      <c r="DX319" s="205"/>
      <c r="DY319" s="205"/>
      <c r="DZ319" s="205"/>
      <c r="EA319" s="205"/>
      <c r="EB319" s="205"/>
      <c r="EC319" s="205"/>
      <c r="ED319" s="205"/>
      <c r="EE319" s="205"/>
      <c r="EF319" s="205"/>
      <c r="EG319" s="205"/>
      <c r="EH319" s="205"/>
      <c r="EI319" s="205"/>
      <c r="EJ319" s="205"/>
      <c r="EK319" s="205"/>
      <c r="EL319" s="205"/>
      <c r="EM319" s="205"/>
      <c r="EN319" s="205"/>
      <c r="EO319" s="205"/>
      <c r="EP319" s="205"/>
      <c r="EQ319" s="205"/>
      <c r="ER319" s="205"/>
      <c r="ES319" s="205"/>
      <c r="ET319" s="205"/>
      <c r="EU319" s="205"/>
      <c r="EV319" s="205"/>
      <c r="EW319" s="205"/>
      <c r="EX319" s="205"/>
      <c r="EY319" s="205"/>
      <c r="EZ319" s="205"/>
      <c r="FA319" s="205"/>
      <c r="FB319" s="205"/>
      <c r="FC319" s="205"/>
      <c r="FD319" s="205"/>
      <c r="FE319" s="205"/>
      <c r="FF319" s="205"/>
      <c r="FG319" s="205"/>
      <c r="FH319" s="205"/>
      <c r="FI319" s="205"/>
      <c r="FJ319" s="205"/>
      <c r="FK319" s="205"/>
      <c r="FL319" s="205"/>
      <c r="FM319" s="205"/>
      <c r="FN319" s="205"/>
      <c r="FO319" s="205"/>
      <c r="FP319" s="205"/>
      <c r="FQ319" s="205"/>
      <c r="FR319" s="205"/>
      <c r="FS319" s="205"/>
      <c r="FT319" s="205"/>
      <c r="FU319" s="205"/>
      <c r="FV319" s="205"/>
      <c r="FW319" s="205"/>
      <c r="FX319" s="205"/>
      <c r="FY319" s="205"/>
      <c r="FZ319" s="205"/>
      <c r="GA319" s="205"/>
      <c r="GB319" s="205"/>
      <c r="GC319" s="205"/>
      <c r="GD319" s="205"/>
      <c r="GE319" s="205"/>
      <c r="GF319" s="205"/>
      <c r="GG319" s="205"/>
      <c r="GH319" s="205"/>
      <c r="GI319" s="205"/>
      <c r="GJ319" s="205"/>
      <c r="GK319" s="205"/>
      <c r="GL319" s="205"/>
      <c r="GM319" s="205"/>
      <c r="GN319" s="205"/>
      <c r="GO319" s="205"/>
      <c r="GP319" s="205"/>
      <c r="GQ319" s="205"/>
      <c r="GR319" s="205"/>
      <c r="GS319" s="205"/>
      <c r="GT319" s="205"/>
      <c r="GU319" s="205"/>
      <c r="GV319" s="205"/>
      <c r="GW319" s="205"/>
      <c r="GX319" s="205"/>
      <c r="GY319" s="205"/>
      <c r="GZ319" s="205"/>
      <c r="HA319" s="205"/>
      <c r="HB319" s="205"/>
      <c r="HC319" s="205"/>
      <c r="HD319" s="205"/>
      <c r="HE319" s="205"/>
      <c r="HF319" s="205"/>
      <c r="HG319" s="205"/>
      <c r="HH319" s="205"/>
      <c r="HI319" s="205"/>
      <c r="HJ319" s="205"/>
      <c r="HK319" s="205"/>
      <c r="HL319" s="205"/>
      <c r="HM319" s="205"/>
      <c r="HN319" s="205"/>
      <c r="HO319" s="205"/>
      <c r="HP319" s="205"/>
      <c r="HQ319" s="205"/>
      <c r="HR319" s="205"/>
      <c r="HS319" s="205"/>
      <c r="HT319" s="205"/>
      <c r="HU319" s="205"/>
      <c r="HV319" s="205"/>
      <c r="HW319" s="205"/>
      <c r="HX319" s="205"/>
      <c r="HY319" s="205"/>
      <c r="HZ319" s="205"/>
      <c r="IA319" s="205"/>
      <c r="IB319" s="205"/>
      <c r="IC319" s="205"/>
      <c r="ID319" s="205"/>
      <c r="IE319" s="205"/>
      <c r="IF319" s="205"/>
      <c r="IG319" s="205"/>
      <c r="IH319" s="205"/>
      <c r="II319" s="205"/>
      <c r="IJ319" s="205"/>
      <c r="IK319" s="205"/>
      <c r="IL319" s="205"/>
      <c r="IM319" s="205"/>
      <c r="IN319" s="205"/>
      <c r="IO319" s="205"/>
      <c r="IP319" s="205"/>
      <c r="IQ319" s="205"/>
      <c r="IR319" s="205"/>
      <c r="IS319" s="205"/>
      <c r="IT319" s="205"/>
      <c r="IU319" s="205"/>
      <c r="IV319" s="205"/>
      <c r="IW319" s="205"/>
      <c r="IX319" s="205"/>
    </row>
    <row r="320" spans="1:258" s="203" customFormat="1" x14ac:dyDescent="0.2">
      <c r="A320" s="669"/>
      <c r="B320" s="670"/>
      <c r="C320" s="1390"/>
      <c r="D320" s="672"/>
      <c r="E320" s="1391"/>
      <c r="F320" s="1391"/>
      <c r="G320" s="1392"/>
      <c r="H320" s="1393"/>
      <c r="I320" s="1394"/>
      <c r="J320" s="1394"/>
      <c r="K320" s="1394"/>
      <c r="L320" s="1394"/>
      <c r="M320" s="1394"/>
      <c r="N320" s="1394"/>
      <c r="O320" s="1394"/>
      <c r="P320" s="1394"/>
      <c r="Q320" s="1394"/>
      <c r="R320" s="1395"/>
      <c r="S320" s="1396"/>
      <c r="T320" s="1397"/>
      <c r="U320" s="205"/>
      <c r="V320" s="685"/>
      <c r="W320" s="205"/>
      <c r="X320" s="205"/>
      <c r="Y320" s="205"/>
      <c r="Z320" s="205"/>
      <c r="AA320" s="205"/>
      <c r="AB320" s="205"/>
      <c r="AC320" s="205"/>
      <c r="AD320" s="205"/>
      <c r="AE320" s="205"/>
      <c r="AF320" s="205"/>
      <c r="AG320" s="205"/>
      <c r="AH320" s="205"/>
      <c r="AI320" s="205"/>
      <c r="AJ320" s="205"/>
      <c r="AK320" s="205"/>
      <c r="AL320" s="205"/>
      <c r="AM320" s="205"/>
      <c r="AN320" s="205"/>
      <c r="AO320" s="205"/>
      <c r="AP320" s="205"/>
      <c r="AQ320" s="205"/>
      <c r="AR320" s="205"/>
      <c r="AS320" s="205"/>
      <c r="AT320" s="205"/>
      <c r="AU320" s="205"/>
      <c r="AV320" s="205"/>
      <c r="AW320" s="205"/>
      <c r="AX320" s="205"/>
      <c r="AY320" s="205"/>
      <c r="AZ320" s="205"/>
      <c r="BA320" s="205"/>
      <c r="BB320" s="205"/>
      <c r="BC320" s="205"/>
      <c r="BD320" s="205"/>
      <c r="BE320" s="205"/>
      <c r="BF320" s="205"/>
      <c r="BG320" s="205"/>
      <c r="BH320" s="205"/>
      <c r="BI320" s="205"/>
      <c r="BJ320" s="205"/>
      <c r="BK320" s="205"/>
      <c r="BL320" s="205"/>
      <c r="BM320" s="205"/>
      <c r="BN320" s="205"/>
      <c r="BO320" s="205"/>
      <c r="BP320" s="205"/>
      <c r="BQ320" s="205"/>
      <c r="BR320" s="205"/>
      <c r="BS320" s="205"/>
      <c r="BT320" s="205"/>
      <c r="BU320" s="205"/>
      <c r="BV320" s="205"/>
      <c r="BW320" s="205"/>
      <c r="BX320" s="205"/>
      <c r="BY320" s="205"/>
      <c r="BZ320" s="205"/>
      <c r="CA320" s="205"/>
      <c r="CB320" s="205"/>
      <c r="CC320" s="205"/>
      <c r="CD320" s="205"/>
      <c r="CE320" s="205"/>
      <c r="CF320" s="205"/>
      <c r="CG320" s="205"/>
      <c r="CH320" s="205"/>
      <c r="CI320" s="205"/>
      <c r="CJ320" s="205"/>
      <c r="CK320" s="205"/>
      <c r="CL320" s="205"/>
      <c r="CM320" s="205"/>
      <c r="CN320" s="205"/>
      <c r="CO320" s="205"/>
      <c r="CP320" s="205"/>
      <c r="CQ320" s="205"/>
      <c r="CR320" s="205"/>
      <c r="CS320" s="205"/>
      <c r="CT320" s="205"/>
      <c r="CU320" s="205"/>
      <c r="CV320" s="205"/>
      <c r="CW320" s="205"/>
      <c r="CX320" s="205"/>
      <c r="CY320" s="205"/>
      <c r="CZ320" s="205"/>
      <c r="DA320" s="205"/>
      <c r="DB320" s="205"/>
      <c r="DC320" s="205"/>
      <c r="DD320" s="205"/>
      <c r="DE320" s="205"/>
      <c r="DF320" s="205"/>
      <c r="DG320" s="205"/>
      <c r="DH320" s="205"/>
      <c r="DI320" s="205"/>
      <c r="DJ320" s="205"/>
      <c r="DK320" s="205"/>
      <c r="DL320" s="205"/>
      <c r="DM320" s="205"/>
      <c r="DN320" s="205"/>
      <c r="DO320" s="205"/>
      <c r="DP320" s="205"/>
      <c r="DQ320" s="205"/>
      <c r="DR320" s="205"/>
      <c r="DS320" s="205"/>
      <c r="DT320" s="205"/>
      <c r="DU320" s="205"/>
      <c r="DV320" s="205"/>
      <c r="DW320" s="205"/>
      <c r="DX320" s="205"/>
      <c r="DY320" s="205"/>
      <c r="DZ320" s="205"/>
      <c r="EA320" s="205"/>
      <c r="EB320" s="205"/>
      <c r="EC320" s="205"/>
      <c r="ED320" s="205"/>
      <c r="EE320" s="205"/>
      <c r="EF320" s="205"/>
      <c r="EG320" s="205"/>
      <c r="EH320" s="205"/>
      <c r="EI320" s="205"/>
      <c r="EJ320" s="205"/>
      <c r="EK320" s="205"/>
      <c r="EL320" s="205"/>
      <c r="EM320" s="205"/>
      <c r="EN320" s="205"/>
      <c r="EO320" s="205"/>
      <c r="EP320" s="205"/>
      <c r="EQ320" s="205"/>
      <c r="ER320" s="205"/>
      <c r="ES320" s="205"/>
      <c r="ET320" s="205"/>
      <c r="EU320" s="205"/>
      <c r="EV320" s="205"/>
      <c r="EW320" s="205"/>
      <c r="EX320" s="205"/>
      <c r="EY320" s="205"/>
      <c r="EZ320" s="205"/>
      <c r="FA320" s="205"/>
      <c r="FB320" s="205"/>
      <c r="FC320" s="205"/>
      <c r="FD320" s="205"/>
      <c r="FE320" s="205"/>
      <c r="FF320" s="205"/>
      <c r="FG320" s="205"/>
      <c r="FH320" s="205"/>
      <c r="FI320" s="205"/>
      <c r="FJ320" s="205"/>
      <c r="FK320" s="205"/>
      <c r="FL320" s="205"/>
      <c r="FM320" s="205"/>
      <c r="FN320" s="205"/>
      <c r="FO320" s="205"/>
      <c r="FP320" s="205"/>
      <c r="FQ320" s="205"/>
      <c r="FR320" s="205"/>
      <c r="FS320" s="205"/>
      <c r="FT320" s="205"/>
      <c r="FU320" s="205"/>
      <c r="FV320" s="205"/>
      <c r="FW320" s="205"/>
      <c r="FX320" s="205"/>
      <c r="FY320" s="205"/>
      <c r="FZ320" s="205"/>
      <c r="GA320" s="205"/>
      <c r="GB320" s="205"/>
      <c r="GC320" s="205"/>
      <c r="GD320" s="205"/>
      <c r="GE320" s="205"/>
      <c r="GF320" s="205"/>
      <c r="GG320" s="205"/>
      <c r="GH320" s="205"/>
      <c r="GI320" s="205"/>
      <c r="GJ320" s="205"/>
      <c r="GK320" s="205"/>
      <c r="GL320" s="205"/>
      <c r="GM320" s="205"/>
      <c r="GN320" s="205"/>
      <c r="GO320" s="205"/>
      <c r="GP320" s="205"/>
      <c r="GQ320" s="205"/>
      <c r="GR320" s="205"/>
      <c r="GS320" s="205"/>
      <c r="GT320" s="205"/>
      <c r="GU320" s="205"/>
      <c r="GV320" s="205"/>
      <c r="GW320" s="205"/>
      <c r="GX320" s="205"/>
      <c r="GY320" s="205"/>
      <c r="GZ320" s="205"/>
      <c r="HA320" s="205"/>
      <c r="HB320" s="205"/>
      <c r="HC320" s="205"/>
      <c r="HD320" s="205"/>
      <c r="HE320" s="205"/>
      <c r="HF320" s="205"/>
      <c r="HG320" s="205"/>
      <c r="HH320" s="205"/>
      <c r="HI320" s="205"/>
      <c r="HJ320" s="205"/>
      <c r="HK320" s="205"/>
      <c r="HL320" s="205"/>
      <c r="HM320" s="205"/>
      <c r="HN320" s="205"/>
      <c r="HO320" s="205"/>
      <c r="HP320" s="205"/>
      <c r="HQ320" s="205"/>
      <c r="HR320" s="205"/>
      <c r="HS320" s="205"/>
      <c r="HT320" s="205"/>
      <c r="HU320" s="205"/>
      <c r="HV320" s="205"/>
      <c r="HW320" s="205"/>
      <c r="HX320" s="205"/>
      <c r="HY320" s="205"/>
      <c r="HZ320" s="205"/>
      <c r="IA320" s="205"/>
      <c r="IB320" s="205"/>
      <c r="IC320" s="205"/>
      <c r="ID320" s="205"/>
      <c r="IE320" s="205"/>
      <c r="IF320" s="205"/>
      <c r="IG320" s="205"/>
      <c r="IH320" s="205"/>
      <c r="II320" s="205"/>
      <c r="IJ320" s="205"/>
      <c r="IK320" s="205"/>
      <c r="IL320" s="205"/>
      <c r="IM320" s="205"/>
      <c r="IN320" s="205"/>
      <c r="IO320" s="205"/>
      <c r="IP320" s="205"/>
      <c r="IQ320" s="205"/>
      <c r="IR320" s="205"/>
      <c r="IS320" s="205"/>
      <c r="IT320" s="205"/>
      <c r="IU320" s="205"/>
      <c r="IV320" s="205"/>
      <c r="IW320" s="205"/>
      <c r="IX320" s="205"/>
    </row>
    <row r="321" spans="1:258" s="203" customFormat="1" x14ac:dyDescent="0.2">
      <c r="A321" s="669"/>
      <c r="B321" s="670">
        <f>RAB!B106</f>
        <v>3</v>
      </c>
      <c r="C321" s="686" t="e">
        <f>RAB!D106</f>
        <v>#REF!</v>
      </c>
      <c r="D321" s="672"/>
      <c r="E321" s="673"/>
      <c r="F321" s="673"/>
      <c r="G321" s="674"/>
      <c r="H321" s="675"/>
      <c r="I321" s="676"/>
      <c r="J321" s="676"/>
      <c r="K321" s="676"/>
      <c r="L321" s="676"/>
      <c r="M321" s="676"/>
      <c r="N321" s="676"/>
      <c r="O321" s="676"/>
      <c r="P321" s="676"/>
      <c r="Q321" s="676"/>
      <c r="R321" s="677"/>
      <c r="S321" s="678"/>
      <c r="T321" s="684"/>
      <c r="U321" s="205"/>
      <c r="V321" s="685"/>
      <c r="W321" s="205"/>
      <c r="X321" s="205"/>
      <c r="Y321" s="205"/>
      <c r="Z321" s="205"/>
      <c r="AA321" s="205"/>
      <c r="AB321" s="205"/>
      <c r="AC321" s="205"/>
      <c r="AD321" s="205"/>
      <c r="AE321" s="205"/>
      <c r="AF321" s="205"/>
      <c r="AG321" s="205"/>
      <c r="AH321" s="205"/>
      <c r="AI321" s="205"/>
      <c r="AJ321" s="205"/>
      <c r="AK321" s="205"/>
      <c r="AL321" s="205"/>
      <c r="AM321" s="205"/>
      <c r="AN321" s="205"/>
      <c r="AO321" s="205"/>
      <c r="AP321" s="205"/>
      <c r="AQ321" s="205"/>
      <c r="AR321" s="205"/>
      <c r="AS321" s="205"/>
      <c r="AT321" s="205"/>
      <c r="AU321" s="205"/>
      <c r="AV321" s="205"/>
      <c r="AW321" s="205"/>
      <c r="AX321" s="205"/>
      <c r="AY321" s="205"/>
      <c r="AZ321" s="205"/>
      <c r="BA321" s="205"/>
      <c r="BB321" s="205"/>
      <c r="BC321" s="205"/>
      <c r="BD321" s="205"/>
      <c r="BE321" s="205"/>
      <c r="BF321" s="205"/>
      <c r="BG321" s="205"/>
      <c r="BH321" s="205"/>
      <c r="BI321" s="205"/>
      <c r="BJ321" s="205"/>
      <c r="BK321" s="205"/>
      <c r="BL321" s="205"/>
      <c r="BM321" s="205"/>
      <c r="BN321" s="205"/>
      <c r="BO321" s="205"/>
      <c r="BP321" s="205"/>
      <c r="BQ321" s="205"/>
      <c r="BR321" s="205"/>
      <c r="BS321" s="205"/>
      <c r="BT321" s="205"/>
      <c r="BU321" s="205"/>
      <c r="BV321" s="205"/>
      <c r="BW321" s="205"/>
      <c r="BX321" s="205"/>
      <c r="BY321" s="205"/>
      <c r="BZ321" s="205"/>
      <c r="CA321" s="205"/>
      <c r="CB321" s="205"/>
      <c r="CC321" s="205"/>
      <c r="CD321" s="205"/>
      <c r="CE321" s="205"/>
      <c r="CF321" s="205"/>
      <c r="CG321" s="205"/>
      <c r="CH321" s="205"/>
      <c r="CI321" s="205"/>
      <c r="CJ321" s="205"/>
      <c r="CK321" s="205"/>
      <c r="CL321" s="205"/>
      <c r="CM321" s="205"/>
      <c r="CN321" s="205"/>
      <c r="CO321" s="205"/>
      <c r="CP321" s="205"/>
      <c r="CQ321" s="205"/>
      <c r="CR321" s="205"/>
      <c r="CS321" s="205"/>
      <c r="CT321" s="205"/>
      <c r="CU321" s="205"/>
      <c r="CV321" s="205"/>
      <c r="CW321" s="205"/>
      <c r="CX321" s="205"/>
      <c r="CY321" s="205"/>
      <c r="CZ321" s="205"/>
      <c r="DA321" s="205"/>
      <c r="DB321" s="205"/>
      <c r="DC321" s="205"/>
      <c r="DD321" s="205"/>
      <c r="DE321" s="205"/>
      <c r="DF321" s="205"/>
      <c r="DG321" s="205"/>
      <c r="DH321" s="205"/>
      <c r="DI321" s="205"/>
      <c r="DJ321" s="205"/>
      <c r="DK321" s="205"/>
      <c r="DL321" s="205"/>
      <c r="DM321" s="205"/>
      <c r="DN321" s="205"/>
      <c r="DO321" s="205"/>
      <c r="DP321" s="205"/>
      <c r="DQ321" s="205"/>
      <c r="DR321" s="205"/>
      <c r="DS321" s="205"/>
      <c r="DT321" s="205"/>
      <c r="DU321" s="205"/>
      <c r="DV321" s="205"/>
      <c r="DW321" s="205"/>
      <c r="DX321" s="205"/>
      <c r="DY321" s="205"/>
      <c r="DZ321" s="205"/>
      <c r="EA321" s="205"/>
      <c r="EB321" s="205"/>
      <c r="EC321" s="205"/>
      <c r="ED321" s="205"/>
      <c r="EE321" s="205"/>
      <c r="EF321" s="205"/>
      <c r="EG321" s="205"/>
      <c r="EH321" s="205"/>
      <c r="EI321" s="205"/>
      <c r="EJ321" s="205"/>
      <c r="EK321" s="205"/>
      <c r="EL321" s="205"/>
      <c r="EM321" s="205"/>
      <c r="EN321" s="205"/>
      <c r="EO321" s="205"/>
      <c r="EP321" s="205"/>
      <c r="EQ321" s="205"/>
      <c r="ER321" s="205"/>
      <c r="ES321" s="205"/>
      <c r="ET321" s="205"/>
      <c r="EU321" s="205"/>
      <c r="EV321" s="205"/>
      <c r="EW321" s="205"/>
      <c r="EX321" s="205"/>
      <c r="EY321" s="205"/>
      <c r="EZ321" s="205"/>
      <c r="FA321" s="205"/>
      <c r="FB321" s="205"/>
      <c r="FC321" s="205"/>
      <c r="FD321" s="205"/>
      <c r="FE321" s="205"/>
      <c r="FF321" s="205"/>
      <c r="FG321" s="205"/>
      <c r="FH321" s="205"/>
      <c r="FI321" s="205"/>
      <c r="FJ321" s="205"/>
      <c r="FK321" s="205"/>
      <c r="FL321" s="205"/>
      <c r="FM321" s="205"/>
      <c r="FN321" s="205"/>
      <c r="FO321" s="205"/>
      <c r="FP321" s="205"/>
      <c r="FQ321" s="205"/>
      <c r="FR321" s="205"/>
      <c r="FS321" s="205"/>
      <c r="FT321" s="205"/>
      <c r="FU321" s="205"/>
      <c r="FV321" s="205"/>
      <c r="FW321" s="205"/>
      <c r="FX321" s="205"/>
      <c r="FY321" s="205"/>
      <c r="FZ321" s="205"/>
      <c r="GA321" s="205"/>
      <c r="GB321" s="205"/>
      <c r="GC321" s="205"/>
      <c r="GD321" s="205"/>
      <c r="GE321" s="205"/>
      <c r="GF321" s="205"/>
      <c r="GG321" s="205"/>
      <c r="GH321" s="205"/>
      <c r="GI321" s="205"/>
      <c r="GJ321" s="205"/>
      <c r="GK321" s="205"/>
      <c r="GL321" s="205"/>
      <c r="GM321" s="205"/>
      <c r="GN321" s="205"/>
      <c r="GO321" s="205"/>
      <c r="GP321" s="205"/>
      <c r="GQ321" s="205"/>
      <c r="GR321" s="205"/>
      <c r="GS321" s="205"/>
      <c r="GT321" s="205"/>
      <c r="GU321" s="205"/>
      <c r="GV321" s="205"/>
      <c r="GW321" s="205"/>
      <c r="GX321" s="205"/>
      <c r="GY321" s="205"/>
      <c r="GZ321" s="205"/>
      <c r="HA321" s="205"/>
      <c r="HB321" s="205"/>
      <c r="HC321" s="205"/>
      <c r="HD321" s="205"/>
      <c r="HE321" s="205"/>
      <c r="HF321" s="205"/>
      <c r="HG321" s="205"/>
      <c r="HH321" s="205"/>
      <c r="HI321" s="205"/>
      <c r="HJ321" s="205"/>
      <c r="HK321" s="205"/>
      <c r="HL321" s="205"/>
      <c r="HM321" s="205"/>
      <c r="HN321" s="205"/>
      <c r="HO321" s="205"/>
      <c r="HP321" s="205"/>
      <c r="HQ321" s="205"/>
      <c r="HR321" s="205"/>
      <c r="HS321" s="205"/>
      <c r="HT321" s="205"/>
      <c r="HU321" s="205"/>
      <c r="HV321" s="205"/>
      <c r="HW321" s="205"/>
      <c r="HX321" s="205"/>
      <c r="HY321" s="205"/>
      <c r="HZ321" s="205"/>
      <c r="IA321" s="205"/>
      <c r="IB321" s="205"/>
      <c r="IC321" s="205"/>
      <c r="ID321" s="205"/>
      <c r="IE321" s="205"/>
      <c r="IF321" s="205"/>
      <c r="IG321" s="205"/>
      <c r="IH321" s="205"/>
      <c r="II321" s="205"/>
      <c r="IJ321" s="205"/>
      <c r="IK321" s="205"/>
      <c r="IL321" s="205"/>
      <c r="IM321" s="205"/>
      <c r="IN321" s="205"/>
      <c r="IO321" s="205"/>
      <c r="IP321" s="205"/>
      <c r="IQ321" s="205"/>
      <c r="IR321" s="205"/>
      <c r="IS321" s="205"/>
      <c r="IT321" s="205"/>
      <c r="IU321" s="205"/>
      <c r="IV321" s="205"/>
      <c r="IW321" s="205"/>
      <c r="IX321" s="205"/>
    </row>
    <row r="322" spans="1:258" s="203" customFormat="1" x14ac:dyDescent="0.2">
      <c r="A322" s="669"/>
      <c r="B322" s="670"/>
      <c r="C322" s="1390"/>
      <c r="D322" s="672"/>
      <c r="E322" s="1391"/>
      <c r="F322" s="1391"/>
      <c r="G322" s="1392" t="str">
        <f>G308</f>
        <v>R.alat,sterilisasi,spoelhoek</v>
      </c>
      <c r="H322" s="1393">
        <f>(H308+J308+H308+J308)-0.8</f>
        <v>6.6000000000000005</v>
      </c>
      <c r="I322" s="1394" t="s">
        <v>424</v>
      </c>
      <c r="J322" s="1394">
        <v>1.75</v>
      </c>
      <c r="K322" s="1394" t="s">
        <v>424</v>
      </c>
      <c r="L322" s="1394">
        <f>L308</f>
        <v>3</v>
      </c>
      <c r="M322" s="1394"/>
      <c r="N322" s="1394"/>
      <c r="O322" s="1394"/>
      <c r="P322" s="1394"/>
      <c r="Q322" s="1362" t="s">
        <v>696</v>
      </c>
      <c r="R322" s="1363">
        <f t="shared" ref="R322" si="144">H322*J322*L322</f>
        <v>34.650000000000006</v>
      </c>
      <c r="S322" s="1396"/>
      <c r="T322" s="1397"/>
      <c r="U322" s="205"/>
      <c r="V322" s="685"/>
      <c r="W322" s="205"/>
      <c r="X322" s="205"/>
      <c r="Y322" s="205"/>
      <c r="Z322" s="205"/>
      <c r="AA322" s="205"/>
      <c r="AB322" s="205"/>
      <c r="AC322" s="205"/>
      <c r="AD322" s="205"/>
      <c r="AE322" s="205"/>
      <c r="AF322" s="205"/>
      <c r="AG322" s="205"/>
      <c r="AH322" s="205"/>
      <c r="AI322" s="205"/>
      <c r="AJ322" s="205"/>
      <c r="AK322" s="205"/>
      <c r="AL322" s="205"/>
      <c r="AM322" s="205"/>
      <c r="AN322" s="205"/>
      <c r="AO322" s="205"/>
      <c r="AP322" s="205"/>
      <c r="AQ322" s="205"/>
      <c r="AR322" s="205"/>
      <c r="AS322" s="205"/>
      <c r="AT322" s="205"/>
      <c r="AU322" s="205"/>
      <c r="AV322" s="205"/>
      <c r="AW322" s="205"/>
      <c r="AX322" s="205"/>
      <c r="AY322" s="205"/>
      <c r="AZ322" s="205"/>
      <c r="BA322" s="205"/>
      <c r="BB322" s="205"/>
      <c r="BC322" s="205"/>
      <c r="BD322" s="205"/>
      <c r="BE322" s="205"/>
      <c r="BF322" s="205"/>
      <c r="BG322" s="205"/>
      <c r="BH322" s="205"/>
      <c r="BI322" s="205"/>
      <c r="BJ322" s="205"/>
      <c r="BK322" s="205"/>
      <c r="BL322" s="205"/>
      <c r="BM322" s="205"/>
      <c r="BN322" s="205"/>
      <c r="BO322" s="205"/>
      <c r="BP322" s="205"/>
      <c r="BQ322" s="205"/>
      <c r="BR322" s="205"/>
      <c r="BS322" s="205"/>
      <c r="BT322" s="205"/>
      <c r="BU322" s="205"/>
      <c r="BV322" s="205"/>
      <c r="BW322" s="205"/>
      <c r="BX322" s="205"/>
      <c r="BY322" s="205"/>
      <c r="BZ322" s="205"/>
      <c r="CA322" s="205"/>
      <c r="CB322" s="205"/>
      <c r="CC322" s="205"/>
      <c r="CD322" s="205"/>
      <c r="CE322" s="205"/>
      <c r="CF322" s="205"/>
      <c r="CG322" s="205"/>
      <c r="CH322" s="205"/>
      <c r="CI322" s="205"/>
      <c r="CJ322" s="205"/>
      <c r="CK322" s="205"/>
      <c r="CL322" s="205"/>
      <c r="CM322" s="205"/>
      <c r="CN322" s="205"/>
      <c r="CO322" s="205"/>
      <c r="CP322" s="205"/>
      <c r="CQ322" s="205"/>
      <c r="CR322" s="205"/>
      <c r="CS322" s="205"/>
      <c r="CT322" s="205"/>
      <c r="CU322" s="205"/>
      <c r="CV322" s="205"/>
      <c r="CW322" s="205"/>
      <c r="CX322" s="205"/>
      <c r="CY322" s="205"/>
      <c r="CZ322" s="205"/>
      <c r="DA322" s="205"/>
      <c r="DB322" s="205"/>
      <c r="DC322" s="205"/>
      <c r="DD322" s="205"/>
      <c r="DE322" s="205"/>
      <c r="DF322" s="205"/>
      <c r="DG322" s="205"/>
      <c r="DH322" s="205"/>
      <c r="DI322" s="205"/>
      <c r="DJ322" s="205"/>
      <c r="DK322" s="205"/>
      <c r="DL322" s="205"/>
      <c r="DM322" s="205"/>
      <c r="DN322" s="205"/>
      <c r="DO322" s="205"/>
      <c r="DP322" s="205"/>
      <c r="DQ322" s="205"/>
      <c r="DR322" s="205"/>
      <c r="DS322" s="205"/>
      <c r="DT322" s="205"/>
      <c r="DU322" s="205"/>
      <c r="DV322" s="205"/>
      <c r="DW322" s="205"/>
      <c r="DX322" s="205"/>
      <c r="DY322" s="205"/>
      <c r="DZ322" s="205"/>
      <c r="EA322" s="205"/>
      <c r="EB322" s="205"/>
      <c r="EC322" s="205"/>
      <c r="ED322" s="205"/>
      <c r="EE322" s="205"/>
      <c r="EF322" s="205"/>
      <c r="EG322" s="205"/>
      <c r="EH322" s="205"/>
      <c r="EI322" s="205"/>
      <c r="EJ322" s="205"/>
      <c r="EK322" s="205"/>
      <c r="EL322" s="205"/>
      <c r="EM322" s="205"/>
      <c r="EN322" s="205"/>
      <c r="EO322" s="205"/>
      <c r="EP322" s="205"/>
      <c r="EQ322" s="205"/>
      <c r="ER322" s="205"/>
      <c r="ES322" s="205"/>
      <c r="ET322" s="205"/>
      <c r="EU322" s="205"/>
      <c r="EV322" s="205"/>
      <c r="EW322" s="205"/>
      <c r="EX322" s="205"/>
      <c r="EY322" s="205"/>
      <c r="EZ322" s="205"/>
      <c r="FA322" s="205"/>
      <c r="FB322" s="205"/>
      <c r="FC322" s="205"/>
      <c r="FD322" s="205"/>
      <c r="FE322" s="205"/>
      <c r="FF322" s="205"/>
      <c r="FG322" s="205"/>
      <c r="FH322" s="205"/>
      <c r="FI322" s="205"/>
      <c r="FJ322" s="205"/>
      <c r="FK322" s="205"/>
      <c r="FL322" s="205"/>
      <c r="FM322" s="205"/>
      <c r="FN322" s="205"/>
      <c r="FO322" s="205"/>
      <c r="FP322" s="205"/>
      <c r="FQ322" s="205"/>
      <c r="FR322" s="205"/>
      <c r="FS322" s="205"/>
      <c r="FT322" s="205"/>
      <c r="FU322" s="205"/>
      <c r="FV322" s="205"/>
      <c r="FW322" s="205"/>
      <c r="FX322" s="205"/>
      <c r="FY322" s="205"/>
      <c r="FZ322" s="205"/>
      <c r="GA322" s="205"/>
      <c r="GB322" s="205"/>
      <c r="GC322" s="205"/>
      <c r="GD322" s="205"/>
      <c r="GE322" s="205"/>
      <c r="GF322" s="205"/>
      <c r="GG322" s="205"/>
      <c r="GH322" s="205"/>
      <c r="GI322" s="205"/>
      <c r="GJ322" s="205"/>
      <c r="GK322" s="205"/>
      <c r="GL322" s="205"/>
      <c r="GM322" s="205"/>
      <c r="GN322" s="205"/>
      <c r="GO322" s="205"/>
      <c r="GP322" s="205"/>
      <c r="GQ322" s="205"/>
      <c r="GR322" s="205"/>
      <c r="GS322" s="205"/>
      <c r="GT322" s="205"/>
      <c r="GU322" s="205"/>
      <c r="GV322" s="205"/>
      <c r="GW322" s="205"/>
      <c r="GX322" s="205"/>
      <c r="GY322" s="205"/>
      <c r="GZ322" s="205"/>
      <c r="HA322" s="205"/>
      <c r="HB322" s="205"/>
      <c r="HC322" s="205"/>
      <c r="HD322" s="205"/>
      <c r="HE322" s="205"/>
      <c r="HF322" s="205"/>
      <c r="HG322" s="205"/>
      <c r="HH322" s="205"/>
      <c r="HI322" s="205"/>
      <c r="HJ322" s="205"/>
      <c r="HK322" s="205"/>
      <c r="HL322" s="205"/>
      <c r="HM322" s="205"/>
      <c r="HN322" s="205"/>
      <c r="HO322" s="205"/>
      <c r="HP322" s="205"/>
      <c r="HQ322" s="205"/>
      <c r="HR322" s="205"/>
      <c r="HS322" s="205"/>
      <c r="HT322" s="205"/>
      <c r="HU322" s="205"/>
      <c r="HV322" s="205"/>
      <c r="HW322" s="205"/>
      <c r="HX322" s="205"/>
      <c r="HY322" s="205"/>
      <c r="HZ322" s="205"/>
      <c r="IA322" s="205"/>
      <c r="IB322" s="205"/>
      <c r="IC322" s="205"/>
      <c r="ID322" s="205"/>
      <c r="IE322" s="205"/>
      <c r="IF322" s="205"/>
      <c r="IG322" s="205"/>
      <c r="IH322" s="205"/>
      <c r="II322" s="205"/>
      <c r="IJ322" s="205"/>
      <c r="IK322" s="205"/>
      <c r="IL322" s="205"/>
      <c r="IM322" s="205"/>
      <c r="IN322" s="205"/>
      <c r="IO322" s="205"/>
      <c r="IP322" s="205"/>
      <c r="IQ322" s="205"/>
      <c r="IR322" s="205"/>
      <c r="IS322" s="205"/>
      <c r="IT322" s="205"/>
      <c r="IU322" s="205"/>
      <c r="IV322" s="205"/>
      <c r="IW322" s="205"/>
      <c r="IX322" s="205"/>
    </row>
    <row r="323" spans="1:258" s="203" customFormat="1" x14ac:dyDescent="0.2">
      <c r="A323" s="669"/>
      <c r="B323" s="670"/>
      <c r="C323" s="1390"/>
      <c r="D323" s="672"/>
      <c r="E323" s="1391"/>
      <c r="F323" s="1391"/>
      <c r="G323" s="1392" t="str">
        <f t="shared" ref="G323:G331" si="145">G309</f>
        <v>KM R.Inap umum</v>
      </c>
      <c r="H323" s="1393">
        <f>(H309+J309+H309+J309)-0.8</f>
        <v>4.6000000000000005</v>
      </c>
      <c r="I323" s="1394" t="s">
        <v>424</v>
      </c>
      <c r="J323" s="1394">
        <v>1.75</v>
      </c>
      <c r="K323" s="1394" t="s">
        <v>424</v>
      </c>
      <c r="L323" s="1394">
        <f>L309</f>
        <v>5</v>
      </c>
      <c r="M323" s="1394"/>
      <c r="N323" s="1394"/>
      <c r="O323" s="1394"/>
      <c r="P323" s="1394"/>
      <c r="Q323" s="1362" t="s">
        <v>696</v>
      </c>
      <c r="R323" s="1363">
        <f t="shared" ref="R323" si="146">H323*J323*L323</f>
        <v>40.25</v>
      </c>
      <c r="S323" s="1396"/>
      <c r="T323" s="1397"/>
      <c r="U323" s="205"/>
      <c r="V323" s="685"/>
      <c r="W323" s="205"/>
      <c r="X323" s="205"/>
      <c r="Y323" s="205"/>
      <c r="Z323" s="205"/>
      <c r="AA323" s="205"/>
      <c r="AB323" s="205"/>
      <c r="AC323" s="205"/>
      <c r="AD323" s="205"/>
      <c r="AE323" s="205"/>
      <c r="AF323" s="205"/>
      <c r="AG323" s="205"/>
      <c r="AH323" s="205"/>
      <c r="AI323" s="205"/>
      <c r="AJ323" s="205"/>
      <c r="AK323" s="205"/>
      <c r="AL323" s="205"/>
      <c r="AM323" s="205"/>
      <c r="AN323" s="205"/>
      <c r="AO323" s="205"/>
      <c r="AP323" s="205"/>
      <c r="AQ323" s="205"/>
      <c r="AR323" s="205"/>
      <c r="AS323" s="205"/>
      <c r="AT323" s="205"/>
      <c r="AU323" s="205"/>
      <c r="AV323" s="205"/>
      <c r="AW323" s="205"/>
      <c r="AX323" s="205"/>
      <c r="AY323" s="205"/>
      <c r="AZ323" s="205"/>
      <c r="BA323" s="205"/>
      <c r="BB323" s="205"/>
      <c r="BC323" s="205"/>
      <c r="BD323" s="205"/>
      <c r="BE323" s="205"/>
      <c r="BF323" s="205"/>
      <c r="BG323" s="205"/>
      <c r="BH323" s="205"/>
      <c r="BI323" s="205"/>
      <c r="BJ323" s="205"/>
      <c r="BK323" s="205"/>
      <c r="BL323" s="205"/>
      <c r="BM323" s="205"/>
      <c r="BN323" s="205"/>
      <c r="BO323" s="205"/>
      <c r="BP323" s="205"/>
      <c r="BQ323" s="205"/>
      <c r="BR323" s="205"/>
      <c r="BS323" s="205"/>
      <c r="BT323" s="205"/>
      <c r="BU323" s="205"/>
      <c r="BV323" s="205"/>
      <c r="BW323" s="205"/>
      <c r="BX323" s="205"/>
      <c r="BY323" s="205"/>
      <c r="BZ323" s="205"/>
      <c r="CA323" s="205"/>
      <c r="CB323" s="205"/>
      <c r="CC323" s="205"/>
      <c r="CD323" s="205"/>
      <c r="CE323" s="205"/>
      <c r="CF323" s="205"/>
      <c r="CG323" s="205"/>
      <c r="CH323" s="205"/>
      <c r="CI323" s="205"/>
      <c r="CJ323" s="205"/>
      <c r="CK323" s="205"/>
      <c r="CL323" s="205"/>
      <c r="CM323" s="205"/>
      <c r="CN323" s="205"/>
      <c r="CO323" s="205"/>
      <c r="CP323" s="205"/>
      <c r="CQ323" s="205"/>
      <c r="CR323" s="205"/>
      <c r="CS323" s="205"/>
      <c r="CT323" s="205"/>
      <c r="CU323" s="205"/>
      <c r="CV323" s="205"/>
      <c r="CW323" s="205"/>
      <c r="CX323" s="205"/>
      <c r="CY323" s="205"/>
      <c r="CZ323" s="205"/>
      <c r="DA323" s="205"/>
      <c r="DB323" s="205"/>
      <c r="DC323" s="205"/>
      <c r="DD323" s="205"/>
      <c r="DE323" s="205"/>
      <c r="DF323" s="205"/>
      <c r="DG323" s="205"/>
      <c r="DH323" s="205"/>
      <c r="DI323" s="205"/>
      <c r="DJ323" s="205"/>
      <c r="DK323" s="205"/>
      <c r="DL323" s="205"/>
      <c r="DM323" s="205"/>
      <c r="DN323" s="205"/>
      <c r="DO323" s="205"/>
      <c r="DP323" s="205"/>
      <c r="DQ323" s="205"/>
      <c r="DR323" s="205"/>
      <c r="DS323" s="205"/>
      <c r="DT323" s="205"/>
      <c r="DU323" s="205"/>
      <c r="DV323" s="205"/>
      <c r="DW323" s="205"/>
      <c r="DX323" s="205"/>
      <c r="DY323" s="205"/>
      <c r="DZ323" s="205"/>
      <c r="EA323" s="205"/>
      <c r="EB323" s="205"/>
      <c r="EC323" s="205"/>
      <c r="ED323" s="205"/>
      <c r="EE323" s="205"/>
      <c r="EF323" s="205"/>
      <c r="EG323" s="205"/>
      <c r="EH323" s="205"/>
      <c r="EI323" s="205"/>
      <c r="EJ323" s="205"/>
      <c r="EK323" s="205"/>
      <c r="EL323" s="205"/>
      <c r="EM323" s="205"/>
      <c r="EN323" s="205"/>
      <c r="EO323" s="205"/>
      <c r="EP323" s="205"/>
      <c r="EQ323" s="205"/>
      <c r="ER323" s="205"/>
      <c r="ES323" s="205"/>
      <c r="ET323" s="205"/>
      <c r="EU323" s="205"/>
      <c r="EV323" s="205"/>
      <c r="EW323" s="205"/>
      <c r="EX323" s="205"/>
      <c r="EY323" s="205"/>
      <c r="EZ323" s="205"/>
      <c r="FA323" s="205"/>
      <c r="FB323" s="205"/>
      <c r="FC323" s="205"/>
      <c r="FD323" s="205"/>
      <c r="FE323" s="205"/>
      <c r="FF323" s="205"/>
      <c r="FG323" s="205"/>
      <c r="FH323" s="205"/>
      <c r="FI323" s="205"/>
      <c r="FJ323" s="205"/>
      <c r="FK323" s="205"/>
      <c r="FL323" s="205"/>
      <c r="FM323" s="205"/>
      <c r="FN323" s="205"/>
      <c r="FO323" s="205"/>
      <c r="FP323" s="205"/>
      <c r="FQ323" s="205"/>
      <c r="FR323" s="205"/>
      <c r="FS323" s="205"/>
      <c r="FT323" s="205"/>
      <c r="FU323" s="205"/>
      <c r="FV323" s="205"/>
      <c r="FW323" s="205"/>
      <c r="FX323" s="205"/>
      <c r="FY323" s="205"/>
      <c r="FZ323" s="205"/>
      <c r="GA323" s="205"/>
      <c r="GB323" s="205"/>
      <c r="GC323" s="205"/>
      <c r="GD323" s="205"/>
      <c r="GE323" s="205"/>
      <c r="GF323" s="205"/>
      <c r="GG323" s="205"/>
      <c r="GH323" s="205"/>
      <c r="GI323" s="205"/>
      <c r="GJ323" s="205"/>
      <c r="GK323" s="205"/>
      <c r="GL323" s="205"/>
      <c r="GM323" s="205"/>
      <c r="GN323" s="205"/>
      <c r="GO323" s="205"/>
      <c r="GP323" s="205"/>
      <c r="GQ323" s="205"/>
      <c r="GR323" s="205"/>
      <c r="GS323" s="205"/>
      <c r="GT323" s="205"/>
      <c r="GU323" s="205"/>
      <c r="GV323" s="205"/>
      <c r="GW323" s="205"/>
      <c r="GX323" s="205"/>
      <c r="GY323" s="205"/>
      <c r="GZ323" s="205"/>
      <c r="HA323" s="205"/>
      <c r="HB323" s="205"/>
      <c r="HC323" s="205"/>
      <c r="HD323" s="205"/>
      <c r="HE323" s="205"/>
      <c r="HF323" s="205"/>
      <c r="HG323" s="205"/>
      <c r="HH323" s="205"/>
      <c r="HI323" s="205"/>
      <c r="HJ323" s="205"/>
      <c r="HK323" s="205"/>
      <c r="HL323" s="205"/>
      <c r="HM323" s="205"/>
      <c r="HN323" s="205"/>
      <c r="HO323" s="205"/>
      <c r="HP323" s="205"/>
      <c r="HQ323" s="205"/>
      <c r="HR323" s="205"/>
      <c r="HS323" s="205"/>
      <c r="HT323" s="205"/>
      <c r="HU323" s="205"/>
      <c r="HV323" s="205"/>
      <c r="HW323" s="205"/>
      <c r="HX323" s="205"/>
      <c r="HY323" s="205"/>
      <c r="HZ323" s="205"/>
      <c r="IA323" s="205"/>
      <c r="IB323" s="205"/>
      <c r="IC323" s="205"/>
      <c r="ID323" s="205"/>
      <c r="IE323" s="205"/>
      <c r="IF323" s="205"/>
      <c r="IG323" s="205"/>
      <c r="IH323" s="205"/>
      <c r="II323" s="205"/>
      <c r="IJ323" s="205"/>
      <c r="IK323" s="205"/>
      <c r="IL323" s="205"/>
      <c r="IM323" s="205"/>
      <c r="IN323" s="205"/>
      <c r="IO323" s="205"/>
      <c r="IP323" s="205"/>
      <c r="IQ323" s="205"/>
      <c r="IR323" s="205"/>
      <c r="IS323" s="205"/>
      <c r="IT323" s="205"/>
      <c r="IU323" s="205"/>
      <c r="IV323" s="205"/>
      <c r="IW323" s="205"/>
      <c r="IX323" s="205"/>
    </row>
    <row r="324" spans="1:258" s="203" customFormat="1" x14ac:dyDescent="0.2">
      <c r="A324" s="669"/>
      <c r="B324" s="670"/>
      <c r="C324" s="1390"/>
      <c r="D324" s="672"/>
      <c r="E324" s="1391"/>
      <c r="F324" s="1391"/>
      <c r="G324" s="1392" t="str">
        <f t="shared" si="145"/>
        <v>KM R.Inap VIP</v>
      </c>
      <c r="H324" s="1393">
        <f t="shared" ref="H324:H325" si="147">(H310+J310+H310+J310)-0.8</f>
        <v>4.6000000000000005</v>
      </c>
      <c r="I324" s="1394" t="s">
        <v>424</v>
      </c>
      <c r="J324" s="1394">
        <v>1.75</v>
      </c>
      <c r="K324" s="1394" t="s">
        <v>424</v>
      </c>
      <c r="L324" s="1394">
        <f t="shared" ref="L324:L326" si="148">L310</f>
        <v>2</v>
      </c>
      <c r="M324" s="1394"/>
      <c r="N324" s="1394"/>
      <c r="O324" s="1394"/>
      <c r="P324" s="1394"/>
      <c r="Q324" s="1362" t="s">
        <v>696</v>
      </c>
      <c r="R324" s="1363">
        <f t="shared" ref="R324:R325" si="149">H324*J324*L324</f>
        <v>16.100000000000001</v>
      </c>
      <c r="S324" s="1396"/>
      <c r="T324" s="1397"/>
      <c r="U324" s="205"/>
      <c r="V324" s="685"/>
      <c r="W324" s="205"/>
      <c r="X324" s="205"/>
      <c r="Y324" s="205"/>
      <c r="Z324" s="205"/>
      <c r="AA324" s="205"/>
      <c r="AB324" s="205"/>
      <c r="AC324" s="205"/>
      <c r="AD324" s="205"/>
      <c r="AE324" s="205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205"/>
      <c r="BN324" s="205"/>
      <c r="BO324" s="205"/>
      <c r="BP324" s="205"/>
      <c r="BQ324" s="205"/>
      <c r="BR324" s="205"/>
      <c r="BS324" s="205"/>
      <c r="BT324" s="205"/>
      <c r="BU324" s="205"/>
      <c r="BV324" s="205"/>
      <c r="BW324" s="205"/>
      <c r="BX324" s="205"/>
      <c r="BY324" s="205"/>
      <c r="BZ324" s="205"/>
      <c r="CA324" s="205"/>
      <c r="CB324" s="205"/>
      <c r="CC324" s="205"/>
      <c r="CD324" s="205"/>
      <c r="CE324" s="205"/>
      <c r="CF324" s="205"/>
      <c r="CG324" s="205"/>
      <c r="CH324" s="205"/>
      <c r="CI324" s="205"/>
      <c r="CJ324" s="205"/>
      <c r="CK324" s="205"/>
      <c r="CL324" s="205"/>
      <c r="CM324" s="205"/>
      <c r="CN324" s="205"/>
      <c r="CO324" s="205"/>
      <c r="CP324" s="205"/>
      <c r="CQ324" s="205"/>
      <c r="CR324" s="205"/>
      <c r="CS324" s="205"/>
      <c r="CT324" s="205"/>
      <c r="CU324" s="205"/>
      <c r="CV324" s="205"/>
      <c r="CW324" s="205"/>
      <c r="CX324" s="205"/>
      <c r="CY324" s="205"/>
      <c r="CZ324" s="205"/>
      <c r="DA324" s="205"/>
      <c r="DB324" s="205"/>
      <c r="DC324" s="205"/>
      <c r="DD324" s="205"/>
      <c r="DE324" s="205"/>
      <c r="DF324" s="205"/>
      <c r="DG324" s="205"/>
      <c r="DH324" s="205"/>
      <c r="DI324" s="205"/>
      <c r="DJ324" s="205"/>
      <c r="DK324" s="205"/>
      <c r="DL324" s="205"/>
      <c r="DM324" s="205"/>
      <c r="DN324" s="205"/>
      <c r="DO324" s="205"/>
      <c r="DP324" s="205"/>
      <c r="DQ324" s="205"/>
      <c r="DR324" s="205"/>
      <c r="DS324" s="205"/>
      <c r="DT324" s="205"/>
      <c r="DU324" s="205"/>
      <c r="DV324" s="205"/>
      <c r="DW324" s="205"/>
      <c r="DX324" s="205"/>
      <c r="DY324" s="205"/>
      <c r="DZ324" s="205"/>
      <c r="EA324" s="205"/>
      <c r="EB324" s="205"/>
      <c r="EC324" s="205"/>
      <c r="ED324" s="205"/>
      <c r="EE324" s="205"/>
      <c r="EF324" s="205"/>
      <c r="EG324" s="205"/>
      <c r="EH324" s="205"/>
      <c r="EI324" s="205"/>
      <c r="EJ324" s="205"/>
      <c r="EK324" s="205"/>
      <c r="EL324" s="205"/>
      <c r="EM324" s="205"/>
      <c r="EN324" s="205"/>
      <c r="EO324" s="205"/>
      <c r="EP324" s="205"/>
      <c r="EQ324" s="205"/>
      <c r="ER324" s="205"/>
      <c r="ES324" s="205"/>
      <c r="ET324" s="205"/>
      <c r="EU324" s="205"/>
      <c r="EV324" s="205"/>
      <c r="EW324" s="205"/>
      <c r="EX324" s="205"/>
      <c r="EY324" s="205"/>
      <c r="EZ324" s="205"/>
      <c r="FA324" s="205"/>
      <c r="FB324" s="205"/>
      <c r="FC324" s="205"/>
      <c r="FD324" s="205"/>
      <c r="FE324" s="205"/>
      <c r="FF324" s="205"/>
      <c r="FG324" s="205"/>
      <c r="FH324" s="205"/>
      <c r="FI324" s="205"/>
      <c r="FJ324" s="205"/>
      <c r="FK324" s="205"/>
      <c r="FL324" s="205"/>
      <c r="FM324" s="205"/>
      <c r="FN324" s="205"/>
      <c r="FO324" s="205"/>
      <c r="FP324" s="205"/>
      <c r="FQ324" s="205"/>
      <c r="FR324" s="205"/>
      <c r="FS324" s="205"/>
      <c r="FT324" s="205"/>
      <c r="FU324" s="205"/>
      <c r="FV324" s="205"/>
      <c r="FW324" s="205"/>
      <c r="FX324" s="205"/>
      <c r="FY324" s="205"/>
      <c r="FZ324" s="205"/>
      <c r="GA324" s="205"/>
      <c r="GB324" s="205"/>
      <c r="GC324" s="205"/>
      <c r="GD324" s="205"/>
      <c r="GE324" s="205"/>
      <c r="GF324" s="205"/>
      <c r="GG324" s="205"/>
      <c r="GH324" s="205"/>
      <c r="GI324" s="205"/>
      <c r="GJ324" s="205"/>
      <c r="GK324" s="205"/>
      <c r="GL324" s="205"/>
      <c r="GM324" s="205"/>
      <c r="GN324" s="205"/>
      <c r="GO324" s="205"/>
      <c r="GP324" s="205"/>
      <c r="GQ324" s="205"/>
      <c r="GR324" s="205"/>
      <c r="GS324" s="205"/>
      <c r="GT324" s="205"/>
      <c r="GU324" s="205"/>
      <c r="GV324" s="205"/>
      <c r="GW324" s="205"/>
      <c r="GX324" s="205"/>
      <c r="GY324" s="205"/>
      <c r="GZ324" s="205"/>
      <c r="HA324" s="205"/>
      <c r="HB324" s="205"/>
      <c r="HC324" s="205"/>
      <c r="HD324" s="205"/>
      <c r="HE324" s="205"/>
      <c r="HF324" s="205"/>
      <c r="HG324" s="205"/>
      <c r="HH324" s="205"/>
      <c r="HI324" s="205"/>
      <c r="HJ324" s="205"/>
      <c r="HK324" s="205"/>
      <c r="HL324" s="205"/>
      <c r="HM324" s="205"/>
      <c r="HN324" s="205"/>
      <c r="HO324" s="205"/>
      <c r="HP324" s="205"/>
      <c r="HQ324" s="205"/>
      <c r="HR324" s="205"/>
      <c r="HS324" s="205"/>
      <c r="HT324" s="205"/>
      <c r="HU324" s="205"/>
      <c r="HV324" s="205"/>
      <c r="HW324" s="205"/>
      <c r="HX324" s="205"/>
      <c r="HY324" s="205"/>
      <c r="HZ324" s="205"/>
      <c r="IA324" s="205"/>
      <c r="IB324" s="205"/>
      <c r="IC324" s="205"/>
      <c r="ID324" s="205"/>
      <c r="IE324" s="205"/>
      <c r="IF324" s="205"/>
      <c r="IG324" s="205"/>
      <c r="IH324" s="205"/>
      <c r="II324" s="205"/>
      <c r="IJ324" s="205"/>
      <c r="IK324" s="205"/>
      <c r="IL324" s="205"/>
      <c r="IM324" s="205"/>
      <c r="IN324" s="205"/>
      <c r="IO324" s="205"/>
      <c r="IP324" s="205"/>
      <c r="IQ324" s="205"/>
      <c r="IR324" s="205"/>
      <c r="IS324" s="205"/>
      <c r="IT324" s="205"/>
      <c r="IU324" s="205"/>
      <c r="IV324" s="205"/>
      <c r="IW324" s="205"/>
      <c r="IX324" s="205"/>
    </row>
    <row r="325" spans="1:258" s="203" customFormat="1" x14ac:dyDescent="0.2">
      <c r="A325" s="669"/>
      <c r="B325" s="670"/>
      <c r="C325" s="1390"/>
      <c r="D325" s="672"/>
      <c r="E325" s="1391"/>
      <c r="F325" s="1391"/>
      <c r="G325" s="1392" t="str">
        <f t="shared" si="145"/>
        <v>KM.umum</v>
      </c>
      <c r="H325" s="1393">
        <f t="shared" si="147"/>
        <v>5.1000000000000005</v>
      </c>
      <c r="I325" s="1394" t="s">
        <v>424</v>
      </c>
      <c r="J325" s="1394">
        <v>1.75</v>
      </c>
      <c r="K325" s="1394" t="s">
        <v>424</v>
      </c>
      <c r="L325" s="1394">
        <f t="shared" si="148"/>
        <v>1</v>
      </c>
      <c r="M325" s="1394"/>
      <c r="N325" s="1394"/>
      <c r="O325" s="1394"/>
      <c r="P325" s="1394"/>
      <c r="Q325" s="1362" t="s">
        <v>696</v>
      </c>
      <c r="R325" s="1363">
        <f t="shared" si="149"/>
        <v>8.9250000000000007</v>
      </c>
      <c r="S325" s="1396"/>
      <c r="T325" s="1397"/>
      <c r="U325" s="205"/>
      <c r="V325" s="685"/>
      <c r="W325" s="205"/>
      <c r="X325" s="205"/>
      <c r="Y325" s="205"/>
      <c r="Z325" s="205"/>
      <c r="AA325" s="205"/>
      <c r="AB325" s="205"/>
      <c r="AC325" s="205"/>
      <c r="AD325" s="205"/>
      <c r="AE325" s="205"/>
      <c r="AF325" s="205"/>
      <c r="AG325" s="205"/>
      <c r="AH325" s="205"/>
      <c r="AI325" s="205"/>
      <c r="AJ325" s="205"/>
      <c r="AK325" s="205"/>
      <c r="AL325" s="205"/>
      <c r="AM325" s="205"/>
      <c r="AN325" s="205"/>
      <c r="AO325" s="205"/>
      <c r="AP325" s="205"/>
      <c r="AQ325" s="205"/>
      <c r="AR325" s="205"/>
      <c r="AS325" s="205"/>
      <c r="AT325" s="205"/>
      <c r="AU325" s="205"/>
      <c r="AV325" s="205"/>
      <c r="AW325" s="205"/>
      <c r="AX325" s="205"/>
      <c r="AY325" s="205"/>
      <c r="AZ325" s="205"/>
      <c r="BA325" s="205"/>
      <c r="BB325" s="205"/>
      <c r="BC325" s="205"/>
      <c r="BD325" s="205"/>
      <c r="BE325" s="205"/>
      <c r="BF325" s="205"/>
      <c r="BG325" s="205"/>
      <c r="BH325" s="205"/>
      <c r="BI325" s="205"/>
      <c r="BJ325" s="205"/>
      <c r="BK325" s="205"/>
      <c r="BL325" s="205"/>
      <c r="BM325" s="205"/>
      <c r="BN325" s="205"/>
      <c r="BO325" s="205"/>
      <c r="BP325" s="205"/>
      <c r="BQ325" s="205"/>
      <c r="BR325" s="205"/>
      <c r="BS325" s="205"/>
      <c r="BT325" s="205"/>
      <c r="BU325" s="205"/>
      <c r="BV325" s="205"/>
      <c r="BW325" s="205"/>
      <c r="BX325" s="205"/>
      <c r="BY325" s="205"/>
      <c r="BZ325" s="205"/>
      <c r="CA325" s="205"/>
      <c r="CB325" s="205"/>
      <c r="CC325" s="205"/>
      <c r="CD325" s="205"/>
      <c r="CE325" s="205"/>
      <c r="CF325" s="205"/>
      <c r="CG325" s="205"/>
      <c r="CH325" s="205"/>
      <c r="CI325" s="205"/>
      <c r="CJ325" s="205"/>
      <c r="CK325" s="205"/>
      <c r="CL325" s="205"/>
      <c r="CM325" s="205"/>
      <c r="CN325" s="205"/>
      <c r="CO325" s="205"/>
      <c r="CP325" s="205"/>
      <c r="CQ325" s="205"/>
      <c r="CR325" s="205"/>
      <c r="CS325" s="205"/>
      <c r="CT325" s="205"/>
      <c r="CU325" s="205"/>
      <c r="CV325" s="205"/>
      <c r="CW325" s="205"/>
      <c r="CX325" s="205"/>
      <c r="CY325" s="205"/>
      <c r="CZ325" s="205"/>
      <c r="DA325" s="205"/>
      <c r="DB325" s="205"/>
      <c r="DC325" s="205"/>
      <c r="DD325" s="205"/>
      <c r="DE325" s="205"/>
      <c r="DF325" s="205"/>
      <c r="DG325" s="205"/>
      <c r="DH325" s="205"/>
      <c r="DI325" s="205"/>
      <c r="DJ325" s="205"/>
      <c r="DK325" s="205"/>
      <c r="DL325" s="205"/>
      <c r="DM325" s="205"/>
      <c r="DN325" s="205"/>
      <c r="DO325" s="205"/>
      <c r="DP325" s="205"/>
      <c r="DQ325" s="205"/>
      <c r="DR325" s="205"/>
      <c r="DS325" s="205"/>
      <c r="DT325" s="205"/>
      <c r="DU325" s="205"/>
      <c r="DV325" s="205"/>
      <c r="DW325" s="205"/>
      <c r="DX325" s="205"/>
      <c r="DY325" s="205"/>
      <c r="DZ325" s="205"/>
      <c r="EA325" s="205"/>
      <c r="EB325" s="205"/>
      <c r="EC325" s="205"/>
      <c r="ED325" s="205"/>
      <c r="EE325" s="205"/>
      <c r="EF325" s="205"/>
      <c r="EG325" s="205"/>
      <c r="EH325" s="205"/>
      <c r="EI325" s="205"/>
      <c r="EJ325" s="205"/>
      <c r="EK325" s="205"/>
      <c r="EL325" s="205"/>
      <c r="EM325" s="205"/>
      <c r="EN325" s="205"/>
      <c r="EO325" s="205"/>
      <c r="EP325" s="205"/>
      <c r="EQ325" s="205"/>
      <c r="ER325" s="205"/>
      <c r="ES325" s="205"/>
      <c r="ET325" s="205"/>
      <c r="EU325" s="205"/>
      <c r="EV325" s="205"/>
      <c r="EW325" s="205"/>
      <c r="EX325" s="205"/>
      <c r="EY325" s="205"/>
      <c r="EZ325" s="205"/>
      <c r="FA325" s="205"/>
      <c r="FB325" s="205"/>
      <c r="FC325" s="205"/>
      <c r="FD325" s="205"/>
      <c r="FE325" s="205"/>
      <c r="FF325" s="205"/>
      <c r="FG325" s="205"/>
      <c r="FH325" s="205"/>
      <c r="FI325" s="205"/>
      <c r="FJ325" s="205"/>
      <c r="FK325" s="205"/>
      <c r="FL325" s="205"/>
      <c r="FM325" s="205"/>
      <c r="FN325" s="205"/>
      <c r="FO325" s="205"/>
      <c r="FP325" s="205"/>
      <c r="FQ325" s="205"/>
      <c r="FR325" s="205"/>
      <c r="FS325" s="205"/>
      <c r="FT325" s="205"/>
      <c r="FU325" s="205"/>
      <c r="FV325" s="205"/>
      <c r="FW325" s="205"/>
      <c r="FX325" s="205"/>
      <c r="FY325" s="205"/>
      <c r="FZ325" s="205"/>
      <c r="GA325" s="205"/>
      <c r="GB325" s="205"/>
      <c r="GC325" s="205"/>
      <c r="GD325" s="205"/>
      <c r="GE325" s="205"/>
      <c r="GF325" s="205"/>
      <c r="GG325" s="205"/>
      <c r="GH325" s="205"/>
      <c r="GI325" s="205"/>
      <c r="GJ325" s="205"/>
      <c r="GK325" s="205"/>
      <c r="GL325" s="205"/>
      <c r="GM325" s="205"/>
      <c r="GN325" s="205"/>
      <c r="GO325" s="205"/>
      <c r="GP325" s="205"/>
      <c r="GQ325" s="205"/>
      <c r="GR325" s="205"/>
      <c r="GS325" s="205"/>
      <c r="GT325" s="205"/>
      <c r="GU325" s="205"/>
      <c r="GV325" s="205"/>
      <c r="GW325" s="205"/>
      <c r="GX325" s="205"/>
      <c r="GY325" s="205"/>
      <c r="GZ325" s="205"/>
      <c r="HA325" s="205"/>
      <c r="HB325" s="205"/>
      <c r="HC325" s="205"/>
      <c r="HD325" s="205"/>
      <c r="HE325" s="205"/>
      <c r="HF325" s="205"/>
      <c r="HG325" s="205"/>
      <c r="HH325" s="205"/>
      <c r="HI325" s="205"/>
      <c r="HJ325" s="205"/>
      <c r="HK325" s="205"/>
      <c r="HL325" s="205"/>
      <c r="HM325" s="205"/>
      <c r="HN325" s="205"/>
      <c r="HO325" s="205"/>
      <c r="HP325" s="205"/>
      <c r="HQ325" s="205"/>
      <c r="HR325" s="205"/>
      <c r="HS325" s="205"/>
      <c r="HT325" s="205"/>
      <c r="HU325" s="205"/>
      <c r="HV325" s="205"/>
      <c r="HW325" s="205"/>
      <c r="HX325" s="205"/>
      <c r="HY325" s="205"/>
      <c r="HZ325" s="205"/>
      <c r="IA325" s="205"/>
      <c r="IB325" s="205"/>
      <c r="IC325" s="205"/>
      <c r="ID325" s="205"/>
      <c r="IE325" s="205"/>
      <c r="IF325" s="205"/>
      <c r="IG325" s="205"/>
      <c r="IH325" s="205"/>
      <c r="II325" s="205"/>
      <c r="IJ325" s="205"/>
      <c r="IK325" s="205"/>
      <c r="IL325" s="205"/>
      <c r="IM325" s="205"/>
      <c r="IN325" s="205"/>
      <c r="IO325" s="205"/>
      <c r="IP325" s="205"/>
      <c r="IQ325" s="205"/>
      <c r="IR325" s="205"/>
      <c r="IS325" s="205"/>
      <c r="IT325" s="205"/>
      <c r="IU325" s="205"/>
      <c r="IV325" s="205"/>
      <c r="IW325" s="205"/>
      <c r="IX325" s="205"/>
    </row>
    <row r="326" spans="1:258" s="203" customFormat="1" x14ac:dyDescent="0.2">
      <c r="A326" s="669"/>
      <c r="B326" s="670"/>
      <c r="C326" s="1390"/>
      <c r="D326" s="672"/>
      <c r="E326" s="1391"/>
      <c r="F326" s="1391"/>
      <c r="G326" s="1392"/>
      <c r="H326" s="1393">
        <f t="shared" ref="H326" si="150">(H312+J312+H312+J312)-0.8</f>
        <v>4.1000000000000005</v>
      </c>
      <c r="I326" s="1394" t="s">
        <v>424</v>
      </c>
      <c r="J326" s="1394">
        <v>1.75</v>
      </c>
      <c r="K326" s="1394" t="s">
        <v>424</v>
      </c>
      <c r="L326" s="1394">
        <f t="shared" si="148"/>
        <v>1</v>
      </c>
      <c r="M326" s="1394"/>
      <c r="N326" s="1394"/>
      <c r="O326" s="1394"/>
      <c r="P326" s="1394"/>
      <c r="Q326" s="1362" t="s">
        <v>696</v>
      </c>
      <c r="R326" s="1363">
        <f t="shared" ref="R326" si="151">H326*J326*L326</f>
        <v>7.1750000000000007</v>
      </c>
      <c r="S326" s="1396"/>
      <c r="T326" s="1397"/>
      <c r="U326" s="205"/>
      <c r="V326" s="685"/>
      <c r="W326" s="205"/>
      <c r="X326" s="205"/>
      <c r="Y326" s="205"/>
      <c r="Z326" s="205"/>
      <c r="AA326" s="205"/>
      <c r="AB326" s="205"/>
      <c r="AC326" s="205"/>
      <c r="AD326" s="205"/>
      <c r="AE326" s="205"/>
      <c r="AF326" s="205"/>
      <c r="AG326" s="205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C326" s="205"/>
      <c r="BD326" s="205"/>
      <c r="BE326" s="205"/>
      <c r="BF326" s="205"/>
      <c r="BG326" s="205"/>
      <c r="BH326" s="205"/>
      <c r="BI326" s="205"/>
      <c r="BJ326" s="205"/>
      <c r="BK326" s="205"/>
      <c r="BL326" s="205"/>
      <c r="BM326" s="205"/>
      <c r="BN326" s="205"/>
      <c r="BO326" s="205"/>
      <c r="BP326" s="205"/>
      <c r="BQ326" s="205"/>
      <c r="BR326" s="205"/>
      <c r="BS326" s="205"/>
      <c r="BT326" s="205"/>
      <c r="BU326" s="205"/>
      <c r="BV326" s="205"/>
      <c r="BW326" s="205"/>
      <c r="BX326" s="205"/>
      <c r="BY326" s="205"/>
      <c r="BZ326" s="205"/>
      <c r="CA326" s="205"/>
      <c r="CB326" s="205"/>
      <c r="CC326" s="205"/>
      <c r="CD326" s="205"/>
      <c r="CE326" s="205"/>
      <c r="CF326" s="205"/>
      <c r="CG326" s="205"/>
      <c r="CH326" s="205"/>
      <c r="CI326" s="205"/>
      <c r="CJ326" s="205"/>
      <c r="CK326" s="205"/>
      <c r="CL326" s="205"/>
      <c r="CM326" s="205"/>
      <c r="CN326" s="205"/>
      <c r="CO326" s="205"/>
      <c r="CP326" s="205"/>
      <c r="CQ326" s="205"/>
      <c r="CR326" s="205"/>
      <c r="CS326" s="205"/>
      <c r="CT326" s="205"/>
      <c r="CU326" s="205"/>
      <c r="CV326" s="205"/>
      <c r="CW326" s="205"/>
      <c r="CX326" s="205"/>
      <c r="CY326" s="205"/>
      <c r="CZ326" s="205"/>
      <c r="DA326" s="205"/>
      <c r="DB326" s="205"/>
      <c r="DC326" s="205"/>
      <c r="DD326" s="205"/>
      <c r="DE326" s="205"/>
      <c r="DF326" s="205"/>
      <c r="DG326" s="205"/>
      <c r="DH326" s="205"/>
      <c r="DI326" s="205"/>
      <c r="DJ326" s="205"/>
      <c r="DK326" s="205"/>
      <c r="DL326" s="205"/>
      <c r="DM326" s="205"/>
      <c r="DN326" s="205"/>
      <c r="DO326" s="205"/>
      <c r="DP326" s="205"/>
      <c r="DQ326" s="205"/>
      <c r="DR326" s="205"/>
      <c r="DS326" s="205"/>
      <c r="DT326" s="205"/>
      <c r="DU326" s="205"/>
      <c r="DV326" s="205"/>
      <c r="DW326" s="205"/>
      <c r="DX326" s="205"/>
      <c r="DY326" s="205"/>
      <c r="DZ326" s="205"/>
      <c r="EA326" s="205"/>
      <c r="EB326" s="205"/>
      <c r="EC326" s="205"/>
      <c r="ED326" s="205"/>
      <c r="EE326" s="205"/>
      <c r="EF326" s="205"/>
      <c r="EG326" s="205"/>
      <c r="EH326" s="205"/>
      <c r="EI326" s="205"/>
      <c r="EJ326" s="205"/>
      <c r="EK326" s="205"/>
      <c r="EL326" s="205"/>
      <c r="EM326" s="205"/>
      <c r="EN326" s="205"/>
      <c r="EO326" s="205"/>
      <c r="EP326" s="205"/>
      <c r="EQ326" s="205"/>
      <c r="ER326" s="205"/>
      <c r="ES326" s="205"/>
      <c r="ET326" s="205"/>
      <c r="EU326" s="205"/>
      <c r="EV326" s="205"/>
      <c r="EW326" s="205"/>
      <c r="EX326" s="205"/>
      <c r="EY326" s="205"/>
      <c r="EZ326" s="205"/>
      <c r="FA326" s="205"/>
      <c r="FB326" s="205"/>
      <c r="FC326" s="205"/>
      <c r="FD326" s="205"/>
      <c r="FE326" s="205"/>
      <c r="FF326" s="205"/>
      <c r="FG326" s="205"/>
      <c r="FH326" s="205"/>
      <c r="FI326" s="205"/>
      <c r="FJ326" s="205"/>
      <c r="FK326" s="205"/>
      <c r="FL326" s="205"/>
      <c r="FM326" s="205"/>
      <c r="FN326" s="205"/>
      <c r="FO326" s="205"/>
      <c r="FP326" s="205"/>
      <c r="FQ326" s="205"/>
      <c r="FR326" s="205"/>
      <c r="FS326" s="205"/>
      <c r="FT326" s="205"/>
      <c r="FU326" s="205"/>
      <c r="FV326" s="205"/>
      <c r="FW326" s="205"/>
      <c r="FX326" s="205"/>
      <c r="FY326" s="205"/>
      <c r="FZ326" s="205"/>
      <c r="GA326" s="205"/>
      <c r="GB326" s="205"/>
      <c r="GC326" s="205"/>
      <c r="GD326" s="205"/>
      <c r="GE326" s="205"/>
      <c r="GF326" s="205"/>
      <c r="GG326" s="205"/>
      <c r="GH326" s="205"/>
      <c r="GI326" s="205"/>
      <c r="GJ326" s="205"/>
      <c r="GK326" s="205"/>
      <c r="GL326" s="205"/>
      <c r="GM326" s="205"/>
      <c r="GN326" s="205"/>
      <c r="GO326" s="205"/>
      <c r="GP326" s="205"/>
      <c r="GQ326" s="205"/>
      <c r="GR326" s="205"/>
      <c r="GS326" s="205"/>
      <c r="GT326" s="205"/>
      <c r="GU326" s="205"/>
      <c r="GV326" s="205"/>
      <c r="GW326" s="205"/>
      <c r="GX326" s="205"/>
      <c r="GY326" s="205"/>
      <c r="GZ326" s="205"/>
      <c r="HA326" s="205"/>
      <c r="HB326" s="205"/>
      <c r="HC326" s="205"/>
      <c r="HD326" s="205"/>
      <c r="HE326" s="205"/>
      <c r="HF326" s="205"/>
      <c r="HG326" s="205"/>
      <c r="HH326" s="205"/>
      <c r="HI326" s="205"/>
      <c r="HJ326" s="205"/>
      <c r="HK326" s="205"/>
      <c r="HL326" s="205"/>
      <c r="HM326" s="205"/>
      <c r="HN326" s="205"/>
      <c r="HO326" s="205"/>
      <c r="HP326" s="205"/>
      <c r="HQ326" s="205"/>
      <c r="HR326" s="205"/>
      <c r="HS326" s="205"/>
      <c r="HT326" s="205"/>
      <c r="HU326" s="205"/>
      <c r="HV326" s="205"/>
      <c r="HW326" s="205"/>
      <c r="HX326" s="205"/>
      <c r="HY326" s="205"/>
      <c r="HZ326" s="205"/>
      <c r="IA326" s="205"/>
      <c r="IB326" s="205"/>
      <c r="IC326" s="205"/>
      <c r="ID326" s="205"/>
      <c r="IE326" s="205"/>
      <c r="IF326" s="205"/>
      <c r="IG326" s="205"/>
      <c r="IH326" s="205"/>
      <c r="II326" s="205"/>
      <c r="IJ326" s="205"/>
      <c r="IK326" s="205"/>
      <c r="IL326" s="205"/>
      <c r="IM326" s="205"/>
      <c r="IN326" s="205"/>
      <c r="IO326" s="205"/>
      <c r="IP326" s="205"/>
      <c r="IQ326" s="205"/>
      <c r="IR326" s="205"/>
      <c r="IS326" s="205"/>
      <c r="IT326" s="205"/>
      <c r="IU326" s="205"/>
      <c r="IV326" s="205"/>
      <c r="IW326" s="205"/>
      <c r="IX326" s="205"/>
    </row>
    <row r="327" spans="1:258" s="203" customFormat="1" x14ac:dyDescent="0.2">
      <c r="A327" s="669"/>
      <c r="B327" s="670"/>
      <c r="C327" s="1390"/>
      <c r="D327" s="672"/>
      <c r="E327" s="1391"/>
      <c r="F327" s="1391"/>
      <c r="G327" s="1392" t="str">
        <f t="shared" si="145"/>
        <v>KM,Spoelhoek,R.alat.R.Bersalin</v>
      </c>
      <c r="H327" s="1393"/>
      <c r="I327" s="1394"/>
      <c r="J327" s="1394"/>
      <c r="K327" s="1394"/>
      <c r="L327" s="1394"/>
      <c r="M327" s="1394"/>
      <c r="N327" s="1394"/>
      <c r="O327" s="1394"/>
      <c r="P327" s="1394"/>
      <c r="Q327" s="1362"/>
      <c r="R327" s="1363"/>
      <c r="S327" s="1396"/>
      <c r="T327" s="1397"/>
      <c r="U327" s="205"/>
      <c r="V327" s="685"/>
      <c r="W327" s="205"/>
      <c r="X327" s="205"/>
      <c r="Y327" s="205"/>
      <c r="Z327" s="205"/>
      <c r="AA327" s="205"/>
      <c r="AB327" s="205"/>
      <c r="AC327" s="205"/>
      <c r="AD327" s="205"/>
      <c r="AE327" s="205"/>
      <c r="AF327" s="205"/>
      <c r="AG327" s="205"/>
      <c r="AH327" s="205"/>
      <c r="AI327" s="205"/>
      <c r="AJ327" s="205"/>
      <c r="AK327" s="205"/>
      <c r="AL327" s="205"/>
      <c r="AM327" s="205"/>
      <c r="AN327" s="205"/>
      <c r="AO327" s="205"/>
      <c r="AP327" s="205"/>
      <c r="AQ327" s="205"/>
      <c r="AR327" s="205"/>
      <c r="AS327" s="205"/>
      <c r="AT327" s="205"/>
      <c r="AU327" s="205"/>
      <c r="AV327" s="205"/>
      <c r="AW327" s="205"/>
      <c r="AX327" s="205"/>
      <c r="AY327" s="205"/>
      <c r="AZ327" s="205"/>
      <c r="BA327" s="205"/>
      <c r="BB327" s="205"/>
      <c r="BC327" s="205"/>
      <c r="BD327" s="205"/>
      <c r="BE327" s="205"/>
      <c r="BF327" s="205"/>
      <c r="BG327" s="205"/>
      <c r="BH327" s="205"/>
      <c r="BI327" s="205"/>
      <c r="BJ327" s="205"/>
      <c r="BK327" s="205"/>
      <c r="BL327" s="205"/>
      <c r="BM327" s="205"/>
      <c r="BN327" s="205"/>
      <c r="BO327" s="205"/>
      <c r="BP327" s="205"/>
      <c r="BQ327" s="205"/>
      <c r="BR327" s="205"/>
      <c r="BS327" s="205"/>
      <c r="BT327" s="205"/>
      <c r="BU327" s="205"/>
      <c r="BV327" s="205"/>
      <c r="BW327" s="205"/>
      <c r="BX327" s="205"/>
      <c r="BY327" s="205"/>
      <c r="BZ327" s="205"/>
      <c r="CA327" s="205"/>
      <c r="CB327" s="205"/>
      <c r="CC327" s="205"/>
      <c r="CD327" s="205"/>
      <c r="CE327" s="205"/>
      <c r="CF327" s="205"/>
      <c r="CG327" s="205"/>
      <c r="CH327" s="205"/>
      <c r="CI327" s="205"/>
      <c r="CJ327" s="205"/>
      <c r="CK327" s="205"/>
      <c r="CL327" s="205"/>
      <c r="CM327" s="205"/>
      <c r="CN327" s="205"/>
      <c r="CO327" s="205"/>
      <c r="CP327" s="205"/>
      <c r="CQ327" s="205"/>
      <c r="CR327" s="205"/>
      <c r="CS327" s="205"/>
      <c r="CT327" s="205"/>
      <c r="CU327" s="205"/>
      <c r="CV327" s="205"/>
      <c r="CW327" s="205"/>
      <c r="CX327" s="205"/>
      <c r="CY327" s="205"/>
      <c r="CZ327" s="205"/>
      <c r="DA327" s="205"/>
      <c r="DB327" s="205"/>
      <c r="DC327" s="205"/>
      <c r="DD327" s="205"/>
      <c r="DE327" s="205"/>
      <c r="DF327" s="205"/>
      <c r="DG327" s="205"/>
      <c r="DH327" s="205"/>
      <c r="DI327" s="205"/>
      <c r="DJ327" s="205"/>
      <c r="DK327" s="205"/>
      <c r="DL327" s="205"/>
      <c r="DM327" s="205"/>
      <c r="DN327" s="205"/>
      <c r="DO327" s="205"/>
      <c r="DP327" s="205"/>
      <c r="DQ327" s="205"/>
      <c r="DR327" s="205"/>
      <c r="DS327" s="205"/>
      <c r="DT327" s="205"/>
      <c r="DU327" s="205"/>
      <c r="DV327" s="205"/>
      <c r="DW327" s="205"/>
      <c r="DX327" s="205"/>
      <c r="DY327" s="205"/>
      <c r="DZ327" s="205"/>
      <c r="EA327" s="205"/>
      <c r="EB327" s="205"/>
      <c r="EC327" s="205"/>
      <c r="ED327" s="205"/>
      <c r="EE327" s="205"/>
      <c r="EF327" s="205"/>
      <c r="EG327" s="205"/>
      <c r="EH327" s="205"/>
      <c r="EI327" s="205"/>
      <c r="EJ327" s="205"/>
      <c r="EK327" s="205"/>
      <c r="EL327" s="205"/>
      <c r="EM327" s="205"/>
      <c r="EN327" s="205"/>
      <c r="EO327" s="205"/>
      <c r="EP327" s="205"/>
      <c r="EQ327" s="205"/>
      <c r="ER327" s="205"/>
      <c r="ES327" s="205"/>
      <c r="ET327" s="205"/>
      <c r="EU327" s="205"/>
      <c r="EV327" s="205"/>
      <c r="EW327" s="205"/>
      <c r="EX327" s="205"/>
      <c r="EY327" s="205"/>
      <c r="EZ327" s="205"/>
      <c r="FA327" s="205"/>
      <c r="FB327" s="205"/>
      <c r="FC327" s="205"/>
      <c r="FD327" s="205"/>
      <c r="FE327" s="205"/>
      <c r="FF327" s="205"/>
      <c r="FG327" s="205"/>
      <c r="FH327" s="205"/>
      <c r="FI327" s="205"/>
      <c r="FJ327" s="205"/>
      <c r="FK327" s="205"/>
      <c r="FL327" s="205"/>
      <c r="FM327" s="205"/>
      <c r="FN327" s="205"/>
      <c r="FO327" s="205"/>
      <c r="FP327" s="205"/>
      <c r="FQ327" s="205"/>
      <c r="FR327" s="205"/>
      <c r="FS327" s="205"/>
      <c r="FT327" s="205"/>
      <c r="FU327" s="205"/>
      <c r="FV327" s="205"/>
      <c r="FW327" s="205"/>
      <c r="FX327" s="205"/>
      <c r="FY327" s="205"/>
      <c r="FZ327" s="205"/>
      <c r="GA327" s="205"/>
      <c r="GB327" s="205"/>
      <c r="GC327" s="205"/>
      <c r="GD327" s="205"/>
      <c r="GE327" s="205"/>
      <c r="GF327" s="205"/>
      <c r="GG327" s="205"/>
      <c r="GH327" s="205"/>
      <c r="GI327" s="205"/>
      <c r="GJ327" s="205"/>
      <c r="GK327" s="205"/>
      <c r="GL327" s="205"/>
      <c r="GM327" s="205"/>
      <c r="GN327" s="205"/>
      <c r="GO327" s="205"/>
      <c r="GP327" s="205"/>
      <c r="GQ327" s="205"/>
      <c r="GR327" s="205"/>
      <c r="GS327" s="205"/>
      <c r="GT327" s="205"/>
      <c r="GU327" s="205"/>
      <c r="GV327" s="205"/>
      <c r="GW327" s="205"/>
      <c r="GX327" s="205"/>
      <c r="GY327" s="205"/>
      <c r="GZ327" s="205"/>
      <c r="HA327" s="205"/>
      <c r="HB327" s="205"/>
      <c r="HC327" s="205"/>
      <c r="HD327" s="205"/>
      <c r="HE327" s="205"/>
      <c r="HF327" s="205"/>
      <c r="HG327" s="205"/>
      <c r="HH327" s="205"/>
      <c r="HI327" s="205"/>
      <c r="HJ327" s="205"/>
      <c r="HK327" s="205"/>
      <c r="HL327" s="205"/>
      <c r="HM327" s="205"/>
      <c r="HN327" s="205"/>
      <c r="HO327" s="205"/>
      <c r="HP327" s="205"/>
      <c r="HQ327" s="205"/>
      <c r="HR327" s="205"/>
      <c r="HS327" s="205"/>
      <c r="HT327" s="205"/>
      <c r="HU327" s="205"/>
      <c r="HV327" s="205"/>
      <c r="HW327" s="205"/>
      <c r="HX327" s="205"/>
      <c r="HY327" s="205"/>
      <c r="HZ327" s="205"/>
      <c r="IA327" s="205"/>
      <c r="IB327" s="205"/>
      <c r="IC327" s="205"/>
      <c r="ID327" s="205"/>
      <c r="IE327" s="205"/>
      <c r="IF327" s="205"/>
      <c r="IG327" s="205"/>
      <c r="IH327" s="205"/>
      <c r="II327" s="205"/>
      <c r="IJ327" s="205"/>
      <c r="IK327" s="205"/>
      <c r="IL327" s="205"/>
      <c r="IM327" s="205"/>
      <c r="IN327" s="205"/>
      <c r="IO327" s="205"/>
      <c r="IP327" s="205"/>
      <c r="IQ327" s="205"/>
      <c r="IR327" s="205"/>
      <c r="IS327" s="205"/>
      <c r="IT327" s="205"/>
      <c r="IU327" s="205"/>
      <c r="IV327" s="205"/>
      <c r="IW327" s="205"/>
      <c r="IX327" s="205"/>
    </row>
    <row r="328" spans="1:258" s="203" customFormat="1" x14ac:dyDescent="0.2">
      <c r="A328" s="669"/>
      <c r="B328" s="670"/>
      <c r="C328" s="1390"/>
      <c r="D328" s="672"/>
      <c r="E328" s="1391"/>
      <c r="F328" s="1391"/>
      <c r="G328" s="1392"/>
      <c r="H328" s="1393"/>
      <c r="I328" s="1394"/>
      <c r="J328" s="1394"/>
      <c r="K328" s="1394"/>
      <c r="L328" s="1394"/>
      <c r="M328" s="1394"/>
      <c r="N328" s="1394"/>
      <c r="O328" s="1394"/>
      <c r="P328" s="1394"/>
      <c r="Q328" s="1394"/>
      <c r="R328" s="1395"/>
      <c r="S328" s="1396"/>
      <c r="T328" s="1397"/>
      <c r="U328" s="205"/>
      <c r="V328" s="685"/>
      <c r="W328" s="205"/>
      <c r="X328" s="205"/>
      <c r="Y328" s="205"/>
      <c r="Z328" s="205"/>
      <c r="AA328" s="205"/>
      <c r="AB328" s="205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C328" s="205"/>
      <c r="BD328" s="205"/>
      <c r="BE328" s="205"/>
      <c r="BF328" s="205"/>
      <c r="BG328" s="205"/>
      <c r="BH328" s="205"/>
      <c r="BI328" s="205"/>
      <c r="BJ328" s="205"/>
      <c r="BK328" s="205"/>
      <c r="BL328" s="205"/>
      <c r="BM328" s="205"/>
      <c r="BN328" s="205"/>
      <c r="BO328" s="205"/>
      <c r="BP328" s="205"/>
      <c r="BQ328" s="205"/>
      <c r="BR328" s="205"/>
      <c r="BS328" s="205"/>
      <c r="BT328" s="205"/>
      <c r="BU328" s="205"/>
      <c r="BV328" s="205"/>
      <c r="BW328" s="205"/>
      <c r="BX328" s="205"/>
      <c r="BY328" s="205"/>
      <c r="BZ328" s="205"/>
      <c r="CA328" s="205"/>
      <c r="CB328" s="205"/>
      <c r="CC328" s="205"/>
      <c r="CD328" s="205"/>
      <c r="CE328" s="205"/>
      <c r="CF328" s="205"/>
      <c r="CG328" s="205"/>
      <c r="CH328" s="205"/>
      <c r="CI328" s="205"/>
      <c r="CJ328" s="205"/>
      <c r="CK328" s="205"/>
      <c r="CL328" s="205"/>
      <c r="CM328" s="205"/>
      <c r="CN328" s="205"/>
      <c r="CO328" s="205"/>
      <c r="CP328" s="205"/>
      <c r="CQ328" s="205"/>
      <c r="CR328" s="205"/>
      <c r="CS328" s="205"/>
      <c r="CT328" s="205"/>
      <c r="CU328" s="205"/>
      <c r="CV328" s="205"/>
      <c r="CW328" s="205"/>
      <c r="CX328" s="205"/>
      <c r="CY328" s="205"/>
      <c r="CZ328" s="205"/>
      <c r="DA328" s="205"/>
      <c r="DB328" s="205"/>
      <c r="DC328" s="205"/>
      <c r="DD328" s="205"/>
      <c r="DE328" s="205"/>
      <c r="DF328" s="205"/>
      <c r="DG328" s="205"/>
      <c r="DH328" s="205"/>
      <c r="DI328" s="205"/>
      <c r="DJ328" s="205"/>
      <c r="DK328" s="205"/>
      <c r="DL328" s="205"/>
      <c r="DM328" s="205"/>
      <c r="DN328" s="205"/>
      <c r="DO328" s="205"/>
      <c r="DP328" s="205"/>
      <c r="DQ328" s="205"/>
      <c r="DR328" s="205"/>
      <c r="DS328" s="205"/>
      <c r="DT328" s="205"/>
      <c r="DU328" s="205"/>
      <c r="DV328" s="205"/>
      <c r="DW328" s="205"/>
      <c r="DX328" s="205"/>
      <c r="DY328" s="205"/>
      <c r="DZ328" s="205"/>
      <c r="EA328" s="205"/>
      <c r="EB328" s="205"/>
      <c r="EC328" s="205"/>
      <c r="ED328" s="205"/>
      <c r="EE328" s="205"/>
      <c r="EF328" s="205"/>
      <c r="EG328" s="205"/>
      <c r="EH328" s="205"/>
      <c r="EI328" s="205"/>
      <c r="EJ328" s="205"/>
      <c r="EK328" s="205"/>
      <c r="EL328" s="205"/>
      <c r="EM328" s="205"/>
      <c r="EN328" s="205"/>
      <c r="EO328" s="205"/>
      <c r="EP328" s="205"/>
      <c r="EQ328" s="205"/>
      <c r="ER328" s="205"/>
      <c r="ES328" s="205"/>
      <c r="ET328" s="205"/>
      <c r="EU328" s="205"/>
      <c r="EV328" s="205"/>
      <c r="EW328" s="205"/>
      <c r="EX328" s="205"/>
      <c r="EY328" s="205"/>
      <c r="EZ328" s="205"/>
      <c r="FA328" s="205"/>
      <c r="FB328" s="205"/>
      <c r="FC328" s="205"/>
      <c r="FD328" s="205"/>
      <c r="FE328" s="205"/>
      <c r="FF328" s="205"/>
      <c r="FG328" s="205"/>
      <c r="FH328" s="205"/>
      <c r="FI328" s="205"/>
      <c r="FJ328" s="205"/>
      <c r="FK328" s="205"/>
      <c r="FL328" s="205"/>
      <c r="FM328" s="205"/>
      <c r="FN328" s="205"/>
      <c r="FO328" s="205"/>
      <c r="FP328" s="205"/>
      <c r="FQ328" s="205"/>
      <c r="FR328" s="205"/>
      <c r="FS328" s="205"/>
      <c r="FT328" s="205"/>
      <c r="FU328" s="205"/>
      <c r="FV328" s="205"/>
      <c r="FW328" s="205"/>
      <c r="FX328" s="205"/>
      <c r="FY328" s="205"/>
      <c r="FZ328" s="205"/>
      <c r="GA328" s="205"/>
      <c r="GB328" s="205"/>
      <c r="GC328" s="205"/>
      <c r="GD328" s="205"/>
      <c r="GE328" s="205"/>
      <c r="GF328" s="205"/>
      <c r="GG328" s="205"/>
      <c r="GH328" s="205"/>
      <c r="GI328" s="205"/>
      <c r="GJ328" s="205"/>
      <c r="GK328" s="205"/>
      <c r="GL328" s="205"/>
      <c r="GM328" s="205"/>
      <c r="GN328" s="205"/>
      <c r="GO328" s="205"/>
      <c r="GP328" s="205"/>
      <c r="GQ328" s="205"/>
      <c r="GR328" s="205"/>
      <c r="GS328" s="205"/>
      <c r="GT328" s="205"/>
      <c r="GU328" s="205"/>
      <c r="GV328" s="205"/>
      <c r="GW328" s="205"/>
      <c r="GX328" s="205"/>
      <c r="GY328" s="205"/>
      <c r="GZ328" s="205"/>
      <c r="HA328" s="205"/>
      <c r="HB328" s="205"/>
      <c r="HC328" s="205"/>
      <c r="HD328" s="205"/>
      <c r="HE328" s="205"/>
      <c r="HF328" s="205"/>
      <c r="HG328" s="205"/>
      <c r="HH328" s="205"/>
      <c r="HI328" s="205"/>
      <c r="HJ328" s="205"/>
      <c r="HK328" s="205"/>
      <c r="HL328" s="205"/>
      <c r="HM328" s="205"/>
      <c r="HN328" s="205"/>
      <c r="HO328" s="205"/>
      <c r="HP328" s="205"/>
      <c r="HQ328" s="205"/>
      <c r="HR328" s="205"/>
      <c r="HS328" s="205"/>
      <c r="HT328" s="205"/>
      <c r="HU328" s="205"/>
      <c r="HV328" s="205"/>
      <c r="HW328" s="205"/>
      <c r="HX328" s="205"/>
      <c r="HY328" s="205"/>
      <c r="HZ328" s="205"/>
      <c r="IA328" s="205"/>
      <c r="IB328" s="205"/>
      <c r="IC328" s="205"/>
      <c r="ID328" s="205"/>
      <c r="IE328" s="205"/>
      <c r="IF328" s="205"/>
      <c r="IG328" s="205"/>
      <c r="IH328" s="205"/>
      <c r="II328" s="205"/>
      <c r="IJ328" s="205"/>
      <c r="IK328" s="205"/>
      <c r="IL328" s="205"/>
      <c r="IM328" s="205"/>
      <c r="IN328" s="205"/>
      <c r="IO328" s="205"/>
      <c r="IP328" s="205"/>
      <c r="IQ328" s="205"/>
      <c r="IR328" s="205"/>
      <c r="IS328" s="205"/>
      <c r="IT328" s="205"/>
      <c r="IU328" s="205"/>
      <c r="IV328" s="205"/>
      <c r="IW328" s="205"/>
      <c r="IX328" s="205"/>
    </row>
    <row r="329" spans="1:258" s="203" customFormat="1" x14ac:dyDescent="0.2">
      <c r="A329" s="669"/>
      <c r="B329" s="670"/>
      <c r="C329" s="1390"/>
      <c r="D329" s="672"/>
      <c r="E329" s="1391"/>
      <c r="F329" s="1391"/>
      <c r="G329" s="1392" t="str">
        <f t="shared" si="145"/>
        <v>KM.Pasca Persalinan</v>
      </c>
      <c r="H329" s="1393"/>
      <c r="I329" s="1394"/>
      <c r="J329" s="1394"/>
      <c r="K329" s="1394"/>
      <c r="L329" s="1394"/>
      <c r="M329" s="1394"/>
      <c r="N329" s="1394"/>
      <c r="O329" s="1394"/>
      <c r="P329" s="1394"/>
      <c r="Q329" s="1394"/>
      <c r="R329" s="1395"/>
      <c r="S329" s="1396"/>
      <c r="T329" s="1397"/>
      <c r="U329" s="205"/>
      <c r="V329" s="685"/>
      <c r="W329" s="205"/>
      <c r="X329" s="205"/>
      <c r="Y329" s="205"/>
      <c r="Z329" s="205"/>
      <c r="AA329" s="205"/>
      <c r="AB329" s="205"/>
      <c r="AC329" s="205"/>
      <c r="AD329" s="205"/>
      <c r="AE329" s="205"/>
      <c r="AF329" s="205"/>
      <c r="AG329" s="205"/>
      <c r="AH329" s="205"/>
      <c r="AI329" s="205"/>
      <c r="AJ329" s="205"/>
      <c r="AK329" s="205"/>
      <c r="AL329" s="205"/>
      <c r="AM329" s="205"/>
      <c r="AN329" s="205"/>
      <c r="AO329" s="205"/>
      <c r="AP329" s="205"/>
      <c r="AQ329" s="205"/>
      <c r="AR329" s="205"/>
      <c r="AS329" s="205"/>
      <c r="AT329" s="205"/>
      <c r="AU329" s="205"/>
      <c r="AV329" s="205"/>
      <c r="AW329" s="205"/>
      <c r="AX329" s="205"/>
      <c r="AY329" s="205"/>
      <c r="AZ329" s="205"/>
      <c r="BA329" s="205"/>
      <c r="BB329" s="205"/>
      <c r="BC329" s="205"/>
      <c r="BD329" s="205"/>
      <c r="BE329" s="205"/>
      <c r="BF329" s="205"/>
      <c r="BG329" s="205"/>
      <c r="BH329" s="205"/>
      <c r="BI329" s="205"/>
      <c r="BJ329" s="205"/>
      <c r="BK329" s="205"/>
      <c r="BL329" s="205"/>
      <c r="BM329" s="205"/>
      <c r="BN329" s="205"/>
      <c r="BO329" s="205"/>
      <c r="BP329" s="205"/>
      <c r="BQ329" s="205"/>
      <c r="BR329" s="205"/>
      <c r="BS329" s="205"/>
      <c r="BT329" s="205"/>
      <c r="BU329" s="205"/>
      <c r="BV329" s="205"/>
      <c r="BW329" s="205"/>
      <c r="BX329" s="205"/>
      <c r="BY329" s="205"/>
      <c r="BZ329" s="205"/>
      <c r="CA329" s="205"/>
      <c r="CB329" s="205"/>
      <c r="CC329" s="205"/>
      <c r="CD329" s="205"/>
      <c r="CE329" s="205"/>
      <c r="CF329" s="205"/>
      <c r="CG329" s="205"/>
      <c r="CH329" s="205"/>
      <c r="CI329" s="205"/>
      <c r="CJ329" s="205"/>
      <c r="CK329" s="205"/>
      <c r="CL329" s="205"/>
      <c r="CM329" s="205"/>
      <c r="CN329" s="205"/>
      <c r="CO329" s="205"/>
      <c r="CP329" s="205"/>
      <c r="CQ329" s="205"/>
      <c r="CR329" s="205"/>
      <c r="CS329" s="205"/>
      <c r="CT329" s="205"/>
      <c r="CU329" s="205"/>
      <c r="CV329" s="205"/>
      <c r="CW329" s="205"/>
      <c r="CX329" s="205"/>
      <c r="CY329" s="205"/>
      <c r="CZ329" s="205"/>
      <c r="DA329" s="205"/>
      <c r="DB329" s="205"/>
      <c r="DC329" s="205"/>
      <c r="DD329" s="205"/>
      <c r="DE329" s="205"/>
      <c r="DF329" s="205"/>
      <c r="DG329" s="205"/>
      <c r="DH329" s="205"/>
      <c r="DI329" s="205"/>
      <c r="DJ329" s="205"/>
      <c r="DK329" s="205"/>
      <c r="DL329" s="205"/>
      <c r="DM329" s="205"/>
      <c r="DN329" s="205"/>
      <c r="DO329" s="205"/>
      <c r="DP329" s="205"/>
      <c r="DQ329" s="205"/>
      <c r="DR329" s="205"/>
      <c r="DS329" s="205"/>
      <c r="DT329" s="205"/>
      <c r="DU329" s="205"/>
      <c r="DV329" s="205"/>
      <c r="DW329" s="205"/>
      <c r="DX329" s="205"/>
      <c r="DY329" s="205"/>
      <c r="DZ329" s="205"/>
      <c r="EA329" s="205"/>
      <c r="EB329" s="205"/>
      <c r="EC329" s="205"/>
      <c r="ED329" s="205"/>
      <c r="EE329" s="205"/>
      <c r="EF329" s="205"/>
      <c r="EG329" s="205"/>
      <c r="EH329" s="205"/>
      <c r="EI329" s="205"/>
      <c r="EJ329" s="205"/>
      <c r="EK329" s="205"/>
      <c r="EL329" s="205"/>
      <c r="EM329" s="205"/>
      <c r="EN329" s="205"/>
      <c r="EO329" s="205"/>
      <c r="EP329" s="205"/>
      <c r="EQ329" s="205"/>
      <c r="ER329" s="205"/>
      <c r="ES329" s="205"/>
      <c r="ET329" s="205"/>
      <c r="EU329" s="205"/>
      <c r="EV329" s="205"/>
      <c r="EW329" s="205"/>
      <c r="EX329" s="205"/>
      <c r="EY329" s="205"/>
      <c r="EZ329" s="205"/>
      <c r="FA329" s="205"/>
      <c r="FB329" s="205"/>
      <c r="FC329" s="205"/>
      <c r="FD329" s="205"/>
      <c r="FE329" s="205"/>
      <c r="FF329" s="205"/>
      <c r="FG329" s="205"/>
      <c r="FH329" s="205"/>
      <c r="FI329" s="205"/>
      <c r="FJ329" s="205"/>
      <c r="FK329" s="205"/>
      <c r="FL329" s="205"/>
      <c r="FM329" s="205"/>
      <c r="FN329" s="205"/>
      <c r="FO329" s="205"/>
      <c r="FP329" s="205"/>
      <c r="FQ329" s="205"/>
      <c r="FR329" s="205"/>
      <c r="FS329" s="205"/>
      <c r="FT329" s="205"/>
      <c r="FU329" s="205"/>
      <c r="FV329" s="205"/>
      <c r="FW329" s="205"/>
      <c r="FX329" s="205"/>
      <c r="FY329" s="205"/>
      <c r="FZ329" s="205"/>
      <c r="GA329" s="205"/>
      <c r="GB329" s="205"/>
      <c r="GC329" s="205"/>
      <c r="GD329" s="205"/>
      <c r="GE329" s="205"/>
      <c r="GF329" s="205"/>
      <c r="GG329" s="205"/>
      <c r="GH329" s="205"/>
      <c r="GI329" s="205"/>
      <c r="GJ329" s="205"/>
      <c r="GK329" s="205"/>
      <c r="GL329" s="205"/>
      <c r="GM329" s="205"/>
      <c r="GN329" s="205"/>
      <c r="GO329" s="205"/>
      <c r="GP329" s="205"/>
      <c r="GQ329" s="205"/>
      <c r="GR329" s="205"/>
      <c r="GS329" s="205"/>
      <c r="GT329" s="205"/>
      <c r="GU329" s="205"/>
      <c r="GV329" s="205"/>
      <c r="GW329" s="205"/>
      <c r="GX329" s="205"/>
      <c r="GY329" s="205"/>
      <c r="GZ329" s="205"/>
      <c r="HA329" s="205"/>
      <c r="HB329" s="205"/>
      <c r="HC329" s="205"/>
      <c r="HD329" s="205"/>
      <c r="HE329" s="205"/>
      <c r="HF329" s="205"/>
      <c r="HG329" s="205"/>
      <c r="HH329" s="205"/>
      <c r="HI329" s="205"/>
      <c r="HJ329" s="205"/>
      <c r="HK329" s="205"/>
      <c r="HL329" s="205"/>
      <c r="HM329" s="205"/>
      <c r="HN329" s="205"/>
      <c r="HO329" s="205"/>
      <c r="HP329" s="205"/>
      <c r="HQ329" s="205"/>
      <c r="HR329" s="205"/>
      <c r="HS329" s="205"/>
      <c r="HT329" s="205"/>
      <c r="HU329" s="205"/>
      <c r="HV329" s="205"/>
      <c r="HW329" s="205"/>
      <c r="HX329" s="205"/>
      <c r="HY329" s="205"/>
      <c r="HZ329" s="205"/>
      <c r="IA329" s="205"/>
      <c r="IB329" s="205"/>
      <c r="IC329" s="205"/>
      <c r="ID329" s="205"/>
      <c r="IE329" s="205"/>
      <c r="IF329" s="205"/>
      <c r="IG329" s="205"/>
      <c r="IH329" s="205"/>
      <c r="II329" s="205"/>
      <c r="IJ329" s="205"/>
      <c r="IK329" s="205"/>
      <c r="IL329" s="205"/>
      <c r="IM329" s="205"/>
      <c r="IN329" s="205"/>
      <c r="IO329" s="205"/>
      <c r="IP329" s="205"/>
      <c r="IQ329" s="205"/>
      <c r="IR329" s="205"/>
      <c r="IS329" s="205"/>
      <c r="IT329" s="205"/>
      <c r="IU329" s="205"/>
      <c r="IV329" s="205"/>
      <c r="IW329" s="205"/>
      <c r="IX329" s="205"/>
    </row>
    <row r="330" spans="1:258" s="203" customFormat="1" x14ac:dyDescent="0.2">
      <c r="A330" s="669"/>
      <c r="B330" s="670"/>
      <c r="C330" s="1390"/>
      <c r="D330" s="672"/>
      <c r="E330" s="1391"/>
      <c r="F330" s="1391"/>
      <c r="G330" s="1392" t="str">
        <f t="shared" si="145"/>
        <v>KM.R.Jaga bidan</v>
      </c>
      <c r="H330" s="1393"/>
      <c r="I330" s="1394"/>
      <c r="J330" s="1394"/>
      <c r="K330" s="1394"/>
      <c r="L330" s="1394"/>
      <c r="M330" s="1394"/>
      <c r="N330" s="1394"/>
      <c r="O330" s="1394"/>
      <c r="P330" s="1394"/>
      <c r="Q330" s="1394"/>
      <c r="R330" s="1395"/>
      <c r="S330" s="1396"/>
      <c r="T330" s="1397"/>
      <c r="U330" s="205"/>
      <c r="V330" s="68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205"/>
      <c r="AN330" s="205"/>
      <c r="AO330" s="205"/>
      <c r="AP330" s="205"/>
      <c r="AQ330" s="205"/>
      <c r="AR330" s="205"/>
      <c r="AS330" s="205"/>
      <c r="AT330" s="205"/>
      <c r="AU330" s="205"/>
      <c r="AV330" s="205"/>
      <c r="AW330" s="205"/>
      <c r="AX330" s="205"/>
      <c r="AY330" s="205"/>
      <c r="AZ330" s="205"/>
      <c r="BA330" s="205"/>
      <c r="BB330" s="205"/>
      <c r="BC330" s="205"/>
      <c r="BD330" s="205"/>
      <c r="BE330" s="205"/>
      <c r="BF330" s="205"/>
      <c r="BG330" s="205"/>
      <c r="BH330" s="205"/>
      <c r="BI330" s="205"/>
      <c r="BJ330" s="205"/>
      <c r="BK330" s="205"/>
      <c r="BL330" s="205"/>
      <c r="BM330" s="205"/>
      <c r="BN330" s="205"/>
      <c r="BO330" s="205"/>
      <c r="BP330" s="205"/>
      <c r="BQ330" s="205"/>
      <c r="BR330" s="205"/>
      <c r="BS330" s="205"/>
      <c r="BT330" s="205"/>
      <c r="BU330" s="205"/>
      <c r="BV330" s="205"/>
      <c r="BW330" s="205"/>
      <c r="BX330" s="205"/>
      <c r="BY330" s="205"/>
      <c r="BZ330" s="205"/>
      <c r="CA330" s="205"/>
      <c r="CB330" s="205"/>
      <c r="CC330" s="205"/>
      <c r="CD330" s="205"/>
      <c r="CE330" s="205"/>
      <c r="CF330" s="205"/>
      <c r="CG330" s="205"/>
      <c r="CH330" s="205"/>
      <c r="CI330" s="205"/>
      <c r="CJ330" s="205"/>
      <c r="CK330" s="205"/>
      <c r="CL330" s="205"/>
      <c r="CM330" s="205"/>
      <c r="CN330" s="205"/>
      <c r="CO330" s="205"/>
      <c r="CP330" s="205"/>
      <c r="CQ330" s="205"/>
      <c r="CR330" s="205"/>
      <c r="CS330" s="205"/>
      <c r="CT330" s="205"/>
      <c r="CU330" s="205"/>
      <c r="CV330" s="205"/>
      <c r="CW330" s="205"/>
      <c r="CX330" s="205"/>
      <c r="CY330" s="205"/>
      <c r="CZ330" s="205"/>
      <c r="DA330" s="205"/>
      <c r="DB330" s="205"/>
      <c r="DC330" s="205"/>
      <c r="DD330" s="205"/>
      <c r="DE330" s="205"/>
      <c r="DF330" s="205"/>
      <c r="DG330" s="205"/>
      <c r="DH330" s="205"/>
      <c r="DI330" s="205"/>
      <c r="DJ330" s="205"/>
      <c r="DK330" s="205"/>
      <c r="DL330" s="205"/>
      <c r="DM330" s="205"/>
      <c r="DN330" s="205"/>
      <c r="DO330" s="205"/>
      <c r="DP330" s="205"/>
      <c r="DQ330" s="205"/>
      <c r="DR330" s="205"/>
      <c r="DS330" s="205"/>
      <c r="DT330" s="205"/>
      <c r="DU330" s="205"/>
      <c r="DV330" s="205"/>
      <c r="DW330" s="205"/>
      <c r="DX330" s="205"/>
      <c r="DY330" s="205"/>
      <c r="DZ330" s="205"/>
      <c r="EA330" s="205"/>
      <c r="EB330" s="205"/>
      <c r="EC330" s="205"/>
      <c r="ED330" s="205"/>
      <c r="EE330" s="205"/>
      <c r="EF330" s="205"/>
      <c r="EG330" s="205"/>
      <c r="EH330" s="205"/>
      <c r="EI330" s="205"/>
      <c r="EJ330" s="205"/>
      <c r="EK330" s="205"/>
      <c r="EL330" s="205"/>
      <c r="EM330" s="205"/>
      <c r="EN330" s="205"/>
      <c r="EO330" s="205"/>
      <c r="EP330" s="205"/>
      <c r="EQ330" s="205"/>
      <c r="ER330" s="205"/>
      <c r="ES330" s="205"/>
      <c r="ET330" s="205"/>
      <c r="EU330" s="205"/>
      <c r="EV330" s="205"/>
      <c r="EW330" s="205"/>
      <c r="EX330" s="205"/>
      <c r="EY330" s="205"/>
      <c r="EZ330" s="205"/>
      <c r="FA330" s="205"/>
      <c r="FB330" s="205"/>
      <c r="FC330" s="205"/>
      <c r="FD330" s="205"/>
      <c r="FE330" s="205"/>
      <c r="FF330" s="205"/>
      <c r="FG330" s="205"/>
      <c r="FH330" s="205"/>
      <c r="FI330" s="205"/>
      <c r="FJ330" s="205"/>
      <c r="FK330" s="205"/>
      <c r="FL330" s="205"/>
      <c r="FM330" s="205"/>
      <c r="FN330" s="205"/>
      <c r="FO330" s="205"/>
      <c r="FP330" s="205"/>
      <c r="FQ330" s="205"/>
      <c r="FR330" s="205"/>
      <c r="FS330" s="205"/>
      <c r="FT330" s="205"/>
      <c r="FU330" s="205"/>
      <c r="FV330" s="205"/>
      <c r="FW330" s="205"/>
      <c r="FX330" s="205"/>
      <c r="FY330" s="205"/>
      <c r="FZ330" s="205"/>
      <c r="GA330" s="205"/>
      <c r="GB330" s="205"/>
      <c r="GC330" s="205"/>
      <c r="GD330" s="205"/>
      <c r="GE330" s="205"/>
      <c r="GF330" s="205"/>
      <c r="GG330" s="205"/>
      <c r="GH330" s="205"/>
      <c r="GI330" s="205"/>
      <c r="GJ330" s="205"/>
      <c r="GK330" s="205"/>
      <c r="GL330" s="205"/>
      <c r="GM330" s="205"/>
      <c r="GN330" s="205"/>
      <c r="GO330" s="205"/>
      <c r="GP330" s="205"/>
      <c r="GQ330" s="205"/>
      <c r="GR330" s="205"/>
      <c r="GS330" s="205"/>
      <c r="GT330" s="205"/>
      <c r="GU330" s="205"/>
      <c r="GV330" s="205"/>
      <c r="GW330" s="205"/>
      <c r="GX330" s="205"/>
      <c r="GY330" s="205"/>
      <c r="GZ330" s="205"/>
      <c r="HA330" s="205"/>
      <c r="HB330" s="205"/>
      <c r="HC330" s="205"/>
      <c r="HD330" s="205"/>
      <c r="HE330" s="205"/>
      <c r="HF330" s="205"/>
      <c r="HG330" s="205"/>
      <c r="HH330" s="205"/>
      <c r="HI330" s="205"/>
      <c r="HJ330" s="205"/>
      <c r="HK330" s="205"/>
      <c r="HL330" s="205"/>
      <c r="HM330" s="205"/>
      <c r="HN330" s="205"/>
      <c r="HO330" s="205"/>
      <c r="HP330" s="205"/>
      <c r="HQ330" s="205"/>
      <c r="HR330" s="205"/>
      <c r="HS330" s="205"/>
      <c r="HT330" s="205"/>
      <c r="HU330" s="205"/>
      <c r="HV330" s="205"/>
      <c r="HW330" s="205"/>
      <c r="HX330" s="205"/>
      <c r="HY330" s="205"/>
      <c r="HZ330" s="205"/>
      <c r="IA330" s="205"/>
      <c r="IB330" s="205"/>
      <c r="IC330" s="205"/>
      <c r="ID330" s="205"/>
      <c r="IE330" s="205"/>
      <c r="IF330" s="205"/>
      <c r="IG330" s="205"/>
      <c r="IH330" s="205"/>
      <c r="II330" s="205"/>
      <c r="IJ330" s="205"/>
      <c r="IK330" s="205"/>
      <c r="IL330" s="205"/>
      <c r="IM330" s="205"/>
      <c r="IN330" s="205"/>
      <c r="IO330" s="205"/>
      <c r="IP330" s="205"/>
      <c r="IQ330" s="205"/>
      <c r="IR330" s="205"/>
      <c r="IS330" s="205"/>
      <c r="IT330" s="205"/>
      <c r="IU330" s="205"/>
      <c r="IV330" s="205"/>
      <c r="IW330" s="205"/>
      <c r="IX330" s="205"/>
    </row>
    <row r="331" spans="1:258" s="203" customFormat="1" x14ac:dyDescent="0.2">
      <c r="A331" s="669"/>
      <c r="B331" s="670"/>
      <c r="C331" s="1390"/>
      <c r="D331" s="672"/>
      <c r="E331" s="1391"/>
      <c r="F331" s="1391"/>
      <c r="G331" s="1392" t="str">
        <f t="shared" si="145"/>
        <v>KM,Spoelhoek,R.alat.R.Admnistrasi</v>
      </c>
      <c r="H331" s="1393"/>
      <c r="I331" s="1394"/>
      <c r="J331" s="1394"/>
      <c r="K331" s="1394"/>
      <c r="L331" s="1394"/>
      <c r="M331" s="1394"/>
      <c r="N331" s="1394"/>
      <c r="O331" s="1394"/>
      <c r="P331" s="1394"/>
      <c r="Q331" s="1394"/>
      <c r="R331" s="1395"/>
      <c r="S331" s="1396"/>
      <c r="T331" s="1397"/>
      <c r="U331" s="205"/>
      <c r="V331" s="685"/>
      <c r="W331" s="205"/>
      <c r="X331" s="205"/>
      <c r="Y331" s="205"/>
      <c r="Z331" s="205"/>
      <c r="AA331" s="205"/>
      <c r="AB331" s="205"/>
      <c r="AC331" s="205"/>
      <c r="AD331" s="205"/>
      <c r="AE331" s="205"/>
      <c r="AF331" s="205"/>
      <c r="AG331" s="205"/>
      <c r="AH331" s="205"/>
      <c r="AI331" s="205"/>
      <c r="AJ331" s="205"/>
      <c r="AK331" s="205"/>
      <c r="AL331" s="205"/>
      <c r="AM331" s="205"/>
      <c r="AN331" s="205"/>
      <c r="AO331" s="205"/>
      <c r="AP331" s="205"/>
      <c r="AQ331" s="205"/>
      <c r="AR331" s="205"/>
      <c r="AS331" s="205"/>
      <c r="AT331" s="205"/>
      <c r="AU331" s="205"/>
      <c r="AV331" s="205"/>
      <c r="AW331" s="205"/>
      <c r="AX331" s="205"/>
      <c r="AY331" s="205"/>
      <c r="AZ331" s="205"/>
      <c r="BA331" s="205"/>
      <c r="BB331" s="205"/>
      <c r="BC331" s="205"/>
      <c r="BD331" s="205"/>
      <c r="BE331" s="205"/>
      <c r="BF331" s="205"/>
      <c r="BG331" s="205"/>
      <c r="BH331" s="205"/>
      <c r="BI331" s="205"/>
      <c r="BJ331" s="205"/>
      <c r="BK331" s="205"/>
      <c r="BL331" s="205"/>
      <c r="BM331" s="205"/>
      <c r="BN331" s="205"/>
      <c r="BO331" s="205"/>
      <c r="BP331" s="205"/>
      <c r="BQ331" s="205"/>
      <c r="BR331" s="205"/>
      <c r="BS331" s="205"/>
      <c r="BT331" s="205"/>
      <c r="BU331" s="205"/>
      <c r="BV331" s="205"/>
      <c r="BW331" s="205"/>
      <c r="BX331" s="205"/>
      <c r="BY331" s="205"/>
      <c r="BZ331" s="205"/>
      <c r="CA331" s="205"/>
      <c r="CB331" s="205"/>
      <c r="CC331" s="205"/>
      <c r="CD331" s="205"/>
      <c r="CE331" s="205"/>
      <c r="CF331" s="205"/>
      <c r="CG331" s="205"/>
      <c r="CH331" s="205"/>
      <c r="CI331" s="205"/>
      <c r="CJ331" s="205"/>
      <c r="CK331" s="205"/>
      <c r="CL331" s="205"/>
      <c r="CM331" s="205"/>
      <c r="CN331" s="205"/>
      <c r="CO331" s="205"/>
      <c r="CP331" s="205"/>
      <c r="CQ331" s="205"/>
      <c r="CR331" s="205"/>
      <c r="CS331" s="205"/>
      <c r="CT331" s="205"/>
      <c r="CU331" s="205"/>
      <c r="CV331" s="205"/>
      <c r="CW331" s="205"/>
      <c r="CX331" s="205"/>
      <c r="CY331" s="205"/>
      <c r="CZ331" s="205"/>
      <c r="DA331" s="205"/>
      <c r="DB331" s="205"/>
      <c r="DC331" s="205"/>
      <c r="DD331" s="205"/>
      <c r="DE331" s="205"/>
      <c r="DF331" s="205"/>
      <c r="DG331" s="205"/>
      <c r="DH331" s="205"/>
      <c r="DI331" s="205"/>
      <c r="DJ331" s="205"/>
      <c r="DK331" s="205"/>
      <c r="DL331" s="205"/>
      <c r="DM331" s="205"/>
      <c r="DN331" s="205"/>
      <c r="DO331" s="205"/>
      <c r="DP331" s="205"/>
      <c r="DQ331" s="205"/>
      <c r="DR331" s="205"/>
      <c r="DS331" s="205"/>
      <c r="DT331" s="205"/>
      <c r="DU331" s="205"/>
      <c r="DV331" s="205"/>
      <c r="DW331" s="205"/>
      <c r="DX331" s="205"/>
      <c r="DY331" s="205"/>
      <c r="DZ331" s="205"/>
      <c r="EA331" s="205"/>
      <c r="EB331" s="205"/>
      <c r="EC331" s="205"/>
      <c r="ED331" s="205"/>
      <c r="EE331" s="205"/>
      <c r="EF331" s="205"/>
      <c r="EG331" s="205"/>
      <c r="EH331" s="205"/>
      <c r="EI331" s="205"/>
      <c r="EJ331" s="205"/>
      <c r="EK331" s="205"/>
      <c r="EL331" s="205"/>
      <c r="EM331" s="205"/>
      <c r="EN331" s="205"/>
      <c r="EO331" s="205"/>
      <c r="EP331" s="205"/>
      <c r="EQ331" s="205"/>
      <c r="ER331" s="205"/>
      <c r="ES331" s="205"/>
      <c r="ET331" s="205"/>
      <c r="EU331" s="205"/>
      <c r="EV331" s="205"/>
      <c r="EW331" s="205"/>
      <c r="EX331" s="205"/>
      <c r="EY331" s="205"/>
      <c r="EZ331" s="205"/>
      <c r="FA331" s="205"/>
      <c r="FB331" s="205"/>
      <c r="FC331" s="205"/>
      <c r="FD331" s="205"/>
      <c r="FE331" s="205"/>
      <c r="FF331" s="205"/>
      <c r="FG331" s="205"/>
      <c r="FH331" s="205"/>
      <c r="FI331" s="205"/>
      <c r="FJ331" s="205"/>
      <c r="FK331" s="205"/>
      <c r="FL331" s="205"/>
      <c r="FM331" s="205"/>
      <c r="FN331" s="205"/>
      <c r="FO331" s="205"/>
      <c r="FP331" s="205"/>
      <c r="FQ331" s="205"/>
      <c r="FR331" s="205"/>
      <c r="FS331" s="205"/>
      <c r="FT331" s="205"/>
      <c r="FU331" s="205"/>
      <c r="FV331" s="205"/>
      <c r="FW331" s="205"/>
      <c r="FX331" s="205"/>
      <c r="FY331" s="205"/>
      <c r="FZ331" s="205"/>
      <c r="GA331" s="205"/>
      <c r="GB331" s="205"/>
      <c r="GC331" s="205"/>
      <c r="GD331" s="205"/>
      <c r="GE331" s="205"/>
      <c r="GF331" s="205"/>
      <c r="GG331" s="205"/>
      <c r="GH331" s="205"/>
      <c r="GI331" s="205"/>
      <c r="GJ331" s="205"/>
      <c r="GK331" s="205"/>
      <c r="GL331" s="205"/>
      <c r="GM331" s="205"/>
      <c r="GN331" s="205"/>
      <c r="GO331" s="205"/>
      <c r="GP331" s="205"/>
      <c r="GQ331" s="205"/>
      <c r="GR331" s="205"/>
      <c r="GS331" s="205"/>
      <c r="GT331" s="205"/>
      <c r="GU331" s="205"/>
      <c r="GV331" s="205"/>
      <c r="GW331" s="205"/>
      <c r="GX331" s="205"/>
      <c r="GY331" s="205"/>
      <c r="GZ331" s="205"/>
      <c r="HA331" s="205"/>
      <c r="HB331" s="205"/>
      <c r="HC331" s="205"/>
      <c r="HD331" s="205"/>
      <c r="HE331" s="205"/>
      <c r="HF331" s="205"/>
      <c r="HG331" s="205"/>
      <c r="HH331" s="205"/>
      <c r="HI331" s="205"/>
      <c r="HJ331" s="205"/>
      <c r="HK331" s="205"/>
      <c r="HL331" s="205"/>
      <c r="HM331" s="205"/>
      <c r="HN331" s="205"/>
      <c r="HO331" s="205"/>
      <c r="HP331" s="205"/>
      <c r="HQ331" s="205"/>
      <c r="HR331" s="205"/>
      <c r="HS331" s="205"/>
      <c r="HT331" s="205"/>
      <c r="HU331" s="205"/>
      <c r="HV331" s="205"/>
      <c r="HW331" s="205"/>
      <c r="HX331" s="205"/>
      <c r="HY331" s="205"/>
      <c r="HZ331" s="205"/>
      <c r="IA331" s="205"/>
      <c r="IB331" s="205"/>
      <c r="IC331" s="205"/>
      <c r="ID331" s="205"/>
      <c r="IE331" s="205"/>
      <c r="IF331" s="205"/>
      <c r="IG331" s="205"/>
      <c r="IH331" s="205"/>
      <c r="II331" s="205"/>
      <c r="IJ331" s="205"/>
      <c r="IK331" s="205"/>
      <c r="IL331" s="205"/>
      <c r="IM331" s="205"/>
      <c r="IN331" s="205"/>
      <c r="IO331" s="205"/>
      <c r="IP331" s="205"/>
      <c r="IQ331" s="205"/>
      <c r="IR331" s="205"/>
      <c r="IS331" s="205"/>
      <c r="IT331" s="205"/>
      <c r="IU331" s="205"/>
      <c r="IV331" s="205"/>
      <c r="IW331" s="205"/>
      <c r="IX331" s="205"/>
    </row>
    <row r="332" spans="1:258" s="203" customFormat="1" x14ac:dyDescent="0.2">
      <c r="A332" s="669"/>
      <c r="B332" s="670"/>
      <c r="C332" s="1390"/>
      <c r="D332" s="672"/>
      <c r="E332" s="1391"/>
      <c r="F332" s="1391"/>
      <c r="G332" s="1392"/>
      <c r="H332" s="1393"/>
      <c r="I332" s="1394"/>
      <c r="J332" s="1394"/>
      <c r="K332" s="1394"/>
      <c r="L332" s="1394"/>
      <c r="M332" s="1394"/>
      <c r="N332" s="1394"/>
      <c r="O332" s="1394"/>
      <c r="P332" s="1394"/>
      <c r="Q332" s="1394"/>
      <c r="R332" s="1395">
        <f>SUM(R322:R331)</f>
        <v>107.1</v>
      </c>
      <c r="S332" s="1396">
        <f>R332</f>
        <v>107.1</v>
      </c>
      <c r="T332" s="1397" t="s">
        <v>338</v>
      </c>
      <c r="U332" s="205"/>
      <c r="V332" s="685"/>
      <c r="W332" s="205"/>
      <c r="X332" s="205"/>
      <c r="Y332" s="205"/>
      <c r="Z332" s="205"/>
      <c r="AA332" s="205"/>
      <c r="AB332" s="205"/>
      <c r="AC332" s="205"/>
      <c r="AD332" s="205"/>
      <c r="AE332" s="205"/>
      <c r="AF332" s="205"/>
      <c r="AG332" s="205"/>
      <c r="AH332" s="205"/>
      <c r="AI332" s="205"/>
      <c r="AJ332" s="205"/>
      <c r="AK332" s="205"/>
      <c r="AL332" s="205"/>
      <c r="AM332" s="205"/>
      <c r="AN332" s="205"/>
      <c r="AO332" s="205"/>
      <c r="AP332" s="205"/>
      <c r="AQ332" s="205"/>
      <c r="AR332" s="205"/>
      <c r="AS332" s="205"/>
      <c r="AT332" s="205"/>
      <c r="AU332" s="205"/>
      <c r="AV332" s="205"/>
      <c r="AW332" s="205"/>
      <c r="AX332" s="205"/>
      <c r="AY332" s="205"/>
      <c r="AZ332" s="205"/>
      <c r="BA332" s="205"/>
      <c r="BB332" s="205"/>
      <c r="BC332" s="205"/>
      <c r="BD332" s="205"/>
      <c r="BE332" s="205"/>
      <c r="BF332" s="205"/>
      <c r="BG332" s="205"/>
      <c r="BH332" s="205"/>
      <c r="BI332" s="205"/>
      <c r="BJ332" s="205"/>
      <c r="BK332" s="205"/>
      <c r="BL332" s="205"/>
      <c r="BM332" s="205"/>
      <c r="BN332" s="205"/>
      <c r="BO332" s="205"/>
      <c r="BP332" s="205"/>
      <c r="BQ332" s="205"/>
      <c r="BR332" s="205"/>
      <c r="BS332" s="205"/>
      <c r="BT332" s="205"/>
      <c r="BU332" s="205"/>
      <c r="BV332" s="205"/>
      <c r="BW332" s="205"/>
      <c r="BX332" s="205"/>
      <c r="BY332" s="205"/>
      <c r="BZ332" s="205"/>
      <c r="CA332" s="205"/>
      <c r="CB332" s="205"/>
      <c r="CC332" s="205"/>
      <c r="CD332" s="205"/>
      <c r="CE332" s="205"/>
      <c r="CF332" s="205"/>
      <c r="CG332" s="205"/>
      <c r="CH332" s="205"/>
      <c r="CI332" s="205"/>
      <c r="CJ332" s="205"/>
      <c r="CK332" s="205"/>
      <c r="CL332" s="205"/>
      <c r="CM332" s="205"/>
      <c r="CN332" s="205"/>
      <c r="CO332" s="205"/>
      <c r="CP332" s="205"/>
      <c r="CQ332" s="205"/>
      <c r="CR332" s="205"/>
      <c r="CS332" s="205"/>
      <c r="CT332" s="205"/>
      <c r="CU332" s="205"/>
      <c r="CV332" s="205"/>
      <c r="CW332" s="205"/>
      <c r="CX332" s="205"/>
      <c r="CY332" s="205"/>
      <c r="CZ332" s="205"/>
      <c r="DA332" s="205"/>
      <c r="DB332" s="205"/>
      <c r="DC332" s="205"/>
      <c r="DD332" s="205"/>
      <c r="DE332" s="205"/>
      <c r="DF332" s="205"/>
      <c r="DG332" s="205"/>
      <c r="DH332" s="205"/>
      <c r="DI332" s="205"/>
      <c r="DJ332" s="205"/>
      <c r="DK332" s="205"/>
      <c r="DL332" s="205"/>
      <c r="DM332" s="205"/>
      <c r="DN332" s="205"/>
      <c r="DO332" s="205"/>
      <c r="DP332" s="205"/>
      <c r="DQ332" s="205"/>
      <c r="DR332" s="205"/>
      <c r="DS332" s="205"/>
      <c r="DT332" s="205"/>
      <c r="DU332" s="205"/>
      <c r="DV332" s="205"/>
      <c r="DW332" s="205"/>
      <c r="DX332" s="205"/>
      <c r="DY332" s="205"/>
      <c r="DZ332" s="205"/>
      <c r="EA332" s="205"/>
      <c r="EB332" s="205"/>
      <c r="EC332" s="205"/>
      <c r="ED332" s="205"/>
      <c r="EE332" s="205"/>
      <c r="EF332" s="205"/>
      <c r="EG332" s="205"/>
      <c r="EH332" s="205"/>
      <c r="EI332" s="205"/>
      <c r="EJ332" s="205"/>
      <c r="EK332" s="205"/>
      <c r="EL332" s="205"/>
      <c r="EM332" s="205"/>
      <c r="EN332" s="205"/>
      <c r="EO332" s="205"/>
      <c r="EP332" s="205"/>
      <c r="EQ332" s="205"/>
      <c r="ER332" s="205"/>
      <c r="ES332" s="205"/>
      <c r="ET332" s="205"/>
      <c r="EU332" s="205"/>
      <c r="EV332" s="205"/>
      <c r="EW332" s="205"/>
      <c r="EX332" s="205"/>
      <c r="EY332" s="205"/>
      <c r="EZ332" s="205"/>
      <c r="FA332" s="205"/>
      <c r="FB332" s="205"/>
      <c r="FC332" s="205"/>
      <c r="FD332" s="205"/>
      <c r="FE332" s="205"/>
      <c r="FF332" s="205"/>
      <c r="FG332" s="205"/>
      <c r="FH332" s="205"/>
      <c r="FI332" s="205"/>
      <c r="FJ332" s="205"/>
      <c r="FK332" s="205"/>
      <c r="FL332" s="205"/>
      <c r="FM332" s="205"/>
      <c r="FN332" s="205"/>
      <c r="FO332" s="205"/>
      <c r="FP332" s="205"/>
      <c r="FQ332" s="205"/>
      <c r="FR332" s="205"/>
      <c r="FS332" s="205"/>
      <c r="FT332" s="205"/>
      <c r="FU332" s="205"/>
      <c r="FV332" s="205"/>
      <c r="FW332" s="205"/>
      <c r="FX332" s="205"/>
      <c r="FY332" s="205"/>
      <c r="FZ332" s="205"/>
      <c r="GA332" s="205"/>
      <c r="GB332" s="205"/>
      <c r="GC332" s="205"/>
      <c r="GD332" s="205"/>
      <c r="GE332" s="205"/>
      <c r="GF332" s="205"/>
      <c r="GG332" s="205"/>
      <c r="GH332" s="205"/>
      <c r="GI332" s="205"/>
      <c r="GJ332" s="205"/>
      <c r="GK332" s="205"/>
      <c r="GL332" s="205"/>
      <c r="GM332" s="205"/>
      <c r="GN332" s="205"/>
      <c r="GO332" s="205"/>
      <c r="GP332" s="205"/>
      <c r="GQ332" s="205"/>
      <c r="GR332" s="205"/>
      <c r="GS332" s="205"/>
      <c r="GT332" s="205"/>
      <c r="GU332" s="205"/>
      <c r="GV332" s="205"/>
      <c r="GW332" s="205"/>
      <c r="GX332" s="205"/>
      <c r="GY332" s="205"/>
      <c r="GZ332" s="205"/>
      <c r="HA332" s="205"/>
      <c r="HB332" s="205"/>
      <c r="HC332" s="205"/>
      <c r="HD332" s="205"/>
      <c r="HE332" s="205"/>
      <c r="HF332" s="205"/>
      <c r="HG332" s="205"/>
      <c r="HH332" s="205"/>
      <c r="HI332" s="205"/>
      <c r="HJ332" s="205"/>
      <c r="HK332" s="205"/>
      <c r="HL332" s="205"/>
      <c r="HM332" s="205"/>
      <c r="HN332" s="205"/>
      <c r="HO332" s="205"/>
      <c r="HP332" s="205"/>
      <c r="HQ332" s="205"/>
      <c r="HR332" s="205"/>
      <c r="HS332" s="205"/>
      <c r="HT332" s="205"/>
      <c r="HU332" s="205"/>
      <c r="HV332" s="205"/>
      <c r="HW332" s="205"/>
      <c r="HX332" s="205"/>
      <c r="HY332" s="205"/>
      <c r="HZ332" s="205"/>
      <c r="IA332" s="205"/>
      <c r="IB332" s="205"/>
      <c r="IC332" s="205"/>
      <c r="ID332" s="205"/>
      <c r="IE332" s="205"/>
      <c r="IF332" s="205"/>
      <c r="IG332" s="205"/>
      <c r="IH332" s="205"/>
      <c r="II332" s="205"/>
      <c r="IJ332" s="205"/>
      <c r="IK332" s="205"/>
      <c r="IL332" s="205"/>
      <c r="IM332" s="205"/>
      <c r="IN332" s="205"/>
      <c r="IO332" s="205"/>
      <c r="IP332" s="205"/>
      <c r="IQ332" s="205"/>
      <c r="IR332" s="205"/>
      <c r="IS332" s="205"/>
      <c r="IT332" s="205"/>
      <c r="IU332" s="205"/>
      <c r="IV332" s="205"/>
      <c r="IW332" s="205"/>
      <c r="IX332" s="205"/>
    </row>
    <row r="333" spans="1:258" s="203" customFormat="1" x14ac:dyDescent="0.2">
      <c r="A333" s="669"/>
      <c r="B333" s="670"/>
      <c r="C333" s="1390"/>
      <c r="D333" s="672"/>
      <c r="E333" s="1391"/>
      <c r="F333" s="1391"/>
      <c r="G333" s="1392"/>
      <c r="H333" s="1393"/>
      <c r="I333" s="1394"/>
      <c r="J333" s="1394"/>
      <c r="K333" s="1394"/>
      <c r="L333" s="1394"/>
      <c r="M333" s="1394"/>
      <c r="N333" s="1394"/>
      <c r="O333" s="1394"/>
      <c r="P333" s="1394"/>
      <c r="Q333" s="1394"/>
      <c r="R333" s="1395"/>
      <c r="S333" s="1396"/>
      <c r="T333" s="1397"/>
      <c r="U333" s="205"/>
      <c r="V333" s="685"/>
      <c r="W333" s="205"/>
      <c r="X333" s="205"/>
      <c r="Y333" s="205"/>
      <c r="Z333" s="205"/>
      <c r="AA333" s="205"/>
      <c r="AB333" s="205"/>
      <c r="AC333" s="205"/>
      <c r="AD333" s="205"/>
      <c r="AE333" s="205"/>
      <c r="AF333" s="205"/>
      <c r="AG333" s="205"/>
      <c r="AH333" s="205"/>
      <c r="AI333" s="205"/>
      <c r="AJ333" s="205"/>
      <c r="AK333" s="205"/>
      <c r="AL333" s="205"/>
      <c r="AM333" s="205"/>
      <c r="AN333" s="205"/>
      <c r="AO333" s="205"/>
      <c r="AP333" s="205"/>
      <c r="AQ333" s="205"/>
      <c r="AR333" s="205"/>
      <c r="AS333" s="205"/>
      <c r="AT333" s="205"/>
      <c r="AU333" s="205"/>
      <c r="AV333" s="205"/>
      <c r="AW333" s="205"/>
      <c r="AX333" s="205"/>
      <c r="AY333" s="205"/>
      <c r="AZ333" s="205"/>
      <c r="BA333" s="205"/>
      <c r="BB333" s="205"/>
      <c r="BC333" s="205"/>
      <c r="BD333" s="205"/>
      <c r="BE333" s="205"/>
      <c r="BF333" s="205"/>
      <c r="BG333" s="205"/>
      <c r="BH333" s="205"/>
      <c r="BI333" s="205"/>
      <c r="BJ333" s="205"/>
      <c r="BK333" s="205"/>
      <c r="BL333" s="205"/>
      <c r="BM333" s="205"/>
      <c r="BN333" s="205"/>
      <c r="BO333" s="205"/>
      <c r="BP333" s="205"/>
      <c r="BQ333" s="205"/>
      <c r="BR333" s="205"/>
      <c r="BS333" s="205"/>
      <c r="BT333" s="205"/>
      <c r="BU333" s="205"/>
      <c r="BV333" s="205"/>
      <c r="BW333" s="205"/>
      <c r="BX333" s="205"/>
      <c r="BY333" s="205"/>
      <c r="BZ333" s="205"/>
      <c r="CA333" s="205"/>
      <c r="CB333" s="205"/>
      <c r="CC333" s="205"/>
      <c r="CD333" s="205"/>
      <c r="CE333" s="205"/>
      <c r="CF333" s="205"/>
      <c r="CG333" s="205"/>
      <c r="CH333" s="205"/>
      <c r="CI333" s="205"/>
      <c r="CJ333" s="205"/>
      <c r="CK333" s="205"/>
      <c r="CL333" s="205"/>
      <c r="CM333" s="205"/>
      <c r="CN333" s="205"/>
      <c r="CO333" s="205"/>
      <c r="CP333" s="205"/>
      <c r="CQ333" s="205"/>
      <c r="CR333" s="205"/>
      <c r="CS333" s="205"/>
      <c r="CT333" s="205"/>
      <c r="CU333" s="205"/>
      <c r="CV333" s="205"/>
      <c r="CW333" s="205"/>
      <c r="CX333" s="205"/>
      <c r="CY333" s="205"/>
      <c r="CZ333" s="205"/>
      <c r="DA333" s="205"/>
      <c r="DB333" s="205"/>
      <c r="DC333" s="205"/>
      <c r="DD333" s="205"/>
      <c r="DE333" s="205"/>
      <c r="DF333" s="205"/>
      <c r="DG333" s="205"/>
      <c r="DH333" s="205"/>
      <c r="DI333" s="205"/>
      <c r="DJ333" s="205"/>
      <c r="DK333" s="205"/>
      <c r="DL333" s="205"/>
      <c r="DM333" s="205"/>
      <c r="DN333" s="205"/>
      <c r="DO333" s="205"/>
      <c r="DP333" s="205"/>
      <c r="DQ333" s="205"/>
      <c r="DR333" s="205"/>
      <c r="DS333" s="205"/>
      <c r="DT333" s="205"/>
      <c r="DU333" s="205"/>
      <c r="DV333" s="205"/>
      <c r="DW333" s="205"/>
      <c r="DX333" s="205"/>
      <c r="DY333" s="205"/>
      <c r="DZ333" s="205"/>
      <c r="EA333" s="205"/>
      <c r="EB333" s="205"/>
      <c r="EC333" s="205"/>
      <c r="ED333" s="205"/>
      <c r="EE333" s="205"/>
      <c r="EF333" s="205"/>
      <c r="EG333" s="205"/>
      <c r="EH333" s="205"/>
      <c r="EI333" s="205"/>
      <c r="EJ333" s="205"/>
      <c r="EK333" s="205"/>
      <c r="EL333" s="205"/>
      <c r="EM333" s="205"/>
      <c r="EN333" s="205"/>
      <c r="EO333" s="205"/>
      <c r="EP333" s="205"/>
      <c r="EQ333" s="205"/>
      <c r="ER333" s="205"/>
      <c r="ES333" s="205"/>
      <c r="ET333" s="205"/>
      <c r="EU333" s="205"/>
      <c r="EV333" s="205"/>
      <c r="EW333" s="205"/>
      <c r="EX333" s="205"/>
      <c r="EY333" s="205"/>
      <c r="EZ333" s="205"/>
      <c r="FA333" s="205"/>
      <c r="FB333" s="205"/>
      <c r="FC333" s="205"/>
      <c r="FD333" s="205"/>
      <c r="FE333" s="205"/>
      <c r="FF333" s="205"/>
      <c r="FG333" s="205"/>
      <c r="FH333" s="205"/>
      <c r="FI333" s="205"/>
      <c r="FJ333" s="205"/>
      <c r="FK333" s="205"/>
      <c r="FL333" s="205"/>
      <c r="FM333" s="205"/>
      <c r="FN333" s="205"/>
      <c r="FO333" s="205"/>
      <c r="FP333" s="205"/>
      <c r="FQ333" s="205"/>
      <c r="FR333" s="205"/>
      <c r="FS333" s="205"/>
      <c r="FT333" s="205"/>
      <c r="FU333" s="205"/>
      <c r="FV333" s="205"/>
      <c r="FW333" s="205"/>
      <c r="FX333" s="205"/>
      <c r="FY333" s="205"/>
      <c r="FZ333" s="205"/>
      <c r="GA333" s="205"/>
      <c r="GB333" s="205"/>
      <c r="GC333" s="205"/>
      <c r="GD333" s="205"/>
      <c r="GE333" s="205"/>
      <c r="GF333" s="205"/>
      <c r="GG333" s="205"/>
      <c r="GH333" s="205"/>
      <c r="GI333" s="205"/>
      <c r="GJ333" s="205"/>
      <c r="GK333" s="205"/>
      <c r="GL333" s="205"/>
      <c r="GM333" s="205"/>
      <c r="GN333" s="205"/>
      <c r="GO333" s="205"/>
      <c r="GP333" s="205"/>
      <c r="GQ333" s="205"/>
      <c r="GR333" s="205"/>
      <c r="GS333" s="205"/>
      <c r="GT333" s="205"/>
      <c r="GU333" s="205"/>
      <c r="GV333" s="205"/>
      <c r="GW333" s="205"/>
      <c r="GX333" s="205"/>
      <c r="GY333" s="205"/>
      <c r="GZ333" s="205"/>
      <c r="HA333" s="205"/>
      <c r="HB333" s="205"/>
      <c r="HC333" s="205"/>
      <c r="HD333" s="205"/>
      <c r="HE333" s="205"/>
      <c r="HF333" s="205"/>
      <c r="HG333" s="205"/>
      <c r="HH333" s="205"/>
      <c r="HI333" s="205"/>
      <c r="HJ333" s="205"/>
      <c r="HK333" s="205"/>
      <c r="HL333" s="205"/>
      <c r="HM333" s="205"/>
      <c r="HN333" s="205"/>
      <c r="HO333" s="205"/>
      <c r="HP333" s="205"/>
      <c r="HQ333" s="205"/>
      <c r="HR333" s="205"/>
      <c r="HS333" s="205"/>
      <c r="HT333" s="205"/>
      <c r="HU333" s="205"/>
      <c r="HV333" s="205"/>
      <c r="HW333" s="205"/>
      <c r="HX333" s="205"/>
      <c r="HY333" s="205"/>
      <c r="HZ333" s="205"/>
      <c r="IA333" s="205"/>
      <c r="IB333" s="205"/>
      <c r="IC333" s="205"/>
      <c r="ID333" s="205"/>
      <c r="IE333" s="205"/>
      <c r="IF333" s="205"/>
      <c r="IG333" s="205"/>
      <c r="IH333" s="205"/>
      <c r="II333" s="205"/>
      <c r="IJ333" s="205"/>
      <c r="IK333" s="205"/>
      <c r="IL333" s="205"/>
      <c r="IM333" s="205"/>
      <c r="IN333" s="205"/>
      <c r="IO333" s="205"/>
      <c r="IP333" s="205"/>
      <c r="IQ333" s="205"/>
      <c r="IR333" s="205"/>
      <c r="IS333" s="205"/>
      <c r="IT333" s="205"/>
      <c r="IU333" s="205"/>
      <c r="IV333" s="205"/>
      <c r="IW333" s="205"/>
      <c r="IX333" s="205"/>
    </row>
    <row r="334" spans="1:258" s="203" customFormat="1" x14ac:dyDescent="0.2">
      <c r="A334" s="669"/>
      <c r="B334" s="670">
        <f>RAB!B107</f>
        <v>4</v>
      </c>
      <c r="C334" s="686" t="e">
        <f>RAB!D107</f>
        <v>#REF!</v>
      </c>
      <c r="D334" s="672"/>
      <c r="E334" s="673"/>
      <c r="F334" s="673"/>
      <c r="G334" s="674"/>
      <c r="H334" s="675"/>
      <c r="I334" s="676"/>
      <c r="J334" s="676"/>
      <c r="K334" s="676"/>
      <c r="L334" s="676"/>
      <c r="M334" s="676"/>
      <c r="N334" s="676"/>
      <c r="O334" s="676"/>
      <c r="P334" s="676"/>
      <c r="Q334" s="676"/>
      <c r="R334" s="677"/>
      <c r="S334" s="678"/>
      <c r="T334" s="684"/>
      <c r="U334" s="205"/>
      <c r="V334" s="685"/>
      <c r="W334" s="205"/>
      <c r="X334" s="205"/>
      <c r="Y334" s="205"/>
      <c r="Z334" s="205"/>
      <c r="AA334" s="205"/>
      <c r="AB334" s="205"/>
      <c r="AC334" s="205"/>
      <c r="AD334" s="205"/>
      <c r="AE334" s="205"/>
      <c r="AF334" s="205"/>
      <c r="AG334" s="205"/>
      <c r="AH334" s="205"/>
      <c r="AI334" s="205"/>
      <c r="AJ334" s="205"/>
      <c r="AK334" s="205"/>
      <c r="AL334" s="205"/>
      <c r="AM334" s="205"/>
      <c r="AN334" s="205"/>
      <c r="AO334" s="205"/>
      <c r="AP334" s="205"/>
      <c r="AQ334" s="205"/>
      <c r="AR334" s="205"/>
      <c r="AS334" s="205"/>
      <c r="AT334" s="205"/>
      <c r="AU334" s="205"/>
      <c r="AV334" s="205"/>
      <c r="AW334" s="205"/>
      <c r="AX334" s="205"/>
      <c r="AY334" s="205"/>
      <c r="AZ334" s="205"/>
      <c r="BA334" s="205"/>
      <c r="BB334" s="205"/>
      <c r="BC334" s="205"/>
      <c r="BD334" s="205"/>
      <c r="BE334" s="205"/>
      <c r="BF334" s="205"/>
      <c r="BG334" s="205"/>
      <c r="BH334" s="205"/>
      <c r="BI334" s="205"/>
      <c r="BJ334" s="205"/>
      <c r="BK334" s="205"/>
      <c r="BL334" s="205"/>
      <c r="BM334" s="205"/>
      <c r="BN334" s="205"/>
      <c r="BO334" s="205"/>
      <c r="BP334" s="205"/>
      <c r="BQ334" s="205"/>
      <c r="BR334" s="205"/>
      <c r="BS334" s="205"/>
      <c r="BT334" s="205"/>
      <c r="BU334" s="205"/>
      <c r="BV334" s="205"/>
      <c r="BW334" s="205"/>
      <c r="BX334" s="205"/>
      <c r="BY334" s="205"/>
      <c r="BZ334" s="205"/>
      <c r="CA334" s="205"/>
      <c r="CB334" s="205"/>
      <c r="CC334" s="205"/>
      <c r="CD334" s="205"/>
      <c r="CE334" s="205"/>
      <c r="CF334" s="205"/>
      <c r="CG334" s="205"/>
      <c r="CH334" s="205"/>
      <c r="CI334" s="205"/>
      <c r="CJ334" s="205"/>
      <c r="CK334" s="205"/>
      <c r="CL334" s="205"/>
      <c r="CM334" s="205"/>
      <c r="CN334" s="205"/>
      <c r="CO334" s="205"/>
      <c r="CP334" s="205"/>
      <c r="CQ334" s="205"/>
      <c r="CR334" s="205"/>
      <c r="CS334" s="205"/>
      <c r="CT334" s="205"/>
      <c r="CU334" s="205"/>
      <c r="CV334" s="205"/>
      <c r="CW334" s="205"/>
      <c r="CX334" s="205"/>
      <c r="CY334" s="205"/>
      <c r="CZ334" s="205"/>
      <c r="DA334" s="205"/>
      <c r="DB334" s="205"/>
      <c r="DC334" s="205"/>
      <c r="DD334" s="205"/>
      <c r="DE334" s="205"/>
      <c r="DF334" s="205"/>
      <c r="DG334" s="205"/>
      <c r="DH334" s="205"/>
      <c r="DI334" s="205"/>
      <c r="DJ334" s="205"/>
      <c r="DK334" s="205"/>
      <c r="DL334" s="205"/>
      <c r="DM334" s="205"/>
      <c r="DN334" s="205"/>
      <c r="DO334" s="205"/>
      <c r="DP334" s="205"/>
      <c r="DQ334" s="205"/>
      <c r="DR334" s="205"/>
      <c r="DS334" s="205"/>
      <c r="DT334" s="205"/>
      <c r="DU334" s="205"/>
      <c r="DV334" s="205"/>
      <c r="DW334" s="205"/>
      <c r="DX334" s="205"/>
      <c r="DY334" s="205"/>
      <c r="DZ334" s="205"/>
      <c r="EA334" s="205"/>
      <c r="EB334" s="205"/>
      <c r="EC334" s="205"/>
      <c r="ED334" s="205"/>
      <c r="EE334" s="205"/>
      <c r="EF334" s="205"/>
      <c r="EG334" s="205"/>
      <c r="EH334" s="205"/>
      <c r="EI334" s="205"/>
      <c r="EJ334" s="205"/>
      <c r="EK334" s="205"/>
      <c r="EL334" s="205"/>
      <c r="EM334" s="205"/>
      <c r="EN334" s="205"/>
      <c r="EO334" s="205"/>
      <c r="EP334" s="205"/>
      <c r="EQ334" s="205"/>
      <c r="ER334" s="205"/>
      <c r="ES334" s="205"/>
      <c r="ET334" s="205"/>
      <c r="EU334" s="205"/>
      <c r="EV334" s="205"/>
      <c r="EW334" s="205"/>
      <c r="EX334" s="205"/>
      <c r="EY334" s="205"/>
      <c r="EZ334" s="205"/>
      <c r="FA334" s="205"/>
      <c r="FB334" s="205"/>
      <c r="FC334" s="205"/>
      <c r="FD334" s="205"/>
      <c r="FE334" s="205"/>
      <c r="FF334" s="205"/>
      <c r="FG334" s="205"/>
      <c r="FH334" s="205"/>
      <c r="FI334" s="205"/>
      <c r="FJ334" s="205"/>
      <c r="FK334" s="205"/>
      <c r="FL334" s="205"/>
      <c r="FM334" s="205"/>
      <c r="FN334" s="205"/>
      <c r="FO334" s="205"/>
      <c r="FP334" s="205"/>
      <c r="FQ334" s="205"/>
      <c r="FR334" s="205"/>
      <c r="FS334" s="205"/>
      <c r="FT334" s="205"/>
      <c r="FU334" s="205"/>
      <c r="FV334" s="205"/>
      <c r="FW334" s="205"/>
      <c r="FX334" s="205"/>
      <c r="FY334" s="205"/>
      <c r="FZ334" s="205"/>
      <c r="GA334" s="205"/>
      <c r="GB334" s="205"/>
      <c r="GC334" s="205"/>
      <c r="GD334" s="205"/>
      <c r="GE334" s="205"/>
      <c r="GF334" s="205"/>
      <c r="GG334" s="205"/>
      <c r="GH334" s="205"/>
      <c r="GI334" s="205"/>
      <c r="GJ334" s="205"/>
      <c r="GK334" s="205"/>
      <c r="GL334" s="205"/>
      <c r="GM334" s="205"/>
      <c r="GN334" s="205"/>
      <c r="GO334" s="205"/>
      <c r="GP334" s="205"/>
      <c r="GQ334" s="205"/>
      <c r="GR334" s="205"/>
      <c r="GS334" s="205"/>
      <c r="GT334" s="205"/>
      <c r="GU334" s="205"/>
      <c r="GV334" s="205"/>
      <c r="GW334" s="205"/>
      <c r="GX334" s="205"/>
      <c r="GY334" s="205"/>
      <c r="GZ334" s="205"/>
      <c r="HA334" s="205"/>
      <c r="HB334" s="205"/>
      <c r="HC334" s="205"/>
      <c r="HD334" s="205"/>
      <c r="HE334" s="205"/>
      <c r="HF334" s="205"/>
      <c r="HG334" s="205"/>
      <c r="HH334" s="205"/>
      <c r="HI334" s="205"/>
      <c r="HJ334" s="205"/>
      <c r="HK334" s="205"/>
      <c r="HL334" s="205"/>
      <c r="HM334" s="205"/>
      <c r="HN334" s="205"/>
      <c r="HO334" s="205"/>
      <c r="HP334" s="205"/>
      <c r="HQ334" s="205"/>
      <c r="HR334" s="205"/>
      <c r="HS334" s="205"/>
      <c r="HT334" s="205"/>
      <c r="HU334" s="205"/>
      <c r="HV334" s="205"/>
      <c r="HW334" s="205"/>
      <c r="HX334" s="205"/>
      <c r="HY334" s="205"/>
      <c r="HZ334" s="205"/>
      <c r="IA334" s="205"/>
      <c r="IB334" s="205"/>
      <c r="IC334" s="205"/>
      <c r="ID334" s="205"/>
      <c r="IE334" s="205"/>
      <c r="IF334" s="205"/>
      <c r="IG334" s="205"/>
      <c r="IH334" s="205"/>
      <c r="II334" s="205"/>
      <c r="IJ334" s="205"/>
      <c r="IK334" s="205"/>
      <c r="IL334" s="205"/>
      <c r="IM334" s="205"/>
      <c r="IN334" s="205"/>
      <c r="IO334" s="205"/>
      <c r="IP334" s="205"/>
      <c r="IQ334" s="205"/>
      <c r="IR334" s="205"/>
      <c r="IS334" s="205"/>
      <c r="IT334" s="205"/>
      <c r="IU334" s="205"/>
      <c r="IV334" s="205"/>
      <c r="IW334" s="205"/>
      <c r="IX334" s="205"/>
    </row>
    <row r="335" spans="1:258" s="203" customFormat="1" x14ac:dyDescent="0.2">
      <c r="A335" s="669"/>
      <c r="B335" s="670"/>
      <c r="C335" s="1390"/>
      <c r="D335" s="672"/>
      <c r="E335" s="1391"/>
      <c r="F335" s="1391"/>
      <c r="G335" s="1392" t="s">
        <v>1731</v>
      </c>
      <c r="H335" s="1393">
        <f>(6+6+5+5)-0.3-0.9-0.9-0.9-1.5</f>
        <v>17.500000000000004</v>
      </c>
      <c r="I335" s="1394"/>
      <c r="J335" s="1394"/>
      <c r="K335" s="1394"/>
      <c r="L335" s="1394"/>
      <c r="M335" s="1394"/>
      <c r="N335" s="1394"/>
      <c r="O335" s="1394"/>
      <c r="P335" s="1394"/>
      <c r="Q335" s="1394" t="s">
        <v>696</v>
      </c>
      <c r="R335" s="1395">
        <f>H335</f>
        <v>17.500000000000004</v>
      </c>
      <c r="S335" s="1396"/>
      <c r="T335" s="1397"/>
      <c r="U335" s="205"/>
      <c r="V335" s="685"/>
      <c r="W335" s="205"/>
      <c r="X335" s="205"/>
      <c r="Y335" s="205"/>
      <c r="Z335" s="205"/>
      <c r="AA335" s="205"/>
      <c r="AB335" s="205"/>
      <c r="AC335" s="205"/>
      <c r="AD335" s="205"/>
      <c r="AE335" s="205"/>
      <c r="AF335" s="205"/>
      <c r="AG335" s="205"/>
      <c r="AH335" s="205"/>
      <c r="AI335" s="205"/>
      <c r="AJ335" s="205"/>
      <c r="AK335" s="205"/>
      <c r="AL335" s="205"/>
      <c r="AM335" s="205"/>
      <c r="AN335" s="205"/>
      <c r="AO335" s="205"/>
      <c r="AP335" s="205"/>
      <c r="AQ335" s="205"/>
      <c r="AR335" s="205"/>
      <c r="AS335" s="205"/>
      <c r="AT335" s="205"/>
      <c r="AU335" s="205"/>
      <c r="AV335" s="205"/>
      <c r="AW335" s="205"/>
      <c r="AX335" s="205"/>
      <c r="AY335" s="205"/>
      <c r="AZ335" s="205"/>
      <c r="BA335" s="205"/>
      <c r="BB335" s="205"/>
      <c r="BC335" s="205"/>
      <c r="BD335" s="205"/>
      <c r="BE335" s="205"/>
      <c r="BF335" s="205"/>
      <c r="BG335" s="205"/>
      <c r="BH335" s="205"/>
      <c r="BI335" s="205"/>
      <c r="BJ335" s="205"/>
      <c r="BK335" s="205"/>
      <c r="BL335" s="205"/>
      <c r="BM335" s="205"/>
      <c r="BN335" s="205"/>
      <c r="BO335" s="205"/>
      <c r="BP335" s="205"/>
      <c r="BQ335" s="205"/>
      <c r="BR335" s="205"/>
      <c r="BS335" s="205"/>
      <c r="BT335" s="205"/>
      <c r="BU335" s="205"/>
      <c r="BV335" s="205"/>
      <c r="BW335" s="205"/>
      <c r="BX335" s="205"/>
      <c r="BY335" s="205"/>
      <c r="BZ335" s="205"/>
      <c r="CA335" s="205"/>
      <c r="CB335" s="205"/>
      <c r="CC335" s="205"/>
      <c r="CD335" s="205"/>
      <c r="CE335" s="205"/>
      <c r="CF335" s="205"/>
      <c r="CG335" s="205"/>
      <c r="CH335" s="205"/>
      <c r="CI335" s="205"/>
      <c r="CJ335" s="205"/>
      <c r="CK335" s="205"/>
      <c r="CL335" s="205"/>
      <c r="CM335" s="205"/>
      <c r="CN335" s="205"/>
      <c r="CO335" s="205"/>
      <c r="CP335" s="205"/>
      <c r="CQ335" s="205"/>
      <c r="CR335" s="205"/>
      <c r="CS335" s="205"/>
      <c r="CT335" s="205"/>
      <c r="CU335" s="205"/>
      <c r="CV335" s="205"/>
      <c r="CW335" s="205"/>
      <c r="CX335" s="205"/>
      <c r="CY335" s="205"/>
      <c r="CZ335" s="205"/>
      <c r="DA335" s="205"/>
      <c r="DB335" s="205"/>
      <c r="DC335" s="205"/>
      <c r="DD335" s="205"/>
      <c r="DE335" s="205"/>
      <c r="DF335" s="205"/>
      <c r="DG335" s="205"/>
      <c r="DH335" s="205"/>
      <c r="DI335" s="205"/>
      <c r="DJ335" s="205"/>
      <c r="DK335" s="205"/>
      <c r="DL335" s="205"/>
      <c r="DM335" s="205"/>
      <c r="DN335" s="205"/>
      <c r="DO335" s="205"/>
      <c r="DP335" s="205"/>
      <c r="DQ335" s="205"/>
      <c r="DR335" s="205"/>
      <c r="DS335" s="205"/>
      <c r="DT335" s="205"/>
      <c r="DU335" s="205"/>
      <c r="DV335" s="205"/>
      <c r="DW335" s="205"/>
      <c r="DX335" s="205"/>
      <c r="DY335" s="205"/>
      <c r="DZ335" s="205"/>
      <c r="EA335" s="205"/>
      <c r="EB335" s="205"/>
      <c r="EC335" s="205"/>
      <c r="ED335" s="205"/>
      <c r="EE335" s="205"/>
      <c r="EF335" s="205"/>
      <c r="EG335" s="205"/>
      <c r="EH335" s="205"/>
      <c r="EI335" s="205"/>
      <c r="EJ335" s="205"/>
      <c r="EK335" s="205"/>
      <c r="EL335" s="205"/>
      <c r="EM335" s="205"/>
      <c r="EN335" s="205"/>
      <c r="EO335" s="205"/>
      <c r="EP335" s="205"/>
      <c r="EQ335" s="205"/>
      <c r="ER335" s="205"/>
      <c r="ES335" s="205"/>
      <c r="ET335" s="205"/>
      <c r="EU335" s="205"/>
      <c r="EV335" s="205"/>
      <c r="EW335" s="205"/>
      <c r="EX335" s="205"/>
      <c r="EY335" s="205"/>
      <c r="EZ335" s="205"/>
      <c r="FA335" s="205"/>
      <c r="FB335" s="205"/>
      <c r="FC335" s="205"/>
      <c r="FD335" s="205"/>
      <c r="FE335" s="205"/>
      <c r="FF335" s="205"/>
      <c r="FG335" s="205"/>
      <c r="FH335" s="205"/>
      <c r="FI335" s="205"/>
      <c r="FJ335" s="205"/>
      <c r="FK335" s="205"/>
      <c r="FL335" s="205"/>
      <c r="FM335" s="205"/>
      <c r="FN335" s="205"/>
      <c r="FO335" s="205"/>
      <c r="FP335" s="205"/>
      <c r="FQ335" s="205"/>
      <c r="FR335" s="205"/>
      <c r="FS335" s="205"/>
      <c r="FT335" s="205"/>
      <c r="FU335" s="205"/>
      <c r="FV335" s="205"/>
      <c r="FW335" s="205"/>
      <c r="FX335" s="205"/>
      <c r="FY335" s="205"/>
      <c r="FZ335" s="205"/>
      <c r="GA335" s="205"/>
      <c r="GB335" s="205"/>
      <c r="GC335" s="205"/>
      <c r="GD335" s="205"/>
      <c r="GE335" s="205"/>
      <c r="GF335" s="205"/>
      <c r="GG335" s="205"/>
      <c r="GH335" s="205"/>
      <c r="GI335" s="205"/>
      <c r="GJ335" s="205"/>
      <c r="GK335" s="205"/>
      <c r="GL335" s="205"/>
      <c r="GM335" s="205"/>
      <c r="GN335" s="205"/>
      <c r="GO335" s="205"/>
      <c r="GP335" s="205"/>
      <c r="GQ335" s="205"/>
      <c r="GR335" s="205"/>
      <c r="GS335" s="205"/>
      <c r="GT335" s="205"/>
      <c r="GU335" s="205"/>
      <c r="GV335" s="205"/>
      <c r="GW335" s="205"/>
      <c r="GX335" s="205"/>
      <c r="GY335" s="205"/>
      <c r="GZ335" s="205"/>
      <c r="HA335" s="205"/>
      <c r="HB335" s="205"/>
      <c r="HC335" s="205"/>
      <c r="HD335" s="205"/>
      <c r="HE335" s="205"/>
      <c r="HF335" s="205"/>
      <c r="HG335" s="205"/>
      <c r="HH335" s="205"/>
      <c r="HI335" s="205"/>
      <c r="HJ335" s="205"/>
      <c r="HK335" s="205"/>
      <c r="HL335" s="205"/>
      <c r="HM335" s="205"/>
      <c r="HN335" s="205"/>
      <c r="HO335" s="205"/>
      <c r="HP335" s="205"/>
      <c r="HQ335" s="205"/>
      <c r="HR335" s="205"/>
      <c r="HS335" s="205"/>
      <c r="HT335" s="205"/>
      <c r="HU335" s="205"/>
      <c r="HV335" s="205"/>
      <c r="HW335" s="205"/>
      <c r="HX335" s="205"/>
      <c r="HY335" s="205"/>
      <c r="HZ335" s="205"/>
      <c r="IA335" s="205"/>
      <c r="IB335" s="205"/>
      <c r="IC335" s="205"/>
      <c r="ID335" s="205"/>
      <c r="IE335" s="205"/>
      <c r="IF335" s="205"/>
      <c r="IG335" s="205"/>
      <c r="IH335" s="205"/>
      <c r="II335" s="205"/>
      <c r="IJ335" s="205"/>
      <c r="IK335" s="205"/>
      <c r="IL335" s="205"/>
      <c r="IM335" s="205"/>
      <c r="IN335" s="205"/>
      <c r="IO335" s="205"/>
      <c r="IP335" s="205"/>
      <c r="IQ335" s="205"/>
      <c r="IR335" s="205"/>
      <c r="IS335" s="205"/>
      <c r="IT335" s="205"/>
      <c r="IU335" s="205"/>
      <c r="IV335" s="205"/>
      <c r="IW335" s="205"/>
      <c r="IX335" s="205"/>
    </row>
    <row r="336" spans="1:258" s="203" customFormat="1" x14ac:dyDescent="0.2">
      <c r="A336" s="669"/>
      <c r="B336" s="670"/>
      <c r="C336" s="1390"/>
      <c r="D336" s="672"/>
      <c r="E336" s="1391"/>
      <c r="F336" s="1391"/>
      <c r="G336" s="1392"/>
      <c r="H336" s="1393"/>
      <c r="I336" s="1394"/>
      <c r="J336" s="1394"/>
      <c r="K336" s="1394"/>
      <c r="L336" s="1394"/>
      <c r="M336" s="1394"/>
      <c r="N336" s="1394"/>
      <c r="O336" s="1394"/>
      <c r="P336" s="1394"/>
      <c r="Q336" s="1394"/>
      <c r="R336" s="1395">
        <f>SUM(R335)</f>
        <v>17.500000000000004</v>
      </c>
      <c r="S336" s="1396">
        <f>R336</f>
        <v>17.500000000000004</v>
      </c>
      <c r="T336" s="1397" t="s">
        <v>247</v>
      </c>
      <c r="U336" s="205"/>
      <c r="V336" s="685"/>
      <c r="W336" s="205"/>
      <c r="X336" s="205"/>
      <c r="Y336" s="205"/>
      <c r="Z336" s="205"/>
      <c r="AA336" s="205"/>
      <c r="AB336" s="205"/>
      <c r="AC336" s="205"/>
      <c r="AD336" s="205"/>
      <c r="AE336" s="205"/>
      <c r="AF336" s="205"/>
      <c r="AG336" s="205"/>
      <c r="AH336" s="205"/>
      <c r="AI336" s="205"/>
      <c r="AJ336" s="205"/>
      <c r="AK336" s="205"/>
      <c r="AL336" s="205"/>
      <c r="AM336" s="205"/>
      <c r="AN336" s="205"/>
      <c r="AO336" s="205"/>
      <c r="AP336" s="205"/>
      <c r="AQ336" s="205"/>
      <c r="AR336" s="205"/>
      <c r="AS336" s="205"/>
      <c r="AT336" s="205"/>
      <c r="AU336" s="205"/>
      <c r="AV336" s="205"/>
      <c r="AW336" s="205"/>
      <c r="AX336" s="205"/>
      <c r="AY336" s="205"/>
      <c r="AZ336" s="205"/>
      <c r="BA336" s="205"/>
      <c r="BB336" s="205"/>
      <c r="BC336" s="205"/>
      <c r="BD336" s="205"/>
      <c r="BE336" s="205"/>
      <c r="BF336" s="205"/>
      <c r="BG336" s="205"/>
      <c r="BH336" s="205"/>
      <c r="BI336" s="205"/>
      <c r="BJ336" s="205"/>
      <c r="BK336" s="205"/>
      <c r="BL336" s="205"/>
      <c r="BM336" s="205"/>
      <c r="BN336" s="205"/>
      <c r="BO336" s="205"/>
      <c r="BP336" s="205"/>
      <c r="BQ336" s="205"/>
      <c r="BR336" s="205"/>
      <c r="BS336" s="205"/>
      <c r="BT336" s="205"/>
      <c r="BU336" s="205"/>
      <c r="BV336" s="205"/>
      <c r="BW336" s="205"/>
      <c r="BX336" s="205"/>
      <c r="BY336" s="205"/>
      <c r="BZ336" s="205"/>
      <c r="CA336" s="205"/>
      <c r="CB336" s="205"/>
      <c r="CC336" s="205"/>
      <c r="CD336" s="205"/>
      <c r="CE336" s="205"/>
      <c r="CF336" s="205"/>
      <c r="CG336" s="205"/>
      <c r="CH336" s="205"/>
      <c r="CI336" s="205"/>
      <c r="CJ336" s="205"/>
      <c r="CK336" s="205"/>
      <c r="CL336" s="205"/>
      <c r="CM336" s="205"/>
      <c r="CN336" s="205"/>
      <c r="CO336" s="205"/>
      <c r="CP336" s="205"/>
      <c r="CQ336" s="205"/>
      <c r="CR336" s="205"/>
      <c r="CS336" s="205"/>
      <c r="CT336" s="205"/>
      <c r="CU336" s="205"/>
      <c r="CV336" s="205"/>
      <c r="CW336" s="205"/>
      <c r="CX336" s="205"/>
      <c r="CY336" s="205"/>
      <c r="CZ336" s="205"/>
      <c r="DA336" s="205"/>
      <c r="DB336" s="205"/>
      <c r="DC336" s="205"/>
      <c r="DD336" s="205"/>
      <c r="DE336" s="205"/>
      <c r="DF336" s="205"/>
      <c r="DG336" s="205"/>
      <c r="DH336" s="205"/>
      <c r="DI336" s="205"/>
      <c r="DJ336" s="205"/>
      <c r="DK336" s="205"/>
      <c r="DL336" s="205"/>
      <c r="DM336" s="205"/>
      <c r="DN336" s="205"/>
      <c r="DO336" s="205"/>
      <c r="DP336" s="205"/>
      <c r="DQ336" s="205"/>
      <c r="DR336" s="205"/>
      <c r="DS336" s="205"/>
      <c r="DT336" s="205"/>
      <c r="DU336" s="205"/>
      <c r="DV336" s="205"/>
      <c r="DW336" s="205"/>
      <c r="DX336" s="205"/>
      <c r="DY336" s="205"/>
      <c r="DZ336" s="205"/>
      <c r="EA336" s="205"/>
      <c r="EB336" s="205"/>
      <c r="EC336" s="205"/>
      <c r="ED336" s="205"/>
      <c r="EE336" s="205"/>
      <c r="EF336" s="205"/>
      <c r="EG336" s="205"/>
      <c r="EH336" s="205"/>
      <c r="EI336" s="205"/>
      <c r="EJ336" s="205"/>
      <c r="EK336" s="205"/>
      <c r="EL336" s="205"/>
      <c r="EM336" s="205"/>
      <c r="EN336" s="205"/>
      <c r="EO336" s="205"/>
      <c r="EP336" s="205"/>
      <c r="EQ336" s="205"/>
      <c r="ER336" s="205"/>
      <c r="ES336" s="205"/>
      <c r="ET336" s="205"/>
      <c r="EU336" s="205"/>
      <c r="EV336" s="205"/>
      <c r="EW336" s="205"/>
      <c r="EX336" s="205"/>
      <c r="EY336" s="205"/>
      <c r="EZ336" s="205"/>
      <c r="FA336" s="205"/>
      <c r="FB336" s="205"/>
      <c r="FC336" s="205"/>
      <c r="FD336" s="205"/>
      <c r="FE336" s="205"/>
      <c r="FF336" s="205"/>
      <c r="FG336" s="205"/>
      <c r="FH336" s="205"/>
      <c r="FI336" s="205"/>
      <c r="FJ336" s="205"/>
      <c r="FK336" s="205"/>
      <c r="FL336" s="205"/>
      <c r="FM336" s="205"/>
      <c r="FN336" s="205"/>
      <c r="FO336" s="205"/>
      <c r="FP336" s="205"/>
      <c r="FQ336" s="205"/>
      <c r="FR336" s="205"/>
      <c r="FS336" s="205"/>
      <c r="FT336" s="205"/>
      <c r="FU336" s="205"/>
      <c r="FV336" s="205"/>
      <c r="FW336" s="205"/>
      <c r="FX336" s="205"/>
      <c r="FY336" s="205"/>
      <c r="FZ336" s="205"/>
      <c r="GA336" s="205"/>
      <c r="GB336" s="205"/>
      <c r="GC336" s="205"/>
      <c r="GD336" s="205"/>
      <c r="GE336" s="205"/>
      <c r="GF336" s="205"/>
      <c r="GG336" s="205"/>
      <c r="GH336" s="205"/>
      <c r="GI336" s="205"/>
      <c r="GJ336" s="205"/>
      <c r="GK336" s="205"/>
      <c r="GL336" s="205"/>
      <c r="GM336" s="205"/>
      <c r="GN336" s="205"/>
      <c r="GO336" s="205"/>
      <c r="GP336" s="205"/>
      <c r="GQ336" s="205"/>
      <c r="GR336" s="205"/>
      <c r="GS336" s="205"/>
      <c r="GT336" s="205"/>
      <c r="GU336" s="205"/>
      <c r="GV336" s="205"/>
      <c r="GW336" s="205"/>
      <c r="GX336" s="205"/>
      <c r="GY336" s="205"/>
      <c r="GZ336" s="205"/>
      <c r="HA336" s="205"/>
      <c r="HB336" s="205"/>
      <c r="HC336" s="205"/>
      <c r="HD336" s="205"/>
      <c r="HE336" s="205"/>
      <c r="HF336" s="205"/>
      <c r="HG336" s="205"/>
      <c r="HH336" s="205"/>
      <c r="HI336" s="205"/>
      <c r="HJ336" s="205"/>
      <c r="HK336" s="205"/>
      <c r="HL336" s="205"/>
      <c r="HM336" s="205"/>
      <c r="HN336" s="205"/>
      <c r="HO336" s="205"/>
      <c r="HP336" s="205"/>
      <c r="HQ336" s="205"/>
      <c r="HR336" s="205"/>
      <c r="HS336" s="205"/>
      <c r="HT336" s="205"/>
      <c r="HU336" s="205"/>
      <c r="HV336" s="205"/>
      <c r="HW336" s="205"/>
      <c r="HX336" s="205"/>
      <c r="HY336" s="205"/>
      <c r="HZ336" s="205"/>
      <c r="IA336" s="205"/>
      <c r="IB336" s="205"/>
      <c r="IC336" s="205"/>
      <c r="ID336" s="205"/>
      <c r="IE336" s="205"/>
      <c r="IF336" s="205"/>
      <c r="IG336" s="205"/>
      <c r="IH336" s="205"/>
      <c r="II336" s="205"/>
      <c r="IJ336" s="205"/>
      <c r="IK336" s="205"/>
      <c r="IL336" s="205"/>
      <c r="IM336" s="205"/>
      <c r="IN336" s="205"/>
      <c r="IO336" s="205"/>
      <c r="IP336" s="205"/>
      <c r="IQ336" s="205"/>
      <c r="IR336" s="205"/>
      <c r="IS336" s="205"/>
      <c r="IT336" s="205"/>
      <c r="IU336" s="205"/>
      <c r="IV336" s="205"/>
      <c r="IW336" s="205"/>
      <c r="IX336" s="205"/>
    </row>
    <row r="337" spans="1:258" s="203" customFormat="1" x14ac:dyDescent="0.2">
      <c r="A337" s="669"/>
      <c r="B337" s="670"/>
      <c r="C337" s="1390"/>
      <c r="D337" s="672"/>
      <c r="E337" s="1391"/>
      <c r="F337" s="1391"/>
      <c r="G337" s="1392"/>
      <c r="H337" s="1393"/>
      <c r="I337" s="1394"/>
      <c r="J337" s="1394"/>
      <c r="K337" s="1394"/>
      <c r="L337" s="1394"/>
      <c r="M337" s="1394"/>
      <c r="N337" s="1394"/>
      <c r="O337" s="1394"/>
      <c r="P337" s="1394"/>
      <c r="Q337" s="1394"/>
      <c r="R337" s="1395"/>
      <c r="S337" s="1396"/>
      <c r="T337" s="1397"/>
      <c r="U337" s="205"/>
      <c r="V337" s="685"/>
      <c r="W337" s="205"/>
      <c r="X337" s="205"/>
      <c r="Y337" s="205"/>
      <c r="Z337" s="205"/>
      <c r="AA337" s="205"/>
      <c r="AB337" s="205"/>
      <c r="AC337" s="205"/>
      <c r="AD337" s="205"/>
      <c r="AE337" s="205"/>
      <c r="AF337" s="205"/>
      <c r="AG337" s="205"/>
      <c r="AH337" s="205"/>
      <c r="AI337" s="205"/>
      <c r="AJ337" s="205"/>
      <c r="AK337" s="205"/>
      <c r="AL337" s="205"/>
      <c r="AM337" s="205"/>
      <c r="AN337" s="205"/>
      <c r="AO337" s="205"/>
      <c r="AP337" s="205"/>
      <c r="AQ337" s="205"/>
      <c r="AR337" s="205"/>
      <c r="AS337" s="205"/>
      <c r="AT337" s="205"/>
      <c r="AU337" s="205"/>
      <c r="AV337" s="205"/>
      <c r="AW337" s="205"/>
      <c r="AX337" s="205"/>
      <c r="AY337" s="205"/>
      <c r="AZ337" s="205"/>
      <c r="BA337" s="205"/>
      <c r="BB337" s="205"/>
      <c r="BC337" s="205"/>
      <c r="BD337" s="205"/>
      <c r="BE337" s="205"/>
      <c r="BF337" s="205"/>
      <c r="BG337" s="205"/>
      <c r="BH337" s="205"/>
      <c r="BI337" s="205"/>
      <c r="BJ337" s="205"/>
      <c r="BK337" s="205"/>
      <c r="BL337" s="205"/>
      <c r="BM337" s="205"/>
      <c r="BN337" s="205"/>
      <c r="BO337" s="205"/>
      <c r="BP337" s="205"/>
      <c r="BQ337" s="205"/>
      <c r="BR337" s="205"/>
      <c r="BS337" s="205"/>
      <c r="BT337" s="205"/>
      <c r="BU337" s="205"/>
      <c r="BV337" s="205"/>
      <c r="BW337" s="205"/>
      <c r="BX337" s="205"/>
      <c r="BY337" s="205"/>
      <c r="BZ337" s="205"/>
      <c r="CA337" s="205"/>
      <c r="CB337" s="205"/>
      <c r="CC337" s="205"/>
      <c r="CD337" s="205"/>
      <c r="CE337" s="205"/>
      <c r="CF337" s="205"/>
      <c r="CG337" s="205"/>
      <c r="CH337" s="205"/>
      <c r="CI337" s="205"/>
      <c r="CJ337" s="205"/>
      <c r="CK337" s="205"/>
      <c r="CL337" s="205"/>
      <c r="CM337" s="205"/>
      <c r="CN337" s="205"/>
      <c r="CO337" s="205"/>
      <c r="CP337" s="205"/>
      <c r="CQ337" s="205"/>
      <c r="CR337" s="205"/>
      <c r="CS337" s="205"/>
      <c r="CT337" s="205"/>
      <c r="CU337" s="205"/>
      <c r="CV337" s="205"/>
      <c r="CW337" s="205"/>
      <c r="CX337" s="205"/>
      <c r="CY337" s="205"/>
      <c r="CZ337" s="205"/>
      <c r="DA337" s="205"/>
      <c r="DB337" s="205"/>
      <c r="DC337" s="205"/>
      <c r="DD337" s="205"/>
      <c r="DE337" s="205"/>
      <c r="DF337" s="205"/>
      <c r="DG337" s="205"/>
      <c r="DH337" s="205"/>
      <c r="DI337" s="205"/>
      <c r="DJ337" s="205"/>
      <c r="DK337" s="205"/>
      <c r="DL337" s="205"/>
      <c r="DM337" s="205"/>
      <c r="DN337" s="205"/>
      <c r="DO337" s="205"/>
      <c r="DP337" s="205"/>
      <c r="DQ337" s="205"/>
      <c r="DR337" s="205"/>
      <c r="DS337" s="205"/>
      <c r="DT337" s="205"/>
      <c r="DU337" s="205"/>
      <c r="DV337" s="205"/>
      <c r="DW337" s="205"/>
      <c r="DX337" s="205"/>
      <c r="DY337" s="205"/>
      <c r="DZ337" s="205"/>
      <c r="EA337" s="205"/>
      <c r="EB337" s="205"/>
      <c r="EC337" s="205"/>
      <c r="ED337" s="205"/>
      <c r="EE337" s="205"/>
      <c r="EF337" s="205"/>
      <c r="EG337" s="205"/>
      <c r="EH337" s="205"/>
      <c r="EI337" s="205"/>
      <c r="EJ337" s="205"/>
      <c r="EK337" s="205"/>
      <c r="EL337" s="205"/>
      <c r="EM337" s="205"/>
      <c r="EN337" s="205"/>
      <c r="EO337" s="205"/>
      <c r="EP337" s="205"/>
      <c r="EQ337" s="205"/>
      <c r="ER337" s="205"/>
      <c r="ES337" s="205"/>
      <c r="ET337" s="205"/>
      <c r="EU337" s="205"/>
      <c r="EV337" s="205"/>
      <c r="EW337" s="205"/>
      <c r="EX337" s="205"/>
      <c r="EY337" s="205"/>
      <c r="EZ337" s="205"/>
      <c r="FA337" s="205"/>
      <c r="FB337" s="205"/>
      <c r="FC337" s="205"/>
      <c r="FD337" s="205"/>
      <c r="FE337" s="205"/>
      <c r="FF337" s="205"/>
      <c r="FG337" s="205"/>
      <c r="FH337" s="205"/>
      <c r="FI337" s="205"/>
      <c r="FJ337" s="205"/>
      <c r="FK337" s="205"/>
      <c r="FL337" s="205"/>
      <c r="FM337" s="205"/>
      <c r="FN337" s="205"/>
      <c r="FO337" s="205"/>
      <c r="FP337" s="205"/>
      <c r="FQ337" s="205"/>
      <c r="FR337" s="205"/>
      <c r="FS337" s="205"/>
      <c r="FT337" s="205"/>
      <c r="FU337" s="205"/>
      <c r="FV337" s="205"/>
      <c r="FW337" s="205"/>
      <c r="FX337" s="205"/>
      <c r="FY337" s="205"/>
      <c r="FZ337" s="205"/>
      <c r="GA337" s="205"/>
      <c r="GB337" s="205"/>
      <c r="GC337" s="205"/>
      <c r="GD337" s="205"/>
      <c r="GE337" s="205"/>
      <c r="GF337" s="205"/>
      <c r="GG337" s="205"/>
      <c r="GH337" s="205"/>
      <c r="GI337" s="205"/>
      <c r="GJ337" s="205"/>
      <c r="GK337" s="205"/>
      <c r="GL337" s="205"/>
      <c r="GM337" s="205"/>
      <c r="GN337" s="205"/>
      <c r="GO337" s="205"/>
      <c r="GP337" s="205"/>
      <c r="GQ337" s="205"/>
      <c r="GR337" s="205"/>
      <c r="GS337" s="205"/>
      <c r="GT337" s="205"/>
      <c r="GU337" s="205"/>
      <c r="GV337" s="205"/>
      <c r="GW337" s="205"/>
      <c r="GX337" s="205"/>
      <c r="GY337" s="205"/>
      <c r="GZ337" s="205"/>
      <c r="HA337" s="205"/>
      <c r="HB337" s="205"/>
      <c r="HC337" s="205"/>
      <c r="HD337" s="205"/>
      <c r="HE337" s="205"/>
      <c r="HF337" s="205"/>
      <c r="HG337" s="205"/>
      <c r="HH337" s="205"/>
      <c r="HI337" s="205"/>
      <c r="HJ337" s="205"/>
      <c r="HK337" s="205"/>
      <c r="HL337" s="205"/>
      <c r="HM337" s="205"/>
      <c r="HN337" s="205"/>
      <c r="HO337" s="205"/>
      <c r="HP337" s="205"/>
      <c r="HQ337" s="205"/>
      <c r="HR337" s="205"/>
      <c r="HS337" s="205"/>
      <c r="HT337" s="205"/>
      <c r="HU337" s="205"/>
      <c r="HV337" s="205"/>
      <c r="HW337" s="205"/>
      <c r="HX337" s="205"/>
      <c r="HY337" s="205"/>
      <c r="HZ337" s="205"/>
      <c r="IA337" s="205"/>
      <c r="IB337" s="205"/>
      <c r="IC337" s="205"/>
      <c r="ID337" s="205"/>
      <c r="IE337" s="205"/>
      <c r="IF337" s="205"/>
      <c r="IG337" s="205"/>
      <c r="IH337" s="205"/>
      <c r="II337" s="205"/>
      <c r="IJ337" s="205"/>
      <c r="IK337" s="205"/>
      <c r="IL337" s="205"/>
      <c r="IM337" s="205"/>
      <c r="IN337" s="205"/>
      <c r="IO337" s="205"/>
      <c r="IP337" s="205"/>
      <c r="IQ337" s="205"/>
      <c r="IR337" s="205"/>
      <c r="IS337" s="205"/>
      <c r="IT337" s="205"/>
      <c r="IU337" s="205"/>
      <c r="IV337" s="205"/>
      <c r="IW337" s="205"/>
      <c r="IX337" s="205"/>
    </row>
    <row r="338" spans="1:258" s="203" customFormat="1" x14ac:dyDescent="0.2">
      <c r="A338" s="669"/>
      <c r="B338" s="670">
        <f>RAB!B108</f>
        <v>5</v>
      </c>
      <c r="C338" s="686" t="str">
        <f>RAB!D108</f>
        <v>Memasang plint lantai Homogenius tile uk. (10 x 60) cm</v>
      </c>
      <c r="D338" s="672"/>
      <c r="E338" s="673"/>
      <c r="F338" s="673"/>
      <c r="G338" s="674"/>
      <c r="H338" s="675"/>
      <c r="I338" s="676"/>
      <c r="J338" s="676"/>
      <c r="K338" s="676"/>
      <c r="L338" s="676"/>
      <c r="M338" s="676"/>
      <c r="N338" s="676"/>
      <c r="O338" s="676"/>
      <c r="P338" s="676"/>
      <c r="Q338" s="676"/>
      <c r="R338" s="677"/>
      <c r="S338" s="678"/>
      <c r="T338" s="684"/>
      <c r="U338" s="205"/>
      <c r="V338" s="685"/>
      <c r="W338" s="205"/>
      <c r="X338" s="205"/>
      <c r="Y338" s="205"/>
      <c r="Z338" s="205"/>
      <c r="AA338" s="205"/>
      <c r="AB338" s="205"/>
      <c r="AC338" s="205"/>
      <c r="AD338" s="205"/>
      <c r="AE338" s="205"/>
      <c r="AF338" s="205"/>
      <c r="AG338" s="205"/>
      <c r="AH338" s="205"/>
      <c r="AI338" s="205"/>
      <c r="AJ338" s="205"/>
      <c r="AK338" s="205"/>
      <c r="AL338" s="205"/>
      <c r="AM338" s="205"/>
      <c r="AN338" s="205"/>
      <c r="AO338" s="205"/>
      <c r="AP338" s="205"/>
      <c r="AQ338" s="205"/>
      <c r="AR338" s="205"/>
      <c r="AS338" s="205"/>
      <c r="AT338" s="205"/>
      <c r="AU338" s="205"/>
      <c r="AV338" s="205"/>
      <c r="AW338" s="205"/>
      <c r="AX338" s="205"/>
      <c r="AY338" s="205"/>
      <c r="AZ338" s="205"/>
      <c r="BA338" s="205"/>
      <c r="BB338" s="205"/>
      <c r="BC338" s="205"/>
      <c r="BD338" s="205"/>
      <c r="BE338" s="205"/>
      <c r="BF338" s="205"/>
      <c r="BG338" s="205"/>
      <c r="BH338" s="205"/>
      <c r="BI338" s="205"/>
      <c r="BJ338" s="205"/>
      <c r="BK338" s="205"/>
      <c r="BL338" s="205"/>
      <c r="BM338" s="205"/>
      <c r="BN338" s="205"/>
      <c r="BO338" s="205"/>
      <c r="BP338" s="205"/>
      <c r="BQ338" s="205"/>
      <c r="BR338" s="205"/>
      <c r="BS338" s="205"/>
      <c r="BT338" s="205"/>
      <c r="BU338" s="205"/>
      <c r="BV338" s="205"/>
      <c r="BW338" s="205"/>
      <c r="BX338" s="205"/>
      <c r="BY338" s="205"/>
      <c r="BZ338" s="205"/>
      <c r="CA338" s="205"/>
      <c r="CB338" s="205"/>
      <c r="CC338" s="205"/>
      <c r="CD338" s="205"/>
      <c r="CE338" s="205"/>
      <c r="CF338" s="205"/>
      <c r="CG338" s="205"/>
      <c r="CH338" s="205"/>
      <c r="CI338" s="205"/>
      <c r="CJ338" s="205"/>
      <c r="CK338" s="205"/>
      <c r="CL338" s="205"/>
      <c r="CM338" s="205"/>
      <c r="CN338" s="205"/>
      <c r="CO338" s="205"/>
      <c r="CP338" s="205"/>
      <c r="CQ338" s="205"/>
      <c r="CR338" s="205"/>
      <c r="CS338" s="205"/>
      <c r="CT338" s="205"/>
      <c r="CU338" s="205"/>
      <c r="CV338" s="205"/>
      <c r="CW338" s="205"/>
      <c r="CX338" s="205"/>
      <c r="CY338" s="205"/>
      <c r="CZ338" s="205"/>
      <c r="DA338" s="205"/>
      <c r="DB338" s="205"/>
      <c r="DC338" s="205"/>
      <c r="DD338" s="205"/>
      <c r="DE338" s="205"/>
      <c r="DF338" s="205"/>
      <c r="DG338" s="205"/>
      <c r="DH338" s="205"/>
      <c r="DI338" s="205"/>
      <c r="DJ338" s="205"/>
      <c r="DK338" s="205"/>
      <c r="DL338" s="205"/>
      <c r="DM338" s="205"/>
      <c r="DN338" s="205"/>
      <c r="DO338" s="205"/>
      <c r="DP338" s="205"/>
      <c r="DQ338" s="205"/>
      <c r="DR338" s="205"/>
      <c r="DS338" s="205"/>
      <c r="DT338" s="205"/>
      <c r="DU338" s="205"/>
      <c r="DV338" s="205"/>
      <c r="DW338" s="205"/>
      <c r="DX338" s="205"/>
      <c r="DY338" s="205"/>
      <c r="DZ338" s="205"/>
      <c r="EA338" s="205"/>
      <c r="EB338" s="205"/>
      <c r="EC338" s="205"/>
      <c r="ED338" s="205"/>
      <c r="EE338" s="205"/>
      <c r="EF338" s="205"/>
      <c r="EG338" s="205"/>
      <c r="EH338" s="205"/>
      <c r="EI338" s="205"/>
      <c r="EJ338" s="205"/>
      <c r="EK338" s="205"/>
      <c r="EL338" s="205"/>
      <c r="EM338" s="205"/>
      <c r="EN338" s="205"/>
      <c r="EO338" s="205"/>
      <c r="EP338" s="205"/>
      <c r="EQ338" s="205"/>
      <c r="ER338" s="205"/>
      <c r="ES338" s="205"/>
      <c r="ET338" s="205"/>
      <c r="EU338" s="205"/>
      <c r="EV338" s="205"/>
      <c r="EW338" s="205"/>
      <c r="EX338" s="205"/>
      <c r="EY338" s="205"/>
      <c r="EZ338" s="205"/>
      <c r="FA338" s="205"/>
      <c r="FB338" s="205"/>
      <c r="FC338" s="205"/>
      <c r="FD338" s="205"/>
      <c r="FE338" s="205"/>
      <c r="FF338" s="205"/>
      <c r="FG338" s="205"/>
      <c r="FH338" s="205"/>
      <c r="FI338" s="205"/>
      <c r="FJ338" s="205"/>
      <c r="FK338" s="205"/>
      <c r="FL338" s="205"/>
      <c r="FM338" s="205"/>
      <c r="FN338" s="205"/>
      <c r="FO338" s="205"/>
      <c r="FP338" s="205"/>
      <c r="FQ338" s="205"/>
      <c r="FR338" s="205"/>
      <c r="FS338" s="205"/>
      <c r="FT338" s="205"/>
      <c r="FU338" s="205"/>
      <c r="FV338" s="205"/>
      <c r="FW338" s="205"/>
      <c r="FX338" s="205"/>
      <c r="FY338" s="205"/>
      <c r="FZ338" s="205"/>
      <c r="GA338" s="205"/>
      <c r="GB338" s="205"/>
      <c r="GC338" s="205"/>
      <c r="GD338" s="205"/>
      <c r="GE338" s="205"/>
      <c r="GF338" s="205"/>
      <c r="GG338" s="205"/>
      <c r="GH338" s="205"/>
      <c r="GI338" s="205"/>
      <c r="GJ338" s="205"/>
      <c r="GK338" s="205"/>
      <c r="GL338" s="205"/>
      <c r="GM338" s="205"/>
      <c r="GN338" s="205"/>
      <c r="GO338" s="205"/>
      <c r="GP338" s="205"/>
      <c r="GQ338" s="205"/>
      <c r="GR338" s="205"/>
      <c r="GS338" s="205"/>
      <c r="GT338" s="205"/>
      <c r="GU338" s="205"/>
      <c r="GV338" s="205"/>
      <c r="GW338" s="205"/>
      <c r="GX338" s="205"/>
      <c r="GY338" s="205"/>
      <c r="GZ338" s="205"/>
      <c r="HA338" s="205"/>
      <c r="HB338" s="205"/>
      <c r="HC338" s="205"/>
      <c r="HD338" s="205"/>
      <c r="HE338" s="205"/>
      <c r="HF338" s="205"/>
      <c r="HG338" s="205"/>
      <c r="HH338" s="205"/>
      <c r="HI338" s="205"/>
      <c r="HJ338" s="205"/>
      <c r="HK338" s="205"/>
      <c r="HL338" s="205"/>
      <c r="HM338" s="205"/>
      <c r="HN338" s="205"/>
      <c r="HO338" s="205"/>
      <c r="HP338" s="205"/>
      <c r="HQ338" s="205"/>
      <c r="HR338" s="205"/>
      <c r="HS338" s="205"/>
      <c r="HT338" s="205"/>
      <c r="HU338" s="205"/>
      <c r="HV338" s="205"/>
      <c r="HW338" s="205"/>
      <c r="HX338" s="205"/>
      <c r="HY338" s="205"/>
      <c r="HZ338" s="205"/>
      <c r="IA338" s="205"/>
      <c r="IB338" s="205"/>
      <c r="IC338" s="205"/>
      <c r="ID338" s="205"/>
      <c r="IE338" s="205"/>
      <c r="IF338" s="205"/>
      <c r="IG338" s="205"/>
      <c r="IH338" s="205"/>
      <c r="II338" s="205"/>
      <c r="IJ338" s="205"/>
      <c r="IK338" s="205"/>
      <c r="IL338" s="205"/>
      <c r="IM338" s="205"/>
      <c r="IN338" s="205"/>
      <c r="IO338" s="205"/>
      <c r="IP338" s="205"/>
      <c r="IQ338" s="205"/>
      <c r="IR338" s="205"/>
      <c r="IS338" s="205"/>
      <c r="IT338" s="205"/>
      <c r="IU338" s="205"/>
      <c r="IV338" s="205"/>
      <c r="IW338" s="205"/>
      <c r="IX338" s="205"/>
    </row>
    <row r="339" spans="1:258" s="203" customFormat="1" x14ac:dyDescent="0.2">
      <c r="A339" s="669"/>
      <c r="B339" s="670"/>
      <c r="C339" s="1390"/>
      <c r="D339" s="672"/>
      <c r="E339" s="1391"/>
      <c r="F339" s="1391"/>
      <c r="G339" s="1392"/>
      <c r="H339" s="1393"/>
      <c r="I339" s="1394"/>
      <c r="J339" s="1394"/>
      <c r="K339" s="1394"/>
      <c r="L339" s="1394"/>
      <c r="M339" s="1394"/>
      <c r="N339" s="1394"/>
      <c r="O339" s="1394"/>
      <c r="P339" s="1394"/>
      <c r="Q339" s="1394"/>
      <c r="R339" s="1395"/>
      <c r="S339" s="1396"/>
      <c r="T339" s="1397"/>
      <c r="U339" s="205"/>
      <c r="V339" s="685"/>
      <c r="W339" s="205"/>
      <c r="X339" s="205"/>
      <c r="Y339" s="205"/>
      <c r="Z339" s="205"/>
      <c r="AA339" s="205"/>
      <c r="AB339" s="205"/>
      <c r="AC339" s="205"/>
      <c r="AD339" s="205"/>
      <c r="AE339" s="205"/>
      <c r="AF339" s="205"/>
      <c r="AG339" s="205"/>
      <c r="AH339" s="205"/>
      <c r="AI339" s="205"/>
      <c r="AJ339" s="205"/>
      <c r="AK339" s="205"/>
      <c r="AL339" s="205"/>
      <c r="AM339" s="205"/>
      <c r="AN339" s="205"/>
      <c r="AO339" s="205"/>
      <c r="AP339" s="205"/>
      <c r="AQ339" s="205"/>
      <c r="AR339" s="205"/>
      <c r="AS339" s="205"/>
      <c r="AT339" s="205"/>
      <c r="AU339" s="205"/>
      <c r="AV339" s="205"/>
      <c r="AW339" s="205"/>
      <c r="AX339" s="205"/>
      <c r="AY339" s="205"/>
      <c r="AZ339" s="205"/>
      <c r="BA339" s="205"/>
      <c r="BB339" s="205"/>
      <c r="BC339" s="205"/>
      <c r="BD339" s="205"/>
      <c r="BE339" s="205"/>
      <c r="BF339" s="205"/>
      <c r="BG339" s="205"/>
      <c r="BH339" s="205"/>
      <c r="BI339" s="205"/>
      <c r="BJ339" s="205"/>
      <c r="BK339" s="205"/>
      <c r="BL339" s="205"/>
      <c r="BM339" s="205"/>
      <c r="BN339" s="205"/>
      <c r="BO339" s="205"/>
      <c r="BP339" s="205"/>
      <c r="BQ339" s="205"/>
      <c r="BR339" s="205"/>
      <c r="BS339" s="205"/>
      <c r="BT339" s="205"/>
      <c r="BU339" s="205"/>
      <c r="BV339" s="205"/>
      <c r="BW339" s="205"/>
      <c r="BX339" s="205"/>
      <c r="BY339" s="205"/>
      <c r="BZ339" s="205"/>
      <c r="CA339" s="205"/>
      <c r="CB339" s="205"/>
      <c r="CC339" s="205"/>
      <c r="CD339" s="205"/>
      <c r="CE339" s="205"/>
      <c r="CF339" s="205"/>
      <c r="CG339" s="205"/>
      <c r="CH339" s="205"/>
      <c r="CI339" s="205"/>
      <c r="CJ339" s="205"/>
      <c r="CK339" s="205"/>
      <c r="CL339" s="205"/>
      <c r="CM339" s="205"/>
      <c r="CN339" s="205"/>
      <c r="CO339" s="205"/>
      <c r="CP339" s="205"/>
      <c r="CQ339" s="205"/>
      <c r="CR339" s="205"/>
      <c r="CS339" s="205"/>
      <c r="CT339" s="205"/>
      <c r="CU339" s="205"/>
      <c r="CV339" s="205"/>
      <c r="CW339" s="205"/>
      <c r="CX339" s="205"/>
      <c r="CY339" s="205"/>
      <c r="CZ339" s="205"/>
      <c r="DA339" s="205"/>
      <c r="DB339" s="205"/>
      <c r="DC339" s="205"/>
      <c r="DD339" s="205"/>
      <c r="DE339" s="205"/>
      <c r="DF339" s="205"/>
      <c r="DG339" s="205"/>
      <c r="DH339" s="205"/>
      <c r="DI339" s="205"/>
      <c r="DJ339" s="205"/>
      <c r="DK339" s="205"/>
      <c r="DL339" s="205"/>
      <c r="DM339" s="205"/>
      <c r="DN339" s="205"/>
      <c r="DO339" s="205"/>
      <c r="DP339" s="205"/>
      <c r="DQ339" s="205"/>
      <c r="DR339" s="205"/>
      <c r="DS339" s="205"/>
      <c r="DT339" s="205"/>
      <c r="DU339" s="205"/>
      <c r="DV339" s="205"/>
      <c r="DW339" s="205"/>
      <c r="DX339" s="205"/>
      <c r="DY339" s="205"/>
      <c r="DZ339" s="205"/>
      <c r="EA339" s="205"/>
      <c r="EB339" s="205"/>
      <c r="EC339" s="205"/>
      <c r="ED339" s="205"/>
      <c r="EE339" s="205"/>
      <c r="EF339" s="205"/>
      <c r="EG339" s="205"/>
      <c r="EH339" s="205"/>
      <c r="EI339" s="205"/>
      <c r="EJ339" s="205"/>
      <c r="EK339" s="205"/>
      <c r="EL339" s="205"/>
      <c r="EM339" s="205"/>
      <c r="EN339" s="205"/>
      <c r="EO339" s="205"/>
      <c r="EP339" s="205"/>
      <c r="EQ339" s="205"/>
      <c r="ER339" s="205"/>
      <c r="ES339" s="205"/>
      <c r="ET339" s="205"/>
      <c r="EU339" s="205"/>
      <c r="EV339" s="205"/>
      <c r="EW339" s="205"/>
      <c r="EX339" s="205"/>
      <c r="EY339" s="205"/>
      <c r="EZ339" s="205"/>
      <c r="FA339" s="205"/>
      <c r="FB339" s="205"/>
      <c r="FC339" s="205"/>
      <c r="FD339" s="205"/>
      <c r="FE339" s="205"/>
      <c r="FF339" s="205"/>
      <c r="FG339" s="205"/>
      <c r="FH339" s="205"/>
      <c r="FI339" s="205"/>
      <c r="FJ339" s="205"/>
      <c r="FK339" s="205"/>
      <c r="FL339" s="205"/>
      <c r="FM339" s="205"/>
      <c r="FN339" s="205"/>
      <c r="FO339" s="205"/>
      <c r="FP339" s="205"/>
      <c r="FQ339" s="205"/>
      <c r="FR339" s="205"/>
      <c r="FS339" s="205"/>
      <c r="FT339" s="205"/>
      <c r="FU339" s="205"/>
      <c r="FV339" s="205"/>
      <c r="FW339" s="205"/>
      <c r="FX339" s="205"/>
      <c r="FY339" s="205"/>
      <c r="FZ339" s="205"/>
      <c r="GA339" s="205"/>
      <c r="GB339" s="205"/>
      <c r="GC339" s="205"/>
      <c r="GD339" s="205"/>
      <c r="GE339" s="205"/>
      <c r="GF339" s="205"/>
      <c r="GG339" s="205"/>
      <c r="GH339" s="205"/>
      <c r="GI339" s="205"/>
      <c r="GJ339" s="205"/>
      <c r="GK339" s="205"/>
      <c r="GL339" s="205"/>
      <c r="GM339" s="205"/>
      <c r="GN339" s="205"/>
      <c r="GO339" s="205"/>
      <c r="GP339" s="205"/>
      <c r="GQ339" s="205"/>
      <c r="GR339" s="205"/>
      <c r="GS339" s="205"/>
      <c r="GT339" s="205"/>
      <c r="GU339" s="205"/>
      <c r="GV339" s="205"/>
      <c r="GW339" s="205"/>
      <c r="GX339" s="205"/>
      <c r="GY339" s="205"/>
      <c r="GZ339" s="205"/>
      <c r="HA339" s="205"/>
      <c r="HB339" s="205"/>
      <c r="HC339" s="205"/>
      <c r="HD339" s="205"/>
      <c r="HE339" s="205"/>
      <c r="HF339" s="205"/>
      <c r="HG339" s="205"/>
      <c r="HH339" s="205"/>
      <c r="HI339" s="205"/>
      <c r="HJ339" s="205"/>
      <c r="HK339" s="205"/>
      <c r="HL339" s="205"/>
      <c r="HM339" s="205"/>
      <c r="HN339" s="205"/>
      <c r="HO339" s="205"/>
      <c r="HP339" s="205"/>
      <c r="HQ339" s="205"/>
      <c r="HR339" s="205"/>
      <c r="HS339" s="205"/>
      <c r="HT339" s="205"/>
      <c r="HU339" s="205"/>
      <c r="HV339" s="205"/>
      <c r="HW339" s="205"/>
      <c r="HX339" s="205"/>
      <c r="HY339" s="205"/>
      <c r="HZ339" s="205"/>
      <c r="IA339" s="205"/>
      <c r="IB339" s="205"/>
      <c r="IC339" s="205"/>
      <c r="ID339" s="205"/>
      <c r="IE339" s="205"/>
      <c r="IF339" s="205"/>
      <c r="IG339" s="205"/>
      <c r="IH339" s="205"/>
      <c r="II339" s="205"/>
      <c r="IJ339" s="205"/>
      <c r="IK339" s="205"/>
      <c r="IL339" s="205"/>
      <c r="IM339" s="205"/>
      <c r="IN339" s="205"/>
      <c r="IO339" s="205"/>
      <c r="IP339" s="205"/>
      <c r="IQ339" s="205"/>
      <c r="IR339" s="205"/>
      <c r="IS339" s="205"/>
      <c r="IT339" s="205"/>
      <c r="IU339" s="205"/>
      <c r="IV339" s="205"/>
      <c r="IW339" s="205"/>
      <c r="IX339" s="205"/>
    </row>
    <row r="340" spans="1:258" s="203" customFormat="1" x14ac:dyDescent="0.2">
      <c r="A340" s="669"/>
      <c r="B340" s="670"/>
      <c r="C340" s="1390"/>
      <c r="D340" s="672"/>
      <c r="E340" s="1391"/>
      <c r="F340" s="1391"/>
      <c r="G340" s="1392"/>
      <c r="H340" s="1393"/>
      <c r="I340" s="1394"/>
      <c r="J340" s="1394"/>
      <c r="K340" s="1394"/>
      <c r="L340" s="1394"/>
      <c r="M340" s="1394"/>
      <c r="N340" s="1394"/>
      <c r="O340" s="1394"/>
      <c r="P340" s="1394"/>
      <c r="Q340" s="1394"/>
      <c r="R340" s="1395"/>
      <c r="S340" s="1396"/>
      <c r="T340" s="1397"/>
      <c r="U340" s="205"/>
      <c r="V340" s="685"/>
      <c r="W340" s="205"/>
      <c r="X340" s="205"/>
      <c r="Y340" s="205"/>
      <c r="Z340" s="205"/>
      <c r="AA340" s="205"/>
      <c r="AB340" s="205"/>
      <c r="AC340" s="205"/>
      <c r="AD340" s="205"/>
      <c r="AE340" s="205"/>
      <c r="AF340" s="205"/>
      <c r="AG340" s="205"/>
      <c r="AH340" s="205"/>
      <c r="AI340" s="205"/>
      <c r="AJ340" s="205"/>
      <c r="AK340" s="205"/>
      <c r="AL340" s="205"/>
      <c r="AM340" s="205"/>
      <c r="AN340" s="205"/>
      <c r="AO340" s="205"/>
      <c r="AP340" s="205"/>
      <c r="AQ340" s="205"/>
      <c r="AR340" s="205"/>
      <c r="AS340" s="205"/>
      <c r="AT340" s="205"/>
      <c r="AU340" s="205"/>
      <c r="AV340" s="205"/>
      <c r="AW340" s="205"/>
      <c r="AX340" s="205"/>
      <c r="AY340" s="205"/>
      <c r="AZ340" s="205"/>
      <c r="BA340" s="205"/>
      <c r="BB340" s="205"/>
      <c r="BC340" s="205"/>
      <c r="BD340" s="205"/>
      <c r="BE340" s="205"/>
      <c r="BF340" s="205"/>
      <c r="BG340" s="205"/>
      <c r="BH340" s="205"/>
      <c r="BI340" s="205"/>
      <c r="BJ340" s="205"/>
      <c r="BK340" s="205"/>
      <c r="BL340" s="205"/>
      <c r="BM340" s="205"/>
      <c r="BN340" s="205"/>
      <c r="BO340" s="205"/>
      <c r="BP340" s="205"/>
      <c r="BQ340" s="205"/>
      <c r="BR340" s="205"/>
      <c r="BS340" s="205"/>
      <c r="BT340" s="205"/>
      <c r="BU340" s="205"/>
      <c r="BV340" s="205"/>
      <c r="BW340" s="205"/>
      <c r="BX340" s="205"/>
      <c r="BY340" s="205"/>
      <c r="BZ340" s="205"/>
      <c r="CA340" s="205"/>
      <c r="CB340" s="205"/>
      <c r="CC340" s="205"/>
      <c r="CD340" s="205"/>
      <c r="CE340" s="205"/>
      <c r="CF340" s="205"/>
      <c r="CG340" s="205"/>
      <c r="CH340" s="205"/>
      <c r="CI340" s="205"/>
      <c r="CJ340" s="205"/>
      <c r="CK340" s="205"/>
      <c r="CL340" s="205"/>
      <c r="CM340" s="205"/>
      <c r="CN340" s="205"/>
      <c r="CO340" s="205"/>
      <c r="CP340" s="205"/>
      <c r="CQ340" s="205"/>
      <c r="CR340" s="205"/>
      <c r="CS340" s="205"/>
      <c r="CT340" s="205"/>
      <c r="CU340" s="205"/>
      <c r="CV340" s="205"/>
      <c r="CW340" s="205"/>
      <c r="CX340" s="205"/>
      <c r="CY340" s="205"/>
      <c r="CZ340" s="205"/>
      <c r="DA340" s="205"/>
      <c r="DB340" s="205"/>
      <c r="DC340" s="205"/>
      <c r="DD340" s="205"/>
      <c r="DE340" s="205"/>
      <c r="DF340" s="205"/>
      <c r="DG340" s="205"/>
      <c r="DH340" s="205"/>
      <c r="DI340" s="205"/>
      <c r="DJ340" s="205"/>
      <c r="DK340" s="205"/>
      <c r="DL340" s="205"/>
      <c r="DM340" s="205"/>
      <c r="DN340" s="205"/>
      <c r="DO340" s="205"/>
      <c r="DP340" s="205"/>
      <c r="DQ340" s="205"/>
      <c r="DR340" s="205"/>
      <c r="DS340" s="205"/>
      <c r="DT340" s="205"/>
      <c r="DU340" s="205"/>
      <c r="DV340" s="205"/>
      <c r="DW340" s="205"/>
      <c r="DX340" s="205"/>
      <c r="DY340" s="205"/>
      <c r="DZ340" s="205"/>
      <c r="EA340" s="205"/>
      <c r="EB340" s="205"/>
      <c r="EC340" s="205"/>
      <c r="ED340" s="205"/>
      <c r="EE340" s="205"/>
      <c r="EF340" s="205"/>
      <c r="EG340" s="205"/>
      <c r="EH340" s="205"/>
      <c r="EI340" s="205"/>
      <c r="EJ340" s="205"/>
      <c r="EK340" s="205"/>
      <c r="EL340" s="205"/>
      <c r="EM340" s="205"/>
      <c r="EN340" s="205"/>
      <c r="EO340" s="205"/>
      <c r="EP340" s="205"/>
      <c r="EQ340" s="205"/>
      <c r="ER340" s="205"/>
      <c r="ES340" s="205"/>
      <c r="ET340" s="205"/>
      <c r="EU340" s="205"/>
      <c r="EV340" s="205"/>
      <c r="EW340" s="205"/>
      <c r="EX340" s="205"/>
      <c r="EY340" s="205"/>
      <c r="EZ340" s="205"/>
      <c r="FA340" s="205"/>
      <c r="FB340" s="205"/>
      <c r="FC340" s="205"/>
      <c r="FD340" s="205"/>
      <c r="FE340" s="205"/>
      <c r="FF340" s="205"/>
      <c r="FG340" s="205"/>
      <c r="FH340" s="205"/>
      <c r="FI340" s="205"/>
      <c r="FJ340" s="205"/>
      <c r="FK340" s="205"/>
      <c r="FL340" s="205"/>
      <c r="FM340" s="205"/>
      <c r="FN340" s="205"/>
      <c r="FO340" s="205"/>
      <c r="FP340" s="205"/>
      <c r="FQ340" s="205"/>
      <c r="FR340" s="205"/>
      <c r="FS340" s="205"/>
      <c r="FT340" s="205"/>
      <c r="FU340" s="205"/>
      <c r="FV340" s="205"/>
      <c r="FW340" s="205"/>
      <c r="FX340" s="205"/>
      <c r="FY340" s="205"/>
      <c r="FZ340" s="205"/>
      <c r="GA340" s="205"/>
      <c r="GB340" s="205"/>
      <c r="GC340" s="205"/>
      <c r="GD340" s="205"/>
      <c r="GE340" s="205"/>
      <c r="GF340" s="205"/>
      <c r="GG340" s="205"/>
      <c r="GH340" s="205"/>
      <c r="GI340" s="205"/>
      <c r="GJ340" s="205"/>
      <c r="GK340" s="205"/>
      <c r="GL340" s="205"/>
      <c r="GM340" s="205"/>
      <c r="GN340" s="205"/>
      <c r="GO340" s="205"/>
      <c r="GP340" s="205"/>
      <c r="GQ340" s="205"/>
      <c r="GR340" s="205"/>
      <c r="GS340" s="205"/>
      <c r="GT340" s="205"/>
      <c r="GU340" s="205"/>
      <c r="GV340" s="205"/>
      <c r="GW340" s="205"/>
      <c r="GX340" s="205"/>
      <c r="GY340" s="205"/>
      <c r="GZ340" s="205"/>
      <c r="HA340" s="205"/>
      <c r="HB340" s="205"/>
      <c r="HC340" s="205"/>
      <c r="HD340" s="205"/>
      <c r="HE340" s="205"/>
      <c r="HF340" s="205"/>
      <c r="HG340" s="205"/>
      <c r="HH340" s="205"/>
      <c r="HI340" s="205"/>
      <c r="HJ340" s="205"/>
      <c r="HK340" s="205"/>
      <c r="HL340" s="205"/>
      <c r="HM340" s="205"/>
      <c r="HN340" s="205"/>
      <c r="HO340" s="205"/>
      <c r="HP340" s="205"/>
      <c r="HQ340" s="205"/>
      <c r="HR340" s="205"/>
      <c r="HS340" s="205"/>
      <c r="HT340" s="205"/>
      <c r="HU340" s="205"/>
      <c r="HV340" s="205"/>
      <c r="HW340" s="205"/>
      <c r="HX340" s="205"/>
      <c r="HY340" s="205"/>
      <c r="HZ340" s="205"/>
      <c r="IA340" s="205"/>
      <c r="IB340" s="205"/>
      <c r="IC340" s="205"/>
      <c r="ID340" s="205"/>
      <c r="IE340" s="205"/>
      <c r="IF340" s="205"/>
      <c r="IG340" s="205"/>
      <c r="IH340" s="205"/>
      <c r="II340" s="205"/>
      <c r="IJ340" s="205"/>
      <c r="IK340" s="205"/>
      <c r="IL340" s="205"/>
      <c r="IM340" s="205"/>
      <c r="IN340" s="205"/>
      <c r="IO340" s="205"/>
      <c r="IP340" s="205"/>
      <c r="IQ340" s="205"/>
      <c r="IR340" s="205"/>
      <c r="IS340" s="205"/>
      <c r="IT340" s="205"/>
      <c r="IU340" s="205"/>
      <c r="IV340" s="205"/>
      <c r="IW340" s="205"/>
      <c r="IX340" s="205"/>
    </row>
    <row r="341" spans="1:258" s="203" customFormat="1" x14ac:dyDescent="0.2">
      <c r="A341" s="669"/>
      <c r="B341" s="670"/>
      <c r="C341" s="1390"/>
      <c r="D341" s="672"/>
      <c r="E341" s="1391"/>
      <c r="F341" s="1391"/>
      <c r="G341" s="1392"/>
      <c r="H341" s="1393"/>
      <c r="I341" s="1394"/>
      <c r="J341" s="1394"/>
      <c r="K341" s="1394"/>
      <c r="L341" s="1394"/>
      <c r="M341" s="1394"/>
      <c r="N341" s="1394"/>
      <c r="O341" s="1394"/>
      <c r="P341" s="1394"/>
      <c r="Q341" s="1394"/>
      <c r="R341" s="1395"/>
      <c r="S341" s="1396"/>
      <c r="T341" s="1397"/>
      <c r="U341" s="205"/>
      <c r="V341" s="685"/>
      <c r="W341" s="205"/>
      <c r="X341" s="205"/>
      <c r="Y341" s="205"/>
      <c r="Z341" s="205"/>
      <c r="AA341" s="205"/>
      <c r="AB341" s="205"/>
      <c r="AC341" s="205"/>
      <c r="AD341" s="205"/>
      <c r="AE341" s="205"/>
      <c r="AF341" s="205"/>
      <c r="AG341" s="205"/>
      <c r="AH341" s="205"/>
      <c r="AI341" s="205"/>
      <c r="AJ341" s="205"/>
      <c r="AK341" s="205"/>
      <c r="AL341" s="205"/>
      <c r="AM341" s="205"/>
      <c r="AN341" s="205"/>
      <c r="AO341" s="205"/>
      <c r="AP341" s="205"/>
      <c r="AQ341" s="205"/>
      <c r="AR341" s="205"/>
      <c r="AS341" s="205"/>
      <c r="AT341" s="205"/>
      <c r="AU341" s="205"/>
      <c r="AV341" s="205"/>
      <c r="AW341" s="205"/>
      <c r="AX341" s="205"/>
      <c r="AY341" s="205"/>
      <c r="AZ341" s="205"/>
      <c r="BA341" s="205"/>
      <c r="BB341" s="205"/>
      <c r="BC341" s="205"/>
      <c r="BD341" s="205"/>
      <c r="BE341" s="205"/>
      <c r="BF341" s="205"/>
      <c r="BG341" s="205"/>
      <c r="BH341" s="205"/>
      <c r="BI341" s="205"/>
      <c r="BJ341" s="205"/>
      <c r="BK341" s="205"/>
      <c r="BL341" s="205"/>
      <c r="BM341" s="205"/>
      <c r="BN341" s="205"/>
      <c r="BO341" s="205"/>
      <c r="BP341" s="205"/>
      <c r="BQ341" s="205"/>
      <c r="BR341" s="205"/>
      <c r="BS341" s="205"/>
      <c r="BT341" s="205"/>
      <c r="BU341" s="205"/>
      <c r="BV341" s="205"/>
      <c r="BW341" s="205"/>
      <c r="BX341" s="205"/>
      <c r="BY341" s="205"/>
      <c r="BZ341" s="205"/>
      <c r="CA341" s="205"/>
      <c r="CB341" s="205"/>
      <c r="CC341" s="205"/>
      <c r="CD341" s="205"/>
      <c r="CE341" s="205"/>
      <c r="CF341" s="205"/>
      <c r="CG341" s="205"/>
      <c r="CH341" s="205"/>
      <c r="CI341" s="205"/>
      <c r="CJ341" s="205"/>
      <c r="CK341" s="205"/>
      <c r="CL341" s="205"/>
      <c r="CM341" s="205"/>
      <c r="CN341" s="205"/>
      <c r="CO341" s="205"/>
      <c r="CP341" s="205"/>
      <c r="CQ341" s="205"/>
      <c r="CR341" s="205"/>
      <c r="CS341" s="205"/>
      <c r="CT341" s="205"/>
      <c r="CU341" s="205"/>
      <c r="CV341" s="205"/>
      <c r="CW341" s="205"/>
      <c r="CX341" s="205"/>
      <c r="CY341" s="205"/>
      <c r="CZ341" s="205"/>
      <c r="DA341" s="205"/>
      <c r="DB341" s="205"/>
      <c r="DC341" s="205"/>
      <c r="DD341" s="205"/>
      <c r="DE341" s="205"/>
      <c r="DF341" s="205"/>
      <c r="DG341" s="205"/>
      <c r="DH341" s="205"/>
      <c r="DI341" s="205"/>
      <c r="DJ341" s="205"/>
      <c r="DK341" s="205"/>
      <c r="DL341" s="205"/>
      <c r="DM341" s="205"/>
      <c r="DN341" s="205"/>
      <c r="DO341" s="205"/>
      <c r="DP341" s="205"/>
      <c r="DQ341" s="205"/>
      <c r="DR341" s="205"/>
      <c r="DS341" s="205"/>
      <c r="DT341" s="205"/>
      <c r="DU341" s="205"/>
      <c r="DV341" s="205"/>
      <c r="DW341" s="205"/>
      <c r="DX341" s="205"/>
      <c r="DY341" s="205"/>
      <c r="DZ341" s="205"/>
      <c r="EA341" s="205"/>
      <c r="EB341" s="205"/>
      <c r="EC341" s="205"/>
      <c r="ED341" s="205"/>
      <c r="EE341" s="205"/>
      <c r="EF341" s="205"/>
      <c r="EG341" s="205"/>
      <c r="EH341" s="205"/>
      <c r="EI341" s="205"/>
      <c r="EJ341" s="205"/>
      <c r="EK341" s="205"/>
      <c r="EL341" s="205"/>
      <c r="EM341" s="205"/>
      <c r="EN341" s="205"/>
      <c r="EO341" s="205"/>
      <c r="EP341" s="205"/>
      <c r="EQ341" s="205"/>
      <c r="ER341" s="205"/>
      <c r="ES341" s="205"/>
      <c r="ET341" s="205"/>
      <c r="EU341" s="205"/>
      <c r="EV341" s="205"/>
      <c r="EW341" s="205"/>
      <c r="EX341" s="205"/>
      <c r="EY341" s="205"/>
      <c r="EZ341" s="205"/>
      <c r="FA341" s="205"/>
      <c r="FB341" s="205"/>
      <c r="FC341" s="205"/>
      <c r="FD341" s="205"/>
      <c r="FE341" s="205"/>
      <c r="FF341" s="205"/>
      <c r="FG341" s="205"/>
      <c r="FH341" s="205"/>
      <c r="FI341" s="205"/>
      <c r="FJ341" s="205"/>
      <c r="FK341" s="205"/>
      <c r="FL341" s="205"/>
      <c r="FM341" s="205"/>
      <c r="FN341" s="205"/>
      <c r="FO341" s="205"/>
      <c r="FP341" s="205"/>
      <c r="FQ341" s="205"/>
      <c r="FR341" s="205"/>
      <c r="FS341" s="205"/>
      <c r="FT341" s="205"/>
      <c r="FU341" s="205"/>
      <c r="FV341" s="205"/>
      <c r="FW341" s="205"/>
      <c r="FX341" s="205"/>
      <c r="FY341" s="205"/>
      <c r="FZ341" s="205"/>
      <c r="GA341" s="205"/>
      <c r="GB341" s="205"/>
      <c r="GC341" s="205"/>
      <c r="GD341" s="205"/>
      <c r="GE341" s="205"/>
      <c r="GF341" s="205"/>
      <c r="GG341" s="205"/>
      <c r="GH341" s="205"/>
      <c r="GI341" s="205"/>
      <c r="GJ341" s="205"/>
      <c r="GK341" s="205"/>
      <c r="GL341" s="205"/>
      <c r="GM341" s="205"/>
      <c r="GN341" s="205"/>
      <c r="GO341" s="205"/>
      <c r="GP341" s="205"/>
      <c r="GQ341" s="205"/>
      <c r="GR341" s="205"/>
      <c r="GS341" s="205"/>
      <c r="GT341" s="205"/>
      <c r="GU341" s="205"/>
      <c r="GV341" s="205"/>
      <c r="GW341" s="205"/>
      <c r="GX341" s="205"/>
      <c r="GY341" s="205"/>
      <c r="GZ341" s="205"/>
      <c r="HA341" s="205"/>
      <c r="HB341" s="205"/>
      <c r="HC341" s="205"/>
      <c r="HD341" s="205"/>
      <c r="HE341" s="205"/>
      <c r="HF341" s="205"/>
      <c r="HG341" s="205"/>
      <c r="HH341" s="205"/>
      <c r="HI341" s="205"/>
      <c r="HJ341" s="205"/>
      <c r="HK341" s="205"/>
      <c r="HL341" s="205"/>
      <c r="HM341" s="205"/>
      <c r="HN341" s="205"/>
      <c r="HO341" s="205"/>
      <c r="HP341" s="205"/>
      <c r="HQ341" s="205"/>
      <c r="HR341" s="205"/>
      <c r="HS341" s="205"/>
      <c r="HT341" s="205"/>
      <c r="HU341" s="205"/>
      <c r="HV341" s="205"/>
      <c r="HW341" s="205"/>
      <c r="HX341" s="205"/>
      <c r="HY341" s="205"/>
      <c r="HZ341" s="205"/>
      <c r="IA341" s="205"/>
      <c r="IB341" s="205"/>
      <c r="IC341" s="205"/>
      <c r="ID341" s="205"/>
      <c r="IE341" s="205"/>
      <c r="IF341" s="205"/>
      <c r="IG341" s="205"/>
      <c r="IH341" s="205"/>
      <c r="II341" s="205"/>
      <c r="IJ341" s="205"/>
      <c r="IK341" s="205"/>
      <c r="IL341" s="205"/>
      <c r="IM341" s="205"/>
      <c r="IN341" s="205"/>
      <c r="IO341" s="205"/>
      <c r="IP341" s="205"/>
      <c r="IQ341" s="205"/>
      <c r="IR341" s="205"/>
      <c r="IS341" s="205"/>
      <c r="IT341" s="205"/>
      <c r="IU341" s="205"/>
      <c r="IV341" s="205"/>
      <c r="IW341" s="205"/>
      <c r="IX341" s="205"/>
    </row>
    <row r="342" spans="1:258" s="203" customFormat="1" x14ac:dyDescent="0.2">
      <c r="A342" s="669"/>
      <c r="B342" s="670"/>
      <c r="C342" s="1390"/>
      <c r="D342" s="672"/>
      <c r="E342" s="1391"/>
      <c r="F342" s="1391"/>
      <c r="G342" s="1392"/>
      <c r="H342" s="1393"/>
      <c r="I342" s="1394"/>
      <c r="J342" s="1394"/>
      <c r="K342" s="1394"/>
      <c r="L342" s="1394"/>
      <c r="M342" s="1394"/>
      <c r="N342" s="1394"/>
      <c r="O342" s="1394"/>
      <c r="P342" s="1394"/>
      <c r="Q342" s="1394"/>
      <c r="R342" s="1395"/>
      <c r="S342" s="1396"/>
      <c r="T342" s="1397"/>
      <c r="U342" s="205"/>
      <c r="V342" s="685"/>
      <c r="W342" s="205"/>
      <c r="X342" s="205"/>
      <c r="Y342" s="205"/>
      <c r="Z342" s="205"/>
      <c r="AA342" s="205"/>
      <c r="AB342" s="205"/>
      <c r="AC342" s="205"/>
      <c r="AD342" s="205"/>
      <c r="AE342" s="205"/>
      <c r="AF342" s="205"/>
      <c r="AG342" s="205"/>
      <c r="AH342" s="205"/>
      <c r="AI342" s="205"/>
      <c r="AJ342" s="205"/>
      <c r="AK342" s="205"/>
      <c r="AL342" s="205"/>
      <c r="AM342" s="205"/>
      <c r="AN342" s="205"/>
      <c r="AO342" s="205"/>
      <c r="AP342" s="205"/>
      <c r="AQ342" s="205"/>
      <c r="AR342" s="205"/>
      <c r="AS342" s="205"/>
      <c r="AT342" s="205"/>
      <c r="AU342" s="205"/>
      <c r="AV342" s="205"/>
      <c r="AW342" s="205"/>
      <c r="AX342" s="205"/>
      <c r="AY342" s="205"/>
      <c r="AZ342" s="205"/>
      <c r="BA342" s="205"/>
      <c r="BB342" s="205"/>
      <c r="BC342" s="205"/>
      <c r="BD342" s="205"/>
      <c r="BE342" s="205"/>
      <c r="BF342" s="205"/>
      <c r="BG342" s="205"/>
      <c r="BH342" s="205"/>
      <c r="BI342" s="205"/>
      <c r="BJ342" s="205"/>
      <c r="BK342" s="205"/>
      <c r="BL342" s="205"/>
      <c r="BM342" s="205"/>
      <c r="BN342" s="205"/>
      <c r="BO342" s="205"/>
      <c r="BP342" s="205"/>
      <c r="BQ342" s="205"/>
      <c r="BR342" s="205"/>
      <c r="BS342" s="205"/>
      <c r="BT342" s="205"/>
      <c r="BU342" s="205"/>
      <c r="BV342" s="205"/>
      <c r="BW342" s="205"/>
      <c r="BX342" s="205"/>
      <c r="BY342" s="205"/>
      <c r="BZ342" s="205"/>
      <c r="CA342" s="205"/>
      <c r="CB342" s="205"/>
      <c r="CC342" s="205"/>
      <c r="CD342" s="205"/>
      <c r="CE342" s="205"/>
      <c r="CF342" s="205"/>
      <c r="CG342" s="205"/>
      <c r="CH342" s="205"/>
      <c r="CI342" s="205"/>
      <c r="CJ342" s="205"/>
      <c r="CK342" s="205"/>
      <c r="CL342" s="205"/>
      <c r="CM342" s="205"/>
      <c r="CN342" s="205"/>
      <c r="CO342" s="205"/>
      <c r="CP342" s="205"/>
      <c r="CQ342" s="205"/>
      <c r="CR342" s="205"/>
      <c r="CS342" s="205"/>
      <c r="CT342" s="205"/>
      <c r="CU342" s="205"/>
      <c r="CV342" s="205"/>
      <c r="CW342" s="205"/>
      <c r="CX342" s="205"/>
      <c r="CY342" s="205"/>
      <c r="CZ342" s="205"/>
      <c r="DA342" s="205"/>
      <c r="DB342" s="205"/>
      <c r="DC342" s="205"/>
      <c r="DD342" s="205"/>
      <c r="DE342" s="205"/>
      <c r="DF342" s="205"/>
      <c r="DG342" s="205"/>
      <c r="DH342" s="205"/>
      <c r="DI342" s="205"/>
      <c r="DJ342" s="205"/>
      <c r="DK342" s="205"/>
      <c r="DL342" s="205"/>
      <c r="DM342" s="205"/>
      <c r="DN342" s="205"/>
      <c r="DO342" s="205"/>
      <c r="DP342" s="205"/>
      <c r="DQ342" s="205"/>
      <c r="DR342" s="205"/>
      <c r="DS342" s="205"/>
      <c r="DT342" s="205"/>
      <c r="DU342" s="205"/>
      <c r="DV342" s="205"/>
      <c r="DW342" s="205"/>
      <c r="DX342" s="205"/>
      <c r="DY342" s="205"/>
      <c r="DZ342" s="205"/>
      <c r="EA342" s="205"/>
      <c r="EB342" s="205"/>
      <c r="EC342" s="205"/>
      <c r="ED342" s="205"/>
      <c r="EE342" s="205"/>
      <c r="EF342" s="205"/>
      <c r="EG342" s="205"/>
      <c r="EH342" s="205"/>
      <c r="EI342" s="205"/>
      <c r="EJ342" s="205"/>
      <c r="EK342" s="205"/>
      <c r="EL342" s="205"/>
      <c r="EM342" s="205"/>
      <c r="EN342" s="205"/>
      <c r="EO342" s="205"/>
      <c r="EP342" s="205"/>
      <c r="EQ342" s="205"/>
      <c r="ER342" s="205"/>
      <c r="ES342" s="205"/>
      <c r="ET342" s="205"/>
      <c r="EU342" s="205"/>
      <c r="EV342" s="205"/>
      <c r="EW342" s="205"/>
      <c r="EX342" s="205"/>
      <c r="EY342" s="205"/>
      <c r="EZ342" s="205"/>
      <c r="FA342" s="205"/>
      <c r="FB342" s="205"/>
      <c r="FC342" s="205"/>
      <c r="FD342" s="205"/>
      <c r="FE342" s="205"/>
      <c r="FF342" s="205"/>
      <c r="FG342" s="205"/>
      <c r="FH342" s="205"/>
      <c r="FI342" s="205"/>
      <c r="FJ342" s="205"/>
      <c r="FK342" s="205"/>
      <c r="FL342" s="205"/>
      <c r="FM342" s="205"/>
      <c r="FN342" s="205"/>
      <c r="FO342" s="205"/>
      <c r="FP342" s="205"/>
      <c r="FQ342" s="205"/>
      <c r="FR342" s="205"/>
      <c r="FS342" s="205"/>
      <c r="FT342" s="205"/>
      <c r="FU342" s="205"/>
      <c r="FV342" s="205"/>
      <c r="FW342" s="205"/>
      <c r="FX342" s="205"/>
      <c r="FY342" s="205"/>
      <c r="FZ342" s="205"/>
      <c r="GA342" s="205"/>
      <c r="GB342" s="205"/>
      <c r="GC342" s="205"/>
      <c r="GD342" s="205"/>
      <c r="GE342" s="205"/>
      <c r="GF342" s="205"/>
      <c r="GG342" s="205"/>
      <c r="GH342" s="205"/>
      <c r="GI342" s="205"/>
      <c r="GJ342" s="205"/>
      <c r="GK342" s="205"/>
      <c r="GL342" s="205"/>
      <c r="GM342" s="205"/>
      <c r="GN342" s="205"/>
      <c r="GO342" s="205"/>
      <c r="GP342" s="205"/>
      <c r="GQ342" s="205"/>
      <c r="GR342" s="205"/>
      <c r="GS342" s="205"/>
      <c r="GT342" s="205"/>
      <c r="GU342" s="205"/>
      <c r="GV342" s="205"/>
      <c r="GW342" s="205"/>
      <c r="GX342" s="205"/>
      <c r="GY342" s="205"/>
      <c r="GZ342" s="205"/>
      <c r="HA342" s="205"/>
      <c r="HB342" s="205"/>
      <c r="HC342" s="205"/>
      <c r="HD342" s="205"/>
      <c r="HE342" s="205"/>
      <c r="HF342" s="205"/>
      <c r="HG342" s="205"/>
      <c r="HH342" s="205"/>
      <c r="HI342" s="205"/>
      <c r="HJ342" s="205"/>
      <c r="HK342" s="205"/>
      <c r="HL342" s="205"/>
      <c r="HM342" s="205"/>
      <c r="HN342" s="205"/>
      <c r="HO342" s="205"/>
      <c r="HP342" s="205"/>
      <c r="HQ342" s="205"/>
      <c r="HR342" s="205"/>
      <c r="HS342" s="205"/>
      <c r="HT342" s="205"/>
      <c r="HU342" s="205"/>
      <c r="HV342" s="205"/>
      <c r="HW342" s="205"/>
      <c r="HX342" s="205"/>
      <c r="HY342" s="205"/>
      <c r="HZ342" s="205"/>
      <c r="IA342" s="205"/>
      <c r="IB342" s="205"/>
      <c r="IC342" s="205"/>
      <c r="ID342" s="205"/>
      <c r="IE342" s="205"/>
      <c r="IF342" s="205"/>
      <c r="IG342" s="205"/>
      <c r="IH342" s="205"/>
      <c r="II342" s="205"/>
      <c r="IJ342" s="205"/>
      <c r="IK342" s="205"/>
      <c r="IL342" s="205"/>
      <c r="IM342" s="205"/>
      <c r="IN342" s="205"/>
      <c r="IO342" s="205"/>
      <c r="IP342" s="205"/>
      <c r="IQ342" s="205"/>
      <c r="IR342" s="205"/>
      <c r="IS342" s="205"/>
      <c r="IT342" s="205"/>
      <c r="IU342" s="205"/>
      <c r="IV342" s="205"/>
      <c r="IW342" s="205"/>
      <c r="IX342" s="205"/>
    </row>
    <row r="343" spans="1:258" s="203" customFormat="1" x14ac:dyDescent="0.2">
      <c r="A343" s="669"/>
      <c r="B343" s="670"/>
      <c r="C343" s="1390"/>
      <c r="D343" s="672"/>
      <c r="E343" s="1391"/>
      <c r="F343" s="1391"/>
      <c r="G343" s="1392"/>
      <c r="H343" s="1393"/>
      <c r="I343" s="1394"/>
      <c r="J343" s="1394"/>
      <c r="K343" s="1394"/>
      <c r="L343" s="1394"/>
      <c r="M343" s="1394"/>
      <c r="N343" s="1394"/>
      <c r="O343" s="1394"/>
      <c r="P343" s="1394"/>
      <c r="Q343" s="1394"/>
      <c r="R343" s="1395"/>
      <c r="S343" s="1396"/>
      <c r="T343" s="1397"/>
      <c r="U343" s="205"/>
      <c r="V343" s="685"/>
      <c r="W343" s="205"/>
      <c r="X343" s="205"/>
      <c r="Y343" s="205"/>
      <c r="Z343" s="205"/>
      <c r="AA343" s="205"/>
      <c r="AB343" s="205"/>
      <c r="AC343" s="205"/>
      <c r="AD343" s="205"/>
      <c r="AE343" s="205"/>
      <c r="AF343" s="205"/>
      <c r="AG343" s="205"/>
      <c r="AH343" s="205"/>
      <c r="AI343" s="205"/>
      <c r="AJ343" s="205"/>
      <c r="AK343" s="205"/>
      <c r="AL343" s="205"/>
      <c r="AM343" s="205"/>
      <c r="AN343" s="205"/>
      <c r="AO343" s="205"/>
      <c r="AP343" s="205"/>
      <c r="AQ343" s="205"/>
      <c r="AR343" s="205"/>
      <c r="AS343" s="205"/>
      <c r="AT343" s="205"/>
      <c r="AU343" s="205"/>
      <c r="AV343" s="205"/>
      <c r="AW343" s="205"/>
      <c r="AX343" s="205"/>
      <c r="AY343" s="205"/>
      <c r="AZ343" s="205"/>
      <c r="BA343" s="205"/>
      <c r="BB343" s="205"/>
      <c r="BC343" s="205"/>
      <c r="BD343" s="205"/>
      <c r="BE343" s="205"/>
      <c r="BF343" s="205"/>
      <c r="BG343" s="205"/>
      <c r="BH343" s="205"/>
      <c r="BI343" s="205"/>
      <c r="BJ343" s="205"/>
      <c r="BK343" s="205"/>
      <c r="BL343" s="205"/>
      <c r="BM343" s="205"/>
      <c r="BN343" s="205"/>
      <c r="BO343" s="205"/>
      <c r="BP343" s="205"/>
      <c r="BQ343" s="205"/>
      <c r="BR343" s="205"/>
      <c r="BS343" s="205"/>
      <c r="BT343" s="205"/>
      <c r="BU343" s="205"/>
      <c r="BV343" s="205"/>
      <c r="BW343" s="205"/>
      <c r="BX343" s="205"/>
      <c r="BY343" s="205"/>
      <c r="BZ343" s="205"/>
      <c r="CA343" s="205"/>
      <c r="CB343" s="205"/>
      <c r="CC343" s="205"/>
      <c r="CD343" s="205"/>
      <c r="CE343" s="205"/>
      <c r="CF343" s="205"/>
      <c r="CG343" s="205"/>
      <c r="CH343" s="205"/>
      <c r="CI343" s="205"/>
      <c r="CJ343" s="205"/>
      <c r="CK343" s="205"/>
      <c r="CL343" s="205"/>
      <c r="CM343" s="205"/>
      <c r="CN343" s="205"/>
      <c r="CO343" s="205"/>
      <c r="CP343" s="205"/>
      <c r="CQ343" s="205"/>
      <c r="CR343" s="205"/>
      <c r="CS343" s="205"/>
      <c r="CT343" s="205"/>
      <c r="CU343" s="205"/>
      <c r="CV343" s="205"/>
      <c r="CW343" s="205"/>
      <c r="CX343" s="205"/>
      <c r="CY343" s="205"/>
      <c r="CZ343" s="205"/>
      <c r="DA343" s="205"/>
      <c r="DB343" s="205"/>
      <c r="DC343" s="205"/>
      <c r="DD343" s="205"/>
      <c r="DE343" s="205"/>
      <c r="DF343" s="205"/>
      <c r="DG343" s="205"/>
      <c r="DH343" s="205"/>
      <c r="DI343" s="205"/>
      <c r="DJ343" s="205"/>
      <c r="DK343" s="205"/>
      <c r="DL343" s="205"/>
      <c r="DM343" s="205"/>
      <c r="DN343" s="205"/>
      <c r="DO343" s="205"/>
      <c r="DP343" s="205"/>
      <c r="DQ343" s="205"/>
      <c r="DR343" s="205"/>
      <c r="DS343" s="205"/>
      <c r="DT343" s="205"/>
      <c r="DU343" s="205"/>
      <c r="DV343" s="205"/>
      <c r="DW343" s="205"/>
      <c r="DX343" s="205"/>
      <c r="DY343" s="205"/>
      <c r="DZ343" s="205"/>
      <c r="EA343" s="205"/>
      <c r="EB343" s="205"/>
      <c r="EC343" s="205"/>
      <c r="ED343" s="205"/>
      <c r="EE343" s="205"/>
      <c r="EF343" s="205"/>
      <c r="EG343" s="205"/>
      <c r="EH343" s="205"/>
      <c r="EI343" s="205"/>
      <c r="EJ343" s="205"/>
      <c r="EK343" s="205"/>
      <c r="EL343" s="205"/>
      <c r="EM343" s="205"/>
      <c r="EN343" s="205"/>
      <c r="EO343" s="205"/>
      <c r="EP343" s="205"/>
      <c r="EQ343" s="205"/>
      <c r="ER343" s="205"/>
      <c r="ES343" s="205"/>
      <c r="ET343" s="205"/>
      <c r="EU343" s="205"/>
      <c r="EV343" s="205"/>
      <c r="EW343" s="205"/>
      <c r="EX343" s="205"/>
      <c r="EY343" s="205"/>
      <c r="EZ343" s="205"/>
      <c r="FA343" s="205"/>
      <c r="FB343" s="205"/>
      <c r="FC343" s="205"/>
      <c r="FD343" s="205"/>
      <c r="FE343" s="205"/>
      <c r="FF343" s="205"/>
      <c r="FG343" s="205"/>
      <c r="FH343" s="205"/>
      <c r="FI343" s="205"/>
      <c r="FJ343" s="205"/>
      <c r="FK343" s="205"/>
      <c r="FL343" s="205"/>
      <c r="FM343" s="205"/>
      <c r="FN343" s="205"/>
      <c r="FO343" s="205"/>
      <c r="FP343" s="205"/>
      <c r="FQ343" s="205"/>
      <c r="FR343" s="205"/>
      <c r="FS343" s="205"/>
      <c r="FT343" s="205"/>
      <c r="FU343" s="205"/>
      <c r="FV343" s="205"/>
      <c r="FW343" s="205"/>
      <c r="FX343" s="205"/>
      <c r="FY343" s="205"/>
      <c r="FZ343" s="205"/>
      <c r="GA343" s="205"/>
      <c r="GB343" s="205"/>
      <c r="GC343" s="205"/>
      <c r="GD343" s="205"/>
      <c r="GE343" s="205"/>
      <c r="GF343" s="205"/>
      <c r="GG343" s="205"/>
      <c r="GH343" s="205"/>
      <c r="GI343" s="205"/>
      <c r="GJ343" s="205"/>
      <c r="GK343" s="205"/>
      <c r="GL343" s="205"/>
      <c r="GM343" s="205"/>
      <c r="GN343" s="205"/>
      <c r="GO343" s="205"/>
      <c r="GP343" s="205"/>
      <c r="GQ343" s="205"/>
      <c r="GR343" s="205"/>
      <c r="GS343" s="205"/>
      <c r="GT343" s="205"/>
      <c r="GU343" s="205"/>
      <c r="GV343" s="205"/>
      <c r="GW343" s="205"/>
      <c r="GX343" s="205"/>
      <c r="GY343" s="205"/>
      <c r="GZ343" s="205"/>
      <c r="HA343" s="205"/>
      <c r="HB343" s="205"/>
      <c r="HC343" s="205"/>
      <c r="HD343" s="205"/>
      <c r="HE343" s="205"/>
      <c r="HF343" s="205"/>
      <c r="HG343" s="205"/>
      <c r="HH343" s="205"/>
      <c r="HI343" s="205"/>
      <c r="HJ343" s="205"/>
      <c r="HK343" s="205"/>
      <c r="HL343" s="205"/>
      <c r="HM343" s="205"/>
      <c r="HN343" s="205"/>
      <c r="HO343" s="205"/>
      <c r="HP343" s="205"/>
      <c r="HQ343" s="205"/>
      <c r="HR343" s="205"/>
      <c r="HS343" s="205"/>
      <c r="HT343" s="205"/>
      <c r="HU343" s="205"/>
      <c r="HV343" s="205"/>
      <c r="HW343" s="205"/>
      <c r="HX343" s="205"/>
      <c r="HY343" s="205"/>
      <c r="HZ343" s="205"/>
      <c r="IA343" s="205"/>
      <c r="IB343" s="205"/>
      <c r="IC343" s="205"/>
      <c r="ID343" s="205"/>
      <c r="IE343" s="205"/>
      <c r="IF343" s="205"/>
      <c r="IG343" s="205"/>
      <c r="IH343" s="205"/>
      <c r="II343" s="205"/>
      <c r="IJ343" s="205"/>
      <c r="IK343" s="205"/>
      <c r="IL343" s="205"/>
      <c r="IM343" s="205"/>
      <c r="IN343" s="205"/>
      <c r="IO343" s="205"/>
      <c r="IP343" s="205"/>
      <c r="IQ343" s="205"/>
      <c r="IR343" s="205"/>
      <c r="IS343" s="205"/>
      <c r="IT343" s="205"/>
      <c r="IU343" s="205"/>
      <c r="IV343" s="205"/>
      <c r="IW343" s="205"/>
      <c r="IX343" s="205"/>
    </row>
    <row r="344" spans="1:258" s="203" customFormat="1" x14ac:dyDescent="0.2">
      <c r="A344" s="669"/>
      <c r="B344" s="670"/>
      <c r="C344" s="686"/>
      <c r="D344" s="672"/>
      <c r="E344" s="673"/>
      <c r="F344" s="673"/>
      <c r="G344" s="674"/>
      <c r="H344" s="675"/>
      <c r="I344" s="676"/>
      <c r="J344" s="676"/>
      <c r="K344" s="676"/>
      <c r="L344" s="676"/>
      <c r="M344" s="676"/>
      <c r="N344" s="676"/>
      <c r="O344" s="676"/>
      <c r="P344" s="676"/>
      <c r="Q344" s="676"/>
      <c r="R344" s="677"/>
      <c r="S344" s="678"/>
      <c r="T344" s="684"/>
      <c r="U344" s="205"/>
      <c r="V344" s="685"/>
      <c r="W344" s="205"/>
      <c r="X344" s="205"/>
      <c r="Y344" s="205"/>
      <c r="Z344" s="205"/>
      <c r="AA344" s="205"/>
      <c r="AB344" s="205"/>
      <c r="AC344" s="205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205"/>
      <c r="BN344" s="205"/>
      <c r="BO344" s="205"/>
      <c r="BP344" s="205"/>
      <c r="BQ344" s="205"/>
      <c r="BR344" s="205"/>
      <c r="BS344" s="205"/>
      <c r="BT344" s="205"/>
      <c r="BU344" s="205"/>
      <c r="BV344" s="205"/>
      <c r="BW344" s="205"/>
      <c r="BX344" s="205"/>
      <c r="BY344" s="205"/>
      <c r="BZ344" s="205"/>
      <c r="CA344" s="205"/>
      <c r="CB344" s="205"/>
      <c r="CC344" s="205"/>
      <c r="CD344" s="205"/>
      <c r="CE344" s="205"/>
      <c r="CF344" s="205"/>
      <c r="CG344" s="205"/>
      <c r="CH344" s="205"/>
      <c r="CI344" s="205"/>
      <c r="CJ344" s="205"/>
      <c r="CK344" s="205"/>
      <c r="CL344" s="205"/>
      <c r="CM344" s="205"/>
      <c r="CN344" s="205"/>
      <c r="CO344" s="205"/>
      <c r="CP344" s="205"/>
      <c r="CQ344" s="205"/>
      <c r="CR344" s="205"/>
      <c r="CS344" s="205"/>
      <c r="CT344" s="205"/>
      <c r="CU344" s="205"/>
      <c r="CV344" s="205"/>
      <c r="CW344" s="205"/>
      <c r="CX344" s="205"/>
      <c r="CY344" s="205"/>
      <c r="CZ344" s="205"/>
      <c r="DA344" s="205"/>
      <c r="DB344" s="205"/>
      <c r="DC344" s="205"/>
      <c r="DD344" s="205"/>
      <c r="DE344" s="205"/>
      <c r="DF344" s="205"/>
      <c r="DG344" s="205"/>
      <c r="DH344" s="205"/>
      <c r="DI344" s="205"/>
      <c r="DJ344" s="205"/>
      <c r="DK344" s="205"/>
      <c r="DL344" s="205"/>
      <c r="DM344" s="205"/>
      <c r="DN344" s="205"/>
      <c r="DO344" s="205"/>
      <c r="DP344" s="205"/>
      <c r="DQ344" s="205"/>
      <c r="DR344" s="205"/>
      <c r="DS344" s="205"/>
      <c r="DT344" s="205"/>
      <c r="DU344" s="205"/>
      <c r="DV344" s="205"/>
      <c r="DW344" s="205"/>
      <c r="DX344" s="205"/>
      <c r="DY344" s="205"/>
      <c r="DZ344" s="205"/>
      <c r="EA344" s="205"/>
      <c r="EB344" s="205"/>
      <c r="EC344" s="205"/>
      <c r="ED344" s="205"/>
      <c r="EE344" s="205"/>
      <c r="EF344" s="205"/>
      <c r="EG344" s="205"/>
      <c r="EH344" s="205"/>
      <c r="EI344" s="205"/>
      <c r="EJ344" s="205"/>
      <c r="EK344" s="205"/>
      <c r="EL344" s="205"/>
      <c r="EM344" s="205"/>
      <c r="EN344" s="205"/>
      <c r="EO344" s="205"/>
      <c r="EP344" s="205"/>
      <c r="EQ344" s="205"/>
      <c r="ER344" s="205"/>
      <c r="ES344" s="205"/>
      <c r="ET344" s="205"/>
      <c r="EU344" s="205"/>
      <c r="EV344" s="205"/>
      <c r="EW344" s="205"/>
      <c r="EX344" s="205"/>
      <c r="EY344" s="205"/>
      <c r="EZ344" s="205"/>
      <c r="FA344" s="205"/>
      <c r="FB344" s="205"/>
      <c r="FC344" s="205"/>
      <c r="FD344" s="205"/>
      <c r="FE344" s="205"/>
      <c r="FF344" s="205"/>
      <c r="FG344" s="205"/>
      <c r="FH344" s="205"/>
      <c r="FI344" s="205"/>
      <c r="FJ344" s="205"/>
      <c r="FK344" s="205"/>
      <c r="FL344" s="205"/>
      <c r="FM344" s="205"/>
      <c r="FN344" s="205"/>
      <c r="FO344" s="205"/>
      <c r="FP344" s="205"/>
      <c r="FQ344" s="205"/>
      <c r="FR344" s="205"/>
      <c r="FS344" s="205"/>
      <c r="FT344" s="205"/>
      <c r="FU344" s="205"/>
      <c r="FV344" s="205"/>
      <c r="FW344" s="205"/>
      <c r="FX344" s="205"/>
      <c r="FY344" s="205"/>
      <c r="FZ344" s="205"/>
      <c r="GA344" s="205"/>
      <c r="GB344" s="205"/>
      <c r="GC344" s="205"/>
      <c r="GD344" s="205"/>
      <c r="GE344" s="205"/>
      <c r="GF344" s="205"/>
      <c r="GG344" s="205"/>
      <c r="GH344" s="205"/>
      <c r="GI344" s="205"/>
      <c r="GJ344" s="205"/>
      <c r="GK344" s="205"/>
      <c r="GL344" s="205"/>
      <c r="GM344" s="205"/>
      <c r="GN344" s="205"/>
      <c r="GO344" s="205"/>
      <c r="GP344" s="205"/>
      <c r="GQ344" s="205"/>
      <c r="GR344" s="205"/>
      <c r="GS344" s="205"/>
      <c r="GT344" s="205"/>
      <c r="GU344" s="205"/>
      <c r="GV344" s="205"/>
      <c r="GW344" s="205"/>
      <c r="GX344" s="205"/>
      <c r="GY344" s="205"/>
      <c r="GZ344" s="205"/>
      <c r="HA344" s="205"/>
      <c r="HB344" s="205"/>
      <c r="HC344" s="205"/>
      <c r="HD344" s="205"/>
      <c r="HE344" s="205"/>
      <c r="HF344" s="205"/>
      <c r="HG344" s="205"/>
      <c r="HH344" s="205"/>
      <c r="HI344" s="205"/>
      <c r="HJ344" s="205"/>
      <c r="HK344" s="205"/>
      <c r="HL344" s="205"/>
      <c r="HM344" s="205"/>
      <c r="HN344" s="205"/>
      <c r="HO344" s="205"/>
      <c r="HP344" s="205"/>
      <c r="HQ344" s="205"/>
      <c r="HR344" s="205"/>
      <c r="HS344" s="205"/>
      <c r="HT344" s="205"/>
      <c r="HU344" s="205"/>
      <c r="HV344" s="205"/>
      <c r="HW344" s="205"/>
      <c r="HX344" s="205"/>
      <c r="HY344" s="205"/>
      <c r="HZ344" s="205"/>
      <c r="IA344" s="205"/>
      <c r="IB344" s="205"/>
      <c r="IC344" s="205"/>
      <c r="ID344" s="205"/>
      <c r="IE344" s="205"/>
      <c r="IF344" s="205"/>
      <c r="IG344" s="205"/>
      <c r="IH344" s="205"/>
      <c r="II344" s="205"/>
      <c r="IJ344" s="205"/>
      <c r="IK344" s="205"/>
      <c r="IL344" s="205"/>
      <c r="IM344" s="205"/>
      <c r="IN344" s="205"/>
      <c r="IO344" s="205"/>
      <c r="IP344" s="205"/>
      <c r="IQ344" s="205"/>
      <c r="IR344" s="205"/>
      <c r="IS344" s="205"/>
      <c r="IT344" s="205"/>
      <c r="IU344" s="205"/>
      <c r="IV344" s="205"/>
      <c r="IW344" s="205"/>
      <c r="IX344" s="205"/>
    </row>
    <row r="345" spans="1:258" s="203" customFormat="1" x14ac:dyDescent="0.2">
      <c r="A345" s="669"/>
      <c r="B345" s="670"/>
      <c r="C345" s="686"/>
      <c r="D345" s="672"/>
      <c r="E345" s="673"/>
      <c r="F345" s="673"/>
      <c r="G345" s="674"/>
      <c r="H345" s="675"/>
      <c r="I345" s="676"/>
      <c r="J345" s="676"/>
      <c r="K345" s="676"/>
      <c r="L345" s="676"/>
      <c r="M345" s="676"/>
      <c r="N345" s="676"/>
      <c r="O345" s="676"/>
      <c r="P345" s="676"/>
      <c r="Q345" s="676"/>
      <c r="R345" s="677"/>
      <c r="S345" s="678"/>
      <c r="T345" s="684"/>
      <c r="U345" s="205"/>
      <c r="V345" s="685"/>
      <c r="W345" s="205"/>
      <c r="X345" s="205"/>
      <c r="Y345" s="205"/>
      <c r="Z345" s="205"/>
      <c r="AA345" s="205"/>
      <c r="AB345" s="205"/>
      <c r="AC345" s="205"/>
      <c r="AD345" s="205"/>
      <c r="AE345" s="205"/>
      <c r="AF345" s="205"/>
      <c r="AG345" s="205"/>
      <c r="AH345" s="205"/>
      <c r="AI345" s="205"/>
      <c r="AJ345" s="205"/>
      <c r="AK345" s="205"/>
      <c r="AL345" s="205"/>
      <c r="AM345" s="205"/>
      <c r="AN345" s="205"/>
      <c r="AO345" s="205"/>
      <c r="AP345" s="205"/>
      <c r="AQ345" s="205"/>
      <c r="AR345" s="205"/>
      <c r="AS345" s="205"/>
      <c r="AT345" s="205"/>
      <c r="AU345" s="205"/>
      <c r="AV345" s="205"/>
      <c r="AW345" s="205"/>
      <c r="AX345" s="205"/>
      <c r="AY345" s="205"/>
      <c r="AZ345" s="205"/>
      <c r="BA345" s="205"/>
      <c r="BB345" s="205"/>
      <c r="BC345" s="205"/>
      <c r="BD345" s="205"/>
      <c r="BE345" s="205"/>
      <c r="BF345" s="205"/>
      <c r="BG345" s="205"/>
      <c r="BH345" s="205"/>
      <c r="BI345" s="205"/>
      <c r="BJ345" s="205"/>
      <c r="BK345" s="205"/>
      <c r="BL345" s="205"/>
      <c r="BM345" s="205"/>
      <c r="BN345" s="205"/>
      <c r="BO345" s="205"/>
      <c r="BP345" s="205"/>
      <c r="BQ345" s="205"/>
      <c r="BR345" s="205"/>
      <c r="BS345" s="205"/>
      <c r="BT345" s="205"/>
      <c r="BU345" s="205"/>
      <c r="BV345" s="205"/>
      <c r="BW345" s="205"/>
      <c r="BX345" s="205"/>
      <c r="BY345" s="205"/>
      <c r="BZ345" s="205"/>
      <c r="CA345" s="205"/>
      <c r="CB345" s="205"/>
      <c r="CC345" s="205"/>
      <c r="CD345" s="205"/>
      <c r="CE345" s="205"/>
      <c r="CF345" s="205"/>
      <c r="CG345" s="205"/>
      <c r="CH345" s="205"/>
      <c r="CI345" s="205"/>
      <c r="CJ345" s="205"/>
      <c r="CK345" s="205"/>
      <c r="CL345" s="205"/>
      <c r="CM345" s="205"/>
      <c r="CN345" s="205"/>
      <c r="CO345" s="205"/>
      <c r="CP345" s="205"/>
      <c r="CQ345" s="205"/>
      <c r="CR345" s="205"/>
      <c r="CS345" s="205"/>
      <c r="CT345" s="205"/>
      <c r="CU345" s="205"/>
      <c r="CV345" s="205"/>
      <c r="CW345" s="205"/>
      <c r="CX345" s="205"/>
      <c r="CY345" s="205"/>
      <c r="CZ345" s="205"/>
      <c r="DA345" s="205"/>
      <c r="DB345" s="205"/>
      <c r="DC345" s="205"/>
      <c r="DD345" s="205"/>
      <c r="DE345" s="205"/>
      <c r="DF345" s="205"/>
      <c r="DG345" s="205"/>
      <c r="DH345" s="205"/>
      <c r="DI345" s="205"/>
      <c r="DJ345" s="205"/>
      <c r="DK345" s="205"/>
      <c r="DL345" s="205"/>
      <c r="DM345" s="205"/>
      <c r="DN345" s="205"/>
      <c r="DO345" s="205"/>
      <c r="DP345" s="205"/>
      <c r="DQ345" s="205"/>
      <c r="DR345" s="205"/>
      <c r="DS345" s="205"/>
      <c r="DT345" s="205"/>
      <c r="DU345" s="205"/>
      <c r="DV345" s="205"/>
      <c r="DW345" s="205"/>
      <c r="DX345" s="205"/>
      <c r="DY345" s="205"/>
      <c r="DZ345" s="205"/>
      <c r="EA345" s="205"/>
      <c r="EB345" s="205"/>
      <c r="EC345" s="205"/>
      <c r="ED345" s="205"/>
      <c r="EE345" s="205"/>
      <c r="EF345" s="205"/>
      <c r="EG345" s="205"/>
      <c r="EH345" s="205"/>
      <c r="EI345" s="205"/>
      <c r="EJ345" s="205"/>
      <c r="EK345" s="205"/>
      <c r="EL345" s="205"/>
      <c r="EM345" s="205"/>
      <c r="EN345" s="205"/>
      <c r="EO345" s="205"/>
      <c r="EP345" s="205"/>
      <c r="EQ345" s="205"/>
      <c r="ER345" s="205"/>
      <c r="ES345" s="205"/>
      <c r="ET345" s="205"/>
      <c r="EU345" s="205"/>
      <c r="EV345" s="205"/>
      <c r="EW345" s="205"/>
      <c r="EX345" s="205"/>
      <c r="EY345" s="205"/>
      <c r="EZ345" s="205"/>
      <c r="FA345" s="205"/>
      <c r="FB345" s="205"/>
      <c r="FC345" s="205"/>
      <c r="FD345" s="205"/>
      <c r="FE345" s="205"/>
      <c r="FF345" s="205"/>
      <c r="FG345" s="205"/>
      <c r="FH345" s="205"/>
      <c r="FI345" s="205"/>
      <c r="FJ345" s="205"/>
      <c r="FK345" s="205"/>
      <c r="FL345" s="205"/>
      <c r="FM345" s="205"/>
      <c r="FN345" s="205"/>
      <c r="FO345" s="205"/>
      <c r="FP345" s="205"/>
      <c r="FQ345" s="205"/>
      <c r="FR345" s="205"/>
      <c r="FS345" s="205"/>
      <c r="FT345" s="205"/>
      <c r="FU345" s="205"/>
      <c r="FV345" s="205"/>
      <c r="FW345" s="205"/>
      <c r="FX345" s="205"/>
      <c r="FY345" s="205"/>
      <c r="FZ345" s="205"/>
      <c r="GA345" s="205"/>
      <c r="GB345" s="205"/>
      <c r="GC345" s="205"/>
      <c r="GD345" s="205"/>
      <c r="GE345" s="205"/>
      <c r="GF345" s="205"/>
      <c r="GG345" s="205"/>
      <c r="GH345" s="205"/>
      <c r="GI345" s="205"/>
      <c r="GJ345" s="205"/>
      <c r="GK345" s="205"/>
      <c r="GL345" s="205"/>
      <c r="GM345" s="205"/>
      <c r="GN345" s="205"/>
      <c r="GO345" s="205"/>
      <c r="GP345" s="205"/>
      <c r="GQ345" s="205"/>
      <c r="GR345" s="205"/>
      <c r="GS345" s="205"/>
      <c r="GT345" s="205"/>
      <c r="GU345" s="205"/>
      <c r="GV345" s="205"/>
      <c r="GW345" s="205"/>
      <c r="GX345" s="205"/>
      <c r="GY345" s="205"/>
      <c r="GZ345" s="205"/>
      <c r="HA345" s="205"/>
      <c r="HB345" s="205"/>
      <c r="HC345" s="205"/>
      <c r="HD345" s="205"/>
      <c r="HE345" s="205"/>
      <c r="HF345" s="205"/>
      <c r="HG345" s="205"/>
      <c r="HH345" s="205"/>
      <c r="HI345" s="205"/>
      <c r="HJ345" s="205"/>
      <c r="HK345" s="205"/>
      <c r="HL345" s="205"/>
      <c r="HM345" s="205"/>
      <c r="HN345" s="205"/>
      <c r="HO345" s="205"/>
      <c r="HP345" s="205"/>
      <c r="HQ345" s="205"/>
      <c r="HR345" s="205"/>
      <c r="HS345" s="205"/>
      <c r="HT345" s="205"/>
      <c r="HU345" s="205"/>
      <c r="HV345" s="205"/>
      <c r="HW345" s="205"/>
      <c r="HX345" s="205"/>
      <c r="HY345" s="205"/>
      <c r="HZ345" s="205"/>
      <c r="IA345" s="205"/>
      <c r="IB345" s="205"/>
      <c r="IC345" s="205"/>
      <c r="ID345" s="205"/>
      <c r="IE345" s="205"/>
      <c r="IF345" s="205"/>
      <c r="IG345" s="205"/>
      <c r="IH345" s="205"/>
      <c r="II345" s="205"/>
      <c r="IJ345" s="205"/>
      <c r="IK345" s="205"/>
      <c r="IL345" s="205"/>
      <c r="IM345" s="205"/>
      <c r="IN345" s="205"/>
      <c r="IO345" s="205"/>
      <c r="IP345" s="205"/>
      <c r="IQ345" s="205"/>
      <c r="IR345" s="205"/>
      <c r="IS345" s="205"/>
      <c r="IT345" s="205"/>
      <c r="IU345" s="205"/>
      <c r="IV345" s="205"/>
      <c r="IW345" s="205"/>
      <c r="IX345" s="205"/>
    </row>
    <row r="346" spans="1:258" s="203" customFormat="1" x14ac:dyDescent="0.2">
      <c r="A346" s="669"/>
      <c r="B346" s="681" t="str">
        <f>RAB!B111</f>
        <v>VI</v>
      </c>
      <c r="C346" s="682" t="str">
        <f>RAB!D111</f>
        <v>PEKERJAAN PLAFON</v>
      </c>
      <c r="D346" s="672"/>
      <c r="E346" s="673"/>
      <c r="F346" s="673"/>
      <c r="G346" s="674"/>
      <c r="H346" s="675"/>
      <c r="I346" s="676"/>
      <c r="J346" s="676"/>
      <c r="K346" s="676"/>
      <c r="L346" s="676"/>
      <c r="M346" s="676"/>
      <c r="N346" s="676"/>
      <c r="O346" s="676"/>
      <c r="P346" s="676"/>
      <c r="Q346" s="676"/>
      <c r="R346" s="677"/>
      <c r="S346" s="678"/>
      <c r="T346" s="684"/>
      <c r="U346" s="205"/>
      <c r="V346" s="685"/>
      <c r="W346" s="205"/>
      <c r="X346" s="205"/>
      <c r="Y346" s="205"/>
      <c r="Z346" s="205"/>
      <c r="AA346" s="205"/>
      <c r="AB346" s="205"/>
      <c r="AC346" s="205"/>
      <c r="AD346" s="205"/>
      <c r="AE346" s="205"/>
      <c r="AF346" s="205"/>
      <c r="AG346" s="205"/>
      <c r="AH346" s="205"/>
      <c r="AI346" s="205"/>
      <c r="AJ346" s="205"/>
      <c r="AK346" s="205"/>
      <c r="AL346" s="205"/>
      <c r="AM346" s="205"/>
      <c r="AN346" s="205"/>
      <c r="AO346" s="205"/>
      <c r="AP346" s="205"/>
      <c r="AQ346" s="205"/>
      <c r="AR346" s="205"/>
      <c r="AS346" s="205"/>
      <c r="AT346" s="205"/>
      <c r="AU346" s="205"/>
      <c r="AV346" s="205"/>
      <c r="AW346" s="205"/>
      <c r="AX346" s="205"/>
      <c r="AY346" s="205"/>
      <c r="AZ346" s="205"/>
      <c r="BA346" s="205"/>
      <c r="BB346" s="205"/>
      <c r="BC346" s="205"/>
      <c r="BD346" s="205"/>
      <c r="BE346" s="205"/>
      <c r="BF346" s="205"/>
      <c r="BG346" s="205"/>
      <c r="BH346" s="205"/>
      <c r="BI346" s="205"/>
      <c r="BJ346" s="205"/>
      <c r="BK346" s="205"/>
      <c r="BL346" s="205"/>
      <c r="BM346" s="205"/>
      <c r="BN346" s="205"/>
      <c r="BO346" s="205"/>
      <c r="BP346" s="205"/>
      <c r="BQ346" s="205"/>
      <c r="BR346" s="205"/>
      <c r="BS346" s="205"/>
      <c r="BT346" s="205"/>
      <c r="BU346" s="205"/>
      <c r="BV346" s="205"/>
      <c r="BW346" s="205"/>
      <c r="BX346" s="205"/>
      <c r="BY346" s="205"/>
      <c r="BZ346" s="205"/>
      <c r="CA346" s="205"/>
      <c r="CB346" s="205"/>
      <c r="CC346" s="205"/>
      <c r="CD346" s="205"/>
      <c r="CE346" s="205"/>
      <c r="CF346" s="205"/>
      <c r="CG346" s="205"/>
      <c r="CH346" s="205"/>
      <c r="CI346" s="205"/>
      <c r="CJ346" s="205"/>
      <c r="CK346" s="205"/>
      <c r="CL346" s="205"/>
      <c r="CM346" s="205"/>
      <c r="CN346" s="205"/>
      <c r="CO346" s="205"/>
      <c r="CP346" s="205"/>
      <c r="CQ346" s="205"/>
      <c r="CR346" s="205"/>
      <c r="CS346" s="205"/>
      <c r="CT346" s="205"/>
      <c r="CU346" s="205"/>
      <c r="CV346" s="205"/>
      <c r="CW346" s="205"/>
      <c r="CX346" s="205"/>
      <c r="CY346" s="205"/>
      <c r="CZ346" s="205"/>
      <c r="DA346" s="205"/>
      <c r="DB346" s="205"/>
      <c r="DC346" s="205"/>
      <c r="DD346" s="205"/>
      <c r="DE346" s="205"/>
      <c r="DF346" s="205"/>
      <c r="DG346" s="205"/>
      <c r="DH346" s="205"/>
      <c r="DI346" s="205"/>
      <c r="DJ346" s="205"/>
      <c r="DK346" s="205"/>
      <c r="DL346" s="205"/>
      <c r="DM346" s="205"/>
      <c r="DN346" s="205"/>
      <c r="DO346" s="205"/>
      <c r="DP346" s="205"/>
      <c r="DQ346" s="205"/>
      <c r="DR346" s="205"/>
      <c r="DS346" s="205"/>
      <c r="DT346" s="205"/>
      <c r="DU346" s="205"/>
      <c r="DV346" s="205"/>
      <c r="DW346" s="205"/>
      <c r="DX346" s="205"/>
      <c r="DY346" s="205"/>
      <c r="DZ346" s="205"/>
      <c r="EA346" s="205"/>
      <c r="EB346" s="205"/>
      <c r="EC346" s="205"/>
      <c r="ED346" s="205"/>
      <c r="EE346" s="205"/>
      <c r="EF346" s="205"/>
      <c r="EG346" s="205"/>
      <c r="EH346" s="205"/>
      <c r="EI346" s="205"/>
      <c r="EJ346" s="205"/>
      <c r="EK346" s="205"/>
      <c r="EL346" s="205"/>
      <c r="EM346" s="205"/>
      <c r="EN346" s="205"/>
      <c r="EO346" s="205"/>
      <c r="EP346" s="205"/>
      <c r="EQ346" s="205"/>
      <c r="ER346" s="205"/>
      <c r="ES346" s="205"/>
      <c r="ET346" s="205"/>
      <c r="EU346" s="205"/>
      <c r="EV346" s="205"/>
      <c r="EW346" s="205"/>
      <c r="EX346" s="205"/>
      <c r="EY346" s="205"/>
      <c r="EZ346" s="205"/>
      <c r="FA346" s="205"/>
      <c r="FB346" s="205"/>
      <c r="FC346" s="205"/>
      <c r="FD346" s="205"/>
      <c r="FE346" s="205"/>
      <c r="FF346" s="205"/>
      <c r="FG346" s="205"/>
      <c r="FH346" s="205"/>
      <c r="FI346" s="205"/>
      <c r="FJ346" s="205"/>
      <c r="FK346" s="205"/>
      <c r="FL346" s="205"/>
      <c r="FM346" s="205"/>
      <c r="FN346" s="205"/>
      <c r="FO346" s="205"/>
      <c r="FP346" s="205"/>
      <c r="FQ346" s="205"/>
      <c r="FR346" s="205"/>
      <c r="FS346" s="205"/>
      <c r="FT346" s="205"/>
      <c r="FU346" s="205"/>
      <c r="FV346" s="205"/>
      <c r="FW346" s="205"/>
      <c r="FX346" s="205"/>
      <c r="FY346" s="205"/>
      <c r="FZ346" s="205"/>
      <c r="GA346" s="205"/>
      <c r="GB346" s="205"/>
      <c r="GC346" s="205"/>
      <c r="GD346" s="205"/>
      <c r="GE346" s="205"/>
      <c r="GF346" s="205"/>
      <c r="GG346" s="205"/>
      <c r="GH346" s="205"/>
      <c r="GI346" s="205"/>
      <c r="GJ346" s="205"/>
      <c r="GK346" s="205"/>
      <c r="GL346" s="205"/>
      <c r="GM346" s="205"/>
      <c r="GN346" s="205"/>
      <c r="GO346" s="205"/>
      <c r="GP346" s="205"/>
      <c r="GQ346" s="205"/>
      <c r="GR346" s="205"/>
      <c r="GS346" s="205"/>
      <c r="GT346" s="205"/>
      <c r="GU346" s="205"/>
      <c r="GV346" s="205"/>
      <c r="GW346" s="205"/>
      <c r="GX346" s="205"/>
      <c r="GY346" s="205"/>
      <c r="GZ346" s="205"/>
      <c r="HA346" s="205"/>
      <c r="HB346" s="205"/>
      <c r="HC346" s="205"/>
      <c r="HD346" s="205"/>
      <c r="HE346" s="205"/>
      <c r="HF346" s="205"/>
      <c r="HG346" s="205"/>
      <c r="HH346" s="205"/>
      <c r="HI346" s="205"/>
      <c r="HJ346" s="205"/>
      <c r="HK346" s="205"/>
      <c r="HL346" s="205"/>
      <c r="HM346" s="205"/>
      <c r="HN346" s="205"/>
      <c r="HO346" s="205"/>
      <c r="HP346" s="205"/>
      <c r="HQ346" s="205"/>
      <c r="HR346" s="205"/>
      <c r="HS346" s="205"/>
      <c r="HT346" s="205"/>
      <c r="HU346" s="205"/>
      <c r="HV346" s="205"/>
      <c r="HW346" s="205"/>
      <c r="HX346" s="205"/>
      <c r="HY346" s="205"/>
      <c r="HZ346" s="205"/>
      <c r="IA346" s="205"/>
      <c r="IB346" s="205"/>
      <c r="IC346" s="205"/>
      <c r="ID346" s="205"/>
      <c r="IE346" s="205"/>
      <c r="IF346" s="205"/>
      <c r="IG346" s="205"/>
      <c r="IH346" s="205"/>
      <c r="II346" s="205"/>
      <c r="IJ346" s="205"/>
      <c r="IK346" s="205"/>
      <c r="IL346" s="205"/>
      <c r="IM346" s="205"/>
      <c r="IN346" s="205"/>
      <c r="IO346" s="205"/>
      <c r="IP346" s="205"/>
      <c r="IQ346" s="205"/>
      <c r="IR346" s="205"/>
      <c r="IS346" s="205"/>
      <c r="IT346" s="205"/>
      <c r="IU346" s="205"/>
      <c r="IV346" s="205"/>
      <c r="IW346" s="205"/>
      <c r="IX346" s="205"/>
    </row>
    <row r="347" spans="1:258" s="203" customFormat="1" x14ac:dyDescent="0.2">
      <c r="A347" s="669"/>
      <c r="B347" s="670">
        <f>RAB!B112</f>
        <v>1</v>
      </c>
      <c r="C347" s="686" t="e">
        <f>RAB!D112</f>
        <v>#REF!</v>
      </c>
      <c r="D347" s="672"/>
      <c r="E347" s="673"/>
      <c r="F347" s="673"/>
      <c r="G347" s="674"/>
      <c r="H347" s="675"/>
      <c r="I347" s="676"/>
      <c r="J347" s="676"/>
      <c r="K347" s="676"/>
      <c r="L347" s="676"/>
      <c r="M347" s="676"/>
      <c r="N347" s="676"/>
      <c r="O347" s="676"/>
      <c r="P347" s="676"/>
      <c r="Q347" s="676"/>
      <c r="R347" s="677"/>
      <c r="S347" s="678"/>
      <c r="T347" s="684"/>
      <c r="U347" s="205"/>
      <c r="V347" s="68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C347" s="205"/>
      <c r="BD347" s="205"/>
      <c r="BE347" s="205"/>
      <c r="BF347" s="205"/>
      <c r="BG347" s="205"/>
      <c r="BH347" s="205"/>
      <c r="BI347" s="205"/>
      <c r="BJ347" s="205"/>
      <c r="BK347" s="205"/>
      <c r="BL347" s="205"/>
      <c r="BM347" s="205"/>
      <c r="BN347" s="205"/>
      <c r="BO347" s="205"/>
      <c r="BP347" s="205"/>
      <c r="BQ347" s="205"/>
      <c r="BR347" s="205"/>
      <c r="BS347" s="205"/>
      <c r="BT347" s="205"/>
      <c r="BU347" s="205"/>
      <c r="BV347" s="205"/>
      <c r="BW347" s="205"/>
      <c r="BX347" s="205"/>
      <c r="BY347" s="205"/>
      <c r="BZ347" s="205"/>
      <c r="CA347" s="205"/>
      <c r="CB347" s="205"/>
      <c r="CC347" s="205"/>
      <c r="CD347" s="205"/>
      <c r="CE347" s="205"/>
      <c r="CF347" s="205"/>
      <c r="CG347" s="205"/>
      <c r="CH347" s="205"/>
      <c r="CI347" s="205"/>
      <c r="CJ347" s="205"/>
      <c r="CK347" s="205"/>
      <c r="CL347" s="205"/>
      <c r="CM347" s="205"/>
      <c r="CN347" s="205"/>
      <c r="CO347" s="205"/>
      <c r="CP347" s="205"/>
      <c r="CQ347" s="205"/>
      <c r="CR347" s="205"/>
      <c r="CS347" s="205"/>
      <c r="CT347" s="205"/>
      <c r="CU347" s="205"/>
      <c r="CV347" s="205"/>
      <c r="CW347" s="205"/>
      <c r="CX347" s="205"/>
      <c r="CY347" s="205"/>
      <c r="CZ347" s="205"/>
      <c r="DA347" s="205"/>
      <c r="DB347" s="205"/>
      <c r="DC347" s="205"/>
      <c r="DD347" s="205"/>
      <c r="DE347" s="205"/>
      <c r="DF347" s="205"/>
      <c r="DG347" s="205"/>
      <c r="DH347" s="205"/>
      <c r="DI347" s="205"/>
      <c r="DJ347" s="205"/>
      <c r="DK347" s="205"/>
      <c r="DL347" s="205"/>
      <c r="DM347" s="205"/>
      <c r="DN347" s="205"/>
      <c r="DO347" s="205"/>
      <c r="DP347" s="205"/>
      <c r="DQ347" s="205"/>
      <c r="DR347" s="205"/>
      <c r="DS347" s="205"/>
      <c r="DT347" s="205"/>
      <c r="DU347" s="205"/>
      <c r="DV347" s="205"/>
      <c r="DW347" s="205"/>
      <c r="DX347" s="205"/>
      <c r="DY347" s="205"/>
      <c r="DZ347" s="205"/>
      <c r="EA347" s="205"/>
      <c r="EB347" s="205"/>
      <c r="EC347" s="205"/>
      <c r="ED347" s="205"/>
      <c r="EE347" s="205"/>
      <c r="EF347" s="205"/>
      <c r="EG347" s="205"/>
      <c r="EH347" s="205"/>
      <c r="EI347" s="205"/>
      <c r="EJ347" s="205"/>
      <c r="EK347" s="205"/>
      <c r="EL347" s="205"/>
      <c r="EM347" s="205"/>
      <c r="EN347" s="205"/>
      <c r="EO347" s="205"/>
      <c r="EP347" s="205"/>
      <c r="EQ347" s="205"/>
      <c r="ER347" s="205"/>
      <c r="ES347" s="205"/>
      <c r="ET347" s="205"/>
      <c r="EU347" s="205"/>
      <c r="EV347" s="205"/>
      <c r="EW347" s="205"/>
      <c r="EX347" s="205"/>
      <c r="EY347" s="205"/>
      <c r="EZ347" s="205"/>
      <c r="FA347" s="205"/>
      <c r="FB347" s="205"/>
      <c r="FC347" s="205"/>
      <c r="FD347" s="205"/>
      <c r="FE347" s="205"/>
      <c r="FF347" s="205"/>
      <c r="FG347" s="205"/>
      <c r="FH347" s="205"/>
      <c r="FI347" s="205"/>
      <c r="FJ347" s="205"/>
      <c r="FK347" s="205"/>
      <c r="FL347" s="205"/>
      <c r="FM347" s="205"/>
      <c r="FN347" s="205"/>
      <c r="FO347" s="205"/>
      <c r="FP347" s="205"/>
      <c r="FQ347" s="205"/>
      <c r="FR347" s="205"/>
      <c r="FS347" s="205"/>
      <c r="FT347" s="205"/>
      <c r="FU347" s="205"/>
      <c r="FV347" s="205"/>
      <c r="FW347" s="205"/>
      <c r="FX347" s="205"/>
      <c r="FY347" s="205"/>
      <c r="FZ347" s="205"/>
      <c r="GA347" s="205"/>
      <c r="GB347" s="205"/>
      <c r="GC347" s="205"/>
      <c r="GD347" s="205"/>
      <c r="GE347" s="205"/>
      <c r="GF347" s="205"/>
      <c r="GG347" s="205"/>
      <c r="GH347" s="205"/>
      <c r="GI347" s="205"/>
      <c r="GJ347" s="205"/>
      <c r="GK347" s="205"/>
      <c r="GL347" s="205"/>
      <c r="GM347" s="205"/>
      <c r="GN347" s="205"/>
      <c r="GO347" s="205"/>
      <c r="GP347" s="205"/>
      <c r="GQ347" s="205"/>
      <c r="GR347" s="205"/>
      <c r="GS347" s="205"/>
      <c r="GT347" s="205"/>
      <c r="GU347" s="205"/>
      <c r="GV347" s="205"/>
      <c r="GW347" s="205"/>
      <c r="GX347" s="205"/>
      <c r="GY347" s="205"/>
      <c r="GZ347" s="205"/>
      <c r="HA347" s="205"/>
      <c r="HB347" s="205"/>
      <c r="HC347" s="205"/>
      <c r="HD347" s="205"/>
      <c r="HE347" s="205"/>
      <c r="HF347" s="205"/>
      <c r="HG347" s="205"/>
      <c r="HH347" s="205"/>
      <c r="HI347" s="205"/>
      <c r="HJ347" s="205"/>
      <c r="HK347" s="205"/>
      <c r="HL347" s="205"/>
      <c r="HM347" s="205"/>
      <c r="HN347" s="205"/>
      <c r="HO347" s="205"/>
      <c r="HP347" s="205"/>
      <c r="HQ347" s="205"/>
      <c r="HR347" s="205"/>
      <c r="HS347" s="205"/>
      <c r="HT347" s="205"/>
      <c r="HU347" s="205"/>
      <c r="HV347" s="205"/>
      <c r="HW347" s="205"/>
      <c r="HX347" s="205"/>
      <c r="HY347" s="205"/>
      <c r="HZ347" s="205"/>
      <c r="IA347" s="205"/>
      <c r="IB347" s="205"/>
      <c r="IC347" s="205"/>
      <c r="ID347" s="205"/>
      <c r="IE347" s="205"/>
      <c r="IF347" s="205"/>
      <c r="IG347" s="205"/>
      <c r="IH347" s="205"/>
      <c r="II347" s="205"/>
      <c r="IJ347" s="205"/>
      <c r="IK347" s="205"/>
      <c r="IL347" s="205"/>
      <c r="IM347" s="205"/>
      <c r="IN347" s="205"/>
      <c r="IO347" s="205"/>
      <c r="IP347" s="205"/>
      <c r="IQ347" s="205"/>
      <c r="IR347" s="205"/>
      <c r="IS347" s="205"/>
      <c r="IT347" s="205"/>
      <c r="IU347" s="205"/>
      <c r="IV347" s="205"/>
      <c r="IW347" s="205"/>
      <c r="IX347" s="205"/>
    </row>
    <row r="348" spans="1:258" s="203" customFormat="1" x14ac:dyDescent="0.2">
      <c r="A348" s="669"/>
      <c r="B348" s="670"/>
      <c r="C348" s="1390"/>
      <c r="D348" s="672"/>
      <c r="E348" s="1391"/>
      <c r="F348" s="1391"/>
      <c r="G348" s="1392" t="str">
        <f>G295</f>
        <v>Bangunan baru</v>
      </c>
      <c r="H348" s="1393"/>
      <c r="I348" s="1394"/>
      <c r="J348" s="1394"/>
      <c r="K348" s="1394"/>
      <c r="L348" s="1394"/>
      <c r="M348" s="1394"/>
      <c r="N348" s="1394"/>
      <c r="O348" s="1394"/>
      <c r="P348" s="1394"/>
      <c r="Q348" s="1394"/>
      <c r="R348" s="1395"/>
      <c r="S348" s="1396"/>
      <c r="T348" s="1397"/>
      <c r="U348" s="205"/>
      <c r="V348" s="685"/>
      <c r="W348" s="205"/>
      <c r="X348" s="205"/>
      <c r="Y348" s="205"/>
      <c r="Z348" s="205"/>
      <c r="AA348" s="205"/>
      <c r="AB348" s="205"/>
      <c r="AC348" s="205"/>
      <c r="AD348" s="205"/>
      <c r="AE348" s="205"/>
      <c r="AF348" s="205"/>
      <c r="AG348" s="205"/>
      <c r="AH348" s="205"/>
      <c r="AI348" s="205"/>
      <c r="AJ348" s="205"/>
      <c r="AK348" s="205"/>
      <c r="AL348" s="205"/>
      <c r="AM348" s="205"/>
      <c r="AN348" s="205"/>
      <c r="AO348" s="205"/>
      <c r="AP348" s="205"/>
      <c r="AQ348" s="205"/>
      <c r="AR348" s="205"/>
      <c r="AS348" s="205"/>
      <c r="AT348" s="205"/>
      <c r="AU348" s="205"/>
      <c r="AV348" s="205"/>
      <c r="AW348" s="205"/>
      <c r="AX348" s="205"/>
      <c r="AY348" s="205"/>
      <c r="AZ348" s="205"/>
      <c r="BA348" s="205"/>
      <c r="BB348" s="205"/>
      <c r="BC348" s="205"/>
      <c r="BD348" s="205"/>
      <c r="BE348" s="205"/>
      <c r="BF348" s="205"/>
      <c r="BG348" s="205"/>
      <c r="BH348" s="205"/>
      <c r="BI348" s="205"/>
      <c r="BJ348" s="205"/>
      <c r="BK348" s="205"/>
      <c r="BL348" s="205"/>
      <c r="BM348" s="205"/>
      <c r="BN348" s="205"/>
      <c r="BO348" s="205"/>
      <c r="BP348" s="205"/>
      <c r="BQ348" s="205"/>
      <c r="BR348" s="205"/>
      <c r="BS348" s="205"/>
      <c r="BT348" s="205"/>
      <c r="BU348" s="205"/>
      <c r="BV348" s="205"/>
      <c r="BW348" s="205"/>
      <c r="BX348" s="205"/>
      <c r="BY348" s="205"/>
      <c r="BZ348" s="205"/>
      <c r="CA348" s="205"/>
      <c r="CB348" s="205"/>
      <c r="CC348" s="205"/>
      <c r="CD348" s="205"/>
      <c r="CE348" s="205"/>
      <c r="CF348" s="205"/>
      <c r="CG348" s="205"/>
      <c r="CH348" s="205"/>
      <c r="CI348" s="205"/>
      <c r="CJ348" s="205"/>
      <c r="CK348" s="205"/>
      <c r="CL348" s="205"/>
      <c r="CM348" s="205"/>
      <c r="CN348" s="205"/>
      <c r="CO348" s="205"/>
      <c r="CP348" s="205"/>
      <c r="CQ348" s="205"/>
      <c r="CR348" s="205"/>
      <c r="CS348" s="205"/>
      <c r="CT348" s="205"/>
      <c r="CU348" s="205"/>
      <c r="CV348" s="205"/>
      <c r="CW348" s="205"/>
      <c r="CX348" s="205"/>
      <c r="CY348" s="205"/>
      <c r="CZ348" s="205"/>
      <c r="DA348" s="205"/>
      <c r="DB348" s="205"/>
      <c r="DC348" s="205"/>
      <c r="DD348" s="205"/>
      <c r="DE348" s="205"/>
      <c r="DF348" s="205"/>
      <c r="DG348" s="205"/>
      <c r="DH348" s="205"/>
      <c r="DI348" s="205"/>
      <c r="DJ348" s="205"/>
      <c r="DK348" s="205"/>
      <c r="DL348" s="205"/>
      <c r="DM348" s="205"/>
      <c r="DN348" s="205"/>
      <c r="DO348" s="205"/>
      <c r="DP348" s="205"/>
      <c r="DQ348" s="205"/>
      <c r="DR348" s="205"/>
      <c r="DS348" s="205"/>
      <c r="DT348" s="205"/>
      <c r="DU348" s="205"/>
      <c r="DV348" s="205"/>
      <c r="DW348" s="205"/>
      <c r="DX348" s="205"/>
      <c r="DY348" s="205"/>
      <c r="DZ348" s="205"/>
      <c r="EA348" s="205"/>
      <c r="EB348" s="205"/>
      <c r="EC348" s="205"/>
      <c r="ED348" s="205"/>
      <c r="EE348" s="205"/>
      <c r="EF348" s="205"/>
      <c r="EG348" s="205"/>
      <c r="EH348" s="205"/>
      <c r="EI348" s="205"/>
      <c r="EJ348" s="205"/>
      <c r="EK348" s="205"/>
      <c r="EL348" s="205"/>
      <c r="EM348" s="205"/>
      <c r="EN348" s="205"/>
      <c r="EO348" s="205"/>
      <c r="EP348" s="205"/>
      <c r="EQ348" s="205"/>
      <c r="ER348" s="205"/>
      <c r="ES348" s="205"/>
      <c r="ET348" s="205"/>
      <c r="EU348" s="205"/>
      <c r="EV348" s="205"/>
      <c r="EW348" s="205"/>
      <c r="EX348" s="205"/>
      <c r="EY348" s="205"/>
      <c r="EZ348" s="205"/>
      <c r="FA348" s="205"/>
      <c r="FB348" s="205"/>
      <c r="FC348" s="205"/>
      <c r="FD348" s="205"/>
      <c r="FE348" s="205"/>
      <c r="FF348" s="205"/>
      <c r="FG348" s="205"/>
      <c r="FH348" s="205"/>
      <c r="FI348" s="205"/>
      <c r="FJ348" s="205"/>
      <c r="FK348" s="205"/>
      <c r="FL348" s="205"/>
      <c r="FM348" s="205"/>
      <c r="FN348" s="205"/>
      <c r="FO348" s="205"/>
      <c r="FP348" s="205"/>
      <c r="FQ348" s="205"/>
      <c r="FR348" s="205"/>
      <c r="FS348" s="205"/>
      <c r="FT348" s="205"/>
      <c r="FU348" s="205"/>
      <c r="FV348" s="205"/>
      <c r="FW348" s="205"/>
      <c r="FX348" s="205"/>
      <c r="FY348" s="205"/>
      <c r="FZ348" s="205"/>
      <c r="GA348" s="205"/>
      <c r="GB348" s="205"/>
      <c r="GC348" s="205"/>
      <c r="GD348" s="205"/>
      <c r="GE348" s="205"/>
      <c r="GF348" s="205"/>
      <c r="GG348" s="205"/>
      <c r="GH348" s="205"/>
      <c r="GI348" s="205"/>
      <c r="GJ348" s="205"/>
      <c r="GK348" s="205"/>
      <c r="GL348" s="205"/>
      <c r="GM348" s="205"/>
      <c r="GN348" s="205"/>
      <c r="GO348" s="205"/>
      <c r="GP348" s="205"/>
      <c r="GQ348" s="205"/>
      <c r="GR348" s="205"/>
      <c r="GS348" s="205"/>
      <c r="GT348" s="205"/>
      <c r="GU348" s="205"/>
      <c r="GV348" s="205"/>
      <c r="GW348" s="205"/>
      <c r="GX348" s="205"/>
      <c r="GY348" s="205"/>
      <c r="GZ348" s="205"/>
      <c r="HA348" s="205"/>
      <c r="HB348" s="205"/>
      <c r="HC348" s="205"/>
      <c r="HD348" s="205"/>
      <c r="HE348" s="205"/>
      <c r="HF348" s="205"/>
      <c r="HG348" s="205"/>
      <c r="HH348" s="205"/>
      <c r="HI348" s="205"/>
      <c r="HJ348" s="205"/>
      <c r="HK348" s="205"/>
      <c r="HL348" s="205"/>
      <c r="HM348" s="205"/>
      <c r="HN348" s="205"/>
      <c r="HO348" s="205"/>
      <c r="HP348" s="205"/>
      <c r="HQ348" s="205"/>
      <c r="HR348" s="205"/>
      <c r="HS348" s="205"/>
      <c r="HT348" s="205"/>
      <c r="HU348" s="205"/>
      <c r="HV348" s="205"/>
      <c r="HW348" s="205"/>
      <c r="HX348" s="205"/>
      <c r="HY348" s="205"/>
      <c r="HZ348" s="205"/>
      <c r="IA348" s="205"/>
      <c r="IB348" s="205"/>
      <c r="IC348" s="205"/>
      <c r="ID348" s="205"/>
      <c r="IE348" s="205"/>
      <c r="IF348" s="205"/>
      <c r="IG348" s="205"/>
      <c r="IH348" s="205"/>
      <c r="II348" s="205"/>
      <c r="IJ348" s="205"/>
      <c r="IK348" s="205"/>
      <c r="IL348" s="205"/>
      <c r="IM348" s="205"/>
      <c r="IN348" s="205"/>
      <c r="IO348" s="205"/>
      <c r="IP348" s="205"/>
      <c r="IQ348" s="205"/>
      <c r="IR348" s="205"/>
      <c r="IS348" s="205"/>
      <c r="IT348" s="205"/>
      <c r="IU348" s="205"/>
      <c r="IV348" s="205"/>
      <c r="IW348" s="205"/>
      <c r="IX348" s="205"/>
    </row>
    <row r="349" spans="1:258" s="203" customFormat="1" x14ac:dyDescent="0.2">
      <c r="A349" s="669"/>
      <c r="B349" s="670"/>
      <c r="C349" s="1390"/>
      <c r="D349" s="672"/>
      <c r="E349" s="1391"/>
      <c r="F349" s="1391"/>
      <c r="G349" s="1392" t="str">
        <f>G296</f>
        <v>R. pendaftaran dan tunggu</v>
      </c>
      <c r="H349" s="1393">
        <f t="shared" ref="H349:H357" si="152">H296</f>
        <v>7</v>
      </c>
      <c r="I349" s="1394" t="s">
        <v>424</v>
      </c>
      <c r="J349" s="1394">
        <f t="shared" ref="J349:J357" si="153">J296</f>
        <v>9.85</v>
      </c>
      <c r="K349" s="1394"/>
      <c r="L349" s="1394"/>
      <c r="M349" s="1394"/>
      <c r="N349" s="1394"/>
      <c r="O349" s="1394"/>
      <c r="P349" s="1394"/>
      <c r="Q349" s="1394" t="s">
        <v>696</v>
      </c>
      <c r="R349" s="1363">
        <f>H349*J349</f>
        <v>68.95</v>
      </c>
      <c r="S349" s="1396"/>
      <c r="T349" s="1397"/>
      <c r="U349" s="205"/>
      <c r="V349" s="685"/>
      <c r="W349" s="205"/>
      <c r="X349" s="205"/>
      <c r="Y349" s="205"/>
      <c r="Z349" s="205"/>
      <c r="AA349" s="205"/>
      <c r="AB349" s="205"/>
      <c r="AC349" s="205"/>
      <c r="AD349" s="205"/>
      <c r="AE349" s="205"/>
      <c r="AF349" s="205"/>
      <c r="AG349" s="205"/>
      <c r="AH349" s="205"/>
      <c r="AI349" s="205"/>
      <c r="AJ349" s="205"/>
      <c r="AK349" s="205"/>
      <c r="AL349" s="205"/>
      <c r="AM349" s="205"/>
      <c r="AN349" s="205"/>
      <c r="AO349" s="205"/>
      <c r="AP349" s="205"/>
      <c r="AQ349" s="205"/>
      <c r="AR349" s="205"/>
      <c r="AS349" s="205"/>
      <c r="AT349" s="205"/>
      <c r="AU349" s="205"/>
      <c r="AV349" s="205"/>
      <c r="AW349" s="205"/>
      <c r="AX349" s="205"/>
      <c r="AY349" s="205"/>
      <c r="AZ349" s="205"/>
      <c r="BA349" s="205"/>
      <c r="BB349" s="205"/>
      <c r="BC349" s="205"/>
      <c r="BD349" s="205"/>
      <c r="BE349" s="205"/>
      <c r="BF349" s="205"/>
      <c r="BG349" s="205"/>
      <c r="BH349" s="205"/>
      <c r="BI349" s="205"/>
      <c r="BJ349" s="205"/>
      <c r="BK349" s="205"/>
      <c r="BL349" s="205"/>
      <c r="BM349" s="205"/>
      <c r="BN349" s="205"/>
      <c r="BO349" s="205"/>
      <c r="BP349" s="205"/>
      <c r="BQ349" s="205"/>
      <c r="BR349" s="205"/>
      <c r="BS349" s="205"/>
      <c r="BT349" s="205"/>
      <c r="BU349" s="205"/>
      <c r="BV349" s="205"/>
      <c r="BW349" s="205"/>
      <c r="BX349" s="205"/>
      <c r="BY349" s="205"/>
      <c r="BZ349" s="205"/>
      <c r="CA349" s="205"/>
      <c r="CB349" s="205"/>
      <c r="CC349" s="205"/>
      <c r="CD349" s="205"/>
      <c r="CE349" s="205"/>
      <c r="CF349" s="205"/>
      <c r="CG349" s="205"/>
      <c r="CH349" s="205"/>
      <c r="CI349" s="205"/>
      <c r="CJ349" s="205"/>
      <c r="CK349" s="205"/>
      <c r="CL349" s="205"/>
      <c r="CM349" s="205"/>
      <c r="CN349" s="205"/>
      <c r="CO349" s="205"/>
      <c r="CP349" s="205"/>
      <c r="CQ349" s="205"/>
      <c r="CR349" s="205"/>
      <c r="CS349" s="205"/>
      <c r="CT349" s="205"/>
      <c r="CU349" s="205"/>
      <c r="CV349" s="205"/>
      <c r="CW349" s="205"/>
      <c r="CX349" s="205"/>
      <c r="CY349" s="205"/>
      <c r="CZ349" s="205"/>
      <c r="DA349" s="205"/>
      <c r="DB349" s="205"/>
      <c r="DC349" s="205"/>
      <c r="DD349" s="205"/>
      <c r="DE349" s="205"/>
      <c r="DF349" s="205"/>
      <c r="DG349" s="205"/>
      <c r="DH349" s="205"/>
      <c r="DI349" s="205"/>
      <c r="DJ349" s="205"/>
      <c r="DK349" s="205"/>
      <c r="DL349" s="205"/>
      <c r="DM349" s="205"/>
      <c r="DN349" s="205"/>
      <c r="DO349" s="205"/>
      <c r="DP349" s="205"/>
      <c r="DQ349" s="205"/>
      <c r="DR349" s="205"/>
      <c r="DS349" s="205"/>
      <c r="DT349" s="205"/>
      <c r="DU349" s="205"/>
      <c r="DV349" s="205"/>
      <c r="DW349" s="205"/>
      <c r="DX349" s="205"/>
      <c r="DY349" s="205"/>
      <c r="DZ349" s="205"/>
      <c r="EA349" s="205"/>
      <c r="EB349" s="205"/>
      <c r="EC349" s="205"/>
      <c r="ED349" s="205"/>
      <c r="EE349" s="205"/>
      <c r="EF349" s="205"/>
      <c r="EG349" s="205"/>
      <c r="EH349" s="205"/>
      <c r="EI349" s="205"/>
      <c r="EJ349" s="205"/>
      <c r="EK349" s="205"/>
      <c r="EL349" s="205"/>
      <c r="EM349" s="205"/>
      <c r="EN349" s="205"/>
      <c r="EO349" s="205"/>
      <c r="EP349" s="205"/>
      <c r="EQ349" s="205"/>
      <c r="ER349" s="205"/>
      <c r="ES349" s="205"/>
      <c r="ET349" s="205"/>
      <c r="EU349" s="205"/>
      <c r="EV349" s="205"/>
      <c r="EW349" s="205"/>
      <c r="EX349" s="205"/>
      <c r="EY349" s="205"/>
      <c r="EZ349" s="205"/>
      <c r="FA349" s="205"/>
      <c r="FB349" s="205"/>
      <c r="FC349" s="205"/>
      <c r="FD349" s="205"/>
      <c r="FE349" s="205"/>
      <c r="FF349" s="205"/>
      <c r="FG349" s="205"/>
      <c r="FH349" s="205"/>
      <c r="FI349" s="205"/>
      <c r="FJ349" s="205"/>
      <c r="FK349" s="205"/>
      <c r="FL349" s="205"/>
      <c r="FM349" s="205"/>
      <c r="FN349" s="205"/>
      <c r="FO349" s="205"/>
      <c r="FP349" s="205"/>
      <c r="FQ349" s="205"/>
      <c r="FR349" s="205"/>
      <c r="FS349" s="205"/>
      <c r="FT349" s="205"/>
      <c r="FU349" s="205"/>
      <c r="FV349" s="205"/>
      <c r="FW349" s="205"/>
      <c r="FX349" s="205"/>
      <c r="FY349" s="205"/>
      <c r="FZ349" s="205"/>
      <c r="GA349" s="205"/>
      <c r="GB349" s="205"/>
      <c r="GC349" s="205"/>
      <c r="GD349" s="205"/>
      <c r="GE349" s="205"/>
      <c r="GF349" s="205"/>
      <c r="GG349" s="205"/>
      <c r="GH349" s="205"/>
      <c r="GI349" s="205"/>
      <c r="GJ349" s="205"/>
      <c r="GK349" s="205"/>
      <c r="GL349" s="205"/>
      <c r="GM349" s="205"/>
      <c r="GN349" s="205"/>
      <c r="GO349" s="205"/>
      <c r="GP349" s="205"/>
      <c r="GQ349" s="205"/>
      <c r="GR349" s="205"/>
      <c r="GS349" s="205"/>
      <c r="GT349" s="205"/>
      <c r="GU349" s="205"/>
      <c r="GV349" s="205"/>
      <c r="GW349" s="205"/>
      <c r="GX349" s="205"/>
      <c r="GY349" s="205"/>
      <c r="GZ349" s="205"/>
      <c r="HA349" s="205"/>
      <c r="HB349" s="205"/>
      <c r="HC349" s="205"/>
      <c r="HD349" s="205"/>
      <c r="HE349" s="205"/>
      <c r="HF349" s="205"/>
      <c r="HG349" s="205"/>
      <c r="HH349" s="205"/>
      <c r="HI349" s="205"/>
      <c r="HJ349" s="205"/>
      <c r="HK349" s="205"/>
      <c r="HL349" s="205"/>
      <c r="HM349" s="205"/>
      <c r="HN349" s="205"/>
      <c r="HO349" s="205"/>
      <c r="HP349" s="205"/>
      <c r="HQ349" s="205"/>
      <c r="HR349" s="205"/>
      <c r="HS349" s="205"/>
      <c r="HT349" s="205"/>
      <c r="HU349" s="205"/>
      <c r="HV349" s="205"/>
      <c r="HW349" s="205"/>
      <c r="HX349" s="205"/>
      <c r="HY349" s="205"/>
      <c r="HZ349" s="205"/>
      <c r="IA349" s="205"/>
      <c r="IB349" s="205"/>
      <c r="IC349" s="205"/>
      <c r="ID349" s="205"/>
      <c r="IE349" s="205"/>
      <c r="IF349" s="205"/>
      <c r="IG349" s="205"/>
      <c r="IH349" s="205"/>
      <c r="II349" s="205"/>
      <c r="IJ349" s="205"/>
      <c r="IK349" s="205"/>
      <c r="IL349" s="205"/>
      <c r="IM349" s="205"/>
      <c r="IN349" s="205"/>
      <c r="IO349" s="205"/>
      <c r="IP349" s="205"/>
      <c r="IQ349" s="205"/>
      <c r="IR349" s="205"/>
      <c r="IS349" s="205"/>
      <c r="IT349" s="205"/>
      <c r="IU349" s="205"/>
      <c r="IV349" s="205"/>
      <c r="IW349" s="205"/>
      <c r="IX349" s="205"/>
    </row>
    <row r="350" spans="1:258" s="203" customFormat="1" x14ac:dyDescent="0.2">
      <c r="A350" s="669"/>
      <c r="B350" s="670"/>
      <c r="C350" s="1390"/>
      <c r="D350" s="672"/>
      <c r="E350" s="1391"/>
      <c r="F350" s="1391"/>
      <c r="G350" s="1392" t="str">
        <f>G297</f>
        <v>R.tindakan</v>
      </c>
      <c r="H350" s="1393">
        <f t="shared" si="152"/>
        <v>5.85</v>
      </c>
      <c r="I350" s="1394" t="s">
        <v>424</v>
      </c>
      <c r="J350" s="1394">
        <f t="shared" si="153"/>
        <v>5.35</v>
      </c>
      <c r="K350" s="1394"/>
      <c r="L350" s="1394"/>
      <c r="M350" s="1394"/>
      <c r="N350" s="1394"/>
      <c r="O350" s="1394"/>
      <c r="P350" s="1394"/>
      <c r="Q350" s="1394" t="s">
        <v>696</v>
      </c>
      <c r="R350" s="1363">
        <f>H350*J350</f>
        <v>31.297499999999996</v>
      </c>
      <c r="S350" s="1396"/>
      <c r="T350" s="1397"/>
      <c r="U350" s="205"/>
      <c r="V350" s="685"/>
      <c r="W350" s="205"/>
      <c r="X350" s="205"/>
      <c r="Y350" s="205"/>
      <c r="Z350" s="205"/>
      <c r="AA350" s="205"/>
      <c r="AB350" s="205"/>
      <c r="AC350" s="205"/>
      <c r="AD350" s="205"/>
      <c r="AE350" s="205"/>
      <c r="AF350" s="205"/>
      <c r="AG350" s="205"/>
      <c r="AH350" s="205"/>
      <c r="AI350" s="205"/>
      <c r="AJ350" s="205"/>
      <c r="AK350" s="205"/>
      <c r="AL350" s="205"/>
      <c r="AM350" s="205"/>
      <c r="AN350" s="205"/>
      <c r="AO350" s="205"/>
      <c r="AP350" s="205"/>
      <c r="AQ350" s="205"/>
      <c r="AR350" s="205"/>
      <c r="AS350" s="205"/>
      <c r="AT350" s="205"/>
      <c r="AU350" s="205"/>
      <c r="AV350" s="205"/>
      <c r="AW350" s="205"/>
      <c r="AX350" s="205"/>
      <c r="AY350" s="205"/>
      <c r="AZ350" s="205"/>
      <c r="BA350" s="205"/>
      <c r="BB350" s="205"/>
      <c r="BC350" s="205"/>
      <c r="BD350" s="205"/>
      <c r="BE350" s="205"/>
      <c r="BF350" s="205"/>
      <c r="BG350" s="205"/>
      <c r="BH350" s="205"/>
      <c r="BI350" s="205"/>
      <c r="BJ350" s="205"/>
      <c r="BK350" s="205"/>
      <c r="BL350" s="205"/>
      <c r="BM350" s="205"/>
      <c r="BN350" s="205"/>
      <c r="BO350" s="205"/>
      <c r="BP350" s="205"/>
      <c r="BQ350" s="205"/>
      <c r="BR350" s="205"/>
      <c r="BS350" s="205"/>
      <c r="BT350" s="205"/>
      <c r="BU350" s="205"/>
      <c r="BV350" s="205"/>
      <c r="BW350" s="205"/>
      <c r="BX350" s="205"/>
      <c r="BY350" s="205"/>
      <c r="BZ350" s="205"/>
      <c r="CA350" s="205"/>
      <c r="CB350" s="205"/>
      <c r="CC350" s="205"/>
      <c r="CD350" s="205"/>
      <c r="CE350" s="205"/>
      <c r="CF350" s="205"/>
      <c r="CG350" s="205"/>
      <c r="CH350" s="205"/>
      <c r="CI350" s="205"/>
      <c r="CJ350" s="205"/>
      <c r="CK350" s="205"/>
      <c r="CL350" s="205"/>
      <c r="CM350" s="205"/>
      <c r="CN350" s="205"/>
      <c r="CO350" s="205"/>
      <c r="CP350" s="205"/>
      <c r="CQ350" s="205"/>
      <c r="CR350" s="205"/>
      <c r="CS350" s="205"/>
      <c r="CT350" s="205"/>
      <c r="CU350" s="205"/>
      <c r="CV350" s="205"/>
      <c r="CW350" s="205"/>
      <c r="CX350" s="205"/>
      <c r="CY350" s="205"/>
      <c r="CZ350" s="205"/>
      <c r="DA350" s="205"/>
      <c r="DB350" s="205"/>
      <c r="DC350" s="205"/>
      <c r="DD350" s="205"/>
      <c r="DE350" s="205"/>
      <c r="DF350" s="205"/>
      <c r="DG350" s="205"/>
      <c r="DH350" s="205"/>
      <c r="DI350" s="205"/>
      <c r="DJ350" s="205"/>
      <c r="DK350" s="205"/>
      <c r="DL350" s="205"/>
      <c r="DM350" s="205"/>
      <c r="DN350" s="205"/>
      <c r="DO350" s="205"/>
      <c r="DP350" s="205"/>
      <c r="DQ350" s="205"/>
      <c r="DR350" s="205"/>
      <c r="DS350" s="205"/>
      <c r="DT350" s="205"/>
      <c r="DU350" s="205"/>
      <c r="DV350" s="205"/>
      <c r="DW350" s="205"/>
      <c r="DX350" s="205"/>
      <c r="DY350" s="205"/>
      <c r="DZ350" s="205"/>
      <c r="EA350" s="205"/>
      <c r="EB350" s="205"/>
      <c r="EC350" s="205"/>
      <c r="ED350" s="205"/>
      <c r="EE350" s="205"/>
      <c r="EF350" s="205"/>
      <c r="EG350" s="205"/>
      <c r="EH350" s="205"/>
      <c r="EI350" s="205"/>
      <c r="EJ350" s="205"/>
      <c r="EK350" s="205"/>
      <c r="EL350" s="205"/>
      <c r="EM350" s="205"/>
      <c r="EN350" s="205"/>
      <c r="EO350" s="205"/>
      <c r="EP350" s="205"/>
      <c r="EQ350" s="205"/>
      <c r="ER350" s="205"/>
      <c r="ES350" s="205"/>
      <c r="ET350" s="205"/>
      <c r="EU350" s="205"/>
      <c r="EV350" s="205"/>
      <c r="EW350" s="205"/>
      <c r="EX350" s="205"/>
      <c r="EY350" s="205"/>
      <c r="EZ350" s="205"/>
      <c r="FA350" s="205"/>
      <c r="FB350" s="205"/>
      <c r="FC350" s="205"/>
      <c r="FD350" s="205"/>
      <c r="FE350" s="205"/>
      <c r="FF350" s="205"/>
      <c r="FG350" s="205"/>
      <c r="FH350" s="205"/>
      <c r="FI350" s="205"/>
      <c r="FJ350" s="205"/>
      <c r="FK350" s="205"/>
      <c r="FL350" s="205"/>
      <c r="FM350" s="205"/>
      <c r="FN350" s="205"/>
      <c r="FO350" s="205"/>
      <c r="FP350" s="205"/>
      <c r="FQ350" s="205"/>
      <c r="FR350" s="205"/>
      <c r="FS350" s="205"/>
      <c r="FT350" s="205"/>
      <c r="FU350" s="205"/>
      <c r="FV350" s="205"/>
      <c r="FW350" s="205"/>
      <c r="FX350" s="205"/>
      <c r="FY350" s="205"/>
      <c r="FZ350" s="205"/>
      <c r="GA350" s="205"/>
      <c r="GB350" s="205"/>
      <c r="GC350" s="205"/>
      <c r="GD350" s="205"/>
      <c r="GE350" s="205"/>
      <c r="GF350" s="205"/>
      <c r="GG350" s="205"/>
      <c r="GH350" s="205"/>
      <c r="GI350" s="205"/>
      <c r="GJ350" s="205"/>
      <c r="GK350" s="205"/>
      <c r="GL350" s="205"/>
      <c r="GM350" s="205"/>
      <c r="GN350" s="205"/>
      <c r="GO350" s="205"/>
      <c r="GP350" s="205"/>
      <c r="GQ350" s="205"/>
      <c r="GR350" s="205"/>
      <c r="GS350" s="205"/>
      <c r="GT350" s="205"/>
      <c r="GU350" s="205"/>
      <c r="GV350" s="205"/>
      <c r="GW350" s="205"/>
      <c r="GX350" s="205"/>
      <c r="GY350" s="205"/>
      <c r="GZ350" s="205"/>
      <c r="HA350" s="205"/>
      <c r="HB350" s="205"/>
      <c r="HC350" s="205"/>
      <c r="HD350" s="205"/>
      <c r="HE350" s="205"/>
      <c r="HF350" s="205"/>
      <c r="HG350" s="205"/>
      <c r="HH350" s="205"/>
      <c r="HI350" s="205"/>
      <c r="HJ350" s="205"/>
      <c r="HK350" s="205"/>
      <c r="HL350" s="205"/>
      <c r="HM350" s="205"/>
      <c r="HN350" s="205"/>
      <c r="HO350" s="205"/>
      <c r="HP350" s="205"/>
      <c r="HQ350" s="205"/>
      <c r="HR350" s="205"/>
      <c r="HS350" s="205"/>
      <c r="HT350" s="205"/>
      <c r="HU350" s="205"/>
      <c r="HV350" s="205"/>
      <c r="HW350" s="205"/>
      <c r="HX350" s="205"/>
      <c r="HY350" s="205"/>
      <c r="HZ350" s="205"/>
      <c r="IA350" s="205"/>
      <c r="IB350" s="205"/>
      <c r="IC350" s="205"/>
      <c r="ID350" s="205"/>
      <c r="IE350" s="205"/>
      <c r="IF350" s="205"/>
      <c r="IG350" s="205"/>
      <c r="IH350" s="205"/>
      <c r="II350" s="205"/>
      <c r="IJ350" s="205"/>
      <c r="IK350" s="205"/>
      <c r="IL350" s="205"/>
      <c r="IM350" s="205"/>
      <c r="IN350" s="205"/>
      <c r="IO350" s="205"/>
      <c r="IP350" s="205"/>
      <c r="IQ350" s="205"/>
      <c r="IR350" s="205"/>
      <c r="IS350" s="205"/>
      <c r="IT350" s="205"/>
      <c r="IU350" s="205"/>
      <c r="IV350" s="205"/>
      <c r="IW350" s="205"/>
      <c r="IX350" s="205"/>
    </row>
    <row r="351" spans="1:258" s="203" customFormat="1" x14ac:dyDescent="0.2">
      <c r="A351" s="669"/>
      <c r="B351" s="670"/>
      <c r="C351" s="1390"/>
      <c r="D351" s="672"/>
      <c r="E351" s="1391"/>
      <c r="F351" s="1391"/>
      <c r="G351" s="1392" t="str">
        <f>G298</f>
        <v>R.inap VIP</v>
      </c>
      <c r="H351" s="1393">
        <f t="shared" si="152"/>
        <v>2.85</v>
      </c>
      <c r="I351" s="1394" t="s">
        <v>424</v>
      </c>
      <c r="J351" s="1394">
        <f t="shared" si="153"/>
        <v>3.1</v>
      </c>
      <c r="K351" s="1394" t="s">
        <v>424</v>
      </c>
      <c r="L351" s="1394">
        <f>L298</f>
        <v>2</v>
      </c>
      <c r="M351" s="1394"/>
      <c r="N351" s="1394"/>
      <c r="O351" s="1394"/>
      <c r="P351" s="1394"/>
      <c r="Q351" s="1362" t="s">
        <v>696</v>
      </c>
      <c r="R351" s="1363">
        <f>H351*J351*L351</f>
        <v>17.670000000000002</v>
      </c>
      <c r="S351" s="1396"/>
      <c r="T351" s="1397"/>
      <c r="U351" s="205"/>
      <c r="V351" s="685"/>
      <c r="W351" s="205"/>
      <c r="X351" s="205"/>
      <c r="Y351" s="205"/>
      <c r="Z351" s="205"/>
      <c r="AA351" s="205"/>
      <c r="AB351" s="205"/>
      <c r="AC351" s="205"/>
      <c r="AD351" s="205"/>
      <c r="AE351" s="205"/>
      <c r="AF351" s="205"/>
      <c r="AG351" s="205"/>
      <c r="AH351" s="205"/>
      <c r="AI351" s="205"/>
      <c r="AJ351" s="205"/>
      <c r="AK351" s="205"/>
      <c r="AL351" s="205"/>
      <c r="AM351" s="205"/>
      <c r="AN351" s="205"/>
      <c r="AO351" s="205"/>
      <c r="AP351" s="205"/>
      <c r="AQ351" s="205"/>
      <c r="AR351" s="205"/>
      <c r="AS351" s="205"/>
      <c r="AT351" s="205"/>
      <c r="AU351" s="205"/>
      <c r="AV351" s="205"/>
      <c r="AW351" s="205"/>
      <c r="AX351" s="205"/>
      <c r="AY351" s="205"/>
      <c r="AZ351" s="205"/>
      <c r="BA351" s="205"/>
      <c r="BB351" s="205"/>
      <c r="BC351" s="205"/>
      <c r="BD351" s="205"/>
      <c r="BE351" s="205"/>
      <c r="BF351" s="205"/>
      <c r="BG351" s="205"/>
      <c r="BH351" s="205"/>
      <c r="BI351" s="205"/>
      <c r="BJ351" s="205"/>
      <c r="BK351" s="205"/>
      <c r="BL351" s="205"/>
      <c r="BM351" s="205"/>
      <c r="BN351" s="205"/>
      <c r="BO351" s="205"/>
      <c r="BP351" s="205"/>
      <c r="BQ351" s="205"/>
      <c r="BR351" s="205"/>
      <c r="BS351" s="205"/>
      <c r="BT351" s="205"/>
      <c r="BU351" s="205"/>
      <c r="BV351" s="205"/>
      <c r="BW351" s="205"/>
      <c r="BX351" s="205"/>
      <c r="BY351" s="205"/>
      <c r="BZ351" s="205"/>
      <c r="CA351" s="205"/>
      <c r="CB351" s="205"/>
      <c r="CC351" s="205"/>
      <c r="CD351" s="205"/>
      <c r="CE351" s="205"/>
      <c r="CF351" s="205"/>
      <c r="CG351" s="205"/>
      <c r="CH351" s="205"/>
      <c r="CI351" s="205"/>
      <c r="CJ351" s="205"/>
      <c r="CK351" s="205"/>
      <c r="CL351" s="205"/>
      <c r="CM351" s="205"/>
      <c r="CN351" s="205"/>
      <c r="CO351" s="205"/>
      <c r="CP351" s="205"/>
      <c r="CQ351" s="205"/>
      <c r="CR351" s="205"/>
      <c r="CS351" s="205"/>
      <c r="CT351" s="205"/>
      <c r="CU351" s="205"/>
      <c r="CV351" s="205"/>
      <c r="CW351" s="205"/>
      <c r="CX351" s="205"/>
      <c r="CY351" s="205"/>
      <c r="CZ351" s="205"/>
      <c r="DA351" s="205"/>
      <c r="DB351" s="205"/>
      <c r="DC351" s="205"/>
      <c r="DD351" s="205"/>
      <c r="DE351" s="205"/>
      <c r="DF351" s="205"/>
      <c r="DG351" s="205"/>
      <c r="DH351" s="205"/>
      <c r="DI351" s="205"/>
      <c r="DJ351" s="205"/>
      <c r="DK351" s="205"/>
      <c r="DL351" s="205"/>
      <c r="DM351" s="205"/>
      <c r="DN351" s="205"/>
      <c r="DO351" s="205"/>
      <c r="DP351" s="205"/>
      <c r="DQ351" s="205"/>
      <c r="DR351" s="205"/>
      <c r="DS351" s="205"/>
      <c r="DT351" s="205"/>
      <c r="DU351" s="205"/>
      <c r="DV351" s="205"/>
      <c r="DW351" s="205"/>
      <c r="DX351" s="205"/>
      <c r="DY351" s="205"/>
      <c r="DZ351" s="205"/>
      <c r="EA351" s="205"/>
      <c r="EB351" s="205"/>
      <c r="EC351" s="205"/>
      <c r="ED351" s="205"/>
      <c r="EE351" s="205"/>
      <c r="EF351" s="205"/>
      <c r="EG351" s="205"/>
      <c r="EH351" s="205"/>
      <c r="EI351" s="205"/>
      <c r="EJ351" s="205"/>
      <c r="EK351" s="205"/>
      <c r="EL351" s="205"/>
      <c r="EM351" s="205"/>
      <c r="EN351" s="205"/>
      <c r="EO351" s="205"/>
      <c r="EP351" s="205"/>
      <c r="EQ351" s="205"/>
      <c r="ER351" s="205"/>
      <c r="ES351" s="205"/>
      <c r="ET351" s="205"/>
      <c r="EU351" s="205"/>
      <c r="EV351" s="205"/>
      <c r="EW351" s="205"/>
      <c r="EX351" s="205"/>
      <c r="EY351" s="205"/>
      <c r="EZ351" s="205"/>
      <c r="FA351" s="205"/>
      <c r="FB351" s="205"/>
      <c r="FC351" s="205"/>
      <c r="FD351" s="205"/>
      <c r="FE351" s="205"/>
      <c r="FF351" s="205"/>
      <c r="FG351" s="205"/>
      <c r="FH351" s="205"/>
      <c r="FI351" s="205"/>
      <c r="FJ351" s="205"/>
      <c r="FK351" s="205"/>
      <c r="FL351" s="205"/>
      <c r="FM351" s="205"/>
      <c r="FN351" s="205"/>
      <c r="FO351" s="205"/>
      <c r="FP351" s="205"/>
      <c r="FQ351" s="205"/>
      <c r="FR351" s="205"/>
      <c r="FS351" s="205"/>
      <c r="FT351" s="205"/>
      <c r="FU351" s="205"/>
      <c r="FV351" s="205"/>
      <c r="FW351" s="205"/>
      <c r="FX351" s="205"/>
      <c r="FY351" s="205"/>
      <c r="FZ351" s="205"/>
      <c r="GA351" s="205"/>
      <c r="GB351" s="205"/>
      <c r="GC351" s="205"/>
      <c r="GD351" s="205"/>
      <c r="GE351" s="205"/>
      <c r="GF351" s="205"/>
      <c r="GG351" s="205"/>
      <c r="GH351" s="205"/>
      <c r="GI351" s="205"/>
      <c r="GJ351" s="205"/>
      <c r="GK351" s="205"/>
      <c r="GL351" s="205"/>
      <c r="GM351" s="205"/>
      <c r="GN351" s="205"/>
      <c r="GO351" s="205"/>
      <c r="GP351" s="205"/>
      <c r="GQ351" s="205"/>
      <c r="GR351" s="205"/>
      <c r="GS351" s="205"/>
      <c r="GT351" s="205"/>
      <c r="GU351" s="205"/>
      <c r="GV351" s="205"/>
      <c r="GW351" s="205"/>
      <c r="GX351" s="205"/>
      <c r="GY351" s="205"/>
      <c r="GZ351" s="205"/>
      <c r="HA351" s="205"/>
      <c r="HB351" s="205"/>
      <c r="HC351" s="205"/>
      <c r="HD351" s="205"/>
      <c r="HE351" s="205"/>
      <c r="HF351" s="205"/>
      <c r="HG351" s="205"/>
      <c r="HH351" s="205"/>
      <c r="HI351" s="205"/>
      <c r="HJ351" s="205"/>
      <c r="HK351" s="205"/>
      <c r="HL351" s="205"/>
      <c r="HM351" s="205"/>
      <c r="HN351" s="205"/>
      <c r="HO351" s="205"/>
      <c r="HP351" s="205"/>
      <c r="HQ351" s="205"/>
      <c r="HR351" s="205"/>
      <c r="HS351" s="205"/>
      <c r="HT351" s="205"/>
      <c r="HU351" s="205"/>
      <c r="HV351" s="205"/>
      <c r="HW351" s="205"/>
      <c r="HX351" s="205"/>
      <c r="HY351" s="205"/>
      <c r="HZ351" s="205"/>
      <c r="IA351" s="205"/>
      <c r="IB351" s="205"/>
      <c r="IC351" s="205"/>
      <c r="ID351" s="205"/>
      <c r="IE351" s="205"/>
      <c r="IF351" s="205"/>
      <c r="IG351" s="205"/>
      <c r="IH351" s="205"/>
      <c r="II351" s="205"/>
      <c r="IJ351" s="205"/>
      <c r="IK351" s="205"/>
      <c r="IL351" s="205"/>
      <c r="IM351" s="205"/>
      <c r="IN351" s="205"/>
      <c r="IO351" s="205"/>
      <c r="IP351" s="205"/>
      <c r="IQ351" s="205"/>
      <c r="IR351" s="205"/>
      <c r="IS351" s="205"/>
      <c r="IT351" s="205"/>
      <c r="IU351" s="205"/>
      <c r="IV351" s="205"/>
      <c r="IW351" s="205"/>
      <c r="IX351" s="205"/>
    </row>
    <row r="352" spans="1:258" s="203" customFormat="1" x14ac:dyDescent="0.2">
      <c r="A352" s="669"/>
      <c r="B352" s="670"/>
      <c r="C352" s="1390"/>
      <c r="D352" s="672"/>
      <c r="E352" s="1391"/>
      <c r="F352" s="1391"/>
      <c r="G352" s="1392"/>
      <c r="H352" s="1393">
        <f t="shared" si="152"/>
        <v>1.75</v>
      </c>
      <c r="I352" s="1394" t="s">
        <v>424</v>
      </c>
      <c r="J352" s="1394">
        <f t="shared" si="153"/>
        <v>1.6</v>
      </c>
      <c r="K352" s="1394" t="s">
        <v>424</v>
      </c>
      <c r="L352" s="1394">
        <f>L299</f>
        <v>2</v>
      </c>
      <c r="M352" s="1394"/>
      <c r="N352" s="1394"/>
      <c r="O352" s="1394"/>
      <c r="P352" s="1394"/>
      <c r="Q352" s="1362" t="s">
        <v>696</v>
      </c>
      <c r="R352" s="1363">
        <f>H352*J352*L352</f>
        <v>5.6000000000000005</v>
      </c>
      <c r="S352" s="1396"/>
      <c r="T352" s="1397"/>
      <c r="U352" s="205"/>
      <c r="V352" s="685"/>
      <c r="W352" s="205"/>
      <c r="X352" s="205"/>
      <c r="Y352" s="205"/>
      <c r="Z352" s="205"/>
      <c r="AA352" s="205"/>
      <c r="AB352" s="205"/>
      <c r="AC352" s="205"/>
      <c r="AD352" s="205"/>
      <c r="AE352" s="205"/>
      <c r="AF352" s="205"/>
      <c r="AG352" s="205"/>
      <c r="AH352" s="205"/>
      <c r="AI352" s="205"/>
      <c r="AJ352" s="205"/>
      <c r="AK352" s="205"/>
      <c r="AL352" s="205"/>
      <c r="AM352" s="205"/>
      <c r="AN352" s="205"/>
      <c r="AO352" s="205"/>
      <c r="AP352" s="205"/>
      <c r="AQ352" s="205"/>
      <c r="AR352" s="205"/>
      <c r="AS352" s="205"/>
      <c r="AT352" s="205"/>
      <c r="AU352" s="205"/>
      <c r="AV352" s="205"/>
      <c r="AW352" s="205"/>
      <c r="AX352" s="205"/>
      <c r="AY352" s="205"/>
      <c r="AZ352" s="205"/>
      <c r="BA352" s="205"/>
      <c r="BB352" s="205"/>
      <c r="BC352" s="205"/>
      <c r="BD352" s="205"/>
      <c r="BE352" s="205"/>
      <c r="BF352" s="205"/>
      <c r="BG352" s="205"/>
      <c r="BH352" s="205"/>
      <c r="BI352" s="205"/>
      <c r="BJ352" s="205"/>
      <c r="BK352" s="205"/>
      <c r="BL352" s="205"/>
      <c r="BM352" s="205"/>
      <c r="BN352" s="205"/>
      <c r="BO352" s="205"/>
      <c r="BP352" s="205"/>
      <c r="BQ352" s="205"/>
      <c r="BR352" s="205"/>
      <c r="BS352" s="205"/>
      <c r="BT352" s="205"/>
      <c r="BU352" s="205"/>
      <c r="BV352" s="205"/>
      <c r="BW352" s="205"/>
      <c r="BX352" s="205"/>
      <c r="BY352" s="205"/>
      <c r="BZ352" s="205"/>
      <c r="CA352" s="205"/>
      <c r="CB352" s="205"/>
      <c r="CC352" s="205"/>
      <c r="CD352" s="205"/>
      <c r="CE352" s="205"/>
      <c r="CF352" s="205"/>
      <c r="CG352" s="205"/>
      <c r="CH352" s="205"/>
      <c r="CI352" s="205"/>
      <c r="CJ352" s="205"/>
      <c r="CK352" s="205"/>
      <c r="CL352" s="205"/>
      <c r="CM352" s="205"/>
      <c r="CN352" s="205"/>
      <c r="CO352" s="205"/>
      <c r="CP352" s="205"/>
      <c r="CQ352" s="205"/>
      <c r="CR352" s="205"/>
      <c r="CS352" s="205"/>
      <c r="CT352" s="205"/>
      <c r="CU352" s="205"/>
      <c r="CV352" s="205"/>
      <c r="CW352" s="205"/>
      <c r="CX352" s="205"/>
      <c r="CY352" s="205"/>
      <c r="CZ352" s="205"/>
      <c r="DA352" s="205"/>
      <c r="DB352" s="205"/>
      <c r="DC352" s="205"/>
      <c r="DD352" s="205"/>
      <c r="DE352" s="205"/>
      <c r="DF352" s="205"/>
      <c r="DG352" s="205"/>
      <c r="DH352" s="205"/>
      <c r="DI352" s="205"/>
      <c r="DJ352" s="205"/>
      <c r="DK352" s="205"/>
      <c r="DL352" s="205"/>
      <c r="DM352" s="205"/>
      <c r="DN352" s="205"/>
      <c r="DO352" s="205"/>
      <c r="DP352" s="205"/>
      <c r="DQ352" s="205"/>
      <c r="DR352" s="205"/>
      <c r="DS352" s="205"/>
      <c r="DT352" s="205"/>
      <c r="DU352" s="205"/>
      <c r="DV352" s="205"/>
      <c r="DW352" s="205"/>
      <c r="DX352" s="205"/>
      <c r="DY352" s="205"/>
      <c r="DZ352" s="205"/>
      <c r="EA352" s="205"/>
      <c r="EB352" s="205"/>
      <c r="EC352" s="205"/>
      <c r="ED352" s="205"/>
      <c r="EE352" s="205"/>
      <c r="EF352" s="205"/>
      <c r="EG352" s="205"/>
      <c r="EH352" s="205"/>
      <c r="EI352" s="205"/>
      <c r="EJ352" s="205"/>
      <c r="EK352" s="205"/>
      <c r="EL352" s="205"/>
      <c r="EM352" s="205"/>
      <c r="EN352" s="205"/>
      <c r="EO352" s="205"/>
      <c r="EP352" s="205"/>
      <c r="EQ352" s="205"/>
      <c r="ER352" s="205"/>
      <c r="ES352" s="205"/>
      <c r="ET352" s="205"/>
      <c r="EU352" s="205"/>
      <c r="EV352" s="205"/>
      <c r="EW352" s="205"/>
      <c r="EX352" s="205"/>
      <c r="EY352" s="205"/>
      <c r="EZ352" s="205"/>
      <c r="FA352" s="205"/>
      <c r="FB352" s="205"/>
      <c r="FC352" s="205"/>
      <c r="FD352" s="205"/>
      <c r="FE352" s="205"/>
      <c r="FF352" s="205"/>
      <c r="FG352" s="205"/>
      <c r="FH352" s="205"/>
      <c r="FI352" s="205"/>
      <c r="FJ352" s="205"/>
      <c r="FK352" s="205"/>
      <c r="FL352" s="205"/>
      <c r="FM352" s="205"/>
      <c r="FN352" s="205"/>
      <c r="FO352" s="205"/>
      <c r="FP352" s="205"/>
      <c r="FQ352" s="205"/>
      <c r="FR352" s="205"/>
      <c r="FS352" s="205"/>
      <c r="FT352" s="205"/>
      <c r="FU352" s="205"/>
      <c r="FV352" s="205"/>
      <c r="FW352" s="205"/>
      <c r="FX352" s="205"/>
      <c r="FY352" s="205"/>
      <c r="FZ352" s="205"/>
      <c r="GA352" s="205"/>
      <c r="GB352" s="205"/>
      <c r="GC352" s="205"/>
      <c r="GD352" s="205"/>
      <c r="GE352" s="205"/>
      <c r="GF352" s="205"/>
      <c r="GG352" s="205"/>
      <c r="GH352" s="205"/>
      <c r="GI352" s="205"/>
      <c r="GJ352" s="205"/>
      <c r="GK352" s="205"/>
      <c r="GL352" s="205"/>
      <c r="GM352" s="205"/>
      <c r="GN352" s="205"/>
      <c r="GO352" s="205"/>
      <c r="GP352" s="205"/>
      <c r="GQ352" s="205"/>
      <c r="GR352" s="205"/>
      <c r="GS352" s="205"/>
      <c r="GT352" s="205"/>
      <c r="GU352" s="205"/>
      <c r="GV352" s="205"/>
      <c r="GW352" s="205"/>
      <c r="GX352" s="205"/>
      <c r="GY352" s="205"/>
      <c r="GZ352" s="205"/>
      <c r="HA352" s="205"/>
      <c r="HB352" s="205"/>
      <c r="HC352" s="205"/>
      <c r="HD352" s="205"/>
      <c r="HE352" s="205"/>
      <c r="HF352" s="205"/>
      <c r="HG352" s="205"/>
      <c r="HH352" s="205"/>
      <c r="HI352" s="205"/>
      <c r="HJ352" s="205"/>
      <c r="HK352" s="205"/>
      <c r="HL352" s="205"/>
      <c r="HM352" s="205"/>
      <c r="HN352" s="205"/>
      <c r="HO352" s="205"/>
      <c r="HP352" s="205"/>
      <c r="HQ352" s="205"/>
      <c r="HR352" s="205"/>
      <c r="HS352" s="205"/>
      <c r="HT352" s="205"/>
      <c r="HU352" s="205"/>
      <c r="HV352" s="205"/>
      <c r="HW352" s="205"/>
      <c r="HX352" s="205"/>
      <c r="HY352" s="205"/>
      <c r="HZ352" s="205"/>
      <c r="IA352" s="205"/>
      <c r="IB352" s="205"/>
      <c r="IC352" s="205"/>
      <c r="ID352" s="205"/>
      <c r="IE352" s="205"/>
      <c r="IF352" s="205"/>
      <c r="IG352" s="205"/>
      <c r="IH352" s="205"/>
      <c r="II352" s="205"/>
      <c r="IJ352" s="205"/>
      <c r="IK352" s="205"/>
      <c r="IL352" s="205"/>
      <c r="IM352" s="205"/>
      <c r="IN352" s="205"/>
      <c r="IO352" s="205"/>
      <c r="IP352" s="205"/>
      <c r="IQ352" s="205"/>
      <c r="IR352" s="205"/>
      <c r="IS352" s="205"/>
      <c r="IT352" s="205"/>
      <c r="IU352" s="205"/>
      <c r="IV352" s="205"/>
      <c r="IW352" s="205"/>
      <c r="IX352" s="205"/>
    </row>
    <row r="353" spans="1:258" s="203" customFormat="1" x14ac:dyDescent="0.2">
      <c r="A353" s="669"/>
      <c r="B353" s="670"/>
      <c r="C353" s="1390"/>
      <c r="D353" s="672"/>
      <c r="E353" s="1391"/>
      <c r="F353" s="1391"/>
      <c r="G353" s="1392" t="str">
        <f>G300</f>
        <v>R.inap umum</v>
      </c>
      <c r="H353" s="1393">
        <f t="shared" si="152"/>
        <v>3.85</v>
      </c>
      <c r="I353" s="1394" t="s">
        <v>424</v>
      </c>
      <c r="J353" s="1394">
        <f t="shared" si="153"/>
        <v>3.35</v>
      </c>
      <c r="K353" s="1394" t="s">
        <v>424</v>
      </c>
      <c r="L353" s="1394">
        <f>L300</f>
        <v>5</v>
      </c>
      <c r="M353" s="1394"/>
      <c r="N353" s="1394"/>
      <c r="O353" s="1394"/>
      <c r="P353" s="1394"/>
      <c r="Q353" s="1362" t="s">
        <v>696</v>
      </c>
      <c r="R353" s="1363">
        <f>H353*J353*L353</f>
        <v>64.487500000000011</v>
      </c>
      <c r="S353" s="1396"/>
      <c r="T353" s="1397"/>
      <c r="U353" s="205"/>
      <c r="V353" s="685"/>
      <c r="W353" s="205"/>
      <c r="X353" s="205"/>
      <c r="Y353" s="205"/>
      <c r="Z353" s="205"/>
      <c r="AA353" s="205"/>
      <c r="AB353" s="205"/>
      <c r="AC353" s="205"/>
      <c r="AD353" s="205"/>
      <c r="AE353" s="205"/>
      <c r="AF353" s="205"/>
      <c r="AG353" s="205"/>
      <c r="AH353" s="205"/>
      <c r="AI353" s="205"/>
      <c r="AJ353" s="205"/>
      <c r="AK353" s="205"/>
      <c r="AL353" s="205"/>
      <c r="AM353" s="205"/>
      <c r="AN353" s="205"/>
      <c r="AO353" s="205"/>
      <c r="AP353" s="205"/>
      <c r="AQ353" s="205"/>
      <c r="AR353" s="205"/>
      <c r="AS353" s="205"/>
      <c r="AT353" s="205"/>
      <c r="AU353" s="205"/>
      <c r="AV353" s="205"/>
      <c r="AW353" s="205"/>
      <c r="AX353" s="205"/>
      <c r="AY353" s="205"/>
      <c r="AZ353" s="205"/>
      <c r="BA353" s="205"/>
      <c r="BB353" s="205"/>
      <c r="BC353" s="205"/>
      <c r="BD353" s="205"/>
      <c r="BE353" s="205"/>
      <c r="BF353" s="205"/>
      <c r="BG353" s="205"/>
      <c r="BH353" s="205"/>
      <c r="BI353" s="205"/>
      <c r="BJ353" s="205"/>
      <c r="BK353" s="205"/>
      <c r="BL353" s="205"/>
      <c r="BM353" s="205"/>
      <c r="BN353" s="205"/>
      <c r="BO353" s="205"/>
      <c r="BP353" s="205"/>
      <c r="BQ353" s="205"/>
      <c r="BR353" s="205"/>
      <c r="BS353" s="205"/>
      <c r="BT353" s="205"/>
      <c r="BU353" s="205"/>
      <c r="BV353" s="205"/>
      <c r="BW353" s="205"/>
      <c r="BX353" s="205"/>
      <c r="BY353" s="205"/>
      <c r="BZ353" s="205"/>
      <c r="CA353" s="205"/>
      <c r="CB353" s="205"/>
      <c r="CC353" s="205"/>
      <c r="CD353" s="205"/>
      <c r="CE353" s="205"/>
      <c r="CF353" s="205"/>
      <c r="CG353" s="205"/>
      <c r="CH353" s="205"/>
      <c r="CI353" s="205"/>
      <c r="CJ353" s="205"/>
      <c r="CK353" s="205"/>
      <c r="CL353" s="205"/>
      <c r="CM353" s="205"/>
      <c r="CN353" s="205"/>
      <c r="CO353" s="205"/>
      <c r="CP353" s="205"/>
      <c r="CQ353" s="205"/>
      <c r="CR353" s="205"/>
      <c r="CS353" s="205"/>
      <c r="CT353" s="205"/>
      <c r="CU353" s="205"/>
      <c r="CV353" s="205"/>
      <c r="CW353" s="205"/>
      <c r="CX353" s="205"/>
      <c r="CY353" s="205"/>
      <c r="CZ353" s="205"/>
      <c r="DA353" s="205"/>
      <c r="DB353" s="205"/>
      <c r="DC353" s="205"/>
      <c r="DD353" s="205"/>
      <c r="DE353" s="205"/>
      <c r="DF353" s="205"/>
      <c r="DG353" s="205"/>
      <c r="DH353" s="205"/>
      <c r="DI353" s="205"/>
      <c r="DJ353" s="205"/>
      <c r="DK353" s="205"/>
      <c r="DL353" s="205"/>
      <c r="DM353" s="205"/>
      <c r="DN353" s="205"/>
      <c r="DO353" s="205"/>
      <c r="DP353" s="205"/>
      <c r="DQ353" s="205"/>
      <c r="DR353" s="205"/>
      <c r="DS353" s="205"/>
      <c r="DT353" s="205"/>
      <c r="DU353" s="205"/>
      <c r="DV353" s="205"/>
      <c r="DW353" s="205"/>
      <c r="DX353" s="205"/>
      <c r="DY353" s="205"/>
      <c r="DZ353" s="205"/>
      <c r="EA353" s="205"/>
      <c r="EB353" s="205"/>
      <c r="EC353" s="205"/>
      <c r="ED353" s="205"/>
      <c r="EE353" s="205"/>
      <c r="EF353" s="205"/>
      <c r="EG353" s="205"/>
      <c r="EH353" s="205"/>
      <c r="EI353" s="205"/>
      <c r="EJ353" s="205"/>
      <c r="EK353" s="205"/>
      <c r="EL353" s="205"/>
      <c r="EM353" s="205"/>
      <c r="EN353" s="205"/>
      <c r="EO353" s="205"/>
      <c r="EP353" s="205"/>
      <c r="EQ353" s="205"/>
      <c r="ER353" s="205"/>
      <c r="ES353" s="205"/>
      <c r="ET353" s="205"/>
      <c r="EU353" s="205"/>
      <c r="EV353" s="205"/>
      <c r="EW353" s="205"/>
      <c r="EX353" s="205"/>
      <c r="EY353" s="205"/>
      <c r="EZ353" s="205"/>
      <c r="FA353" s="205"/>
      <c r="FB353" s="205"/>
      <c r="FC353" s="205"/>
      <c r="FD353" s="205"/>
      <c r="FE353" s="205"/>
      <c r="FF353" s="205"/>
      <c r="FG353" s="205"/>
      <c r="FH353" s="205"/>
      <c r="FI353" s="205"/>
      <c r="FJ353" s="205"/>
      <c r="FK353" s="205"/>
      <c r="FL353" s="205"/>
      <c r="FM353" s="205"/>
      <c r="FN353" s="205"/>
      <c r="FO353" s="205"/>
      <c r="FP353" s="205"/>
      <c r="FQ353" s="205"/>
      <c r="FR353" s="205"/>
      <c r="FS353" s="205"/>
      <c r="FT353" s="205"/>
      <c r="FU353" s="205"/>
      <c r="FV353" s="205"/>
      <c r="FW353" s="205"/>
      <c r="FX353" s="205"/>
      <c r="FY353" s="205"/>
      <c r="FZ353" s="205"/>
      <c r="GA353" s="205"/>
      <c r="GB353" s="205"/>
      <c r="GC353" s="205"/>
      <c r="GD353" s="205"/>
      <c r="GE353" s="205"/>
      <c r="GF353" s="205"/>
      <c r="GG353" s="205"/>
      <c r="GH353" s="205"/>
      <c r="GI353" s="205"/>
      <c r="GJ353" s="205"/>
      <c r="GK353" s="205"/>
      <c r="GL353" s="205"/>
      <c r="GM353" s="205"/>
      <c r="GN353" s="205"/>
      <c r="GO353" s="205"/>
      <c r="GP353" s="205"/>
      <c r="GQ353" s="205"/>
      <c r="GR353" s="205"/>
      <c r="GS353" s="205"/>
      <c r="GT353" s="205"/>
      <c r="GU353" s="205"/>
      <c r="GV353" s="205"/>
      <c r="GW353" s="205"/>
      <c r="GX353" s="205"/>
      <c r="GY353" s="205"/>
      <c r="GZ353" s="205"/>
      <c r="HA353" s="205"/>
      <c r="HB353" s="205"/>
      <c r="HC353" s="205"/>
      <c r="HD353" s="205"/>
      <c r="HE353" s="205"/>
      <c r="HF353" s="205"/>
      <c r="HG353" s="205"/>
      <c r="HH353" s="205"/>
      <c r="HI353" s="205"/>
      <c r="HJ353" s="205"/>
      <c r="HK353" s="205"/>
      <c r="HL353" s="205"/>
      <c r="HM353" s="205"/>
      <c r="HN353" s="205"/>
      <c r="HO353" s="205"/>
      <c r="HP353" s="205"/>
      <c r="HQ353" s="205"/>
      <c r="HR353" s="205"/>
      <c r="HS353" s="205"/>
      <c r="HT353" s="205"/>
      <c r="HU353" s="205"/>
      <c r="HV353" s="205"/>
      <c r="HW353" s="205"/>
      <c r="HX353" s="205"/>
      <c r="HY353" s="205"/>
      <c r="HZ353" s="205"/>
      <c r="IA353" s="205"/>
      <c r="IB353" s="205"/>
      <c r="IC353" s="205"/>
      <c r="ID353" s="205"/>
      <c r="IE353" s="205"/>
      <c r="IF353" s="205"/>
      <c r="IG353" s="205"/>
      <c r="IH353" s="205"/>
      <c r="II353" s="205"/>
      <c r="IJ353" s="205"/>
      <c r="IK353" s="205"/>
      <c r="IL353" s="205"/>
      <c r="IM353" s="205"/>
      <c r="IN353" s="205"/>
      <c r="IO353" s="205"/>
      <c r="IP353" s="205"/>
      <c r="IQ353" s="205"/>
      <c r="IR353" s="205"/>
      <c r="IS353" s="205"/>
      <c r="IT353" s="205"/>
      <c r="IU353" s="205"/>
      <c r="IV353" s="205"/>
      <c r="IW353" s="205"/>
      <c r="IX353" s="205"/>
    </row>
    <row r="354" spans="1:258" s="203" customFormat="1" x14ac:dyDescent="0.2">
      <c r="A354" s="669"/>
      <c r="B354" s="670"/>
      <c r="C354" s="1390"/>
      <c r="D354" s="672"/>
      <c r="E354" s="1391"/>
      <c r="F354" s="1391"/>
      <c r="G354" s="1392"/>
      <c r="H354" s="1393">
        <f t="shared" si="152"/>
        <v>1.7</v>
      </c>
      <c r="I354" s="1394" t="s">
        <v>424</v>
      </c>
      <c r="J354" s="1394">
        <f t="shared" si="153"/>
        <v>2.35</v>
      </c>
      <c r="K354" s="1394" t="s">
        <v>424</v>
      </c>
      <c r="L354" s="1394">
        <f>L301</f>
        <v>5</v>
      </c>
      <c r="M354" s="1394"/>
      <c r="N354" s="1394"/>
      <c r="O354" s="1394"/>
      <c r="P354" s="1394"/>
      <c r="Q354" s="1362" t="s">
        <v>696</v>
      </c>
      <c r="R354" s="1363">
        <f>H354*J354*L354</f>
        <v>19.975000000000001</v>
      </c>
      <c r="S354" s="1396"/>
      <c r="T354" s="1397"/>
      <c r="U354" s="205"/>
      <c r="V354" s="685"/>
      <c r="W354" s="205"/>
      <c r="X354" s="205"/>
      <c r="Y354" s="205"/>
      <c r="Z354" s="205"/>
      <c r="AA354" s="205"/>
      <c r="AB354" s="205"/>
      <c r="AC354" s="205"/>
      <c r="AD354" s="205"/>
      <c r="AE354" s="205"/>
      <c r="AF354" s="205"/>
      <c r="AG354" s="205"/>
      <c r="AH354" s="205"/>
      <c r="AI354" s="205"/>
      <c r="AJ354" s="205"/>
      <c r="AK354" s="205"/>
      <c r="AL354" s="205"/>
      <c r="AM354" s="205"/>
      <c r="AN354" s="205"/>
      <c r="AO354" s="205"/>
      <c r="AP354" s="205"/>
      <c r="AQ354" s="205"/>
      <c r="AR354" s="205"/>
      <c r="AS354" s="205"/>
      <c r="AT354" s="205"/>
      <c r="AU354" s="205"/>
      <c r="AV354" s="205"/>
      <c r="AW354" s="205"/>
      <c r="AX354" s="205"/>
      <c r="AY354" s="205"/>
      <c r="AZ354" s="205"/>
      <c r="BA354" s="205"/>
      <c r="BB354" s="205"/>
      <c r="BC354" s="205"/>
      <c r="BD354" s="205"/>
      <c r="BE354" s="205"/>
      <c r="BF354" s="205"/>
      <c r="BG354" s="205"/>
      <c r="BH354" s="205"/>
      <c r="BI354" s="205"/>
      <c r="BJ354" s="205"/>
      <c r="BK354" s="205"/>
      <c r="BL354" s="205"/>
      <c r="BM354" s="205"/>
      <c r="BN354" s="205"/>
      <c r="BO354" s="205"/>
      <c r="BP354" s="205"/>
      <c r="BQ354" s="205"/>
      <c r="BR354" s="205"/>
      <c r="BS354" s="205"/>
      <c r="BT354" s="205"/>
      <c r="BU354" s="205"/>
      <c r="BV354" s="205"/>
      <c r="BW354" s="205"/>
      <c r="BX354" s="205"/>
      <c r="BY354" s="205"/>
      <c r="BZ354" s="205"/>
      <c r="CA354" s="205"/>
      <c r="CB354" s="205"/>
      <c r="CC354" s="205"/>
      <c r="CD354" s="205"/>
      <c r="CE354" s="205"/>
      <c r="CF354" s="205"/>
      <c r="CG354" s="205"/>
      <c r="CH354" s="205"/>
      <c r="CI354" s="205"/>
      <c r="CJ354" s="205"/>
      <c r="CK354" s="205"/>
      <c r="CL354" s="205"/>
      <c r="CM354" s="205"/>
      <c r="CN354" s="205"/>
      <c r="CO354" s="205"/>
      <c r="CP354" s="205"/>
      <c r="CQ354" s="205"/>
      <c r="CR354" s="205"/>
      <c r="CS354" s="205"/>
      <c r="CT354" s="205"/>
      <c r="CU354" s="205"/>
      <c r="CV354" s="205"/>
      <c r="CW354" s="205"/>
      <c r="CX354" s="205"/>
      <c r="CY354" s="205"/>
      <c r="CZ354" s="205"/>
      <c r="DA354" s="205"/>
      <c r="DB354" s="205"/>
      <c r="DC354" s="205"/>
      <c r="DD354" s="205"/>
      <c r="DE354" s="205"/>
      <c r="DF354" s="205"/>
      <c r="DG354" s="205"/>
      <c r="DH354" s="205"/>
      <c r="DI354" s="205"/>
      <c r="DJ354" s="205"/>
      <c r="DK354" s="205"/>
      <c r="DL354" s="205"/>
      <c r="DM354" s="205"/>
      <c r="DN354" s="205"/>
      <c r="DO354" s="205"/>
      <c r="DP354" s="205"/>
      <c r="DQ354" s="205"/>
      <c r="DR354" s="205"/>
      <c r="DS354" s="205"/>
      <c r="DT354" s="205"/>
      <c r="DU354" s="205"/>
      <c r="DV354" s="205"/>
      <c r="DW354" s="205"/>
      <c r="DX354" s="205"/>
      <c r="DY354" s="205"/>
      <c r="DZ354" s="205"/>
      <c r="EA354" s="205"/>
      <c r="EB354" s="205"/>
      <c r="EC354" s="205"/>
      <c r="ED354" s="205"/>
      <c r="EE354" s="205"/>
      <c r="EF354" s="205"/>
      <c r="EG354" s="205"/>
      <c r="EH354" s="205"/>
      <c r="EI354" s="205"/>
      <c r="EJ354" s="205"/>
      <c r="EK354" s="205"/>
      <c r="EL354" s="205"/>
      <c r="EM354" s="205"/>
      <c r="EN354" s="205"/>
      <c r="EO354" s="205"/>
      <c r="EP354" s="205"/>
      <c r="EQ354" s="205"/>
      <c r="ER354" s="205"/>
      <c r="ES354" s="205"/>
      <c r="ET354" s="205"/>
      <c r="EU354" s="205"/>
      <c r="EV354" s="205"/>
      <c r="EW354" s="205"/>
      <c r="EX354" s="205"/>
      <c r="EY354" s="205"/>
      <c r="EZ354" s="205"/>
      <c r="FA354" s="205"/>
      <c r="FB354" s="205"/>
      <c r="FC354" s="205"/>
      <c r="FD354" s="205"/>
      <c r="FE354" s="205"/>
      <c r="FF354" s="205"/>
      <c r="FG354" s="205"/>
      <c r="FH354" s="205"/>
      <c r="FI354" s="205"/>
      <c r="FJ354" s="205"/>
      <c r="FK354" s="205"/>
      <c r="FL354" s="205"/>
      <c r="FM354" s="205"/>
      <c r="FN354" s="205"/>
      <c r="FO354" s="205"/>
      <c r="FP354" s="205"/>
      <c r="FQ354" s="205"/>
      <c r="FR354" s="205"/>
      <c r="FS354" s="205"/>
      <c r="FT354" s="205"/>
      <c r="FU354" s="205"/>
      <c r="FV354" s="205"/>
      <c r="FW354" s="205"/>
      <c r="FX354" s="205"/>
      <c r="FY354" s="205"/>
      <c r="FZ354" s="205"/>
      <c r="GA354" s="205"/>
      <c r="GB354" s="205"/>
      <c r="GC354" s="205"/>
      <c r="GD354" s="205"/>
      <c r="GE354" s="205"/>
      <c r="GF354" s="205"/>
      <c r="GG354" s="205"/>
      <c r="GH354" s="205"/>
      <c r="GI354" s="205"/>
      <c r="GJ354" s="205"/>
      <c r="GK354" s="205"/>
      <c r="GL354" s="205"/>
      <c r="GM354" s="205"/>
      <c r="GN354" s="205"/>
      <c r="GO354" s="205"/>
      <c r="GP354" s="205"/>
      <c r="GQ354" s="205"/>
      <c r="GR354" s="205"/>
      <c r="GS354" s="205"/>
      <c r="GT354" s="205"/>
      <c r="GU354" s="205"/>
      <c r="GV354" s="205"/>
      <c r="GW354" s="205"/>
      <c r="GX354" s="205"/>
      <c r="GY354" s="205"/>
      <c r="GZ354" s="205"/>
      <c r="HA354" s="205"/>
      <c r="HB354" s="205"/>
      <c r="HC354" s="205"/>
      <c r="HD354" s="205"/>
      <c r="HE354" s="205"/>
      <c r="HF354" s="205"/>
      <c r="HG354" s="205"/>
      <c r="HH354" s="205"/>
      <c r="HI354" s="205"/>
      <c r="HJ354" s="205"/>
      <c r="HK354" s="205"/>
      <c r="HL354" s="205"/>
      <c r="HM354" s="205"/>
      <c r="HN354" s="205"/>
      <c r="HO354" s="205"/>
      <c r="HP354" s="205"/>
      <c r="HQ354" s="205"/>
      <c r="HR354" s="205"/>
      <c r="HS354" s="205"/>
      <c r="HT354" s="205"/>
      <c r="HU354" s="205"/>
      <c r="HV354" s="205"/>
      <c r="HW354" s="205"/>
      <c r="HX354" s="205"/>
      <c r="HY354" s="205"/>
      <c r="HZ354" s="205"/>
      <c r="IA354" s="205"/>
      <c r="IB354" s="205"/>
      <c r="IC354" s="205"/>
      <c r="ID354" s="205"/>
      <c r="IE354" s="205"/>
      <c r="IF354" s="205"/>
      <c r="IG354" s="205"/>
      <c r="IH354" s="205"/>
      <c r="II354" s="205"/>
      <c r="IJ354" s="205"/>
      <c r="IK354" s="205"/>
      <c r="IL354" s="205"/>
      <c r="IM354" s="205"/>
      <c r="IN354" s="205"/>
      <c r="IO354" s="205"/>
      <c r="IP354" s="205"/>
      <c r="IQ354" s="205"/>
      <c r="IR354" s="205"/>
      <c r="IS354" s="205"/>
      <c r="IT354" s="205"/>
      <c r="IU354" s="205"/>
      <c r="IV354" s="205"/>
      <c r="IW354" s="205"/>
      <c r="IX354" s="205"/>
    </row>
    <row r="355" spans="1:258" s="203" customFormat="1" x14ac:dyDescent="0.2">
      <c r="A355" s="669"/>
      <c r="B355" s="670"/>
      <c r="C355" s="1390"/>
      <c r="D355" s="672"/>
      <c r="E355" s="1391"/>
      <c r="F355" s="1391"/>
      <c r="G355" s="1392" t="str">
        <f>G302</f>
        <v>Selasar R.Inap</v>
      </c>
      <c r="H355" s="1393">
        <f t="shared" si="152"/>
        <v>22</v>
      </c>
      <c r="I355" s="1394" t="s">
        <v>424</v>
      </c>
      <c r="J355" s="1394">
        <f t="shared" si="153"/>
        <v>2</v>
      </c>
      <c r="K355" s="1394"/>
      <c r="L355" s="1394"/>
      <c r="M355" s="1394"/>
      <c r="N355" s="1394"/>
      <c r="O355" s="1394"/>
      <c r="P355" s="1394"/>
      <c r="Q355" s="1394" t="s">
        <v>696</v>
      </c>
      <c r="R355" s="1363">
        <f>H355*J355</f>
        <v>44</v>
      </c>
      <c r="S355" s="1396"/>
      <c r="T355" s="1397"/>
      <c r="U355" s="205"/>
      <c r="V355" s="685"/>
      <c r="W355" s="205"/>
      <c r="X355" s="205"/>
      <c r="Y355" s="205"/>
      <c r="Z355" s="205"/>
      <c r="AA355" s="205"/>
      <c r="AB355" s="205"/>
      <c r="AC355" s="205"/>
      <c r="AD355" s="205"/>
      <c r="AE355" s="205"/>
      <c r="AF355" s="205"/>
      <c r="AG355" s="205"/>
      <c r="AH355" s="205"/>
      <c r="AI355" s="205"/>
      <c r="AJ355" s="205"/>
      <c r="AK355" s="205"/>
      <c r="AL355" s="205"/>
      <c r="AM355" s="205"/>
      <c r="AN355" s="205"/>
      <c r="AO355" s="205"/>
      <c r="AP355" s="205"/>
      <c r="AQ355" s="205"/>
      <c r="AR355" s="205"/>
      <c r="AS355" s="205"/>
      <c r="AT355" s="205"/>
      <c r="AU355" s="205"/>
      <c r="AV355" s="205"/>
      <c r="AW355" s="205"/>
      <c r="AX355" s="205"/>
      <c r="AY355" s="205"/>
      <c r="AZ355" s="205"/>
      <c r="BA355" s="205"/>
      <c r="BB355" s="205"/>
      <c r="BC355" s="205"/>
      <c r="BD355" s="205"/>
      <c r="BE355" s="205"/>
      <c r="BF355" s="205"/>
      <c r="BG355" s="205"/>
      <c r="BH355" s="205"/>
      <c r="BI355" s="205"/>
      <c r="BJ355" s="205"/>
      <c r="BK355" s="205"/>
      <c r="BL355" s="205"/>
      <c r="BM355" s="205"/>
      <c r="BN355" s="205"/>
      <c r="BO355" s="205"/>
      <c r="BP355" s="205"/>
      <c r="BQ355" s="205"/>
      <c r="BR355" s="205"/>
      <c r="BS355" s="205"/>
      <c r="BT355" s="205"/>
      <c r="BU355" s="205"/>
      <c r="BV355" s="205"/>
      <c r="BW355" s="205"/>
      <c r="BX355" s="205"/>
      <c r="BY355" s="205"/>
      <c r="BZ355" s="205"/>
      <c r="CA355" s="205"/>
      <c r="CB355" s="205"/>
      <c r="CC355" s="205"/>
      <c r="CD355" s="205"/>
      <c r="CE355" s="205"/>
      <c r="CF355" s="205"/>
      <c r="CG355" s="205"/>
      <c r="CH355" s="205"/>
      <c r="CI355" s="205"/>
      <c r="CJ355" s="205"/>
      <c r="CK355" s="205"/>
      <c r="CL355" s="205"/>
      <c r="CM355" s="205"/>
      <c r="CN355" s="205"/>
      <c r="CO355" s="205"/>
      <c r="CP355" s="205"/>
      <c r="CQ355" s="205"/>
      <c r="CR355" s="205"/>
      <c r="CS355" s="205"/>
      <c r="CT355" s="205"/>
      <c r="CU355" s="205"/>
      <c r="CV355" s="205"/>
      <c r="CW355" s="205"/>
      <c r="CX355" s="205"/>
      <c r="CY355" s="205"/>
      <c r="CZ355" s="205"/>
      <c r="DA355" s="205"/>
      <c r="DB355" s="205"/>
      <c r="DC355" s="205"/>
      <c r="DD355" s="205"/>
      <c r="DE355" s="205"/>
      <c r="DF355" s="205"/>
      <c r="DG355" s="205"/>
      <c r="DH355" s="205"/>
      <c r="DI355" s="205"/>
      <c r="DJ355" s="205"/>
      <c r="DK355" s="205"/>
      <c r="DL355" s="205"/>
      <c r="DM355" s="205"/>
      <c r="DN355" s="205"/>
      <c r="DO355" s="205"/>
      <c r="DP355" s="205"/>
      <c r="DQ355" s="205"/>
      <c r="DR355" s="205"/>
      <c r="DS355" s="205"/>
      <c r="DT355" s="205"/>
      <c r="DU355" s="205"/>
      <c r="DV355" s="205"/>
      <c r="DW355" s="205"/>
      <c r="DX355" s="205"/>
      <c r="DY355" s="205"/>
      <c r="DZ355" s="205"/>
      <c r="EA355" s="205"/>
      <c r="EB355" s="205"/>
      <c r="EC355" s="205"/>
      <c r="ED355" s="205"/>
      <c r="EE355" s="205"/>
      <c r="EF355" s="205"/>
      <c r="EG355" s="205"/>
      <c r="EH355" s="205"/>
      <c r="EI355" s="205"/>
      <c r="EJ355" s="205"/>
      <c r="EK355" s="205"/>
      <c r="EL355" s="205"/>
      <c r="EM355" s="205"/>
      <c r="EN355" s="205"/>
      <c r="EO355" s="205"/>
      <c r="EP355" s="205"/>
      <c r="EQ355" s="205"/>
      <c r="ER355" s="205"/>
      <c r="ES355" s="205"/>
      <c r="ET355" s="205"/>
      <c r="EU355" s="205"/>
      <c r="EV355" s="205"/>
      <c r="EW355" s="205"/>
      <c r="EX355" s="205"/>
      <c r="EY355" s="205"/>
      <c r="EZ355" s="205"/>
      <c r="FA355" s="205"/>
      <c r="FB355" s="205"/>
      <c r="FC355" s="205"/>
      <c r="FD355" s="205"/>
      <c r="FE355" s="205"/>
      <c r="FF355" s="205"/>
      <c r="FG355" s="205"/>
      <c r="FH355" s="205"/>
      <c r="FI355" s="205"/>
      <c r="FJ355" s="205"/>
      <c r="FK355" s="205"/>
      <c r="FL355" s="205"/>
      <c r="FM355" s="205"/>
      <c r="FN355" s="205"/>
      <c r="FO355" s="205"/>
      <c r="FP355" s="205"/>
      <c r="FQ355" s="205"/>
      <c r="FR355" s="205"/>
      <c r="FS355" s="205"/>
      <c r="FT355" s="205"/>
      <c r="FU355" s="205"/>
      <c r="FV355" s="205"/>
      <c r="FW355" s="205"/>
      <c r="FX355" s="205"/>
      <c r="FY355" s="205"/>
      <c r="FZ355" s="205"/>
      <c r="GA355" s="205"/>
      <c r="GB355" s="205"/>
      <c r="GC355" s="205"/>
      <c r="GD355" s="205"/>
      <c r="GE355" s="205"/>
      <c r="GF355" s="205"/>
      <c r="GG355" s="205"/>
      <c r="GH355" s="205"/>
      <c r="GI355" s="205"/>
      <c r="GJ355" s="205"/>
      <c r="GK355" s="205"/>
      <c r="GL355" s="205"/>
      <c r="GM355" s="205"/>
      <c r="GN355" s="205"/>
      <c r="GO355" s="205"/>
      <c r="GP355" s="205"/>
      <c r="GQ355" s="205"/>
      <c r="GR355" s="205"/>
      <c r="GS355" s="205"/>
      <c r="GT355" s="205"/>
      <c r="GU355" s="205"/>
      <c r="GV355" s="205"/>
      <c r="GW355" s="205"/>
      <c r="GX355" s="205"/>
      <c r="GY355" s="205"/>
      <c r="GZ355" s="205"/>
      <c r="HA355" s="205"/>
      <c r="HB355" s="205"/>
      <c r="HC355" s="205"/>
      <c r="HD355" s="205"/>
      <c r="HE355" s="205"/>
      <c r="HF355" s="205"/>
      <c r="HG355" s="205"/>
      <c r="HH355" s="205"/>
      <c r="HI355" s="205"/>
      <c r="HJ355" s="205"/>
      <c r="HK355" s="205"/>
      <c r="HL355" s="205"/>
      <c r="HM355" s="205"/>
      <c r="HN355" s="205"/>
      <c r="HO355" s="205"/>
      <c r="HP355" s="205"/>
      <c r="HQ355" s="205"/>
      <c r="HR355" s="205"/>
      <c r="HS355" s="205"/>
      <c r="HT355" s="205"/>
      <c r="HU355" s="205"/>
      <c r="HV355" s="205"/>
      <c r="HW355" s="205"/>
      <c r="HX355" s="205"/>
      <c r="HY355" s="205"/>
      <c r="HZ355" s="205"/>
      <c r="IA355" s="205"/>
      <c r="IB355" s="205"/>
      <c r="IC355" s="205"/>
      <c r="ID355" s="205"/>
      <c r="IE355" s="205"/>
      <c r="IF355" s="205"/>
      <c r="IG355" s="205"/>
      <c r="IH355" s="205"/>
      <c r="II355" s="205"/>
      <c r="IJ355" s="205"/>
      <c r="IK355" s="205"/>
      <c r="IL355" s="205"/>
      <c r="IM355" s="205"/>
      <c r="IN355" s="205"/>
      <c r="IO355" s="205"/>
      <c r="IP355" s="205"/>
      <c r="IQ355" s="205"/>
      <c r="IR355" s="205"/>
      <c r="IS355" s="205"/>
      <c r="IT355" s="205"/>
      <c r="IU355" s="205"/>
      <c r="IV355" s="205"/>
      <c r="IW355" s="205"/>
      <c r="IX355" s="205"/>
    </row>
    <row r="356" spans="1:258" s="203" customFormat="1" x14ac:dyDescent="0.2">
      <c r="A356" s="669"/>
      <c r="B356" s="670"/>
      <c r="C356" s="1390"/>
      <c r="D356" s="672"/>
      <c r="E356" s="1391"/>
      <c r="F356" s="1391"/>
      <c r="G356" s="1392"/>
      <c r="H356" s="1393">
        <f t="shared" si="152"/>
        <v>5</v>
      </c>
      <c r="I356" s="1394" t="s">
        <v>424</v>
      </c>
      <c r="J356" s="1394">
        <f t="shared" si="153"/>
        <v>1.85</v>
      </c>
      <c r="K356" s="1394"/>
      <c r="L356" s="1394"/>
      <c r="M356" s="1394"/>
      <c r="N356" s="1394"/>
      <c r="O356" s="1394"/>
      <c r="P356" s="1394"/>
      <c r="Q356" s="1394" t="s">
        <v>696</v>
      </c>
      <c r="R356" s="1363">
        <f>H356*J356</f>
        <v>9.25</v>
      </c>
      <c r="S356" s="1396"/>
      <c r="T356" s="1397"/>
      <c r="U356" s="205"/>
      <c r="V356" s="685"/>
      <c r="W356" s="205"/>
      <c r="X356" s="205"/>
      <c r="Y356" s="205"/>
      <c r="Z356" s="205"/>
      <c r="AA356" s="205"/>
      <c r="AB356" s="205"/>
      <c r="AC356" s="205"/>
      <c r="AD356" s="205"/>
      <c r="AE356" s="205"/>
      <c r="AF356" s="205"/>
      <c r="AG356" s="205"/>
      <c r="AH356" s="205"/>
      <c r="AI356" s="205"/>
      <c r="AJ356" s="205"/>
      <c r="AK356" s="205"/>
      <c r="AL356" s="205"/>
      <c r="AM356" s="205"/>
      <c r="AN356" s="205"/>
      <c r="AO356" s="205"/>
      <c r="AP356" s="205"/>
      <c r="AQ356" s="205"/>
      <c r="AR356" s="205"/>
      <c r="AS356" s="205"/>
      <c r="AT356" s="205"/>
      <c r="AU356" s="205"/>
      <c r="AV356" s="205"/>
      <c r="AW356" s="205"/>
      <c r="AX356" s="205"/>
      <c r="AY356" s="205"/>
      <c r="AZ356" s="205"/>
      <c r="BA356" s="205"/>
      <c r="BB356" s="205"/>
      <c r="BC356" s="205"/>
      <c r="BD356" s="205"/>
      <c r="BE356" s="205"/>
      <c r="BF356" s="205"/>
      <c r="BG356" s="205"/>
      <c r="BH356" s="205"/>
      <c r="BI356" s="205"/>
      <c r="BJ356" s="205"/>
      <c r="BK356" s="205"/>
      <c r="BL356" s="205"/>
      <c r="BM356" s="205"/>
      <c r="BN356" s="205"/>
      <c r="BO356" s="205"/>
      <c r="BP356" s="205"/>
      <c r="BQ356" s="205"/>
      <c r="BR356" s="205"/>
      <c r="BS356" s="205"/>
      <c r="BT356" s="205"/>
      <c r="BU356" s="205"/>
      <c r="BV356" s="205"/>
      <c r="BW356" s="205"/>
      <c r="BX356" s="205"/>
      <c r="BY356" s="205"/>
      <c r="BZ356" s="205"/>
      <c r="CA356" s="205"/>
      <c r="CB356" s="205"/>
      <c r="CC356" s="205"/>
      <c r="CD356" s="205"/>
      <c r="CE356" s="205"/>
      <c r="CF356" s="205"/>
      <c r="CG356" s="205"/>
      <c r="CH356" s="205"/>
      <c r="CI356" s="205"/>
      <c r="CJ356" s="205"/>
      <c r="CK356" s="205"/>
      <c r="CL356" s="205"/>
      <c r="CM356" s="205"/>
      <c r="CN356" s="205"/>
      <c r="CO356" s="205"/>
      <c r="CP356" s="205"/>
      <c r="CQ356" s="205"/>
      <c r="CR356" s="205"/>
      <c r="CS356" s="205"/>
      <c r="CT356" s="205"/>
      <c r="CU356" s="205"/>
      <c r="CV356" s="205"/>
      <c r="CW356" s="205"/>
      <c r="CX356" s="205"/>
      <c r="CY356" s="205"/>
      <c r="CZ356" s="205"/>
      <c r="DA356" s="205"/>
      <c r="DB356" s="205"/>
      <c r="DC356" s="205"/>
      <c r="DD356" s="205"/>
      <c r="DE356" s="205"/>
      <c r="DF356" s="205"/>
      <c r="DG356" s="205"/>
      <c r="DH356" s="205"/>
      <c r="DI356" s="205"/>
      <c r="DJ356" s="205"/>
      <c r="DK356" s="205"/>
      <c r="DL356" s="205"/>
      <c r="DM356" s="205"/>
      <c r="DN356" s="205"/>
      <c r="DO356" s="205"/>
      <c r="DP356" s="205"/>
      <c r="DQ356" s="205"/>
      <c r="DR356" s="205"/>
      <c r="DS356" s="205"/>
      <c r="DT356" s="205"/>
      <c r="DU356" s="205"/>
      <c r="DV356" s="205"/>
      <c r="DW356" s="205"/>
      <c r="DX356" s="205"/>
      <c r="DY356" s="205"/>
      <c r="DZ356" s="205"/>
      <c r="EA356" s="205"/>
      <c r="EB356" s="205"/>
      <c r="EC356" s="205"/>
      <c r="ED356" s="205"/>
      <c r="EE356" s="205"/>
      <c r="EF356" s="205"/>
      <c r="EG356" s="205"/>
      <c r="EH356" s="205"/>
      <c r="EI356" s="205"/>
      <c r="EJ356" s="205"/>
      <c r="EK356" s="205"/>
      <c r="EL356" s="205"/>
      <c r="EM356" s="205"/>
      <c r="EN356" s="205"/>
      <c r="EO356" s="205"/>
      <c r="EP356" s="205"/>
      <c r="EQ356" s="205"/>
      <c r="ER356" s="205"/>
      <c r="ES356" s="205"/>
      <c r="ET356" s="205"/>
      <c r="EU356" s="205"/>
      <c r="EV356" s="205"/>
      <c r="EW356" s="205"/>
      <c r="EX356" s="205"/>
      <c r="EY356" s="205"/>
      <c r="EZ356" s="205"/>
      <c r="FA356" s="205"/>
      <c r="FB356" s="205"/>
      <c r="FC356" s="205"/>
      <c r="FD356" s="205"/>
      <c r="FE356" s="205"/>
      <c r="FF356" s="205"/>
      <c r="FG356" s="205"/>
      <c r="FH356" s="205"/>
      <c r="FI356" s="205"/>
      <c r="FJ356" s="205"/>
      <c r="FK356" s="205"/>
      <c r="FL356" s="205"/>
      <c r="FM356" s="205"/>
      <c r="FN356" s="205"/>
      <c r="FO356" s="205"/>
      <c r="FP356" s="205"/>
      <c r="FQ356" s="205"/>
      <c r="FR356" s="205"/>
      <c r="FS356" s="205"/>
      <c r="FT356" s="205"/>
      <c r="FU356" s="205"/>
      <c r="FV356" s="205"/>
      <c r="FW356" s="205"/>
      <c r="FX356" s="205"/>
      <c r="FY356" s="205"/>
      <c r="FZ356" s="205"/>
      <c r="GA356" s="205"/>
      <c r="GB356" s="205"/>
      <c r="GC356" s="205"/>
      <c r="GD356" s="205"/>
      <c r="GE356" s="205"/>
      <c r="GF356" s="205"/>
      <c r="GG356" s="205"/>
      <c r="GH356" s="205"/>
      <c r="GI356" s="205"/>
      <c r="GJ356" s="205"/>
      <c r="GK356" s="205"/>
      <c r="GL356" s="205"/>
      <c r="GM356" s="205"/>
      <c r="GN356" s="205"/>
      <c r="GO356" s="205"/>
      <c r="GP356" s="205"/>
      <c r="GQ356" s="205"/>
      <c r="GR356" s="205"/>
      <c r="GS356" s="205"/>
      <c r="GT356" s="205"/>
      <c r="GU356" s="205"/>
      <c r="GV356" s="205"/>
      <c r="GW356" s="205"/>
      <c r="GX356" s="205"/>
      <c r="GY356" s="205"/>
      <c r="GZ356" s="205"/>
      <c r="HA356" s="205"/>
      <c r="HB356" s="205"/>
      <c r="HC356" s="205"/>
      <c r="HD356" s="205"/>
      <c r="HE356" s="205"/>
      <c r="HF356" s="205"/>
      <c r="HG356" s="205"/>
      <c r="HH356" s="205"/>
      <c r="HI356" s="205"/>
      <c r="HJ356" s="205"/>
      <c r="HK356" s="205"/>
      <c r="HL356" s="205"/>
      <c r="HM356" s="205"/>
      <c r="HN356" s="205"/>
      <c r="HO356" s="205"/>
      <c r="HP356" s="205"/>
      <c r="HQ356" s="205"/>
      <c r="HR356" s="205"/>
      <c r="HS356" s="205"/>
      <c r="HT356" s="205"/>
      <c r="HU356" s="205"/>
      <c r="HV356" s="205"/>
      <c r="HW356" s="205"/>
      <c r="HX356" s="205"/>
      <c r="HY356" s="205"/>
      <c r="HZ356" s="205"/>
      <c r="IA356" s="205"/>
      <c r="IB356" s="205"/>
      <c r="IC356" s="205"/>
      <c r="ID356" s="205"/>
      <c r="IE356" s="205"/>
      <c r="IF356" s="205"/>
      <c r="IG356" s="205"/>
      <c r="IH356" s="205"/>
      <c r="II356" s="205"/>
      <c r="IJ356" s="205"/>
      <c r="IK356" s="205"/>
      <c r="IL356" s="205"/>
      <c r="IM356" s="205"/>
      <c r="IN356" s="205"/>
      <c r="IO356" s="205"/>
      <c r="IP356" s="205"/>
      <c r="IQ356" s="205"/>
      <c r="IR356" s="205"/>
      <c r="IS356" s="205"/>
      <c r="IT356" s="205"/>
      <c r="IU356" s="205"/>
      <c r="IV356" s="205"/>
      <c r="IW356" s="205"/>
      <c r="IX356" s="205"/>
    </row>
    <row r="357" spans="1:258" s="203" customFormat="1" x14ac:dyDescent="0.2">
      <c r="A357" s="669"/>
      <c r="B357" s="670"/>
      <c r="C357" s="1390"/>
      <c r="D357" s="672"/>
      <c r="E357" s="1391"/>
      <c r="F357" s="1391"/>
      <c r="G357" s="1392"/>
      <c r="H357" s="1393">
        <f t="shared" si="152"/>
        <v>3.85</v>
      </c>
      <c r="I357" s="1394" t="s">
        <v>424</v>
      </c>
      <c r="J357" s="1394">
        <f t="shared" si="153"/>
        <v>2.5</v>
      </c>
      <c r="K357" s="1394"/>
      <c r="L357" s="1394"/>
      <c r="M357" s="1394"/>
      <c r="N357" s="1394"/>
      <c r="O357" s="1394"/>
      <c r="P357" s="1394"/>
      <c r="Q357" s="1394" t="s">
        <v>696</v>
      </c>
      <c r="R357" s="1363">
        <f>H357*J357</f>
        <v>9.625</v>
      </c>
      <c r="S357" s="1396"/>
      <c r="T357" s="1397"/>
      <c r="U357" s="205"/>
      <c r="V357" s="685"/>
      <c r="W357" s="205"/>
      <c r="X357" s="205"/>
      <c r="Y357" s="205"/>
      <c r="Z357" s="205"/>
      <c r="AA357" s="205"/>
      <c r="AB357" s="205"/>
      <c r="AC357" s="205"/>
      <c r="AD357" s="205"/>
      <c r="AE357" s="205"/>
      <c r="AF357" s="205"/>
      <c r="AG357" s="205"/>
      <c r="AH357" s="205"/>
      <c r="AI357" s="205"/>
      <c r="AJ357" s="205"/>
      <c r="AK357" s="205"/>
      <c r="AL357" s="205"/>
      <c r="AM357" s="205"/>
      <c r="AN357" s="205"/>
      <c r="AO357" s="205"/>
      <c r="AP357" s="205"/>
      <c r="AQ357" s="205"/>
      <c r="AR357" s="205"/>
      <c r="AS357" s="205"/>
      <c r="AT357" s="205"/>
      <c r="AU357" s="205"/>
      <c r="AV357" s="205"/>
      <c r="AW357" s="205"/>
      <c r="AX357" s="205"/>
      <c r="AY357" s="205"/>
      <c r="AZ357" s="205"/>
      <c r="BA357" s="205"/>
      <c r="BB357" s="205"/>
      <c r="BC357" s="205"/>
      <c r="BD357" s="205"/>
      <c r="BE357" s="205"/>
      <c r="BF357" s="205"/>
      <c r="BG357" s="205"/>
      <c r="BH357" s="205"/>
      <c r="BI357" s="205"/>
      <c r="BJ357" s="205"/>
      <c r="BK357" s="205"/>
      <c r="BL357" s="205"/>
      <c r="BM357" s="205"/>
      <c r="BN357" s="205"/>
      <c r="BO357" s="205"/>
      <c r="BP357" s="205"/>
      <c r="BQ357" s="205"/>
      <c r="BR357" s="205"/>
      <c r="BS357" s="205"/>
      <c r="BT357" s="205"/>
      <c r="BU357" s="205"/>
      <c r="BV357" s="205"/>
      <c r="BW357" s="205"/>
      <c r="BX357" s="205"/>
      <c r="BY357" s="205"/>
      <c r="BZ357" s="205"/>
      <c r="CA357" s="205"/>
      <c r="CB357" s="205"/>
      <c r="CC357" s="205"/>
      <c r="CD357" s="205"/>
      <c r="CE357" s="205"/>
      <c r="CF357" s="205"/>
      <c r="CG357" s="205"/>
      <c r="CH357" s="205"/>
      <c r="CI357" s="205"/>
      <c r="CJ357" s="205"/>
      <c r="CK357" s="205"/>
      <c r="CL357" s="205"/>
      <c r="CM357" s="205"/>
      <c r="CN357" s="205"/>
      <c r="CO357" s="205"/>
      <c r="CP357" s="205"/>
      <c r="CQ357" s="205"/>
      <c r="CR357" s="205"/>
      <c r="CS357" s="205"/>
      <c r="CT357" s="205"/>
      <c r="CU357" s="205"/>
      <c r="CV357" s="205"/>
      <c r="CW357" s="205"/>
      <c r="CX357" s="205"/>
      <c r="CY357" s="205"/>
      <c r="CZ357" s="205"/>
      <c r="DA357" s="205"/>
      <c r="DB357" s="205"/>
      <c r="DC357" s="205"/>
      <c r="DD357" s="205"/>
      <c r="DE357" s="205"/>
      <c r="DF357" s="205"/>
      <c r="DG357" s="205"/>
      <c r="DH357" s="205"/>
      <c r="DI357" s="205"/>
      <c r="DJ357" s="205"/>
      <c r="DK357" s="205"/>
      <c r="DL357" s="205"/>
      <c r="DM357" s="205"/>
      <c r="DN357" s="205"/>
      <c r="DO357" s="205"/>
      <c r="DP357" s="205"/>
      <c r="DQ357" s="205"/>
      <c r="DR357" s="205"/>
      <c r="DS357" s="205"/>
      <c r="DT357" s="205"/>
      <c r="DU357" s="205"/>
      <c r="DV357" s="205"/>
      <c r="DW357" s="205"/>
      <c r="DX357" s="205"/>
      <c r="DY357" s="205"/>
      <c r="DZ357" s="205"/>
      <c r="EA357" s="205"/>
      <c r="EB357" s="205"/>
      <c r="EC357" s="205"/>
      <c r="ED357" s="205"/>
      <c r="EE357" s="205"/>
      <c r="EF357" s="205"/>
      <c r="EG357" s="205"/>
      <c r="EH357" s="205"/>
      <c r="EI357" s="205"/>
      <c r="EJ357" s="205"/>
      <c r="EK357" s="205"/>
      <c r="EL357" s="205"/>
      <c r="EM357" s="205"/>
      <c r="EN357" s="205"/>
      <c r="EO357" s="205"/>
      <c r="EP357" s="205"/>
      <c r="EQ357" s="205"/>
      <c r="ER357" s="205"/>
      <c r="ES357" s="205"/>
      <c r="ET357" s="205"/>
      <c r="EU357" s="205"/>
      <c r="EV357" s="205"/>
      <c r="EW357" s="205"/>
      <c r="EX357" s="205"/>
      <c r="EY357" s="205"/>
      <c r="EZ357" s="205"/>
      <c r="FA357" s="205"/>
      <c r="FB357" s="205"/>
      <c r="FC357" s="205"/>
      <c r="FD357" s="205"/>
      <c r="FE357" s="205"/>
      <c r="FF357" s="205"/>
      <c r="FG357" s="205"/>
      <c r="FH357" s="205"/>
      <c r="FI357" s="205"/>
      <c r="FJ357" s="205"/>
      <c r="FK357" s="205"/>
      <c r="FL357" s="205"/>
      <c r="FM357" s="205"/>
      <c r="FN357" s="205"/>
      <c r="FO357" s="205"/>
      <c r="FP357" s="205"/>
      <c r="FQ357" s="205"/>
      <c r="FR357" s="205"/>
      <c r="FS357" s="205"/>
      <c r="FT357" s="205"/>
      <c r="FU357" s="205"/>
      <c r="FV357" s="205"/>
      <c r="FW357" s="205"/>
      <c r="FX357" s="205"/>
      <c r="FY357" s="205"/>
      <c r="FZ357" s="205"/>
      <c r="GA357" s="205"/>
      <c r="GB357" s="205"/>
      <c r="GC357" s="205"/>
      <c r="GD357" s="205"/>
      <c r="GE357" s="205"/>
      <c r="GF357" s="205"/>
      <c r="GG357" s="205"/>
      <c r="GH357" s="205"/>
      <c r="GI357" s="205"/>
      <c r="GJ357" s="205"/>
      <c r="GK357" s="205"/>
      <c r="GL357" s="205"/>
      <c r="GM357" s="205"/>
      <c r="GN357" s="205"/>
      <c r="GO357" s="205"/>
      <c r="GP357" s="205"/>
      <c r="GQ357" s="205"/>
      <c r="GR357" s="205"/>
      <c r="GS357" s="205"/>
      <c r="GT357" s="205"/>
      <c r="GU357" s="205"/>
      <c r="GV357" s="205"/>
      <c r="GW357" s="205"/>
      <c r="GX357" s="205"/>
      <c r="GY357" s="205"/>
      <c r="GZ357" s="205"/>
      <c r="HA357" s="205"/>
      <c r="HB357" s="205"/>
      <c r="HC357" s="205"/>
      <c r="HD357" s="205"/>
      <c r="HE357" s="205"/>
      <c r="HF357" s="205"/>
      <c r="HG357" s="205"/>
      <c r="HH357" s="205"/>
      <c r="HI357" s="205"/>
      <c r="HJ357" s="205"/>
      <c r="HK357" s="205"/>
      <c r="HL357" s="205"/>
      <c r="HM357" s="205"/>
      <c r="HN357" s="205"/>
      <c r="HO357" s="205"/>
      <c r="HP357" s="205"/>
      <c r="HQ357" s="205"/>
      <c r="HR357" s="205"/>
      <c r="HS357" s="205"/>
      <c r="HT357" s="205"/>
      <c r="HU357" s="205"/>
      <c r="HV357" s="205"/>
      <c r="HW357" s="205"/>
      <c r="HX357" s="205"/>
      <c r="HY357" s="205"/>
      <c r="HZ357" s="205"/>
      <c r="IA357" s="205"/>
      <c r="IB357" s="205"/>
      <c r="IC357" s="205"/>
      <c r="ID357" s="205"/>
      <c r="IE357" s="205"/>
      <c r="IF357" s="205"/>
      <c r="IG357" s="205"/>
      <c r="IH357" s="205"/>
      <c r="II357" s="205"/>
      <c r="IJ357" s="205"/>
      <c r="IK357" s="205"/>
      <c r="IL357" s="205"/>
      <c r="IM357" s="205"/>
      <c r="IN357" s="205"/>
      <c r="IO357" s="205"/>
      <c r="IP357" s="205"/>
      <c r="IQ357" s="205"/>
      <c r="IR357" s="205"/>
      <c r="IS357" s="205"/>
      <c r="IT357" s="205"/>
      <c r="IU357" s="205"/>
      <c r="IV357" s="205"/>
      <c r="IW357" s="205"/>
      <c r="IX357" s="205"/>
    </row>
    <row r="358" spans="1:258" s="203" customFormat="1" x14ac:dyDescent="0.2">
      <c r="A358" s="669"/>
      <c r="B358" s="670"/>
      <c r="C358" s="1390"/>
      <c r="D358" s="672"/>
      <c r="E358" s="1391" t="s">
        <v>1732</v>
      </c>
      <c r="F358" s="1391"/>
      <c r="G358" s="1392" t="s">
        <v>1733</v>
      </c>
      <c r="H358" s="1393">
        <f>19.5+22+7+12+3</f>
        <v>63.5</v>
      </c>
      <c r="I358" s="1394" t="s">
        <v>424</v>
      </c>
      <c r="J358" s="1394">
        <v>1</v>
      </c>
      <c r="K358" s="1394"/>
      <c r="L358" s="1394"/>
      <c r="M358" s="1394"/>
      <c r="N358" s="1394"/>
      <c r="O358" s="1394"/>
      <c r="P358" s="1394"/>
      <c r="Q358" s="1394" t="s">
        <v>696</v>
      </c>
      <c r="R358" s="1363">
        <f t="shared" ref="R358:R359" si="154">H358*J358</f>
        <v>63.5</v>
      </c>
      <c r="S358" s="1396"/>
      <c r="T358" s="1397"/>
      <c r="U358" s="205"/>
      <c r="V358" s="685"/>
      <c r="W358" s="205"/>
      <c r="X358" s="205"/>
      <c r="Y358" s="205"/>
      <c r="Z358" s="205"/>
      <c r="AA358" s="205"/>
      <c r="AB358" s="205"/>
      <c r="AC358" s="205"/>
      <c r="AD358" s="205"/>
      <c r="AE358" s="205"/>
      <c r="AF358" s="205"/>
      <c r="AG358" s="205"/>
      <c r="AH358" s="205"/>
      <c r="AI358" s="205"/>
      <c r="AJ358" s="205"/>
      <c r="AK358" s="205"/>
      <c r="AL358" s="205"/>
      <c r="AM358" s="205"/>
      <c r="AN358" s="205"/>
      <c r="AO358" s="205"/>
      <c r="AP358" s="205"/>
      <c r="AQ358" s="205"/>
      <c r="AR358" s="205"/>
      <c r="AS358" s="205"/>
      <c r="AT358" s="205"/>
      <c r="AU358" s="205"/>
      <c r="AV358" s="205"/>
      <c r="AW358" s="205"/>
      <c r="AX358" s="205"/>
      <c r="AY358" s="205"/>
      <c r="AZ358" s="205"/>
      <c r="BA358" s="205"/>
      <c r="BB358" s="205"/>
      <c r="BC358" s="205"/>
      <c r="BD358" s="205"/>
      <c r="BE358" s="205"/>
      <c r="BF358" s="205"/>
      <c r="BG358" s="205"/>
      <c r="BH358" s="205"/>
      <c r="BI358" s="205"/>
      <c r="BJ358" s="205"/>
      <c r="BK358" s="205"/>
      <c r="BL358" s="205"/>
      <c r="BM358" s="205"/>
      <c r="BN358" s="205"/>
      <c r="BO358" s="205"/>
      <c r="BP358" s="205"/>
      <c r="BQ358" s="205"/>
      <c r="BR358" s="205"/>
      <c r="BS358" s="205"/>
      <c r="BT358" s="205"/>
      <c r="BU358" s="205"/>
      <c r="BV358" s="205"/>
      <c r="BW358" s="205"/>
      <c r="BX358" s="205"/>
      <c r="BY358" s="205"/>
      <c r="BZ358" s="205"/>
      <c r="CA358" s="205"/>
      <c r="CB358" s="205"/>
      <c r="CC358" s="205"/>
      <c r="CD358" s="205"/>
      <c r="CE358" s="205"/>
      <c r="CF358" s="205"/>
      <c r="CG358" s="205"/>
      <c r="CH358" s="205"/>
      <c r="CI358" s="205"/>
      <c r="CJ358" s="205"/>
      <c r="CK358" s="205"/>
      <c r="CL358" s="205"/>
      <c r="CM358" s="205"/>
      <c r="CN358" s="205"/>
      <c r="CO358" s="205"/>
      <c r="CP358" s="205"/>
      <c r="CQ358" s="205"/>
      <c r="CR358" s="205"/>
      <c r="CS358" s="205"/>
      <c r="CT358" s="205"/>
      <c r="CU358" s="205"/>
      <c r="CV358" s="205"/>
      <c r="CW358" s="205"/>
      <c r="CX358" s="205"/>
      <c r="CY358" s="205"/>
      <c r="CZ358" s="205"/>
      <c r="DA358" s="205"/>
      <c r="DB358" s="205"/>
      <c r="DC358" s="205"/>
      <c r="DD358" s="205"/>
      <c r="DE358" s="205"/>
      <c r="DF358" s="205"/>
      <c r="DG358" s="205"/>
      <c r="DH358" s="205"/>
      <c r="DI358" s="205"/>
      <c r="DJ358" s="205"/>
      <c r="DK358" s="205"/>
      <c r="DL358" s="205"/>
      <c r="DM358" s="205"/>
      <c r="DN358" s="205"/>
      <c r="DO358" s="205"/>
      <c r="DP358" s="205"/>
      <c r="DQ358" s="205"/>
      <c r="DR358" s="205"/>
      <c r="DS358" s="205"/>
      <c r="DT358" s="205"/>
      <c r="DU358" s="205"/>
      <c r="DV358" s="205"/>
      <c r="DW358" s="205"/>
      <c r="DX358" s="205"/>
      <c r="DY358" s="205"/>
      <c r="DZ358" s="205"/>
      <c r="EA358" s="205"/>
      <c r="EB358" s="205"/>
      <c r="EC358" s="205"/>
      <c r="ED358" s="205"/>
      <c r="EE358" s="205"/>
      <c r="EF358" s="205"/>
      <c r="EG358" s="205"/>
      <c r="EH358" s="205"/>
      <c r="EI358" s="205"/>
      <c r="EJ358" s="205"/>
      <c r="EK358" s="205"/>
      <c r="EL358" s="205"/>
      <c r="EM358" s="205"/>
      <c r="EN358" s="205"/>
      <c r="EO358" s="205"/>
      <c r="EP358" s="205"/>
      <c r="EQ358" s="205"/>
      <c r="ER358" s="205"/>
      <c r="ES358" s="205"/>
      <c r="ET358" s="205"/>
      <c r="EU358" s="205"/>
      <c r="EV358" s="205"/>
      <c r="EW358" s="205"/>
      <c r="EX358" s="205"/>
      <c r="EY358" s="205"/>
      <c r="EZ358" s="205"/>
      <c r="FA358" s="205"/>
      <c r="FB358" s="205"/>
      <c r="FC358" s="205"/>
      <c r="FD358" s="205"/>
      <c r="FE358" s="205"/>
      <c r="FF358" s="205"/>
      <c r="FG358" s="205"/>
      <c r="FH358" s="205"/>
      <c r="FI358" s="205"/>
      <c r="FJ358" s="205"/>
      <c r="FK358" s="205"/>
      <c r="FL358" s="205"/>
      <c r="FM358" s="205"/>
      <c r="FN358" s="205"/>
      <c r="FO358" s="205"/>
      <c r="FP358" s="205"/>
      <c r="FQ358" s="205"/>
      <c r="FR358" s="205"/>
      <c r="FS358" s="205"/>
      <c r="FT358" s="205"/>
      <c r="FU358" s="205"/>
      <c r="FV358" s="205"/>
      <c r="FW358" s="205"/>
      <c r="FX358" s="205"/>
      <c r="FY358" s="205"/>
      <c r="FZ358" s="205"/>
      <c r="GA358" s="205"/>
      <c r="GB358" s="205"/>
      <c r="GC358" s="205"/>
      <c r="GD358" s="205"/>
      <c r="GE358" s="205"/>
      <c r="GF358" s="205"/>
      <c r="GG358" s="205"/>
      <c r="GH358" s="205"/>
      <c r="GI358" s="205"/>
      <c r="GJ358" s="205"/>
      <c r="GK358" s="205"/>
      <c r="GL358" s="205"/>
      <c r="GM358" s="205"/>
      <c r="GN358" s="205"/>
      <c r="GO358" s="205"/>
      <c r="GP358" s="205"/>
      <c r="GQ358" s="205"/>
      <c r="GR358" s="205"/>
      <c r="GS358" s="205"/>
      <c r="GT358" s="205"/>
      <c r="GU358" s="205"/>
      <c r="GV358" s="205"/>
      <c r="GW358" s="205"/>
      <c r="GX358" s="205"/>
      <c r="GY358" s="205"/>
      <c r="GZ358" s="205"/>
      <c r="HA358" s="205"/>
      <c r="HB358" s="205"/>
      <c r="HC358" s="205"/>
      <c r="HD358" s="205"/>
      <c r="HE358" s="205"/>
      <c r="HF358" s="205"/>
      <c r="HG358" s="205"/>
      <c r="HH358" s="205"/>
      <c r="HI358" s="205"/>
      <c r="HJ358" s="205"/>
      <c r="HK358" s="205"/>
      <c r="HL358" s="205"/>
      <c r="HM358" s="205"/>
      <c r="HN358" s="205"/>
      <c r="HO358" s="205"/>
      <c r="HP358" s="205"/>
      <c r="HQ358" s="205"/>
      <c r="HR358" s="205"/>
      <c r="HS358" s="205"/>
      <c r="HT358" s="205"/>
      <c r="HU358" s="205"/>
      <c r="HV358" s="205"/>
      <c r="HW358" s="205"/>
      <c r="HX358" s="205"/>
      <c r="HY358" s="205"/>
      <c r="HZ358" s="205"/>
      <c r="IA358" s="205"/>
      <c r="IB358" s="205"/>
      <c r="IC358" s="205"/>
      <c r="ID358" s="205"/>
      <c r="IE358" s="205"/>
      <c r="IF358" s="205"/>
      <c r="IG358" s="205"/>
      <c r="IH358" s="205"/>
      <c r="II358" s="205"/>
      <c r="IJ358" s="205"/>
      <c r="IK358" s="205"/>
      <c r="IL358" s="205"/>
      <c r="IM358" s="205"/>
      <c r="IN358" s="205"/>
      <c r="IO358" s="205"/>
      <c r="IP358" s="205"/>
      <c r="IQ358" s="205"/>
      <c r="IR358" s="205"/>
      <c r="IS358" s="205"/>
      <c r="IT358" s="205"/>
      <c r="IU358" s="205"/>
      <c r="IV358" s="205"/>
      <c r="IW358" s="205"/>
      <c r="IX358" s="205"/>
    </row>
    <row r="359" spans="1:258" s="203" customFormat="1" x14ac:dyDescent="0.2">
      <c r="A359" s="669"/>
      <c r="B359" s="670"/>
      <c r="C359" s="1390"/>
      <c r="D359" s="672"/>
      <c r="E359" s="1391"/>
      <c r="F359" s="1391"/>
      <c r="G359" s="1392" t="s">
        <v>1734</v>
      </c>
      <c r="H359" s="1393">
        <f>20+10</f>
        <v>30</v>
      </c>
      <c r="I359" s="1394" t="s">
        <v>424</v>
      </c>
      <c r="J359" s="1394">
        <v>1</v>
      </c>
      <c r="K359" s="1394"/>
      <c r="L359" s="1394"/>
      <c r="M359" s="1394"/>
      <c r="N359" s="1394"/>
      <c r="O359" s="1394"/>
      <c r="P359" s="1394"/>
      <c r="Q359" s="1394" t="s">
        <v>696</v>
      </c>
      <c r="R359" s="1363">
        <f t="shared" si="154"/>
        <v>30</v>
      </c>
      <c r="S359" s="1396"/>
      <c r="T359" s="1397"/>
      <c r="U359" s="205"/>
      <c r="V359" s="685"/>
      <c r="W359" s="205"/>
      <c r="X359" s="205"/>
      <c r="Y359" s="205"/>
      <c r="Z359" s="205"/>
      <c r="AA359" s="205"/>
      <c r="AB359" s="205"/>
      <c r="AC359" s="205"/>
      <c r="AD359" s="205"/>
      <c r="AE359" s="205"/>
      <c r="AF359" s="205"/>
      <c r="AG359" s="205"/>
      <c r="AH359" s="205"/>
      <c r="AI359" s="205"/>
      <c r="AJ359" s="205"/>
      <c r="AK359" s="205"/>
      <c r="AL359" s="205"/>
      <c r="AM359" s="205"/>
      <c r="AN359" s="205"/>
      <c r="AO359" s="205"/>
      <c r="AP359" s="205"/>
      <c r="AQ359" s="205"/>
      <c r="AR359" s="205"/>
      <c r="AS359" s="205"/>
      <c r="AT359" s="205"/>
      <c r="AU359" s="205"/>
      <c r="AV359" s="205"/>
      <c r="AW359" s="205"/>
      <c r="AX359" s="205"/>
      <c r="AY359" s="205"/>
      <c r="AZ359" s="205"/>
      <c r="BA359" s="205"/>
      <c r="BB359" s="205"/>
      <c r="BC359" s="205"/>
      <c r="BD359" s="205"/>
      <c r="BE359" s="205"/>
      <c r="BF359" s="205"/>
      <c r="BG359" s="205"/>
      <c r="BH359" s="205"/>
      <c r="BI359" s="205"/>
      <c r="BJ359" s="205"/>
      <c r="BK359" s="205"/>
      <c r="BL359" s="205"/>
      <c r="BM359" s="205"/>
      <c r="BN359" s="205"/>
      <c r="BO359" s="205"/>
      <c r="BP359" s="205"/>
      <c r="BQ359" s="205"/>
      <c r="BR359" s="205"/>
      <c r="BS359" s="205"/>
      <c r="BT359" s="205"/>
      <c r="BU359" s="205"/>
      <c r="BV359" s="205"/>
      <c r="BW359" s="205"/>
      <c r="BX359" s="205"/>
      <c r="BY359" s="205"/>
      <c r="BZ359" s="205"/>
      <c r="CA359" s="205"/>
      <c r="CB359" s="205"/>
      <c r="CC359" s="205"/>
      <c r="CD359" s="205"/>
      <c r="CE359" s="205"/>
      <c r="CF359" s="205"/>
      <c r="CG359" s="205"/>
      <c r="CH359" s="205"/>
      <c r="CI359" s="205"/>
      <c r="CJ359" s="205"/>
      <c r="CK359" s="205"/>
      <c r="CL359" s="205"/>
      <c r="CM359" s="205"/>
      <c r="CN359" s="205"/>
      <c r="CO359" s="205"/>
      <c r="CP359" s="205"/>
      <c r="CQ359" s="205"/>
      <c r="CR359" s="205"/>
      <c r="CS359" s="205"/>
      <c r="CT359" s="205"/>
      <c r="CU359" s="205"/>
      <c r="CV359" s="205"/>
      <c r="CW359" s="205"/>
      <c r="CX359" s="205"/>
      <c r="CY359" s="205"/>
      <c r="CZ359" s="205"/>
      <c r="DA359" s="205"/>
      <c r="DB359" s="205"/>
      <c r="DC359" s="205"/>
      <c r="DD359" s="205"/>
      <c r="DE359" s="205"/>
      <c r="DF359" s="205"/>
      <c r="DG359" s="205"/>
      <c r="DH359" s="205"/>
      <c r="DI359" s="205"/>
      <c r="DJ359" s="205"/>
      <c r="DK359" s="205"/>
      <c r="DL359" s="205"/>
      <c r="DM359" s="205"/>
      <c r="DN359" s="205"/>
      <c r="DO359" s="205"/>
      <c r="DP359" s="205"/>
      <c r="DQ359" s="205"/>
      <c r="DR359" s="205"/>
      <c r="DS359" s="205"/>
      <c r="DT359" s="205"/>
      <c r="DU359" s="205"/>
      <c r="DV359" s="205"/>
      <c r="DW359" s="205"/>
      <c r="DX359" s="205"/>
      <c r="DY359" s="205"/>
      <c r="DZ359" s="205"/>
      <c r="EA359" s="205"/>
      <c r="EB359" s="205"/>
      <c r="EC359" s="205"/>
      <c r="ED359" s="205"/>
      <c r="EE359" s="205"/>
      <c r="EF359" s="205"/>
      <c r="EG359" s="205"/>
      <c r="EH359" s="205"/>
      <c r="EI359" s="205"/>
      <c r="EJ359" s="205"/>
      <c r="EK359" s="205"/>
      <c r="EL359" s="205"/>
      <c r="EM359" s="205"/>
      <c r="EN359" s="205"/>
      <c r="EO359" s="205"/>
      <c r="EP359" s="205"/>
      <c r="EQ359" s="205"/>
      <c r="ER359" s="205"/>
      <c r="ES359" s="205"/>
      <c r="ET359" s="205"/>
      <c r="EU359" s="205"/>
      <c r="EV359" s="205"/>
      <c r="EW359" s="205"/>
      <c r="EX359" s="205"/>
      <c r="EY359" s="205"/>
      <c r="EZ359" s="205"/>
      <c r="FA359" s="205"/>
      <c r="FB359" s="205"/>
      <c r="FC359" s="205"/>
      <c r="FD359" s="205"/>
      <c r="FE359" s="205"/>
      <c r="FF359" s="205"/>
      <c r="FG359" s="205"/>
      <c r="FH359" s="205"/>
      <c r="FI359" s="205"/>
      <c r="FJ359" s="205"/>
      <c r="FK359" s="205"/>
      <c r="FL359" s="205"/>
      <c r="FM359" s="205"/>
      <c r="FN359" s="205"/>
      <c r="FO359" s="205"/>
      <c r="FP359" s="205"/>
      <c r="FQ359" s="205"/>
      <c r="FR359" s="205"/>
      <c r="FS359" s="205"/>
      <c r="FT359" s="205"/>
      <c r="FU359" s="205"/>
      <c r="FV359" s="205"/>
      <c r="FW359" s="205"/>
      <c r="FX359" s="205"/>
      <c r="FY359" s="205"/>
      <c r="FZ359" s="205"/>
      <c r="GA359" s="205"/>
      <c r="GB359" s="205"/>
      <c r="GC359" s="205"/>
      <c r="GD359" s="205"/>
      <c r="GE359" s="205"/>
      <c r="GF359" s="205"/>
      <c r="GG359" s="205"/>
      <c r="GH359" s="205"/>
      <c r="GI359" s="205"/>
      <c r="GJ359" s="205"/>
      <c r="GK359" s="205"/>
      <c r="GL359" s="205"/>
      <c r="GM359" s="205"/>
      <c r="GN359" s="205"/>
      <c r="GO359" s="205"/>
      <c r="GP359" s="205"/>
      <c r="GQ359" s="205"/>
      <c r="GR359" s="205"/>
      <c r="GS359" s="205"/>
      <c r="GT359" s="205"/>
      <c r="GU359" s="205"/>
      <c r="GV359" s="205"/>
      <c r="GW359" s="205"/>
      <c r="GX359" s="205"/>
      <c r="GY359" s="205"/>
      <c r="GZ359" s="205"/>
      <c r="HA359" s="205"/>
      <c r="HB359" s="205"/>
      <c r="HC359" s="205"/>
      <c r="HD359" s="205"/>
      <c r="HE359" s="205"/>
      <c r="HF359" s="205"/>
      <c r="HG359" s="205"/>
      <c r="HH359" s="205"/>
      <c r="HI359" s="205"/>
      <c r="HJ359" s="205"/>
      <c r="HK359" s="205"/>
      <c r="HL359" s="205"/>
      <c r="HM359" s="205"/>
      <c r="HN359" s="205"/>
      <c r="HO359" s="205"/>
      <c r="HP359" s="205"/>
      <c r="HQ359" s="205"/>
      <c r="HR359" s="205"/>
      <c r="HS359" s="205"/>
      <c r="HT359" s="205"/>
      <c r="HU359" s="205"/>
      <c r="HV359" s="205"/>
      <c r="HW359" s="205"/>
      <c r="HX359" s="205"/>
      <c r="HY359" s="205"/>
      <c r="HZ359" s="205"/>
      <c r="IA359" s="205"/>
      <c r="IB359" s="205"/>
      <c r="IC359" s="205"/>
      <c r="ID359" s="205"/>
      <c r="IE359" s="205"/>
      <c r="IF359" s="205"/>
      <c r="IG359" s="205"/>
      <c r="IH359" s="205"/>
      <c r="II359" s="205"/>
      <c r="IJ359" s="205"/>
      <c r="IK359" s="205"/>
      <c r="IL359" s="205"/>
      <c r="IM359" s="205"/>
      <c r="IN359" s="205"/>
      <c r="IO359" s="205"/>
      <c r="IP359" s="205"/>
      <c r="IQ359" s="205"/>
      <c r="IR359" s="205"/>
      <c r="IS359" s="205"/>
      <c r="IT359" s="205"/>
      <c r="IU359" s="205"/>
      <c r="IV359" s="205"/>
      <c r="IW359" s="205"/>
      <c r="IX359" s="205"/>
    </row>
    <row r="360" spans="1:258" s="203" customFormat="1" x14ac:dyDescent="0.2">
      <c r="A360" s="669"/>
      <c r="B360" s="670"/>
      <c r="C360" s="1390"/>
      <c r="D360" s="672"/>
      <c r="E360" s="1391"/>
      <c r="F360" s="1391"/>
      <c r="G360" s="1392"/>
      <c r="H360" s="1393"/>
      <c r="I360" s="1394"/>
      <c r="J360" s="1394"/>
      <c r="K360" s="1394"/>
      <c r="L360" s="1394"/>
      <c r="M360" s="1394"/>
      <c r="N360" s="1394"/>
      <c r="O360" s="1394"/>
      <c r="P360" s="1394"/>
      <c r="Q360" s="1394"/>
      <c r="R360" s="1395">
        <f>SUM(R349:R359)</f>
        <v>364.35500000000002</v>
      </c>
      <c r="S360" s="1396">
        <f>R360</f>
        <v>364.35500000000002</v>
      </c>
      <c r="T360" s="1397" t="s">
        <v>338</v>
      </c>
      <c r="U360" s="205"/>
      <c r="V360" s="685"/>
      <c r="W360" s="205"/>
      <c r="X360" s="205"/>
      <c r="Y360" s="205"/>
      <c r="Z360" s="205"/>
      <c r="AA360" s="205"/>
      <c r="AB360" s="205"/>
      <c r="AC360" s="205"/>
      <c r="AD360" s="205"/>
      <c r="AE360" s="205"/>
      <c r="AF360" s="205"/>
      <c r="AG360" s="205"/>
      <c r="AH360" s="205"/>
      <c r="AI360" s="205"/>
      <c r="AJ360" s="205"/>
      <c r="AK360" s="205"/>
      <c r="AL360" s="205"/>
      <c r="AM360" s="205"/>
      <c r="AN360" s="205"/>
      <c r="AO360" s="205"/>
      <c r="AP360" s="205"/>
      <c r="AQ360" s="205"/>
      <c r="AR360" s="205"/>
      <c r="AS360" s="205"/>
      <c r="AT360" s="205"/>
      <c r="AU360" s="205"/>
      <c r="AV360" s="205"/>
      <c r="AW360" s="205"/>
      <c r="AX360" s="205"/>
      <c r="AY360" s="205"/>
      <c r="AZ360" s="205"/>
      <c r="BA360" s="205"/>
      <c r="BB360" s="205"/>
      <c r="BC360" s="205"/>
      <c r="BD360" s="205"/>
      <c r="BE360" s="205"/>
      <c r="BF360" s="205"/>
      <c r="BG360" s="205"/>
      <c r="BH360" s="205"/>
      <c r="BI360" s="205"/>
      <c r="BJ360" s="205"/>
      <c r="BK360" s="205"/>
      <c r="BL360" s="205"/>
      <c r="BM360" s="205"/>
      <c r="BN360" s="205"/>
      <c r="BO360" s="205"/>
      <c r="BP360" s="205"/>
      <c r="BQ360" s="205"/>
      <c r="BR360" s="205"/>
      <c r="BS360" s="205"/>
      <c r="BT360" s="205"/>
      <c r="BU360" s="205"/>
      <c r="BV360" s="205"/>
      <c r="BW360" s="205"/>
      <c r="BX360" s="205"/>
      <c r="BY360" s="205"/>
      <c r="BZ360" s="205"/>
      <c r="CA360" s="205"/>
      <c r="CB360" s="205"/>
      <c r="CC360" s="205"/>
      <c r="CD360" s="205"/>
      <c r="CE360" s="205"/>
      <c r="CF360" s="205"/>
      <c r="CG360" s="205"/>
      <c r="CH360" s="205"/>
      <c r="CI360" s="205"/>
      <c r="CJ360" s="205"/>
      <c r="CK360" s="205"/>
      <c r="CL360" s="205"/>
      <c r="CM360" s="205"/>
      <c r="CN360" s="205"/>
      <c r="CO360" s="205"/>
      <c r="CP360" s="205"/>
      <c r="CQ360" s="205"/>
      <c r="CR360" s="205"/>
      <c r="CS360" s="205"/>
      <c r="CT360" s="205"/>
      <c r="CU360" s="205"/>
      <c r="CV360" s="205"/>
      <c r="CW360" s="205"/>
      <c r="CX360" s="205"/>
      <c r="CY360" s="205"/>
      <c r="CZ360" s="205"/>
      <c r="DA360" s="205"/>
      <c r="DB360" s="205"/>
      <c r="DC360" s="205"/>
      <c r="DD360" s="205"/>
      <c r="DE360" s="205"/>
      <c r="DF360" s="205"/>
      <c r="DG360" s="205"/>
      <c r="DH360" s="205"/>
      <c r="DI360" s="205"/>
      <c r="DJ360" s="205"/>
      <c r="DK360" s="205"/>
      <c r="DL360" s="205"/>
      <c r="DM360" s="205"/>
      <c r="DN360" s="205"/>
      <c r="DO360" s="205"/>
      <c r="DP360" s="205"/>
      <c r="DQ360" s="205"/>
      <c r="DR360" s="205"/>
      <c r="DS360" s="205"/>
      <c r="DT360" s="205"/>
      <c r="DU360" s="205"/>
      <c r="DV360" s="205"/>
      <c r="DW360" s="205"/>
      <c r="DX360" s="205"/>
      <c r="DY360" s="205"/>
      <c r="DZ360" s="205"/>
      <c r="EA360" s="205"/>
      <c r="EB360" s="205"/>
      <c r="EC360" s="205"/>
      <c r="ED360" s="205"/>
      <c r="EE360" s="205"/>
      <c r="EF360" s="205"/>
      <c r="EG360" s="205"/>
      <c r="EH360" s="205"/>
      <c r="EI360" s="205"/>
      <c r="EJ360" s="205"/>
      <c r="EK360" s="205"/>
      <c r="EL360" s="205"/>
      <c r="EM360" s="205"/>
      <c r="EN360" s="205"/>
      <c r="EO360" s="205"/>
      <c r="EP360" s="205"/>
      <c r="EQ360" s="205"/>
      <c r="ER360" s="205"/>
      <c r="ES360" s="205"/>
      <c r="ET360" s="205"/>
      <c r="EU360" s="205"/>
      <c r="EV360" s="205"/>
      <c r="EW360" s="205"/>
      <c r="EX360" s="205"/>
      <c r="EY360" s="205"/>
      <c r="EZ360" s="205"/>
      <c r="FA360" s="205"/>
      <c r="FB360" s="205"/>
      <c r="FC360" s="205"/>
      <c r="FD360" s="205"/>
      <c r="FE360" s="205"/>
      <c r="FF360" s="205"/>
      <c r="FG360" s="205"/>
      <c r="FH360" s="205"/>
      <c r="FI360" s="205"/>
      <c r="FJ360" s="205"/>
      <c r="FK360" s="205"/>
      <c r="FL360" s="205"/>
      <c r="FM360" s="205"/>
      <c r="FN360" s="205"/>
      <c r="FO360" s="205"/>
      <c r="FP360" s="205"/>
      <c r="FQ360" s="205"/>
      <c r="FR360" s="205"/>
      <c r="FS360" s="205"/>
      <c r="FT360" s="205"/>
      <c r="FU360" s="205"/>
      <c r="FV360" s="205"/>
      <c r="FW360" s="205"/>
      <c r="FX360" s="205"/>
      <c r="FY360" s="205"/>
      <c r="FZ360" s="205"/>
      <c r="GA360" s="205"/>
      <c r="GB360" s="205"/>
      <c r="GC360" s="205"/>
      <c r="GD360" s="205"/>
      <c r="GE360" s="205"/>
      <c r="GF360" s="205"/>
      <c r="GG360" s="205"/>
      <c r="GH360" s="205"/>
      <c r="GI360" s="205"/>
      <c r="GJ360" s="205"/>
      <c r="GK360" s="205"/>
      <c r="GL360" s="205"/>
      <c r="GM360" s="205"/>
      <c r="GN360" s="205"/>
      <c r="GO360" s="205"/>
      <c r="GP360" s="205"/>
      <c r="GQ360" s="205"/>
      <c r="GR360" s="205"/>
      <c r="GS360" s="205"/>
      <c r="GT360" s="205"/>
      <c r="GU360" s="205"/>
      <c r="GV360" s="205"/>
      <c r="GW360" s="205"/>
      <c r="GX360" s="205"/>
      <c r="GY360" s="205"/>
      <c r="GZ360" s="205"/>
      <c r="HA360" s="205"/>
      <c r="HB360" s="205"/>
      <c r="HC360" s="205"/>
      <c r="HD360" s="205"/>
      <c r="HE360" s="205"/>
      <c r="HF360" s="205"/>
      <c r="HG360" s="205"/>
      <c r="HH360" s="205"/>
      <c r="HI360" s="205"/>
      <c r="HJ360" s="205"/>
      <c r="HK360" s="205"/>
      <c r="HL360" s="205"/>
      <c r="HM360" s="205"/>
      <c r="HN360" s="205"/>
      <c r="HO360" s="205"/>
      <c r="HP360" s="205"/>
      <c r="HQ360" s="205"/>
      <c r="HR360" s="205"/>
      <c r="HS360" s="205"/>
      <c r="HT360" s="205"/>
      <c r="HU360" s="205"/>
      <c r="HV360" s="205"/>
      <c r="HW360" s="205"/>
      <c r="HX360" s="205"/>
      <c r="HY360" s="205"/>
      <c r="HZ360" s="205"/>
      <c r="IA360" s="205"/>
      <c r="IB360" s="205"/>
      <c r="IC360" s="205"/>
      <c r="ID360" s="205"/>
      <c r="IE360" s="205"/>
      <c r="IF360" s="205"/>
      <c r="IG360" s="205"/>
      <c r="IH360" s="205"/>
      <c r="II360" s="205"/>
      <c r="IJ360" s="205"/>
      <c r="IK360" s="205"/>
      <c r="IL360" s="205"/>
      <c r="IM360" s="205"/>
      <c r="IN360" s="205"/>
      <c r="IO360" s="205"/>
      <c r="IP360" s="205"/>
      <c r="IQ360" s="205"/>
      <c r="IR360" s="205"/>
      <c r="IS360" s="205"/>
      <c r="IT360" s="205"/>
      <c r="IU360" s="205"/>
      <c r="IV360" s="205"/>
      <c r="IW360" s="205"/>
      <c r="IX360" s="205"/>
    </row>
    <row r="361" spans="1:258" s="203" customFormat="1" x14ac:dyDescent="0.2">
      <c r="A361" s="669"/>
      <c r="B361" s="670"/>
      <c r="C361" s="1390"/>
      <c r="D361" s="672"/>
      <c r="E361" s="1391"/>
      <c r="F361" s="1391"/>
      <c r="G361" s="1392"/>
      <c r="H361" s="1393"/>
      <c r="I361" s="1394"/>
      <c r="J361" s="1394"/>
      <c r="K361" s="1394"/>
      <c r="L361" s="1394"/>
      <c r="M361" s="1394"/>
      <c r="N361" s="1394"/>
      <c r="O361" s="1394"/>
      <c r="P361" s="1394"/>
      <c r="Q361" s="1394"/>
      <c r="R361" s="1395"/>
      <c r="S361" s="1396"/>
      <c r="T361" s="1397"/>
      <c r="U361" s="205"/>
      <c r="V361" s="685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C361" s="205"/>
      <c r="BD361" s="205"/>
      <c r="BE361" s="205"/>
      <c r="BF361" s="205"/>
      <c r="BG361" s="205"/>
      <c r="BH361" s="205"/>
      <c r="BI361" s="205"/>
      <c r="BJ361" s="205"/>
      <c r="BK361" s="205"/>
      <c r="BL361" s="205"/>
      <c r="BM361" s="205"/>
      <c r="BN361" s="205"/>
      <c r="BO361" s="205"/>
      <c r="BP361" s="205"/>
      <c r="BQ361" s="205"/>
      <c r="BR361" s="205"/>
      <c r="BS361" s="205"/>
      <c r="BT361" s="205"/>
      <c r="BU361" s="205"/>
      <c r="BV361" s="205"/>
      <c r="BW361" s="205"/>
      <c r="BX361" s="205"/>
      <c r="BY361" s="205"/>
      <c r="BZ361" s="205"/>
      <c r="CA361" s="205"/>
      <c r="CB361" s="205"/>
      <c r="CC361" s="205"/>
      <c r="CD361" s="205"/>
      <c r="CE361" s="205"/>
      <c r="CF361" s="205"/>
      <c r="CG361" s="205"/>
      <c r="CH361" s="205"/>
      <c r="CI361" s="205"/>
      <c r="CJ361" s="205"/>
      <c r="CK361" s="205"/>
      <c r="CL361" s="205"/>
      <c r="CM361" s="205"/>
      <c r="CN361" s="205"/>
      <c r="CO361" s="205"/>
      <c r="CP361" s="205"/>
      <c r="CQ361" s="205"/>
      <c r="CR361" s="205"/>
      <c r="CS361" s="205"/>
      <c r="CT361" s="205"/>
      <c r="CU361" s="205"/>
      <c r="CV361" s="205"/>
      <c r="CW361" s="205"/>
      <c r="CX361" s="205"/>
      <c r="CY361" s="205"/>
      <c r="CZ361" s="205"/>
      <c r="DA361" s="205"/>
      <c r="DB361" s="205"/>
      <c r="DC361" s="205"/>
      <c r="DD361" s="205"/>
      <c r="DE361" s="205"/>
      <c r="DF361" s="205"/>
      <c r="DG361" s="205"/>
      <c r="DH361" s="205"/>
      <c r="DI361" s="205"/>
      <c r="DJ361" s="205"/>
      <c r="DK361" s="205"/>
      <c r="DL361" s="205"/>
      <c r="DM361" s="205"/>
      <c r="DN361" s="205"/>
      <c r="DO361" s="205"/>
      <c r="DP361" s="205"/>
      <c r="DQ361" s="205"/>
      <c r="DR361" s="205"/>
      <c r="DS361" s="205"/>
      <c r="DT361" s="205"/>
      <c r="DU361" s="205"/>
      <c r="DV361" s="205"/>
      <c r="DW361" s="205"/>
      <c r="DX361" s="205"/>
      <c r="DY361" s="205"/>
      <c r="DZ361" s="205"/>
      <c r="EA361" s="205"/>
      <c r="EB361" s="205"/>
      <c r="EC361" s="205"/>
      <c r="ED361" s="205"/>
      <c r="EE361" s="205"/>
      <c r="EF361" s="205"/>
      <c r="EG361" s="205"/>
      <c r="EH361" s="205"/>
      <c r="EI361" s="205"/>
      <c r="EJ361" s="205"/>
      <c r="EK361" s="205"/>
      <c r="EL361" s="205"/>
      <c r="EM361" s="205"/>
      <c r="EN361" s="205"/>
      <c r="EO361" s="205"/>
      <c r="EP361" s="205"/>
      <c r="EQ361" s="205"/>
      <c r="ER361" s="205"/>
      <c r="ES361" s="205"/>
      <c r="ET361" s="205"/>
      <c r="EU361" s="205"/>
      <c r="EV361" s="205"/>
      <c r="EW361" s="205"/>
      <c r="EX361" s="205"/>
      <c r="EY361" s="205"/>
      <c r="EZ361" s="205"/>
      <c r="FA361" s="205"/>
      <c r="FB361" s="205"/>
      <c r="FC361" s="205"/>
      <c r="FD361" s="205"/>
      <c r="FE361" s="205"/>
      <c r="FF361" s="205"/>
      <c r="FG361" s="205"/>
      <c r="FH361" s="205"/>
      <c r="FI361" s="205"/>
      <c r="FJ361" s="205"/>
      <c r="FK361" s="205"/>
      <c r="FL361" s="205"/>
      <c r="FM361" s="205"/>
      <c r="FN361" s="205"/>
      <c r="FO361" s="205"/>
      <c r="FP361" s="205"/>
      <c r="FQ361" s="205"/>
      <c r="FR361" s="205"/>
      <c r="FS361" s="205"/>
      <c r="FT361" s="205"/>
      <c r="FU361" s="205"/>
      <c r="FV361" s="205"/>
      <c r="FW361" s="205"/>
      <c r="FX361" s="205"/>
      <c r="FY361" s="205"/>
      <c r="FZ361" s="205"/>
      <c r="GA361" s="205"/>
      <c r="GB361" s="205"/>
      <c r="GC361" s="205"/>
      <c r="GD361" s="205"/>
      <c r="GE361" s="205"/>
      <c r="GF361" s="205"/>
      <c r="GG361" s="205"/>
      <c r="GH361" s="205"/>
      <c r="GI361" s="205"/>
      <c r="GJ361" s="205"/>
      <c r="GK361" s="205"/>
      <c r="GL361" s="205"/>
      <c r="GM361" s="205"/>
      <c r="GN361" s="205"/>
      <c r="GO361" s="205"/>
      <c r="GP361" s="205"/>
      <c r="GQ361" s="205"/>
      <c r="GR361" s="205"/>
      <c r="GS361" s="205"/>
      <c r="GT361" s="205"/>
      <c r="GU361" s="205"/>
      <c r="GV361" s="205"/>
      <c r="GW361" s="205"/>
      <c r="GX361" s="205"/>
      <c r="GY361" s="205"/>
      <c r="GZ361" s="205"/>
      <c r="HA361" s="205"/>
      <c r="HB361" s="205"/>
      <c r="HC361" s="205"/>
      <c r="HD361" s="205"/>
      <c r="HE361" s="205"/>
      <c r="HF361" s="205"/>
      <c r="HG361" s="205"/>
      <c r="HH361" s="205"/>
      <c r="HI361" s="205"/>
      <c r="HJ361" s="205"/>
      <c r="HK361" s="205"/>
      <c r="HL361" s="205"/>
      <c r="HM361" s="205"/>
      <c r="HN361" s="205"/>
      <c r="HO361" s="205"/>
      <c r="HP361" s="205"/>
      <c r="HQ361" s="205"/>
      <c r="HR361" s="205"/>
      <c r="HS361" s="205"/>
      <c r="HT361" s="205"/>
      <c r="HU361" s="205"/>
      <c r="HV361" s="205"/>
      <c r="HW361" s="205"/>
      <c r="HX361" s="205"/>
      <c r="HY361" s="205"/>
      <c r="HZ361" s="205"/>
      <c r="IA361" s="205"/>
      <c r="IB361" s="205"/>
      <c r="IC361" s="205"/>
      <c r="ID361" s="205"/>
      <c r="IE361" s="205"/>
      <c r="IF361" s="205"/>
      <c r="IG361" s="205"/>
      <c r="IH361" s="205"/>
      <c r="II361" s="205"/>
      <c r="IJ361" s="205"/>
      <c r="IK361" s="205"/>
      <c r="IL361" s="205"/>
      <c r="IM361" s="205"/>
      <c r="IN361" s="205"/>
      <c r="IO361" s="205"/>
      <c r="IP361" s="205"/>
      <c r="IQ361" s="205"/>
      <c r="IR361" s="205"/>
      <c r="IS361" s="205"/>
      <c r="IT361" s="205"/>
      <c r="IU361" s="205"/>
      <c r="IV361" s="205"/>
      <c r="IW361" s="205"/>
      <c r="IX361" s="205"/>
    </row>
    <row r="362" spans="1:258" s="203" customFormat="1" x14ac:dyDescent="0.2">
      <c r="A362" s="669"/>
      <c r="B362" s="670">
        <f>RAB!B113</f>
        <v>2</v>
      </c>
      <c r="C362" s="686" t="e">
        <f>RAB!D113</f>
        <v>#REF!</v>
      </c>
      <c r="D362" s="672"/>
      <c r="E362" s="673"/>
      <c r="F362" s="673"/>
      <c r="G362" s="674"/>
      <c r="H362" s="675"/>
      <c r="I362" s="676"/>
      <c r="J362" s="676"/>
      <c r="K362" s="676"/>
      <c r="L362" s="676"/>
      <c r="M362" s="676"/>
      <c r="N362" s="676"/>
      <c r="O362" s="676"/>
      <c r="P362" s="676"/>
      <c r="Q362" s="676"/>
      <c r="R362" s="677"/>
      <c r="S362" s="678"/>
      <c r="T362" s="684"/>
      <c r="U362" s="205"/>
      <c r="V362" s="685"/>
      <c r="W362" s="205"/>
      <c r="X362" s="205"/>
      <c r="Y362" s="205"/>
      <c r="Z362" s="205"/>
      <c r="AA362" s="205"/>
      <c r="AB362" s="205"/>
      <c r="AC362" s="205"/>
      <c r="AD362" s="205"/>
      <c r="AE362" s="205"/>
      <c r="AF362" s="205"/>
      <c r="AG362" s="205"/>
      <c r="AH362" s="205"/>
      <c r="AI362" s="205"/>
      <c r="AJ362" s="205"/>
      <c r="AK362" s="205"/>
      <c r="AL362" s="205"/>
      <c r="AM362" s="205"/>
      <c r="AN362" s="205"/>
      <c r="AO362" s="205"/>
      <c r="AP362" s="205"/>
      <c r="AQ362" s="205"/>
      <c r="AR362" s="205"/>
      <c r="AS362" s="205"/>
      <c r="AT362" s="205"/>
      <c r="AU362" s="205"/>
      <c r="AV362" s="205"/>
      <c r="AW362" s="205"/>
      <c r="AX362" s="205"/>
      <c r="AY362" s="205"/>
      <c r="AZ362" s="205"/>
      <c r="BA362" s="205"/>
      <c r="BB362" s="205"/>
      <c r="BC362" s="205"/>
      <c r="BD362" s="205"/>
      <c r="BE362" s="205"/>
      <c r="BF362" s="205"/>
      <c r="BG362" s="205"/>
      <c r="BH362" s="205"/>
      <c r="BI362" s="205"/>
      <c r="BJ362" s="205"/>
      <c r="BK362" s="205"/>
      <c r="BL362" s="205"/>
      <c r="BM362" s="205"/>
      <c r="BN362" s="205"/>
      <c r="BO362" s="205"/>
      <c r="BP362" s="205"/>
      <c r="BQ362" s="205"/>
      <c r="BR362" s="205"/>
      <c r="BS362" s="205"/>
      <c r="BT362" s="205"/>
      <c r="BU362" s="205"/>
      <c r="BV362" s="205"/>
      <c r="BW362" s="205"/>
      <c r="BX362" s="205"/>
      <c r="BY362" s="205"/>
      <c r="BZ362" s="205"/>
      <c r="CA362" s="205"/>
      <c r="CB362" s="205"/>
      <c r="CC362" s="205"/>
      <c r="CD362" s="205"/>
      <c r="CE362" s="205"/>
      <c r="CF362" s="205"/>
      <c r="CG362" s="205"/>
      <c r="CH362" s="205"/>
      <c r="CI362" s="205"/>
      <c r="CJ362" s="205"/>
      <c r="CK362" s="205"/>
      <c r="CL362" s="205"/>
      <c r="CM362" s="205"/>
      <c r="CN362" s="205"/>
      <c r="CO362" s="205"/>
      <c r="CP362" s="205"/>
      <c r="CQ362" s="205"/>
      <c r="CR362" s="205"/>
      <c r="CS362" s="205"/>
      <c r="CT362" s="205"/>
      <c r="CU362" s="205"/>
      <c r="CV362" s="205"/>
      <c r="CW362" s="205"/>
      <c r="CX362" s="205"/>
      <c r="CY362" s="205"/>
      <c r="CZ362" s="205"/>
      <c r="DA362" s="205"/>
      <c r="DB362" s="205"/>
      <c r="DC362" s="205"/>
      <c r="DD362" s="205"/>
      <c r="DE362" s="205"/>
      <c r="DF362" s="205"/>
      <c r="DG362" s="205"/>
      <c r="DH362" s="205"/>
      <c r="DI362" s="205"/>
      <c r="DJ362" s="205"/>
      <c r="DK362" s="205"/>
      <c r="DL362" s="205"/>
      <c r="DM362" s="205"/>
      <c r="DN362" s="205"/>
      <c r="DO362" s="205"/>
      <c r="DP362" s="205"/>
      <c r="DQ362" s="205"/>
      <c r="DR362" s="205"/>
      <c r="DS362" s="205"/>
      <c r="DT362" s="205"/>
      <c r="DU362" s="205"/>
      <c r="DV362" s="205"/>
      <c r="DW362" s="205"/>
      <c r="DX362" s="205"/>
      <c r="DY362" s="205"/>
      <c r="DZ362" s="205"/>
      <c r="EA362" s="205"/>
      <c r="EB362" s="205"/>
      <c r="EC362" s="205"/>
      <c r="ED362" s="205"/>
      <c r="EE362" s="205"/>
      <c r="EF362" s="205"/>
      <c r="EG362" s="205"/>
      <c r="EH362" s="205"/>
      <c r="EI362" s="205"/>
      <c r="EJ362" s="205"/>
      <c r="EK362" s="205"/>
      <c r="EL362" s="205"/>
      <c r="EM362" s="205"/>
      <c r="EN362" s="205"/>
      <c r="EO362" s="205"/>
      <c r="EP362" s="205"/>
      <c r="EQ362" s="205"/>
      <c r="ER362" s="205"/>
      <c r="ES362" s="205"/>
      <c r="ET362" s="205"/>
      <c r="EU362" s="205"/>
      <c r="EV362" s="205"/>
      <c r="EW362" s="205"/>
      <c r="EX362" s="205"/>
      <c r="EY362" s="205"/>
      <c r="EZ362" s="205"/>
      <c r="FA362" s="205"/>
      <c r="FB362" s="205"/>
      <c r="FC362" s="205"/>
      <c r="FD362" s="205"/>
      <c r="FE362" s="205"/>
      <c r="FF362" s="205"/>
      <c r="FG362" s="205"/>
      <c r="FH362" s="205"/>
      <c r="FI362" s="205"/>
      <c r="FJ362" s="205"/>
      <c r="FK362" s="205"/>
      <c r="FL362" s="205"/>
      <c r="FM362" s="205"/>
      <c r="FN362" s="205"/>
      <c r="FO362" s="205"/>
      <c r="FP362" s="205"/>
      <c r="FQ362" s="205"/>
      <c r="FR362" s="205"/>
      <c r="FS362" s="205"/>
      <c r="FT362" s="205"/>
      <c r="FU362" s="205"/>
      <c r="FV362" s="205"/>
      <c r="FW362" s="205"/>
      <c r="FX362" s="205"/>
      <c r="FY362" s="205"/>
      <c r="FZ362" s="205"/>
      <c r="GA362" s="205"/>
      <c r="GB362" s="205"/>
      <c r="GC362" s="205"/>
      <c r="GD362" s="205"/>
      <c r="GE362" s="205"/>
      <c r="GF362" s="205"/>
      <c r="GG362" s="205"/>
      <c r="GH362" s="205"/>
      <c r="GI362" s="205"/>
      <c r="GJ362" s="205"/>
      <c r="GK362" s="205"/>
      <c r="GL362" s="205"/>
      <c r="GM362" s="205"/>
      <c r="GN362" s="205"/>
      <c r="GO362" s="205"/>
      <c r="GP362" s="205"/>
      <c r="GQ362" s="205"/>
      <c r="GR362" s="205"/>
      <c r="GS362" s="205"/>
      <c r="GT362" s="205"/>
      <c r="GU362" s="205"/>
      <c r="GV362" s="205"/>
      <c r="GW362" s="205"/>
      <c r="GX362" s="205"/>
      <c r="GY362" s="205"/>
      <c r="GZ362" s="205"/>
      <c r="HA362" s="205"/>
      <c r="HB362" s="205"/>
      <c r="HC362" s="205"/>
      <c r="HD362" s="205"/>
      <c r="HE362" s="205"/>
      <c r="HF362" s="205"/>
      <c r="HG362" s="205"/>
      <c r="HH362" s="205"/>
      <c r="HI362" s="205"/>
      <c r="HJ362" s="205"/>
      <c r="HK362" s="205"/>
      <c r="HL362" s="205"/>
      <c r="HM362" s="205"/>
      <c r="HN362" s="205"/>
      <c r="HO362" s="205"/>
      <c r="HP362" s="205"/>
      <c r="HQ362" s="205"/>
      <c r="HR362" s="205"/>
      <c r="HS362" s="205"/>
      <c r="HT362" s="205"/>
      <c r="HU362" s="205"/>
      <c r="HV362" s="205"/>
      <c r="HW362" s="205"/>
      <c r="HX362" s="205"/>
      <c r="HY362" s="205"/>
      <c r="HZ362" s="205"/>
      <c r="IA362" s="205"/>
      <c r="IB362" s="205"/>
      <c r="IC362" s="205"/>
      <c r="ID362" s="205"/>
      <c r="IE362" s="205"/>
      <c r="IF362" s="205"/>
      <c r="IG362" s="205"/>
      <c r="IH362" s="205"/>
      <c r="II362" s="205"/>
      <c r="IJ362" s="205"/>
      <c r="IK362" s="205"/>
      <c r="IL362" s="205"/>
      <c r="IM362" s="205"/>
      <c r="IN362" s="205"/>
      <c r="IO362" s="205"/>
      <c r="IP362" s="205"/>
      <c r="IQ362" s="205"/>
      <c r="IR362" s="205"/>
      <c r="IS362" s="205"/>
      <c r="IT362" s="205"/>
      <c r="IU362" s="205"/>
      <c r="IV362" s="205"/>
      <c r="IW362" s="205"/>
      <c r="IX362" s="205"/>
    </row>
    <row r="363" spans="1:258" s="203" customFormat="1" x14ac:dyDescent="0.2">
      <c r="A363" s="669"/>
      <c r="B363" s="670"/>
      <c r="C363" s="1390"/>
      <c r="D363" s="672"/>
      <c r="E363" s="1391"/>
      <c r="F363" s="1391"/>
      <c r="G363" s="1392" t="s">
        <v>1735</v>
      </c>
      <c r="H363" s="1393">
        <v>5</v>
      </c>
      <c r="I363" s="1394" t="s">
        <v>424</v>
      </c>
      <c r="J363" s="1394">
        <v>3</v>
      </c>
      <c r="K363" s="1394" t="s">
        <v>424</v>
      </c>
      <c r="L363" s="1394">
        <v>2</v>
      </c>
      <c r="M363" s="1394"/>
      <c r="N363" s="1394"/>
      <c r="O363" s="1394"/>
      <c r="P363" s="1394"/>
      <c r="Q363" s="1362" t="s">
        <v>696</v>
      </c>
      <c r="R363" s="1363">
        <f>H363*J363*L363</f>
        <v>30</v>
      </c>
      <c r="S363" s="1396">
        <f>R363</f>
        <v>30</v>
      </c>
      <c r="T363" s="1397" t="s">
        <v>338</v>
      </c>
      <c r="U363" s="205"/>
      <c r="V363" s="685"/>
      <c r="W363" s="205"/>
      <c r="X363" s="205"/>
      <c r="Y363" s="205"/>
      <c r="Z363" s="205"/>
      <c r="AA363" s="205"/>
      <c r="AB363" s="205"/>
      <c r="AC363" s="205"/>
      <c r="AD363" s="205"/>
      <c r="AE363" s="205"/>
      <c r="AF363" s="205"/>
      <c r="AG363" s="205"/>
      <c r="AH363" s="205"/>
      <c r="AI363" s="205"/>
      <c r="AJ363" s="205"/>
      <c r="AK363" s="205"/>
      <c r="AL363" s="205"/>
      <c r="AM363" s="205"/>
      <c r="AN363" s="205"/>
      <c r="AO363" s="205"/>
      <c r="AP363" s="205"/>
      <c r="AQ363" s="205"/>
      <c r="AR363" s="205"/>
      <c r="AS363" s="205"/>
      <c r="AT363" s="205"/>
      <c r="AU363" s="205"/>
      <c r="AV363" s="205"/>
      <c r="AW363" s="205"/>
      <c r="AX363" s="205"/>
      <c r="AY363" s="205"/>
      <c r="AZ363" s="205"/>
      <c r="BA363" s="205"/>
      <c r="BB363" s="205"/>
      <c r="BC363" s="205"/>
      <c r="BD363" s="205"/>
      <c r="BE363" s="205"/>
      <c r="BF363" s="205"/>
      <c r="BG363" s="205"/>
      <c r="BH363" s="205"/>
      <c r="BI363" s="205"/>
      <c r="BJ363" s="205"/>
      <c r="BK363" s="205"/>
      <c r="BL363" s="205"/>
      <c r="BM363" s="205"/>
      <c r="BN363" s="205"/>
      <c r="BO363" s="205"/>
      <c r="BP363" s="205"/>
      <c r="BQ363" s="205"/>
      <c r="BR363" s="205"/>
      <c r="BS363" s="205"/>
      <c r="BT363" s="205"/>
      <c r="BU363" s="205"/>
      <c r="BV363" s="205"/>
      <c r="BW363" s="205"/>
      <c r="BX363" s="205"/>
      <c r="BY363" s="205"/>
      <c r="BZ363" s="205"/>
      <c r="CA363" s="205"/>
      <c r="CB363" s="205"/>
      <c r="CC363" s="205"/>
      <c r="CD363" s="205"/>
      <c r="CE363" s="205"/>
      <c r="CF363" s="205"/>
      <c r="CG363" s="205"/>
      <c r="CH363" s="205"/>
      <c r="CI363" s="205"/>
      <c r="CJ363" s="205"/>
      <c r="CK363" s="205"/>
      <c r="CL363" s="205"/>
      <c r="CM363" s="205"/>
      <c r="CN363" s="205"/>
      <c r="CO363" s="205"/>
      <c r="CP363" s="205"/>
      <c r="CQ363" s="205"/>
      <c r="CR363" s="205"/>
      <c r="CS363" s="205"/>
      <c r="CT363" s="205"/>
      <c r="CU363" s="205"/>
      <c r="CV363" s="205"/>
      <c r="CW363" s="205"/>
      <c r="CX363" s="205"/>
      <c r="CY363" s="205"/>
      <c r="CZ363" s="205"/>
      <c r="DA363" s="205"/>
      <c r="DB363" s="205"/>
      <c r="DC363" s="205"/>
      <c r="DD363" s="205"/>
      <c r="DE363" s="205"/>
      <c r="DF363" s="205"/>
      <c r="DG363" s="205"/>
      <c r="DH363" s="205"/>
      <c r="DI363" s="205"/>
      <c r="DJ363" s="205"/>
      <c r="DK363" s="205"/>
      <c r="DL363" s="205"/>
      <c r="DM363" s="205"/>
      <c r="DN363" s="205"/>
      <c r="DO363" s="205"/>
      <c r="DP363" s="205"/>
      <c r="DQ363" s="205"/>
      <c r="DR363" s="205"/>
      <c r="DS363" s="205"/>
      <c r="DT363" s="205"/>
      <c r="DU363" s="205"/>
      <c r="DV363" s="205"/>
      <c r="DW363" s="205"/>
      <c r="DX363" s="205"/>
      <c r="DY363" s="205"/>
      <c r="DZ363" s="205"/>
      <c r="EA363" s="205"/>
      <c r="EB363" s="205"/>
      <c r="EC363" s="205"/>
      <c r="ED363" s="205"/>
      <c r="EE363" s="205"/>
      <c r="EF363" s="205"/>
      <c r="EG363" s="205"/>
      <c r="EH363" s="205"/>
      <c r="EI363" s="205"/>
      <c r="EJ363" s="205"/>
      <c r="EK363" s="205"/>
      <c r="EL363" s="205"/>
      <c r="EM363" s="205"/>
      <c r="EN363" s="205"/>
      <c r="EO363" s="205"/>
      <c r="EP363" s="205"/>
      <c r="EQ363" s="205"/>
      <c r="ER363" s="205"/>
      <c r="ES363" s="205"/>
      <c r="ET363" s="205"/>
      <c r="EU363" s="205"/>
      <c r="EV363" s="205"/>
      <c r="EW363" s="205"/>
      <c r="EX363" s="205"/>
      <c r="EY363" s="205"/>
      <c r="EZ363" s="205"/>
      <c r="FA363" s="205"/>
      <c r="FB363" s="205"/>
      <c r="FC363" s="205"/>
      <c r="FD363" s="205"/>
      <c r="FE363" s="205"/>
      <c r="FF363" s="205"/>
      <c r="FG363" s="205"/>
      <c r="FH363" s="205"/>
      <c r="FI363" s="205"/>
      <c r="FJ363" s="205"/>
      <c r="FK363" s="205"/>
      <c r="FL363" s="205"/>
      <c r="FM363" s="205"/>
      <c r="FN363" s="205"/>
      <c r="FO363" s="205"/>
      <c r="FP363" s="205"/>
      <c r="FQ363" s="205"/>
      <c r="FR363" s="205"/>
      <c r="FS363" s="205"/>
      <c r="FT363" s="205"/>
      <c r="FU363" s="205"/>
      <c r="FV363" s="205"/>
      <c r="FW363" s="205"/>
      <c r="FX363" s="205"/>
      <c r="FY363" s="205"/>
      <c r="FZ363" s="205"/>
      <c r="GA363" s="205"/>
      <c r="GB363" s="205"/>
      <c r="GC363" s="205"/>
      <c r="GD363" s="205"/>
      <c r="GE363" s="205"/>
      <c r="GF363" s="205"/>
      <c r="GG363" s="205"/>
      <c r="GH363" s="205"/>
      <c r="GI363" s="205"/>
      <c r="GJ363" s="205"/>
      <c r="GK363" s="205"/>
      <c r="GL363" s="205"/>
      <c r="GM363" s="205"/>
      <c r="GN363" s="205"/>
      <c r="GO363" s="205"/>
      <c r="GP363" s="205"/>
      <c r="GQ363" s="205"/>
      <c r="GR363" s="205"/>
      <c r="GS363" s="205"/>
      <c r="GT363" s="205"/>
      <c r="GU363" s="205"/>
      <c r="GV363" s="205"/>
      <c r="GW363" s="205"/>
      <c r="GX363" s="205"/>
      <c r="GY363" s="205"/>
      <c r="GZ363" s="205"/>
      <c r="HA363" s="205"/>
      <c r="HB363" s="205"/>
      <c r="HC363" s="205"/>
      <c r="HD363" s="205"/>
      <c r="HE363" s="205"/>
      <c r="HF363" s="205"/>
      <c r="HG363" s="205"/>
      <c r="HH363" s="205"/>
      <c r="HI363" s="205"/>
      <c r="HJ363" s="205"/>
      <c r="HK363" s="205"/>
      <c r="HL363" s="205"/>
      <c r="HM363" s="205"/>
      <c r="HN363" s="205"/>
      <c r="HO363" s="205"/>
      <c r="HP363" s="205"/>
      <c r="HQ363" s="205"/>
      <c r="HR363" s="205"/>
      <c r="HS363" s="205"/>
      <c r="HT363" s="205"/>
      <c r="HU363" s="205"/>
      <c r="HV363" s="205"/>
      <c r="HW363" s="205"/>
      <c r="HX363" s="205"/>
      <c r="HY363" s="205"/>
      <c r="HZ363" s="205"/>
      <c r="IA363" s="205"/>
      <c r="IB363" s="205"/>
      <c r="IC363" s="205"/>
      <c r="ID363" s="205"/>
      <c r="IE363" s="205"/>
      <c r="IF363" s="205"/>
      <c r="IG363" s="205"/>
      <c r="IH363" s="205"/>
      <c r="II363" s="205"/>
      <c r="IJ363" s="205"/>
      <c r="IK363" s="205"/>
      <c r="IL363" s="205"/>
      <c r="IM363" s="205"/>
      <c r="IN363" s="205"/>
      <c r="IO363" s="205"/>
      <c r="IP363" s="205"/>
      <c r="IQ363" s="205"/>
      <c r="IR363" s="205"/>
      <c r="IS363" s="205"/>
      <c r="IT363" s="205"/>
      <c r="IU363" s="205"/>
      <c r="IV363" s="205"/>
      <c r="IW363" s="205"/>
      <c r="IX363" s="205"/>
    </row>
    <row r="364" spans="1:258" s="203" customFormat="1" x14ac:dyDescent="0.2">
      <c r="A364" s="669"/>
      <c r="B364" s="670"/>
      <c r="C364" s="1390"/>
      <c r="D364" s="672"/>
      <c r="E364" s="1391"/>
      <c r="F364" s="1391"/>
      <c r="G364" s="1392"/>
      <c r="H364" s="1393"/>
      <c r="I364" s="1394"/>
      <c r="J364" s="1394"/>
      <c r="K364" s="1394"/>
      <c r="L364" s="1394"/>
      <c r="M364" s="1394"/>
      <c r="N364" s="1394"/>
      <c r="O364" s="1394"/>
      <c r="P364" s="1394"/>
      <c r="Q364" s="1394"/>
      <c r="R364" s="1395"/>
      <c r="S364" s="1396"/>
      <c r="T364" s="1397"/>
      <c r="U364" s="205"/>
      <c r="V364" s="685"/>
      <c r="W364" s="205"/>
      <c r="X364" s="205"/>
      <c r="Y364" s="205"/>
      <c r="Z364" s="205"/>
      <c r="AA364" s="205"/>
      <c r="AB364" s="205"/>
      <c r="AC364" s="205"/>
      <c r="AD364" s="205"/>
      <c r="AE364" s="205"/>
      <c r="AF364" s="205"/>
      <c r="AG364" s="205"/>
      <c r="AH364" s="205"/>
      <c r="AI364" s="205"/>
      <c r="AJ364" s="205"/>
      <c r="AK364" s="205"/>
      <c r="AL364" s="205"/>
      <c r="AM364" s="205"/>
      <c r="AN364" s="205"/>
      <c r="AO364" s="205"/>
      <c r="AP364" s="205"/>
      <c r="AQ364" s="205"/>
      <c r="AR364" s="205"/>
      <c r="AS364" s="205"/>
      <c r="AT364" s="205"/>
      <c r="AU364" s="205"/>
      <c r="AV364" s="205"/>
      <c r="AW364" s="205"/>
      <c r="AX364" s="205"/>
      <c r="AY364" s="205"/>
      <c r="AZ364" s="205"/>
      <c r="BA364" s="205"/>
      <c r="BB364" s="205"/>
      <c r="BC364" s="205"/>
      <c r="BD364" s="205"/>
      <c r="BE364" s="205"/>
      <c r="BF364" s="205"/>
      <c r="BG364" s="205"/>
      <c r="BH364" s="205"/>
      <c r="BI364" s="205"/>
      <c r="BJ364" s="205"/>
      <c r="BK364" s="205"/>
      <c r="BL364" s="205"/>
      <c r="BM364" s="205"/>
      <c r="BN364" s="205"/>
      <c r="BO364" s="205"/>
      <c r="BP364" s="205"/>
      <c r="BQ364" s="205"/>
      <c r="BR364" s="205"/>
      <c r="BS364" s="205"/>
      <c r="BT364" s="205"/>
      <c r="BU364" s="205"/>
      <c r="BV364" s="205"/>
      <c r="BW364" s="205"/>
      <c r="BX364" s="205"/>
      <c r="BY364" s="205"/>
      <c r="BZ364" s="205"/>
      <c r="CA364" s="205"/>
      <c r="CB364" s="205"/>
      <c r="CC364" s="205"/>
      <c r="CD364" s="205"/>
      <c r="CE364" s="205"/>
      <c r="CF364" s="205"/>
      <c r="CG364" s="205"/>
      <c r="CH364" s="205"/>
      <c r="CI364" s="205"/>
      <c r="CJ364" s="205"/>
      <c r="CK364" s="205"/>
      <c r="CL364" s="205"/>
      <c r="CM364" s="205"/>
      <c r="CN364" s="205"/>
      <c r="CO364" s="205"/>
      <c r="CP364" s="205"/>
      <c r="CQ364" s="205"/>
      <c r="CR364" s="205"/>
      <c r="CS364" s="205"/>
      <c r="CT364" s="205"/>
      <c r="CU364" s="205"/>
      <c r="CV364" s="205"/>
      <c r="CW364" s="205"/>
      <c r="CX364" s="205"/>
      <c r="CY364" s="205"/>
      <c r="CZ364" s="205"/>
      <c r="DA364" s="205"/>
      <c r="DB364" s="205"/>
      <c r="DC364" s="205"/>
      <c r="DD364" s="205"/>
      <c r="DE364" s="205"/>
      <c r="DF364" s="205"/>
      <c r="DG364" s="205"/>
      <c r="DH364" s="205"/>
      <c r="DI364" s="205"/>
      <c r="DJ364" s="205"/>
      <c r="DK364" s="205"/>
      <c r="DL364" s="205"/>
      <c r="DM364" s="205"/>
      <c r="DN364" s="205"/>
      <c r="DO364" s="205"/>
      <c r="DP364" s="205"/>
      <c r="DQ364" s="205"/>
      <c r="DR364" s="205"/>
      <c r="DS364" s="205"/>
      <c r="DT364" s="205"/>
      <c r="DU364" s="205"/>
      <c r="DV364" s="205"/>
      <c r="DW364" s="205"/>
      <c r="DX364" s="205"/>
      <c r="DY364" s="205"/>
      <c r="DZ364" s="205"/>
      <c r="EA364" s="205"/>
      <c r="EB364" s="205"/>
      <c r="EC364" s="205"/>
      <c r="ED364" s="205"/>
      <c r="EE364" s="205"/>
      <c r="EF364" s="205"/>
      <c r="EG364" s="205"/>
      <c r="EH364" s="205"/>
      <c r="EI364" s="205"/>
      <c r="EJ364" s="205"/>
      <c r="EK364" s="205"/>
      <c r="EL364" s="205"/>
      <c r="EM364" s="205"/>
      <c r="EN364" s="205"/>
      <c r="EO364" s="205"/>
      <c r="EP364" s="205"/>
      <c r="EQ364" s="205"/>
      <c r="ER364" s="205"/>
      <c r="ES364" s="205"/>
      <c r="ET364" s="205"/>
      <c r="EU364" s="205"/>
      <c r="EV364" s="205"/>
      <c r="EW364" s="205"/>
      <c r="EX364" s="205"/>
      <c r="EY364" s="205"/>
      <c r="EZ364" s="205"/>
      <c r="FA364" s="205"/>
      <c r="FB364" s="205"/>
      <c r="FC364" s="205"/>
      <c r="FD364" s="205"/>
      <c r="FE364" s="205"/>
      <c r="FF364" s="205"/>
      <c r="FG364" s="205"/>
      <c r="FH364" s="205"/>
      <c r="FI364" s="205"/>
      <c r="FJ364" s="205"/>
      <c r="FK364" s="205"/>
      <c r="FL364" s="205"/>
      <c r="FM364" s="205"/>
      <c r="FN364" s="205"/>
      <c r="FO364" s="205"/>
      <c r="FP364" s="205"/>
      <c r="FQ364" s="205"/>
      <c r="FR364" s="205"/>
      <c r="FS364" s="205"/>
      <c r="FT364" s="205"/>
      <c r="FU364" s="205"/>
      <c r="FV364" s="205"/>
      <c r="FW364" s="205"/>
      <c r="FX364" s="205"/>
      <c r="FY364" s="205"/>
      <c r="FZ364" s="205"/>
      <c r="GA364" s="205"/>
      <c r="GB364" s="205"/>
      <c r="GC364" s="205"/>
      <c r="GD364" s="205"/>
      <c r="GE364" s="205"/>
      <c r="GF364" s="205"/>
      <c r="GG364" s="205"/>
      <c r="GH364" s="205"/>
      <c r="GI364" s="205"/>
      <c r="GJ364" s="205"/>
      <c r="GK364" s="205"/>
      <c r="GL364" s="205"/>
      <c r="GM364" s="205"/>
      <c r="GN364" s="205"/>
      <c r="GO364" s="205"/>
      <c r="GP364" s="205"/>
      <c r="GQ364" s="205"/>
      <c r="GR364" s="205"/>
      <c r="GS364" s="205"/>
      <c r="GT364" s="205"/>
      <c r="GU364" s="205"/>
      <c r="GV364" s="205"/>
      <c r="GW364" s="205"/>
      <c r="GX364" s="205"/>
      <c r="GY364" s="205"/>
      <c r="GZ364" s="205"/>
      <c r="HA364" s="205"/>
      <c r="HB364" s="205"/>
      <c r="HC364" s="205"/>
      <c r="HD364" s="205"/>
      <c r="HE364" s="205"/>
      <c r="HF364" s="205"/>
      <c r="HG364" s="205"/>
      <c r="HH364" s="205"/>
      <c r="HI364" s="205"/>
      <c r="HJ364" s="205"/>
      <c r="HK364" s="205"/>
      <c r="HL364" s="205"/>
      <c r="HM364" s="205"/>
      <c r="HN364" s="205"/>
      <c r="HO364" s="205"/>
      <c r="HP364" s="205"/>
      <c r="HQ364" s="205"/>
      <c r="HR364" s="205"/>
      <c r="HS364" s="205"/>
      <c r="HT364" s="205"/>
      <c r="HU364" s="205"/>
      <c r="HV364" s="205"/>
      <c r="HW364" s="205"/>
      <c r="HX364" s="205"/>
      <c r="HY364" s="205"/>
      <c r="HZ364" s="205"/>
      <c r="IA364" s="205"/>
      <c r="IB364" s="205"/>
      <c r="IC364" s="205"/>
      <c r="ID364" s="205"/>
      <c r="IE364" s="205"/>
      <c r="IF364" s="205"/>
      <c r="IG364" s="205"/>
      <c r="IH364" s="205"/>
      <c r="II364" s="205"/>
      <c r="IJ364" s="205"/>
      <c r="IK364" s="205"/>
      <c r="IL364" s="205"/>
      <c r="IM364" s="205"/>
      <c r="IN364" s="205"/>
      <c r="IO364" s="205"/>
      <c r="IP364" s="205"/>
      <c r="IQ364" s="205"/>
      <c r="IR364" s="205"/>
      <c r="IS364" s="205"/>
      <c r="IT364" s="205"/>
      <c r="IU364" s="205"/>
      <c r="IV364" s="205"/>
      <c r="IW364" s="205"/>
      <c r="IX364" s="205"/>
    </row>
    <row r="365" spans="1:258" s="203" customFormat="1" x14ac:dyDescent="0.2">
      <c r="A365" s="669"/>
      <c r="B365" s="670">
        <f>RAB!B114</f>
        <v>3</v>
      </c>
      <c r="C365" s="686" t="str">
        <f>RAB!D114</f>
        <v>Memasang plafond PVC</v>
      </c>
      <c r="D365" s="672"/>
      <c r="E365" s="673"/>
      <c r="F365" s="673"/>
      <c r="G365" s="674"/>
      <c r="H365" s="720">
        <f>S360</f>
        <v>364.35500000000002</v>
      </c>
      <c r="I365" s="676" t="s">
        <v>425</v>
      </c>
      <c r="J365" s="1398">
        <f>S363</f>
        <v>30</v>
      </c>
      <c r="K365" s="676"/>
      <c r="L365" s="676"/>
      <c r="M365" s="676"/>
      <c r="N365" s="676"/>
      <c r="O365" s="676"/>
      <c r="P365" s="676"/>
      <c r="Q365" s="676" t="s">
        <v>696</v>
      </c>
      <c r="R365" s="677">
        <f>H365+J365</f>
        <v>394.35500000000002</v>
      </c>
      <c r="S365" s="678">
        <f>R365</f>
        <v>394.35500000000002</v>
      </c>
      <c r="T365" s="684" t="s">
        <v>338</v>
      </c>
      <c r="U365" s="205"/>
      <c r="V365" s="685"/>
      <c r="W365" s="205"/>
      <c r="X365" s="205"/>
      <c r="Y365" s="205"/>
      <c r="Z365" s="205"/>
      <c r="AA365" s="205"/>
      <c r="AB365" s="205"/>
      <c r="AC365" s="205"/>
      <c r="AD365" s="205"/>
      <c r="AE365" s="205"/>
      <c r="AF365" s="205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5"/>
      <c r="AR365" s="205"/>
      <c r="AS365" s="205"/>
      <c r="AT365" s="205"/>
      <c r="AU365" s="205"/>
      <c r="AV365" s="205"/>
      <c r="AW365" s="205"/>
      <c r="AX365" s="205"/>
      <c r="AY365" s="205"/>
      <c r="AZ365" s="205"/>
      <c r="BA365" s="205"/>
      <c r="BB365" s="205"/>
      <c r="BC365" s="205"/>
      <c r="BD365" s="205"/>
      <c r="BE365" s="205"/>
      <c r="BF365" s="205"/>
      <c r="BG365" s="205"/>
      <c r="BH365" s="205"/>
      <c r="BI365" s="205"/>
      <c r="BJ365" s="205"/>
      <c r="BK365" s="205"/>
      <c r="BL365" s="205"/>
      <c r="BM365" s="205"/>
      <c r="BN365" s="205"/>
      <c r="BO365" s="205"/>
      <c r="BP365" s="205"/>
      <c r="BQ365" s="205"/>
      <c r="BR365" s="205"/>
      <c r="BS365" s="205"/>
      <c r="BT365" s="205"/>
      <c r="BU365" s="205"/>
      <c r="BV365" s="205"/>
      <c r="BW365" s="205"/>
      <c r="BX365" s="205"/>
      <c r="BY365" s="205"/>
      <c r="BZ365" s="205"/>
      <c r="CA365" s="205"/>
      <c r="CB365" s="205"/>
      <c r="CC365" s="205"/>
      <c r="CD365" s="205"/>
      <c r="CE365" s="205"/>
      <c r="CF365" s="205"/>
      <c r="CG365" s="205"/>
      <c r="CH365" s="205"/>
      <c r="CI365" s="205"/>
      <c r="CJ365" s="205"/>
      <c r="CK365" s="205"/>
      <c r="CL365" s="205"/>
      <c r="CM365" s="205"/>
      <c r="CN365" s="205"/>
      <c r="CO365" s="205"/>
      <c r="CP365" s="205"/>
      <c r="CQ365" s="205"/>
      <c r="CR365" s="205"/>
      <c r="CS365" s="205"/>
      <c r="CT365" s="205"/>
      <c r="CU365" s="205"/>
      <c r="CV365" s="205"/>
      <c r="CW365" s="205"/>
      <c r="CX365" s="205"/>
      <c r="CY365" s="205"/>
      <c r="CZ365" s="205"/>
      <c r="DA365" s="205"/>
      <c r="DB365" s="205"/>
      <c r="DC365" s="205"/>
      <c r="DD365" s="205"/>
      <c r="DE365" s="205"/>
      <c r="DF365" s="205"/>
      <c r="DG365" s="205"/>
      <c r="DH365" s="205"/>
      <c r="DI365" s="205"/>
      <c r="DJ365" s="205"/>
      <c r="DK365" s="205"/>
      <c r="DL365" s="205"/>
      <c r="DM365" s="205"/>
      <c r="DN365" s="205"/>
      <c r="DO365" s="205"/>
      <c r="DP365" s="205"/>
      <c r="DQ365" s="205"/>
      <c r="DR365" s="205"/>
      <c r="DS365" s="205"/>
      <c r="DT365" s="205"/>
      <c r="DU365" s="205"/>
      <c r="DV365" s="205"/>
      <c r="DW365" s="205"/>
      <c r="DX365" s="205"/>
      <c r="DY365" s="205"/>
      <c r="DZ365" s="205"/>
      <c r="EA365" s="205"/>
      <c r="EB365" s="205"/>
      <c r="EC365" s="205"/>
      <c r="ED365" s="205"/>
      <c r="EE365" s="205"/>
      <c r="EF365" s="205"/>
      <c r="EG365" s="205"/>
      <c r="EH365" s="205"/>
      <c r="EI365" s="205"/>
      <c r="EJ365" s="205"/>
      <c r="EK365" s="205"/>
      <c r="EL365" s="205"/>
      <c r="EM365" s="205"/>
      <c r="EN365" s="205"/>
      <c r="EO365" s="205"/>
      <c r="EP365" s="205"/>
      <c r="EQ365" s="205"/>
      <c r="ER365" s="205"/>
      <c r="ES365" s="205"/>
      <c r="ET365" s="205"/>
      <c r="EU365" s="205"/>
      <c r="EV365" s="205"/>
      <c r="EW365" s="205"/>
      <c r="EX365" s="205"/>
      <c r="EY365" s="205"/>
      <c r="EZ365" s="205"/>
      <c r="FA365" s="205"/>
      <c r="FB365" s="205"/>
      <c r="FC365" s="205"/>
      <c r="FD365" s="205"/>
      <c r="FE365" s="205"/>
      <c r="FF365" s="205"/>
      <c r="FG365" s="205"/>
      <c r="FH365" s="205"/>
      <c r="FI365" s="205"/>
      <c r="FJ365" s="205"/>
      <c r="FK365" s="205"/>
      <c r="FL365" s="205"/>
      <c r="FM365" s="205"/>
      <c r="FN365" s="205"/>
      <c r="FO365" s="205"/>
      <c r="FP365" s="205"/>
      <c r="FQ365" s="205"/>
      <c r="FR365" s="205"/>
      <c r="FS365" s="205"/>
      <c r="FT365" s="205"/>
      <c r="FU365" s="205"/>
      <c r="FV365" s="205"/>
      <c r="FW365" s="205"/>
      <c r="FX365" s="205"/>
      <c r="FY365" s="205"/>
      <c r="FZ365" s="205"/>
      <c r="GA365" s="205"/>
      <c r="GB365" s="205"/>
      <c r="GC365" s="205"/>
      <c r="GD365" s="205"/>
      <c r="GE365" s="205"/>
      <c r="GF365" s="205"/>
      <c r="GG365" s="205"/>
      <c r="GH365" s="205"/>
      <c r="GI365" s="205"/>
      <c r="GJ365" s="205"/>
      <c r="GK365" s="205"/>
      <c r="GL365" s="205"/>
      <c r="GM365" s="205"/>
      <c r="GN365" s="205"/>
      <c r="GO365" s="205"/>
      <c r="GP365" s="205"/>
      <c r="GQ365" s="205"/>
      <c r="GR365" s="205"/>
      <c r="GS365" s="205"/>
      <c r="GT365" s="205"/>
      <c r="GU365" s="205"/>
      <c r="GV365" s="205"/>
      <c r="GW365" s="205"/>
      <c r="GX365" s="205"/>
      <c r="GY365" s="205"/>
      <c r="GZ365" s="205"/>
      <c r="HA365" s="205"/>
      <c r="HB365" s="205"/>
      <c r="HC365" s="205"/>
      <c r="HD365" s="205"/>
      <c r="HE365" s="205"/>
      <c r="HF365" s="205"/>
      <c r="HG365" s="205"/>
      <c r="HH365" s="205"/>
      <c r="HI365" s="205"/>
      <c r="HJ365" s="205"/>
      <c r="HK365" s="205"/>
      <c r="HL365" s="205"/>
      <c r="HM365" s="205"/>
      <c r="HN365" s="205"/>
      <c r="HO365" s="205"/>
      <c r="HP365" s="205"/>
      <c r="HQ365" s="205"/>
      <c r="HR365" s="205"/>
      <c r="HS365" s="205"/>
      <c r="HT365" s="205"/>
      <c r="HU365" s="205"/>
      <c r="HV365" s="205"/>
      <c r="HW365" s="205"/>
      <c r="HX365" s="205"/>
      <c r="HY365" s="205"/>
      <c r="HZ365" s="205"/>
      <c r="IA365" s="205"/>
      <c r="IB365" s="205"/>
      <c r="IC365" s="205"/>
      <c r="ID365" s="205"/>
      <c r="IE365" s="205"/>
      <c r="IF365" s="205"/>
      <c r="IG365" s="205"/>
      <c r="IH365" s="205"/>
      <c r="II365" s="205"/>
      <c r="IJ365" s="205"/>
      <c r="IK365" s="205"/>
      <c r="IL365" s="205"/>
      <c r="IM365" s="205"/>
      <c r="IN365" s="205"/>
      <c r="IO365" s="205"/>
      <c r="IP365" s="205"/>
      <c r="IQ365" s="205"/>
      <c r="IR365" s="205"/>
      <c r="IS365" s="205"/>
      <c r="IT365" s="205"/>
      <c r="IU365" s="205"/>
      <c r="IV365" s="205"/>
      <c r="IW365" s="205"/>
      <c r="IX365" s="205"/>
    </row>
    <row r="366" spans="1:258" s="203" customFormat="1" x14ac:dyDescent="0.2">
      <c r="A366" s="669"/>
      <c r="B366" s="670">
        <f>RAB!B115</f>
        <v>4</v>
      </c>
      <c r="C366" s="686" t="str">
        <f>RAB!D115</f>
        <v>Memasang list plafond PVC</v>
      </c>
      <c r="D366" s="672"/>
      <c r="E366" s="673"/>
      <c r="F366" s="673"/>
      <c r="G366" s="674"/>
      <c r="H366" s="675"/>
      <c r="I366" s="676"/>
      <c r="J366" s="676"/>
      <c r="K366" s="676"/>
      <c r="L366" s="676"/>
      <c r="M366" s="676"/>
      <c r="N366" s="676"/>
      <c r="O366" s="676"/>
      <c r="P366" s="676"/>
      <c r="Q366" s="676"/>
      <c r="R366" s="677"/>
      <c r="S366" s="678"/>
      <c r="T366" s="684"/>
      <c r="U366" s="205"/>
      <c r="V366" s="685"/>
      <c r="W366" s="205"/>
      <c r="X366" s="205"/>
      <c r="Y366" s="205"/>
      <c r="Z366" s="205"/>
      <c r="AA366" s="205"/>
      <c r="AB366" s="205"/>
      <c r="AC366" s="205"/>
      <c r="AD366" s="205"/>
      <c r="AE366" s="205"/>
      <c r="AF366" s="205"/>
      <c r="AG366" s="205"/>
      <c r="AH366" s="205"/>
      <c r="AI366" s="205"/>
      <c r="AJ366" s="205"/>
      <c r="AK366" s="205"/>
      <c r="AL366" s="205"/>
      <c r="AM366" s="205"/>
      <c r="AN366" s="205"/>
      <c r="AO366" s="205"/>
      <c r="AP366" s="205"/>
      <c r="AQ366" s="205"/>
      <c r="AR366" s="205"/>
      <c r="AS366" s="205"/>
      <c r="AT366" s="205"/>
      <c r="AU366" s="205"/>
      <c r="AV366" s="205"/>
      <c r="AW366" s="205"/>
      <c r="AX366" s="205"/>
      <c r="AY366" s="205"/>
      <c r="AZ366" s="205"/>
      <c r="BA366" s="205"/>
      <c r="BB366" s="205"/>
      <c r="BC366" s="205"/>
      <c r="BD366" s="205"/>
      <c r="BE366" s="205"/>
      <c r="BF366" s="205"/>
      <c r="BG366" s="205"/>
      <c r="BH366" s="205"/>
      <c r="BI366" s="205"/>
      <c r="BJ366" s="205"/>
      <c r="BK366" s="205"/>
      <c r="BL366" s="205"/>
      <c r="BM366" s="205"/>
      <c r="BN366" s="205"/>
      <c r="BO366" s="205"/>
      <c r="BP366" s="205"/>
      <c r="BQ366" s="205"/>
      <c r="BR366" s="205"/>
      <c r="BS366" s="205"/>
      <c r="BT366" s="205"/>
      <c r="BU366" s="205"/>
      <c r="BV366" s="205"/>
      <c r="BW366" s="205"/>
      <c r="BX366" s="205"/>
      <c r="BY366" s="205"/>
      <c r="BZ366" s="205"/>
      <c r="CA366" s="205"/>
      <c r="CB366" s="205"/>
      <c r="CC366" s="205"/>
      <c r="CD366" s="205"/>
      <c r="CE366" s="205"/>
      <c r="CF366" s="205"/>
      <c r="CG366" s="205"/>
      <c r="CH366" s="205"/>
      <c r="CI366" s="205"/>
      <c r="CJ366" s="205"/>
      <c r="CK366" s="205"/>
      <c r="CL366" s="205"/>
      <c r="CM366" s="205"/>
      <c r="CN366" s="205"/>
      <c r="CO366" s="205"/>
      <c r="CP366" s="205"/>
      <c r="CQ366" s="205"/>
      <c r="CR366" s="205"/>
      <c r="CS366" s="205"/>
      <c r="CT366" s="205"/>
      <c r="CU366" s="205"/>
      <c r="CV366" s="205"/>
      <c r="CW366" s="205"/>
      <c r="CX366" s="205"/>
      <c r="CY366" s="205"/>
      <c r="CZ366" s="205"/>
      <c r="DA366" s="205"/>
      <c r="DB366" s="205"/>
      <c r="DC366" s="205"/>
      <c r="DD366" s="205"/>
      <c r="DE366" s="205"/>
      <c r="DF366" s="205"/>
      <c r="DG366" s="205"/>
      <c r="DH366" s="205"/>
      <c r="DI366" s="205"/>
      <c r="DJ366" s="205"/>
      <c r="DK366" s="205"/>
      <c r="DL366" s="205"/>
      <c r="DM366" s="205"/>
      <c r="DN366" s="205"/>
      <c r="DO366" s="205"/>
      <c r="DP366" s="205"/>
      <c r="DQ366" s="205"/>
      <c r="DR366" s="205"/>
      <c r="DS366" s="205"/>
      <c r="DT366" s="205"/>
      <c r="DU366" s="205"/>
      <c r="DV366" s="205"/>
      <c r="DW366" s="205"/>
      <c r="DX366" s="205"/>
      <c r="DY366" s="205"/>
      <c r="DZ366" s="205"/>
      <c r="EA366" s="205"/>
      <c r="EB366" s="205"/>
      <c r="EC366" s="205"/>
      <c r="ED366" s="205"/>
      <c r="EE366" s="205"/>
      <c r="EF366" s="205"/>
      <c r="EG366" s="205"/>
      <c r="EH366" s="205"/>
      <c r="EI366" s="205"/>
      <c r="EJ366" s="205"/>
      <c r="EK366" s="205"/>
      <c r="EL366" s="205"/>
      <c r="EM366" s="205"/>
      <c r="EN366" s="205"/>
      <c r="EO366" s="205"/>
      <c r="EP366" s="205"/>
      <c r="EQ366" s="205"/>
      <c r="ER366" s="205"/>
      <c r="ES366" s="205"/>
      <c r="ET366" s="205"/>
      <c r="EU366" s="205"/>
      <c r="EV366" s="205"/>
      <c r="EW366" s="205"/>
      <c r="EX366" s="205"/>
      <c r="EY366" s="205"/>
      <c r="EZ366" s="205"/>
      <c r="FA366" s="205"/>
      <c r="FB366" s="205"/>
      <c r="FC366" s="205"/>
      <c r="FD366" s="205"/>
      <c r="FE366" s="205"/>
      <c r="FF366" s="205"/>
      <c r="FG366" s="205"/>
      <c r="FH366" s="205"/>
      <c r="FI366" s="205"/>
      <c r="FJ366" s="205"/>
      <c r="FK366" s="205"/>
      <c r="FL366" s="205"/>
      <c r="FM366" s="205"/>
      <c r="FN366" s="205"/>
      <c r="FO366" s="205"/>
      <c r="FP366" s="205"/>
      <c r="FQ366" s="205"/>
      <c r="FR366" s="205"/>
      <c r="FS366" s="205"/>
      <c r="FT366" s="205"/>
      <c r="FU366" s="205"/>
      <c r="FV366" s="205"/>
      <c r="FW366" s="205"/>
      <c r="FX366" s="205"/>
      <c r="FY366" s="205"/>
      <c r="FZ366" s="205"/>
      <c r="GA366" s="205"/>
      <c r="GB366" s="205"/>
      <c r="GC366" s="205"/>
      <c r="GD366" s="205"/>
      <c r="GE366" s="205"/>
      <c r="GF366" s="205"/>
      <c r="GG366" s="205"/>
      <c r="GH366" s="205"/>
      <c r="GI366" s="205"/>
      <c r="GJ366" s="205"/>
      <c r="GK366" s="205"/>
      <c r="GL366" s="205"/>
      <c r="GM366" s="205"/>
      <c r="GN366" s="205"/>
      <c r="GO366" s="205"/>
      <c r="GP366" s="205"/>
      <c r="GQ366" s="205"/>
      <c r="GR366" s="205"/>
      <c r="GS366" s="205"/>
      <c r="GT366" s="205"/>
      <c r="GU366" s="205"/>
      <c r="GV366" s="205"/>
      <c r="GW366" s="205"/>
      <c r="GX366" s="205"/>
      <c r="GY366" s="205"/>
      <c r="GZ366" s="205"/>
      <c r="HA366" s="205"/>
      <c r="HB366" s="205"/>
      <c r="HC366" s="205"/>
      <c r="HD366" s="205"/>
      <c r="HE366" s="205"/>
      <c r="HF366" s="205"/>
      <c r="HG366" s="205"/>
      <c r="HH366" s="205"/>
      <c r="HI366" s="205"/>
      <c r="HJ366" s="205"/>
      <c r="HK366" s="205"/>
      <c r="HL366" s="205"/>
      <c r="HM366" s="205"/>
      <c r="HN366" s="205"/>
      <c r="HO366" s="205"/>
      <c r="HP366" s="205"/>
      <c r="HQ366" s="205"/>
      <c r="HR366" s="205"/>
      <c r="HS366" s="205"/>
      <c r="HT366" s="205"/>
      <c r="HU366" s="205"/>
      <c r="HV366" s="205"/>
      <c r="HW366" s="205"/>
      <c r="HX366" s="205"/>
      <c r="HY366" s="205"/>
      <c r="HZ366" s="205"/>
      <c r="IA366" s="205"/>
      <c r="IB366" s="205"/>
      <c r="IC366" s="205"/>
      <c r="ID366" s="205"/>
      <c r="IE366" s="205"/>
      <c r="IF366" s="205"/>
      <c r="IG366" s="205"/>
      <c r="IH366" s="205"/>
      <c r="II366" s="205"/>
      <c r="IJ366" s="205"/>
      <c r="IK366" s="205"/>
      <c r="IL366" s="205"/>
      <c r="IM366" s="205"/>
      <c r="IN366" s="205"/>
      <c r="IO366" s="205"/>
      <c r="IP366" s="205"/>
      <c r="IQ366" s="205"/>
      <c r="IR366" s="205"/>
      <c r="IS366" s="205"/>
      <c r="IT366" s="205"/>
      <c r="IU366" s="205"/>
      <c r="IV366" s="205"/>
      <c r="IW366" s="205"/>
      <c r="IX366" s="205"/>
    </row>
    <row r="367" spans="1:258" s="203" customFormat="1" x14ac:dyDescent="0.2">
      <c r="A367" s="669"/>
      <c r="B367" s="670"/>
      <c r="C367" s="1390"/>
      <c r="D367" s="672"/>
      <c r="E367" s="1391"/>
      <c r="F367" s="1391"/>
      <c r="G367" s="1392" t="str">
        <f>G295</f>
        <v>Bangunan baru</v>
      </c>
      <c r="H367" s="675"/>
      <c r="I367" s="676"/>
      <c r="J367" s="676"/>
      <c r="K367" s="676"/>
      <c r="L367" s="676"/>
      <c r="M367" s="1394"/>
      <c r="N367" s="1394"/>
      <c r="O367" s="1394"/>
      <c r="P367" s="1394"/>
      <c r="Q367" s="1394"/>
      <c r="R367" s="1395"/>
      <c r="S367" s="1396"/>
      <c r="T367" s="1397"/>
      <c r="U367" s="205"/>
      <c r="V367" s="685"/>
      <c r="W367" s="205"/>
      <c r="X367" s="205"/>
      <c r="Y367" s="205"/>
      <c r="Z367" s="205"/>
      <c r="AA367" s="205"/>
      <c r="AB367" s="205"/>
      <c r="AC367" s="205"/>
      <c r="AD367" s="205"/>
      <c r="AE367" s="205"/>
      <c r="AF367" s="205"/>
      <c r="AG367" s="205"/>
      <c r="AH367" s="205"/>
      <c r="AI367" s="205"/>
      <c r="AJ367" s="205"/>
      <c r="AK367" s="205"/>
      <c r="AL367" s="205"/>
      <c r="AM367" s="205"/>
      <c r="AN367" s="205"/>
      <c r="AO367" s="205"/>
      <c r="AP367" s="205"/>
      <c r="AQ367" s="205"/>
      <c r="AR367" s="205"/>
      <c r="AS367" s="205"/>
      <c r="AT367" s="205"/>
      <c r="AU367" s="205"/>
      <c r="AV367" s="205"/>
      <c r="AW367" s="205"/>
      <c r="AX367" s="205"/>
      <c r="AY367" s="205"/>
      <c r="AZ367" s="205"/>
      <c r="BA367" s="205"/>
      <c r="BB367" s="205"/>
      <c r="BC367" s="205"/>
      <c r="BD367" s="205"/>
      <c r="BE367" s="205"/>
      <c r="BF367" s="205"/>
      <c r="BG367" s="205"/>
      <c r="BH367" s="205"/>
      <c r="BI367" s="205"/>
      <c r="BJ367" s="205"/>
      <c r="BK367" s="205"/>
      <c r="BL367" s="205"/>
      <c r="BM367" s="205"/>
      <c r="BN367" s="205"/>
      <c r="BO367" s="205"/>
      <c r="BP367" s="205"/>
      <c r="BQ367" s="205"/>
      <c r="BR367" s="205"/>
      <c r="BS367" s="205"/>
      <c r="BT367" s="205"/>
      <c r="BU367" s="205"/>
      <c r="BV367" s="205"/>
      <c r="BW367" s="205"/>
      <c r="BX367" s="205"/>
      <c r="BY367" s="205"/>
      <c r="BZ367" s="205"/>
      <c r="CA367" s="205"/>
      <c r="CB367" s="205"/>
      <c r="CC367" s="205"/>
      <c r="CD367" s="205"/>
      <c r="CE367" s="205"/>
      <c r="CF367" s="205"/>
      <c r="CG367" s="205"/>
      <c r="CH367" s="205"/>
      <c r="CI367" s="205"/>
      <c r="CJ367" s="205"/>
      <c r="CK367" s="205"/>
      <c r="CL367" s="205"/>
      <c r="CM367" s="205"/>
      <c r="CN367" s="205"/>
      <c r="CO367" s="205"/>
      <c r="CP367" s="205"/>
      <c r="CQ367" s="205"/>
      <c r="CR367" s="205"/>
      <c r="CS367" s="205"/>
      <c r="CT367" s="205"/>
      <c r="CU367" s="205"/>
      <c r="CV367" s="205"/>
      <c r="CW367" s="205"/>
      <c r="CX367" s="205"/>
      <c r="CY367" s="205"/>
      <c r="CZ367" s="205"/>
      <c r="DA367" s="205"/>
      <c r="DB367" s="205"/>
      <c r="DC367" s="205"/>
      <c r="DD367" s="205"/>
      <c r="DE367" s="205"/>
      <c r="DF367" s="205"/>
      <c r="DG367" s="205"/>
      <c r="DH367" s="205"/>
      <c r="DI367" s="205"/>
      <c r="DJ367" s="205"/>
      <c r="DK367" s="205"/>
      <c r="DL367" s="205"/>
      <c r="DM367" s="205"/>
      <c r="DN367" s="205"/>
      <c r="DO367" s="205"/>
      <c r="DP367" s="205"/>
      <c r="DQ367" s="205"/>
      <c r="DR367" s="205"/>
      <c r="DS367" s="205"/>
      <c r="DT367" s="205"/>
      <c r="DU367" s="205"/>
      <c r="DV367" s="205"/>
      <c r="DW367" s="205"/>
      <c r="DX367" s="205"/>
      <c r="DY367" s="205"/>
      <c r="DZ367" s="205"/>
      <c r="EA367" s="205"/>
      <c r="EB367" s="205"/>
      <c r="EC367" s="205"/>
      <c r="ED367" s="205"/>
      <c r="EE367" s="205"/>
      <c r="EF367" s="205"/>
      <c r="EG367" s="205"/>
      <c r="EH367" s="205"/>
      <c r="EI367" s="205"/>
      <c r="EJ367" s="205"/>
      <c r="EK367" s="205"/>
      <c r="EL367" s="205"/>
      <c r="EM367" s="205"/>
      <c r="EN367" s="205"/>
      <c r="EO367" s="205"/>
      <c r="EP367" s="205"/>
      <c r="EQ367" s="205"/>
      <c r="ER367" s="205"/>
      <c r="ES367" s="205"/>
      <c r="ET367" s="205"/>
      <c r="EU367" s="205"/>
      <c r="EV367" s="205"/>
      <c r="EW367" s="205"/>
      <c r="EX367" s="205"/>
      <c r="EY367" s="205"/>
      <c r="EZ367" s="205"/>
      <c r="FA367" s="205"/>
      <c r="FB367" s="205"/>
      <c r="FC367" s="205"/>
      <c r="FD367" s="205"/>
      <c r="FE367" s="205"/>
      <c r="FF367" s="205"/>
      <c r="FG367" s="205"/>
      <c r="FH367" s="205"/>
      <c r="FI367" s="205"/>
      <c r="FJ367" s="205"/>
      <c r="FK367" s="205"/>
      <c r="FL367" s="205"/>
      <c r="FM367" s="205"/>
      <c r="FN367" s="205"/>
      <c r="FO367" s="205"/>
      <c r="FP367" s="205"/>
      <c r="FQ367" s="205"/>
      <c r="FR367" s="205"/>
      <c r="FS367" s="205"/>
      <c r="FT367" s="205"/>
      <c r="FU367" s="205"/>
      <c r="FV367" s="205"/>
      <c r="FW367" s="205"/>
      <c r="FX367" s="205"/>
      <c r="FY367" s="205"/>
      <c r="FZ367" s="205"/>
      <c r="GA367" s="205"/>
      <c r="GB367" s="205"/>
      <c r="GC367" s="205"/>
      <c r="GD367" s="205"/>
      <c r="GE367" s="205"/>
      <c r="GF367" s="205"/>
      <c r="GG367" s="205"/>
      <c r="GH367" s="205"/>
      <c r="GI367" s="205"/>
      <c r="GJ367" s="205"/>
      <c r="GK367" s="205"/>
      <c r="GL367" s="205"/>
      <c r="GM367" s="205"/>
      <c r="GN367" s="205"/>
      <c r="GO367" s="205"/>
      <c r="GP367" s="205"/>
      <c r="GQ367" s="205"/>
      <c r="GR367" s="205"/>
      <c r="GS367" s="205"/>
      <c r="GT367" s="205"/>
      <c r="GU367" s="205"/>
      <c r="GV367" s="205"/>
      <c r="GW367" s="205"/>
      <c r="GX367" s="205"/>
      <c r="GY367" s="205"/>
      <c r="GZ367" s="205"/>
      <c r="HA367" s="205"/>
      <c r="HB367" s="205"/>
      <c r="HC367" s="205"/>
      <c r="HD367" s="205"/>
      <c r="HE367" s="205"/>
      <c r="HF367" s="205"/>
      <c r="HG367" s="205"/>
      <c r="HH367" s="205"/>
      <c r="HI367" s="205"/>
      <c r="HJ367" s="205"/>
      <c r="HK367" s="205"/>
      <c r="HL367" s="205"/>
      <c r="HM367" s="205"/>
      <c r="HN367" s="205"/>
      <c r="HO367" s="205"/>
      <c r="HP367" s="205"/>
      <c r="HQ367" s="205"/>
      <c r="HR367" s="205"/>
      <c r="HS367" s="205"/>
      <c r="HT367" s="205"/>
      <c r="HU367" s="205"/>
      <c r="HV367" s="205"/>
      <c r="HW367" s="205"/>
      <c r="HX367" s="205"/>
      <c r="HY367" s="205"/>
      <c r="HZ367" s="205"/>
      <c r="IA367" s="205"/>
      <c r="IB367" s="205"/>
      <c r="IC367" s="205"/>
      <c r="ID367" s="205"/>
      <c r="IE367" s="205"/>
      <c r="IF367" s="205"/>
      <c r="IG367" s="205"/>
      <c r="IH367" s="205"/>
      <c r="II367" s="205"/>
      <c r="IJ367" s="205"/>
      <c r="IK367" s="205"/>
      <c r="IL367" s="205"/>
      <c r="IM367" s="205"/>
      <c r="IN367" s="205"/>
      <c r="IO367" s="205"/>
      <c r="IP367" s="205"/>
      <c r="IQ367" s="205"/>
      <c r="IR367" s="205"/>
      <c r="IS367" s="205"/>
      <c r="IT367" s="205"/>
      <c r="IU367" s="205"/>
      <c r="IV367" s="205"/>
      <c r="IW367" s="205"/>
      <c r="IX367" s="205"/>
    </row>
    <row r="368" spans="1:258" s="203" customFormat="1" x14ac:dyDescent="0.2">
      <c r="A368" s="669"/>
      <c r="B368" s="670"/>
      <c r="C368" s="1390"/>
      <c r="D368" s="672"/>
      <c r="E368" s="1391"/>
      <c r="F368" s="1391"/>
      <c r="G368" s="1392" t="str">
        <f t="shared" ref="G368:G374" si="155">G296</f>
        <v>R. pendaftaran dan tunggu</v>
      </c>
      <c r="H368" s="675">
        <f>H296+H296+J296+J296</f>
        <v>33.700000000000003</v>
      </c>
      <c r="I368" s="676"/>
      <c r="J368" s="676"/>
      <c r="K368" s="676"/>
      <c r="L368" s="676"/>
      <c r="M368" s="1394"/>
      <c r="N368" s="1394"/>
      <c r="O368" s="1394"/>
      <c r="P368" s="1394"/>
      <c r="Q368" s="1394" t="s">
        <v>696</v>
      </c>
      <c r="R368" s="1363">
        <f>H368</f>
        <v>33.700000000000003</v>
      </c>
      <c r="S368" s="1396"/>
      <c r="T368" s="1397"/>
      <c r="U368" s="205"/>
      <c r="V368" s="685"/>
      <c r="W368" s="205"/>
      <c r="X368" s="205"/>
      <c r="Y368" s="205"/>
      <c r="Z368" s="205"/>
      <c r="AA368" s="205"/>
      <c r="AB368" s="205"/>
      <c r="AC368" s="205"/>
      <c r="AD368" s="205"/>
      <c r="AE368" s="205"/>
      <c r="AF368" s="205"/>
      <c r="AG368" s="205"/>
      <c r="AH368" s="205"/>
      <c r="AI368" s="205"/>
      <c r="AJ368" s="205"/>
      <c r="AK368" s="205"/>
      <c r="AL368" s="205"/>
      <c r="AM368" s="205"/>
      <c r="AN368" s="205"/>
      <c r="AO368" s="205"/>
      <c r="AP368" s="205"/>
      <c r="AQ368" s="205"/>
      <c r="AR368" s="205"/>
      <c r="AS368" s="205"/>
      <c r="AT368" s="205"/>
      <c r="AU368" s="205"/>
      <c r="AV368" s="205"/>
      <c r="AW368" s="205"/>
      <c r="AX368" s="205"/>
      <c r="AY368" s="205"/>
      <c r="AZ368" s="205"/>
      <c r="BA368" s="205"/>
      <c r="BB368" s="205"/>
      <c r="BC368" s="205"/>
      <c r="BD368" s="205"/>
      <c r="BE368" s="205"/>
      <c r="BF368" s="205"/>
      <c r="BG368" s="205"/>
      <c r="BH368" s="205"/>
      <c r="BI368" s="205"/>
      <c r="BJ368" s="205"/>
      <c r="BK368" s="205"/>
      <c r="BL368" s="205"/>
      <c r="BM368" s="205"/>
      <c r="BN368" s="205"/>
      <c r="BO368" s="205"/>
      <c r="BP368" s="205"/>
      <c r="BQ368" s="205"/>
      <c r="BR368" s="205"/>
      <c r="BS368" s="205"/>
      <c r="BT368" s="205"/>
      <c r="BU368" s="205"/>
      <c r="BV368" s="205"/>
      <c r="BW368" s="205"/>
      <c r="BX368" s="205"/>
      <c r="BY368" s="205"/>
      <c r="BZ368" s="205"/>
      <c r="CA368" s="205"/>
      <c r="CB368" s="205"/>
      <c r="CC368" s="205"/>
      <c r="CD368" s="205"/>
      <c r="CE368" s="205"/>
      <c r="CF368" s="205"/>
      <c r="CG368" s="205"/>
      <c r="CH368" s="205"/>
      <c r="CI368" s="205"/>
      <c r="CJ368" s="205"/>
      <c r="CK368" s="205"/>
      <c r="CL368" s="205"/>
      <c r="CM368" s="205"/>
      <c r="CN368" s="205"/>
      <c r="CO368" s="205"/>
      <c r="CP368" s="205"/>
      <c r="CQ368" s="205"/>
      <c r="CR368" s="205"/>
      <c r="CS368" s="205"/>
      <c r="CT368" s="205"/>
      <c r="CU368" s="205"/>
      <c r="CV368" s="205"/>
      <c r="CW368" s="205"/>
      <c r="CX368" s="205"/>
      <c r="CY368" s="205"/>
      <c r="CZ368" s="205"/>
      <c r="DA368" s="205"/>
      <c r="DB368" s="205"/>
      <c r="DC368" s="205"/>
      <c r="DD368" s="205"/>
      <c r="DE368" s="205"/>
      <c r="DF368" s="205"/>
      <c r="DG368" s="205"/>
      <c r="DH368" s="205"/>
      <c r="DI368" s="205"/>
      <c r="DJ368" s="205"/>
      <c r="DK368" s="205"/>
      <c r="DL368" s="205"/>
      <c r="DM368" s="205"/>
      <c r="DN368" s="205"/>
      <c r="DO368" s="205"/>
      <c r="DP368" s="205"/>
      <c r="DQ368" s="205"/>
      <c r="DR368" s="205"/>
      <c r="DS368" s="205"/>
      <c r="DT368" s="205"/>
      <c r="DU368" s="205"/>
      <c r="DV368" s="205"/>
      <c r="DW368" s="205"/>
      <c r="DX368" s="205"/>
      <c r="DY368" s="205"/>
      <c r="DZ368" s="205"/>
      <c r="EA368" s="205"/>
      <c r="EB368" s="205"/>
      <c r="EC368" s="205"/>
      <c r="ED368" s="205"/>
      <c r="EE368" s="205"/>
      <c r="EF368" s="205"/>
      <c r="EG368" s="205"/>
      <c r="EH368" s="205"/>
      <c r="EI368" s="205"/>
      <c r="EJ368" s="205"/>
      <c r="EK368" s="205"/>
      <c r="EL368" s="205"/>
      <c r="EM368" s="205"/>
      <c r="EN368" s="205"/>
      <c r="EO368" s="205"/>
      <c r="EP368" s="205"/>
      <c r="EQ368" s="205"/>
      <c r="ER368" s="205"/>
      <c r="ES368" s="205"/>
      <c r="ET368" s="205"/>
      <c r="EU368" s="205"/>
      <c r="EV368" s="205"/>
      <c r="EW368" s="205"/>
      <c r="EX368" s="205"/>
      <c r="EY368" s="205"/>
      <c r="EZ368" s="205"/>
      <c r="FA368" s="205"/>
      <c r="FB368" s="205"/>
      <c r="FC368" s="205"/>
      <c r="FD368" s="205"/>
      <c r="FE368" s="205"/>
      <c r="FF368" s="205"/>
      <c r="FG368" s="205"/>
      <c r="FH368" s="205"/>
      <c r="FI368" s="205"/>
      <c r="FJ368" s="205"/>
      <c r="FK368" s="205"/>
      <c r="FL368" s="205"/>
      <c r="FM368" s="205"/>
      <c r="FN368" s="205"/>
      <c r="FO368" s="205"/>
      <c r="FP368" s="205"/>
      <c r="FQ368" s="205"/>
      <c r="FR368" s="205"/>
      <c r="FS368" s="205"/>
      <c r="FT368" s="205"/>
      <c r="FU368" s="205"/>
      <c r="FV368" s="205"/>
      <c r="FW368" s="205"/>
      <c r="FX368" s="205"/>
      <c r="FY368" s="205"/>
      <c r="FZ368" s="205"/>
      <c r="GA368" s="205"/>
      <c r="GB368" s="205"/>
      <c r="GC368" s="205"/>
      <c r="GD368" s="205"/>
      <c r="GE368" s="205"/>
      <c r="GF368" s="205"/>
      <c r="GG368" s="205"/>
      <c r="GH368" s="205"/>
      <c r="GI368" s="205"/>
      <c r="GJ368" s="205"/>
      <c r="GK368" s="205"/>
      <c r="GL368" s="205"/>
      <c r="GM368" s="205"/>
      <c r="GN368" s="205"/>
      <c r="GO368" s="205"/>
      <c r="GP368" s="205"/>
      <c r="GQ368" s="205"/>
      <c r="GR368" s="205"/>
      <c r="GS368" s="205"/>
      <c r="GT368" s="205"/>
      <c r="GU368" s="205"/>
      <c r="GV368" s="205"/>
      <c r="GW368" s="205"/>
      <c r="GX368" s="205"/>
      <c r="GY368" s="205"/>
      <c r="GZ368" s="205"/>
      <c r="HA368" s="205"/>
      <c r="HB368" s="205"/>
      <c r="HC368" s="205"/>
      <c r="HD368" s="205"/>
      <c r="HE368" s="205"/>
      <c r="HF368" s="205"/>
      <c r="HG368" s="205"/>
      <c r="HH368" s="205"/>
      <c r="HI368" s="205"/>
      <c r="HJ368" s="205"/>
      <c r="HK368" s="205"/>
      <c r="HL368" s="205"/>
      <c r="HM368" s="205"/>
      <c r="HN368" s="205"/>
      <c r="HO368" s="205"/>
      <c r="HP368" s="205"/>
      <c r="HQ368" s="205"/>
      <c r="HR368" s="205"/>
      <c r="HS368" s="205"/>
      <c r="HT368" s="205"/>
      <c r="HU368" s="205"/>
      <c r="HV368" s="205"/>
      <c r="HW368" s="205"/>
      <c r="HX368" s="205"/>
      <c r="HY368" s="205"/>
      <c r="HZ368" s="205"/>
      <c r="IA368" s="205"/>
      <c r="IB368" s="205"/>
      <c r="IC368" s="205"/>
      <c r="ID368" s="205"/>
      <c r="IE368" s="205"/>
      <c r="IF368" s="205"/>
      <c r="IG368" s="205"/>
      <c r="IH368" s="205"/>
      <c r="II368" s="205"/>
      <c r="IJ368" s="205"/>
      <c r="IK368" s="205"/>
      <c r="IL368" s="205"/>
      <c r="IM368" s="205"/>
      <c r="IN368" s="205"/>
      <c r="IO368" s="205"/>
      <c r="IP368" s="205"/>
      <c r="IQ368" s="205"/>
      <c r="IR368" s="205"/>
      <c r="IS368" s="205"/>
      <c r="IT368" s="205"/>
      <c r="IU368" s="205"/>
      <c r="IV368" s="205"/>
      <c r="IW368" s="205"/>
      <c r="IX368" s="205"/>
    </row>
    <row r="369" spans="1:258" s="203" customFormat="1" x14ac:dyDescent="0.2">
      <c r="A369" s="669"/>
      <c r="B369" s="670"/>
      <c r="C369" s="1390"/>
      <c r="D369" s="672"/>
      <c r="E369" s="1391"/>
      <c r="F369" s="1391"/>
      <c r="G369" s="1392" t="str">
        <f t="shared" si="155"/>
        <v>R.tindakan</v>
      </c>
      <c r="H369" s="675">
        <f t="shared" ref="H369:H376" si="156">H297+H297+J297+J297</f>
        <v>22.4</v>
      </c>
      <c r="I369" s="676"/>
      <c r="J369" s="676"/>
      <c r="K369" s="676"/>
      <c r="L369" s="676"/>
      <c r="M369" s="1394"/>
      <c r="N369" s="1394"/>
      <c r="O369" s="1394"/>
      <c r="P369" s="1394"/>
      <c r="Q369" s="1394" t="s">
        <v>696</v>
      </c>
      <c r="R369" s="1363">
        <f>H369</f>
        <v>22.4</v>
      </c>
      <c r="S369" s="1396"/>
      <c r="T369" s="1397"/>
      <c r="U369" s="205"/>
      <c r="V369" s="685"/>
      <c r="W369" s="205"/>
      <c r="X369" s="205"/>
      <c r="Y369" s="205"/>
      <c r="Z369" s="205"/>
      <c r="AA369" s="205"/>
      <c r="AB369" s="205"/>
      <c r="AC369" s="205"/>
      <c r="AD369" s="205"/>
      <c r="AE369" s="205"/>
      <c r="AF369" s="205"/>
      <c r="AG369" s="205"/>
      <c r="AH369" s="205"/>
      <c r="AI369" s="205"/>
      <c r="AJ369" s="205"/>
      <c r="AK369" s="205"/>
      <c r="AL369" s="205"/>
      <c r="AM369" s="205"/>
      <c r="AN369" s="205"/>
      <c r="AO369" s="205"/>
      <c r="AP369" s="205"/>
      <c r="AQ369" s="205"/>
      <c r="AR369" s="205"/>
      <c r="AS369" s="205"/>
      <c r="AT369" s="205"/>
      <c r="AU369" s="205"/>
      <c r="AV369" s="205"/>
      <c r="AW369" s="205"/>
      <c r="AX369" s="205"/>
      <c r="AY369" s="205"/>
      <c r="AZ369" s="205"/>
      <c r="BA369" s="205"/>
      <c r="BB369" s="205"/>
      <c r="BC369" s="205"/>
      <c r="BD369" s="205"/>
      <c r="BE369" s="205"/>
      <c r="BF369" s="205"/>
      <c r="BG369" s="205"/>
      <c r="BH369" s="205"/>
      <c r="BI369" s="205"/>
      <c r="BJ369" s="205"/>
      <c r="BK369" s="205"/>
      <c r="BL369" s="205"/>
      <c r="BM369" s="205"/>
      <c r="BN369" s="205"/>
      <c r="BO369" s="205"/>
      <c r="BP369" s="205"/>
      <c r="BQ369" s="205"/>
      <c r="BR369" s="205"/>
      <c r="BS369" s="205"/>
      <c r="BT369" s="205"/>
      <c r="BU369" s="205"/>
      <c r="BV369" s="205"/>
      <c r="BW369" s="205"/>
      <c r="BX369" s="205"/>
      <c r="BY369" s="205"/>
      <c r="BZ369" s="205"/>
      <c r="CA369" s="205"/>
      <c r="CB369" s="205"/>
      <c r="CC369" s="205"/>
      <c r="CD369" s="205"/>
      <c r="CE369" s="205"/>
      <c r="CF369" s="205"/>
      <c r="CG369" s="205"/>
      <c r="CH369" s="205"/>
      <c r="CI369" s="205"/>
      <c r="CJ369" s="205"/>
      <c r="CK369" s="205"/>
      <c r="CL369" s="205"/>
      <c r="CM369" s="205"/>
      <c r="CN369" s="205"/>
      <c r="CO369" s="205"/>
      <c r="CP369" s="205"/>
      <c r="CQ369" s="205"/>
      <c r="CR369" s="205"/>
      <c r="CS369" s="205"/>
      <c r="CT369" s="205"/>
      <c r="CU369" s="205"/>
      <c r="CV369" s="205"/>
      <c r="CW369" s="205"/>
      <c r="CX369" s="205"/>
      <c r="CY369" s="205"/>
      <c r="CZ369" s="205"/>
      <c r="DA369" s="205"/>
      <c r="DB369" s="205"/>
      <c r="DC369" s="205"/>
      <c r="DD369" s="205"/>
      <c r="DE369" s="205"/>
      <c r="DF369" s="205"/>
      <c r="DG369" s="205"/>
      <c r="DH369" s="205"/>
      <c r="DI369" s="205"/>
      <c r="DJ369" s="205"/>
      <c r="DK369" s="205"/>
      <c r="DL369" s="205"/>
      <c r="DM369" s="205"/>
      <c r="DN369" s="205"/>
      <c r="DO369" s="205"/>
      <c r="DP369" s="205"/>
      <c r="DQ369" s="205"/>
      <c r="DR369" s="205"/>
      <c r="DS369" s="205"/>
      <c r="DT369" s="205"/>
      <c r="DU369" s="205"/>
      <c r="DV369" s="205"/>
      <c r="DW369" s="205"/>
      <c r="DX369" s="205"/>
      <c r="DY369" s="205"/>
      <c r="DZ369" s="205"/>
      <c r="EA369" s="205"/>
      <c r="EB369" s="205"/>
      <c r="EC369" s="205"/>
      <c r="ED369" s="205"/>
      <c r="EE369" s="205"/>
      <c r="EF369" s="205"/>
      <c r="EG369" s="205"/>
      <c r="EH369" s="205"/>
      <c r="EI369" s="205"/>
      <c r="EJ369" s="205"/>
      <c r="EK369" s="205"/>
      <c r="EL369" s="205"/>
      <c r="EM369" s="205"/>
      <c r="EN369" s="205"/>
      <c r="EO369" s="205"/>
      <c r="EP369" s="205"/>
      <c r="EQ369" s="205"/>
      <c r="ER369" s="205"/>
      <c r="ES369" s="205"/>
      <c r="ET369" s="205"/>
      <c r="EU369" s="205"/>
      <c r="EV369" s="205"/>
      <c r="EW369" s="205"/>
      <c r="EX369" s="205"/>
      <c r="EY369" s="205"/>
      <c r="EZ369" s="205"/>
      <c r="FA369" s="205"/>
      <c r="FB369" s="205"/>
      <c r="FC369" s="205"/>
      <c r="FD369" s="205"/>
      <c r="FE369" s="205"/>
      <c r="FF369" s="205"/>
      <c r="FG369" s="205"/>
      <c r="FH369" s="205"/>
      <c r="FI369" s="205"/>
      <c r="FJ369" s="205"/>
      <c r="FK369" s="205"/>
      <c r="FL369" s="205"/>
      <c r="FM369" s="205"/>
      <c r="FN369" s="205"/>
      <c r="FO369" s="205"/>
      <c r="FP369" s="205"/>
      <c r="FQ369" s="205"/>
      <c r="FR369" s="205"/>
      <c r="FS369" s="205"/>
      <c r="FT369" s="205"/>
      <c r="FU369" s="205"/>
      <c r="FV369" s="205"/>
      <c r="FW369" s="205"/>
      <c r="FX369" s="205"/>
      <c r="FY369" s="205"/>
      <c r="FZ369" s="205"/>
      <c r="GA369" s="205"/>
      <c r="GB369" s="205"/>
      <c r="GC369" s="205"/>
      <c r="GD369" s="205"/>
      <c r="GE369" s="205"/>
      <c r="GF369" s="205"/>
      <c r="GG369" s="205"/>
      <c r="GH369" s="205"/>
      <c r="GI369" s="205"/>
      <c r="GJ369" s="205"/>
      <c r="GK369" s="205"/>
      <c r="GL369" s="205"/>
      <c r="GM369" s="205"/>
      <c r="GN369" s="205"/>
      <c r="GO369" s="205"/>
      <c r="GP369" s="205"/>
      <c r="GQ369" s="205"/>
      <c r="GR369" s="205"/>
      <c r="GS369" s="205"/>
      <c r="GT369" s="205"/>
      <c r="GU369" s="205"/>
      <c r="GV369" s="205"/>
      <c r="GW369" s="205"/>
      <c r="GX369" s="205"/>
      <c r="GY369" s="205"/>
      <c r="GZ369" s="205"/>
      <c r="HA369" s="205"/>
      <c r="HB369" s="205"/>
      <c r="HC369" s="205"/>
      <c r="HD369" s="205"/>
      <c r="HE369" s="205"/>
      <c r="HF369" s="205"/>
      <c r="HG369" s="205"/>
      <c r="HH369" s="205"/>
      <c r="HI369" s="205"/>
      <c r="HJ369" s="205"/>
      <c r="HK369" s="205"/>
      <c r="HL369" s="205"/>
      <c r="HM369" s="205"/>
      <c r="HN369" s="205"/>
      <c r="HO369" s="205"/>
      <c r="HP369" s="205"/>
      <c r="HQ369" s="205"/>
      <c r="HR369" s="205"/>
      <c r="HS369" s="205"/>
      <c r="HT369" s="205"/>
      <c r="HU369" s="205"/>
      <c r="HV369" s="205"/>
      <c r="HW369" s="205"/>
      <c r="HX369" s="205"/>
      <c r="HY369" s="205"/>
      <c r="HZ369" s="205"/>
      <c r="IA369" s="205"/>
      <c r="IB369" s="205"/>
      <c r="IC369" s="205"/>
      <c r="ID369" s="205"/>
      <c r="IE369" s="205"/>
      <c r="IF369" s="205"/>
      <c r="IG369" s="205"/>
      <c r="IH369" s="205"/>
      <c r="II369" s="205"/>
      <c r="IJ369" s="205"/>
      <c r="IK369" s="205"/>
      <c r="IL369" s="205"/>
      <c r="IM369" s="205"/>
      <c r="IN369" s="205"/>
      <c r="IO369" s="205"/>
      <c r="IP369" s="205"/>
      <c r="IQ369" s="205"/>
      <c r="IR369" s="205"/>
      <c r="IS369" s="205"/>
      <c r="IT369" s="205"/>
      <c r="IU369" s="205"/>
      <c r="IV369" s="205"/>
      <c r="IW369" s="205"/>
      <c r="IX369" s="205"/>
    </row>
    <row r="370" spans="1:258" s="203" customFormat="1" x14ac:dyDescent="0.2">
      <c r="A370" s="669"/>
      <c r="B370" s="670"/>
      <c r="C370" s="1390"/>
      <c r="D370" s="672"/>
      <c r="E370" s="1391"/>
      <c r="F370" s="1391"/>
      <c r="G370" s="1392" t="str">
        <f t="shared" si="155"/>
        <v>R.inap VIP</v>
      </c>
      <c r="H370" s="675">
        <f t="shared" si="156"/>
        <v>11.9</v>
      </c>
      <c r="I370" s="676"/>
      <c r="J370" s="676"/>
      <c r="K370" s="676" t="s">
        <v>424</v>
      </c>
      <c r="L370" s="676">
        <f t="shared" ref="L370:L373" si="157">L298+L298+N298+N298</f>
        <v>4</v>
      </c>
      <c r="M370" s="1394"/>
      <c r="N370" s="1394"/>
      <c r="O370" s="1394"/>
      <c r="P370" s="1394"/>
      <c r="Q370" s="1362" t="s">
        <v>696</v>
      </c>
      <c r="R370" s="1363">
        <f>H370*L370</f>
        <v>47.6</v>
      </c>
      <c r="S370" s="1396"/>
      <c r="T370" s="1397"/>
      <c r="U370" s="205"/>
      <c r="V370" s="685"/>
      <c r="W370" s="205"/>
      <c r="X370" s="205"/>
      <c r="Y370" s="205"/>
      <c r="Z370" s="205"/>
      <c r="AA370" s="205"/>
      <c r="AB370" s="205"/>
      <c r="AC370" s="205"/>
      <c r="AD370" s="205"/>
      <c r="AE370" s="205"/>
      <c r="AF370" s="205"/>
      <c r="AG370" s="205"/>
      <c r="AH370" s="205"/>
      <c r="AI370" s="205"/>
      <c r="AJ370" s="205"/>
      <c r="AK370" s="205"/>
      <c r="AL370" s="205"/>
      <c r="AM370" s="205"/>
      <c r="AN370" s="205"/>
      <c r="AO370" s="205"/>
      <c r="AP370" s="205"/>
      <c r="AQ370" s="205"/>
      <c r="AR370" s="205"/>
      <c r="AS370" s="205"/>
      <c r="AT370" s="205"/>
      <c r="AU370" s="205"/>
      <c r="AV370" s="205"/>
      <c r="AW370" s="205"/>
      <c r="AX370" s="205"/>
      <c r="AY370" s="205"/>
      <c r="AZ370" s="205"/>
      <c r="BA370" s="205"/>
      <c r="BB370" s="205"/>
      <c r="BC370" s="205"/>
      <c r="BD370" s="205"/>
      <c r="BE370" s="205"/>
      <c r="BF370" s="205"/>
      <c r="BG370" s="205"/>
      <c r="BH370" s="205"/>
      <c r="BI370" s="205"/>
      <c r="BJ370" s="205"/>
      <c r="BK370" s="205"/>
      <c r="BL370" s="205"/>
      <c r="BM370" s="205"/>
      <c r="BN370" s="205"/>
      <c r="BO370" s="205"/>
      <c r="BP370" s="205"/>
      <c r="BQ370" s="205"/>
      <c r="BR370" s="205"/>
      <c r="BS370" s="205"/>
      <c r="BT370" s="205"/>
      <c r="BU370" s="205"/>
      <c r="BV370" s="205"/>
      <c r="BW370" s="205"/>
      <c r="BX370" s="205"/>
      <c r="BY370" s="205"/>
      <c r="BZ370" s="205"/>
      <c r="CA370" s="205"/>
      <c r="CB370" s="205"/>
      <c r="CC370" s="205"/>
      <c r="CD370" s="205"/>
      <c r="CE370" s="205"/>
      <c r="CF370" s="205"/>
      <c r="CG370" s="205"/>
      <c r="CH370" s="205"/>
      <c r="CI370" s="205"/>
      <c r="CJ370" s="205"/>
      <c r="CK370" s="205"/>
      <c r="CL370" s="205"/>
      <c r="CM370" s="205"/>
      <c r="CN370" s="205"/>
      <c r="CO370" s="205"/>
      <c r="CP370" s="205"/>
      <c r="CQ370" s="205"/>
      <c r="CR370" s="205"/>
      <c r="CS370" s="205"/>
      <c r="CT370" s="205"/>
      <c r="CU370" s="205"/>
      <c r="CV370" s="205"/>
      <c r="CW370" s="205"/>
      <c r="CX370" s="205"/>
      <c r="CY370" s="205"/>
      <c r="CZ370" s="205"/>
      <c r="DA370" s="205"/>
      <c r="DB370" s="205"/>
      <c r="DC370" s="205"/>
      <c r="DD370" s="205"/>
      <c r="DE370" s="205"/>
      <c r="DF370" s="205"/>
      <c r="DG370" s="205"/>
      <c r="DH370" s="205"/>
      <c r="DI370" s="205"/>
      <c r="DJ370" s="205"/>
      <c r="DK370" s="205"/>
      <c r="DL370" s="205"/>
      <c r="DM370" s="205"/>
      <c r="DN370" s="205"/>
      <c r="DO370" s="205"/>
      <c r="DP370" s="205"/>
      <c r="DQ370" s="205"/>
      <c r="DR370" s="205"/>
      <c r="DS370" s="205"/>
      <c r="DT370" s="205"/>
      <c r="DU370" s="205"/>
      <c r="DV370" s="205"/>
      <c r="DW370" s="205"/>
      <c r="DX370" s="205"/>
      <c r="DY370" s="205"/>
      <c r="DZ370" s="205"/>
      <c r="EA370" s="205"/>
      <c r="EB370" s="205"/>
      <c r="EC370" s="205"/>
      <c r="ED370" s="205"/>
      <c r="EE370" s="205"/>
      <c r="EF370" s="205"/>
      <c r="EG370" s="205"/>
      <c r="EH370" s="205"/>
      <c r="EI370" s="205"/>
      <c r="EJ370" s="205"/>
      <c r="EK370" s="205"/>
      <c r="EL370" s="205"/>
      <c r="EM370" s="205"/>
      <c r="EN370" s="205"/>
      <c r="EO370" s="205"/>
      <c r="EP370" s="205"/>
      <c r="EQ370" s="205"/>
      <c r="ER370" s="205"/>
      <c r="ES370" s="205"/>
      <c r="ET370" s="205"/>
      <c r="EU370" s="205"/>
      <c r="EV370" s="205"/>
      <c r="EW370" s="205"/>
      <c r="EX370" s="205"/>
      <c r="EY370" s="205"/>
      <c r="EZ370" s="205"/>
      <c r="FA370" s="205"/>
      <c r="FB370" s="205"/>
      <c r="FC370" s="205"/>
      <c r="FD370" s="205"/>
      <c r="FE370" s="205"/>
      <c r="FF370" s="205"/>
      <c r="FG370" s="205"/>
      <c r="FH370" s="205"/>
      <c r="FI370" s="205"/>
      <c r="FJ370" s="205"/>
      <c r="FK370" s="205"/>
      <c r="FL370" s="205"/>
      <c r="FM370" s="205"/>
      <c r="FN370" s="205"/>
      <c r="FO370" s="205"/>
      <c r="FP370" s="205"/>
      <c r="FQ370" s="205"/>
      <c r="FR370" s="205"/>
      <c r="FS370" s="205"/>
      <c r="FT370" s="205"/>
      <c r="FU370" s="205"/>
      <c r="FV370" s="205"/>
      <c r="FW370" s="205"/>
      <c r="FX370" s="205"/>
      <c r="FY370" s="205"/>
      <c r="FZ370" s="205"/>
      <c r="GA370" s="205"/>
      <c r="GB370" s="205"/>
      <c r="GC370" s="205"/>
      <c r="GD370" s="205"/>
      <c r="GE370" s="205"/>
      <c r="GF370" s="205"/>
      <c r="GG370" s="205"/>
      <c r="GH370" s="205"/>
      <c r="GI370" s="205"/>
      <c r="GJ370" s="205"/>
      <c r="GK370" s="205"/>
      <c r="GL370" s="205"/>
      <c r="GM370" s="205"/>
      <c r="GN370" s="205"/>
      <c r="GO370" s="205"/>
      <c r="GP370" s="205"/>
      <c r="GQ370" s="205"/>
      <c r="GR370" s="205"/>
      <c r="GS370" s="205"/>
      <c r="GT370" s="205"/>
      <c r="GU370" s="205"/>
      <c r="GV370" s="205"/>
      <c r="GW370" s="205"/>
      <c r="GX370" s="205"/>
      <c r="GY370" s="205"/>
      <c r="GZ370" s="205"/>
      <c r="HA370" s="205"/>
      <c r="HB370" s="205"/>
      <c r="HC370" s="205"/>
      <c r="HD370" s="205"/>
      <c r="HE370" s="205"/>
      <c r="HF370" s="205"/>
      <c r="HG370" s="205"/>
      <c r="HH370" s="205"/>
      <c r="HI370" s="205"/>
      <c r="HJ370" s="205"/>
      <c r="HK370" s="205"/>
      <c r="HL370" s="205"/>
      <c r="HM370" s="205"/>
      <c r="HN370" s="205"/>
      <c r="HO370" s="205"/>
      <c r="HP370" s="205"/>
      <c r="HQ370" s="205"/>
      <c r="HR370" s="205"/>
      <c r="HS370" s="205"/>
      <c r="HT370" s="205"/>
      <c r="HU370" s="205"/>
      <c r="HV370" s="205"/>
      <c r="HW370" s="205"/>
      <c r="HX370" s="205"/>
      <c r="HY370" s="205"/>
      <c r="HZ370" s="205"/>
      <c r="IA370" s="205"/>
      <c r="IB370" s="205"/>
      <c r="IC370" s="205"/>
      <c r="ID370" s="205"/>
      <c r="IE370" s="205"/>
      <c r="IF370" s="205"/>
      <c r="IG370" s="205"/>
      <c r="IH370" s="205"/>
      <c r="II370" s="205"/>
      <c r="IJ370" s="205"/>
      <c r="IK370" s="205"/>
      <c r="IL370" s="205"/>
      <c r="IM370" s="205"/>
      <c r="IN370" s="205"/>
      <c r="IO370" s="205"/>
      <c r="IP370" s="205"/>
      <c r="IQ370" s="205"/>
      <c r="IR370" s="205"/>
      <c r="IS370" s="205"/>
      <c r="IT370" s="205"/>
      <c r="IU370" s="205"/>
      <c r="IV370" s="205"/>
      <c r="IW370" s="205"/>
      <c r="IX370" s="205"/>
    </row>
    <row r="371" spans="1:258" s="203" customFormat="1" x14ac:dyDescent="0.2">
      <c r="A371" s="669"/>
      <c r="B371" s="670"/>
      <c r="C371" s="1390"/>
      <c r="D371" s="672"/>
      <c r="E371" s="1391"/>
      <c r="F371" s="1391"/>
      <c r="G371" s="1392"/>
      <c r="H371" s="675">
        <f t="shared" si="156"/>
        <v>6.6999999999999993</v>
      </c>
      <c r="I371" s="676"/>
      <c r="J371" s="676"/>
      <c r="K371" s="676" t="s">
        <v>424</v>
      </c>
      <c r="L371" s="676">
        <f t="shared" si="157"/>
        <v>4</v>
      </c>
      <c r="M371" s="1394"/>
      <c r="N371" s="1394"/>
      <c r="O371" s="1394"/>
      <c r="P371" s="1394"/>
      <c r="Q371" s="1362" t="s">
        <v>696</v>
      </c>
      <c r="R371" s="1363">
        <f t="shared" ref="R371:R373" si="158">H371*L371</f>
        <v>26.799999999999997</v>
      </c>
      <c r="S371" s="1396"/>
      <c r="T371" s="1397"/>
      <c r="U371" s="205"/>
      <c r="V371" s="685"/>
      <c r="W371" s="205"/>
      <c r="X371" s="205"/>
      <c r="Y371" s="205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05"/>
      <c r="BN371" s="205"/>
      <c r="BO371" s="205"/>
      <c r="BP371" s="205"/>
      <c r="BQ371" s="205"/>
      <c r="BR371" s="205"/>
      <c r="BS371" s="205"/>
      <c r="BT371" s="205"/>
      <c r="BU371" s="205"/>
      <c r="BV371" s="205"/>
      <c r="BW371" s="205"/>
      <c r="BX371" s="205"/>
      <c r="BY371" s="205"/>
      <c r="BZ371" s="205"/>
      <c r="CA371" s="205"/>
      <c r="CB371" s="205"/>
      <c r="CC371" s="205"/>
      <c r="CD371" s="205"/>
      <c r="CE371" s="205"/>
      <c r="CF371" s="205"/>
      <c r="CG371" s="205"/>
      <c r="CH371" s="205"/>
      <c r="CI371" s="205"/>
      <c r="CJ371" s="205"/>
      <c r="CK371" s="205"/>
      <c r="CL371" s="205"/>
      <c r="CM371" s="205"/>
      <c r="CN371" s="205"/>
      <c r="CO371" s="205"/>
      <c r="CP371" s="205"/>
      <c r="CQ371" s="205"/>
      <c r="CR371" s="205"/>
      <c r="CS371" s="205"/>
      <c r="CT371" s="205"/>
      <c r="CU371" s="205"/>
      <c r="CV371" s="205"/>
      <c r="CW371" s="205"/>
      <c r="CX371" s="205"/>
      <c r="CY371" s="205"/>
      <c r="CZ371" s="205"/>
      <c r="DA371" s="205"/>
      <c r="DB371" s="205"/>
      <c r="DC371" s="205"/>
      <c r="DD371" s="205"/>
      <c r="DE371" s="205"/>
      <c r="DF371" s="205"/>
      <c r="DG371" s="205"/>
      <c r="DH371" s="205"/>
      <c r="DI371" s="205"/>
      <c r="DJ371" s="205"/>
      <c r="DK371" s="205"/>
      <c r="DL371" s="205"/>
      <c r="DM371" s="205"/>
      <c r="DN371" s="205"/>
      <c r="DO371" s="205"/>
      <c r="DP371" s="205"/>
      <c r="DQ371" s="205"/>
      <c r="DR371" s="205"/>
      <c r="DS371" s="205"/>
      <c r="DT371" s="205"/>
      <c r="DU371" s="205"/>
      <c r="DV371" s="205"/>
      <c r="DW371" s="205"/>
      <c r="DX371" s="205"/>
      <c r="DY371" s="205"/>
      <c r="DZ371" s="205"/>
      <c r="EA371" s="205"/>
      <c r="EB371" s="205"/>
      <c r="EC371" s="205"/>
      <c r="ED371" s="205"/>
      <c r="EE371" s="205"/>
      <c r="EF371" s="205"/>
      <c r="EG371" s="205"/>
      <c r="EH371" s="205"/>
      <c r="EI371" s="205"/>
      <c r="EJ371" s="205"/>
      <c r="EK371" s="205"/>
      <c r="EL371" s="205"/>
      <c r="EM371" s="205"/>
      <c r="EN371" s="205"/>
      <c r="EO371" s="205"/>
      <c r="EP371" s="205"/>
      <c r="EQ371" s="205"/>
      <c r="ER371" s="205"/>
      <c r="ES371" s="205"/>
      <c r="ET371" s="205"/>
      <c r="EU371" s="205"/>
      <c r="EV371" s="205"/>
      <c r="EW371" s="205"/>
      <c r="EX371" s="205"/>
      <c r="EY371" s="205"/>
      <c r="EZ371" s="205"/>
      <c r="FA371" s="205"/>
      <c r="FB371" s="205"/>
      <c r="FC371" s="205"/>
      <c r="FD371" s="205"/>
      <c r="FE371" s="205"/>
      <c r="FF371" s="205"/>
      <c r="FG371" s="205"/>
      <c r="FH371" s="205"/>
      <c r="FI371" s="205"/>
      <c r="FJ371" s="205"/>
      <c r="FK371" s="205"/>
      <c r="FL371" s="205"/>
      <c r="FM371" s="205"/>
      <c r="FN371" s="205"/>
      <c r="FO371" s="205"/>
      <c r="FP371" s="205"/>
      <c r="FQ371" s="205"/>
      <c r="FR371" s="205"/>
      <c r="FS371" s="205"/>
      <c r="FT371" s="205"/>
      <c r="FU371" s="205"/>
      <c r="FV371" s="205"/>
      <c r="FW371" s="205"/>
      <c r="FX371" s="205"/>
      <c r="FY371" s="205"/>
      <c r="FZ371" s="205"/>
      <c r="GA371" s="205"/>
      <c r="GB371" s="205"/>
      <c r="GC371" s="205"/>
      <c r="GD371" s="205"/>
      <c r="GE371" s="205"/>
      <c r="GF371" s="205"/>
      <c r="GG371" s="205"/>
      <c r="GH371" s="205"/>
      <c r="GI371" s="205"/>
      <c r="GJ371" s="205"/>
      <c r="GK371" s="205"/>
      <c r="GL371" s="205"/>
      <c r="GM371" s="205"/>
      <c r="GN371" s="205"/>
      <c r="GO371" s="205"/>
      <c r="GP371" s="205"/>
      <c r="GQ371" s="205"/>
      <c r="GR371" s="205"/>
      <c r="GS371" s="205"/>
      <c r="GT371" s="205"/>
      <c r="GU371" s="205"/>
      <c r="GV371" s="205"/>
      <c r="GW371" s="205"/>
      <c r="GX371" s="205"/>
      <c r="GY371" s="205"/>
      <c r="GZ371" s="205"/>
      <c r="HA371" s="205"/>
      <c r="HB371" s="205"/>
      <c r="HC371" s="205"/>
      <c r="HD371" s="205"/>
      <c r="HE371" s="205"/>
      <c r="HF371" s="205"/>
      <c r="HG371" s="205"/>
      <c r="HH371" s="205"/>
      <c r="HI371" s="205"/>
      <c r="HJ371" s="205"/>
      <c r="HK371" s="205"/>
      <c r="HL371" s="205"/>
      <c r="HM371" s="205"/>
      <c r="HN371" s="205"/>
      <c r="HO371" s="205"/>
      <c r="HP371" s="205"/>
      <c r="HQ371" s="205"/>
      <c r="HR371" s="205"/>
      <c r="HS371" s="205"/>
      <c r="HT371" s="205"/>
      <c r="HU371" s="205"/>
      <c r="HV371" s="205"/>
      <c r="HW371" s="205"/>
      <c r="HX371" s="205"/>
      <c r="HY371" s="205"/>
      <c r="HZ371" s="205"/>
      <c r="IA371" s="205"/>
      <c r="IB371" s="205"/>
      <c r="IC371" s="205"/>
      <c r="ID371" s="205"/>
      <c r="IE371" s="205"/>
      <c r="IF371" s="205"/>
      <c r="IG371" s="205"/>
      <c r="IH371" s="205"/>
      <c r="II371" s="205"/>
      <c r="IJ371" s="205"/>
      <c r="IK371" s="205"/>
      <c r="IL371" s="205"/>
      <c r="IM371" s="205"/>
      <c r="IN371" s="205"/>
      <c r="IO371" s="205"/>
      <c r="IP371" s="205"/>
      <c r="IQ371" s="205"/>
      <c r="IR371" s="205"/>
      <c r="IS371" s="205"/>
      <c r="IT371" s="205"/>
      <c r="IU371" s="205"/>
      <c r="IV371" s="205"/>
      <c r="IW371" s="205"/>
      <c r="IX371" s="205"/>
    </row>
    <row r="372" spans="1:258" s="203" customFormat="1" x14ac:dyDescent="0.2">
      <c r="A372" s="669"/>
      <c r="B372" s="670"/>
      <c r="C372" s="1390"/>
      <c r="D372" s="672"/>
      <c r="E372" s="1391"/>
      <c r="F372" s="1391"/>
      <c r="G372" s="1392" t="str">
        <f t="shared" si="155"/>
        <v>R.inap umum</v>
      </c>
      <c r="H372" s="675">
        <f t="shared" si="156"/>
        <v>14.4</v>
      </c>
      <c r="I372" s="676"/>
      <c r="J372" s="676"/>
      <c r="K372" s="676" t="s">
        <v>424</v>
      </c>
      <c r="L372" s="676">
        <f t="shared" si="157"/>
        <v>10</v>
      </c>
      <c r="M372" s="1394"/>
      <c r="N372" s="1394"/>
      <c r="O372" s="1394"/>
      <c r="P372" s="1394"/>
      <c r="Q372" s="1362" t="s">
        <v>696</v>
      </c>
      <c r="R372" s="1363">
        <f t="shared" si="158"/>
        <v>144</v>
      </c>
      <c r="S372" s="1396"/>
      <c r="T372" s="1397"/>
      <c r="U372" s="205"/>
      <c r="V372" s="685"/>
      <c r="W372" s="205"/>
      <c r="X372" s="205"/>
      <c r="Y372" s="205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05"/>
      <c r="BN372" s="205"/>
      <c r="BO372" s="205"/>
      <c r="BP372" s="205"/>
      <c r="BQ372" s="205"/>
      <c r="BR372" s="205"/>
      <c r="BS372" s="205"/>
      <c r="BT372" s="205"/>
      <c r="BU372" s="205"/>
      <c r="BV372" s="205"/>
      <c r="BW372" s="205"/>
      <c r="BX372" s="205"/>
      <c r="BY372" s="205"/>
      <c r="BZ372" s="205"/>
      <c r="CA372" s="205"/>
      <c r="CB372" s="205"/>
      <c r="CC372" s="205"/>
      <c r="CD372" s="205"/>
      <c r="CE372" s="205"/>
      <c r="CF372" s="205"/>
      <c r="CG372" s="205"/>
      <c r="CH372" s="205"/>
      <c r="CI372" s="205"/>
      <c r="CJ372" s="205"/>
      <c r="CK372" s="205"/>
      <c r="CL372" s="205"/>
      <c r="CM372" s="205"/>
      <c r="CN372" s="205"/>
      <c r="CO372" s="205"/>
      <c r="CP372" s="205"/>
      <c r="CQ372" s="205"/>
      <c r="CR372" s="205"/>
      <c r="CS372" s="205"/>
      <c r="CT372" s="205"/>
      <c r="CU372" s="205"/>
      <c r="CV372" s="205"/>
      <c r="CW372" s="205"/>
      <c r="CX372" s="205"/>
      <c r="CY372" s="205"/>
      <c r="CZ372" s="205"/>
      <c r="DA372" s="205"/>
      <c r="DB372" s="205"/>
      <c r="DC372" s="205"/>
      <c r="DD372" s="205"/>
      <c r="DE372" s="205"/>
      <c r="DF372" s="205"/>
      <c r="DG372" s="205"/>
      <c r="DH372" s="205"/>
      <c r="DI372" s="205"/>
      <c r="DJ372" s="205"/>
      <c r="DK372" s="205"/>
      <c r="DL372" s="205"/>
      <c r="DM372" s="205"/>
      <c r="DN372" s="205"/>
      <c r="DO372" s="205"/>
      <c r="DP372" s="205"/>
      <c r="DQ372" s="205"/>
      <c r="DR372" s="205"/>
      <c r="DS372" s="205"/>
      <c r="DT372" s="205"/>
      <c r="DU372" s="205"/>
      <c r="DV372" s="205"/>
      <c r="DW372" s="205"/>
      <c r="DX372" s="205"/>
      <c r="DY372" s="205"/>
      <c r="DZ372" s="205"/>
      <c r="EA372" s="205"/>
      <c r="EB372" s="205"/>
      <c r="EC372" s="205"/>
      <c r="ED372" s="205"/>
      <c r="EE372" s="205"/>
      <c r="EF372" s="205"/>
      <c r="EG372" s="205"/>
      <c r="EH372" s="205"/>
      <c r="EI372" s="205"/>
      <c r="EJ372" s="205"/>
      <c r="EK372" s="205"/>
      <c r="EL372" s="205"/>
      <c r="EM372" s="205"/>
      <c r="EN372" s="205"/>
      <c r="EO372" s="205"/>
      <c r="EP372" s="205"/>
      <c r="EQ372" s="205"/>
      <c r="ER372" s="205"/>
      <c r="ES372" s="205"/>
      <c r="ET372" s="205"/>
      <c r="EU372" s="205"/>
      <c r="EV372" s="205"/>
      <c r="EW372" s="205"/>
      <c r="EX372" s="205"/>
      <c r="EY372" s="205"/>
      <c r="EZ372" s="205"/>
      <c r="FA372" s="205"/>
      <c r="FB372" s="205"/>
      <c r="FC372" s="205"/>
      <c r="FD372" s="205"/>
      <c r="FE372" s="205"/>
      <c r="FF372" s="205"/>
      <c r="FG372" s="205"/>
      <c r="FH372" s="205"/>
      <c r="FI372" s="205"/>
      <c r="FJ372" s="205"/>
      <c r="FK372" s="205"/>
      <c r="FL372" s="205"/>
      <c r="FM372" s="205"/>
      <c r="FN372" s="205"/>
      <c r="FO372" s="205"/>
      <c r="FP372" s="205"/>
      <c r="FQ372" s="205"/>
      <c r="FR372" s="205"/>
      <c r="FS372" s="205"/>
      <c r="FT372" s="205"/>
      <c r="FU372" s="205"/>
      <c r="FV372" s="205"/>
      <c r="FW372" s="205"/>
      <c r="FX372" s="205"/>
      <c r="FY372" s="205"/>
      <c r="FZ372" s="205"/>
      <c r="GA372" s="205"/>
      <c r="GB372" s="205"/>
      <c r="GC372" s="205"/>
      <c r="GD372" s="205"/>
      <c r="GE372" s="205"/>
      <c r="GF372" s="205"/>
      <c r="GG372" s="205"/>
      <c r="GH372" s="205"/>
      <c r="GI372" s="205"/>
      <c r="GJ372" s="205"/>
      <c r="GK372" s="205"/>
      <c r="GL372" s="205"/>
      <c r="GM372" s="205"/>
      <c r="GN372" s="205"/>
      <c r="GO372" s="205"/>
      <c r="GP372" s="205"/>
      <c r="GQ372" s="205"/>
      <c r="GR372" s="205"/>
      <c r="GS372" s="205"/>
      <c r="GT372" s="205"/>
      <c r="GU372" s="205"/>
      <c r="GV372" s="205"/>
      <c r="GW372" s="205"/>
      <c r="GX372" s="205"/>
      <c r="GY372" s="205"/>
      <c r="GZ372" s="205"/>
      <c r="HA372" s="205"/>
      <c r="HB372" s="205"/>
      <c r="HC372" s="205"/>
      <c r="HD372" s="205"/>
      <c r="HE372" s="205"/>
      <c r="HF372" s="205"/>
      <c r="HG372" s="205"/>
      <c r="HH372" s="205"/>
      <c r="HI372" s="205"/>
      <c r="HJ372" s="205"/>
      <c r="HK372" s="205"/>
      <c r="HL372" s="205"/>
      <c r="HM372" s="205"/>
      <c r="HN372" s="205"/>
      <c r="HO372" s="205"/>
      <c r="HP372" s="205"/>
      <c r="HQ372" s="205"/>
      <c r="HR372" s="205"/>
      <c r="HS372" s="205"/>
      <c r="HT372" s="205"/>
      <c r="HU372" s="205"/>
      <c r="HV372" s="205"/>
      <c r="HW372" s="205"/>
      <c r="HX372" s="205"/>
      <c r="HY372" s="205"/>
      <c r="HZ372" s="205"/>
      <c r="IA372" s="205"/>
      <c r="IB372" s="205"/>
      <c r="IC372" s="205"/>
      <c r="ID372" s="205"/>
      <c r="IE372" s="205"/>
      <c r="IF372" s="205"/>
      <c r="IG372" s="205"/>
      <c r="IH372" s="205"/>
      <c r="II372" s="205"/>
      <c r="IJ372" s="205"/>
      <c r="IK372" s="205"/>
      <c r="IL372" s="205"/>
      <c r="IM372" s="205"/>
      <c r="IN372" s="205"/>
      <c r="IO372" s="205"/>
      <c r="IP372" s="205"/>
      <c r="IQ372" s="205"/>
      <c r="IR372" s="205"/>
      <c r="IS372" s="205"/>
      <c r="IT372" s="205"/>
      <c r="IU372" s="205"/>
      <c r="IV372" s="205"/>
      <c r="IW372" s="205"/>
      <c r="IX372" s="205"/>
    </row>
    <row r="373" spans="1:258" s="203" customFormat="1" x14ac:dyDescent="0.2">
      <c r="A373" s="669"/>
      <c r="B373" s="670"/>
      <c r="C373" s="1390"/>
      <c r="D373" s="672"/>
      <c r="E373" s="1391"/>
      <c r="F373" s="1391"/>
      <c r="G373" s="1392"/>
      <c r="H373" s="675">
        <f t="shared" si="156"/>
        <v>8.1</v>
      </c>
      <c r="I373" s="676"/>
      <c r="J373" s="676"/>
      <c r="K373" s="676" t="s">
        <v>424</v>
      </c>
      <c r="L373" s="676">
        <f t="shared" si="157"/>
        <v>10</v>
      </c>
      <c r="M373" s="1394"/>
      <c r="N373" s="1394"/>
      <c r="O373" s="1394"/>
      <c r="P373" s="1394"/>
      <c r="Q373" s="1362" t="s">
        <v>696</v>
      </c>
      <c r="R373" s="1363">
        <f t="shared" si="158"/>
        <v>81</v>
      </c>
      <c r="S373" s="1396"/>
      <c r="T373" s="1397"/>
      <c r="U373" s="205"/>
      <c r="V373" s="685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05"/>
      <c r="BN373" s="205"/>
      <c r="BO373" s="205"/>
      <c r="BP373" s="205"/>
      <c r="BQ373" s="205"/>
      <c r="BR373" s="205"/>
      <c r="BS373" s="205"/>
      <c r="BT373" s="205"/>
      <c r="BU373" s="205"/>
      <c r="BV373" s="205"/>
      <c r="BW373" s="205"/>
      <c r="BX373" s="205"/>
      <c r="BY373" s="205"/>
      <c r="BZ373" s="205"/>
      <c r="CA373" s="205"/>
      <c r="CB373" s="205"/>
      <c r="CC373" s="205"/>
      <c r="CD373" s="205"/>
      <c r="CE373" s="205"/>
      <c r="CF373" s="205"/>
      <c r="CG373" s="205"/>
      <c r="CH373" s="205"/>
      <c r="CI373" s="205"/>
      <c r="CJ373" s="205"/>
      <c r="CK373" s="205"/>
      <c r="CL373" s="205"/>
      <c r="CM373" s="205"/>
      <c r="CN373" s="205"/>
      <c r="CO373" s="205"/>
      <c r="CP373" s="205"/>
      <c r="CQ373" s="205"/>
      <c r="CR373" s="205"/>
      <c r="CS373" s="205"/>
      <c r="CT373" s="205"/>
      <c r="CU373" s="205"/>
      <c r="CV373" s="205"/>
      <c r="CW373" s="205"/>
      <c r="CX373" s="205"/>
      <c r="CY373" s="205"/>
      <c r="CZ373" s="205"/>
      <c r="DA373" s="205"/>
      <c r="DB373" s="205"/>
      <c r="DC373" s="205"/>
      <c r="DD373" s="205"/>
      <c r="DE373" s="205"/>
      <c r="DF373" s="205"/>
      <c r="DG373" s="205"/>
      <c r="DH373" s="205"/>
      <c r="DI373" s="205"/>
      <c r="DJ373" s="205"/>
      <c r="DK373" s="205"/>
      <c r="DL373" s="205"/>
      <c r="DM373" s="205"/>
      <c r="DN373" s="205"/>
      <c r="DO373" s="205"/>
      <c r="DP373" s="205"/>
      <c r="DQ373" s="205"/>
      <c r="DR373" s="205"/>
      <c r="DS373" s="205"/>
      <c r="DT373" s="205"/>
      <c r="DU373" s="205"/>
      <c r="DV373" s="205"/>
      <c r="DW373" s="205"/>
      <c r="DX373" s="205"/>
      <c r="DY373" s="205"/>
      <c r="DZ373" s="205"/>
      <c r="EA373" s="205"/>
      <c r="EB373" s="205"/>
      <c r="EC373" s="205"/>
      <c r="ED373" s="205"/>
      <c r="EE373" s="205"/>
      <c r="EF373" s="205"/>
      <c r="EG373" s="205"/>
      <c r="EH373" s="205"/>
      <c r="EI373" s="205"/>
      <c r="EJ373" s="205"/>
      <c r="EK373" s="205"/>
      <c r="EL373" s="205"/>
      <c r="EM373" s="205"/>
      <c r="EN373" s="205"/>
      <c r="EO373" s="205"/>
      <c r="EP373" s="205"/>
      <c r="EQ373" s="205"/>
      <c r="ER373" s="205"/>
      <c r="ES373" s="205"/>
      <c r="ET373" s="205"/>
      <c r="EU373" s="205"/>
      <c r="EV373" s="205"/>
      <c r="EW373" s="205"/>
      <c r="EX373" s="205"/>
      <c r="EY373" s="205"/>
      <c r="EZ373" s="205"/>
      <c r="FA373" s="205"/>
      <c r="FB373" s="205"/>
      <c r="FC373" s="205"/>
      <c r="FD373" s="205"/>
      <c r="FE373" s="205"/>
      <c r="FF373" s="205"/>
      <c r="FG373" s="205"/>
      <c r="FH373" s="205"/>
      <c r="FI373" s="205"/>
      <c r="FJ373" s="205"/>
      <c r="FK373" s="205"/>
      <c r="FL373" s="205"/>
      <c r="FM373" s="205"/>
      <c r="FN373" s="205"/>
      <c r="FO373" s="205"/>
      <c r="FP373" s="205"/>
      <c r="FQ373" s="205"/>
      <c r="FR373" s="205"/>
      <c r="FS373" s="205"/>
      <c r="FT373" s="205"/>
      <c r="FU373" s="205"/>
      <c r="FV373" s="205"/>
      <c r="FW373" s="205"/>
      <c r="FX373" s="205"/>
      <c r="FY373" s="205"/>
      <c r="FZ373" s="205"/>
      <c r="GA373" s="205"/>
      <c r="GB373" s="205"/>
      <c r="GC373" s="205"/>
      <c r="GD373" s="205"/>
      <c r="GE373" s="205"/>
      <c r="GF373" s="205"/>
      <c r="GG373" s="205"/>
      <c r="GH373" s="205"/>
      <c r="GI373" s="205"/>
      <c r="GJ373" s="205"/>
      <c r="GK373" s="205"/>
      <c r="GL373" s="205"/>
      <c r="GM373" s="205"/>
      <c r="GN373" s="205"/>
      <c r="GO373" s="205"/>
      <c r="GP373" s="205"/>
      <c r="GQ373" s="205"/>
      <c r="GR373" s="205"/>
      <c r="GS373" s="205"/>
      <c r="GT373" s="205"/>
      <c r="GU373" s="205"/>
      <c r="GV373" s="205"/>
      <c r="GW373" s="205"/>
      <c r="GX373" s="205"/>
      <c r="GY373" s="205"/>
      <c r="GZ373" s="205"/>
      <c r="HA373" s="205"/>
      <c r="HB373" s="205"/>
      <c r="HC373" s="205"/>
      <c r="HD373" s="205"/>
      <c r="HE373" s="205"/>
      <c r="HF373" s="205"/>
      <c r="HG373" s="205"/>
      <c r="HH373" s="205"/>
      <c r="HI373" s="205"/>
      <c r="HJ373" s="205"/>
      <c r="HK373" s="205"/>
      <c r="HL373" s="205"/>
      <c r="HM373" s="205"/>
      <c r="HN373" s="205"/>
      <c r="HO373" s="205"/>
      <c r="HP373" s="205"/>
      <c r="HQ373" s="205"/>
      <c r="HR373" s="205"/>
      <c r="HS373" s="205"/>
      <c r="HT373" s="205"/>
      <c r="HU373" s="205"/>
      <c r="HV373" s="205"/>
      <c r="HW373" s="205"/>
      <c r="HX373" s="205"/>
      <c r="HY373" s="205"/>
      <c r="HZ373" s="205"/>
      <c r="IA373" s="205"/>
      <c r="IB373" s="205"/>
      <c r="IC373" s="205"/>
      <c r="ID373" s="205"/>
      <c r="IE373" s="205"/>
      <c r="IF373" s="205"/>
      <c r="IG373" s="205"/>
      <c r="IH373" s="205"/>
      <c r="II373" s="205"/>
      <c r="IJ373" s="205"/>
      <c r="IK373" s="205"/>
      <c r="IL373" s="205"/>
      <c r="IM373" s="205"/>
      <c r="IN373" s="205"/>
      <c r="IO373" s="205"/>
      <c r="IP373" s="205"/>
      <c r="IQ373" s="205"/>
      <c r="IR373" s="205"/>
      <c r="IS373" s="205"/>
      <c r="IT373" s="205"/>
      <c r="IU373" s="205"/>
      <c r="IV373" s="205"/>
      <c r="IW373" s="205"/>
      <c r="IX373" s="205"/>
    </row>
    <row r="374" spans="1:258" s="203" customFormat="1" x14ac:dyDescent="0.2">
      <c r="A374" s="669"/>
      <c r="B374" s="670"/>
      <c r="C374" s="1390"/>
      <c r="D374" s="672"/>
      <c r="E374" s="1391"/>
      <c r="F374" s="1391"/>
      <c r="G374" s="1392" t="str">
        <f t="shared" si="155"/>
        <v>Selasar R.Inap</v>
      </c>
      <c r="H374" s="675">
        <f t="shared" si="156"/>
        <v>48</v>
      </c>
      <c r="I374" s="676"/>
      <c r="J374" s="676"/>
      <c r="K374" s="676"/>
      <c r="L374" s="676"/>
      <c r="M374" s="1394"/>
      <c r="N374" s="1394"/>
      <c r="O374" s="1394"/>
      <c r="P374" s="1394"/>
      <c r="Q374" s="1394" t="s">
        <v>696</v>
      </c>
      <c r="R374" s="1363">
        <f t="shared" ref="R374:R376" si="159">H374</f>
        <v>48</v>
      </c>
      <c r="S374" s="1396"/>
      <c r="T374" s="1397"/>
      <c r="U374" s="205"/>
      <c r="V374" s="685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05"/>
      <c r="BN374" s="205"/>
      <c r="BO374" s="205"/>
      <c r="BP374" s="205"/>
      <c r="BQ374" s="205"/>
      <c r="BR374" s="205"/>
      <c r="BS374" s="205"/>
      <c r="BT374" s="205"/>
      <c r="BU374" s="205"/>
      <c r="BV374" s="205"/>
      <c r="BW374" s="205"/>
      <c r="BX374" s="205"/>
      <c r="BY374" s="205"/>
      <c r="BZ374" s="205"/>
      <c r="CA374" s="205"/>
      <c r="CB374" s="205"/>
      <c r="CC374" s="205"/>
      <c r="CD374" s="205"/>
      <c r="CE374" s="205"/>
      <c r="CF374" s="205"/>
      <c r="CG374" s="205"/>
      <c r="CH374" s="205"/>
      <c r="CI374" s="205"/>
      <c r="CJ374" s="205"/>
      <c r="CK374" s="205"/>
      <c r="CL374" s="205"/>
      <c r="CM374" s="205"/>
      <c r="CN374" s="205"/>
      <c r="CO374" s="205"/>
      <c r="CP374" s="205"/>
      <c r="CQ374" s="205"/>
      <c r="CR374" s="205"/>
      <c r="CS374" s="205"/>
      <c r="CT374" s="205"/>
      <c r="CU374" s="205"/>
      <c r="CV374" s="205"/>
      <c r="CW374" s="205"/>
      <c r="CX374" s="205"/>
      <c r="CY374" s="205"/>
      <c r="CZ374" s="205"/>
      <c r="DA374" s="205"/>
      <c r="DB374" s="205"/>
      <c r="DC374" s="205"/>
      <c r="DD374" s="205"/>
      <c r="DE374" s="205"/>
      <c r="DF374" s="205"/>
      <c r="DG374" s="205"/>
      <c r="DH374" s="205"/>
      <c r="DI374" s="205"/>
      <c r="DJ374" s="205"/>
      <c r="DK374" s="205"/>
      <c r="DL374" s="205"/>
      <c r="DM374" s="205"/>
      <c r="DN374" s="205"/>
      <c r="DO374" s="205"/>
      <c r="DP374" s="205"/>
      <c r="DQ374" s="205"/>
      <c r="DR374" s="205"/>
      <c r="DS374" s="205"/>
      <c r="DT374" s="205"/>
      <c r="DU374" s="205"/>
      <c r="DV374" s="205"/>
      <c r="DW374" s="205"/>
      <c r="DX374" s="205"/>
      <c r="DY374" s="205"/>
      <c r="DZ374" s="205"/>
      <c r="EA374" s="205"/>
      <c r="EB374" s="205"/>
      <c r="EC374" s="205"/>
      <c r="ED374" s="205"/>
      <c r="EE374" s="205"/>
      <c r="EF374" s="205"/>
      <c r="EG374" s="205"/>
      <c r="EH374" s="205"/>
      <c r="EI374" s="205"/>
      <c r="EJ374" s="205"/>
      <c r="EK374" s="205"/>
      <c r="EL374" s="205"/>
      <c r="EM374" s="205"/>
      <c r="EN374" s="205"/>
      <c r="EO374" s="205"/>
      <c r="EP374" s="205"/>
      <c r="EQ374" s="205"/>
      <c r="ER374" s="205"/>
      <c r="ES374" s="205"/>
      <c r="ET374" s="205"/>
      <c r="EU374" s="205"/>
      <c r="EV374" s="205"/>
      <c r="EW374" s="205"/>
      <c r="EX374" s="205"/>
      <c r="EY374" s="205"/>
      <c r="EZ374" s="205"/>
      <c r="FA374" s="205"/>
      <c r="FB374" s="205"/>
      <c r="FC374" s="205"/>
      <c r="FD374" s="205"/>
      <c r="FE374" s="205"/>
      <c r="FF374" s="205"/>
      <c r="FG374" s="205"/>
      <c r="FH374" s="205"/>
      <c r="FI374" s="205"/>
      <c r="FJ374" s="205"/>
      <c r="FK374" s="205"/>
      <c r="FL374" s="205"/>
      <c r="FM374" s="205"/>
      <c r="FN374" s="205"/>
      <c r="FO374" s="205"/>
      <c r="FP374" s="205"/>
      <c r="FQ374" s="205"/>
      <c r="FR374" s="205"/>
      <c r="FS374" s="205"/>
      <c r="FT374" s="205"/>
      <c r="FU374" s="205"/>
      <c r="FV374" s="205"/>
      <c r="FW374" s="205"/>
      <c r="FX374" s="205"/>
      <c r="FY374" s="205"/>
      <c r="FZ374" s="205"/>
      <c r="GA374" s="205"/>
      <c r="GB374" s="205"/>
      <c r="GC374" s="205"/>
      <c r="GD374" s="205"/>
      <c r="GE374" s="205"/>
      <c r="GF374" s="205"/>
      <c r="GG374" s="205"/>
      <c r="GH374" s="205"/>
      <c r="GI374" s="205"/>
      <c r="GJ374" s="205"/>
      <c r="GK374" s="205"/>
      <c r="GL374" s="205"/>
      <c r="GM374" s="205"/>
      <c r="GN374" s="205"/>
      <c r="GO374" s="205"/>
      <c r="GP374" s="205"/>
      <c r="GQ374" s="205"/>
      <c r="GR374" s="205"/>
      <c r="GS374" s="205"/>
      <c r="GT374" s="205"/>
      <c r="GU374" s="205"/>
      <c r="GV374" s="205"/>
      <c r="GW374" s="205"/>
      <c r="GX374" s="205"/>
      <c r="GY374" s="205"/>
      <c r="GZ374" s="205"/>
      <c r="HA374" s="205"/>
      <c r="HB374" s="205"/>
      <c r="HC374" s="205"/>
      <c r="HD374" s="205"/>
      <c r="HE374" s="205"/>
      <c r="HF374" s="205"/>
      <c r="HG374" s="205"/>
      <c r="HH374" s="205"/>
      <c r="HI374" s="205"/>
      <c r="HJ374" s="205"/>
      <c r="HK374" s="205"/>
      <c r="HL374" s="205"/>
      <c r="HM374" s="205"/>
      <c r="HN374" s="205"/>
      <c r="HO374" s="205"/>
      <c r="HP374" s="205"/>
      <c r="HQ374" s="205"/>
      <c r="HR374" s="205"/>
      <c r="HS374" s="205"/>
      <c r="HT374" s="205"/>
      <c r="HU374" s="205"/>
      <c r="HV374" s="205"/>
      <c r="HW374" s="205"/>
      <c r="HX374" s="205"/>
      <c r="HY374" s="205"/>
      <c r="HZ374" s="205"/>
      <c r="IA374" s="205"/>
      <c r="IB374" s="205"/>
      <c r="IC374" s="205"/>
      <c r="ID374" s="205"/>
      <c r="IE374" s="205"/>
      <c r="IF374" s="205"/>
      <c r="IG374" s="205"/>
      <c r="IH374" s="205"/>
      <c r="II374" s="205"/>
      <c r="IJ374" s="205"/>
      <c r="IK374" s="205"/>
      <c r="IL374" s="205"/>
      <c r="IM374" s="205"/>
      <c r="IN374" s="205"/>
      <c r="IO374" s="205"/>
      <c r="IP374" s="205"/>
      <c r="IQ374" s="205"/>
      <c r="IR374" s="205"/>
      <c r="IS374" s="205"/>
      <c r="IT374" s="205"/>
      <c r="IU374" s="205"/>
      <c r="IV374" s="205"/>
      <c r="IW374" s="205"/>
      <c r="IX374" s="205"/>
    </row>
    <row r="375" spans="1:258" s="203" customFormat="1" x14ac:dyDescent="0.2">
      <c r="A375" s="669"/>
      <c r="B375" s="670"/>
      <c r="C375" s="1390"/>
      <c r="D375" s="672"/>
      <c r="E375" s="1391"/>
      <c r="F375" s="1391"/>
      <c r="G375" s="1392"/>
      <c r="H375" s="675">
        <f t="shared" si="156"/>
        <v>13.7</v>
      </c>
      <c r="I375" s="676"/>
      <c r="J375" s="676"/>
      <c r="K375" s="676"/>
      <c r="L375" s="676"/>
      <c r="M375" s="1394"/>
      <c r="N375" s="1394"/>
      <c r="O375" s="1394"/>
      <c r="P375" s="1394"/>
      <c r="Q375" s="1394" t="s">
        <v>696</v>
      </c>
      <c r="R375" s="1363">
        <f t="shared" si="159"/>
        <v>13.7</v>
      </c>
      <c r="S375" s="1396"/>
      <c r="T375" s="1397"/>
      <c r="U375" s="205"/>
      <c r="V375" s="685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05"/>
      <c r="BN375" s="205"/>
      <c r="BO375" s="205"/>
      <c r="BP375" s="205"/>
      <c r="BQ375" s="205"/>
      <c r="BR375" s="205"/>
      <c r="BS375" s="205"/>
      <c r="BT375" s="205"/>
      <c r="BU375" s="205"/>
      <c r="BV375" s="205"/>
      <c r="BW375" s="205"/>
      <c r="BX375" s="205"/>
      <c r="BY375" s="205"/>
      <c r="BZ375" s="205"/>
      <c r="CA375" s="205"/>
      <c r="CB375" s="205"/>
      <c r="CC375" s="205"/>
      <c r="CD375" s="205"/>
      <c r="CE375" s="205"/>
      <c r="CF375" s="205"/>
      <c r="CG375" s="205"/>
      <c r="CH375" s="205"/>
      <c r="CI375" s="205"/>
      <c r="CJ375" s="205"/>
      <c r="CK375" s="205"/>
      <c r="CL375" s="205"/>
      <c r="CM375" s="205"/>
      <c r="CN375" s="205"/>
      <c r="CO375" s="205"/>
      <c r="CP375" s="205"/>
      <c r="CQ375" s="205"/>
      <c r="CR375" s="205"/>
      <c r="CS375" s="205"/>
      <c r="CT375" s="205"/>
      <c r="CU375" s="205"/>
      <c r="CV375" s="205"/>
      <c r="CW375" s="205"/>
      <c r="CX375" s="205"/>
      <c r="CY375" s="205"/>
      <c r="CZ375" s="205"/>
      <c r="DA375" s="205"/>
      <c r="DB375" s="205"/>
      <c r="DC375" s="205"/>
      <c r="DD375" s="205"/>
      <c r="DE375" s="205"/>
      <c r="DF375" s="205"/>
      <c r="DG375" s="205"/>
      <c r="DH375" s="205"/>
      <c r="DI375" s="205"/>
      <c r="DJ375" s="205"/>
      <c r="DK375" s="205"/>
      <c r="DL375" s="205"/>
      <c r="DM375" s="205"/>
      <c r="DN375" s="205"/>
      <c r="DO375" s="205"/>
      <c r="DP375" s="205"/>
      <c r="DQ375" s="205"/>
      <c r="DR375" s="205"/>
      <c r="DS375" s="205"/>
      <c r="DT375" s="205"/>
      <c r="DU375" s="205"/>
      <c r="DV375" s="205"/>
      <c r="DW375" s="205"/>
      <c r="DX375" s="205"/>
      <c r="DY375" s="205"/>
      <c r="DZ375" s="205"/>
      <c r="EA375" s="205"/>
      <c r="EB375" s="205"/>
      <c r="EC375" s="205"/>
      <c r="ED375" s="205"/>
      <c r="EE375" s="205"/>
      <c r="EF375" s="205"/>
      <c r="EG375" s="205"/>
      <c r="EH375" s="205"/>
      <c r="EI375" s="205"/>
      <c r="EJ375" s="205"/>
      <c r="EK375" s="205"/>
      <c r="EL375" s="205"/>
      <c r="EM375" s="205"/>
      <c r="EN375" s="205"/>
      <c r="EO375" s="205"/>
      <c r="EP375" s="205"/>
      <c r="EQ375" s="205"/>
      <c r="ER375" s="205"/>
      <c r="ES375" s="205"/>
      <c r="ET375" s="205"/>
      <c r="EU375" s="205"/>
      <c r="EV375" s="205"/>
      <c r="EW375" s="205"/>
      <c r="EX375" s="205"/>
      <c r="EY375" s="205"/>
      <c r="EZ375" s="205"/>
      <c r="FA375" s="205"/>
      <c r="FB375" s="205"/>
      <c r="FC375" s="205"/>
      <c r="FD375" s="205"/>
      <c r="FE375" s="205"/>
      <c r="FF375" s="205"/>
      <c r="FG375" s="205"/>
      <c r="FH375" s="205"/>
      <c r="FI375" s="205"/>
      <c r="FJ375" s="205"/>
      <c r="FK375" s="205"/>
      <c r="FL375" s="205"/>
      <c r="FM375" s="205"/>
      <c r="FN375" s="205"/>
      <c r="FO375" s="205"/>
      <c r="FP375" s="205"/>
      <c r="FQ375" s="205"/>
      <c r="FR375" s="205"/>
      <c r="FS375" s="205"/>
      <c r="FT375" s="205"/>
      <c r="FU375" s="205"/>
      <c r="FV375" s="205"/>
      <c r="FW375" s="205"/>
      <c r="FX375" s="205"/>
      <c r="FY375" s="205"/>
      <c r="FZ375" s="205"/>
      <c r="GA375" s="205"/>
      <c r="GB375" s="205"/>
      <c r="GC375" s="205"/>
      <c r="GD375" s="205"/>
      <c r="GE375" s="205"/>
      <c r="GF375" s="205"/>
      <c r="GG375" s="205"/>
      <c r="GH375" s="205"/>
      <c r="GI375" s="205"/>
      <c r="GJ375" s="205"/>
      <c r="GK375" s="205"/>
      <c r="GL375" s="205"/>
      <c r="GM375" s="205"/>
      <c r="GN375" s="205"/>
      <c r="GO375" s="205"/>
      <c r="GP375" s="205"/>
      <c r="GQ375" s="205"/>
      <c r="GR375" s="205"/>
      <c r="GS375" s="205"/>
      <c r="GT375" s="205"/>
      <c r="GU375" s="205"/>
      <c r="GV375" s="205"/>
      <c r="GW375" s="205"/>
      <c r="GX375" s="205"/>
      <c r="GY375" s="205"/>
      <c r="GZ375" s="205"/>
      <c r="HA375" s="205"/>
      <c r="HB375" s="205"/>
      <c r="HC375" s="205"/>
      <c r="HD375" s="205"/>
      <c r="HE375" s="205"/>
      <c r="HF375" s="205"/>
      <c r="HG375" s="205"/>
      <c r="HH375" s="205"/>
      <c r="HI375" s="205"/>
      <c r="HJ375" s="205"/>
      <c r="HK375" s="205"/>
      <c r="HL375" s="205"/>
      <c r="HM375" s="205"/>
      <c r="HN375" s="205"/>
      <c r="HO375" s="205"/>
      <c r="HP375" s="205"/>
      <c r="HQ375" s="205"/>
      <c r="HR375" s="205"/>
      <c r="HS375" s="205"/>
      <c r="HT375" s="205"/>
      <c r="HU375" s="205"/>
      <c r="HV375" s="205"/>
      <c r="HW375" s="205"/>
      <c r="HX375" s="205"/>
      <c r="HY375" s="205"/>
      <c r="HZ375" s="205"/>
      <c r="IA375" s="205"/>
      <c r="IB375" s="205"/>
      <c r="IC375" s="205"/>
      <c r="ID375" s="205"/>
      <c r="IE375" s="205"/>
      <c r="IF375" s="205"/>
      <c r="IG375" s="205"/>
      <c r="IH375" s="205"/>
      <c r="II375" s="205"/>
      <c r="IJ375" s="205"/>
      <c r="IK375" s="205"/>
      <c r="IL375" s="205"/>
      <c r="IM375" s="205"/>
      <c r="IN375" s="205"/>
      <c r="IO375" s="205"/>
      <c r="IP375" s="205"/>
      <c r="IQ375" s="205"/>
      <c r="IR375" s="205"/>
      <c r="IS375" s="205"/>
      <c r="IT375" s="205"/>
      <c r="IU375" s="205"/>
      <c r="IV375" s="205"/>
      <c r="IW375" s="205"/>
      <c r="IX375" s="205"/>
    </row>
    <row r="376" spans="1:258" s="203" customFormat="1" x14ac:dyDescent="0.2">
      <c r="A376" s="669"/>
      <c r="B376" s="670"/>
      <c r="C376" s="1390"/>
      <c r="D376" s="672"/>
      <c r="E376" s="1391"/>
      <c r="F376" s="1391"/>
      <c r="G376" s="1392"/>
      <c r="H376" s="675">
        <f t="shared" si="156"/>
        <v>12.7</v>
      </c>
      <c r="I376" s="676"/>
      <c r="J376" s="676"/>
      <c r="K376" s="676"/>
      <c r="L376" s="676"/>
      <c r="M376" s="1394"/>
      <c r="N376" s="1394"/>
      <c r="O376" s="1394"/>
      <c r="P376" s="1394"/>
      <c r="Q376" s="1394" t="s">
        <v>696</v>
      </c>
      <c r="R376" s="1363">
        <f t="shared" si="159"/>
        <v>12.7</v>
      </c>
      <c r="S376" s="1396"/>
      <c r="T376" s="1397"/>
      <c r="U376" s="205"/>
      <c r="V376" s="685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205"/>
      <c r="BN376" s="205"/>
      <c r="BO376" s="205"/>
      <c r="BP376" s="205"/>
      <c r="BQ376" s="205"/>
      <c r="BR376" s="205"/>
      <c r="BS376" s="205"/>
      <c r="BT376" s="205"/>
      <c r="BU376" s="205"/>
      <c r="BV376" s="205"/>
      <c r="BW376" s="205"/>
      <c r="BX376" s="205"/>
      <c r="BY376" s="205"/>
      <c r="BZ376" s="205"/>
      <c r="CA376" s="205"/>
      <c r="CB376" s="205"/>
      <c r="CC376" s="205"/>
      <c r="CD376" s="205"/>
      <c r="CE376" s="205"/>
      <c r="CF376" s="205"/>
      <c r="CG376" s="205"/>
      <c r="CH376" s="205"/>
      <c r="CI376" s="205"/>
      <c r="CJ376" s="205"/>
      <c r="CK376" s="205"/>
      <c r="CL376" s="205"/>
      <c r="CM376" s="205"/>
      <c r="CN376" s="205"/>
      <c r="CO376" s="205"/>
      <c r="CP376" s="205"/>
      <c r="CQ376" s="205"/>
      <c r="CR376" s="205"/>
      <c r="CS376" s="205"/>
      <c r="CT376" s="205"/>
      <c r="CU376" s="205"/>
      <c r="CV376" s="205"/>
      <c r="CW376" s="205"/>
      <c r="CX376" s="205"/>
      <c r="CY376" s="205"/>
      <c r="CZ376" s="205"/>
      <c r="DA376" s="205"/>
      <c r="DB376" s="205"/>
      <c r="DC376" s="205"/>
      <c r="DD376" s="205"/>
      <c r="DE376" s="205"/>
      <c r="DF376" s="205"/>
      <c r="DG376" s="205"/>
      <c r="DH376" s="205"/>
      <c r="DI376" s="205"/>
      <c r="DJ376" s="205"/>
      <c r="DK376" s="205"/>
      <c r="DL376" s="205"/>
      <c r="DM376" s="205"/>
      <c r="DN376" s="205"/>
      <c r="DO376" s="205"/>
      <c r="DP376" s="205"/>
      <c r="DQ376" s="205"/>
      <c r="DR376" s="205"/>
      <c r="DS376" s="205"/>
      <c r="DT376" s="205"/>
      <c r="DU376" s="205"/>
      <c r="DV376" s="205"/>
      <c r="DW376" s="205"/>
      <c r="DX376" s="205"/>
      <c r="DY376" s="205"/>
      <c r="DZ376" s="205"/>
      <c r="EA376" s="205"/>
      <c r="EB376" s="205"/>
      <c r="EC376" s="205"/>
      <c r="ED376" s="205"/>
      <c r="EE376" s="205"/>
      <c r="EF376" s="205"/>
      <c r="EG376" s="205"/>
      <c r="EH376" s="205"/>
      <c r="EI376" s="205"/>
      <c r="EJ376" s="205"/>
      <c r="EK376" s="205"/>
      <c r="EL376" s="205"/>
      <c r="EM376" s="205"/>
      <c r="EN376" s="205"/>
      <c r="EO376" s="205"/>
      <c r="EP376" s="205"/>
      <c r="EQ376" s="205"/>
      <c r="ER376" s="205"/>
      <c r="ES376" s="205"/>
      <c r="ET376" s="205"/>
      <c r="EU376" s="205"/>
      <c r="EV376" s="205"/>
      <c r="EW376" s="205"/>
      <c r="EX376" s="205"/>
      <c r="EY376" s="205"/>
      <c r="EZ376" s="205"/>
      <c r="FA376" s="205"/>
      <c r="FB376" s="205"/>
      <c r="FC376" s="205"/>
      <c r="FD376" s="205"/>
      <c r="FE376" s="205"/>
      <c r="FF376" s="205"/>
      <c r="FG376" s="205"/>
      <c r="FH376" s="205"/>
      <c r="FI376" s="205"/>
      <c r="FJ376" s="205"/>
      <c r="FK376" s="205"/>
      <c r="FL376" s="205"/>
      <c r="FM376" s="205"/>
      <c r="FN376" s="205"/>
      <c r="FO376" s="205"/>
      <c r="FP376" s="205"/>
      <c r="FQ376" s="205"/>
      <c r="FR376" s="205"/>
      <c r="FS376" s="205"/>
      <c r="FT376" s="205"/>
      <c r="FU376" s="205"/>
      <c r="FV376" s="205"/>
      <c r="FW376" s="205"/>
      <c r="FX376" s="205"/>
      <c r="FY376" s="205"/>
      <c r="FZ376" s="205"/>
      <c r="GA376" s="205"/>
      <c r="GB376" s="205"/>
      <c r="GC376" s="205"/>
      <c r="GD376" s="205"/>
      <c r="GE376" s="205"/>
      <c r="GF376" s="205"/>
      <c r="GG376" s="205"/>
      <c r="GH376" s="205"/>
      <c r="GI376" s="205"/>
      <c r="GJ376" s="205"/>
      <c r="GK376" s="205"/>
      <c r="GL376" s="205"/>
      <c r="GM376" s="205"/>
      <c r="GN376" s="205"/>
      <c r="GO376" s="205"/>
      <c r="GP376" s="205"/>
      <c r="GQ376" s="205"/>
      <c r="GR376" s="205"/>
      <c r="GS376" s="205"/>
      <c r="GT376" s="205"/>
      <c r="GU376" s="205"/>
      <c r="GV376" s="205"/>
      <c r="GW376" s="205"/>
      <c r="GX376" s="205"/>
      <c r="GY376" s="205"/>
      <c r="GZ376" s="205"/>
      <c r="HA376" s="205"/>
      <c r="HB376" s="205"/>
      <c r="HC376" s="205"/>
      <c r="HD376" s="205"/>
      <c r="HE376" s="205"/>
      <c r="HF376" s="205"/>
      <c r="HG376" s="205"/>
      <c r="HH376" s="205"/>
      <c r="HI376" s="205"/>
      <c r="HJ376" s="205"/>
      <c r="HK376" s="205"/>
      <c r="HL376" s="205"/>
      <c r="HM376" s="205"/>
      <c r="HN376" s="205"/>
      <c r="HO376" s="205"/>
      <c r="HP376" s="205"/>
      <c r="HQ376" s="205"/>
      <c r="HR376" s="205"/>
      <c r="HS376" s="205"/>
      <c r="HT376" s="205"/>
      <c r="HU376" s="205"/>
      <c r="HV376" s="205"/>
      <c r="HW376" s="205"/>
      <c r="HX376" s="205"/>
      <c r="HY376" s="205"/>
      <c r="HZ376" s="205"/>
      <c r="IA376" s="205"/>
      <c r="IB376" s="205"/>
      <c r="IC376" s="205"/>
      <c r="ID376" s="205"/>
      <c r="IE376" s="205"/>
      <c r="IF376" s="205"/>
      <c r="IG376" s="205"/>
      <c r="IH376" s="205"/>
      <c r="II376" s="205"/>
      <c r="IJ376" s="205"/>
      <c r="IK376" s="205"/>
      <c r="IL376" s="205"/>
      <c r="IM376" s="205"/>
      <c r="IN376" s="205"/>
      <c r="IO376" s="205"/>
      <c r="IP376" s="205"/>
      <c r="IQ376" s="205"/>
      <c r="IR376" s="205"/>
      <c r="IS376" s="205"/>
      <c r="IT376" s="205"/>
      <c r="IU376" s="205"/>
      <c r="IV376" s="205"/>
      <c r="IW376" s="205"/>
      <c r="IX376" s="205"/>
    </row>
    <row r="377" spans="1:258" s="203" customFormat="1" x14ac:dyDescent="0.2">
      <c r="A377" s="669"/>
      <c r="B377" s="670"/>
      <c r="C377" s="1390"/>
      <c r="D377" s="672"/>
      <c r="E377" s="1391" t="str">
        <f>E358</f>
        <v>Tritisan</v>
      </c>
      <c r="F377" s="1391"/>
      <c r="G377" s="1392" t="str">
        <f>G358</f>
        <v>Bang. Baru</v>
      </c>
      <c r="H377" s="1393">
        <f>H358</f>
        <v>63.5</v>
      </c>
      <c r="I377" s="1394"/>
      <c r="J377" s="1394"/>
      <c r="K377" s="1394"/>
      <c r="L377" s="1394"/>
      <c r="M377" s="1394"/>
      <c r="N377" s="1394"/>
      <c r="O377" s="1394"/>
      <c r="P377" s="1394"/>
      <c r="Q377" s="1394" t="s">
        <v>696</v>
      </c>
      <c r="R377" s="1363">
        <f t="shared" ref="R377:R378" si="160">H377</f>
        <v>63.5</v>
      </c>
      <c r="S377" s="1396"/>
      <c r="T377" s="1397"/>
      <c r="U377" s="205"/>
      <c r="V377" s="685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205"/>
      <c r="BN377" s="205"/>
      <c r="BO377" s="205"/>
      <c r="BP377" s="205"/>
      <c r="BQ377" s="205"/>
      <c r="BR377" s="205"/>
      <c r="BS377" s="205"/>
      <c r="BT377" s="205"/>
      <c r="BU377" s="205"/>
      <c r="BV377" s="205"/>
      <c r="BW377" s="205"/>
      <c r="BX377" s="205"/>
      <c r="BY377" s="205"/>
      <c r="BZ377" s="205"/>
      <c r="CA377" s="205"/>
      <c r="CB377" s="205"/>
      <c r="CC377" s="205"/>
      <c r="CD377" s="205"/>
      <c r="CE377" s="205"/>
      <c r="CF377" s="205"/>
      <c r="CG377" s="205"/>
      <c r="CH377" s="205"/>
      <c r="CI377" s="205"/>
      <c r="CJ377" s="205"/>
      <c r="CK377" s="205"/>
      <c r="CL377" s="205"/>
      <c r="CM377" s="205"/>
      <c r="CN377" s="205"/>
      <c r="CO377" s="205"/>
      <c r="CP377" s="205"/>
      <c r="CQ377" s="205"/>
      <c r="CR377" s="205"/>
      <c r="CS377" s="205"/>
      <c r="CT377" s="205"/>
      <c r="CU377" s="205"/>
      <c r="CV377" s="205"/>
      <c r="CW377" s="205"/>
      <c r="CX377" s="205"/>
      <c r="CY377" s="205"/>
      <c r="CZ377" s="205"/>
      <c r="DA377" s="205"/>
      <c r="DB377" s="205"/>
      <c r="DC377" s="205"/>
      <c r="DD377" s="205"/>
      <c r="DE377" s="205"/>
      <c r="DF377" s="205"/>
      <c r="DG377" s="205"/>
      <c r="DH377" s="205"/>
      <c r="DI377" s="205"/>
      <c r="DJ377" s="205"/>
      <c r="DK377" s="205"/>
      <c r="DL377" s="205"/>
      <c r="DM377" s="205"/>
      <c r="DN377" s="205"/>
      <c r="DO377" s="205"/>
      <c r="DP377" s="205"/>
      <c r="DQ377" s="205"/>
      <c r="DR377" s="205"/>
      <c r="DS377" s="205"/>
      <c r="DT377" s="205"/>
      <c r="DU377" s="205"/>
      <c r="DV377" s="205"/>
      <c r="DW377" s="205"/>
      <c r="DX377" s="205"/>
      <c r="DY377" s="205"/>
      <c r="DZ377" s="205"/>
      <c r="EA377" s="205"/>
      <c r="EB377" s="205"/>
      <c r="EC377" s="205"/>
      <c r="ED377" s="205"/>
      <c r="EE377" s="205"/>
      <c r="EF377" s="205"/>
      <c r="EG377" s="205"/>
      <c r="EH377" s="205"/>
      <c r="EI377" s="205"/>
      <c r="EJ377" s="205"/>
      <c r="EK377" s="205"/>
      <c r="EL377" s="205"/>
      <c r="EM377" s="205"/>
      <c r="EN377" s="205"/>
      <c r="EO377" s="205"/>
      <c r="EP377" s="205"/>
      <c r="EQ377" s="205"/>
      <c r="ER377" s="205"/>
      <c r="ES377" s="205"/>
      <c r="ET377" s="205"/>
      <c r="EU377" s="205"/>
      <c r="EV377" s="205"/>
      <c r="EW377" s="205"/>
      <c r="EX377" s="205"/>
      <c r="EY377" s="205"/>
      <c r="EZ377" s="205"/>
      <c r="FA377" s="205"/>
      <c r="FB377" s="205"/>
      <c r="FC377" s="205"/>
      <c r="FD377" s="205"/>
      <c r="FE377" s="205"/>
      <c r="FF377" s="205"/>
      <c r="FG377" s="205"/>
      <c r="FH377" s="205"/>
      <c r="FI377" s="205"/>
      <c r="FJ377" s="205"/>
      <c r="FK377" s="205"/>
      <c r="FL377" s="205"/>
      <c r="FM377" s="205"/>
      <c r="FN377" s="205"/>
      <c r="FO377" s="205"/>
      <c r="FP377" s="205"/>
      <c r="FQ377" s="205"/>
      <c r="FR377" s="205"/>
      <c r="FS377" s="205"/>
      <c r="FT377" s="205"/>
      <c r="FU377" s="205"/>
      <c r="FV377" s="205"/>
      <c r="FW377" s="205"/>
      <c r="FX377" s="205"/>
      <c r="FY377" s="205"/>
      <c r="FZ377" s="205"/>
      <c r="GA377" s="205"/>
      <c r="GB377" s="205"/>
      <c r="GC377" s="205"/>
      <c r="GD377" s="205"/>
      <c r="GE377" s="205"/>
      <c r="GF377" s="205"/>
      <c r="GG377" s="205"/>
      <c r="GH377" s="205"/>
      <c r="GI377" s="205"/>
      <c r="GJ377" s="205"/>
      <c r="GK377" s="205"/>
      <c r="GL377" s="205"/>
      <c r="GM377" s="205"/>
      <c r="GN377" s="205"/>
      <c r="GO377" s="205"/>
      <c r="GP377" s="205"/>
      <c r="GQ377" s="205"/>
      <c r="GR377" s="205"/>
      <c r="GS377" s="205"/>
      <c r="GT377" s="205"/>
      <c r="GU377" s="205"/>
      <c r="GV377" s="205"/>
      <c r="GW377" s="205"/>
      <c r="GX377" s="205"/>
      <c r="GY377" s="205"/>
      <c r="GZ377" s="205"/>
      <c r="HA377" s="205"/>
      <c r="HB377" s="205"/>
      <c r="HC377" s="205"/>
      <c r="HD377" s="205"/>
      <c r="HE377" s="205"/>
      <c r="HF377" s="205"/>
      <c r="HG377" s="205"/>
      <c r="HH377" s="205"/>
      <c r="HI377" s="205"/>
      <c r="HJ377" s="205"/>
      <c r="HK377" s="205"/>
      <c r="HL377" s="205"/>
      <c r="HM377" s="205"/>
      <c r="HN377" s="205"/>
      <c r="HO377" s="205"/>
      <c r="HP377" s="205"/>
      <c r="HQ377" s="205"/>
      <c r="HR377" s="205"/>
      <c r="HS377" s="205"/>
      <c r="HT377" s="205"/>
      <c r="HU377" s="205"/>
      <c r="HV377" s="205"/>
      <c r="HW377" s="205"/>
      <c r="HX377" s="205"/>
      <c r="HY377" s="205"/>
      <c r="HZ377" s="205"/>
      <c r="IA377" s="205"/>
      <c r="IB377" s="205"/>
      <c r="IC377" s="205"/>
      <c r="ID377" s="205"/>
      <c r="IE377" s="205"/>
      <c r="IF377" s="205"/>
      <c r="IG377" s="205"/>
      <c r="IH377" s="205"/>
      <c r="II377" s="205"/>
      <c r="IJ377" s="205"/>
      <c r="IK377" s="205"/>
      <c r="IL377" s="205"/>
      <c r="IM377" s="205"/>
      <c r="IN377" s="205"/>
      <c r="IO377" s="205"/>
      <c r="IP377" s="205"/>
      <c r="IQ377" s="205"/>
      <c r="IR377" s="205"/>
      <c r="IS377" s="205"/>
      <c r="IT377" s="205"/>
      <c r="IU377" s="205"/>
      <c r="IV377" s="205"/>
      <c r="IW377" s="205"/>
      <c r="IX377" s="205"/>
    </row>
    <row r="378" spans="1:258" s="203" customFormat="1" x14ac:dyDescent="0.2">
      <c r="A378" s="669"/>
      <c r="B378" s="670"/>
      <c r="C378" s="1390"/>
      <c r="D378" s="672"/>
      <c r="E378" s="1391"/>
      <c r="F378" s="1391"/>
      <c r="G378" s="1392" t="str">
        <f>G359</f>
        <v>Bang lama</v>
      </c>
      <c r="H378" s="1393">
        <f>H359</f>
        <v>30</v>
      </c>
      <c r="I378" s="1394"/>
      <c r="J378" s="1394"/>
      <c r="K378" s="1394"/>
      <c r="L378" s="1394"/>
      <c r="M378" s="1394"/>
      <c r="N378" s="1394"/>
      <c r="O378" s="1394"/>
      <c r="P378" s="1394"/>
      <c r="Q378" s="1394" t="s">
        <v>696</v>
      </c>
      <c r="R378" s="1363">
        <f t="shared" si="160"/>
        <v>30</v>
      </c>
      <c r="S378" s="1396"/>
      <c r="T378" s="1397"/>
      <c r="U378" s="205"/>
      <c r="V378" s="685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205"/>
      <c r="BN378" s="205"/>
      <c r="BO378" s="205"/>
      <c r="BP378" s="205"/>
      <c r="BQ378" s="205"/>
      <c r="BR378" s="205"/>
      <c r="BS378" s="205"/>
      <c r="BT378" s="205"/>
      <c r="BU378" s="205"/>
      <c r="BV378" s="205"/>
      <c r="BW378" s="205"/>
      <c r="BX378" s="205"/>
      <c r="BY378" s="205"/>
      <c r="BZ378" s="205"/>
      <c r="CA378" s="205"/>
      <c r="CB378" s="205"/>
      <c r="CC378" s="205"/>
      <c r="CD378" s="205"/>
      <c r="CE378" s="205"/>
      <c r="CF378" s="205"/>
      <c r="CG378" s="205"/>
      <c r="CH378" s="205"/>
      <c r="CI378" s="205"/>
      <c r="CJ378" s="205"/>
      <c r="CK378" s="205"/>
      <c r="CL378" s="205"/>
      <c r="CM378" s="205"/>
      <c r="CN378" s="205"/>
      <c r="CO378" s="205"/>
      <c r="CP378" s="205"/>
      <c r="CQ378" s="205"/>
      <c r="CR378" s="205"/>
      <c r="CS378" s="205"/>
      <c r="CT378" s="205"/>
      <c r="CU378" s="205"/>
      <c r="CV378" s="205"/>
      <c r="CW378" s="205"/>
      <c r="CX378" s="205"/>
      <c r="CY378" s="205"/>
      <c r="CZ378" s="205"/>
      <c r="DA378" s="205"/>
      <c r="DB378" s="205"/>
      <c r="DC378" s="205"/>
      <c r="DD378" s="205"/>
      <c r="DE378" s="205"/>
      <c r="DF378" s="205"/>
      <c r="DG378" s="205"/>
      <c r="DH378" s="205"/>
      <c r="DI378" s="205"/>
      <c r="DJ378" s="205"/>
      <c r="DK378" s="205"/>
      <c r="DL378" s="205"/>
      <c r="DM378" s="205"/>
      <c r="DN378" s="205"/>
      <c r="DO378" s="205"/>
      <c r="DP378" s="205"/>
      <c r="DQ378" s="205"/>
      <c r="DR378" s="205"/>
      <c r="DS378" s="205"/>
      <c r="DT378" s="205"/>
      <c r="DU378" s="205"/>
      <c r="DV378" s="205"/>
      <c r="DW378" s="205"/>
      <c r="DX378" s="205"/>
      <c r="DY378" s="205"/>
      <c r="DZ378" s="205"/>
      <c r="EA378" s="205"/>
      <c r="EB378" s="205"/>
      <c r="EC378" s="205"/>
      <c r="ED378" s="205"/>
      <c r="EE378" s="205"/>
      <c r="EF378" s="205"/>
      <c r="EG378" s="205"/>
      <c r="EH378" s="205"/>
      <c r="EI378" s="205"/>
      <c r="EJ378" s="205"/>
      <c r="EK378" s="205"/>
      <c r="EL378" s="205"/>
      <c r="EM378" s="205"/>
      <c r="EN378" s="205"/>
      <c r="EO378" s="205"/>
      <c r="EP378" s="205"/>
      <c r="EQ378" s="205"/>
      <c r="ER378" s="205"/>
      <c r="ES378" s="205"/>
      <c r="ET378" s="205"/>
      <c r="EU378" s="205"/>
      <c r="EV378" s="205"/>
      <c r="EW378" s="205"/>
      <c r="EX378" s="205"/>
      <c r="EY378" s="205"/>
      <c r="EZ378" s="205"/>
      <c r="FA378" s="205"/>
      <c r="FB378" s="205"/>
      <c r="FC378" s="205"/>
      <c r="FD378" s="205"/>
      <c r="FE378" s="205"/>
      <c r="FF378" s="205"/>
      <c r="FG378" s="205"/>
      <c r="FH378" s="205"/>
      <c r="FI378" s="205"/>
      <c r="FJ378" s="205"/>
      <c r="FK378" s="205"/>
      <c r="FL378" s="205"/>
      <c r="FM378" s="205"/>
      <c r="FN378" s="205"/>
      <c r="FO378" s="205"/>
      <c r="FP378" s="205"/>
      <c r="FQ378" s="205"/>
      <c r="FR378" s="205"/>
      <c r="FS378" s="205"/>
      <c r="FT378" s="205"/>
      <c r="FU378" s="205"/>
      <c r="FV378" s="205"/>
      <c r="FW378" s="205"/>
      <c r="FX378" s="205"/>
      <c r="FY378" s="205"/>
      <c r="FZ378" s="205"/>
      <c r="GA378" s="205"/>
      <c r="GB378" s="205"/>
      <c r="GC378" s="205"/>
      <c r="GD378" s="205"/>
      <c r="GE378" s="205"/>
      <c r="GF378" s="205"/>
      <c r="GG378" s="205"/>
      <c r="GH378" s="205"/>
      <c r="GI378" s="205"/>
      <c r="GJ378" s="205"/>
      <c r="GK378" s="205"/>
      <c r="GL378" s="205"/>
      <c r="GM378" s="205"/>
      <c r="GN378" s="205"/>
      <c r="GO378" s="205"/>
      <c r="GP378" s="205"/>
      <c r="GQ378" s="205"/>
      <c r="GR378" s="205"/>
      <c r="GS378" s="205"/>
      <c r="GT378" s="205"/>
      <c r="GU378" s="205"/>
      <c r="GV378" s="205"/>
      <c r="GW378" s="205"/>
      <c r="GX378" s="205"/>
      <c r="GY378" s="205"/>
      <c r="GZ378" s="205"/>
      <c r="HA378" s="205"/>
      <c r="HB378" s="205"/>
      <c r="HC378" s="205"/>
      <c r="HD378" s="205"/>
      <c r="HE378" s="205"/>
      <c r="HF378" s="205"/>
      <c r="HG378" s="205"/>
      <c r="HH378" s="205"/>
      <c r="HI378" s="205"/>
      <c r="HJ378" s="205"/>
      <c r="HK378" s="205"/>
      <c r="HL378" s="205"/>
      <c r="HM378" s="205"/>
      <c r="HN378" s="205"/>
      <c r="HO378" s="205"/>
      <c r="HP378" s="205"/>
      <c r="HQ378" s="205"/>
      <c r="HR378" s="205"/>
      <c r="HS378" s="205"/>
      <c r="HT378" s="205"/>
      <c r="HU378" s="205"/>
      <c r="HV378" s="205"/>
      <c r="HW378" s="205"/>
      <c r="HX378" s="205"/>
      <c r="HY378" s="205"/>
      <c r="HZ378" s="205"/>
      <c r="IA378" s="205"/>
      <c r="IB378" s="205"/>
      <c r="IC378" s="205"/>
      <c r="ID378" s="205"/>
      <c r="IE378" s="205"/>
      <c r="IF378" s="205"/>
      <c r="IG378" s="205"/>
      <c r="IH378" s="205"/>
      <c r="II378" s="205"/>
      <c r="IJ378" s="205"/>
      <c r="IK378" s="205"/>
      <c r="IL378" s="205"/>
      <c r="IM378" s="205"/>
      <c r="IN378" s="205"/>
      <c r="IO378" s="205"/>
      <c r="IP378" s="205"/>
      <c r="IQ378" s="205"/>
      <c r="IR378" s="205"/>
      <c r="IS378" s="205"/>
      <c r="IT378" s="205"/>
      <c r="IU378" s="205"/>
      <c r="IV378" s="205"/>
      <c r="IW378" s="205"/>
      <c r="IX378" s="205"/>
    </row>
    <row r="379" spans="1:258" s="203" customFormat="1" x14ac:dyDescent="0.2">
      <c r="A379" s="669"/>
      <c r="B379" s="670"/>
      <c r="C379" s="1390"/>
      <c r="D379" s="672"/>
      <c r="E379" s="1391"/>
      <c r="F379" s="1391"/>
      <c r="G379" s="1392"/>
      <c r="H379" s="1393"/>
      <c r="I379" s="1394"/>
      <c r="J379" s="1394"/>
      <c r="K379" s="1394"/>
      <c r="L379" s="1394"/>
      <c r="M379" s="1394"/>
      <c r="N379" s="1394"/>
      <c r="O379" s="1394"/>
      <c r="P379" s="1394"/>
      <c r="Q379" s="1394"/>
      <c r="R379" s="1395">
        <f>SUM(R368:R378)</f>
        <v>523.4</v>
      </c>
      <c r="S379" s="1396">
        <f>R379</f>
        <v>523.4</v>
      </c>
      <c r="T379" s="1397" t="s">
        <v>247</v>
      </c>
      <c r="U379" s="205"/>
      <c r="V379" s="685"/>
      <c r="W379" s="205"/>
      <c r="X379" s="205"/>
      <c r="Y379" s="205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  <c r="BK379" s="205"/>
      <c r="BL379" s="205"/>
      <c r="BM379" s="205"/>
      <c r="BN379" s="205"/>
      <c r="BO379" s="205"/>
      <c r="BP379" s="205"/>
      <c r="BQ379" s="205"/>
      <c r="BR379" s="205"/>
      <c r="BS379" s="205"/>
      <c r="BT379" s="205"/>
      <c r="BU379" s="205"/>
      <c r="BV379" s="205"/>
      <c r="BW379" s="205"/>
      <c r="BX379" s="205"/>
      <c r="BY379" s="205"/>
      <c r="BZ379" s="205"/>
      <c r="CA379" s="205"/>
      <c r="CB379" s="205"/>
      <c r="CC379" s="205"/>
      <c r="CD379" s="205"/>
      <c r="CE379" s="205"/>
      <c r="CF379" s="205"/>
      <c r="CG379" s="205"/>
      <c r="CH379" s="205"/>
      <c r="CI379" s="205"/>
      <c r="CJ379" s="205"/>
      <c r="CK379" s="205"/>
      <c r="CL379" s="205"/>
      <c r="CM379" s="205"/>
      <c r="CN379" s="205"/>
      <c r="CO379" s="205"/>
      <c r="CP379" s="205"/>
      <c r="CQ379" s="205"/>
      <c r="CR379" s="205"/>
      <c r="CS379" s="205"/>
      <c r="CT379" s="205"/>
      <c r="CU379" s="205"/>
      <c r="CV379" s="205"/>
      <c r="CW379" s="205"/>
      <c r="CX379" s="205"/>
      <c r="CY379" s="205"/>
      <c r="CZ379" s="205"/>
      <c r="DA379" s="205"/>
      <c r="DB379" s="205"/>
      <c r="DC379" s="205"/>
      <c r="DD379" s="205"/>
      <c r="DE379" s="205"/>
      <c r="DF379" s="205"/>
      <c r="DG379" s="205"/>
      <c r="DH379" s="205"/>
      <c r="DI379" s="205"/>
      <c r="DJ379" s="205"/>
      <c r="DK379" s="205"/>
      <c r="DL379" s="205"/>
      <c r="DM379" s="205"/>
      <c r="DN379" s="205"/>
      <c r="DO379" s="205"/>
      <c r="DP379" s="205"/>
      <c r="DQ379" s="205"/>
      <c r="DR379" s="205"/>
      <c r="DS379" s="205"/>
      <c r="DT379" s="205"/>
      <c r="DU379" s="205"/>
      <c r="DV379" s="205"/>
      <c r="DW379" s="205"/>
      <c r="DX379" s="205"/>
      <c r="DY379" s="205"/>
      <c r="DZ379" s="205"/>
      <c r="EA379" s="205"/>
      <c r="EB379" s="205"/>
      <c r="EC379" s="205"/>
      <c r="ED379" s="205"/>
      <c r="EE379" s="205"/>
      <c r="EF379" s="205"/>
      <c r="EG379" s="205"/>
      <c r="EH379" s="205"/>
      <c r="EI379" s="205"/>
      <c r="EJ379" s="205"/>
      <c r="EK379" s="205"/>
      <c r="EL379" s="205"/>
      <c r="EM379" s="205"/>
      <c r="EN379" s="205"/>
      <c r="EO379" s="205"/>
      <c r="EP379" s="205"/>
      <c r="EQ379" s="205"/>
      <c r="ER379" s="205"/>
      <c r="ES379" s="205"/>
      <c r="ET379" s="205"/>
      <c r="EU379" s="205"/>
      <c r="EV379" s="205"/>
      <c r="EW379" s="205"/>
      <c r="EX379" s="205"/>
      <c r="EY379" s="205"/>
      <c r="EZ379" s="205"/>
      <c r="FA379" s="205"/>
      <c r="FB379" s="205"/>
      <c r="FC379" s="205"/>
      <c r="FD379" s="205"/>
      <c r="FE379" s="205"/>
      <c r="FF379" s="205"/>
      <c r="FG379" s="205"/>
      <c r="FH379" s="205"/>
      <c r="FI379" s="205"/>
      <c r="FJ379" s="205"/>
      <c r="FK379" s="205"/>
      <c r="FL379" s="205"/>
      <c r="FM379" s="205"/>
      <c r="FN379" s="205"/>
      <c r="FO379" s="205"/>
      <c r="FP379" s="205"/>
      <c r="FQ379" s="205"/>
      <c r="FR379" s="205"/>
      <c r="FS379" s="205"/>
      <c r="FT379" s="205"/>
      <c r="FU379" s="205"/>
      <c r="FV379" s="205"/>
      <c r="FW379" s="205"/>
      <c r="FX379" s="205"/>
      <c r="FY379" s="205"/>
      <c r="FZ379" s="205"/>
      <c r="GA379" s="205"/>
      <c r="GB379" s="205"/>
      <c r="GC379" s="205"/>
      <c r="GD379" s="205"/>
      <c r="GE379" s="205"/>
      <c r="GF379" s="205"/>
      <c r="GG379" s="205"/>
      <c r="GH379" s="205"/>
      <c r="GI379" s="205"/>
      <c r="GJ379" s="205"/>
      <c r="GK379" s="205"/>
      <c r="GL379" s="205"/>
      <c r="GM379" s="205"/>
      <c r="GN379" s="205"/>
      <c r="GO379" s="205"/>
      <c r="GP379" s="205"/>
      <c r="GQ379" s="205"/>
      <c r="GR379" s="205"/>
      <c r="GS379" s="205"/>
      <c r="GT379" s="205"/>
      <c r="GU379" s="205"/>
      <c r="GV379" s="205"/>
      <c r="GW379" s="205"/>
      <c r="GX379" s="205"/>
      <c r="GY379" s="205"/>
      <c r="GZ379" s="205"/>
      <c r="HA379" s="205"/>
      <c r="HB379" s="205"/>
      <c r="HC379" s="205"/>
      <c r="HD379" s="205"/>
      <c r="HE379" s="205"/>
      <c r="HF379" s="205"/>
      <c r="HG379" s="205"/>
      <c r="HH379" s="205"/>
      <c r="HI379" s="205"/>
      <c r="HJ379" s="205"/>
      <c r="HK379" s="205"/>
      <c r="HL379" s="205"/>
      <c r="HM379" s="205"/>
      <c r="HN379" s="205"/>
      <c r="HO379" s="205"/>
      <c r="HP379" s="205"/>
      <c r="HQ379" s="205"/>
      <c r="HR379" s="205"/>
      <c r="HS379" s="205"/>
      <c r="HT379" s="205"/>
      <c r="HU379" s="205"/>
      <c r="HV379" s="205"/>
      <c r="HW379" s="205"/>
      <c r="HX379" s="205"/>
      <c r="HY379" s="205"/>
      <c r="HZ379" s="205"/>
      <c r="IA379" s="205"/>
      <c r="IB379" s="205"/>
      <c r="IC379" s="205"/>
      <c r="ID379" s="205"/>
      <c r="IE379" s="205"/>
      <c r="IF379" s="205"/>
      <c r="IG379" s="205"/>
      <c r="IH379" s="205"/>
      <c r="II379" s="205"/>
      <c r="IJ379" s="205"/>
      <c r="IK379" s="205"/>
      <c r="IL379" s="205"/>
      <c r="IM379" s="205"/>
      <c r="IN379" s="205"/>
      <c r="IO379" s="205"/>
      <c r="IP379" s="205"/>
      <c r="IQ379" s="205"/>
      <c r="IR379" s="205"/>
      <c r="IS379" s="205"/>
      <c r="IT379" s="205"/>
      <c r="IU379" s="205"/>
      <c r="IV379" s="205"/>
      <c r="IW379" s="205"/>
      <c r="IX379" s="205"/>
    </row>
    <row r="380" spans="1:258" s="203" customFormat="1" x14ac:dyDescent="0.2">
      <c r="A380" s="669"/>
      <c r="B380" s="670"/>
      <c r="C380" s="1390"/>
      <c r="D380" s="672"/>
      <c r="E380" s="1391"/>
      <c r="F380" s="1391"/>
      <c r="G380" s="1392"/>
      <c r="H380" s="1393"/>
      <c r="I380" s="1394"/>
      <c r="J380" s="1394"/>
      <c r="K380" s="1394"/>
      <c r="L380" s="1394"/>
      <c r="M380" s="1394"/>
      <c r="N380" s="1394"/>
      <c r="O380" s="1394"/>
      <c r="P380" s="1394"/>
      <c r="Q380" s="1394"/>
      <c r="R380" s="1395"/>
      <c r="S380" s="1396"/>
      <c r="T380" s="1397"/>
      <c r="U380" s="205"/>
      <c r="V380" s="685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205"/>
      <c r="BN380" s="205"/>
      <c r="BO380" s="205"/>
      <c r="BP380" s="205"/>
      <c r="BQ380" s="205"/>
      <c r="BR380" s="205"/>
      <c r="BS380" s="205"/>
      <c r="BT380" s="205"/>
      <c r="BU380" s="205"/>
      <c r="BV380" s="205"/>
      <c r="BW380" s="205"/>
      <c r="BX380" s="205"/>
      <c r="BY380" s="205"/>
      <c r="BZ380" s="205"/>
      <c r="CA380" s="205"/>
      <c r="CB380" s="205"/>
      <c r="CC380" s="205"/>
      <c r="CD380" s="205"/>
      <c r="CE380" s="205"/>
      <c r="CF380" s="205"/>
      <c r="CG380" s="205"/>
      <c r="CH380" s="205"/>
      <c r="CI380" s="205"/>
      <c r="CJ380" s="205"/>
      <c r="CK380" s="205"/>
      <c r="CL380" s="205"/>
      <c r="CM380" s="205"/>
      <c r="CN380" s="205"/>
      <c r="CO380" s="205"/>
      <c r="CP380" s="205"/>
      <c r="CQ380" s="205"/>
      <c r="CR380" s="205"/>
      <c r="CS380" s="205"/>
      <c r="CT380" s="205"/>
      <c r="CU380" s="205"/>
      <c r="CV380" s="205"/>
      <c r="CW380" s="205"/>
      <c r="CX380" s="205"/>
      <c r="CY380" s="205"/>
      <c r="CZ380" s="205"/>
      <c r="DA380" s="205"/>
      <c r="DB380" s="205"/>
      <c r="DC380" s="205"/>
      <c r="DD380" s="205"/>
      <c r="DE380" s="205"/>
      <c r="DF380" s="205"/>
      <c r="DG380" s="205"/>
      <c r="DH380" s="205"/>
      <c r="DI380" s="205"/>
      <c r="DJ380" s="205"/>
      <c r="DK380" s="205"/>
      <c r="DL380" s="205"/>
      <c r="DM380" s="205"/>
      <c r="DN380" s="205"/>
      <c r="DO380" s="205"/>
      <c r="DP380" s="205"/>
      <c r="DQ380" s="205"/>
      <c r="DR380" s="205"/>
      <c r="DS380" s="205"/>
      <c r="DT380" s="205"/>
      <c r="DU380" s="205"/>
      <c r="DV380" s="205"/>
      <c r="DW380" s="205"/>
      <c r="DX380" s="205"/>
      <c r="DY380" s="205"/>
      <c r="DZ380" s="205"/>
      <c r="EA380" s="205"/>
      <c r="EB380" s="205"/>
      <c r="EC380" s="205"/>
      <c r="ED380" s="205"/>
      <c r="EE380" s="205"/>
      <c r="EF380" s="205"/>
      <c r="EG380" s="205"/>
      <c r="EH380" s="205"/>
      <c r="EI380" s="205"/>
      <c r="EJ380" s="205"/>
      <c r="EK380" s="205"/>
      <c r="EL380" s="205"/>
      <c r="EM380" s="205"/>
      <c r="EN380" s="205"/>
      <c r="EO380" s="205"/>
      <c r="EP380" s="205"/>
      <c r="EQ380" s="205"/>
      <c r="ER380" s="205"/>
      <c r="ES380" s="205"/>
      <c r="ET380" s="205"/>
      <c r="EU380" s="205"/>
      <c r="EV380" s="205"/>
      <c r="EW380" s="205"/>
      <c r="EX380" s="205"/>
      <c r="EY380" s="205"/>
      <c r="EZ380" s="205"/>
      <c r="FA380" s="205"/>
      <c r="FB380" s="205"/>
      <c r="FC380" s="205"/>
      <c r="FD380" s="205"/>
      <c r="FE380" s="205"/>
      <c r="FF380" s="205"/>
      <c r="FG380" s="205"/>
      <c r="FH380" s="205"/>
      <c r="FI380" s="205"/>
      <c r="FJ380" s="205"/>
      <c r="FK380" s="205"/>
      <c r="FL380" s="205"/>
      <c r="FM380" s="205"/>
      <c r="FN380" s="205"/>
      <c r="FO380" s="205"/>
      <c r="FP380" s="205"/>
      <c r="FQ380" s="205"/>
      <c r="FR380" s="205"/>
      <c r="FS380" s="205"/>
      <c r="FT380" s="205"/>
      <c r="FU380" s="205"/>
      <c r="FV380" s="205"/>
      <c r="FW380" s="205"/>
      <c r="FX380" s="205"/>
      <c r="FY380" s="205"/>
      <c r="FZ380" s="205"/>
      <c r="GA380" s="205"/>
      <c r="GB380" s="205"/>
      <c r="GC380" s="205"/>
      <c r="GD380" s="205"/>
      <c r="GE380" s="205"/>
      <c r="GF380" s="205"/>
      <c r="GG380" s="205"/>
      <c r="GH380" s="205"/>
      <c r="GI380" s="205"/>
      <c r="GJ380" s="205"/>
      <c r="GK380" s="205"/>
      <c r="GL380" s="205"/>
      <c r="GM380" s="205"/>
      <c r="GN380" s="205"/>
      <c r="GO380" s="205"/>
      <c r="GP380" s="205"/>
      <c r="GQ380" s="205"/>
      <c r="GR380" s="205"/>
      <c r="GS380" s="205"/>
      <c r="GT380" s="205"/>
      <c r="GU380" s="205"/>
      <c r="GV380" s="205"/>
      <c r="GW380" s="205"/>
      <c r="GX380" s="205"/>
      <c r="GY380" s="205"/>
      <c r="GZ380" s="205"/>
      <c r="HA380" s="205"/>
      <c r="HB380" s="205"/>
      <c r="HC380" s="205"/>
      <c r="HD380" s="205"/>
      <c r="HE380" s="205"/>
      <c r="HF380" s="205"/>
      <c r="HG380" s="205"/>
      <c r="HH380" s="205"/>
      <c r="HI380" s="205"/>
      <c r="HJ380" s="205"/>
      <c r="HK380" s="205"/>
      <c r="HL380" s="205"/>
      <c r="HM380" s="205"/>
      <c r="HN380" s="205"/>
      <c r="HO380" s="205"/>
      <c r="HP380" s="205"/>
      <c r="HQ380" s="205"/>
      <c r="HR380" s="205"/>
      <c r="HS380" s="205"/>
      <c r="HT380" s="205"/>
      <c r="HU380" s="205"/>
      <c r="HV380" s="205"/>
      <c r="HW380" s="205"/>
      <c r="HX380" s="205"/>
      <c r="HY380" s="205"/>
      <c r="HZ380" s="205"/>
      <c r="IA380" s="205"/>
      <c r="IB380" s="205"/>
      <c r="IC380" s="205"/>
      <c r="ID380" s="205"/>
      <c r="IE380" s="205"/>
      <c r="IF380" s="205"/>
      <c r="IG380" s="205"/>
      <c r="IH380" s="205"/>
      <c r="II380" s="205"/>
      <c r="IJ380" s="205"/>
      <c r="IK380" s="205"/>
      <c r="IL380" s="205"/>
      <c r="IM380" s="205"/>
      <c r="IN380" s="205"/>
      <c r="IO380" s="205"/>
      <c r="IP380" s="205"/>
      <c r="IQ380" s="205"/>
      <c r="IR380" s="205"/>
      <c r="IS380" s="205"/>
      <c r="IT380" s="205"/>
      <c r="IU380" s="205"/>
      <c r="IV380" s="205"/>
      <c r="IW380" s="205"/>
      <c r="IX380" s="205"/>
    </row>
    <row r="381" spans="1:258" s="203" customFormat="1" x14ac:dyDescent="0.2">
      <c r="A381" s="669"/>
      <c r="B381" s="670">
        <f>RAB!B116</f>
        <v>5</v>
      </c>
      <c r="C381" s="686" t="e">
        <f>RAB!D116</f>
        <v>#REF!</v>
      </c>
      <c r="D381" s="672"/>
      <c r="E381" s="673"/>
      <c r="F381" s="673"/>
      <c r="G381" s="674"/>
      <c r="H381" s="675"/>
      <c r="I381" s="676"/>
      <c r="J381" s="676"/>
      <c r="K381" s="676"/>
      <c r="L381" s="676"/>
      <c r="M381" s="676"/>
      <c r="N381" s="676"/>
      <c r="O381" s="676"/>
      <c r="P381" s="676"/>
      <c r="Q381" s="676"/>
      <c r="R381" s="677"/>
      <c r="S381" s="678"/>
      <c r="T381" s="684"/>
      <c r="U381" s="205"/>
      <c r="V381" s="685"/>
      <c r="W381" s="205"/>
      <c r="X381" s="205"/>
      <c r="Y381" s="205"/>
      <c r="Z381" s="205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205"/>
      <c r="BN381" s="205"/>
      <c r="BO381" s="205"/>
      <c r="BP381" s="205"/>
      <c r="BQ381" s="205"/>
      <c r="BR381" s="205"/>
      <c r="BS381" s="205"/>
      <c r="BT381" s="205"/>
      <c r="BU381" s="205"/>
      <c r="BV381" s="205"/>
      <c r="BW381" s="205"/>
      <c r="BX381" s="205"/>
      <c r="BY381" s="205"/>
      <c r="BZ381" s="205"/>
      <c r="CA381" s="205"/>
      <c r="CB381" s="205"/>
      <c r="CC381" s="205"/>
      <c r="CD381" s="205"/>
      <c r="CE381" s="205"/>
      <c r="CF381" s="205"/>
      <c r="CG381" s="205"/>
      <c r="CH381" s="205"/>
      <c r="CI381" s="205"/>
      <c r="CJ381" s="205"/>
      <c r="CK381" s="205"/>
      <c r="CL381" s="205"/>
      <c r="CM381" s="205"/>
      <c r="CN381" s="205"/>
      <c r="CO381" s="205"/>
      <c r="CP381" s="205"/>
      <c r="CQ381" s="205"/>
      <c r="CR381" s="205"/>
      <c r="CS381" s="205"/>
      <c r="CT381" s="205"/>
      <c r="CU381" s="205"/>
      <c r="CV381" s="205"/>
      <c r="CW381" s="205"/>
      <c r="CX381" s="205"/>
      <c r="CY381" s="205"/>
      <c r="CZ381" s="205"/>
      <c r="DA381" s="205"/>
      <c r="DB381" s="205"/>
      <c r="DC381" s="205"/>
      <c r="DD381" s="205"/>
      <c r="DE381" s="205"/>
      <c r="DF381" s="205"/>
      <c r="DG381" s="205"/>
      <c r="DH381" s="205"/>
      <c r="DI381" s="205"/>
      <c r="DJ381" s="205"/>
      <c r="DK381" s="205"/>
      <c r="DL381" s="205"/>
      <c r="DM381" s="205"/>
      <c r="DN381" s="205"/>
      <c r="DO381" s="205"/>
      <c r="DP381" s="205"/>
      <c r="DQ381" s="205"/>
      <c r="DR381" s="205"/>
      <c r="DS381" s="205"/>
      <c r="DT381" s="205"/>
      <c r="DU381" s="205"/>
      <c r="DV381" s="205"/>
      <c r="DW381" s="205"/>
      <c r="DX381" s="205"/>
      <c r="DY381" s="205"/>
      <c r="DZ381" s="205"/>
      <c r="EA381" s="205"/>
      <c r="EB381" s="205"/>
      <c r="EC381" s="205"/>
      <c r="ED381" s="205"/>
      <c r="EE381" s="205"/>
      <c r="EF381" s="205"/>
      <c r="EG381" s="205"/>
      <c r="EH381" s="205"/>
      <c r="EI381" s="205"/>
      <c r="EJ381" s="205"/>
      <c r="EK381" s="205"/>
      <c r="EL381" s="205"/>
      <c r="EM381" s="205"/>
      <c r="EN381" s="205"/>
      <c r="EO381" s="205"/>
      <c r="EP381" s="205"/>
      <c r="EQ381" s="205"/>
      <c r="ER381" s="205"/>
      <c r="ES381" s="205"/>
      <c r="ET381" s="205"/>
      <c r="EU381" s="205"/>
      <c r="EV381" s="205"/>
      <c r="EW381" s="205"/>
      <c r="EX381" s="205"/>
      <c r="EY381" s="205"/>
      <c r="EZ381" s="205"/>
      <c r="FA381" s="205"/>
      <c r="FB381" s="205"/>
      <c r="FC381" s="205"/>
      <c r="FD381" s="205"/>
      <c r="FE381" s="205"/>
      <c r="FF381" s="205"/>
      <c r="FG381" s="205"/>
      <c r="FH381" s="205"/>
      <c r="FI381" s="205"/>
      <c r="FJ381" s="205"/>
      <c r="FK381" s="205"/>
      <c r="FL381" s="205"/>
      <c r="FM381" s="205"/>
      <c r="FN381" s="205"/>
      <c r="FO381" s="205"/>
      <c r="FP381" s="205"/>
      <c r="FQ381" s="205"/>
      <c r="FR381" s="205"/>
      <c r="FS381" s="205"/>
      <c r="FT381" s="205"/>
      <c r="FU381" s="205"/>
      <c r="FV381" s="205"/>
      <c r="FW381" s="205"/>
      <c r="FX381" s="205"/>
      <c r="FY381" s="205"/>
      <c r="FZ381" s="205"/>
      <c r="GA381" s="205"/>
      <c r="GB381" s="205"/>
      <c r="GC381" s="205"/>
      <c r="GD381" s="205"/>
      <c r="GE381" s="205"/>
      <c r="GF381" s="205"/>
      <c r="GG381" s="205"/>
      <c r="GH381" s="205"/>
      <c r="GI381" s="205"/>
      <c r="GJ381" s="205"/>
      <c r="GK381" s="205"/>
      <c r="GL381" s="205"/>
      <c r="GM381" s="205"/>
      <c r="GN381" s="205"/>
      <c r="GO381" s="205"/>
      <c r="GP381" s="205"/>
      <c r="GQ381" s="205"/>
      <c r="GR381" s="205"/>
      <c r="GS381" s="205"/>
      <c r="GT381" s="205"/>
      <c r="GU381" s="205"/>
      <c r="GV381" s="205"/>
      <c r="GW381" s="205"/>
      <c r="GX381" s="205"/>
      <c r="GY381" s="205"/>
      <c r="GZ381" s="205"/>
      <c r="HA381" s="205"/>
      <c r="HB381" s="205"/>
      <c r="HC381" s="205"/>
      <c r="HD381" s="205"/>
      <c r="HE381" s="205"/>
      <c r="HF381" s="205"/>
      <c r="HG381" s="205"/>
      <c r="HH381" s="205"/>
      <c r="HI381" s="205"/>
      <c r="HJ381" s="205"/>
      <c r="HK381" s="205"/>
      <c r="HL381" s="205"/>
      <c r="HM381" s="205"/>
      <c r="HN381" s="205"/>
      <c r="HO381" s="205"/>
      <c r="HP381" s="205"/>
      <c r="HQ381" s="205"/>
      <c r="HR381" s="205"/>
      <c r="HS381" s="205"/>
      <c r="HT381" s="205"/>
      <c r="HU381" s="205"/>
      <c r="HV381" s="205"/>
      <c r="HW381" s="205"/>
      <c r="HX381" s="205"/>
      <c r="HY381" s="205"/>
      <c r="HZ381" s="205"/>
      <c r="IA381" s="205"/>
      <c r="IB381" s="205"/>
      <c r="IC381" s="205"/>
      <c r="ID381" s="205"/>
      <c r="IE381" s="205"/>
      <c r="IF381" s="205"/>
      <c r="IG381" s="205"/>
      <c r="IH381" s="205"/>
      <c r="II381" s="205"/>
      <c r="IJ381" s="205"/>
      <c r="IK381" s="205"/>
      <c r="IL381" s="205"/>
      <c r="IM381" s="205"/>
      <c r="IN381" s="205"/>
      <c r="IO381" s="205"/>
      <c r="IP381" s="205"/>
      <c r="IQ381" s="205"/>
      <c r="IR381" s="205"/>
      <c r="IS381" s="205"/>
      <c r="IT381" s="205"/>
      <c r="IU381" s="205"/>
      <c r="IV381" s="205"/>
      <c r="IW381" s="205"/>
      <c r="IX381" s="205"/>
    </row>
    <row r="382" spans="1:258" s="203" customFormat="1" x14ac:dyDescent="0.2">
      <c r="A382" s="669"/>
      <c r="B382" s="670"/>
      <c r="C382" s="686"/>
      <c r="D382" s="672"/>
      <c r="E382" s="673"/>
      <c r="F382" s="673"/>
      <c r="G382" s="674"/>
      <c r="H382" s="675"/>
      <c r="I382" s="676"/>
      <c r="J382" s="676"/>
      <c r="K382" s="676"/>
      <c r="L382" s="676"/>
      <c r="M382" s="676"/>
      <c r="N382" s="676"/>
      <c r="O382" s="676"/>
      <c r="P382" s="676"/>
      <c r="Q382" s="676"/>
      <c r="R382" s="677"/>
      <c r="S382" s="678"/>
      <c r="T382" s="684"/>
      <c r="U382" s="205"/>
      <c r="V382" s="685"/>
      <c r="W382" s="205"/>
      <c r="X382" s="205"/>
      <c r="Y382" s="205"/>
      <c r="Z382" s="205"/>
      <c r="AA382" s="205"/>
      <c r="AB382" s="205"/>
      <c r="AC382" s="205"/>
      <c r="AD382" s="205"/>
      <c r="AE382" s="205"/>
      <c r="AF382" s="205"/>
      <c r="AG382" s="205"/>
      <c r="AH382" s="205"/>
      <c r="AI382" s="205"/>
      <c r="AJ382" s="205"/>
      <c r="AK382" s="205"/>
      <c r="AL382" s="205"/>
      <c r="AM382" s="205"/>
      <c r="AN382" s="205"/>
      <c r="AO382" s="205"/>
      <c r="AP382" s="205"/>
      <c r="AQ382" s="205"/>
      <c r="AR382" s="205"/>
      <c r="AS382" s="205"/>
      <c r="AT382" s="205"/>
      <c r="AU382" s="205"/>
      <c r="AV382" s="205"/>
      <c r="AW382" s="205"/>
      <c r="AX382" s="205"/>
      <c r="AY382" s="205"/>
      <c r="AZ382" s="205"/>
      <c r="BA382" s="205"/>
      <c r="BB382" s="205"/>
      <c r="BC382" s="205"/>
      <c r="BD382" s="205"/>
      <c r="BE382" s="205"/>
      <c r="BF382" s="205"/>
      <c r="BG382" s="205"/>
      <c r="BH382" s="205"/>
      <c r="BI382" s="205"/>
      <c r="BJ382" s="205"/>
      <c r="BK382" s="205"/>
      <c r="BL382" s="205"/>
      <c r="BM382" s="205"/>
      <c r="BN382" s="205"/>
      <c r="BO382" s="205"/>
      <c r="BP382" s="205"/>
      <c r="BQ382" s="205"/>
      <c r="BR382" s="205"/>
      <c r="BS382" s="205"/>
      <c r="BT382" s="205"/>
      <c r="BU382" s="205"/>
      <c r="BV382" s="205"/>
      <c r="BW382" s="205"/>
      <c r="BX382" s="205"/>
      <c r="BY382" s="205"/>
      <c r="BZ382" s="205"/>
      <c r="CA382" s="205"/>
      <c r="CB382" s="205"/>
      <c r="CC382" s="205"/>
      <c r="CD382" s="205"/>
      <c r="CE382" s="205"/>
      <c r="CF382" s="205"/>
      <c r="CG382" s="205"/>
      <c r="CH382" s="205"/>
      <c r="CI382" s="205"/>
      <c r="CJ382" s="205"/>
      <c r="CK382" s="205"/>
      <c r="CL382" s="205"/>
      <c r="CM382" s="205"/>
      <c r="CN382" s="205"/>
      <c r="CO382" s="205"/>
      <c r="CP382" s="205"/>
      <c r="CQ382" s="205"/>
      <c r="CR382" s="205"/>
      <c r="CS382" s="205"/>
      <c r="CT382" s="205"/>
      <c r="CU382" s="205"/>
      <c r="CV382" s="205"/>
      <c r="CW382" s="205"/>
      <c r="CX382" s="205"/>
      <c r="CY382" s="205"/>
      <c r="CZ382" s="205"/>
      <c r="DA382" s="205"/>
      <c r="DB382" s="205"/>
      <c r="DC382" s="205"/>
      <c r="DD382" s="205"/>
      <c r="DE382" s="205"/>
      <c r="DF382" s="205"/>
      <c r="DG382" s="205"/>
      <c r="DH382" s="205"/>
      <c r="DI382" s="205"/>
      <c r="DJ382" s="205"/>
      <c r="DK382" s="205"/>
      <c r="DL382" s="205"/>
      <c r="DM382" s="205"/>
      <c r="DN382" s="205"/>
      <c r="DO382" s="205"/>
      <c r="DP382" s="205"/>
      <c r="DQ382" s="205"/>
      <c r="DR382" s="205"/>
      <c r="DS382" s="205"/>
      <c r="DT382" s="205"/>
      <c r="DU382" s="205"/>
      <c r="DV382" s="205"/>
      <c r="DW382" s="205"/>
      <c r="DX382" s="205"/>
      <c r="DY382" s="205"/>
      <c r="DZ382" s="205"/>
      <c r="EA382" s="205"/>
      <c r="EB382" s="205"/>
      <c r="EC382" s="205"/>
      <c r="ED382" s="205"/>
      <c r="EE382" s="205"/>
      <c r="EF382" s="205"/>
      <c r="EG382" s="205"/>
      <c r="EH382" s="205"/>
      <c r="EI382" s="205"/>
      <c r="EJ382" s="205"/>
      <c r="EK382" s="205"/>
      <c r="EL382" s="205"/>
      <c r="EM382" s="205"/>
      <c r="EN382" s="205"/>
      <c r="EO382" s="205"/>
      <c r="EP382" s="205"/>
      <c r="EQ382" s="205"/>
      <c r="ER382" s="205"/>
      <c r="ES382" s="205"/>
      <c r="ET382" s="205"/>
      <c r="EU382" s="205"/>
      <c r="EV382" s="205"/>
      <c r="EW382" s="205"/>
      <c r="EX382" s="205"/>
      <c r="EY382" s="205"/>
      <c r="EZ382" s="205"/>
      <c r="FA382" s="205"/>
      <c r="FB382" s="205"/>
      <c r="FC382" s="205"/>
      <c r="FD382" s="205"/>
      <c r="FE382" s="205"/>
      <c r="FF382" s="205"/>
      <c r="FG382" s="205"/>
      <c r="FH382" s="205"/>
      <c r="FI382" s="205"/>
      <c r="FJ382" s="205"/>
      <c r="FK382" s="205"/>
      <c r="FL382" s="205"/>
      <c r="FM382" s="205"/>
      <c r="FN382" s="205"/>
      <c r="FO382" s="205"/>
      <c r="FP382" s="205"/>
      <c r="FQ382" s="205"/>
      <c r="FR382" s="205"/>
      <c r="FS382" s="205"/>
      <c r="FT382" s="205"/>
      <c r="FU382" s="205"/>
      <c r="FV382" s="205"/>
      <c r="FW382" s="205"/>
      <c r="FX382" s="205"/>
      <c r="FY382" s="205"/>
      <c r="FZ382" s="205"/>
      <c r="GA382" s="205"/>
      <c r="GB382" s="205"/>
      <c r="GC382" s="205"/>
      <c r="GD382" s="205"/>
      <c r="GE382" s="205"/>
      <c r="GF382" s="205"/>
      <c r="GG382" s="205"/>
      <c r="GH382" s="205"/>
      <c r="GI382" s="205"/>
      <c r="GJ382" s="205"/>
      <c r="GK382" s="205"/>
      <c r="GL382" s="205"/>
      <c r="GM382" s="205"/>
      <c r="GN382" s="205"/>
      <c r="GO382" s="205"/>
      <c r="GP382" s="205"/>
      <c r="GQ382" s="205"/>
      <c r="GR382" s="205"/>
      <c r="GS382" s="205"/>
      <c r="GT382" s="205"/>
      <c r="GU382" s="205"/>
      <c r="GV382" s="205"/>
      <c r="GW382" s="205"/>
      <c r="GX382" s="205"/>
      <c r="GY382" s="205"/>
      <c r="GZ382" s="205"/>
      <c r="HA382" s="205"/>
      <c r="HB382" s="205"/>
      <c r="HC382" s="205"/>
      <c r="HD382" s="205"/>
      <c r="HE382" s="205"/>
      <c r="HF382" s="205"/>
      <c r="HG382" s="205"/>
      <c r="HH382" s="205"/>
      <c r="HI382" s="205"/>
      <c r="HJ382" s="205"/>
      <c r="HK382" s="205"/>
      <c r="HL382" s="205"/>
      <c r="HM382" s="205"/>
      <c r="HN382" s="205"/>
      <c r="HO382" s="205"/>
      <c r="HP382" s="205"/>
      <c r="HQ382" s="205"/>
      <c r="HR382" s="205"/>
      <c r="HS382" s="205"/>
      <c r="HT382" s="205"/>
      <c r="HU382" s="205"/>
      <c r="HV382" s="205"/>
      <c r="HW382" s="205"/>
      <c r="HX382" s="205"/>
      <c r="HY382" s="205"/>
      <c r="HZ382" s="205"/>
      <c r="IA382" s="205"/>
      <c r="IB382" s="205"/>
      <c r="IC382" s="205"/>
      <c r="ID382" s="205"/>
      <c r="IE382" s="205"/>
      <c r="IF382" s="205"/>
      <c r="IG382" s="205"/>
      <c r="IH382" s="205"/>
      <c r="II382" s="205"/>
      <c r="IJ382" s="205"/>
      <c r="IK382" s="205"/>
      <c r="IL382" s="205"/>
      <c r="IM382" s="205"/>
      <c r="IN382" s="205"/>
      <c r="IO382" s="205"/>
      <c r="IP382" s="205"/>
      <c r="IQ382" s="205"/>
      <c r="IR382" s="205"/>
      <c r="IS382" s="205"/>
      <c r="IT382" s="205"/>
      <c r="IU382" s="205"/>
      <c r="IV382" s="205"/>
      <c r="IW382" s="205"/>
      <c r="IX382" s="205"/>
    </row>
    <row r="383" spans="1:258" s="203" customFormat="1" x14ac:dyDescent="0.2">
      <c r="A383" s="669"/>
      <c r="B383" s="670"/>
      <c r="C383" s="686"/>
      <c r="D383" s="672"/>
      <c r="E383" s="673"/>
      <c r="F383" s="673"/>
      <c r="G383" s="674"/>
      <c r="H383" s="675"/>
      <c r="I383" s="676"/>
      <c r="J383" s="676"/>
      <c r="K383" s="676"/>
      <c r="L383" s="676"/>
      <c r="M383" s="676"/>
      <c r="N383" s="676"/>
      <c r="O383" s="676"/>
      <c r="P383" s="676"/>
      <c r="Q383" s="676"/>
      <c r="R383" s="677"/>
      <c r="S383" s="678"/>
      <c r="T383" s="684"/>
      <c r="U383" s="205"/>
      <c r="V383" s="685"/>
      <c r="W383" s="205"/>
      <c r="X383" s="205"/>
      <c r="Y383" s="205"/>
      <c r="Z383" s="205"/>
      <c r="AA383" s="205"/>
      <c r="AB383" s="205"/>
      <c r="AC383" s="205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5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5"/>
      <c r="BB383" s="205"/>
      <c r="BC383" s="205"/>
      <c r="BD383" s="205"/>
      <c r="BE383" s="205"/>
      <c r="BF383" s="205"/>
      <c r="BG383" s="205"/>
      <c r="BH383" s="205"/>
      <c r="BI383" s="205"/>
      <c r="BJ383" s="205"/>
      <c r="BK383" s="205"/>
      <c r="BL383" s="205"/>
      <c r="BM383" s="205"/>
      <c r="BN383" s="205"/>
      <c r="BO383" s="205"/>
      <c r="BP383" s="205"/>
      <c r="BQ383" s="205"/>
      <c r="BR383" s="205"/>
      <c r="BS383" s="205"/>
      <c r="BT383" s="205"/>
      <c r="BU383" s="205"/>
      <c r="BV383" s="205"/>
      <c r="BW383" s="205"/>
      <c r="BX383" s="205"/>
      <c r="BY383" s="205"/>
      <c r="BZ383" s="205"/>
      <c r="CA383" s="205"/>
      <c r="CB383" s="205"/>
      <c r="CC383" s="205"/>
      <c r="CD383" s="205"/>
      <c r="CE383" s="205"/>
      <c r="CF383" s="205"/>
      <c r="CG383" s="205"/>
      <c r="CH383" s="205"/>
      <c r="CI383" s="205"/>
      <c r="CJ383" s="205"/>
      <c r="CK383" s="205"/>
      <c r="CL383" s="205"/>
      <c r="CM383" s="205"/>
      <c r="CN383" s="205"/>
      <c r="CO383" s="205"/>
      <c r="CP383" s="205"/>
      <c r="CQ383" s="205"/>
      <c r="CR383" s="205"/>
      <c r="CS383" s="205"/>
      <c r="CT383" s="205"/>
      <c r="CU383" s="205"/>
      <c r="CV383" s="205"/>
      <c r="CW383" s="205"/>
      <c r="CX383" s="205"/>
      <c r="CY383" s="205"/>
      <c r="CZ383" s="205"/>
      <c r="DA383" s="205"/>
      <c r="DB383" s="205"/>
      <c r="DC383" s="205"/>
      <c r="DD383" s="205"/>
      <c r="DE383" s="205"/>
      <c r="DF383" s="205"/>
      <c r="DG383" s="205"/>
      <c r="DH383" s="205"/>
      <c r="DI383" s="205"/>
      <c r="DJ383" s="205"/>
      <c r="DK383" s="205"/>
      <c r="DL383" s="205"/>
      <c r="DM383" s="205"/>
      <c r="DN383" s="205"/>
      <c r="DO383" s="205"/>
      <c r="DP383" s="205"/>
      <c r="DQ383" s="205"/>
      <c r="DR383" s="205"/>
      <c r="DS383" s="205"/>
      <c r="DT383" s="205"/>
      <c r="DU383" s="205"/>
      <c r="DV383" s="205"/>
      <c r="DW383" s="205"/>
      <c r="DX383" s="205"/>
      <c r="DY383" s="205"/>
      <c r="DZ383" s="205"/>
      <c r="EA383" s="205"/>
      <c r="EB383" s="205"/>
      <c r="EC383" s="205"/>
      <c r="ED383" s="205"/>
      <c r="EE383" s="205"/>
      <c r="EF383" s="205"/>
      <c r="EG383" s="205"/>
      <c r="EH383" s="205"/>
      <c r="EI383" s="205"/>
      <c r="EJ383" s="205"/>
      <c r="EK383" s="205"/>
      <c r="EL383" s="205"/>
      <c r="EM383" s="205"/>
      <c r="EN383" s="205"/>
      <c r="EO383" s="205"/>
      <c r="EP383" s="205"/>
      <c r="EQ383" s="205"/>
      <c r="ER383" s="205"/>
      <c r="ES383" s="205"/>
      <c r="ET383" s="205"/>
      <c r="EU383" s="205"/>
      <c r="EV383" s="205"/>
      <c r="EW383" s="205"/>
      <c r="EX383" s="205"/>
      <c r="EY383" s="205"/>
      <c r="EZ383" s="205"/>
      <c r="FA383" s="205"/>
      <c r="FB383" s="205"/>
      <c r="FC383" s="205"/>
      <c r="FD383" s="205"/>
      <c r="FE383" s="205"/>
      <c r="FF383" s="205"/>
      <c r="FG383" s="205"/>
      <c r="FH383" s="205"/>
      <c r="FI383" s="205"/>
      <c r="FJ383" s="205"/>
      <c r="FK383" s="205"/>
      <c r="FL383" s="205"/>
      <c r="FM383" s="205"/>
      <c r="FN383" s="205"/>
      <c r="FO383" s="205"/>
      <c r="FP383" s="205"/>
      <c r="FQ383" s="205"/>
      <c r="FR383" s="205"/>
      <c r="FS383" s="205"/>
      <c r="FT383" s="205"/>
      <c r="FU383" s="205"/>
      <c r="FV383" s="205"/>
      <c r="FW383" s="205"/>
      <c r="FX383" s="205"/>
      <c r="FY383" s="205"/>
      <c r="FZ383" s="205"/>
      <c r="GA383" s="205"/>
      <c r="GB383" s="205"/>
      <c r="GC383" s="205"/>
      <c r="GD383" s="205"/>
      <c r="GE383" s="205"/>
      <c r="GF383" s="205"/>
      <c r="GG383" s="205"/>
      <c r="GH383" s="205"/>
      <c r="GI383" s="205"/>
      <c r="GJ383" s="205"/>
      <c r="GK383" s="205"/>
      <c r="GL383" s="205"/>
      <c r="GM383" s="205"/>
      <c r="GN383" s="205"/>
      <c r="GO383" s="205"/>
      <c r="GP383" s="205"/>
      <c r="GQ383" s="205"/>
      <c r="GR383" s="205"/>
      <c r="GS383" s="205"/>
      <c r="GT383" s="205"/>
      <c r="GU383" s="205"/>
      <c r="GV383" s="205"/>
      <c r="GW383" s="205"/>
      <c r="GX383" s="205"/>
      <c r="GY383" s="205"/>
      <c r="GZ383" s="205"/>
      <c r="HA383" s="205"/>
      <c r="HB383" s="205"/>
      <c r="HC383" s="205"/>
      <c r="HD383" s="205"/>
      <c r="HE383" s="205"/>
      <c r="HF383" s="205"/>
      <c r="HG383" s="205"/>
      <c r="HH383" s="205"/>
      <c r="HI383" s="205"/>
      <c r="HJ383" s="205"/>
      <c r="HK383" s="205"/>
      <c r="HL383" s="205"/>
      <c r="HM383" s="205"/>
      <c r="HN383" s="205"/>
      <c r="HO383" s="205"/>
      <c r="HP383" s="205"/>
      <c r="HQ383" s="205"/>
      <c r="HR383" s="205"/>
      <c r="HS383" s="205"/>
      <c r="HT383" s="205"/>
      <c r="HU383" s="205"/>
      <c r="HV383" s="205"/>
      <c r="HW383" s="205"/>
      <c r="HX383" s="205"/>
      <c r="HY383" s="205"/>
      <c r="HZ383" s="205"/>
      <c r="IA383" s="205"/>
      <c r="IB383" s="205"/>
      <c r="IC383" s="205"/>
      <c r="ID383" s="205"/>
      <c r="IE383" s="205"/>
      <c r="IF383" s="205"/>
      <c r="IG383" s="205"/>
      <c r="IH383" s="205"/>
      <c r="II383" s="205"/>
      <c r="IJ383" s="205"/>
      <c r="IK383" s="205"/>
      <c r="IL383" s="205"/>
      <c r="IM383" s="205"/>
      <c r="IN383" s="205"/>
      <c r="IO383" s="205"/>
      <c r="IP383" s="205"/>
      <c r="IQ383" s="205"/>
      <c r="IR383" s="205"/>
      <c r="IS383" s="205"/>
      <c r="IT383" s="205"/>
      <c r="IU383" s="205"/>
      <c r="IV383" s="205"/>
      <c r="IW383" s="205"/>
      <c r="IX383" s="205"/>
    </row>
    <row r="384" spans="1:258" s="203" customFormat="1" x14ac:dyDescent="0.2">
      <c r="A384" s="669"/>
      <c r="B384" s="681" t="str">
        <f>RAB!B119</f>
        <v>VII</v>
      </c>
      <c r="C384" s="682" t="str">
        <f>RAB!D119</f>
        <v>PEKERJAAN LISTRIK</v>
      </c>
      <c r="D384" s="672"/>
      <c r="E384" s="673"/>
      <c r="F384" s="673"/>
      <c r="G384" s="674"/>
      <c r="H384" s="675"/>
      <c r="I384" s="676"/>
      <c r="J384" s="676"/>
      <c r="K384" s="676"/>
      <c r="L384" s="676"/>
      <c r="M384" s="676"/>
      <c r="N384" s="676"/>
      <c r="O384" s="676"/>
      <c r="P384" s="676"/>
      <c r="Q384" s="676"/>
      <c r="R384" s="677"/>
      <c r="S384" s="678"/>
      <c r="T384" s="684"/>
      <c r="U384" s="205"/>
      <c r="V384" s="685"/>
      <c r="W384" s="205"/>
      <c r="X384" s="205"/>
      <c r="Y384" s="205"/>
      <c r="Z384" s="205"/>
      <c r="AA384" s="205"/>
      <c r="AB384" s="205"/>
      <c r="AC384" s="205"/>
      <c r="AD384" s="205"/>
      <c r="AE384" s="205"/>
      <c r="AF384" s="205"/>
      <c r="AG384" s="205"/>
      <c r="AH384" s="205"/>
      <c r="AI384" s="205"/>
      <c r="AJ384" s="205"/>
      <c r="AK384" s="205"/>
      <c r="AL384" s="205"/>
      <c r="AM384" s="205"/>
      <c r="AN384" s="205"/>
      <c r="AO384" s="205"/>
      <c r="AP384" s="205"/>
      <c r="AQ384" s="205"/>
      <c r="AR384" s="205"/>
      <c r="AS384" s="205"/>
      <c r="AT384" s="205"/>
      <c r="AU384" s="205"/>
      <c r="AV384" s="205"/>
      <c r="AW384" s="205"/>
      <c r="AX384" s="205"/>
      <c r="AY384" s="205"/>
      <c r="AZ384" s="205"/>
      <c r="BA384" s="205"/>
      <c r="BB384" s="205"/>
      <c r="BC384" s="205"/>
      <c r="BD384" s="205"/>
      <c r="BE384" s="205"/>
      <c r="BF384" s="205"/>
      <c r="BG384" s="205"/>
      <c r="BH384" s="205"/>
      <c r="BI384" s="205"/>
      <c r="BJ384" s="205"/>
      <c r="BK384" s="205"/>
      <c r="BL384" s="205"/>
      <c r="BM384" s="205"/>
      <c r="BN384" s="205"/>
      <c r="BO384" s="205"/>
      <c r="BP384" s="205"/>
      <c r="BQ384" s="205"/>
      <c r="BR384" s="205"/>
      <c r="BS384" s="205"/>
      <c r="BT384" s="205"/>
      <c r="BU384" s="205"/>
      <c r="BV384" s="205"/>
      <c r="BW384" s="205"/>
      <c r="BX384" s="205"/>
      <c r="BY384" s="205"/>
      <c r="BZ384" s="205"/>
      <c r="CA384" s="205"/>
      <c r="CB384" s="205"/>
      <c r="CC384" s="205"/>
      <c r="CD384" s="205"/>
      <c r="CE384" s="205"/>
      <c r="CF384" s="205"/>
      <c r="CG384" s="205"/>
      <c r="CH384" s="205"/>
      <c r="CI384" s="205"/>
      <c r="CJ384" s="205"/>
      <c r="CK384" s="205"/>
      <c r="CL384" s="205"/>
      <c r="CM384" s="205"/>
      <c r="CN384" s="205"/>
      <c r="CO384" s="205"/>
      <c r="CP384" s="205"/>
      <c r="CQ384" s="205"/>
      <c r="CR384" s="205"/>
      <c r="CS384" s="205"/>
      <c r="CT384" s="205"/>
      <c r="CU384" s="205"/>
      <c r="CV384" s="205"/>
      <c r="CW384" s="205"/>
      <c r="CX384" s="205"/>
      <c r="CY384" s="205"/>
      <c r="CZ384" s="205"/>
      <c r="DA384" s="205"/>
      <c r="DB384" s="205"/>
      <c r="DC384" s="205"/>
      <c r="DD384" s="205"/>
      <c r="DE384" s="205"/>
      <c r="DF384" s="205"/>
      <c r="DG384" s="205"/>
      <c r="DH384" s="205"/>
      <c r="DI384" s="205"/>
      <c r="DJ384" s="205"/>
      <c r="DK384" s="205"/>
      <c r="DL384" s="205"/>
      <c r="DM384" s="205"/>
      <c r="DN384" s="205"/>
      <c r="DO384" s="205"/>
      <c r="DP384" s="205"/>
      <c r="DQ384" s="205"/>
      <c r="DR384" s="205"/>
      <c r="DS384" s="205"/>
      <c r="DT384" s="205"/>
      <c r="DU384" s="205"/>
      <c r="DV384" s="205"/>
      <c r="DW384" s="205"/>
      <c r="DX384" s="205"/>
      <c r="DY384" s="205"/>
      <c r="DZ384" s="205"/>
      <c r="EA384" s="205"/>
      <c r="EB384" s="205"/>
      <c r="EC384" s="205"/>
      <c r="ED384" s="205"/>
      <c r="EE384" s="205"/>
      <c r="EF384" s="205"/>
      <c r="EG384" s="205"/>
      <c r="EH384" s="205"/>
      <c r="EI384" s="205"/>
      <c r="EJ384" s="205"/>
      <c r="EK384" s="205"/>
      <c r="EL384" s="205"/>
      <c r="EM384" s="205"/>
      <c r="EN384" s="205"/>
      <c r="EO384" s="205"/>
      <c r="EP384" s="205"/>
      <c r="EQ384" s="205"/>
      <c r="ER384" s="205"/>
      <c r="ES384" s="205"/>
      <c r="ET384" s="205"/>
      <c r="EU384" s="205"/>
      <c r="EV384" s="205"/>
      <c r="EW384" s="205"/>
      <c r="EX384" s="205"/>
      <c r="EY384" s="205"/>
      <c r="EZ384" s="205"/>
      <c r="FA384" s="205"/>
      <c r="FB384" s="205"/>
      <c r="FC384" s="205"/>
      <c r="FD384" s="205"/>
      <c r="FE384" s="205"/>
      <c r="FF384" s="205"/>
      <c r="FG384" s="205"/>
      <c r="FH384" s="205"/>
      <c r="FI384" s="205"/>
      <c r="FJ384" s="205"/>
      <c r="FK384" s="205"/>
      <c r="FL384" s="205"/>
      <c r="FM384" s="205"/>
      <c r="FN384" s="205"/>
      <c r="FO384" s="205"/>
      <c r="FP384" s="205"/>
      <c r="FQ384" s="205"/>
      <c r="FR384" s="205"/>
      <c r="FS384" s="205"/>
      <c r="FT384" s="205"/>
      <c r="FU384" s="205"/>
      <c r="FV384" s="205"/>
      <c r="FW384" s="205"/>
      <c r="FX384" s="205"/>
      <c r="FY384" s="205"/>
      <c r="FZ384" s="205"/>
      <c r="GA384" s="205"/>
      <c r="GB384" s="205"/>
      <c r="GC384" s="205"/>
      <c r="GD384" s="205"/>
      <c r="GE384" s="205"/>
      <c r="GF384" s="205"/>
      <c r="GG384" s="205"/>
      <c r="GH384" s="205"/>
      <c r="GI384" s="205"/>
      <c r="GJ384" s="205"/>
      <c r="GK384" s="205"/>
      <c r="GL384" s="205"/>
      <c r="GM384" s="205"/>
      <c r="GN384" s="205"/>
      <c r="GO384" s="205"/>
      <c r="GP384" s="205"/>
      <c r="GQ384" s="205"/>
      <c r="GR384" s="205"/>
      <c r="GS384" s="205"/>
      <c r="GT384" s="205"/>
      <c r="GU384" s="205"/>
      <c r="GV384" s="205"/>
      <c r="GW384" s="205"/>
      <c r="GX384" s="205"/>
      <c r="GY384" s="205"/>
      <c r="GZ384" s="205"/>
      <c r="HA384" s="205"/>
      <c r="HB384" s="205"/>
      <c r="HC384" s="205"/>
      <c r="HD384" s="205"/>
      <c r="HE384" s="205"/>
      <c r="HF384" s="205"/>
      <c r="HG384" s="205"/>
      <c r="HH384" s="205"/>
      <c r="HI384" s="205"/>
      <c r="HJ384" s="205"/>
      <c r="HK384" s="205"/>
      <c r="HL384" s="205"/>
      <c r="HM384" s="205"/>
      <c r="HN384" s="205"/>
      <c r="HO384" s="205"/>
      <c r="HP384" s="205"/>
      <c r="HQ384" s="205"/>
      <c r="HR384" s="205"/>
      <c r="HS384" s="205"/>
      <c r="HT384" s="205"/>
      <c r="HU384" s="205"/>
      <c r="HV384" s="205"/>
      <c r="HW384" s="205"/>
      <c r="HX384" s="205"/>
      <c r="HY384" s="205"/>
      <c r="HZ384" s="205"/>
      <c r="IA384" s="205"/>
      <c r="IB384" s="205"/>
      <c r="IC384" s="205"/>
      <c r="ID384" s="205"/>
      <c r="IE384" s="205"/>
      <c r="IF384" s="205"/>
      <c r="IG384" s="205"/>
      <c r="IH384" s="205"/>
      <c r="II384" s="205"/>
      <c r="IJ384" s="205"/>
      <c r="IK384" s="205"/>
      <c r="IL384" s="205"/>
      <c r="IM384" s="205"/>
      <c r="IN384" s="205"/>
      <c r="IO384" s="205"/>
      <c r="IP384" s="205"/>
      <c r="IQ384" s="205"/>
      <c r="IR384" s="205"/>
      <c r="IS384" s="205"/>
      <c r="IT384" s="205"/>
      <c r="IU384" s="205"/>
      <c r="IV384" s="205"/>
      <c r="IW384" s="205"/>
      <c r="IX384" s="205"/>
    </row>
    <row r="385" spans="1:258" s="203" customFormat="1" x14ac:dyDescent="0.2">
      <c r="A385" s="669"/>
      <c r="B385" s="670">
        <f>RAB!B120</f>
        <v>1</v>
      </c>
      <c r="C385" s="686" t="str">
        <f>RAB!D120</f>
        <v>Memasang instalasi titik lampu (kabel 2x1,5 mm) tanpa fitting</v>
      </c>
      <c r="D385" s="672"/>
      <c r="E385" s="673"/>
      <c r="F385" s="673"/>
      <c r="G385" s="674"/>
      <c r="H385" s="675"/>
      <c r="I385" s="676"/>
      <c r="J385" s="676"/>
      <c r="K385" s="676"/>
      <c r="L385" s="676"/>
      <c r="M385" s="676"/>
      <c r="N385" s="676"/>
      <c r="O385" s="676"/>
      <c r="P385" s="676"/>
      <c r="Q385" s="676"/>
      <c r="R385" s="677"/>
      <c r="S385" s="678"/>
      <c r="T385" s="684"/>
      <c r="U385" s="205"/>
      <c r="V385" s="685"/>
      <c r="W385" s="205"/>
      <c r="X385" s="205"/>
      <c r="Y385" s="205"/>
      <c r="Z385" s="205"/>
      <c r="AA385" s="205"/>
      <c r="AB385" s="205"/>
      <c r="AC385" s="205"/>
      <c r="AD385" s="205"/>
      <c r="AE385" s="205"/>
      <c r="AF385" s="205"/>
      <c r="AG385" s="205"/>
      <c r="AH385" s="205"/>
      <c r="AI385" s="205"/>
      <c r="AJ385" s="205"/>
      <c r="AK385" s="205"/>
      <c r="AL385" s="205"/>
      <c r="AM385" s="205"/>
      <c r="AN385" s="205"/>
      <c r="AO385" s="205"/>
      <c r="AP385" s="205"/>
      <c r="AQ385" s="205"/>
      <c r="AR385" s="205"/>
      <c r="AS385" s="205"/>
      <c r="AT385" s="205"/>
      <c r="AU385" s="205"/>
      <c r="AV385" s="205"/>
      <c r="AW385" s="205"/>
      <c r="AX385" s="205"/>
      <c r="AY385" s="205"/>
      <c r="AZ385" s="205"/>
      <c r="BA385" s="205"/>
      <c r="BB385" s="205"/>
      <c r="BC385" s="205"/>
      <c r="BD385" s="205"/>
      <c r="BE385" s="205"/>
      <c r="BF385" s="205"/>
      <c r="BG385" s="205"/>
      <c r="BH385" s="205"/>
      <c r="BI385" s="205"/>
      <c r="BJ385" s="205"/>
      <c r="BK385" s="205"/>
      <c r="BL385" s="205"/>
      <c r="BM385" s="205"/>
      <c r="BN385" s="205"/>
      <c r="BO385" s="205"/>
      <c r="BP385" s="205"/>
      <c r="BQ385" s="205"/>
      <c r="BR385" s="205"/>
      <c r="BS385" s="205"/>
      <c r="BT385" s="205"/>
      <c r="BU385" s="205"/>
      <c r="BV385" s="205"/>
      <c r="BW385" s="205"/>
      <c r="BX385" s="205"/>
      <c r="BY385" s="205"/>
      <c r="BZ385" s="205"/>
      <c r="CA385" s="205"/>
      <c r="CB385" s="205"/>
      <c r="CC385" s="205"/>
      <c r="CD385" s="205"/>
      <c r="CE385" s="205"/>
      <c r="CF385" s="205"/>
      <c r="CG385" s="205"/>
      <c r="CH385" s="205"/>
      <c r="CI385" s="205"/>
      <c r="CJ385" s="205"/>
      <c r="CK385" s="205"/>
      <c r="CL385" s="205"/>
      <c r="CM385" s="205"/>
      <c r="CN385" s="205"/>
      <c r="CO385" s="205"/>
      <c r="CP385" s="205"/>
      <c r="CQ385" s="205"/>
      <c r="CR385" s="205"/>
      <c r="CS385" s="205"/>
      <c r="CT385" s="205"/>
      <c r="CU385" s="205"/>
      <c r="CV385" s="205"/>
      <c r="CW385" s="205"/>
      <c r="CX385" s="205"/>
      <c r="CY385" s="205"/>
      <c r="CZ385" s="205"/>
      <c r="DA385" s="205"/>
      <c r="DB385" s="205"/>
      <c r="DC385" s="205"/>
      <c r="DD385" s="205"/>
      <c r="DE385" s="205"/>
      <c r="DF385" s="205"/>
      <c r="DG385" s="205"/>
      <c r="DH385" s="205"/>
      <c r="DI385" s="205"/>
      <c r="DJ385" s="205"/>
      <c r="DK385" s="205"/>
      <c r="DL385" s="205"/>
      <c r="DM385" s="205"/>
      <c r="DN385" s="205"/>
      <c r="DO385" s="205"/>
      <c r="DP385" s="205"/>
      <c r="DQ385" s="205"/>
      <c r="DR385" s="205"/>
      <c r="DS385" s="205"/>
      <c r="DT385" s="205"/>
      <c r="DU385" s="205"/>
      <c r="DV385" s="205"/>
      <c r="DW385" s="205"/>
      <c r="DX385" s="205"/>
      <c r="DY385" s="205"/>
      <c r="DZ385" s="205"/>
      <c r="EA385" s="205"/>
      <c r="EB385" s="205"/>
      <c r="EC385" s="205"/>
      <c r="ED385" s="205"/>
      <c r="EE385" s="205"/>
      <c r="EF385" s="205"/>
      <c r="EG385" s="205"/>
      <c r="EH385" s="205"/>
      <c r="EI385" s="205"/>
      <c r="EJ385" s="205"/>
      <c r="EK385" s="205"/>
      <c r="EL385" s="205"/>
      <c r="EM385" s="205"/>
      <c r="EN385" s="205"/>
      <c r="EO385" s="205"/>
      <c r="EP385" s="205"/>
      <c r="EQ385" s="205"/>
      <c r="ER385" s="205"/>
      <c r="ES385" s="205"/>
      <c r="ET385" s="205"/>
      <c r="EU385" s="205"/>
      <c r="EV385" s="205"/>
      <c r="EW385" s="205"/>
      <c r="EX385" s="205"/>
      <c r="EY385" s="205"/>
      <c r="EZ385" s="205"/>
      <c r="FA385" s="205"/>
      <c r="FB385" s="205"/>
      <c r="FC385" s="205"/>
      <c r="FD385" s="205"/>
      <c r="FE385" s="205"/>
      <c r="FF385" s="205"/>
      <c r="FG385" s="205"/>
      <c r="FH385" s="205"/>
      <c r="FI385" s="205"/>
      <c r="FJ385" s="205"/>
      <c r="FK385" s="205"/>
      <c r="FL385" s="205"/>
      <c r="FM385" s="205"/>
      <c r="FN385" s="205"/>
      <c r="FO385" s="205"/>
      <c r="FP385" s="205"/>
      <c r="FQ385" s="205"/>
      <c r="FR385" s="205"/>
      <c r="FS385" s="205"/>
      <c r="FT385" s="205"/>
      <c r="FU385" s="205"/>
      <c r="FV385" s="205"/>
      <c r="FW385" s="205"/>
      <c r="FX385" s="205"/>
      <c r="FY385" s="205"/>
      <c r="FZ385" s="205"/>
      <c r="GA385" s="205"/>
      <c r="GB385" s="205"/>
      <c r="GC385" s="205"/>
      <c r="GD385" s="205"/>
      <c r="GE385" s="205"/>
      <c r="GF385" s="205"/>
      <c r="GG385" s="205"/>
      <c r="GH385" s="205"/>
      <c r="GI385" s="205"/>
      <c r="GJ385" s="205"/>
      <c r="GK385" s="205"/>
      <c r="GL385" s="205"/>
      <c r="GM385" s="205"/>
      <c r="GN385" s="205"/>
      <c r="GO385" s="205"/>
      <c r="GP385" s="205"/>
      <c r="GQ385" s="205"/>
      <c r="GR385" s="205"/>
      <c r="GS385" s="205"/>
      <c r="GT385" s="205"/>
      <c r="GU385" s="205"/>
      <c r="GV385" s="205"/>
      <c r="GW385" s="205"/>
      <c r="GX385" s="205"/>
      <c r="GY385" s="205"/>
      <c r="GZ385" s="205"/>
      <c r="HA385" s="205"/>
      <c r="HB385" s="205"/>
      <c r="HC385" s="205"/>
      <c r="HD385" s="205"/>
      <c r="HE385" s="205"/>
      <c r="HF385" s="205"/>
      <c r="HG385" s="205"/>
      <c r="HH385" s="205"/>
      <c r="HI385" s="205"/>
      <c r="HJ385" s="205"/>
      <c r="HK385" s="205"/>
      <c r="HL385" s="205"/>
      <c r="HM385" s="205"/>
      <c r="HN385" s="205"/>
      <c r="HO385" s="205"/>
      <c r="HP385" s="205"/>
      <c r="HQ385" s="205"/>
      <c r="HR385" s="205"/>
      <c r="HS385" s="205"/>
      <c r="HT385" s="205"/>
      <c r="HU385" s="205"/>
      <c r="HV385" s="205"/>
      <c r="HW385" s="205"/>
      <c r="HX385" s="205"/>
      <c r="HY385" s="205"/>
      <c r="HZ385" s="205"/>
      <c r="IA385" s="205"/>
      <c r="IB385" s="205"/>
      <c r="IC385" s="205"/>
      <c r="ID385" s="205"/>
      <c r="IE385" s="205"/>
      <c r="IF385" s="205"/>
      <c r="IG385" s="205"/>
      <c r="IH385" s="205"/>
      <c r="II385" s="205"/>
      <c r="IJ385" s="205"/>
      <c r="IK385" s="205"/>
      <c r="IL385" s="205"/>
      <c r="IM385" s="205"/>
      <c r="IN385" s="205"/>
      <c r="IO385" s="205"/>
      <c r="IP385" s="205"/>
      <c r="IQ385" s="205"/>
      <c r="IR385" s="205"/>
      <c r="IS385" s="205"/>
      <c r="IT385" s="205"/>
      <c r="IU385" s="205"/>
      <c r="IV385" s="205"/>
      <c r="IW385" s="205"/>
      <c r="IX385" s="205"/>
    </row>
    <row r="386" spans="1:258" s="203" customFormat="1" x14ac:dyDescent="0.2">
      <c r="A386" s="669"/>
      <c r="B386" s="670"/>
      <c r="C386" s="1390"/>
      <c r="D386" s="672"/>
      <c r="E386" s="1391"/>
      <c r="F386" s="1391"/>
      <c r="G386" s="1392"/>
      <c r="H386" s="1393">
        <v>31</v>
      </c>
      <c r="I386" s="1394"/>
      <c r="J386" s="1394"/>
      <c r="K386" s="1394"/>
      <c r="L386" s="1394"/>
      <c r="M386" s="1394"/>
      <c r="N386" s="1394"/>
      <c r="O386" s="1394"/>
      <c r="P386" s="1394"/>
      <c r="Q386" s="1394" t="s">
        <v>696</v>
      </c>
      <c r="R386" s="1395">
        <f>H386</f>
        <v>31</v>
      </c>
      <c r="S386" s="1396">
        <f>R386</f>
        <v>31</v>
      </c>
      <c r="T386" s="1397" t="s">
        <v>268</v>
      </c>
      <c r="U386" s="205"/>
      <c r="V386" s="685"/>
      <c r="W386" s="205"/>
      <c r="X386" s="205"/>
      <c r="Y386" s="205"/>
      <c r="Z386" s="205"/>
      <c r="AA386" s="205"/>
      <c r="AB386" s="205"/>
      <c r="AC386" s="205"/>
      <c r="AD386" s="205"/>
      <c r="AE386" s="205"/>
      <c r="AF386" s="205"/>
      <c r="AG386" s="205"/>
      <c r="AH386" s="205"/>
      <c r="AI386" s="205"/>
      <c r="AJ386" s="205"/>
      <c r="AK386" s="205"/>
      <c r="AL386" s="205"/>
      <c r="AM386" s="205"/>
      <c r="AN386" s="205"/>
      <c r="AO386" s="205"/>
      <c r="AP386" s="205"/>
      <c r="AQ386" s="205"/>
      <c r="AR386" s="205"/>
      <c r="AS386" s="205"/>
      <c r="AT386" s="205"/>
      <c r="AU386" s="205"/>
      <c r="AV386" s="205"/>
      <c r="AW386" s="205"/>
      <c r="AX386" s="205"/>
      <c r="AY386" s="205"/>
      <c r="AZ386" s="205"/>
      <c r="BA386" s="205"/>
      <c r="BB386" s="205"/>
      <c r="BC386" s="205"/>
      <c r="BD386" s="205"/>
      <c r="BE386" s="205"/>
      <c r="BF386" s="205"/>
      <c r="BG386" s="205"/>
      <c r="BH386" s="205"/>
      <c r="BI386" s="205"/>
      <c r="BJ386" s="205"/>
      <c r="BK386" s="205"/>
      <c r="BL386" s="205"/>
      <c r="BM386" s="205"/>
      <c r="BN386" s="205"/>
      <c r="BO386" s="205"/>
      <c r="BP386" s="205"/>
      <c r="BQ386" s="205"/>
      <c r="BR386" s="205"/>
      <c r="BS386" s="205"/>
      <c r="BT386" s="205"/>
      <c r="BU386" s="205"/>
      <c r="BV386" s="205"/>
      <c r="BW386" s="205"/>
      <c r="BX386" s="205"/>
      <c r="BY386" s="205"/>
      <c r="BZ386" s="205"/>
      <c r="CA386" s="205"/>
      <c r="CB386" s="205"/>
      <c r="CC386" s="205"/>
      <c r="CD386" s="205"/>
      <c r="CE386" s="205"/>
      <c r="CF386" s="205"/>
      <c r="CG386" s="205"/>
      <c r="CH386" s="205"/>
      <c r="CI386" s="205"/>
      <c r="CJ386" s="205"/>
      <c r="CK386" s="205"/>
      <c r="CL386" s="205"/>
      <c r="CM386" s="205"/>
      <c r="CN386" s="205"/>
      <c r="CO386" s="205"/>
      <c r="CP386" s="205"/>
      <c r="CQ386" s="205"/>
      <c r="CR386" s="205"/>
      <c r="CS386" s="205"/>
      <c r="CT386" s="205"/>
      <c r="CU386" s="205"/>
      <c r="CV386" s="205"/>
      <c r="CW386" s="205"/>
      <c r="CX386" s="205"/>
      <c r="CY386" s="205"/>
      <c r="CZ386" s="205"/>
      <c r="DA386" s="205"/>
      <c r="DB386" s="205"/>
      <c r="DC386" s="205"/>
      <c r="DD386" s="205"/>
      <c r="DE386" s="205"/>
      <c r="DF386" s="205"/>
      <c r="DG386" s="205"/>
      <c r="DH386" s="205"/>
      <c r="DI386" s="205"/>
      <c r="DJ386" s="205"/>
      <c r="DK386" s="205"/>
      <c r="DL386" s="205"/>
      <c r="DM386" s="205"/>
      <c r="DN386" s="205"/>
      <c r="DO386" s="205"/>
      <c r="DP386" s="205"/>
      <c r="DQ386" s="205"/>
      <c r="DR386" s="205"/>
      <c r="DS386" s="205"/>
      <c r="DT386" s="205"/>
      <c r="DU386" s="205"/>
      <c r="DV386" s="205"/>
      <c r="DW386" s="205"/>
      <c r="DX386" s="205"/>
      <c r="DY386" s="205"/>
      <c r="DZ386" s="205"/>
      <c r="EA386" s="205"/>
      <c r="EB386" s="205"/>
      <c r="EC386" s="205"/>
      <c r="ED386" s="205"/>
      <c r="EE386" s="205"/>
      <c r="EF386" s="205"/>
      <c r="EG386" s="205"/>
      <c r="EH386" s="205"/>
      <c r="EI386" s="205"/>
      <c r="EJ386" s="205"/>
      <c r="EK386" s="205"/>
      <c r="EL386" s="205"/>
      <c r="EM386" s="205"/>
      <c r="EN386" s="205"/>
      <c r="EO386" s="205"/>
      <c r="EP386" s="205"/>
      <c r="EQ386" s="205"/>
      <c r="ER386" s="205"/>
      <c r="ES386" s="205"/>
      <c r="ET386" s="205"/>
      <c r="EU386" s="205"/>
      <c r="EV386" s="205"/>
      <c r="EW386" s="205"/>
      <c r="EX386" s="205"/>
      <c r="EY386" s="205"/>
      <c r="EZ386" s="205"/>
      <c r="FA386" s="205"/>
      <c r="FB386" s="205"/>
      <c r="FC386" s="205"/>
      <c r="FD386" s="205"/>
      <c r="FE386" s="205"/>
      <c r="FF386" s="205"/>
      <c r="FG386" s="205"/>
      <c r="FH386" s="205"/>
      <c r="FI386" s="205"/>
      <c r="FJ386" s="205"/>
      <c r="FK386" s="205"/>
      <c r="FL386" s="205"/>
      <c r="FM386" s="205"/>
      <c r="FN386" s="205"/>
      <c r="FO386" s="205"/>
      <c r="FP386" s="205"/>
      <c r="FQ386" s="205"/>
      <c r="FR386" s="205"/>
      <c r="FS386" s="205"/>
      <c r="FT386" s="205"/>
      <c r="FU386" s="205"/>
      <c r="FV386" s="205"/>
      <c r="FW386" s="205"/>
      <c r="FX386" s="205"/>
      <c r="FY386" s="205"/>
      <c r="FZ386" s="205"/>
      <c r="GA386" s="205"/>
      <c r="GB386" s="205"/>
      <c r="GC386" s="205"/>
      <c r="GD386" s="205"/>
      <c r="GE386" s="205"/>
      <c r="GF386" s="205"/>
      <c r="GG386" s="205"/>
      <c r="GH386" s="205"/>
      <c r="GI386" s="205"/>
      <c r="GJ386" s="205"/>
      <c r="GK386" s="205"/>
      <c r="GL386" s="205"/>
      <c r="GM386" s="205"/>
      <c r="GN386" s="205"/>
      <c r="GO386" s="205"/>
      <c r="GP386" s="205"/>
      <c r="GQ386" s="205"/>
      <c r="GR386" s="205"/>
      <c r="GS386" s="205"/>
      <c r="GT386" s="205"/>
      <c r="GU386" s="205"/>
      <c r="GV386" s="205"/>
      <c r="GW386" s="205"/>
      <c r="GX386" s="205"/>
      <c r="GY386" s="205"/>
      <c r="GZ386" s="205"/>
      <c r="HA386" s="205"/>
      <c r="HB386" s="205"/>
      <c r="HC386" s="205"/>
      <c r="HD386" s="205"/>
      <c r="HE386" s="205"/>
      <c r="HF386" s="205"/>
      <c r="HG386" s="205"/>
      <c r="HH386" s="205"/>
      <c r="HI386" s="205"/>
      <c r="HJ386" s="205"/>
      <c r="HK386" s="205"/>
      <c r="HL386" s="205"/>
      <c r="HM386" s="205"/>
      <c r="HN386" s="205"/>
      <c r="HO386" s="205"/>
      <c r="HP386" s="205"/>
      <c r="HQ386" s="205"/>
      <c r="HR386" s="205"/>
      <c r="HS386" s="205"/>
      <c r="HT386" s="205"/>
      <c r="HU386" s="205"/>
      <c r="HV386" s="205"/>
      <c r="HW386" s="205"/>
      <c r="HX386" s="205"/>
      <c r="HY386" s="205"/>
      <c r="HZ386" s="205"/>
      <c r="IA386" s="205"/>
      <c r="IB386" s="205"/>
      <c r="IC386" s="205"/>
      <c r="ID386" s="205"/>
      <c r="IE386" s="205"/>
      <c r="IF386" s="205"/>
      <c r="IG386" s="205"/>
      <c r="IH386" s="205"/>
      <c r="II386" s="205"/>
      <c r="IJ386" s="205"/>
      <c r="IK386" s="205"/>
      <c r="IL386" s="205"/>
      <c r="IM386" s="205"/>
      <c r="IN386" s="205"/>
      <c r="IO386" s="205"/>
      <c r="IP386" s="205"/>
      <c r="IQ386" s="205"/>
      <c r="IR386" s="205"/>
      <c r="IS386" s="205"/>
      <c r="IT386" s="205"/>
      <c r="IU386" s="205"/>
      <c r="IV386" s="205"/>
      <c r="IW386" s="205"/>
      <c r="IX386" s="205"/>
    </row>
    <row r="387" spans="1:258" s="203" customFormat="1" x14ac:dyDescent="0.2">
      <c r="A387" s="669"/>
      <c r="B387" s="670"/>
      <c r="C387" s="1390"/>
      <c r="D387" s="672"/>
      <c r="E387" s="1391"/>
      <c r="F387" s="1391"/>
      <c r="G387" s="1392"/>
      <c r="H387" s="1393"/>
      <c r="I387" s="1394"/>
      <c r="J387" s="1394"/>
      <c r="K387" s="1394"/>
      <c r="L387" s="1394"/>
      <c r="M387" s="1394"/>
      <c r="N387" s="1394"/>
      <c r="O387" s="1394"/>
      <c r="P387" s="1394"/>
      <c r="Q387" s="1394"/>
      <c r="R387" s="1395"/>
      <c r="S387" s="1396"/>
      <c r="T387" s="1397"/>
      <c r="U387" s="205"/>
      <c r="V387" s="685"/>
      <c r="W387" s="205"/>
      <c r="X387" s="205"/>
      <c r="Y387" s="205"/>
      <c r="Z387" s="205"/>
      <c r="AA387" s="205"/>
      <c r="AB387" s="205"/>
      <c r="AC387" s="205"/>
      <c r="AD387" s="205"/>
      <c r="AE387" s="205"/>
      <c r="AF387" s="205"/>
      <c r="AG387" s="205"/>
      <c r="AH387" s="205"/>
      <c r="AI387" s="205"/>
      <c r="AJ387" s="205"/>
      <c r="AK387" s="205"/>
      <c r="AL387" s="205"/>
      <c r="AM387" s="205"/>
      <c r="AN387" s="205"/>
      <c r="AO387" s="205"/>
      <c r="AP387" s="205"/>
      <c r="AQ387" s="205"/>
      <c r="AR387" s="205"/>
      <c r="AS387" s="205"/>
      <c r="AT387" s="205"/>
      <c r="AU387" s="205"/>
      <c r="AV387" s="205"/>
      <c r="AW387" s="205"/>
      <c r="AX387" s="205"/>
      <c r="AY387" s="205"/>
      <c r="AZ387" s="205"/>
      <c r="BA387" s="205"/>
      <c r="BB387" s="205"/>
      <c r="BC387" s="205"/>
      <c r="BD387" s="205"/>
      <c r="BE387" s="205"/>
      <c r="BF387" s="205"/>
      <c r="BG387" s="205"/>
      <c r="BH387" s="205"/>
      <c r="BI387" s="205"/>
      <c r="BJ387" s="205"/>
      <c r="BK387" s="205"/>
      <c r="BL387" s="205"/>
      <c r="BM387" s="205"/>
      <c r="BN387" s="205"/>
      <c r="BO387" s="205"/>
      <c r="BP387" s="205"/>
      <c r="BQ387" s="205"/>
      <c r="BR387" s="205"/>
      <c r="BS387" s="205"/>
      <c r="BT387" s="205"/>
      <c r="BU387" s="205"/>
      <c r="BV387" s="205"/>
      <c r="BW387" s="205"/>
      <c r="BX387" s="205"/>
      <c r="BY387" s="205"/>
      <c r="BZ387" s="205"/>
      <c r="CA387" s="205"/>
      <c r="CB387" s="205"/>
      <c r="CC387" s="205"/>
      <c r="CD387" s="205"/>
      <c r="CE387" s="205"/>
      <c r="CF387" s="205"/>
      <c r="CG387" s="205"/>
      <c r="CH387" s="205"/>
      <c r="CI387" s="205"/>
      <c r="CJ387" s="205"/>
      <c r="CK387" s="205"/>
      <c r="CL387" s="205"/>
      <c r="CM387" s="205"/>
      <c r="CN387" s="205"/>
      <c r="CO387" s="205"/>
      <c r="CP387" s="205"/>
      <c r="CQ387" s="205"/>
      <c r="CR387" s="205"/>
      <c r="CS387" s="205"/>
      <c r="CT387" s="205"/>
      <c r="CU387" s="205"/>
      <c r="CV387" s="205"/>
      <c r="CW387" s="205"/>
      <c r="CX387" s="205"/>
      <c r="CY387" s="205"/>
      <c r="CZ387" s="205"/>
      <c r="DA387" s="205"/>
      <c r="DB387" s="205"/>
      <c r="DC387" s="205"/>
      <c r="DD387" s="205"/>
      <c r="DE387" s="205"/>
      <c r="DF387" s="205"/>
      <c r="DG387" s="205"/>
      <c r="DH387" s="205"/>
      <c r="DI387" s="205"/>
      <c r="DJ387" s="205"/>
      <c r="DK387" s="205"/>
      <c r="DL387" s="205"/>
      <c r="DM387" s="205"/>
      <c r="DN387" s="205"/>
      <c r="DO387" s="205"/>
      <c r="DP387" s="205"/>
      <c r="DQ387" s="205"/>
      <c r="DR387" s="205"/>
      <c r="DS387" s="205"/>
      <c r="DT387" s="205"/>
      <c r="DU387" s="205"/>
      <c r="DV387" s="205"/>
      <c r="DW387" s="205"/>
      <c r="DX387" s="205"/>
      <c r="DY387" s="205"/>
      <c r="DZ387" s="205"/>
      <c r="EA387" s="205"/>
      <c r="EB387" s="205"/>
      <c r="EC387" s="205"/>
      <c r="ED387" s="205"/>
      <c r="EE387" s="205"/>
      <c r="EF387" s="205"/>
      <c r="EG387" s="205"/>
      <c r="EH387" s="205"/>
      <c r="EI387" s="205"/>
      <c r="EJ387" s="205"/>
      <c r="EK387" s="205"/>
      <c r="EL387" s="205"/>
      <c r="EM387" s="205"/>
      <c r="EN387" s="205"/>
      <c r="EO387" s="205"/>
      <c r="EP387" s="205"/>
      <c r="EQ387" s="205"/>
      <c r="ER387" s="205"/>
      <c r="ES387" s="205"/>
      <c r="ET387" s="205"/>
      <c r="EU387" s="205"/>
      <c r="EV387" s="205"/>
      <c r="EW387" s="205"/>
      <c r="EX387" s="205"/>
      <c r="EY387" s="205"/>
      <c r="EZ387" s="205"/>
      <c r="FA387" s="205"/>
      <c r="FB387" s="205"/>
      <c r="FC387" s="205"/>
      <c r="FD387" s="205"/>
      <c r="FE387" s="205"/>
      <c r="FF387" s="205"/>
      <c r="FG387" s="205"/>
      <c r="FH387" s="205"/>
      <c r="FI387" s="205"/>
      <c r="FJ387" s="205"/>
      <c r="FK387" s="205"/>
      <c r="FL387" s="205"/>
      <c r="FM387" s="205"/>
      <c r="FN387" s="205"/>
      <c r="FO387" s="205"/>
      <c r="FP387" s="205"/>
      <c r="FQ387" s="205"/>
      <c r="FR387" s="205"/>
      <c r="FS387" s="205"/>
      <c r="FT387" s="205"/>
      <c r="FU387" s="205"/>
      <c r="FV387" s="205"/>
      <c r="FW387" s="205"/>
      <c r="FX387" s="205"/>
      <c r="FY387" s="205"/>
      <c r="FZ387" s="205"/>
      <c r="GA387" s="205"/>
      <c r="GB387" s="205"/>
      <c r="GC387" s="205"/>
      <c r="GD387" s="205"/>
      <c r="GE387" s="205"/>
      <c r="GF387" s="205"/>
      <c r="GG387" s="205"/>
      <c r="GH387" s="205"/>
      <c r="GI387" s="205"/>
      <c r="GJ387" s="205"/>
      <c r="GK387" s="205"/>
      <c r="GL387" s="205"/>
      <c r="GM387" s="205"/>
      <c r="GN387" s="205"/>
      <c r="GO387" s="205"/>
      <c r="GP387" s="205"/>
      <c r="GQ387" s="205"/>
      <c r="GR387" s="205"/>
      <c r="GS387" s="205"/>
      <c r="GT387" s="205"/>
      <c r="GU387" s="205"/>
      <c r="GV387" s="205"/>
      <c r="GW387" s="205"/>
      <c r="GX387" s="205"/>
      <c r="GY387" s="205"/>
      <c r="GZ387" s="205"/>
      <c r="HA387" s="205"/>
      <c r="HB387" s="205"/>
      <c r="HC387" s="205"/>
      <c r="HD387" s="205"/>
      <c r="HE387" s="205"/>
      <c r="HF387" s="205"/>
      <c r="HG387" s="205"/>
      <c r="HH387" s="205"/>
      <c r="HI387" s="205"/>
      <c r="HJ387" s="205"/>
      <c r="HK387" s="205"/>
      <c r="HL387" s="205"/>
      <c r="HM387" s="205"/>
      <c r="HN387" s="205"/>
      <c r="HO387" s="205"/>
      <c r="HP387" s="205"/>
      <c r="HQ387" s="205"/>
      <c r="HR387" s="205"/>
      <c r="HS387" s="205"/>
      <c r="HT387" s="205"/>
      <c r="HU387" s="205"/>
      <c r="HV387" s="205"/>
      <c r="HW387" s="205"/>
      <c r="HX387" s="205"/>
      <c r="HY387" s="205"/>
      <c r="HZ387" s="205"/>
      <c r="IA387" s="205"/>
      <c r="IB387" s="205"/>
      <c r="IC387" s="205"/>
      <c r="ID387" s="205"/>
      <c r="IE387" s="205"/>
      <c r="IF387" s="205"/>
      <c r="IG387" s="205"/>
      <c r="IH387" s="205"/>
      <c r="II387" s="205"/>
      <c r="IJ387" s="205"/>
      <c r="IK387" s="205"/>
      <c r="IL387" s="205"/>
      <c r="IM387" s="205"/>
      <c r="IN387" s="205"/>
      <c r="IO387" s="205"/>
      <c r="IP387" s="205"/>
      <c r="IQ387" s="205"/>
      <c r="IR387" s="205"/>
      <c r="IS387" s="205"/>
      <c r="IT387" s="205"/>
      <c r="IU387" s="205"/>
      <c r="IV387" s="205"/>
      <c r="IW387" s="205"/>
      <c r="IX387" s="205"/>
    </row>
    <row r="388" spans="1:258" s="203" customFormat="1" x14ac:dyDescent="0.2">
      <c r="A388" s="669"/>
      <c r="B388" s="670">
        <f>RAB!B121</f>
        <v>2</v>
      </c>
      <c r="C388" s="686" t="str">
        <f>RAB!D121</f>
        <v>Memasang Instalasi titik saklar (kabel 2x1,5 mm)</v>
      </c>
      <c r="D388" s="672"/>
      <c r="E388" s="673"/>
      <c r="F388" s="673"/>
      <c r="G388" s="674"/>
      <c r="H388" s="675"/>
      <c r="I388" s="676"/>
      <c r="J388" s="676"/>
      <c r="K388" s="676"/>
      <c r="L388" s="676"/>
      <c r="M388" s="676"/>
      <c r="N388" s="676"/>
      <c r="O388" s="676"/>
      <c r="P388" s="676"/>
      <c r="Q388" s="676"/>
      <c r="R388" s="677"/>
      <c r="S388" s="678"/>
      <c r="T388" s="684"/>
      <c r="U388" s="205"/>
      <c r="V388" s="685"/>
      <c r="W388" s="205"/>
      <c r="X388" s="205"/>
      <c r="Y388" s="205"/>
      <c r="Z388" s="205"/>
      <c r="AA388" s="205"/>
      <c r="AB388" s="205"/>
      <c r="AC388" s="205"/>
      <c r="AD388" s="205"/>
      <c r="AE388" s="205"/>
      <c r="AF388" s="205"/>
      <c r="AG388" s="205"/>
      <c r="AH388" s="205"/>
      <c r="AI388" s="205"/>
      <c r="AJ388" s="205"/>
      <c r="AK388" s="205"/>
      <c r="AL388" s="205"/>
      <c r="AM388" s="205"/>
      <c r="AN388" s="205"/>
      <c r="AO388" s="205"/>
      <c r="AP388" s="205"/>
      <c r="AQ388" s="205"/>
      <c r="AR388" s="205"/>
      <c r="AS388" s="205"/>
      <c r="AT388" s="205"/>
      <c r="AU388" s="205"/>
      <c r="AV388" s="205"/>
      <c r="AW388" s="205"/>
      <c r="AX388" s="205"/>
      <c r="AY388" s="205"/>
      <c r="AZ388" s="205"/>
      <c r="BA388" s="205"/>
      <c r="BB388" s="205"/>
      <c r="BC388" s="205"/>
      <c r="BD388" s="205"/>
      <c r="BE388" s="205"/>
      <c r="BF388" s="205"/>
      <c r="BG388" s="205"/>
      <c r="BH388" s="205"/>
      <c r="BI388" s="205"/>
      <c r="BJ388" s="205"/>
      <c r="BK388" s="205"/>
      <c r="BL388" s="205"/>
      <c r="BM388" s="205"/>
      <c r="BN388" s="205"/>
      <c r="BO388" s="205"/>
      <c r="BP388" s="205"/>
      <c r="BQ388" s="205"/>
      <c r="BR388" s="205"/>
      <c r="BS388" s="205"/>
      <c r="BT388" s="205"/>
      <c r="BU388" s="205"/>
      <c r="BV388" s="205"/>
      <c r="BW388" s="205"/>
      <c r="BX388" s="205"/>
      <c r="BY388" s="205"/>
      <c r="BZ388" s="205"/>
      <c r="CA388" s="205"/>
      <c r="CB388" s="205"/>
      <c r="CC388" s="205"/>
      <c r="CD388" s="205"/>
      <c r="CE388" s="205"/>
      <c r="CF388" s="205"/>
      <c r="CG388" s="205"/>
      <c r="CH388" s="205"/>
      <c r="CI388" s="205"/>
      <c r="CJ388" s="205"/>
      <c r="CK388" s="205"/>
      <c r="CL388" s="205"/>
      <c r="CM388" s="205"/>
      <c r="CN388" s="205"/>
      <c r="CO388" s="205"/>
      <c r="CP388" s="205"/>
      <c r="CQ388" s="205"/>
      <c r="CR388" s="205"/>
      <c r="CS388" s="205"/>
      <c r="CT388" s="205"/>
      <c r="CU388" s="205"/>
      <c r="CV388" s="205"/>
      <c r="CW388" s="205"/>
      <c r="CX388" s="205"/>
      <c r="CY388" s="205"/>
      <c r="CZ388" s="205"/>
      <c r="DA388" s="205"/>
      <c r="DB388" s="205"/>
      <c r="DC388" s="205"/>
      <c r="DD388" s="205"/>
      <c r="DE388" s="205"/>
      <c r="DF388" s="205"/>
      <c r="DG388" s="205"/>
      <c r="DH388" s="205"/>
      <c r="DI388" s="205"/>
      <c r="DJ388" s="205"/>
      <c r="DK388" s="205"/>
      <c r="DL388" s="205"/>
      <c r="DM388" s="205"/>
      <c r="DN388" s="205"/>
      <c r="DO388" s="205"/>
      <c r="DP388" s="205"/>
      <c r="DQ388" s="205"/>
      <c r="DR388" s="205"/>
      <c r="DS388" s="205"/>
      <c r="DT388" s="205"/>
      <c r="DU388" s="205"/>
      <c r="DV388" s="205"/>
      <c r="DW388" s="205"/>
      <c r="DX388" s="205"/>
      <c r="DY388" s="205"/>
      <c r="DZ388" s="205"/>
      <c r="EA388" s="205"/>
      <c r="EB388" s="205"/>
      <c r="EC388" s="205"/>
      <c r="ED388" s="205"/>
      <c r="EE388" s="205"/>
      <c r="EF388" s="205"/>
      <c r="EG388" s="205"/>
      <c r="EH388" s="205"/>
      <c r="EI388" s="205"/>
      <c r="EJ388" s="205"/>
      <c r="EK388" s="205"/>
      <c r="EL388" s="205"/>
      <c r="EM388" s="205"/>
      <c r="EN388" s="205"/>
      <c r="EO388" s="205"/>
      <c r="EP388" s="205"/>
      <c r="EQ388" s="205"/>
      <c r="ER388" s="205"/>
      <c r="ES388" s="205"/>
      <c r="ET388" s="205"/>
      <c r="EU388" s="205"/>
      <c r="EV388" s="205"/>
      <c r="EW388" s="205"/>
      <c r="EX388" s="205"/>
      <c r="EY388" s="205"/>
      <c r="EZ388" s="205"/>
      <c r="FA388" s="205"/>
      <c r="FB388" s="205"/>
      <c r="FC388" s="205"/>
      <c r="FD388" s="205"/>
      <c r="FE388" s="205"/>
      <c r="FF388" s="205"/>
      <c r="FG388" s="205"/>
      <c r="FH388" s="205"/>
      <c r="FI388" s="205"/>
      <c r="FJ388" s="205"/>
      <c r="FK388" s="205"/>
      <c r="FL388" s="205"/>
      <c r="FM388" s="205"/>
      <c r="FN388" s="205"/>
      <c r="FO388" s="205"/>
      <c r="FP388" s="205"/>
      <c r="FQ388" s="205"/>
      <c r="FR388" s="205"/>
      <c r="FS388" s="205"/>
      <c r="FT388" s="205"/>
      <c r="FU388" s="205"/>
      <c r="FV388" s="205"/>
      <c r="FW388" s="205"/>
      <c r="FX388" s="205"/>
      <c r="FY388" s="205"/>
      <c r="FZ388" s="205"/>
      <c r="GA388" s="205"/>
      <c r="GB388" s="205"/>
      <c r="GC388" s="205"/>
      <c r="GD388" s="205"/>
      <c r="GE388" s="205"/>
      <c r="GF388" s="205"/>
      <c r="GG388" s="205"/>
      <c r="GH388" s="205"/>
      <c r="GI388" s="205"/>
      <c r="GJ388" s="205"/>
      <c r="GK388" s="205"/>
      <c r="GL388" s="205"/>
      <c r="GM388" s="205"/>
      <c r="GN388" s="205"/>
      <c r="GO388" s="205"/>
      <c r="GP388" s="205"/>
      <c r="GQ388" s="205"/>
      <c r="GR388" s="205"/>
      <c r="GS388" s="205"/>
      <c r="GT388" s="205"/>
      <c r="GU388" s="205"/>
      <c r="GV388" s="205"/>
      <c r="GW388" s="205"/>
      <c r="GX388" s="205"/>
      <c r="GY388" s="205"/>
      <c r="GZ388" s="205"/>
      <c r="HA388" s="205"/>
      <c r="HB388" s="205"/>
      <c r="HC388" s="205"/>
      <c r="HD388" s="205"/>
      <c r="HE388" s="205"/>
      <c r="HF388" s="205"/>
      <c r="HG388" s="205"/>
      <c r="HH388" s="205"/>
      <c r="HI388" s="205"/>
      <c r="HJ388" s="205"/>
      <c r="HK388" s="205"/>
      <c r="HL388" s="205"/>
      <c r="HM388" s="205"/>
      <c r="HN388" s="205"/>
      <c r="HO388" s="205"/>
      <c r="HP388" s="205"/>
      <c r="HQ388" s="205"/>
      <c r="HR388" s="205"/>
      <c r="HS388" s="205"/>
      <c r="HT388" s="205"/>
      <c r="HU388" s="205"/>
      <c r="HV388" s="205"/>
      <c r="HW388" s="205"/>
      <c r="HX388" s="205"/>
      <c r="HY388" s="205"/>
      <c r="HZ388" s="205"/>
      <c r="IA388" s="205"/>
      <c r="IB388" s="205"/>
      <c r="IC388" s="205"/>
      <c r="ID388" s="205"/>
      <c r="IE388" s="205"/>
      <c r="IF388" s="205"/>
      <c r="IG388" s="205"/>
      <c r="IH388" s="205"/>
      <c r="II388" s="205"/>
      <c r="IJ388" s="205"/>
      <c r="IK388" s="205"/>
      <c r="IL388" s="205"/>
      <c r="IM388" s="205"/>
      <c r="IN388" s="205"/>
      <c r="IO388" s="205"/>
      <c r="IP388" s="205"/>
      <c r="IQ388" s="205"/>
      <c r="IR388" s="205"/>
      <c r="IS388" s="205"/>
      <c r="IT388" s="205"/>
      <c r="IU388" s="205"/>
      <c r="IV388" s="205"/>
      <c r="IW388" s="205"/>
      <c r="IX388" s="205"/>
    </row>
    <row r="389" spans="1:258" s="203" customFormat="1" x14ac:dyDescent="0.2">
      <c r="A389" s="669"/>
      <c r="B389" s="670"/>
      <c r="C389" s="1390"/>
      <c r="D389" s="672"/>
      <c r="E389" s="1391"/>
      <c r="F389" s="1391"/>
      <c r="G389" s="1392"/>
      <c r="H389" s="1393">
        <v>24</v>
      </c>
      <c r="I389" s="1394"/>
      <c r="J389" s="1394"/>
      <c r="K389" s="1394"/>
      <c r="L389" s="1394"/>
      <c r="M389" s="1394"/>
      <c r="N389" s="1394"/>
      <c r="O389" s="1394"/>
      <c r="P389" s="1394"/>
      <c r="Q389" s="1394" t="s">
        <v>696</v>
      </c>
      <c r="R389" s="1395">
        <f>H389</f>
        <v>24</v>
      </c>
      <c r="S389" s="1396">
        <f>R389</f>
        <v>24</v>
      </c>
      <c r="T389" s="1397" t="s">
        <v>268</v>
      </c>
      <c r="U389" s="205"/>
      <c r="V389" s="685"/>
      <c r="W389" s="205"/>
      <c r="X389" s="205"/>
      <c r="Y389" s="205"/>
      <c r="Z389" s="205"/>
      <c r="AA389" s="205"/>
      <c r="AB389" s="205"/>
      <c r="AC389" s="205"/>
      <c r="AD389" s="205"/>
      <c r="AE389" s="205"/>
      <c r="AF389" s="205"/>
      <c r="AG389" s="205"/>
      <c r="AH389" s="205"/>
      <c r="AI389" s="205"/>
      <c r="AJ389" s="205"/>
      <c r="AK389" s="205"/>
      <c r="AL389" s="205"/>
      <c r="AM389" s="205"/>
      <c r="AN389" s="205"/>
      <c r="AO389" s="205"/>
      <c r="AP389" s="205"/>
      <c r="AQ389" s="205"/>
      <c r="AR389" s="205"/>
      <c r="AS389" s="205"/>
      <c r="AT389" s="205"/>
      <c r="AU389" s="205"/>
      <c r="AV389" s="205"/>
      <c r="AW389" s="205"/>
      <c r="AX389" s="205"/>
      <c r="AY389" s="205"/>
      <c r="AZ389" s="205"/>
      <c r="BA389" s="205"/>
      <c r="BB389" s="205"/>
      <c r="BC389" s="205"/>
      <c r="BD389" s="205"/>
      <c r="BE389" s="205"/>
      <c r="BF389" s="205"/>
      <c r="BG389" s="205"/>
      <c r="BH389" s="205"/>
      <c r="BI389" s="205"/>
      <c r="BJ389" s="205"/>
      <c r="BK389" s="205"/>
      <c r="BL389" s="205"/>
      <c r="BM389" s="205"/>
      <c r="BN389" s="205"/>
      <c r="BO389" s="205"/>
      <c r="BP389" s="205"/>
      <c r="BQ389" s="205"/>
      <c r="BR389" s="205"/>
      <c r="BS389" s="205"/>
      <c r="BT389" s="205"/>
      <c r="BU389" s="205"/>
      <c r="BV389" s="205"/>
      <c r="BW389" s="205"/>
      <c r="BX389" s="205"/>
      <c r="BY389" s="205"/>
      <c r="BZ389" s="205"/>
      <c r="CA389" s="205"/>
      <c r="CB389" s="205"/>
      <c r="CC389" s="205"/>
      <c r="CD389" s="205"/>
      <c r="CE389" s="205"/>
      <c r="CF389" s="205"/>
      <c r="CG389" s="205"/>
      <c r="CH389" s="205"/>
      <c r="CI389" s="205"/>
      <c r="CJ389" s="205"/>
      <c r="CK389" s="205"/>
      <c r="CL389" s="205"/>
      <c r="CM389" s="205"/>
      <c r="CN389" s="205"/>
      <c r="CO389" s="205"/>
      <c r="CP389" s="205"/>
      <c r="CQ389" s="205"/>
      <c r="CR389" s="205"/>
      <c r="CS389" s="205"/>
      <c r="CT389" s="205"/>
      <c r="CU389" s="205"/>
      <c r="CV389" s="205"/>
      <c r="CW389" s="205"/>
      <c r="CX389" s="205"/>
      <c r="CY389" s="205"/>
      <c r="CZ389" s="205"/>
      <c r="DA389" s="205"/>
      <c r="DB389" s="205"/>
      <c r="DC389" s="205"/>
      <c r="DD389" s="205"/>
      <c r="DE389" s="205"/>
      <c r="DF389" s="205"/>
      <c r="DG389" s="205"/>
      <c r="DH389" s="205"/>
      <c r="DI389" s="205"/>
      <c r="DJ389" s="205"/>
      <c r="DK389" s="205"/>
      <c r="DL389" s="205"/>
      <c r="DM389" s="205"/>
      <c r="DN389" s="205"/>
      <c r="DO389" s="205"/>
      <c r="DP389" s="205"/>
      <c r="DQ389" s="205"/>
      <c r="DR389" s="205"/>
      <c r="DS389" s="205"/>
      <c r="DT389" s="205"/>
      <c r="DU389" s="205"/>
      <c r="DV389" s="205"/>
      <c r="DW389" s="205"/>
      <c r="DX389" s="205"/>
      <c r="DY389" s="205"/>
      <c r="DZ389" s="205"/>
      <c r="EA389" s="205"/>
      <c r="EB389" s="205"/>
      <c r="EC389" s="205"/>
      <c r="ED389" s="205"/>
      <c r="EE389" s="205"/>
      <c r="EF389" s="205"/>
      <c r="EG389" s="205"/>
      <c r="EH389" s="205"/>
      <c r="EI389" s="205"/>
      <c r="EJ389" s="205"/>
      <c r="EK389" s="205"/>
      <c r="EL389" s="205"/>
      <c r="EM389" s="205"/>
      <c r="EN389" s="205"/>
      <c r="EO389" s="205"/>
      <c r="EP389" s="205"/>
      <c r="EQ389" s="205"/>
      <c r="ER389" s="205"/>
      <c r="ES389" s="205"/>
      <c r="ET389" s="205"/>
      <c r="EU389" s="205"/>
      <c r="EV389" s="205"/>
      <c r="EW389" s="205"/>
      <c r="EX389" s="205"/>
      <c r="EY389" s="205"/>
      <c r="EZ389" s="205"/>
      <c r="FA389" s="205"/>
      <c r="FB389" s="205"/>
      <c r="FC389" s="205"/>
      <c r="FD389" s="205"/>
      <c r="FE389" s="205"/>
      <c r="FF389" s="205"/>
      <c r="FG389" s="205"/>
      <c r="FH389" s="205"/>
      <c r="FI389" s="205"/>
      <c r="FJ389" s="205"/>
      <c r="FK389" s="205"/>
      <c r="FL389" s="205"/>
      <c r="FM389" s="205"/>
      <c r="FN389" s="205"/>
      <c r="FO389" s="205"/>
      <c r="FP389" s="205"/>
      <c r="FQ389" s="205"/>
      <c r="FR389" s="205"/>
      <c r="FS389" s="205"/>
      <c r="FT389" s="205"/>
      <c r="FU389" s="205"/>
      <c r="FV389" s="205"/>
      <c r="FW389" s="205"/>
      <c r="FX389" s="205"/>
      <c r="FY389" s="205"/>
      <c r="FZ389" s="205"/>
      <c r="GA389" s="205"/>
      <c r="GB389" s="205"/>
      <c r="GC389" s="205"/>
      <c r="GD389" s="205"/>
      <c r="GE389" s="205"/>
      <c r="GF389" s="205"/>
      <c r="GG389" s="205"/>
      <c r="GH389" s="205"/>
      <c r="GI389" s="205"/>
      <c r="GJ389" s="205"/>
      <c r="GK389" s="205"/>
      <c r="GL389" s="205"/>
      <c r="GM389" s="205"/>
      <c r="GN389" s="205"/>
      <c r="GO389" s="205"/>
      <c r="GP389" s="205"/>
      <c r="GQ389" s="205"/>
      <c r="GR389" s="205"/>
      <c r="GS389" s="205"/>
      <c r="GT389" s="205"/>
      <c r="GU389" s="205"/>
      <c r="GV389" s="205"/>
      <c r="GW389" s="205"/>
      <c r="GX389" s="205"/>
      <c r="GY389" s="205"/>
      <c r="GZ389" s="205"/>
      <c r="HA389" s="205"/>
      <c r="HB389" s="205"/>
      <c r="HC389" s="205"/>
      <c r="HD389" s="205"/>
      <c r="HE389" s="205"/>
      <c r="HF389" s="205"/>
      <c r="HG389" s="205"/>
      <c r="HH389" s="205"/>
      <c r="HI389" s="205"/>
      <c r="HJ389" s="205"/>
      <c r="HK389" s="205"/>
      <c r="HL389" s="205"/>
      <c r="HM389" s="205"/>
      <c r="HN389" s="205"/>
      <c r="HO389" s="205"/>
      <c r="HP389" s="205"/>
      <c r="HQ389" s="205"/>
      <c r="HR389" s="205"/>
      <c r="HS389" s="205"/>
      <c r="HT389" s="205"/>
      <c r="HU389" s="205"/>
      <c r="HV389" s="205"/>
      <c r="HW389" s="205"/>
      <c r="HX389" s="205"/>
      <c r="HY389" s="205"/>
      <c r="HZ389" s="205"/>
      <c r="IA389" s="205"/>
      <c r="IB389" s="205"/>
      <c r="IC389" s="205"/>
      <c r="ID389" s="205"/>
      <c r="IE389" s="205"/>
      <c r="IF389" s="205"/>
      <c r="IG389" s="205"/>
      <c r="IH389" s="205"/>
      <c r="II389" s="205"/>
      <c r="IJ389" s="205"/>
      <c r="IK389" s="205"/>
      <c r="IL389" s="205"/>
      <c r="IM389" s="205"/>
      <c r="IN389" s="205"/>
      <c r="IO389" s="205"/>
      <c r="IP389" s="205"/>
      <c r="IQ389" s="205"/>
      <c r="IR389" s="205"/>
      <c r="IS389" s="205"/>
      <c r="IT389" s="205"/>
      <c r="IU389" s="205"/>
      <c r="IV389" s="205"/>
      <c r="IW389" s="205"/>
      <c r="IX389" s="205"/>
    </row>
    <row r="390" spans="1:258" s="203" customFormat="1" x14ac:dyDescent="0.2">
      <c r="A390" s="669"/>
      <c r="B390" s="670"/>
      <c r="C390" s="1390"/>
      <c r="D390" s="672"/>
      <c r="E390" s="1391"/>
      <c r="F390" s="1391"/>
      <c r="G390" s="1392"/>
      <c r="H390" s="1393"/>
      <c r="I390" s="1394"/>
      <c r="J390" s="1394"/>
      <c r="K390" s="1394"/>
      <c r="L390" s="1394"/>
      <c r="M390" s="1394"/>
      <c r="N390" s="1394"/>
      <c r="O390" s="1394"/>
      <c r="P390" s="1394"/>
      <c r="Q390" s="1394"/>
      <c r="R390" s="1395"/>
      <c r="S390" s="1396"/>
      <c r="T390" s="1397"/>
      <c r="U390" s="205"/>
      <c r="V390" s="685"/>
      <c r="W390" s="205"/>
      <c r="X390" s="205"/>
      <c r="Y390" s="205"/>
      <c r="Z390" s="205"/>
      <c r="AA390" s="205"/>
      <c r="AB390" s="205"/>
      <c r="AC390" s="205"/>
      <c r="AD390" s="205"/>
      <c r="AE390" s="205"/>
      <c r="AF390" s="205"/>
      <c r="AG390" s="205"/>
      <c r="AH390" s="205"/>
      <c r="AI390" s="205"/>
      <c r="AJ390" s="205"/>
      <c r="AK390" s="205"/>
      <c r="AL390" s="205"/>
      <c r="AM390" s="205"/>
      <c r="AN390" s="205"/>
      <c r="AO390" s="205"/>
      <c r="AP390" s="205"/>
      <c r="AQ390" s="205"/>
      <c r="AR390" s="205"/>
      <c r="AS390" s="205"/>
      <c r="AT390" s="205"/>
      <c r="AU390" s="205"/>
      <c r="AV390" s="205"/>
      <c r="AW390" s="205"/>
      <c r="AX390" s="205"/>
      <c r="AY390" s="205"/>
      <c r="AZ390" s="205"/>
      <c r="BA390" s="205"/>
      <c r="BB390" s="205"/>
      <c r="BC390" s="205"/>
      <c r="BD390" s="205"/>
      <c r="BE390" s="205"/>
      <c r="BF390" s="205"/>
      <c r="BG390" s="205"/>
      <c r="BH390" s="205"/>
      <c r="BI390" s="205"/>
      <c r="BJ390" s="205"/>
      <c r="BK390" s="205"/>
      <c r="BL390" s="205"/>
      <c r="BM390" s="205"/>
      <c r="BN390" s="205"/>
      <c r="BO390" s="205"/>
      <c r="BP390" s="205"/>
      <c r="BQ390" s="205"/>
      <c r="BR390" s="205"/>
      <c r="BS390" s="205"/>
      <c r="BT390" s="205"/>
      <c r="BU390" s="205"/>
      <c r="BV390" s="205"/>
      <c r="BW390" s="205"/>
      <c r="BX390" s="205"/>
      <c r="BY390" s="205"/>
      <c r="BZ390" s="205"/>
      <c r="CA390" s="205"/>
      <c r="CB390" s="205"/>
      <c r="CC390" s="205"/>
      <c r="CD390" s="205"/>
      <c r="CE390" s="205"/>
      <c r="CF390" s="205"/>
      <c r="CG390" s="205"/>
      <c r="CH390" s="205"/>
      <c r="CI390" s="205"/>
      <c r="CJ390" s="205"/>
      <c r="CK390" s="205"/>
      <c r="CL390" s="205"/>
      <c r="CM390" s="205"/>
      <c r="CN390" s="205"/>
      <c r="CO390" s="205"/>
      <c r="CP390" s="205"/>
      <c r="CQ390" s="205"/>
      <c r="CR390" s="205"/>
      <c r="CS390" s="205"/>
      <c r="CT390" s="205"/>
      <c r="CU390" s="205"/>
      <c r="CV390" s="205"/>
      <c r="CW390" s="205"/>
      <c r="CX390" s="205"/>
      <c r="CY390" s="205"/>
      <c r="CZ390" s="205"/>
      <c r="DA390" s="205"/>
      <c r="DB390" s="205"/>
      <c r="DC390" s="205"/>
      <c r="DD390" s="205"/>
      <c r="DE390" s="205"/>
      <c r="DF390" s="205"/>
      <c r="DG390" s="205"/>
      <c r="DH390" s="205"/>
      <c r="DI390" s="205"/>
      <c r="DJ390" s="205"/>
      <c r="DK390" s="205"/>
      <c r="DL390" s="205"/>
      <c r="DM390" s="205"/>
      <c r="DN390" s="205"/>
      <c r="DO390" s="205"/>
      <c r="DP390" s="205"/>
      <c r="DQ390" s="205"/>
      <c r="DR390" s="205"/>
      <c r="DS390" s="205"/>
      <c r="DT390" s="205"/>
      <c r="DU390" s="205"/>
      <c r="DV390" s="205"/>
      <c r="DW390" s="205"/>
      <c r="DX390" s="205"/>
      <c r="DY390" s="205"/>
      <c r="DZ390" s="205"/>
      <c r="EA390" s="205"/>
      <c r="EB390" s="205"/>
      <c r="EC390" s="205"/>
      <c r="ED390" s="205"/>
      <c r="EE390" s="205"/>
      <c r="EF390" s="205"/>
      <c r="EG390" s="205"/>
      <c r="EH390" s="205"/>
      <c r="EI390" s="205"/>
      <c r="EJ390" s="205"/>
      <c r="EK390" s="205"/>
      <c r="EL390" s="205"/>
      <c r="EM390" s="205"/>
      <c r="EN390" s="205"/>
      <c r="EO390" s="205"/>
      <c r="EP390" s="205"/>
      <c r="EQ390" s="205"/>
      <c r="ER390" s="205"/>
      <c r="ES390" s="205"/>
      <c r="ET390" s="205"/>
      <c r="EU390" s="205"/>
      <c r="EV390" s="205"/>
      <c r="EW390" s="205"/>
      <c r="EX390" s="205"/>
      <c r="EY390" s="205"/>
      <c r="EZ390" s="205"/>
      <c r="FA390" s="205"/>
      <c r="FB390" s="205"/>
      <c r="FC390" s="205"/>
      <c r="FD390" s="205"/>
      <c r="FE390" s="205"/>
      <c r="FF390" s="205"/>
      <c r="FG390" s="205"/>
      <c r="FH390" s="205"/>
      <c r="FI390" s="205"/>
      <c r="FJ390" s="205"/>
      <c r="FK390" s="205"/>
      <c r="FL390" s="205"/>
      <c r="FM390" s="205"/>
      <c r="FN390" s="205"/>
      <c r="FO390" s="205"/>
      <c r="FP390" s="205"/>
      <c r="FQ390" s="205"/>
      <c r="FR390" s="205"/>
      <c r="FS390" s="205"/>
      <c r="FT390" s="205"/>
      <c r="FU390" s="205"/>
      <c r="FV390" s="205"/>
      <c r="FW390" s="205"/>
      <c r="FX390" s="205"/>
      <c r="FY390" s="205"/>
      <c r="FZ390" s="205"/>
      <c r="GA390" s="205"/>
      <c r="GB390" s="205"/>
      <c r="GC390" s="205"/>
      <c r="GD390" s="205"/>
      <c r="GE390" s="205"/>
      <c r="GF390" s="205"/>
      <c r="GG390" s="205"/>
      <c r="GH390" s="205"/>
      <c r="GI390" s="205"/>
      <c r="GJ390" s="205"/>
      <c r="GK390" s="205"/>
      <c r="GL390" s="205"/>
      <c r="GM390" s="205"/>
      <c r="GN390" s="205"/>
      <c r="GO390" s="205"/>
      <c r="GP390" s="205"/>
      <c r="GQ390" s="205"/>
      <c r="GR390" s="205"/>
      <c r="GS390" s="205"/>
      <c r="GT390" s="205"/>
      <c r="GU390" s="205"/>
      <c r="GV390" s="205"/>
      <c r="GW390" s="205"/>
      <c r="GX390" s="205"/>
      <c r="GY390" s="205"/>
      <c r="GZ390" s="205"/>
      <c r="HA390" s="205"/>
      <c r="HB390" s="205"/>
      <c r="HC390" s="205"/>
      <c r="HD390" s="205"/>
      <c r="HE390" s="205"/>
      <c r="HF390" s="205"/>
      <c r="HG390" s="205"/>
      <c r="HH390" s="205"/>
      <c r="HI390" s="205"/>
      <c r="HJ390" s="205"/>
      <c r="HK390" s="205"/>
      <c r="HL390" s="205"/>
      <c r="HM390" s="205"/>
      <c r="HN390" s="205"/>
      <c r="HO390" s="205"/>
      <c r="HP390" s="205"/>
      <c r="HQ390" s="205"/>
      <c r="HR390" s="205"/>
      <c r="HS390" s="205"/>
      <c r="HT390" s="205"/>
      <c r="HU390" s="205"/>
      <c r="HV390" s="205"/>
      <c r="HW390" s="205"/>
      <c r="HX390" s="205"/>
      <c r="HY390" s="205"/>
      <c r="HZ390" s="205"/>
      <c r="IA390" s="205"/>
      <c r="IB390" s="205"/>
      <c r="IC390" s="205"/>
      <c r="ID390" s="205"/>
      <c r="IE390" s="205"/>
      <c r="IF390" s="205"/>
      <c r="IG390" s="205"/>
      <c r="IH390" s="205"/>
      <c r="II390" s="205"/>
      <c r="IJ390" s="205"/>
      <c r="IK390" s="205"/>
      <c r="IL390" s="205"/>
      <c r="IM390" s="205"/>
      <c r="IN390" s="205"/>
      <c r="IO390" s="205"/>
      <c r="IP390" s="205"/>
      <c r="IQ390" s="205"/>
      <c r="IR390" s="205"/>
      <c r="IS390" s="205"/>
      <c r="IT390" s="205"/>
      <c r="IU390" s="205"/>
      <c r="IV390" s="205"/>
      <c r="IW390" s="205"/>
      <c r="IX390" s="205"/>
    </row>
    <row r="391" spans="1:258" s="203" customFormat="1" x14ac:dyDescent="0.2">
      <c r="A391" s="669"/>
      <c r="B391" s="670">
        <f>RAB!B122</f>
        <v>3</v>
      </c>
      <c r="C391" s="686" t="str">
        <f>RAB!D122</f>
        <v>Memasang Instalasi titik stop kontak (kabel 3x2,5 mm)</v>
      </c>
      <c r="D391" s="672"/>
      <c r="E391" s="673"/>
      <c r="F391" s="673"/>
      <c r="G391" s="674"/>
      <c r="H391" s="675"/>
      <c r="I391" s="676"/>
      <c r="J391" s="676"/>
      <c r="K391" s="676"/>
      <c r="L391" s="676"/>
      <c r="M391" s="676"/>
      <c r="N391" s="676"/>
      <c r="O391" s="676"/>
      <c r="P391" s="676"/>
      <c r="Q391" s="676"/>
      <c r="R391" s="677"/>
      <c r="S391" s="678"/>
      <c r="T391" s="684"/>
      <c r="U391" s="205"/>
      <c r="V391" s="685"/>
      <c r="W391" s="205"/>
      <c r="X391" s="205"/>
      <c r="Y391" s="205"/>
      <c r="Z391" s="205"/>
      <c r="AA391" s="205"/>
      <c r="AB391" s="205"/>
      <c r="AC391" s="205"/>
      <c r="AD391" s="205"/>
      <c r="AE391" s="205"/>
      <c r="AF391" s="205"/>
      <c r="AG391" s="205"/>
      <c r="AH391" s="205"/>
      <c r="AI391" s="205"/>
      <c r="AJ391" s="205"/>
      <c r="AK391" s="205"/>
      <c r="AL391" s="205"/>
      <c r="AM391" s="205"/>
      <c r="AN391" s="205"/>
      <c r="AO391" s="205"/>
      <c r="AP391" s="205"/>
      <c r="AQ391" s="205"/>
      <c r="AR391" s="205"/>
      <c r="AS391" s="205"/>
      <c r="AT391" s="205"/>
      <c r="AU391" s="205"/>
      <c r="AV391" s="205"/>
      <c r="AW391" s="205"/>
      <c r="AX391" s="205"/>
      <c r="AY391" s="205"/>
      <c r="AZ391" s="205"/>
      <c r="BA391" s="205"/>
      <c r="BB391" s="205"/>
      <c r="BC391" s="205"/>
      <c r="BD391" s="205"/>
      <c r="BE391" s="205"/>
      <c r="BF391" s="205"/>
      <c r="BG391" s="205"/>
      <c r="BH391" s="205"/>
      <c r="BI391" s="205"/>
      <c r="BJ391" s="205"/>
      <c r="BK391" s="205"/>
      <c r="BL391" s="205"/>
      <c r="BM391" s="205"/>
      <c r="BN391" s="205"/>
      <c r="BO391" s="205"/>
      <c r="BP391" s="205"/>
      <c r="BQ391" s="205"/>
      <c r="BR391" s="205"/>
      <c r="BS391" s="205"/>
      <c r="BT391" s="205"/>
      <c r="BU391" s="205"/>
      <c r="BV391" s="205"/>
      <c r="BW391" s="205"/>
      <c r="BX391" s="205"/>
      <c r="BY391" s="205"/>
      <c r="BZ391" s="205"/>
      <c r="CA391" s="205"/>
      <c r="CB391" s="205"/>
      <c r="CC391" s="205"/>
      <c r="CD391" s="205"/>
      <c r="CE391" s="205"/>
      <c r="CF391" s="205"/>
      <c r="CG391" s="205"/>
      <c r="CH391" s="205"/>
      <c r="CI391" s="205"/>
      <c r="CJ391" s="205"/>
      <c r="CK391" s="205"/>
      <c r="CL391" s="205"/>
      <c r="CM391" s="205"/>
      <c r="CN391" s="205"/>
      <c r="CO391" s="205"/>
      <c r="CP391" s="205"/>
      <c r="CQ391" s="205"/>
      <c r="CR391" s="205"/>
      <c r="CS391" s="205"/>
      <c r="CT391" s="205"/>
      <c r="CU391" s="205"/>
      <c r="CV391" s="205"/>
      <c r="CW391" s="205"/>
      <c r="CX391" s="205"/>
      <c r="CY391" s="205"/>
      <c r="CZ391" s="205"/>
      <c r="DA391" s="205"/>
      <c r="DB391" s="205"/>
      <c r="DC391" s="205"/>
      <c r="DD391" s="205"/>
      <c r="DE391" s="205"/>
      <c r="DF391" s="205"/>
      <c r="DG391" s="205"/>
      <c r="DH391" s="205"/>
      <c r="DI391" s="205"/>
      <c r="DJ391" s="205"/>
      <c r="DK391" s="205"/>
      <c r="DL391" s="205"/>
      <c r="DM391" s="205"/>
      <c r="DN391" s="205"/>
      <c r="DO391" s="205"/>
      <c r="DP391" s="205"/>
      <c r="DQ391" s="205"/>
      <c r="DR391" s="205"/>
      <c r="DS391" s="205"/>
      <c r="DT391" s="205"/>
      <c r="DU391" s="205"/>
      <c r="DV391" s="205"/>
      <c r="DW391" s="205"/>
      <c r="DX391" s="205"/>
      <c r="DY391" s="205"/>
      <c r="DZ391" s="205"/>
      <c r="EA391" s="205"/>
      <c r="EB391" s="205"/>
      <c r="EC391" s="205"/>
      <c r="ED391" s="205"/>
      <c r="EE391" s="205"/>
      <c r="EF391" s="205"/>
      <c r="EG391" s="205"/>
      <c r="EH391" s="205"/>
      <c r="EI391" s="205"/>
      <c r="EJ391" s="205"/>
      <c r="EK391" s="205"/>
      <c r="EL391" s="205"/>
      <c r="EM391" s="205"/>
      <c r="EN391" s="205"/>
      <c r="EO391" s="205"/>
      <c r="EP391" s="205"/>
      <c r="EQ391" s="205"/>
      <c r="ER391" s="205"/>
      <c r="ES391" s="205"/>
      <c r="ET391" s="205"/>
      <c r="EU391" s="205"/>
      <c r="EV391" s="205"/>
      <c r="EW391" s="205"/>
      <c r="EX391" s="205"/>
      <c r="EY391" s="205"/>
      <c r="EZ391" s="205"/>
      <c r="FA391" s="205"/>
      <c r="FB391" s="205"/>
      <c r="FC391" s="205"/>
      <c r="FD391" s="205"/>
      <c r="FE391" s="205"/>
      <c r="FF391" s="205"/>
      <c r="FG391" s="205"/>
      <c r="FH391" s="205"/>
      <c r="FI391" s="205"/>
      <c r="FJ391" s="205"/>
      <c r="FK391" s="205"/>
      <c r="FL391" s="205"/>
      <c r="FM391" s="205"/>
      <c r="FN391" s="205"/>
      <c r="FO391" s="205"/>
      <c r="FP391" s="205"/>
      <c r="FQ391" s="205"/>
      <c r="FR391" s="205"/>
      <c r="FS391" s="205"/>
      <c r="FT391" s="205"/>
      <c r="FU391" s="205"/>
      <c r="FV391" s="205"/>
      <c r="FW391" s="205"/>
      <c r="FX391" s="205"/>
      <c r="FY391" s="205"/>
      <c r="FZ391" s="205"/>
      <c r="GA391" s="205"/>
      <c r="GB391" s="205"/>
      <c r="GC391" s="205"/>
      <c r="GD391" s="205"/>
      <c r="GE391" s="205"/>
      <c r="GF391" s="205"/>
      <c r="GG391" s="205"/>
      <c r="GH391" s="205"/>
      <c r="GI391" s="205"/>
      <c r="GJ391" s="205"/>
      <c r="GK391" s="205"/>
      <c r="GL391" s="205"/>
      <c r="GM391" s="205"/>
      <c r="GN391" s="205"/>
      <c r="GO391" s="205"/>
      <c r="GP391" s="205"/>
      <c r="GQ391" s="205"/>
      <c r="GR391" s="205"/>
      <c r="GS391" s="205"/>
      <c r="GT391" s="205"/>
      <c r="GU391" s="205"/>
      <c r="GV391" s="205"/>
      <c r="GW391" s="205"/>
      <c r="GX391" s="205"/>
      <c r="GY391" s="205"/>
      <c r="GZ391" s="205"/>
      <c r="HA391" s="205"/>
      <c r="HB391" s="205"/>
      <c r="HC391" s="205"/>
      <c r="HD391" s="205"/>
      <c r="HE391" s="205"/>
      <c r="HF391" s="205"/>
      <c r="HG391" s="205"/>
      <c r="HH391" s="205"/>
      <c r="HI391" s="205"/>
      <c r="HJ391" s="205"/>
      <c r="HK391" s="205"/>
      <c r="HL391" s="205"/>
      <c r="HM391" s="205"/>
      <c r="HN391" s="205"/>
      <c r="HO391" s="205"/>
      <c r="HP391" s="205"/>
      <c r="HQ391" s="205"/>
      <c r="HR391" s="205"/>
      <c r="HS391" s="205"/>
      <c r="HT391" s="205"/>
      <c r="HU391" s="205"/>
      <c r="HV391" s="205"/>
      <c r="HW391" s="205"/>
      <c r="HX391" s="205"/>
      <c r="HY391" s="205"/>
      <c r="HZ391" s="205"/>
      <c r="IA391" s="205"/>
      <c r="IB391" s="205"/>
      <c r="IC391" s="205"/>
      <c r="ID391" s="205"/>
      <c r="IE391" s="205"/>
      <c r="IF391" s="205"/>
      <c r="IG391" s="205"/>
      <c r="IH391" s="205"/>
      <c r="II391" s="205"/>
      <c r="IJ391" s="205"/>
      <c r="IK391" s="205"/>
      <c r="IL391" s="205"/>
      <c r="IM391" s="205"/>
      <c r="IN391" s="205"/>
      <c r="IO391" s="205"/>
      <c r="IP391" s="205"/>
      <c r="IQ391" s="205"/>
      <c r="IR391" s="205"/>
      <c r="IS391" s="205"/>
      <c r="IT391" s="205"/>
      <c r="IU391" s="205"/>
      <c r="IV391" s="205"/>
      <c r="IW391" s="205"/>
      <c r="IX391" s="205"/>
    </row>
    <row r="392" spans="1:258" s="203" customFormat="1" x14ac:dyDescent="0.2">
      <c r="A392" s="669"/>
      <c r="B392" s="670"/>
      <c r="C392" s="1390"/>
      <c r="D392" s="672"/>
      <c r="E392" s="1391"/>
      <c r="F392" s="1391"/>
      <c r="G392" s="1392"/>
      <c r="H392" s="1393">
        <f>20+5</f>
        <v>25</v>
      </c>
      <c r="I392" s="1394"/>
      <c r="J392" s="1394"/>
      <c r="K392" s="1394"/>
      <c r="L392" s="1394"/>
      <c r="M392" s="1394"/>
      <c r="N392" s="1394"/>
      <c r="O392" s="1394"/>
      <c r="P392" s="1394"/>
      <c r="Q392" s="1394" t="s">
        <v>696</v>
      </c>
      <c r="R392" s="1395">
        <f>H392</f>
        <v>25</v>
      </c>
      <c r="S392" s="1396">
        <f>R392</f>
        <v>25</v>
      </c>
      <c r="T392" s="1397" t="s">
        <v>268</v>
      </c>
      <c r="U392" s="205"/>
      <c r="V392" s="685"/>
      <c r="W392" s="205"/>
      <c r="X392" s="205"/>
      <c r="Y392" s="205"/>
      <c r="Z392" s="205"/>
      <c r="AA392" s="205"/>
      <c r="AB392" s="205"/>
      <c r="AC392" s="205"/>
      <c r="AD392" s="205"/>
      <c r="AE392" s="205"/>
      <c r="AF392" s="205"/>
      <c r="AG392" s="205"/>
      <c r="AH392" s="205"/>
      <c r="AI392" s="205"/>
      <c r="AJ392" s="205"/>
      <c r="AK392" s="205"/>
      <c r="AL392" s="205"/>
      <c r="AM392" s="205"/>
      <c r="AN392" s="205"/>
      <c r="AO392" s="205"/>
      <c r="AP392" s="205"/>
      <c r="AQ392" s="205"/>
      <c r="AR392" s="205"/>
      <c r="AS392" s="205"/>
      <c r="AT392" s="205"/>
      <c r="AU392" s="205"/>
      <c r="AV392" s="205"/>
      <c r="AW392" s="205"/>
      <c r="AX392" s="205"/>
      <c r="AY392" s="205"/>
      <c r="AZ392" s="205"/>
      <c r="BA392" s="205"/>
      <c r="BB392" s="205"/>
      <c r="BC392" s="205"/>
      <c r="BD392" s="205"/>
      <c r="BE392" s="205"/>
      <c r="BF392" s="205"/>
      <c r="BG392" s="205"/>
      <c r="BH392" s="205"/>
      <c r="BI392" s="205"/>
      <c r="BJ392" s="205"/>
      <c r="BK392" s="205"/>
      <c r="BL392" s="205"/>
      <c r="BM392" s="205"/>
      <c r="BN392" s="205"/>
      <c r="BO392" s="205"/>
      <c r="BP392" s="205"/>
      <c r="BQ392" s="205"/>
      <c r="BR392" s="205"/>
      <c r="BS392" s="205"/>
      <c r="BT392" s="205"/>
      <c r="BU392" s="205"/>
      <c r="BV392" s="205"/>
      <c r="BW392" s="205"/>
      <c r="BX392" s="205"/>
      <c r="BY392" s="205"/>
      <c r="BZ392" s="205"/>
      <c r="CA392" s="205"/>
      <c r="CB392" s="205"/>
      <c r="CC392" s="205"/>
      <c r="CD392" s="205"/>
      <c r="CE392" s="205"/>
      <c r="CF392" s="205"/>
      <c r="CG392" s="205"/>
      <c r="CH392" s="205"/>
      <c r="CI392" s="205"/>
      <c r="CJ392" s="205"/>
      <c r="CK392" s="205"/>
      <c r="CL392" s="205"/>
      <c r="CM392" s="205"/>
      <c r="CN392" s="205"/>
      <c r="CO392" s="205"/>
      <c r="CP392" s="205"/>
      <c r="CQ392" s="205"/>
      <c r="CR392" s="205"/>
      <c r="CS392" s="205"/>
      <c r="CT392" s="205"/>
      <c r="CU392" s="205"/>
      <c r="CV392" s="205"/>
      <c r="CW392" s="205"/>
      <c r="CX392" s="205"/>
      <c r="CY392" s="205"/>
      <c r="CZ392" s="205"/>
      <c r="DA392" s="205"/>
      <c r="DB392" s="205"/>
      <c r="DC392" s="205"/>
      <c r="DD392" s="205"/>
      <c r="DE392" s="205"/>
      <c r="DF392" s="205"/>
      <c r="DG392" s="205"/>
      <c r="DH392" s="205"/>
      <c r="DI392" s="205"/>
      <c r="DJ392" s="205"/>
      <c r="DK392" s="205"/>
      <c r="DL392" s="205"/>
      <c r="DM392" s="205"/>
      <c r="DN392" s="205"/>
      <c r="DO392" s="205"/>
      <c r="DP392" s="205"/>
      <c r="DQ392" s="205"/>
      <c r="DR392" s="205"/>
      <c r="DS392" s="205"/>
      <c r="DT392" s="205"/>
      <c r="DU392" s="205"/>
      <c r="DV392" s="205"/>
      <c r="DW392" s="205"/>
      <c r="DX392" s="205"/>
      <c r="DY392" s="205"/>
      <c r="DZ392" s="205"/>
      <c r="EA392" s="205"/>
      <c r="EB392" s="205"/>
      <c r="EC392" s="205"/>
      <c r="ED392" s="205"/>
      <c r="EE392" s="205"/>
      <c r="EF392" s="205"/>
      <c r="EG392" s="205"/>
      <c r="EH392" s="205"/>
      <c r="EI392" s="205"/>
      <c r="EJ392" s="205"/>
      <c r="EK392" s="205"/>
      <c r="EL392" s="205"/>
      <c r="EM392" s="205"/>
      <c r="EN392" s="205"/>
      <c r="EO392" s="205"/>
      <c r="EP392" s="205"/>
      <c r="EQ392" s="205"/>
      <c r="ER392" s="205"/>
      <c r="ES392" s="205"/>
      <c r="ET392" s="205"/>
      <c r="EU392" s="205"/>
      <c r="EV392" s="205"/>
      <c r="EW392" s="205"/>
      <c r="EX392" s="205"/>
      <c r="EY392" s="205"/>
      <c r="EZ392" s="205"/>
      <c r="FA392" s="205"/>
      <c r="FB392" s="205"/>
      <c r="FC392" s="205"/>
      <c r="FD392" s="205"/>
      <c r="FE392" s="205"/>
      <c r="FF392" s="205"/>
      <c r="FG392" s="205"/>
      <c r="FH392" s="205"/>
      <c r="FI392" s="205"/>
      <c r="FJ392" s="205"/>
      <c r="FK392" s="205"/>
      <c r="FL392" s="205"/>
      <c r="FM392" s="205"/>
      <c r="FN392" s="205"/>
      <c r="FO392" s="205"/>
      <c r="FP392" s="205"/>
      <c r="FQ392" s="205"/>
      <c r="FR392" s="205"/>
      <c r="FS392" s="205"/>
      <c r="FT392" s="205"/>
      <c r="FU392" s="205"/>
      <c r="FV392" s="205"/>
      <c r="FW392" s="205"/>
      <c r="FX392" s="205"/>
      <c r="FY392" s="205"/>
      <c r="FZ392" s="205"/>
      <c r="GA392" s="205"/>
      <c r="GB392" s="205"/>
      <c r="GC392" s="205"/>
      <c r="GD392" s="205"/>
      <c r="GE392" s="205"/>
      <c r="GF392" s="205"/>
      <c r="GG392" s="205"/>
      <c r="GH392" s="205"/>
      <c r="GI392" s="205"/>
      <c r="GJ392" s="205"/>
      <c r="GK392" s="205"/>
      <c r="GL392" s="205"/>
      <c r="GM392" s="205"/>
      <c r="GN392" s="205"/>
      <c r="GO392" s="205"/>
      <c r="GP392" s="205"/>
      <c r="GQ392" s="205"/>
      <c r="GR392" s="205"/>
      <c r="GS392" s="205"/>
      <c r="GT392" s="205"/>
      <c r="GU392" s="205"/>
      <c r="GV392" s="205"/>
      <c r="GW392" s="205"/>
      <c r="GX392" s="205"/>
      <c r="GY392" s="205"/>
      <c r="GZ392" s="205"/>
      <c r="HA392" s="205"/>
      <c r="HB392" s="205"/>
      <c r="HC392" s="205"/>
      <c r="HD392" s="205"/>
      <c r="HE392" s="205"/>
      <c r="HF392" s="205"/>
      <c r="HG392" s="205"/>
      <c r="HH392" s="205"/>
      <c r="HI392" s="205"/>
      <c r="HJ392" s="205"/>
      <c r="HK392" s="205"/>
      <c r="HL392" s="205"/>
      <c r="HM392" s="205"/>
      <c r="HN392" s="205"/>
      <c r="HO392" s="205"/>
      <c r="HP392" s="205"/>
      <c r="HQ392" s="205"/>
      <c r="HR392" s="205"/>
      <c r="HS392" s="205"/>
      <c r="HT392" s="205"/>
      <c r="HU392" s="205"/>
      <c r="HV392" s="205"/>
      <c r="HW392" s="205"/>
      <c r="HX392" s="205"/>
      <c r="HY392" s="205"/>
      <c r="HZ392" s="205"/>
      <c r="IA392" s="205"/>
      <c r="IB392" s="205"/>
      <c r="IC392" s="205"/>
      <c r="ID392" s="205"/>
      <c r="IE392" s="205"/>
      <c r="IF392" s="205"/>
      <c r="IG392" s="205"/>
      <c r="IH392" s="205"/>
      <c r="II392" s="205"/>
      <c r="IJ392" s="205"/>
      <c r="IK392" s="205"/>
      <c r="IL392" s="205"/>
      <c r="IM392" s="205"/>
      <c r="IN392" s="205"/>
      <c r="IO392" s="205"/>
      <c r="IP392" s="205"/>
      <c r="IQ392" s="205"/>
      <c r="IR392" s="205"/>
      <c r="IS392" s="205"/>
      <c r="IT392" s="205"/>
      <c r="IU392" s="205"/>
      <c r="IV392" s="205"/>
      <c r="IW392" s="205"/>
      <c r="IX392" s="205"/>
    </row>
    <row r="393" spans="1:258" s="203" customFormat="1" x14ac:dyDescent="0.2">
      <c r="A393" s="669"/>
      <c r="B393" s="670"/>
      <c r="C393" s="1390"/>
      <c r="D393" s="672"/>
      <c r="E393" s="1391"/>
      <c r="F393" s="1391"/>
      <c r="G393" s="1392"/>
      <c r="H393" s="1393"/>
      <c r="I393" s="1394"/>
      <c r="J393" s="1394"/>
      <c r="K393" s="1394"/>
      <c r="L393" s="1394"/>
      <c r="M393" s="1394"/>
      <c r="N393" s="1394"/>
      <c r="O393" s="1394"/>
      <c r="P393" s="1394"/>
      <c r="Q393" s="1394"/>
      <c r="R393" s="1395"/>
      <c r="S393" s="1396"/>
      <c r="T393" s="1397"/>
      <c r="U393" s="205"/>
      <c r="V393" s="685"/>
      <c r="W393" s="205"/>
      <c r="X393" s="205"/>
      <c r="Y393" s="205"/>
      <c r="Z393" s="205"/>
      <c r="AA393" s="205"/>
      <c r="AB393" s="205"/>
      <c r="AC393" s="205"/>
      <c r="AD393" s="205"/>
      <c r="AE393" s="205"/>
      <c r="AF393" s="205"/>
      <c r="AG393" s="205"/>
      <c r="AH393" s="205"/>
      <c r="AI393" s="205"/>
      <c r="AJ393" s="205"/>
      <c r="AK393" s="205"/>
      <c r="AL393" s="205"/>
      <c r="AM393" s="205"/>
      <c r="AN393" s="205"/>
      <c r="AO393" s="205"/>
      <c r="AP393" s="205"/>
      <c r="AQ393" s="205"/>
      <c r="AR393" s="205"/>
      <c r="AS393" s="205"/>
      <c r="AT393" s="205"/>
      <c r="AU393" s="205"/>
      <c r="AV393" s="205"/>
      <c r="AW393" s="205"/>
      <c r="AX393" s="205"/>
      <c r="AY393" s="205"/>
      <c r="AZ393" s="205"/>
      <c r="BA393" s="205"/>
      <c r="BB393" s="205"/>
      <c r="BC393" s="205"/>
      <c r="BD393" s="205"/>
      <c r="BE393" s="205"/>
      <c r="BF393" s="205"/>
      <c r="BG393" s="205"/>
      <c r="BH393" s="205"/>
      <c r="BI393" s="205"/>
      <c r="BJ393" s="205"/>
      <c r="BK393" s="205"/>
      <c r="BL393" s="205"/>
      <c r="BM393" s="205"/>
      <c r="BN393" s="205"/>
      <c r="BO393" s="205"/>
      <c r="BP393" s="205"/>
      <c r="BQ393" s="205"/>
      <c r="BR393" s="205"/>
      <c r="BS393" s="205"/>
      <c r="BT393" s="205"/>
      <c r="BU393" s="205"/>
      <c r="BV393" s="205"/>
      <c r="BW393" s="205"/>
      <c r="BX393" s="205"/>
      <c r="BY393" s="205"/>
      <c r="BZ393" s="205"/>
      <c r="CA393" s="205"/>
      <c r="CB393" s="205"/>
      <c r="CC393" s="205"/>
      <c r="CD393" s="205"/>
      <c r="CE393" s="205"/>
      <c r="CF393" s="205"/>
      <c r="CG393" s="205"/>
      <c r="CH393" s="205"/>
      <c r="CI393" s="205"/>
      <c r="CJ393" s="205"/>
      <c r="CK393" s="205"/>
      <c r="CL393" s="205"/>
      <c r="CM393" s="205"/>
      <c r="CN393" s="205"/>
      <c r="CO393" s="205"/>
      <c r="CP393" s="205"/>
      <c r="CQ393" s="205"/>
      <c r="CR393" s="205"/>
      <c r="CS393" s="205"/>
      <c r="CT393" s="205"/>
      <c r="CU393" s="205"/>
      <c r="CV393" s="205"/>
      <c r="CW393" s="205"/>
      <c r="CX393" s="205"/>
      <c r="CY393" s="205"/>
      <c r="CZ393" s="205"/>
      <c r="DA393" s="205"/>
      <c r="DB393" s="205"/>
      <c r="DC393" s="205"/>
      <c r="DD393" s="205"/>
      <c r="DE393" s="205"/>
      <c r="DF393" s="205"/>
      <c r="DG393" s="205"/>
      <c r="DH393" s="205"/>
      <c r="DI393" s="205"/>
      <c r="DJ393" s="205"/>
      <c r="DK393" s="205"/>
      <c r="DL393" s="205"/>
      <c r="DM393" s="205"/>
      <c r="DN393" s="205"/>
      <c r="DO393" s="205"/>
      <c r="DP393" s="205"/>
      <c r="DQ393" s="205"/>
      <c r="DR393" s="205"/>
      <c r="DS393" s="205"/>
      <c r="DT393" s="205"/>
      <c r="DU393" s="205"/>
      <c r="DV393" s="205"/>
      <c r="DW393" s="205"/>
      <c r="DX393" s="205"/>
      <c r="DY393" s="205"/>
      <c r="DZ393" s="205"/>
      <c r="EA393" s="205"/>
      <c r="EB393" s="205"/>
      <c r="EC393" s="205"/>
      <c r="ED393" s="205"/>
      <c r="EE393" s="205"/>
      <c r="EF393" s="205"/>
      <c r="EG393" s="205"/>
      <c r="EH393" s="205"/>
      <c r="EI393" s="205"/>
      <c r="EJ393" s="205"/>
      <c r="EK393" s="205"/>
      <c r="EL393" s="205"/>
      <c r="EM393" s="205"/>
      <c r="EN393" s="205"/>
      <c r="EO393" s="205"/>
      <c r="EP393" s="205"/>
      <c r="EQ393" s="205"/>
      <c r="ER393" s="205"/>
      <c r="ES393" s="205"/>
      <c r="ET393" s="205"/>
      <c r="EU393" s="205"/>
      <c r="EV393" s="205"/>
      <c r="EW393" s="205"/>
      <c r="EX393" s="205"/>
      <c r="EY393" s="205"/>
      <c r="EZ393" s="205"/>
      <c r="FA393" s="205"/>
      <c r="FB393" s="205"/>
      <c r="FC393" s="205"/>
      <c r="FD393" s="205"/>
      <c r="FE393" s="205"/>
      <c r="FF393" s="205"/>
      <c r="FG393" s="205"/>
      <c r="FH393" s="205"/>
      <c r="FI393" s="205"/>
      <c r="FJ393" s="205"/>
      <c r="FK393" s="205"/>
      <c r="FL393" s="205"/>
      <c r="FM393" s="205"/>
      <c r="FN393" s="205"/>
      <c r="FO393" s="205"/>
      <c r="FP393" s="205"/>
      <c r="FQ393" s="205"/>
      <c r="FR393" s="205"/>
      <c r="FS393" s="205"/>
      <c r="FT393" s="205"/>
      <c r="FU393" s="205"/>
      <c r="FV393" s="205"/>
      <c r="FW393" s="205"/>
      <c r="FX393" s="205"/>
      <c r="FY393" s="205"/>
      <c r="FZ393" s="205"/>
      <c r="GA393" s="205"/>
      <c r="GB393" s="205"/>
      <c r="GC393" s="205"/>
      <c r="GD393" s="205"/>
      <c r="GE393" s="205"/>
      <c r="GF393" s="205"/>
      <c r="GG393" s="205"/>
      <c r="GH393" s="205"/>
      <c r="GI393" s="205"/>
      <c r="GJ393" s="205"/>
      <c r="GK393" s="205"/>
      <c r="GL393" s="205"/>
      <c r="GM393" s="205"/>
      <c r="GN393" s="205"/>
      <c r="GO393" s="205"/>
      <c r="GP393" s="205"/>
      <c r="GQ393" s="205"/>
      <c r="GR393" s="205"/>
      <c r="GS393" s="205"/>
      <c r="GT393" s="205"/>
      <c r="GU393" s="205"/>
      <c r="GV393" s="205"/>
      <c r="GW393" s="205"/>
      <c r="GX393" s="205"/>
      <c r="GY393" s="205"/>
      <c r="GZ393" s="205"/>
      <c r="HA393" s="205"/>
      <c r="HB393" s="205"/>
      <c r="HC393" s="205"/>
      <c r="HD393" s="205"/>
      <c r="HE393" s="205"/>
      <c r="HF393" s="205"/>
      <c r="HG393" s="205"/>
      <c r="HH393" s="205"/>
      <c r="HI393" s="205"/>
      <c r="HJ393" s="205"/>
      <c r="HK393" s="205"/>
      <c r="HL393" s="205"/>
      <c r="HM393" s="205"/>
      <c r="HN393" s="205"/>
      <c r="HO393" s="205"/>
      <c r="HP393" s="205"/>
      <c r="HQ393" s="205"/>
      <c r="HR393" s="205"/>
      <c r="HS393" s="205"/>
      <c r="HT393" s="205"/>
      <c r="HU393" s="205"/>
      <c r="HV393" s="205"/>
      <c r="HW393" s="205"/>
      <c r="HX393" s="205"/>
      <c r="HY393" s="205"/>
      <c r="HZ393" s="205"/>
      <c r="IA393" s="205"/>
      <c r="IB393" s="205"/>
      <c r="IC393" s="205"/>
      <c r="ID393" s="205"/>
      <c r="IE393" s="205"/>
      <c r="IF393" s="205"/>
      <c r="IG393" s="205"/>
      <c r="IH393" s="205"/>
      <c r="II393" s="205"/>
      <c r="IJ393" s="205"/>
      <c r="IK393" s="205"/>
      <c r="IL393" s="205"/>
      <c r="IM393" s="205"/>
      <c r="IN393" s="205"/>
      <c r="IO393" s="205"/>
      <c r="IP393" s="205"/>
      <c r="IQ393" s="205"/>
      <c r="IR393" s="205"/>
      <c r="IS393" s="205"/>
      <c r="IT393" s="205"/>
      <c r="IU393" s="205"/>
      <c r="IV393" s="205"/>
      <c r="IW393" s="205"/>
      <c r="IX393" s="205"/>
    </row>
    <row r="394" spans="1:258" s="203" customFormat="1" x14ac:dyDescent="0.2">
      <c r="A394" s="669"/>
      <c r="B394" s="670">
        <f>RAB!B123</f>
        <v>4</v>
      </c>
      <c r="C394" s="686" t="e">
        <f>RAB!D123</f>
        <v>#REF!</v>
      </c>
      <c r="D394" s="672"/>
      <c r="E394" s="673"/>
      <c r="F394" s="673"/>
      <c r="G394" s="674"/>
      <c r="H394" s="675">
        <f>H386-H395</f>
        <v>19</v>
      </c>
      <c r="I394" s="676"/>
      <c r="J394" s="676"/>
      <c r="K394" s="676"/>
      <c r="L394" s="676"/>
      <c r="M394" s="676"/>
      <c r="N394" s="676"/>
      <c r="O394" s="676"/>
      <c r="P394" s="676"/>
      <c r="Q394" s="1394" t="s">
        <v>696</v>
      </c>
      <c r="R394" s="1395">
        <f t="shared" ref="R394:R395" si="161">H394</f>
        <v>19</v>
      </c>
      <c r="S394" s="1396">
        <f t="shared" ref="S394:S401" si="162">R394</f>
        <v>19</v>
      </c>
      <c r="T394" s="1397" t="s">
        <v>268</v>
      </c>
      <c r="U394" s="205"/>
      <c r="V394" s="685"/>
      <c r="W394" s="205"/>
      <c r="X394" s="205"/>
      <c r="Y394" s="205"/>
      <c r="Z394" s="205"/>
      <c r="AA394" s="205"/>
      <c r="AB394" s="205"/>
      <c r="AC394" s="205"/>
      <c r="AD394" s="205"/>
      <c r="AE394" s="205"/>
      <c r="AF394" s="205"/>
      <c r="AG394" s="205"/>
      <c r="AH394" s="205"/>
      <c r="AI394" s="205"/>
      <c r="AJ394" s="205"/>
      <c r="AK394" s="205"/>
      <c r="AL394" s="205"/>
      <c r="AM394" s="205"/>
      <c r="AN394" s="205"/>
      <c r="AO394" s="205"/>
      <c r="AP394" s="205"/>
      <c r="AQ394" s="205"/>
      <c r="AR394" s="205"/>
      <c r="AS394" s="205"/>
      <c r="AT394" s="205"/>
      <c r="AU394" s="205"/>
      <c r="AV394" s="205"/>
      <c r="AW394" s="205"/>
      <c r="AX394" s="205"/>
      <c r="AY394" s="205"/>
      <c r="AZ394" s="205"/>
      <c r="BA394" s="205"/>
      <c r="BB394" s="205"/>
      <c r="BC394" s="205"/>
      <c r="BD394" s="205"/>
      <c r="BE394" s="205"/>
      <c r="BF394" s="205"/>
      <c r="BG394" s="205"/>
      <c r="BH394" s="205"/>
      <c r="BI394" s="205"/>
      <c r="BJ394" s="205"/>
      <c r="BK394" s="205"/>
      <c r="BL394" s="205"/>
      <c r="BM394" s="205"/>
      <c r="BN394" s="205"/>
      <c r="BO394" s="205"/>
      <c r="BP394" s="205"/>
      <c r="BQ394" s="205"/>
      <c r="BR394" s="205"/>
      <c r="BS394" s="205"/>
      <c r="BT394" s="205"/>
      <c r="BU394" s="205"/>
      <c r="BV394" s="205"/>
      <c r="BW394" s="205"/>
      <c r="BX394" s="205"/>
      <c r="BY394" s="205"/>
      <c r="BZ394" s="205"/>
      <c r="CA394" s="205"/>
      <c r="CB394" s="205"/>
      <c r="CC394" s="205"/>
      <c r="CD394" s="205"/>
      <c r="CE394" s="205"/>
      <c r="CF394" s="205"/>
      <c r="CG394" s="205"/>
      <c r="CH394" s="205"/>
      <c r="CI394" s="205"/>
      <c r="CJ394" s="205"/>
      <c r="CK394" s="205"/>
      <c r="CL394" s="205"/>
      <c r="CM394" s="205"/>
      <c r="CN394" s="205"/>
      <c r="CO394" s="205"/>
      <c r="CP394" s="205"/>
      <c r="CQ394" s="205"/>
      <c r="CR394" s="205"/>
      <c r="CS394" s="205"/>
      <c r="CT394" s="205"/>
      <c r="CU394" s="205"/>
      <c r="CV394" s="205"/>
      <c r="CW394" s="205"/>
      <c r="CX394" s="205"/>
      <c r="CY394" s="205"/>
      <c r="CZ394" s="205"/>
      <c r="DA394" s="205"/>
      <c r="DB394" s="205"/>
      <c r="DC394" s="205"/>
      <c r="DD394" s="205"/>
      <c r="DE394" s="205"/>
      <c r="DF394" s="205"/>
      <c r="DG394" s="205"/>
      <c r="DH394" s="205"/>
      <c r="DI394" s="205"/>
      <c r="DJ394" s="205"/>
      <c r="DK394" s="205"/>
      <c r="DL394" s="205"/>
      <c r="DM394" s="205"/>
      <c r="DN394" s="205"/>
      <c r="DO394" s="205"/>
      <c r="DP394" s="205"/>
      <c r="DQ394" s="205"/>
      <c r="DR394" s="205"/>
      <c r="DS394" s="205"/>
      <c r="DT394" s="205"/>
      <c r="DU394" s="205"/>
      <c r="DV394" s="205"/>
      <c r="DW394" s="205"/>
      <c r="DX394" s="205"/>
      <c r="DY394" s="205"/>
      <c r="DZ394" s="205"/>
      <c r="EA394" s="205"/>
      <c r="EB394" s="205"/>
      <c r="EC394" s="205"/>
      <c r="ED394" s="205"/>
      <c r="EE394" s="205"/>
      <c r="EF394" s="205"/>
      <c r="EG394" s="205"/>
      <c r="EH394" s="205"/>
      <c r="EI394" s="205"/>
      <c r="EJ394" s="205"/>
      <c r="EK394" s="205"/>
      <c r="EL394" s="205"/>
      <c r="EM394" s="205"/>
      <c r="EN394" s="205"/>
      <c r="EO394" s="205"/>
      <c r="EP394" s="205"/>
      <c r="EQ394" s="205"/>
      <c r="ER394" s="205"/>
      <c r="ES394" s="205"/>
      <c r="ET394" s="205"/>
      <c r="EU394" s="205"/>
      <c r="EV394" s="205"/>
      <c r="EW394" s="205"/>
      <c r="EX394" s="205"/>
      <c r="EY394" s="205"/>
      <c r="EZ394" s="205"/>
      <c r="FA394" s="205"/>
      <c r="FB394" s="205"/>
      <c r="FC394" s="205"/>
      <c r="FD394" s="205"/>
      <c r="FE394" s="205"/>
      <c r="FF394" s="205"/>
      <c r="FG394" s="205"/>
      <c r="FH394" s="205"/>
      <c r="FI394" s="205"/>
      <c r="FJ394" s="205"/>
      <c r="FK394" s="205"/>
      <c r="FL394" s="205"/>
      <c r="FM394" s="205"/>
      <c r="FN394" s="205"/>
      <c r="FO394" s="205"/>
      <c r="FP394" s="205"/>
      <c r="FQ394" s="205"/>
      <c r="FR394" s="205"/>
      <c r="FS394" s="205"/>
      <c r="FT394" s="205"/>
      <c r="FU394" s="205"/>
      <c r="FV394" s="205"/>
      <c r="FW394" s="205"/>
      <c r="FX394" s="205"/>
      <c r="FY394" s="205"/>
      <c r="FZ394" s="205"/>
      <c r="GA394" s="205"/>
      <c r="GB394" s="205"/>
      <c r="GC394" s="205"/>
      <c r="GD394" s="205"/>
      <c r="GE394" s="205"/>
      <c r="GF394" s="205"/>
      <c r="GG394" s="205"/>
      <c r="GH394" s="205"/>
      <c r="GI394" s="205"/>
      <c r="GJ394" s="205"/>
      <c r="GK394" s="205"/>
      <c r="GL394" s="205"/>
      <c r="GM394" s="205"/>
      <c r="GN394" s="205"/>
      <c r="GO394" s="205"/>
      <c r="GP394" s="205"/>
      <c r="GQ394" s="205"/>
      <c r="GR394" s="205"/>
      <c r="GS394" s="205"/>
      <c r="GT394" s="205"/>
      <c r="GU394" s="205"/>
      <c r="GV394" s="205"/>
      <c r="GW394" s="205"/>
      <c r="GX394" s="205"/>
      <c r="GY394" s="205"/>
      <c r="GZ394" s="205"/>
      <c r="HA394" s="205"/>
      <c r="HB394" s="205"/>
      <c r="HC394" s="205"/>
      <c r="HD394" s="205"/>
      <c r="HE394" s="205"/>
      <c r="HF394" s="205"/>
      <c r="HG394" s="205"/>
      <c r="HH394" s="205"/>
      <c r="HI394" s="205"/>
      <c r="HJ394" s="205"/>
      <c r="HK394" s="205"/>
      <c r="HL394" s="205"/>
      <c r="HM394" s="205"/>
      <c r="HN394" s="205"/>
      <c r="HO394" s="205"/>
      <c r="HP394" s="205"/>
      <c r="HQ394" s="205"/>
      <c r="HR394" s="205"/>
      <c r="HS394" s="205"/>
      <c r="HT394" s="205"/>
      <c r="HU394" s="205"/>
      <c r="HV394" s="205"/>
      <c r="HW394" s="205"/>
      <c r="HX394" s="205"/>
      <c r="HY394" s="205"/>
      <c r="HZ394" s="205"/>
      <c r="IA394" s="205"/>
      <c r="IB394" s="205"/>
      <c r="IC394" s="205"/>
      <c r="ID394" s="205"/>
      <c r="IE394" s="205"/>
      <c r="IF394" s="205"/>
      <c r="IG394" s="205"/>
      <c r="IH394" s="205"/>
      <c r="II394" s="205"/>
      <c r="IJ394" s="205"/>
      <c r="IK394" s="205"/>
      <c r="IL394" s="205"/>
      <c r="IM394" s="205"/>
      <c r="IN394" s="205"/>
      <c r="IO394" s="205"/>
      <c r="IP394" s="205"/>
      <c r="IQ394" s="205"/>
      <c r="IR394" s="205"/>
      <c r="IS394" s="205"/>
      <c r="IT394" s="205"/>
      <c r="IU394" s="205"/>
      <c r="IV394" s="205"/>
      <c r="IW394" s="205"/>
      <c r="IX394" s="205"/>
    </row>
    <row r="395" spans="1:258" s="203" customFormat="1" x14ac:dyDescent="0.2">
      <c r="A395" s="669"/>
      <c r="B395" s="670">
        <f>RAB!B124</f>
        <v>5</v>
      </c>
      <c r="C395" s="686" t="e">
        <f>RAB!D124</f>
        <v>#REF!</v>
      </c>
      <c r="D395" s="672"/>
      <c r="E395" s="673"/>
      <c r="F395" s="673"/>
      <c r="G395" s="674"/>
      <c r="H395" s="675">
        <v>12</v>
      </c>
      <c r="I395" s="676"/>
      <c r="J395" s="676"/>
      <c r="K395" s="676"/>
      <c r="L395" s="676"/>
      <c r="M395" s="676"/>
      <c r="N395" s="676"/>
      <c r="O395" s="676"/>
      <c r="P395" s="676"/>
      <c r="Q395" s="1394" t="s">
        <v>696</v>
      </c>
      <c r="R395" s="1395">
        <f t="shared" si="161"/>
        <v>12</v>
      </c>
      <c r="S395" s="1396">
        <f t="shared" si="162"/>
        <v>12</v>
      </c>
      <c r="T395" s="1397" t="s">
        <v>268</v>
      </c>
      <c r="U395" s="205"/>
      <c r="V395" s="685"/>
      <c r="W395" s="205"/>
      <c r="X395" s="205"/>
      <c r="Y395" s="205"/>
      <c r="Z395" s="205"/>
      <c r="AA395" s="205"/>
      <c r="AB395" s="205"/>
      <c r="AC395" s="205"/>
      <c r="AD395" s="205"/>
      <c r="AE395" s="205"/>
      <c r="AF395" s="205"/>
      <c r="AG395" s="205"/>
      <c r="AH395" s="205"/>
      <c r="AI395" s="205"/>
      <c r="AJ395" s="205"/>
      <c r="AK395" s="205"/>
      <c r="AL395" s="205"/>
      <c r="AM395" s="205"/>
      <c r="AN395" s="205"/>
      <c r="AO395" s="205"/>
      <c r="AP395" s="205"/>
      <c r="AQ395" s="205"/>
      <c r="AR395" s="205"/>
      <c r="AS395" s="205"/>
      <c r="AT395" s="205"/>
      <c r="AU395" s="205"/>
      <c r="AV395" s="205"/>
      <c r="AW395" s="205"/>
      <c r="AX395" s="205"/>
      <c r="AY395" s="205"/>
      <c r="AZ395" s="205"/>
      <c r="BA395" s="205"/>
      <c r="BB395" s="205"/>
      <c r="BC395" s="205"/>
      <c r="BD395" s="205"/>
      <c r="BE395" s="205"/>
      <c r="BF395" s="205"/>
      <c r="BG395" s="205"/>
      <c r="BH395" s="205"/>
      <c r="BI395" s="205"/>
      <c r="BJ395" s="205"/>
      <c r="BK395" s="205"/>
      <c r="BL395" s="205"/>
      <c r="BM395" s="205"/>
      <c r="BN395" s="205"/>
      <c r="BO395" s="205"/>
      <c r="BP395" s="205"/>
      <c r="BQ395" s="205"/>
      <c r="BR395" s="205"/>
      <c r="BS395" s="205"/>
      <c r="BT395" s="205"/>
      <c r="BU395" s="205"/>
      <c r="BV395" s="205"/>
      <c r="BW395" s="205"/>
      <c r="BX395" s="205"/>
      <c r="BY395" s="205"/>
      <c r="BZ395" s="205"/>
      <c r="CA395" s="205"/>
      <c r="CB395" s="205"/>
      <c r="CC395" s="205"/>
      <c r="CD395" s="205"/>
      <c r="CE395" s="205"/>
      <c r="CF395" s="205"/>
      <c r="CG395" s="205"/>
      <c r="CH395" s="205"/>
      <c r="CI395" s="205"/>
      <c r="CJ395" s="205"/>
      <c r="CK395" s="205"/>
      <c r="CL395" s="205"/>
      <c r="CM395" s="205"/>
      <c r="CN395" s="205"/>
      <c r="CO395" s="205"/>
      <c r="CP395" s="205"/>
      <c r="CQ395" s="205"/>
      <c r="CR395" s="205"/>
      <c r="CS395" s="205"/>
      <c r="CT395" s="205"/>
      <c r="CU395" s="205"/>
      <c r="CV395" s="205"/>
      <c r="CW395" s="205"/>
      <c r="CX395" s="205"/>
      <c r="CY395" s="205"/>
      <c r="CZ395" s="205"/>
      <c r="DA395" s="205"/>
      <c r="DB395" s="205"/>
      <c r="DC395" s="205"/>
      <c r="DD395" s="205"/>
      <c r="DE395" s="205"/>
      <c r="DF395" s="205"/>
      <c r="DG395" s="205"/>
      <c r="DH395" s="205"/>
      <c r="DI395" s="205"/>
      <c r="DJ395" s="205"/>
      <c r="DK395" s="205"/>
      <c r="DL395" s="205"/>
      <c r="DM395" s="205"/>
      <c r="DN395" s="205"/>
      <c r="DO395" s="205"/>
      <c r="DP395" s="205"/>
      <c r="DQ395" s="205"/>
      <c r="DR395" s="205"/>
      <c r="DS395" s="205"/>
      <c r="DT395" s="205"/>
      <c r="DU395" s="205"/>
      <c r="DV395" s="205"/>
      <c r="DW395" s="205"/>
      <c r="DX395" s="205"/>
      <c r="DY395" s="205"/>
      <c r="DZ395" s="205"/>
      <c r="EA395" s="205"/>
      <c r="EB395" s="205"/>
      <c r="EC395" s="205"/>
      <c r="ED395" s="205"/>
      <c r="EE395" s="205"/>
      <c r="EF395" s="205"/>
      <c r="EG395" s="205"/>
      <c r="EH395" s="205"/>
      <c r="EI395" s="205"/>
      <c r="EJ395" s="205"/>
      <c r="EK395" s="205"/>
      <c r="EL395" s="205"/>
      <c r="EM395" s="205"/>
      <c r="EN395" s="205"/>
      <c r="EO395" s="205"/>
      <c r="EP395" s="205"/>
      <c r="EQ395" s="205"/>
      <c r="ER395" s="205"/>
      <c r="ES395" s="205"/>
      <c r="ET395" s="205"/>
      <c r="EU395" s="205"/>
      <c r="EV395" s="205"/>
      <c r="EW395" s="205"/>
      <c r="EX395" s="205"/>
      <c r="EY395" s="205"/>
      <c r="EZ395" s="205"/>
      <c r="FA395" s="205"/>
      <c r="FB395" s="205"/>
      <c r="FC395" s="205"/>
      <c r="FD395" s="205"/>
      <c r="FE395" s="205"/>
      <c r="FF395" s="205"/>
      <c r="FG395" s="205"/>
      <c r="FH395" s="205"/>
      <c r="FI395" s="205"/>
      <c r="FJ395" s="205"/>
      <c r="FK395" s="205"/>
      <c r="FL395" s="205"/>
      <c r="FM395" s="205"/>
      <c r="FN395" s="205"/>
      <c r="FO395" s="205"/>
      <c r="FP395" s="205"/>
      <c r="FQ395" s="205"/>
      <c r="FR395" s="205"/>
      <c r="FS395" s="205"/>
      <c r="FT395" s="205"/>
      <c r="FU395" s="205"/>
      <c r="FV395" s="205"/>
      <c r="FW395" s="205"/>
      <c r="FX395" s="205"/>
      <c r="FY395" s="205"/>
      <c r="FZ395" s="205"/>
      <c r="GA395" s="205"/>
      <c r="GB395" s="205"/>
      <c r="GC395" s="205"/>
      <c r="GD395" s="205"/>
      <c r="GE395" s="205"/>
      <c r="GF395" s="205"/>
      <c r="GG395" s="205"/>
      <c r="GH395" s="205"/>
      <c r="GI395" s="205"/>
      <c r="GJ395" s="205"/>
      <c r="GK395" s="205"/>
      <c r="GL395" s="205"/>
      <c r="GM395" s="205"/>
      <c r="GN395" s="205"/>
      <c r="GO395" s="205"/>
      <c r="GP395" s="205"/>
      <c r="GQ395" s="205"/>
      <c r="GR395" s="205"/>
      <c r="GS395" s="205"/>
      <c r="GT395" s="205"/>
      <c r="GU395" s="205"/>
      <c r="GV395" s="205"/>
      <c r="GW395" s="205"/>
      <c r="GX395" s="205"/>
      <c r="GY395" s="205"/>
      <c r="GZ395" s="205"/>
      <c r="HA395" s="205"/>
      <c r="HB395" s="205"/>
      <c r="HC395" s="205"/>
      <c r="HD395" s="205"/>
      <c r="HE395" s="205"/>
      <c r="HF395" s="205"/>
      <c r="HG395" s="205"/>
      <c r="HH395" s="205"/>
      <c r="HI395" s="205"/>
      <c r="HJ395" s="205"/>
      <c r="HK395" s="205"/>
      <c r="HL395" s="205"/>
      <c r="HM395" s="205"/>
      <c r="HN395" s="205"/>
      <c r="HO395" s="205"/>
      <c r="HP395" s="205"/>
      <c r="HQ395" s="205"/>
      <c r="HR395" s="205"/>
      <c r="HS395" s="205"/>
      <c r="HT395" s="205"/>
      <c r="HU395" s="205"/>
      <c r="HV395" s="205"/>
      <c r="HW395" s="205"/>
      <c r="HX395" s="205"/>
      <c r="HY395" s="205"/>
      <c r="HZ395" s="205"/>
      <c r="IA395" s="205"/>
      <c r="IB395" s="205"/>
      <c r="IC395" s="205"/>
      <c r="ID395" s="205"/>
      <c r="IE395" s="205"/>
      <c r="IF395" s="205"/>
      <c r="IG395" s="205"/>
      <c r="IH395" s="205"/>
      <c r="II395" s="205"/>
      <c r="IJ395" s="205"/>
      <c r="IK395" s="205"/>
      <c r="IL395" s="205"/>
      <c r="IM395" s="205"/>
      <c r="IN395" s="205"/>
      <c r="IO395" s="205"/>
      <c r="IP395" s="205"/>
      <c r="IQ395" s="205"/>
      <c r="IR395" s="205"/>
      <c r="IS395" s="205"/>
      <c r="IT395" s="205"/>
      <c r="IU395" s="205"/>
      <c r="IV395" s="205"/>
      <c r="IW395" s="205"/>
      <c r="IX395" s="205"/>
    </row>
    <row r="396" spans="1:258" s="203" customFormat="1" x14ac:dyDescent="0.2">
      <c r="A396" s="669"/>
      <c r="B396" s="670">
        <f>RAB!B125</f>
        <v>6</v>
      </c>
      <c r="C396" s="686" t="str">
        <f>RAB!D125</f>
        <v>Memasang saklar ganda</v>
      </c>
      <c r="D396" s="672"/>
      <c r="E396" s="673"/>
      <c r="F396" s="673"/>
      <c r="G396" s="674"/>
      <c r="H396" s="675">
        <v>2</v>
      </c>
      <c r="I396" s="676"/>
      <c r="J396" s="676"/>
      <c r="K396" s="676"/>
      <c r="L396" s="676"/>
      <c r="M396" s="676"/>
      <c r="N396" s="676"/>
      <c r="O396" s="676"/>
      <c r="P396" s="676"/>
      <c r="Q396" s="1394" t="s">
        <v>696</v>
      </c>
      <c r="R396" s="1395">
        <f t="shared" ref="R396" si="163">H396</f>
        <v>2</v>
      </c>
      <c r="S396" s="1396">
        <f t="shared" si="162"/>
        <v>2</v>
      </c>
      <c r="T396" s="1397" t="s">
        <v>268</v>
      </c>
      <c r="U396" s="205"/>
      <c r="V396" s="685"/>
      <c r="W396" s="205"/>
      <c r="X396" s="205"/>
      <c r="Y396" s="205"/>
      <c r="Z396" s="205"/>
      <c r="AA396" s="205"/>
      <c r="AB396" s="205"/>
      <c r="AC396" s="205"/>
      <c r="AD396" s="205"/>
      <c r="AE396" s="205"/>
      <c r="AF396" s="205"/>
      <c r="AG396" s="205"/>
      <c r="AH396" s="205"/>
      <c r="AI396" s="205"/>
      <c r="AJ396" s="205"/>
      <c r="AK396" s="205"/>
      <c r="AL396" s="205"/>
      <c r="AM396" s="205"/>
      <c r="AN396" s="205"/>
      <c r="AO396" s="205"/>
      <c r="AP396" s="205"/>
      <c r="AQ396" s="205"/>
      <c r="AR396" s="205"/>
      <c r="AS396" s="205"/>
      <c r="AT396" s="205"/>
      <c r="AU396" s="205"/>
      <c r="AV396" s="205"/>
      <c r="AW396" s="205"/>
      <c r="AX396" s="205"/>
      <c r="AY396" s="205"/>
      <c r="AZ396" s="205"/>
      <c r="BA396" s="205"/>
      <c r="BB396" s="205"/>
      <c r="BC396" s="205"/>
      <c r="BD396" s="205"/>
      <c r="BE396" s="205"/>
      <c r="BF396" s="205"/>
      <c r="BG396" s="205"/>
      <c r="BH396" s="205"/>
      <c r="BI396" s="205"/>
      <c r="BJ396" s="205"/>
      <c r="BK396" s="205"/>
      <c r="BL396" s="205"/>
      <c r="BM396" s="205"/>
      <c r="BN396" s="205"/>
      <c r="BO396" s="205"/>
      <c r="BP396" s="205"/>
      <c r="BQ396" s="205"/>
      <c r="BR396" s="205"/>
      <c r="BS396" s="205"/>
      <c r="BT396" s="205"/>
      <c r="BU396" s="205"/>
      <c r="BV396" s="205"/>
      <c r="BW396" s="205"/>
      <c r="BX396" s="205"/>
      <c r="BY396" s="205"/>
      <c r="BZ396" s="205"/>
      <c r="CA396" s="205"/>
      <c r="CB396" s="205"/>
      <c r="CC396" s="205"/>
      <c r="CD396" s="205"/>
      <c r="CE396" s="205"/>
      <c r="CF396" s="205"/>
      <c r="CG396" s="205"/>
      <c r="CH396" s="205"/>
      <c r="CI396" s="205"/>
      <c r="CJ396" s="205"/>
      <c r="CK396" s="205"/>
      <c r="CL396" s="205"/>
      <c r="CM396" s="205"/>
      <c r="CN396" s="205"/>
      <c r="CO396" s="205"/>
      <c r="CP396" s="205"/>
      <c r="CQ396" s="205"/>
      <c r="CR396" s="205"/>
      <c r="CS396" s="205"/>
      <c r="CT396" s="205"/>
      <c r="CU396" s="205"/>
      <c r="CV396" s="205"/>
      <c r="CW396" s="205"/>
      <c r="CX396" s="205"/>
      <c r="CY396" s="205"/>
      <c r="CZ396" s="205"/>
      <c r="DA396" s="205"/>
      <c r="DB396" s="205"/>
      <c r="DC396" s="205"/>
      <c r="DD396" s="205"/>
      <c r="DE396" s="205"/>
      <c r="DF396" s="205"/>
      <c r="DG396" s="205"/>
      <c r="DH396" s="205"/>
      <c r="DI396" s="205"/>
      <c r="DJ396" s="205"/>
      <c r="DK396" s="205"/>
      <c r="DL396" s="205"/>
      <c r="DM396" s="205"/>
      <c r="DN396" s="205"/>
      <c r="DO396" s="205"/>
      <c r="DP396" s="205"/>
      <c r="DQ396" s="205"/>
      <c r="DR396" s="205"/>
      <c r="DS396" s="205"/>
      <c r="DT396" s="205"/>
      <c r="DU396" s="205"/>
      <c r="DV396" s="205"/>
      <c r="DW396" s="205"/>
      <c r="DX396" s="205"/>
      <c r="DY396" s="205"/>
      <c r="DZ396" s="205"/>
      <c r="EA396" s="205"/>
      <c r="EB396" s="205"/>
      <c r="EC396" s="205"/>
      <c r="ED396" s="205"/>
      <c r="EE396" s="205"/>
      <c r="EF396" s="205"/>
      <c r="EG396" s="205"/>
      <c r="EH396" s="205"/>
      <c r="EI396" s="205"/>
      <c r="EJ396" s="205"/>
      <c r="EK396" s="205"/>
      <c r="EL396" s="205"/>
      <c r="EM396" s="205"/>
      <c r="EN396" s="205"/>
      <c r="EO396" s="205"/>
      <c r="EP396" s="205"/>
      <c r="EQ396" s="205"/>
      <c r="ER396" s="205"/>
      <c r="ES396" s="205"/>
      <c r="ET396" s="205"/>
      <c r="EU396" s="205"/>
      <c r="EV396" s="205"/>
      <c r="EW396" s="205"/>
      <c r="EX396" s="205"/>
      <c r="EY396" s="205"/>
      <c r="EZ396" s="205"/>
      <c r="FA396" s="205"/>
      <c r="FB396" s="205"/>
      <c r="FC396" s="205"/>
      <c r="FD396" s="205"/>
      <c r="FE396" s="205"/>
      <c r="FF396" s="205"/>
      <c r="FG396" s="205"/>
      <c r="FH396" s="205"/>
      <c r="FI396" s="205"/>
      <c r="FJ396" s="205"/>
      <c r="FK396" s="205"/>
      <c r="FL396" s="205"/>
      <c r="FM396" s="205"/>
      <c r="FN396" s="205"/>
      <c r="FO396" s="205"/>
      <c r="FP396" s="205"/>
      <c r="FQ396" s="205"/>
      <c r="FR396" s="205"/>
      <c r="FS396" s="205"/>
      <c r="FT396" s="205"/>
      <c r="FU396" s="205"/>
      <c r="FV396" s="205"/>
      <c r="FW396" s="205"/>
      <c r="FX396" s="205"/>
      <c r="FY396" s="205"/>
      <c r="FZ396" s="205"/>
      <c r="GA396" s="205"/>
      <c r="GB396" s="205"/>
      <c r="GC396" s="205"/>
      <c r="GD396" s="205"/>
      <c r="GE396" s="205"/>
      <c r="GF396" s="205"/>
      <c r="GG396" s="205"/>
      <c r="GH396" s="205"/>
      <c r="GI396" s="205"/>
      <c r="GJ396" s="205"/>
      <c r="GK396" s="205"/>
      <c r="GL396" s="205"/>
      <c r="GM396" s="205"/>
      <c r="GN396" s="205"/>
      <c r="GO396" s="205"/>
      <c r="GP396" s="205"/>
      <c r="GQ396" s="205"/>
      <c r="GR396" s="205"/>
      <c r="GS396" s="205"/>
      <c r="GT396" s="205"/>
      <c r="GU396" s="205"/>
      <c r="GV396" s="205"/>
      <c r="GW396" s="205"/>
      <c r="GX396" s="205"/>
      <c r="GY396" s="205"/>
      <c r="GZ396" s="205"/>
      <c r="HA396" s="205"/>
      <c r="HB396" s="205"/>
      <c r="HC396" s="205"/>
      <c r="HD396" s="205"/>
      <c r="HE396" s="205"/>
      <c r="HF396" s="205"/>
      <c r="HG396" s="205"/>
      <c r="HH396" s="205"/>
      <c r="HI396" s="205"/>
      <c r="HJ396" s="205"/>
      <c r="HK396" s="205"/>
      <c r="HL396" s="205"/>
      <c r="HM396" s="205"/>
      <c r="HN396" s="205"/>
      <c r="HO396" s="205"/>
      <c r="HP396" s="205"/>
      <c r="HQ396" s="205"/>
      <c r="HR396" s="205"/>
      <c r="HS396" s="205"/>
      <c r="HT396" s="205"/>
      <c r="HU396" s="205"/>
      <c r="HV396" s="205"/>
      <c r="HW396" s="205"/>
      <c r="HX396" s="205"/>
      <c r="HY396" s="205"/>
      <c r="HZ396" s="205"/>
      <c r="IA396" s="205"/>
      <c r="IB396" s="205"/>
      <c r="IC396" s="205"/>
      <c r="ID396" s="205"/>
      <c r="IE396" s="205"/>
      <c r="IF396" s="205"/>
      <c r="IG396" s="205"/>
      <c r="IH396" s="205"/>
      <c r="II396" s="205"/>
      <c r="IJ396" s="205"/>
      <c r="IK396" s="205"/>
      <c r="IL396" s="205"/>
      <c r="IM396" s="205"/>
      <c r="IN396" s="205"/>
      <c r="IO396" s="205"/>
      <c r="IP396" s="205"/>
      <c r="IQ396" s="205"/>
      <c r="IR396" s="205"/>
      <c r="IS396" s="205"/>
      <c r="IT396" s="205"/>
      <c r="IU396" s="205"/>
      <c r="IV396" s="205"/>
      <c r="IW396" s="205"/>
      <c r="IX396" s="205"/>
    </row>
    <row r="397" spans="1:258" s="203" customFormat="1" x14ac:dyDescent="0.2">
      <c r="A397" s="669"/>
      <c r="B397" s="670">
        <f>RAB!B126</f>
        <v>7</v>
      </c>
      <c r="C397" s="686" t="str">
        <f>RAB!D126</f>
        <v>Memasang saklar tunggal</v>
      </c>
      <c r="D397" s="672"/>
      <c r="E397" s="673"/>
      <c r="F397" s="673"/>
      <c r="G397" s="674"/>
      <c r="H397" s="675">
        <v>22</v>
      </c>
      <c r="I397" s="676"/>
      <c r="J397" s="676"/>
      <c r="K397" s="676"/>
      <c r="L397" s="676"/>
      <c r="M397" s="676"/>
      <c r="N397" s="676"/>
      <c r="O397" s="676"/>
      <c r="P397" s="676"/>
      <c r="Q397" s="1394" t="s">
        <v>696</v>
      </c>
      <c r="R397" s="1395">
        <f t="shared" ref="R397:R401" si="164">H397</f>
        <v>22</v>
      </c>
      <c r="S397" s="1396">
        <f t="shared" si="162"/>
        <v>22</v>
      </c>
      <c r="T397" s="1397" t="s">
        <v>268</v>
      </c>
      <c r="U397" s="205"/>
      <c r="V397" s="685"/>
      <c r="W397" s="205"/>
      <c r="X397" s="205"/>
      <c r="Y397" s="205"/>
      <c r="Z397" s="205"/>
      <c r="AA397" s="205"/>
      <c r="AB397" s="205"/>
      <c r="AC397" s="205"/>
      <c r="AD397" s="205"/>
      <c r="AE397" s="205"/>
      <c r="AF397" s="205"/>
      <c r="AG397" s="205"/>
      <c r="AH397" s="205"/>
      <c r="AI397" s="205"/>
      <c r="AJ397" s="205"/>
      <c r="AK397" s="205"/>
      <c r="AL397" s="205"/>
      <c r="AM397" s="205"/>
      <c r="AN397" s="205"/>
      <c r="AO397" s="205"/>
      <c r="AP397" s="205"/>
      <c r="AQ397" s="205"/>
      <c r="AR397" s="205"/>
      <c r="AS397" s="205"/>
      <c r="AT397" s="205"/>
      <c r="AU397" s="205"/>
      <c r="AV397" s="205"/>
      <c r="AW397" s="205"/>
      <c r="AX397" s="205"/>
      <c r="AY397" s="205"/>
      <c r="AZ397" s="205"/>
      <c r="BA397" s="205"/>
      <c r="BB397" s="205"/>
      <c r="BC397" s="205"/>
      <c r="BD397" s="205"/>
      <c r="BE397" s="205"/>
      <c r="BF397" s="205"/>
      <c r="BG397" s="205"/>
      <c r="BH397" s="205"/>
      <c r="BI397" s="205"/>
      <c r="BJ397" s="205"/>
      <c r="BK397" s="205"/>
      <c r="BL397" s="205"/>
      <c r="BM397" s="205"/>
      <c r="BN397" s="205"/>
      <c r="BO397" s="205"/>
      <c r="BP397" s="205"/>
      <c r="BQ397" s="205"/>
      <c r="BR397" s="205"/>
      <c r="BS397" s="205"/>
      <c r="BT397" s="205"/>
      <c r="BU397" s="205"/>
      <c r="BV397" s="205"/>
      <c r="BW397" s="205"/>
      <c r="BX397" s="205"/>
      <c r="BY397" s="205"/>
      <c r="BZ397" s="205"/>
      <c r="CA397" s="205"/>
      <c r="CB397" s="205"/>
      <c r="CC397" s="205"/>
      <c r="CD397" s="205"/>
      <c r="CE397" s="205"/>
      <c r="CF397" s="205"/>
      <c r="CG397" s="205"/>
      <c r="CH397" s="205"/>
      <c r="CI397" s="205"/>
      <c r="CJ397" s="205"/>
      <c r="CK397" s="205"/>
      <c r="CL397" s="205"/>
      <c r="CM397" s="205"/>
      <c r="CN397" s="205"/>
      <c r="CO397" s="205"/>
      <c r="CP397" s="205"/>
      <c r="CQ397" s="205"/>
      <c r="CR397" s="205"/>
      <c r="CS397" s="205"/>
      <c r="CT397" s="205"/>
      <c r="CU397" s="205"/>
      <c r="CV397" s="205"/>
      <c r="CW397" s="205"/>
      <c r="CX397" s="205"/>
      <c r="CY397" s="205"/>
      <c r="CZ397" s="205"/>
      <c r="DA397" s="205"/>
      <c r="DB397" s="205"/>
      <c r="DC397" s="205"/>
      <c r="DD397" s="205"/>
      <c r="DE397" s="205"/>
      <c r="DF397" s="205"/>
      <c r="DG397" s="205"/>
      <c r="DH397" s="205"/>
      <c r="DI397" s="205"/>
      <c r="DJ397" s="205"/>
      <c r="DK397" s="205"/>
      <c r="DL397" s="205"/>
      <c r="DM397" s="205"/>
      <c r="DN397" s="205"/>
      <c r="DO397" s="205"/>
      <c r="DP397" s="205"/>
      <c r="DQ397" s="205"/>
      <c r="DR397" s="205"/>
      <c r="DS397" s="205"/>
      <c r="DT397" s="205"/>
      <c r="DU397" s="205"/>
      <c r="DV397" s="205"/>
      <c r="DW397" s="205"/>
      <c r="DX397" s="205"/>
      <c r="DY397" s="205"/>
      <c r="DZ397" s="205"/>
      <c r="EA397" s="205"/>
      <c r="EB397" s="205"/>
      <c r="EC397" s="205"/>
      <c r="ED397" s="205"/>
      <c r="EE397" s="205"/>
      <c r="EF397" s="205"/>
      <c r="EG397" s="205"/>
      <c r="EH397" s="205"/>
      <c r="EI397" s="205"/>
      <c r="EJ397" s="205"/>
      <c r="EK397" s="205"/>
      <c r="EL397" s="205"/>
      <c r="EM397" s="205"/>
      <c r="EN397" s="205"/>
      <c r="EO397" s="205"/>
      <c r="EP397" s="205"/>
      <c r="EQ397" s="205"/>
      <c r="ER397" s="205"/>
      <c r="ES397" s="205"/>
      <c r="ET397" s="205"/>
      <c r="EU397" s="205"/>
      <c r="EV397" s="205"/>
      <c r="EW397" s="205"/>
      <c r="EX397" s="205"/>
      <c r="EY397" s="205"/>
      <c r="EZ397" s="205"/>
      <c r="FA397" s="205"/>
      <c r="FB397" s="205"/>
      <c r="FC397" s="205"/>
      <c r="FD397" s="205"/>
      <c r="FE397" s="205"/>
      <c r="FF397" s="205"/>
      <c r="FG397" s="205"/>
      <c r="FH397" s="205"/>
      <c r="FI397" s="205"/>
      <c r="FJ397" s="205"/>
      <c r="FK397" s="205"/>
      <c r="FL397" s="205"/>
      <c r="FM397" s="205"/>
      <c r="FN397" s="205"/>
      <c r="FO397" s="205"/>
      <c r="FP397" s="205"/>
      <c r="FQ397" s="205"/>
      <c r="FR397" s="205"/>
      <c r="FS397" s="205"/>
      <c r="FT397" s="205"/>
      <c r="FU397" s="205"/>
      <c r="FV397" s="205"/>
      <c r="FW397" s="205"/>
      <c r="FX397" s="205"/>
      <c r="FY397" s="205"/>
      <c r="FZ397" s="205"/>
      <c r="GA397" s="205"/>
      <c r="GB397" s="205"/>
      <c r="GC397" s="205"/>
      <c r="GD397" s="205"/>
      <c r="GE397" s="205"/>
      <c r="GF397" s="205"/>
      <c r="GG397" s="205"/>
      <c r="GH397" s="205"/>
      <c r="GI397" s="205"/>
      <c r="GJ397" s="205"/>
      <c r="GK397" s="205"/>
      <c r="GL397" s="205"/>
      <c r="GM397" s="205"/>
      <c r="GN397" s="205"/>
      <c r="GO397" s="205"/>
      <c r="GP397" s="205"/>
      <c r="GQ397" s="205"/>
      <c r="GR397" s="205"/>
      <c r="GS397" s="205"/>
      <c r="GT397" s="205"/>
      <c r="GU397" s="205"/>
      <c r="GV397" s="205"/>
      <c r="GW397" s="205"/>
      <c r="GX397" s="205"/>
      <c r="GY397" s="205"/>
      <c r="GZ397" s="205"/>
      <c r="HA397" s="205"/>
      <c r="HB397" s="205"/>
      <c r="HC397" s="205"/>
      <c r="HD397" s="205"/>
      <c r="HE397" s="205"/>
      <c r="HF397" s="205"/>
      <c r="HG397" s="205"/>
      <c r="HH397" s="205"/>
      <c r="HI397" s="205"/>
      <c r="HJ397" s="205"/>
      <c r="HK397" s="205"/>
      <c r="HL397" s="205"/>
      <c r="HM397" s="205"/>
      <c r="HN397" s="205"/>
      <c r="HO397" s="205"/>
      <c r="HP397" s="205"/>
      <c r="HQ397" s="205"/>
      <c r="HR397" s="205"/>
      <c r="HS397" s="205"/>
      <c r="HT397" s="205"/>
      <c r="HU397" s="205"/>
      <c r="HV397" s="205"/>
      <c r="HW397" s="205"/>
      <c r="HX397" s="205"/>
      <c r="HY397" s="205"/>
      <c r="HZ397" s="205"/>
      <c r="IA397" s="205"/>
      <c r="IB397" s="205"/>
      <c r="IC397" s="205"/>
      <c r="ID397" s="205"/>
      <c r="IE397" s="205"/>
      <c r="IF397" s="205"/>
      <c r="IG397" s="205"/>
      <c r="IH397" s="205"/>
      <c r="II397" s="205"/>
      <c r="IJ397" s="205"/>
      <c r="IK397" s="205"/>
      <c r="IL397" s="205"/>
      <c r="IM397" s="205"/>
      <c r="IN397" s="205"/>
      <c r="IO397" s="205"/>
      <c r="IP397" s="205"/>
      <c r="IQ397" s="205"/>
      <c r="IR397" s="205"/>
      <c r="IS397" s="205"/>
      <c r="IT397" s="205"/>
      <c r="IU397" s="205"/>
      <c r="IV397" s="205"/>
      <c r="IW397" s="205"/>
      <c r="IX397" s="205"/>
    </row>
    <row r="398" spans="1:258" s="203" customFormat="1" x14ac:dyDescent="0.2">
      <c r="A398" s="669"/>
      <c r="B398" s="670">
        <f>RAB!B127</f>
        <v>8</v>
      </c>
      <c r="C398" s="686" t="str">
        <f>RAB!D127</f>
        <v>Memasang stop kontak</v>
      </c>
      <c r="D398" s="672"/>
      <c r="E398" s="673"/>
      <c r="F398" s="673"/>
      <c r="G398" s="674"/>
      <c r="H398" s="675">
        <f>H392</f>
        <v>25</v>
      </c>
      <c r="I398" s="676"/>
      <c r="J398" s="676"/>
      <c r="K398" s="676"/>
      <c r="L398" s="676"/>
      <c r="M398" s="676"/>
      <c r="N398" s="676"/>
      <c r="O398" s="676"/>
      <c r="P398" s="676"/>
      <c r="Q398" s="1394" t="s">
        <v>696</v>
      </c>
      <c r="R398" s="1395">
        <f t="shared" si="164"/>
        <v>25</v>
      </c>
      <c r="S398" s="1396">
        <f t="shared" si="162"/>
        <v>25</v>
      </c>
      <c r="T398" s="1397" t="s">
        <v>268</v>
      </c>
      <c r="U398" s="205"/>
      <c r="V398" s="685"/>
      <c r="W398" s="205"/>
      <c r="X398" s="205"/>
      <c r="Y398" s="205"/>
      <c r="Z398" s="205"/>
      <c r="AA398" s="205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C398" s="205"/>
      <c r="BD398" s="205"/>
      <c r="BE398" s="205"/>
      <c r="BF398" s="205"/>
      <c r="BG398" s="205"/>
      <c r="BH398" s="205"/>
      <c r="BI398" s="205"/>
      <c r="BJ398" s="205"/>
      <c r="BK398" s="205"/>
      <c r="BL398" s="205"/>
      <c r="BM398" s="205"/>
      <c r="BN398" s="205"/>
      <c r="BO398" s="205"/>
      <c r="BP398" s="205"/>
      <c r="BQ398" s="205"/>
      <c r="BR398" s="205"/>
      <c r="BS398" s="205"/>
      <c r="BT398" s="205"/>
      <c r="BU398" s="205"/>
      <c r="BV398" s="205"/>
      <c r="BW398" s="205"/>
      <c r="BX398" s="205"/>
      <c r="BY398" s="205"/>
      <c r="BZ398" s="205"/>
      <c r="CA398" s="205"/>
      <c r="CB398" s="205"/>
      <c r="CC398" s="205"/>
      <c r="CD398" s="205"/>
      <c r="CE398" s="205"/>
      <c r="CF398" s="205"/>
      <c r="CG398" s="205"/>
      <c r="CH398" s="205"/>
      <c r="CI398" s="205"/>
      <c r="CJ398" s="205"/>
      <c r="CK398" s="205"/>
      <c r="CL398" s="205"/>
      <c r="CM398" s="205"/>
      <c r="CN398" s="205"/>
      <c r="CO398" s="205"/>
      <c r="CP398" s="205"/>
      <c r="CQ398" s="205"/>
      <c r="CR398" s="205"/>
      <c r="CS398" s="205"/>
      <c r="CT398" s="205"/>
      <c r="CU398" s="205"/>
      <c r="CV398" s="205"/>
      <c r="CW398" s="205"/>
      <c r="CX398" s="205"/>
      <c r="CY398" s="205"/>
      <c r="CZ398" s="205"/>
      <c r="DA398" s="205"/>
      <c r="DB398" s="205"/>
      <c r="DC398" s="205"/>
      <c r="DD398" s="205"/>
      <c r="DE398" s="205"/>
      <c r="DF398" s="205"/>
      <c r="DG398" s="205"/>
      <c r="DH398" s="205"/>
      <c r="DI398" s="205"/>
      <c r="DJ398" s="205"/>
      <c r="DK398" s="205"/>
      <c r="DL398" s="205"/>
      <c r="DM398" s="205"/>
      <c r="DN398" s="205"/>
      <c r="DO398" s="205"/>
      <c r="DP398" s="205"/>
      <c r="DQ398" s="205"/>
      <c r="DR398" s="205"/>
      <c r="DS398" s="205"/>
      <c r="DT398" s="205"/>
      <c r="DU398" s="205"/>
      <c r="DV398" s="205"/>
      <c r="DW398" s="205"/>
      <c r="DX398" s="205"/>
      <c r="DY398" s="205"/>
      <c r="DZ398" s="205"/>
      <c r="EA398" s="205"/>
      <c r="EB398" s="205"/>
      <c r="EC398" s="205"/>
      <c r="ED398" s="205"/>
      <c r="EE398" s="205"/>
      <c r="EF398" s="205"/>
      <c r="EG398" s="205"/>
      <c r="EH398" s="205"/>
      <c r="EI398" s="205"/>
      <c r="EJ398" s="205"/>
      <c r="EK398" s="205"/>
      <c r="EL398" s="205"/>
      <c r="EM398" s="205"/>
      <c r="EN398" s="205"/>
      <c r="EO398" s="205"/>
      <c r="EP398" s="205"/>
      <c r="EQ398" s="205"/>
      <c r="ER398" s="205"/>
      <c r="ES398" s="205"/>
      <c r="ET398" s="205"/>
      <c r="EU398" s="205"/>
      <c r="EV398" s="205"/>
      <c r="EW398" s="205"/>
      <c r="EX398" s="205"/>
      <c r="EY398" s="205"/>
      <c r="EZ398" s="205"/>
      <c r="FA398" s="205"/>
      <c r="FB398" s="205"/>
      <c r="FC398" s="205"/>
      <c r="FD398" s="205"/>
      <c r="FE398" s="205"/>
      <c r="FF398" s="205"/>
      <c r="FG398" s="205"/>
      <c r="FH398" s="205"/>
      <c r="FI398" s="205"/>
      <c r="FJ398" s="205"/>
      <c r="FK398" s="205"/>
      <c r="FL398" s="205"/>
      <c r="FM398" s="205"/>
      <c r="FN398" s="205"/>
      <c r="FO398" s="205"/>
      <c r="FP398" s="205"/>
      <c r="FQ398" s="205"/>
      <c r="FR398" s="205"/>
      <c r="FS398" s="205"/>
      <c r="FT398" s="205"/>
      <c r="FU398" s="205"/>
      <c r="FV398" s="205"/>
      <c r="FW398" s="205"/>
      <c r="FX398" s="205"/>
      <c r="FY398" s="205"/>
      <c r="FZ398" s="205"/>
      <c r="GA398" s="205"/>
      <c r="GB398" s="205"/>
      <c r="GC398" s="205"/>
      <c r="GD398" s="205"/>
      <c r="GE398" s="205"/>
      <c r="GF398" s="205"/>
      <c r="GG398" s="205"/>
      <c r="GH398" s="205"/>
      <c r="GI398" s="205"/>
      <c r="GJ398" s="205"/>
      <c r="GK398" s="205"/>
      <c r="GL398" s="205"/>
      <c r="GM398" s="205"/>
      <c r="GN398" s="205"/>
      <c r="GO398" s="205"/>
      <c r="GP398" s="205"/>
      <c r="GQ398" s="205"/>
      <c r="GR398" s="205"/>
      <c r="GS398" s="205"/>
      <c r="GT398" s="205"/>
      <c r="GU398" s="205"/>
      <c r="GV398" s="205"/>
      <c r="GW398" s="205"/>
      <c r="GX398" s="205"/>
      <c r="GY398" s="205"/>
      <c r="GZ398" s="205"/>
      <c r="HA398" s="205"/>
      <c r="HB398" s="205"/>
      <c r="HC398" s="205"/>
      <c r="HD398" s="205"/>
      <c r="HE398" s="205"/>
      <c r="HF398" s="205"/>
      <c r="HG398" s="205"/>
      <c r="HH398" s="205"/>
      <c r="HI398" s="205"/>
      <c r="HJ398" s="205"/>
      <c r="HK398" s="205"/>
      <c r="HL398" s="205"/>
      <c r="HM398" s="205"/>
      <c r="HN398" s="205"/>
      <c r="HO398" s="205"/>
      <c r="HP398" s="205"/>
      <c r="HQ398" s="205"/>
      <c r="HR398" s="205"/>
      <c r="HS398" s="205"/>
      <c r="HT398" s="205"/>
      <c r="HU398" s="205"/>
      <c r="HV398" s="205"/>
      <c r="HW398" s="205"/>
      <c r="HX398" s="205"/>
      <c r="HY398" s="205"/>
      <c r="HZ398" s="205"/>
      <c r="IA398" s="205"/>
      <c r="IB398" s="205"/>
      <c r="IC398" s="205"/>
      <c r="ID398" s="205"/>
      <c r="IE398" s="205"/>
      <c r="IF398" s="205"/>
      <c r="IG398" s="205"/>
      <c r="IH398" s="205"/>
      <c r="II398" s="205"/>
      <c r="IJ398" s="205"/>
      <c r="IK398" s="205"/>
      <c r="IL398" s="205"/>
      <c r="IM398" s="205"/>
      <c r="IN398" s="205"/>
      <c r="IO398" s="205"/>
      <c r="IP398" s="205"/>
      <c r="IQ398" s="205"/>
      <c r="IR398" s="205"/>
      <c r="IS398" s="205"/>
      <c r="IT398" s="205"/>
      <c r="IU398" s="205"/>
      <c r="IV398" s="205"/>
      <c r="IW398" s="205"/>
      <c r="IX398" s="205"/>
    </row>
    <row r="399" spans="1:258" s="203" customFormat="1" x14ac:dyDescent="0.2">
      <c r="A399" s="669"/>
      <c r="B399" s="670">
        <f>RAB!B128</f>
        <v>9</v>
      </c>
      <c r="C399" s="686" t="e">
        <f>RAB!D128</f>
        <v>#REF!</v>
      </c>
      <c r="D399" s="672"/>
      <c r="E399" s="673"/>
      <c r="F399" s="673"/>
      <c r="G399" s="674"/>
      <c r="H399" s="675">
        <f>H386</f>
        <v>31</v>
      </c>
      <c r="I399" s="676"/>
      <c r="J399" s="676"/>
      <c r="K399" s="676"/>
      <c r="L399" s="676"/>
      <c r="M399" s="676"/>
      <c r="N399" s="676"/>
      <c r="O399" s="676"/>
      <c r="P399" s="676"/>
      <c r="Q399" s="1394" t="s">
        <v>696</v>
      </c>
      <c r="R399" s="1395">
        <f t="shared" si="164"/>
        <v>31</v>
      </c>
      <c r="S399" s="1396">
        <f t="shared" si="162"/>
        <v>31</v>
      </c>
      <c r="T399" s="1397" t="s">
        <v>268</v>
      </c>
      <c r="U399" s="205"/>
      <c r="V399" s="685"/>
      <c r="W399" s="205"/>
      <c r="X399" s="205"/>
      <c r="Y399" s="205"/>
      <c r="Z399" s="205"/>
      <c r="AA399" s="205"/>
      <c r="AB399" s="205"/>
      <c r="AC399" s="205"/>
      <c r="AD399" s="205"/>
      <c r="AE399" s="205"/>
      <c r="AF399" s="205"/>
      <c r="AG399" s="205"/>
      <c r="AH399" s="205"/>
      <c r="AI399" s="205"/>
      <c r="AJ399" s="205"/>
      <c r="AK399" s="205"/>
      <c r="AL399" s="205"/>
      <c r="AM399" s="205"/>
      <c r="AN399" s="205"/>
      <c r="AO399" s="205"/>
      <c r="AP399" s="205"/>
      <c r="AQ399" s="205"/>
      <c r="AR399" s="205"/>
      <c r="AS399" s="205"/>
      <c r="AT399" s="205"/>
      <c r="AU399" s="205"/>
      <c r="AV399" s="205"/>
      <c r="AW399" s="205"/>
      <c r="AX399" s="205"/>
      <c r="AY399" s="205"/>
      <c r="AZ399" s="205"/>
      <c r="BA399" s="205"/>
      <c r="BB399" s="205"/>
      <c r="BC399" s="205"/>
      <c r="BD399" s="205"/>
      <c r="BE399" s="205"/>
      <c r="BF399" s="205"/>
      <c r="BG399" s="205"/>
      <c r="BH399" s="205"/>
      <c r="BI399" s="205"/>
      <c r="BJ399" s="205"/>
      <c r="BK399" s="205"/>
      <c r="BL399" s="205"/>
      <c r="BM399" s="205"/>
      <c r="BN399" s="205"/>
      <c r="BO399" s="205"/>
      <c r="BP399" s="205"/>
      <c r="BQ399" s="205"/>
      <c r="BR399" s="205"/>
      <c r="BS399" s="205"/>
      <c r="BT399" s="205"/>
      <c r="BU399" s="205"/>
      <c r="BV399" s="205"/>
      <c r="BW399" s="205"/>
      <c r="BX399" s="205"/>
      <c r="BY399" s="205"/>
      <c r="BZ399" s="205"/>
      <c r="CA399" s="205"/>
      <c r="CB399" s="205"/>
      <c r="CC399" s="205"/>
      <c r="CD399" s="205"/>
      <c r="CE399" s="205"/>
      <c r="CF399" s="205"/>
      <c r="CG399" s="205"/>
      <c r="CH399" s="205"/>
      <c r="CI399" s="205"/>
      <c r="CJ399" s="205"/>
      <c r="CK399" s="205"/>
      <c r="CL399" s="205"/>
      <c r="CM399" s="205"/>
      <c r="CN399" s="205"/>
      <c r="CO399" s="205"/>
      <c r="CP399" s="205"/>
      <c r="CQ399" s="205"/>
      <c r="CR399" s="205"/>
      <c r="CS399" s="205"/>
      <c r="CT399" s="205"/>
      <c r="CU399" s="205"/>
      <c r="CV399" s="205"/>
      <c r="CW399" s="205"/>
      <c r="CX399" s="205"/>
      <c r="CY399" s="205"/>
      <c r="CZ399" s="205"/>
      <c r="DA399" s="205"/>
      <c r="DB399" s="205"/>
      <c r="DC399" s="205"/>
      <c r="DD399" s="205"/>
      <c r="DE399" s="205"/>
      <c r="DF399" s="205"/>
      <c r="DG399" s="205"/>
      <c r="DH399" s="205"/>
      <c r="DI399" s="205"/>
      <c r="DJ399" s="205"/>
      <c r="DK399" s="205"/>
      <c r="DL399" s="205"/>
      <c r="DM399" s="205"/>
      <c r="DN399" s="205"/>
      <c r="DO399" s="205"/>
      <c r="DP399" s="205"/>
      <c r="DQ399" s="205"/>
      <c r="DR399" s="205"/>
      <c r="DS399" s="205"/>
      <c r="DT399" s="205"/>
      <c r="DU399" s="205"/>
      <c r="DV399" s="205"/>
      <c r="DW399" s="205"/>
      <c r="DX399" s="205"/>
      <c r="DY399" s="205"/>
      <c r="DZ399" s="205"/>
      <c r="EA399" s="205"/>
      <c r="EB399" s="205"/>
      <c r="EC399" s="205"/>
      <c r="ED399" s="205"/>
      <c r="EE399" s="205"/>
      <c r="EF399" s="205"/>
      <c r="EG399" s="205"/>
      <c r="EH399" s="205"/>
      <c r="EI399" s="205"/>
      <c r="EJ399" s="205"/>
      <c r="EK399" s="205"/>
      <c r="EL399" s="205"/>
      <c r="EM399" s="205"/>
      <c r="EN399" s="205"/>
      <c r="EO399" s="205"/>
      <c r="EP399" s="205"/>
      <c r="EQ399" s="205"/>
      <c r="ER399" s="205"/>
      <c r="ES399" s="205"/>
      <c r="ET399" s="205"/>
      <c r="EU399" s="205"/>
      <c r="EV399" s="205"/>
      <c r="EW399" s="205"/>
      <c r="EX399" s="205"/>
      <c r="EY399" s="205"/>
      <c r="EZ399" s="205"/>
      <c r="FA399" s="205"/>
      <c r="FB399" s="205"/>
      <c r="FC399" s="205"/>
      <c r="FD399" s="205"/>
      <c r="FE399" s="205"/>
      <c r="FF399" s="205"/>
      <c r="FG399" s="205"/>
      <c r="FH399" s="205"/>
      <c r="FI399" s="205"/>
      <c r="FJ399" s="205"/>
      <c r="FK399" s="205"/>
      <c r="FL399" s="205"/>
      <c r="FM399" s="205"/>
      <c r="FN399" s="205"/>
      <c r="FO399" s="205"/>
      <c r="FP399" s="205"/>
      <c r="FQ399" s="205"/>
      <c r="FR399" s="205"/>
      <c r="FS399" s="205"/>
      <c r="FT399" s="205"/>
      <c r="FU399" s="205"/>
      <c r="FV399" s="205"/>
      <c r="FW399" s="205"/>
      <c r="FX399" s="205"/>
      <c r="FY399" s="205"/>
      <c r="FZ399" s="205"/>
      <c r="GA399" s="205"/>
      <c r="GB399" s="205"/>
      <c r="GC399" s="205"/>
      <c r="GD399" s="205"/>
      <c r="GE399" s="205"/>
      <c r="GF399" s="205"/>
      <c r="GG399" s="205"/>
      <c r="GH399" s="205"/>
      <c r="GI399" s="205"/>
      <c r="GJ399" s="205"/>
      <c r="GK399" s="205"/>
      <c r="GL399" s="205"/>
      <c r="GM399" s="205"/>
      <c r="GN399" s="205"/>
      <c r="GO399" s="205"/>
      <c r="GP399" s="205"/>
      <c r="GQ399" s="205"/>
      <c r="GR399" s="205"/>
      <c r="GS399" s="205"/>
      <c r="GT399" s="205"/>
      <c r="GU399" s="205"/>
      <c r="GV399" s="205"/>
      <c r="GW399" s="205"/>
      <c r="GX399" s="205"/>
      <c r="GY399" s="205"/>
      <c r="GZ399" s="205"/>
      <c r="HA399" s="205"/>
      <c r="HB399" s="205"/>
      <c r="HC399" s="205"/>
      <c r="HD399" s="205"/>
      <c r="HE399" s="205"/>
      <c r="HF399" s="205"/>
      <c r="HG399" s="205"/>
      <c r="HH399" s="205"/>
      <c r="HI399" s="205"/>
      <c r="HJ399" s="205"/>
      <c r="HK399" s="205"/>
      <c r="HL399" s="205"/>
      <c r="HM399" s="205"/>
      <c r="HN399" s="205"/>
      <c r="HO399" s="205"/>
      <c r="HP399" s="205"/>
      <c r="HQ399" s="205"/>
      <c r="HR399" s="205"/>
      <c r="HS399" s="205"/>
      <c r="HT399" s="205"/>
      <c r="HU399" s="205"/>
      <c r="HV399" s="205"/>
      <c r="HW399" s="205"/>
      <c r="HX399" s="205"/>
      <c r="HY399" s="205"/>
      <c r="HZ399" s="205"/>
      <c r="IA399" s="205"/>
      <c r="IB399" s="205"/>
      <c r="IC399" s="205"/>
      <c r="ID399" s="205"/>
      <c r="IE399" s="205"/>
      <c r="IF399" s="205"/>
      <c r="IG399" s="205"/>
      <c r="IH399" s="205"/>
      <c r="II399" s="205"/>
      <c r="IJ399" s="205"/>
      <c r="IK399" s="205"/>
      <c r="IL399" s="205"/>
      <c r="IM399" s="205"/>
      <c r="IN399" s="205"/>
      <c r="IO399" s="205"/>
      <c r="IP399" s="205"/>
      <c r="IQ399" s="205"/>
      <c r="IR399" s="205"/>
      <c r="IS399" s="205"/>
      <c r="IT399" s="205"/>
      <c r="IU399" s="205"/>
      <c r="IV399" s="205"/>
      <c r="IW399" s="205"/>
      <c r="IX399" s="205"/>
    </row>
    <row r="400" spans="1:258" s="203" customFormat="1" x14ac:dyDescent="0.2">
      <c r="A400" s="669"/>
      <c r="B400" s="670">
        <f>RAB!B129</f>
        <v>10</v>
      </c>
      <c r="C400" s="686" t="e">
        <f>RAB!D129</f>
        <v>#REF!</v>
      </c>
      <c r="D400" s="672"/>
      <c r="E400" s="673"/>
      <c r="F400" s="673"/>
      <c r="G400" s="674"/>
      <c r="H400" s="675">
        <v>2</v>
      </c>
      <c r="I400" s="676"/>
      <c r="J400" s="676"/>
      <c r="K400" s="676"/>
      <c r="L400" s="676"/>
      <c r="M400" s="676"/>
      <c r="N400" s="676"/>
      <c r="O400" s="676"/>
      <c r="P400" s="676"/>
      <c r="Q400" s="1394" t="s">
        <v>696</v>
      </c>
      <c r="R400" s="1395">
        <f t="shared" si="164"/>
        <v>2</v>
      </c>
      <c r="S400" s="1396">
        <f t="shared" si="162"/>
        <v>2</v>
      </c>
      <c r="T400" s="1397" t="s">
        <v>268</v>
      </c>
      <c r="U400" s="205"/>
      <c r="V400" s="685"/>
      <c r="W400" s="205"/>
      <c r="X400" s="205"/>
      <c r="Y400" s="205"/>
      <c r="Z400" s="205"/>
      <c r="AA400" s="205"/>
      <c r="AB400" s="205"/>
      <c r="AC400" s="205"/>
      <c r="AD400" s="205"/>
      <c r="AE400" s="205"/>
      <c r="AF400" s="205"/>
      <c r="AG400" s="205"/>
      <c r="AH400" s="205"/>
      <c r="AI400" s="205"/>
      <c r="AJ400" s="205"/>
      <c r="AK400" s="205"/>
      <c r="AL400" s="205"/>
      <c r="AM400" s="205"/>
      <c r="AN400" s="205"/>
      <c r="AO400" s="205"/>
      <c r="AP400" s="205"/>
      <c r="AQ400" s="205"/>
      <c r="AR400" s="205"/>
      <c r="AS400" s="205"/>
      <c r="AT400" s="205"/>
      <c r="AU400" s="205"/>
      <c r="AV400" s="205"/>
      <c r="AW400" s="205"/>
      <c r="AX400" s="205"/>
      <c r="AY400" s="205"/>
      <c r="AZ400" s="205"/>
      <c r="BA400" s="205"/>
      <c r="BB400" s="205"/>
      <c r="BC400" s="205"/>
      <c r="BD400" s="205"/>
      <c r="BE400" s="205"/>
      <c r="BF400" s="205"/>
      <c r="BG400" s="205"/>
      <c r="BH400" s="205"/>
      <c r="BI400" s="205"/>
      <c r="BJ400" s="205"/>
      <c r="BK400" s="205"/>
      <c r="BL400" s="205"/>
      <c r="BM400" s="205"/>
      <c r="BN400" s="205"/>
      <c r="BO400" s="205"/>
      <c r="BP400" s="205"/>
      <c r="BQ400" s="205"/>
      <c r="BR400" s="205"/>
      <c r="BS400" s="205"/>
      <c r="BT400" s="205"/>
      <c r="BU400" s="205"/>
      <c r="BV400" s="205"/>
      <c r="BW400" s="205"/>
      <c r="BX400" s="205"/>
      <c r="BY400" s="205"/>
      <c r="BZ400" s="205"/>
      <c r="CA400" s="205"/>
      <c r="CB400" s="205"/>
      <c r="CC400" s="205"/>
      <c r="CD400" s="205"/>
      <c r="CE400" s="205"/>
      <c r="CF400" s="205"/>
      <c r="CG400" s="205"/>
      <c r="CH400" s="205"/>
      <c r="CI400" s="205"/>
      <c r="CJ400" s="205"/>
      <c r="CK400" s="205"/>
      <c r="CL400" s="205"/>
      <c r="CM400" s="205"/>
      <c r="CN400" s="205"/>
      <c r="CO400" s="205"/>
      <c r="CP400" s="205"/>
      <c r="CQ400" s="205"/>
      <c r="CR400" s="205"/>
      <c r="CS400" s="205"/>
      <c r="CT400" s="205"/>
      <c r="CU400" s="205"/>
      <c r="CV400" s="205"/>
      <c r="CW400" s="205"/>
      <c r="CX400" s="205"/>
      <c r="CY400" s="205"/>
      <c r="CZ400" s="205"/>
      <c r="DA400" s="205"/>
      <c r="DB400" s="205"/>
      <c r="DC400" s="205"/>
      <c r="DD400" s="205"/>
      <c r="DE400" s="205"/>
      <c r="DF400" s="205"/>
      <c r="DG400" s="205"/>
      <c r="DH400" s="205"/>
      <c r="DI400" s="205"/>
      <c r="DJ400" s="205"/>
      <c r="DK400" s="205"/>
      <c r="DL400" s="205"/>
      <c r="DM400" s="205"/>
      <c r="DN400" s="205"/>
      <c r="DO400" s="205"/>
      <c r="DP400" s="205"/>
      <c r="DQ400" s="205"/>
      <c r="DR400" s="205"/>
      <c r="DS400" s="205"/>
      <c r="DT400" s="205"/>
      <c r="DU400" s="205"/>
      <c r="DV400" s="205"/>
      <c r="DW400" s="205"/>
      <c r="DX400" s="205"/>
      <c r="DY400" s="205"/>
      <c r="DZ400" s="205"/>
      <c r="EA400" s="205"/>
      <c r="EB400" s="205"/>
      <c r="EC400" s="205"/>
      <c r="ED400" s="205"/>
      <c r="EE400" s="205"/>
      <c r="EF400" s="205"/>
      <c r="EG400" s="205"/>
      <c r="EH400" s="205"/>
      <c r="EI400" s="205"/>
      <c r="EJ400" s="205"/>
      <c r="EK400" s="205"/>
      <c r="EL400" s="205"/>
      <c r="EM400" s="205"/>
      <c r="EN400" s="205"/>
      <c r="EO400" s="205"/>
      <c r="EP400" s="205"/>
      <c r="EQ400" s="205"/>
      <c r="ER400" s="205"/>
      <c r="ES400" s="205"/>
      <c r="ET400" s="205"/>
      <c r="EU400" s="205"/>
      <c r="EV400" s="205"/>
      <c r="EW400" s="205"/>
      <c r="EX400" s="205"/>
      <c r="EY400" s="205"/>
      <c r="EZ400" s="205"/>
      <c r="FA400" s="205"/>
      <c r="FB400" s="205"/>
      <c r="FC400" s="205"/>
      <c r="FD400" s="205"/>
      <c r="FE400" s="205"/>
      <c r="FF400" s="205"/>
      <c r="FG400" s="205"/>
      <c r="FH400" s="205"/>
      <c r="FI400" s="205"/>
      <c r="FJ400" s="205"/>
      <c r="FK400" s="205"/>
      <c r="FL400" s="205"/>
      <c r="FM400" s="205"/>
      <c r="FN400" s="205"/>
      <c r="FO400" s="205"/>
      <c r="FP400" s="205"/>
      <c r="FQ400" s="205"/>
      <c r="FR400" s="205"/>
      <c r="FS400" s="205"/>
      <c r="FT400" s="205"/>
      <c r="FU400" s="205"/>
      <c r="FV400" s="205"/>
      <c r="FW400" s="205"/>
      <c r="FX400" s="205"/>
      <c r="FY400" s="205"/>
      <c r="FZ400" s="205"/>
      <c r="GA400" s="205"/>
      <c r="GB400" s="205"/>
      <c r="GC400" s="205"/>
      <c r="GD400" s="205"/>
      <c r="GE400" s="205"/>
      <c r="GF400" s="205"/>
      <c r="GG400" s="205"/>
      <c r="GH400" s="205"/>
      <c r="GI400" s="205"/>
      <c r="GJ400" s="205"/>
      <c r="GK400" s="205"/>
      <c r="GL400" s="205"/>
      <c r="GM400" s="205"/>
      <c r="GN400" s="205"/>
      <c r="GO400" s="205"/>
      <c r="GP400" s="205"/>
      <c r="GQ400" s="205"/>
      <c r="GR400" s="205"/>
      <c r="GS400" s="205"/>
      <c r="GT400" s="205"/>
      <c r="GU400" s="205"/>
      <c r="GV400" s="205"/>
      <c r="GW400" s="205"/>
      <c r="GX400" s="205"/>
      <c r="GY400" s="205"/>
      <c r="GZ400" s="205"/>
      <c r="HA400" s="205"/>
      <c r="HB400" s="205"/>
      <c r="HC400" s="205"/>
      <c r="HD400" s="205"/>
      <c r="HE400" s="205"/>
      <c r="HF400" s="205"/>
      <c r="HG400" s="205"/>
      <c r="HH400" s="205"/>
      <c r="HI400" s="205"/>
      <c r="HJ400" s="205"/>
      <c r="HK400" s="205"/>
      <c r="HL400" s="205"/>
      <c r="HM400" s="205"/>
      <c r="HN400" s="205"/>
      <c r="HO400" s="205"/>
      <c r="HP400" s="205"/>
      <c r="HQ400" s="205"/>
      <c r="HR400" s="205"/>
      <c r="HS400" s="205"/>
      <c r="HT400" s="205"/>
      <c r="HU400" s="205"/>
      <c r="HV400" s="205"/>
      <c r="HW400" s="205"/>
      <c r="HX400" s="205"/>
      <c r="HY400" s="205"/>
      <c r="HZ400" s="205"/>
      <c r="IA400" s="205"/>
      <c r="IB400" s="205"/>
      <c r="IC400" s="205"/>
      <c r="ID400" s="205"/>
      <c r="IE400" s="205"/>
      <c r="IF400" s="205"/>
      <c r="IG400" s="205"/>
      <c r="IH400" s="205"/>
      <c r="II400" s="205"/>
      <c r="IJ400" s="205"/>
      <c r="IK400" s="205"/>
      <c r="IL400" s="205"/>
      <c r="IM400" s="205"/>
      <c r="IN400" s="205"/>
      <c r="IO400" s="205"/>
      <c r="IP400" s="205"/>
      <c r="IQ400" s="205"/>
      <c r="IR400" s="205"/>
      <c r="IS400" s="205"/>
      <c r="IT400" s="205"/>
      <c r="IU400" s="205"/>
      <c r="IV400" s="205"/>
      <c r="IW400" s="205"/>
      <c r="IX400" s="205"/>
    </row>
    <row r="401" spans="1:258" s="203" customFormat="1" x14ac:dyDescent="0.2">
      <c r="A401" s="669"/>
      <c r="B401" s="670">
        <f>RAB!B130</f>
        <v>11</v>
      </c>
      <c r="C401" s="686" t="e">
        <f>RAB!D130</f>
        <v>#REF!</v>
      </c>
      <c r="D401" s="672"/>
      <c r="E401" s="673"/>
      <c r="F401" s="673"/>
      <c r="G401" s="674"/>
      <c r="H401" s="675">
        <f>H400</f>
        <v>2</v>
      </c>
      <c r="I401" s="676"/>
      <c r="J401" s="676"/>
      <c r="K401" s="676"/>
      <c r="L401" s="676"/>
      <c r="M401" s="676"/>
      <c r="N401" s="676"/>
      <c r="O401" s="676"/>
      <c r="P401" s="676"/>
      <c r="Q401" s="1394" t="s">
        <v>696</v>
      </c>
      <c r="R401" s="1395">
        <f t="shared" si="164"/>
        <v>2</v>
      </c>
      <c r="S401" s="1396">
        <f t="shared" si="162"/>
        <v>2</v>
      </c>
      <c r="T401" s="1397" t="s">
        <v>268</v>
      </c>
      <c r="U401" s="205"/>
      <c r="V401" s="68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05"/>
      <c r="BE401" s="205"/>
      <c r="BF401" s="205"/>
      <c r="BG401" s="205"/>
      <c r="BH401" s="205"/>
      <c r="BI401" s="205"/>
      <c r="BJ401" s="205"/>
      <c r="BK401" s="205"/>
      <c r="BL401" s="205"/>
      <c r="BM401" s="205"/>
      <c r="BN401" s="205"/>
      <c r="BO401" s="205"/>
      <c r="BP401" s="205"/>
      <c r="BQ401" s="205"/>
      <c r="BR401" s="205"/>
      <c r="BS401" s="205"/>
      <c r="BT401" s="205"/>
      <c r="BU401" s="205"/>
      <c r="BV401" s="205"/>
      <c r="BW401" s="205"/>
      <c r="BX401" s="205"/>
      <c r="BY401" s="205"/>
      <c r="BZ401" s="205"/>
      <c r="CA401" s="205"/>
      <c r="CB401" s="205"/>
      <c r="CC401" s="205"/>
      <c r="CD401" s="205"/>
      <c r="CE401" s="205"/>
      <c r="CF401" s="205"/>
      <c r="CG401" s="205"/>
      <c r="CH401" s="205"/>
      <c r="CI401" s="205"/>
      <c r="CJ401" s="205"/>
      <c r="CK401" s="205"/>
      <c r="CL401" s="205"/>
      <c r="CM401" s="205"/>
      <c r="CN401" s="205"/>
      <c r="CO401" s="205"/>
      <c r="CP401" s="205"/>
      <c r="CQ401" s="205"/>
      <c r="CR401" s="205"/>
      <c r="CS401" s="205"/>
      <c r="CT401" s="205"/>
      <c r="CU401" s="205"/>
      <c r="CV401" s="205"/>
      <c r="CW401" s="205"/>
      <c r="CX401" s="205"/>
      <c r="CY401" s="205"/>
      <c r="CZ401" s="205"/>
      <c r="DA401" s="205"/>
      <c r="DB401" s="205"/>
      <c r="DC401" s="205"/>
      <c r="DD401" s="205"/>
      <c r="DE401" s="205"/>
      <c r="DF401" s="205"/>
      <c r="DG401" s="205"/>
      <c r="DH401" s="205"/>
      <c r="DI401" s="205"/>
      <c r="DJ401" s="205"/>
      <c r="DK401" s="205"/>
      <c r="DL401" s="205"/>
      <c r="DM401" s="205"/>
      <c r="DN401" s="205"/>
      <c r="DO401" s="205"/>
      <c r="DP401" s="205"/>
      <c r="DQ401" s="205"/>
      <c r="DR401" s="205"/>
      <c r="DS401" s="205"/>
      <c r="DT401" s="205"/>
      <c r="DU401" s="205"/>
      <c r="DV401" s="205"/>
      <c r="DW401" s="205"/>
      <c r="DX401" s="205"/>
      <c r="DY401" s="205"/>
      <c r="DZ401" s="205"/>
      <c r="EA401" s="205"/>
      <c r="EB401" s="205"/>
      <c r="EC401" s="205"/>
      <c r="ED401" s="205"/>
      <c r="EE401" s="205"/>
      <c r="EF401" s="205"/>
      <c r="EG401" s="205"/>
      <c r="EH401" s="205"/>
      <c r="EI401" s="205"/>
      <c r="EJ401" s="205"/>
      <c r="EK401" s="205"/>
      <c r="EL401" s="205"/>
      <c r="EM401" s="205"/>
      <c r="EN401" s="205"/>
      <c r="EO401" s="205"/>
      <c r="EP401" s="205"/>
      <c r="EQ401" s="205"/>
      <c r="ER401" s="205"/>
      <c r="ES401" s="205"/>
      <c r="ET401" s="205"/>
      <c r="EU401" s="205"/>
      <c r="EV401" s="205"/>
      <c r="EW401" s="205"/>
      <c r="EX401" s="205"/>
      <c r="EY401" s="205"/>
      <c r="EZ401" s="205"/>
      <c r="FA401" s="205"/>
      <c r="FB401" s="205"/>
      <c r="FC401" s="205"/>
      <c r="FD401" s="205"/>
      <c r="FE401" s="205"/>
      <c r="FF401" s="205"/>
      <c r="FG401" s="205"/>
      <c r="FH401" s="205"/>
      <c r="FI401" s="205"/>
      <c r="FJ401" s="205"/>
      <c r="FK401" s="205"/>
      <c r="FL401" s="205"/>
      <c r="FM401" s="205"/>
      <c r="FN401" s="205"/>
      <c r="FO401" s="205"/>
      <c r="FP401" s="205"/>
      <c r="FQ401" s="205"/>
      <c r="FR401" s="205"/>
      <c r="FS401" s="205"/>
      <c r="FT401" s="205"/>
      <c r="FU401" s="205"/>
      <c r="FV401" s="205"/>
      <c r="FW401" s="205"/>
      <c r="FX401" s="205"/>
      <c r="FY401" s="205"/>
      <c r="FZ401" s="205"/>
      <c r="GA401" s="205"/>
      <c r="GB401" s="205"/>
      <c r="GC401" s="205"/>
      <c r="GD401" s="205"/>
      <c r="GE401" s="205"/>
      <c r="GF401" s="205"/>
      <c r="GG401" s="205"/>
      <c r="GH401" s="205"/>
      <c r="GI401" s="205"/>
      <c r="GJ401" s="205"/>
      <c r="GK401" s="205"/>
      <c r="GL401" s="205"/>
      <c r="GM401" s="205"/>
      <c r="GN401" s="205"/>
      <c r="GO401" s="205"/>
      <c r="GP401" s="205"/>
      <c r="GQ401" s="205"/>
      <c r="GR401" s="205"/>
      <c r="GS401" s="205"/>
      <c r="GT401" s="205"/>
      <c r="GU401" s="205"/>
      <c r="GV401" s="205"/>
      <c r="GW401" s="205"/>
      <c r="GX401" s="205"/>
      <c r="GY401" s="205"/>
      <c r="GZ401" s="205"/>
      <c r="HA401" s="205"/>
      <c r="HB401" s="205"/>
      <c r="HC401" s="205"/>
      <c r="HD401" s="205"/>
      <c r="HE401" s="205"/>
      <c r="HF401" s="205"/>
      <c r="HG401" s="205"/>
      <c r="HH401" s="205"/>
      <c r="HI401" s="205"/>
      <c r="HJ401" s="205"/>
      <c r="HK401" s="205"/>
      <c r="HL401" s="205"/>
      <c r="HM401" s="205"/>
      <c r="HN401" s="205"/>
      <c r="HO401" s="205"/>
      <c r="HP401" s="205"/>
      <c r="HQ401" s="205"/>
      <c r="HR401" s="205"/>
      <c r="HS401" s="205"/>
      <c r="HT401" s="205"/>
      <c r="HU401" s="205"/>
      <c r="HV401" s="205"/>
      <c r="HW401" s="205"/>
      <c r="HX401" s="205"/>
      <c r="HY401" s="205"/>
      <c r="HZ401" s="205"/>
      <c r="IA401" s="205"/>
      <c r="IB401" s="205"/>
      <c r="IC401" s="205"/>
      <c r="ID401" s="205"/>
      <c r="IE401" s="205"/>
      <c r="IF401" s="205"/>
      <c r="IG401" s="205"/>
      <c r="IH401" s="205"/>
      <c r="II401" s="205"/>
      <c r="IJ401" s="205"/>
      <c r="IK401" s="205"/>
      <c r="IL401" s="205"/>
      <c r="IM401" s="205"/>
      <c r="IN401" s="205"/>
      <c r="IO401" s="205"/>
      <c r="IP401" s="205"/>
      <c r="IQ401" s="205"/>
      <c r="IR401" s="205"/>
      <c r="IS401" s="205"/>
      <c r="IT401" s="205"/>
      <c r="IU401" s="205"/>
      <c r="IV401" s="205"/>
      <c r="IW401" s="205"/>
      <c r="IX401" s="205"/>
    </row>
    <row r="402" spans="1:258" s="203" customFormat="1" x14ac:dyDescent="0.2">
      <c r="A402" s="669"/>
      <c r="B402" s="670"/>
      <c r="C402" s="686"/>
      <c r="D402" s="672"/>
      <c r="E402" s="673"/>
      <c r="F402" s="673"/>
      <c r="G402" s="674"/>
      <c r="H402" s="675"/>
      <c r="I402" s="676"/>
      <c r="J402" s="676"/>
      <c r="K402" s="676"/>
      <c r="L402" s="676"/>
      <c r="M402" s="676"/>
      <c r="N402" s="676"/>
      <c r="O402" s="676"/>
      <c r="P402" s="676"/>
      <c r="Q402" s="676"/>
      <c r="R402" s="677"/>
      <c r="S402" s="678"/>
      <c r="T402" s="684"/>
      <c r="U402" s="205"/>
      <c r="V402" s="685"/>
      <c r="W402" s="205"/>
      <c r="X402" s="205"/>
      <c r="Y402" s="205"/>
      <c r="Z402" s="205"/>
      <c r="AA402" s="205"/>
      <c r="AB402" s="205"/>
      <c r="AC402" s="205"/>
      <c r="AD402" s="205"/>
      <c r="AE402" s="205"/>
      <c r="AF402" s="205"/>
      <c r="AG402" s="205"/>
      <c r="AH402" s="205"/>
      <c r="AI402" s="205"/>
      <c r="AJ402" s="205"/>
      <c r="AK402" s="205"/>
      <c r="AL402" s="205"/>
      <c r="AM402" s="205"/>
      <c r="AN402" s="205"/>
      <c r="AO402" s="205"/>
      <c r="AP402" s="205"/>
      <c r="AQ402" s="205"/>
      <c r="AR402" s="205"/>
      <c r="AS402" s="205"/>
      <c r="AT402" s="205"/>
      <c r="AU402" s="205"/>
      <c r="AV402" s="205"/>
      <c r="AW402" s="205"/>
      <c r="AX402" s="205"/>
      <c r="AY402" s="205"/>
      <c r="AZ402" s="205"/>
      <c r="BA402" s="205"/>
      <c r="BB402" s="205"/>
      <c r="BC402" s="205"/>
      <c r="BD402" s="205"/>
      <c r="BE402" s="205"/>
      <c r="BF402" s="205"/>
      <c r="BG402" s="205"/>
      <c r="BH402" s="205"/>
      <c r="BI402" s="205"/>
      <c r="BJ402" s="205"/>
      <c r="BK402" s="205"/>
      <c r="BL402" s="205"/>
      <c r="BM402" s="205"/>
      <c r="BN402" s="205"/>
      <c r="BO402" s="205"/>
      <c r="BP402" s="205"/>
      <c r="BQ402" s="205"/>
      <c r="BR402" s="205"/>
      <c r="BS402" s="205"/>
      <c r="BT402" s="205"/>
      <c r="BU402" s="205"/>
      <c r="BV402" s="205"/>
      <c r="BW402" s="205"/>
      <c r="BX402" s="205"/>
      <c r="BY402" s="205"/>
      <c r="BZ402" s="205"/>
      <c r="CA402" s="205"/>
      <c r="CB402" s="205"/>
      <c r="CC402" s="205"/>
      <c r="CD402" s="205"/>
      <c r="CE402" s="205"/>
      <c r="CF402" s="205"/>
      <c r="CG402" s="205"/>
      <c r="CH402" s="205"/>
      <c r="CI402" s="205"/>
      <c r="CJ402" s="205"/>
      <c r="CK402" s="205"/>
      <c r="CL402" s="205"/>
      <c r="CM402" s="205"/>
      <c r="CN402" s="205"/>
      <c r="CO402" s="205"/>
      <c r="CP402" s="205"/>
      <c r="CQ402" s="205"/>
      <c r="CR402" s="205"/>
      <c r="CS402" s="205"/>
      <c r="CT402" s="205"/>
      <c r="CU402" s="205"/>
      <c r="CV402" s="205"/>
      <c r="CW402" s="205"/>
      <c r="CX402" s="205"/>
      <c r="CY402" s="205"/>
      <c r="CZ402" s="205"/>
      <c r="DA402" s="205"/>
      <c r="DB402" s="205"/>
      <c r="DC402" s="205"/>
      <c r="DD402" s="205"/>
      <c r="DE402" s="205"/>
      <c r="DF402" s="205"/>
      <c r="DG402" s="205"/>
      <c r="DH402" s="205"/>
      <c r="DI402" s="205"/>
      <c r="DJ402" s="205"/>
      <c r="DK402" s="205"/>
      <c r="DL402" s="205"/>
      <c r="DM402" s="205"/>
      <c r="DN402" s="205"/>
      <c r="DO402" s="205"/>
      <c r="DP402" s="205"/>
      <c r="DQ402" s="205"/>
      <c r="DR402" s="205"/>
      <c r="DS402" s="205"/>
      <c r="DT402" s="205"/>
      <c r="DU402" s="205"/>
      <c r="DV402" s="205"/>
      <c r="DW402" s="205"/>
      <c r="DX402" s="205"/>
      <c r="DY402" s="205"/>
      <c r="DZ402" s="205"/>
      <c r="EA402" s="205"/>
      <c r="EB402" s="205"/>
      <c r="EC402" s="205"/>
      <c r="ED402" s="205"/>
      <c r="EE402" s="205"/>
      <c r="EF402" s="205"/>
      <c r="EG402" s="205"/>
      <c r="EH402" s="205"/>
      <c r="EI402" s="205"/>
      <c r="EJ402" s="205"/>
      <c r="EK402" s="205"/>
      <c r="EL402" s="205"/>
      <c r="EM402" s="205"/>
      <c r="EN402" s="205"/>
      <c r="EO402" s="205"/>
      <c r="EP402" s="205"/>
      <c r="EQ402" s="205"/>
      <c r="ER402" s="205"/>
      <c r="ES402" s="205"/>
      <c r="ET402" s="205"/>
      <c r="EU402" s="205"/>
      <c r="EV402" s="205"/>
      <c r="EW402" s="205"/>
      <c r="EX402" s="205"/>
      <c r="EY402" s="205"/>
      <c r="EZ402" s="205"/>
      <c r="FA402" s="205"/>
      <c r="FB402" s="205"/>
      <c r="FC402" s="205"/>
      <c r="FD402" s="205"/>
      <c r="FE402" s="205"/>
      <c r="FF402" s="205"/>
      <c r="FG402" s="205"/>
      <c r="FH402" s="205"/>
      <c r="FI402" s="205"/>
      <c r="FJ402" s="205"/>
      <c r="FK402" s="205"/>
      <c r="FL402" s="205"/>
      <c r="FM402" s="205"/>
      <c r="FN402" s="205"/>
      <c r="FO402" s="205"/>
      <c r="FP402" s="205"/>
      <c r="FQ402" s="205"/>
      <c r="FR402" s="205"/>
      <c r="FS402" s="205"/>
      <c r="FT402" s="205"/>
      <c r="FU402" s="205"/>
      <c r="FV402" s="205"/>
      <c r="FW402" s="205"/>
      <c r="FX402" s="205"/>
      <c r="FY402" s="205"/>
      <c r="FZ402" s="205"/>
      <c r="GA402" s="205"/>
      <c r="GB402" s="205"/>
      <c r="GC402" s="205"/>
      <c r="GD402" s="205"/>
      <c r="GE402" s="205"/>
      <c r="GF402" s="205"/>
      <c r="GG402" s="205"/>
      <c r="GH402" s="205"/>
      <c r="GI402" s="205"/>
      <c r="GJ402" s="205"/>
      <c r="GK402" s="205"/>
      <c r="GL402" s="205"/>
      <c r="GM402" s="205"/>
      <c r="GN402" s="205"/>
      <c r="GO402" s="205"/>
      <c r="GP402" s="205"/>
      <c r="GQ402" s="205"/>
      <c r="GR402" s="205"/>
      <c r="GS402" s="205"/>
      <c r="GT402" s="205"/>
      <c r="GU402" s="205"/>
      <c r="GV402" s="205"/>
      <c r="GW402" s="205"/>
      <c r="GX402" s="205"/>
      <c r="GY402" s="205"/>
      <c r="GZ402" s="205"/>
      <c r="HA402" s="205"/>
      <c r="HB402" s="205"/>
      <c r="HC402" s="205"/>
      <c r="HD402" s="205"/>
      <c r="HE402" s="205"/>
      <c r="HF402" s="205"/>
      <c r="HG402" s="205"/>
      <c r="HH402" s="205"/>
      <c r="HI402" s="205"/>
      <c r="HJ402" s="205"/>
      <c r="HK402" s="205"/>
      <c r="HL402" s="205"/>
      <c r="HM402" s="205"/>
      <c r="HN402" s="205"/>
      <c r="HO402" s="205"/>
      <c r="HP402" s="205"/>
      <c r="HQ402" s="205"/>
      <c r="HR402" s="205"/>
      <c r="HS402" s="205"/>
      <c r="HT402" s="205"/>
      <c r="HU402" s="205"/>
      <c r="HV402" s="205"/>
      <c r="HW402" s="205"/>
      <c r="HX402" s="205"/>
      <c r="HY402" s="205"/>
      <c r="HZ402" s="205"/>
      <c r="IA402" s="205"/>
      <c r="IB402" s="205"/>
      <c r="IC402" s="205"/>
      <c r="ID402" s="205"/>
      <c r="IE402" s="205"/>
      <c r="IF402" s="205"/>
      <c r="IG402" s="205"/>
      <c r="IH402" s="205"/>
      <c r="II402" s="205"/>
      <c r="IJ402" s="205"/>
      <c r="IK402" s="205"/>
      <c r="IL402" s="205"/>
      <c r="IM402" s="205"/>
      <c r="IN402" s="205"/>
      <c r="IO402" s="205"/>
      <c r="IP402" s="205"/>
      <c r="IQ402" s="205"/>
      <c r="IR402" s="205"/>
      <c r="IS402" s="205"/>
      <c r="IT402" s="205"/>
      <c r="IU402" s="205"/>
      <c r="IV402" s="205"/>
      <c r="IW402" s="205"/>
      <c r="IX402" s="205"/>
    </row>
    <row r="403" spans="1:258" s="203" customFormat="1" x14ac:dyDescent="0.2">
      <c r="A403" s="669"/>
      <c r="B403" s="670"/>
      <c r="C403" s="686"/>
      <c r="D403" s="672"/>
      <c r="E403" s="673"/>
      <c r="F403" s="673"/>
      <c r="G403" s="674"/>
      <c r="H403" s="675"/>
      <c r="I403" s="676"/>
      <c r="J403" s="676"/>
      <c r="K403" s="676"/>
      <c r="L403" s="676"/>
      <c r="M403" s="676"/>
      <c r="N403" s="676"/>
      <c r="O403" s="676"/>
      <c r="P403" s="676"/>
      <c r="Q403" s="676"/>
      <c r="R403" s="677"/>
      <c r="S403" s="678"/>
      <c r="T403" s="684"/>
      <c r="U403" s="205"/>
      <c r="V403" s="685"/>
      <c r="W403" s="205"/>
      <c r="X403" s="205"/>
      <c r="Y403" s="205"/>
      <c r="Z403" s="205"/>
      <c r="AA403" s="205"/>
      <c r="AB403" s="205"/>
      <c r="AC403" s="205"/>
      <c r="AD403" s="205"/>
      <c r="AE403" s="205"/>
      <c r="AF403" s="205"/>
      <c r="AG403" s="205"/>
      <c r="AH403" s="205"/>
      <c r="AI403" s="205"/>
      <c r="AJ403" s="205"/>
      <c r="AK403" s="205"/>
      <c r="AL403" s="205"/>
      <c r="AM403" s="205"/>
      <c r="AN403" s="205"/>
      <c r="AO403" s="205"/>
      <c r="AP403" s="205"/>
      <c r="AQ403" s="205"/>
      <c r="AR403" s="205"/>
      <c r="AS403" s="205"/>
      <c r="AT403" s="205"/>
      <c r="AU403" s="205"/>
      <c r="AV403" s="205"/>
      <c r="AW403" s="205"/>
      <c r="AX403" s="205"/>
      <c r="AY403" s="205"/>
      <c r="AZ403" s="205"/>
      <c r="BA403" s="205"/>
      <c r="BB403" s="205"/>
      <c r="BC403" s="205"/>
      <c r="BD403" s="205"/>
      <c r="BE403" s="205"/>
      <c r="BF403" s="205"/>
      <c r="BG403" s="205"/>
      <c r="BH403" s="205"/>
      <c r="BI403" s="205"/>
      <c r="BJ403" s="205"/>
      <c r="BK403" s="205"/>
      <c r="BL403" s="205"/>
      <c r="BM403" s="205"/>
      <c r="BN403" s="205"/>
      <c r="BO403" s="205"/>
      <c r="BP403" s="205"/>
      <c r="BQ403" s="205"/>
      <c r="BR403" s="205"/>
      <c r="BS403" s="205"/>
      <c r="BT403" s="205"/>
      <c r="BU403" s="205"/>
      <c r="BV403" s="205"/>
      <c r="BW403" s="205"/>
      <c r="BX403" s="205"/>
      <c r="BY403" s="205"/>
      <c r="BZ403" s="205"/>
      <c r="CA403" s="205"/>
      <c r="CB403" s="205"/>
      <c r="CC403" s="205"/>
      <c r="CD403" s="205"/>
      <c r="CE403" s="205"/>
      <c r="CF403" s="205"/>
      <c r="CG403" s="205"/>
      <c r="CH403" s="205"/>
      <c r="CI403" s="205"/>
      <c r="CJ403" s="205"/>
      <c r="CK403" s="205"/>
      <c r="CL403" s="205"/>
      <c r="CM403" s="205"/>
      <c r="CN403" s="205"/>
      <c r="CO403" s="205"/>
      <c r="CP403" s="205"/>
      <c r="CQ403" s="205"/>
      <c r="CR403" s="205"/>
      <c r="CS403" s="205"/>
      <c r="CT403" s="205"/>
      <c r="CU403" s="205"/>
      <c r="CV403" s="205"/>
      <c r="CW403" s="205"/>
      <c r="CX403" s="205"/>
      <c r="CY403" s="205"/>
      <c r="CZ403" s="205"/>
      <c r="DA403" s="205"/>
      <c r="DB403" s="205"/>
      <c r="DC403" s="205"/>
      <c r="DD403" s="205"/>
      <c r="DE403" s="205"/>
      <c r="DF403" s="205"/>
      <c r="DG403" s="205"/>
      <c r="DH403" s="205"/>
      <c r="DI403" s="205"/>
      <c r="DJ403" s="205"/>
      <c r="DK403" s="205"/>
      <c r="DL403" s="205"/>
      <c r="DM403" s="205"/>
      <c r="DN403" s="205"/>
      <c r="DO403" s="205"/>
      <c r="DP403" s="205"/>
      <c r="DQ403" s="205"/>
      <c r="DR403" s="205"/>
      <c r="DS403" s="205"/>
      <c r="DT403" s="205"/>
      <c r="DU403" s="205"/>
      <c r="DV403" s="205"/>
      <c r="DW403" s="205"/>
      <c r="DX403" s="205"/>
      <c r="DY403" s="205"/>
      <c r="DZ403" s="205"/>
      <c r="EA403" s="205"/>
      <c r="EB403" s="205"/>
      <c r="EC403" s="205"/>
      <c r="ED403" s="205"/>
      <c r="EE403" s="205"/>
      <c r="EF403" s="205"/>
      <c r="EG403" s="205"/>
      <c r="EH403" s="205"/>
      <c r="EI403" s="205"/>
      <c r="EJ403" s="205"/>
      <c r="EK403" s="205"/>
      <c r="EL403" s="205"/>
      <c r="EM403" s="205"/>
      <c r="EN403" s="205"/>
      <c r="EO403" s="205"/>
      <c r="EP403" s="205"/>
      <c r="EQ403" s="205"/>
      <c r="ER403" s="205"/>
      <c r="ES403" s="205"/>
      <c r="ET403" s="205"/>
      <c r="EU403" s="205"/>
      <c r="EV403" s="205"/>
      <c r="EW403" s="205"/>
      <c r="EX403" s="205"/>
      <c r="EY403" s="205"/>
      <c r="EZ403" s="205"/>
      <c r="FA403" s="205"/>
      <c r="FB403" s="205"/>
      <c r="FC403" s="205"/>
      <c r="FD403" s="205"/>
      <c r="FE403" s="205"/>
      <c r="FF403" s="205"/>
      <c r="FG403" s="205"/>
      <c r="FH403" s="205"/>
      <c r="FI403" s="205"/>
      <c r="FJ403" s="205"/>
      <c r="FK403" s="205"/>
      <c r="FL403" s="205"/>
      <c r="FM403" s="205"/>
      <c r="FN403" s="205"/>
      <c r="FO403" s="205"/>
      <c r="FP403" s="205"/>
      <c r="FQ403" s="205"/>
      <c r="FR403" s="205"/>
      <c r="FS403" s="205"/>
      <c r="FT403" s="205"/>
      <c r="FU403" s="205"/>
      <c r="FV403" s="205"/>
      <c r="FW403" s="205"/>
      <c r="FX403" s="205"/>
      <c r="FY403" s="205"/>
      <c r="FZ403" s="205"/>
      <c r="GA403" s="205"/>
      <c r="GB403" s="205"/>
      <c r="GC403" s="205"/>
      <c r="GD403" s="205"/>
      <c r="GE403" s="205"/>
      <c r="GF403" s="205"/>
      <c r="GG403" s="205"/>
      <c r="GH403" s="205"/>
      <c r="GI403" s="205"/>
      <c r="GJ403" s="205"/>
      <c r="GK403" s="205"/>
      <c r="GL403" s="205"/>
      <c r="GM403" s="205"/>
      <c r="GN403" s="205"/>
      <c r="GO403" s="205"/>
      <c r="GP403" s="205"/>
      <c r="GQ403" s="205"/>
      <c r="GR403" s="205"/>
      <c r="GS403" s="205"/>
      <c r="GT403" s="205"/>
      <c r="GU403" s="205"/>
      <c r="GV403" s="205"/>
      <c r="GW403" s="205"/>
      <c r="GX403" s="205"/>
      <c r="GY403" s="205"/>
      <c r="GZ403" s="205"/>
      <c r="HA403" s="205"/>
      <c r="HB403" s="205"/>
      <c r="HC403" s="205"/>
      <c r="HD403" s="205"/>
      <c r="HE403" s="205"/>
      <c r="HF403" s="205"/>
      <c r="HG403" s="205"/>
      <c r="HH403" s="205"/>
      <c r="HI403" s="205"/>
      <c r="HJ403" s="205"/>
      <c r="HK403" s="205"/>
      <c r="HL403" s="205"/>
      <c r="HM403" s="205"/>
      <c r="HN403" s="205"/>
      <c r="HO403" s="205"/>
      <c r="HP403" s="205"/>
      <c r="HQ403" s="205"/>
      <c r="HR403" s="205"/>
      <c r="HS403" s="205"/>
      <c r="HT403" s="205"/>
      <c r="HU403" s="205"/>
      <c r="HV403" s="205"/>
      <c r="HW403" s="205"/>
      <c r="HX403" s="205"/>
      <c r="HY403" s="205"/>
      <c r="HZ403" s="205"/>
      <c r="IA403" s="205"/>
      <c r="IB403" s="205"/>
      <c r="IC403" s="205"/>
      <c r="ID403" s="205"/>
      <c r="IE403" s="205"/>
      <c r="IF403" s="205"/>
      <c r="IG403" s="205"/>
      <c r="IH403" s="205"/>
      <c r="II403" s="205"/>
      <c r="IJ403" s="205"/>
      <c r="IK403" s="205"/>
      <c r="IL403" s="205"/>
      <c r="IM403" s="205"/>
      <c r="IN403" s="205"/>
      <c r="IO403" s="205"/>
      <c r="IP403" s="205"/>
      <c r="IQ403" s="205"/>
      <c r="IR403" s="205"/>
      <c r="IS403" s="205"/>
      <c r="IT403" s="205"/>
      <c r="IU403" s="205"/>
      <c r="IV403" s="205"/>
      <c r="IW403" s="205"/>
      <c r="IX403" s="205"/>
    </row>
    <row r="404" spans="1:258" s="203" customFormat="1" x14ac:dyDescent="0.2">
      <c r="A404" s="669"/>
      <c r="B404" s="681" t="str">
        <f>RAB!B133</f>
        <v>VIII</v>
      </c>
      <c r="C404" s="682" t="str">
        <f>RAB!D133</f>
        <v>PEKERJAAN PINTU DAN JENDELA</v>
      </c>
      <c r="D404" s="672"/>
      <c r="E404" s="673"/>
      <c r="F404" s="673"/>
      <c r="G404" s="674"/>
      <c r="H404" s="675"/>
      <c r="I404" s="676"/>
      <c r="J404" s="676"/>
      <c r="K404" s="676"/>
      <c r="L404" s="676"/>
      <c r="M404" s="676"/>
      <c r="N404" s="676"/>
      <c r="O404" s="676"/>
      <c r="P404" s="676"/>
      <c r="Q404" s="676"/>
      <c r="R404" s="677"/>
      <c r="S404" s="678"/>
      <c r="T404" s="684"/>
      <c r="U404" s="205"/>
      <c r="V404" s="685"/>
      <c r="W404" s="205"/>
      <c r="X404" s="205"/>
      <c r="Y404" s="205"/>
      <c r="Z404" s="205"/>
      <c r="AA404" s="205"/>
      <c r="AB404" s="205"/>
      <c r="AC404" s="205"/>
      <c r="AD404" s="205"/>
      <c r="AE404" s="205"/>
      <c r="AF404" s="205"/>
      <c r="AG404" s="205"/>
      <c r="AH404" s="205"/>
      <c r="AI404" s="205"/>
      <c r="AJ404" s="205"/>
      <c r="AK404" s="205"/>
      <c r="AL404" s="205"/>
      <c r="AM404" s="205"/>
      <c r="AN404" s="205"/>
      <c r="AO404" s="205"/>
      <c r="AP404" s="205"/>
      <c r="AQ404" s="205"/>
      <c r="AR404" s="205"/>
      <c r="AS404" s="205"/>
      <c r="AT404" s="205"/>
      <c r="AU404" s="205"/>
      <c r="AV404" s="205"/>
      <c r="AW404" s="205"/>
      <c r="AX404" s="205"/>
      <c r="AY404" s="205"/>
      <c r="AZ404" s="205"/>
      <c r="BA404" s="205"/>
      <c r="BB404" s="205"/>
      <c r="BC404" s="205"/>
      <c r="BD404" s="205"/>
      <c r="BE404" s="205"/>
      <c r="BF404" s="205"/>
      <c r="BG404" s="205"/>
      <c r="BH404" s="205"/>
      <c r="BI404" s="205"/>
      <c r="BJ404" s="205"/>
      <c r="BK404" s="205"/>
      <c r="BL404" s="205"/>
      <c r="BM404" s="205"/>
      <c r="BN404" s="205"/>
      <c r="BO404" s="205"/>
      <c r="BP404" s="205"/>
      <c r="BQ404" s="205"/>
      <c r="BR404" s="205"/>
      <c r="BS404" s="205"/>
      <c r="BT404" s="205"/>
      <c r="BU404" s="205"/>
      <c r="BV404" s="205"/>
      <c r="BW404" s="205"/>
      <c r="BX404" s="205"/>
      <c r="BY404" s="205"/>
      <c r="BZ404" s="205"/>
      <c r="CA404" s="205"/>
      <c r="CB404" s="205"/>
      <c r="CC404" s="205"/>
      <c r="CD404" s="205"/>
      <c r="CE404" s="205"/>
      <c r="CF404" s="205"/>
      <c r="CG404" s="205"/>
      <c r="CH404" s="205"/>
      <c r="CI404" s="205"/>
      <c r="CJ404" s="205"/>
      <c r="CK404" s="205"/>
      <c r="CL404" s="205"/>
      <c r="CM404" s="205"/>
      <c r="CN404" s="205"/>
      <c r="CO404" s="205"/>
      <c r="CP404" s="205"/>
      <c r="CQ404" s="205"/>
      <c r="CR404" s="205"/>
      <c r="CS404" s="205"/>
      <c r="CT404" s="205"/>
      <c r="CU404" s="205"/>
      <c r="CV404" s="205"/>
      <c r="CW404" s="205"/>
      <c r="CX404" s="205"/>
      <c r="CY404" s="205"/>
      <c r="CZ404" s="205"/>
      <c r="DA404" s="205"/>
      <c r="DB404" s="205"/>
      <c r="DC404" s="205"/>
      <c r="DD404" s="205"/>
      <c r="DE404" s="205"/>
      <c r="DF404" s="205"/>
      <c r="DG404" s="205"/>
      <c r="DH404" s="205"/>
      <c r="DI404" s="205"/>
      <c r="DJ404" s="205"/>
      <c r="DK404" s="205"/>
      <c r="DL404" s="205"/>
      <c r="DM404" s="205"/>
      <c r="DN404" s="205"/>
      <c r="DO404" s="205"/>
      <c r="DP404" s="205"/>
      <c r="DQ404" s="205"/>
      <c r="DR404" s="205"/>
      <c r="DS404" s="205"/>
      <c r="DT404" s="205"/>
      <c r="DU404" s="205"/>
      <c r="DV404" s="205"/>
      <c r="DW404" s="205"/>
      <c r="DX404" s="205"/>
      <c r="DY404" s="205"/>
      <c r="DZ404" s="205"/>
      <c r="EA404" s="205"/>
      <c r="EB404" s="205"/>
      <c r="EC404" s="205"/>
      <c r="ED404" s="205"/>
      <c r="EE404" s="205"/>
      <c r="EF404" s="205"/>
      <c r="EG404" s="205"/>
      <c r="EH404" s="205"/>
      <c r="EI404" s="205"/>
      <c r="EJ404" s="205"/>
      <c r="EK404" s="205"/>
      <c r="EL404" s="205"/>
      <c r="EM404" s="205"/>
      <c r="EN404" s="205"/>
      <c r="EO404" s="205"/>
      <c r="EP404" s="205"/>
      <c r="EQ404" s="205"/>
      <c r="ER404" s="205"/>
      <c r="ES404" s="205"/>
      <c r="ET404" s="205"/>
      <c r="EU404" s="205"/>
      <c r="EV404" s="205"/>
      <c r="EW404" s="205"/>
      <c r="EX404" s="205"/>
      <c r="EY404" s="205"/>
      <c r="EZ404" s="205"/>
      <c r="FA404" s="205"/>
      <c r="FB404" s="205"/>
      <c r="FC404" s="205"/>
      <c r="FD404" s="205"/>
      <c r="FE404" s="205"/>
      <c r="FF404" s="205"/>
      <c r="FG404" s="205"/>
      <c r="FH404" s="205"/>
      <c r="FI404" s="205"/>
      <c r="FJ404" s="205"/>
      <c r="FK404" s="205"/>
      <c r="FL404" s="205"/>
      <c r="FM404" s="205"/>
      <c r="FN404" s="205"/>
      <c r="FO404" s="205"/>
      <c r="FP404" s="205"/>
      <c r="FQ404" s="205"/>
      <c r="FR404" s="205"/>
      <c r="FS404" s="205"/>
      <c r="FT404" s="205"/>
      <c r="FU404" s="205"/>
      <c r="FV404" s="205"/>
      <c r="FW404" s="205"/>
      <c r="FX404" s="205"/>
      <c r="FY404" s="205"/>
      <c r="FZ404" s="205"/>
      <c r="GA404" s="205"/>
      <c r="GB404" s="205"/>
      <c r="GC404" s="205"/>
      <c r="GD404" s="205"/>
      <c r="GE404" s="205"/>
      <c r="GF404" s="205"/>
      <c r="GG404" s="205"/>
      <c r="GH404" s="205"/>
      <c r="GI404" s="205"/>
      <c r="GJ404" s="205"/>
      <c r="GK404" s="205"/>
      <c r="GL404" s="205"/>
      <c r="GM404" s="205"/>
      <c r="GN404" s="205"/>
      <c r="GO404" s="205"/>
      <c r="GP404" s="205"/>
      <c r="GQ404" s="205"/>
      <c r="GR404" s="205"/>
      <c r="GS404" s="205"/>
      <c r="GT404" s="205"/>
      <c r="GU404" s="205"/>
      <c r="GV404" s="205"/>
      <c r="GW404" s="205"/>
      <c r="GX404" s="205"/>
      <c r="GY404" s="205"/>
      <c r="GZ404" s="205"/>
      <c r="HA404" s="205"/>
      <c r="HB404" s="205"/>
      <c r="HC404" s="205"/>
      <c r="HD404" s="205"/>
      <c r="HE404" s="205"/>
      <c r="HF404" s="205"/>
      <c r="HG404" s="205"/>
      <c r="HH404" s="205"/>
      <c r="HI404" s="205"/>
      <c r="HJ404" s="205"/>
      <c r="HK404" s="205"/>
      <c r="HL404" s="205"/>
      <c r="HM404" s="205"/>
      <c r="HN404" s="205"/>
      <c r="HO404" s="205"/>
      <c r="HP404" s="205"/>
      <c r="HQ404" s="205"/>
      <c r="HR404" s="205"/>
      <c r="HS404" s="205"/>
      <c r="HT404" s="205"/>
      <c r="HU404" s="205"/>
      <c r="HV404" s="205"/>
      <c r="HW404" s="205"/>
      <c r="HX404" s="205"/>
      <c r="HY404" s="205"/>
      <c r="HZ404" s="205"/>
      <c r="IA404" s="205"/>
      <c r="IB404" s="205"/>
      <c r="IC404" s="205"/>
      <c r="ID404" s="205"/>
      <c r="IE404" s="205"/>
      <c r="IF404" s="205"/>
      <c r="IG404" s="205"/>
      <c r="IH404" s="205"/>
      <c r="II404" s="205"/>
      <c r="IJ404" s="205"/>
      <c r="IK404" s="205"/>
      <c r="IL404" s="205"/>
      <c r="IM404" s="205"/>
      <c r="IN404" s="205"/>
      <c r="IO404" s="205"/>
      <c r="IP404" s="205"/>
      <c r="IQ404" s="205"/>
      <c r="IR404" s="205"/>
      <c r="IS404" s="205"/>
      <c r="IT404" s="205"/>
      <c r="IU404" s="205"/>
      <c r="IV404" s="205"/>
      <c r="IW404" s="205"/>
      <c r="IX404" s="205"/>
    </row>
    <row r="405" spans="1:258" s="203" customFormat="1" x14ac:dyDescent="0.2">
      <c r="A405" s="669"/>
      <c r="B405" s="670">
        <f>RAB!B134</f>
        <v>1</v>
      </c>
      <c r="C405" s="686" t="str">
        <f>RAB!D134</f>
        <v>Pintu utama kaca tempered 12 mm</v>
      </c>
      <c r="D405" s="672"/>
      <c r="E405" s="1391"/>
      <c r="F405" s="1391"/>
      <c r="G405" s="1392"/>
      <c r="H405" s="1393">
        <v>2</v>
      </c>
      <c r="I405" s="1394"/>
      <c r="J405" s="1394"/>
      <c r="K405" s="1394"/>
      <c r="L405" s="1394"/>
      <c r="M405" s="1394"/>
      <c r="N405" s="1394"/>
      <c r="O405" s="1394"/>
      <c r="P405" s="1394"/>
      <c r="Q405" s="1394" t="s">
        <v>696</v>
      </c>
      <c r="R405" s="1395">
        <f>H405</f>
        <v>2</v>
      </c>
      <c r="S405" s="1396">
        <f>R405</f>
        <v>2</v>
      </c>
      <c r="T405" s="1397" t="s">
        <v>275</v>
      </c>
      <c r="U405" s="205"/>
      <c r="V405" s="685"/>
      <c r="W405" s="205"/>
      <c r="X405" s="205"/>
      <c r="Y405" s="205"/>
      <c r="Z405" s="205"/>
      <c r="AA405" s="205"/>
      <c r="AB405" s="205"/>
      <c r="AC405" s="205"/>
      <c r="AD405" s="205"/>
      <c r="AE405" s="205"/>
      <c r="AF405" s="205"/>
      <c r="AG405" s="205"/>
      <c r="AH405" s="205"/>
      <c r="AI405" s="205"/>
      <c r="AJ405" s="205"/>
      <c r="AK405" s="205"/>
      <c r="AL405" s="205"/>
      <c r="AM405" s="205"/>
      <c r="AN405" s="205"/>
      <c r="AO405" s="205"/>
      <c r="AP405" s="205"/>
      <c r="AQ405" s="205"/>
      <c r="AR405" s="205"/>
      <c r="AS405" s="205"/>
      <c r="AT405" s="205"/>
      <c r="AU405" s="205"/>
      <c r="AV405" s="205"/>
      <c r="AW405" s="205"/>
      <c r="AX405" s="205"/>
      <c r="AY405" s="205"/>
      <c r="AZ405" s="205"/>
      <c r="BA405" s="205"/>
      <c r="BB405" s="205"/>
      <c r="BC405" s="205"/>
      <c r="BD405" s="205"/>
      <c r="BE405" s="205"/>
      <c r="BF405" s="205"/>
      <c r="BG405" s="205"/>
      <c r="BH405" s="205"/>
      <c r="BI405" s="205"/>
      <c r="BJ405" s="205"/>
      <c r="BK405" s="205"/>
      <c r="BL405" s="205"/>
      <c r="BM405" s="205"/>
      <c r="BN405" s="205"/>
      <c r="BO405" s="205"/>
      <c r="BP405" s="205"/>
      <c r="BQ405" s="205"/>
      <c r="BR405" s="205"/>
      <c r="BS405" s="205"/>
      <c r="BT405" s="205"/>
      <c r="BU405" s="205"/>
      <c r="BV405" s="205"/>
      <c r="BW405" s="205"/>
      <c r="BX405" s="205"/>
      <c r="BY405" s="205"/>
      <c r="BZ405" s="205"/>
      <c r="CA405" s="205"/>
      <c r="CB405" s="205"/>
      <c r="CC405" s="205"/>
      <c r="CD405" s="205"/>
      <c r="CE405" s="205"/>
      <c r="CF405" s="205"/>
      <c r="CG405" s="205"/>
      <c r="CH405" s="205"/>
      <c r="CI405" s="205"/>
      <c r="CJ405" s="205"/>
      <c r="CK405" s="205"/>
      <c r="CL405" s="205"/>
      <c r="CM405" s="205"/>
      <c r="CN405" s="205"/>
      <c r="CO405" s="205"/>
      <c r="CP405" s="205"/>
      <c r="CQ405" s="205"/>
      <c r="CR405" s="205"/>
      <c r="CS405" s="205"/>
      <c r="CT405" s="205"/>
      <c r="CU405" s="205"/>
      <c r="CV405" s="205"/>
      <c r="CW405" s="205"/>
      <c r="CX405" s="205"/>
      <c r="CY405" s="205"/>
      <c r="CZ405" s="205"/>
      <c r="DA405" s="205"/>
      <c r="DB405" s="205"/>
      <c r="DC405" s="205"/>
      <c r="DD405" s="205"/>
      <c r="DE405" s="205"/>
      <c r="DF405" s="205"/>
      <c r="DG405" s="205"/>
      <c r="DH405" s="205"/>
      <c r="DI405" s="205"/>
      <c r="DJ405" s="205"/>
      <c r="DK405" s="205"/>
      <c r="DL405" s="205"/>
      <c r="DM405" s="205"/>
      <c r="DN405" s="205"/>
      <c r="DO405" s="205"/>
      <c r="DP405" s="205"/>
      <c r="DQ405" s="205"/>
      <c r="DR405" s="205"/>
      <c r="DS405" s="205"/>
      <c r="DT405" s="205"/>
      <c r="DU405" s="205"/>
      <c r="DV405" s="205"/>
      <c r="DW405" s="205"/>
      <c r="DX405" s="205"/>
      <c r="DY405" s="205"/>
      <c r="DZ405" s="205"/>
      <c r="EA405" s="205"/>
      <c r="EB405" s="205"/>
      <c r="EC405" s="205"/>
      <c r="ED405" s="205"/>
      <c r="EE405" s="205"/>
      <c r="EF405" s="205"/>
      <c r="EG405" s="205"/>
      <c r="EH405" s="205"/>
      <c r="EI405" s="205"/>
      <c r="EJ405" s="205"/>
      <c r="EK405" s="205"/>
      <c r="EL405" s="205"/>
      <c r="EM405" s="205"/>
      <c r="EN405" s="205"/>
      <c r="EO405" s="205"/>
      <c r="EP405" s="205"/>
      <c r="EQ405" s="205"/>
      <c r="ER405" s="205"/>
      <c r="ES405" s="205"/>
      <c r="ET405" s="205"/>
      <c r="EU405" s="205"/>
      <c r="EV405" s="205"/>
      <c r="EW405" s="205"/>
      <c r="EX405" s="205"/>
      <c r="EY405" s="205"/>
      <c r="EZ405" s="205"/>
      <c r="FA405" s="205"/>
      <c r="FB405" s="205"/>
      <c r="FC405" s="205"/>
      <c r="FD405" s="205"/>
      <c r="FE405" s="205"/>
      <c r="FF405" s="205"/>
      <c r="FG405" s="205"/>
      <c r="FH405" s="205"/>
      <c r="FI405" s="205"/>
      <c r="FJ405" s="205"/>
      <c r="FK405" s="205"/>
      <c r="FL405" s="205"/>
      <c r="FM405" s="205"/>
      <c r="FN405" s="205"/>
      <c r="FO405" s="205"/>
      <c r="FP405" s="205"/>
      <c r="FQ405" s="205"/>
      <c r="FR405" s="205"/>
      <c r="FS405" s="205"/>
      <c r="FT405" s="205"/>
      <c r="FU405" s="205"/>
      <c r="FV405" s="205"/>
      <c r="FW405" s="205"/>
      <c r="FX405" s="205"/>
      <c r="FY405" s="205"/>
      <c r="FZ405" s="205"/>
      <c r="GA405" s="205"/>
      <c r="GB405" s="205"/>
      <c r="GC405" s="205"/>
      <c r="GD405" s="205"/>
      <c r="GE405" s="205"/>
      <c r="GF405" s="205"/>
      <c r="GG405" s="205"/>
      <c r="GH405" s="205"/>
      <c r="GI405" s="205"/>
      <c r="GJ405" s="205"/>
      <c r="GK405" s="205"/>
      <c r="GL405" s="205"/>
      <c r="GM405" s="205"/>
      <c r="GN405" s="205"/>
      <c r="GO405" s="205"/>
      <c r="GP405" s="205"/>
      <c r="GQ405" s="205"/>
      <c r="GR405" s="205"/>
      <c r="GS405" s="205"/>
      <c r="GT405" s="205"/>
      <c r="GU405" s="205"/>
      <c r="GV405" s="205"/>
      <c r="GW405" s="205"/>
      <c r="GX405" s="205"/>
      <c r="GY405" s="205"/>
      <c r="GZ405" s="205"/>
      <c r="HA405" s="205"/>
      <c r="HB405" s="205"/>
      <c r="HC405" s="205"/>
      <c r="HD405" s="205"/>
      <c r="HE405" s="205"/>
      <c r="HF405" s="205"/>
      <c r="HG405" s="205"/>
      <c r="HH405" s="205"/>
      <c r="HI405" s="205"/>
      <c r="HJ405" s="205"/>
      <c r="HK405" s="205"/>
      <c r="HL405" s="205"/>
      <c r="HM405" s="205"/>
      <c r="HN405" s="205"/>
      <c r="HO405" s="205"/>
      <c r="HP405" s="205"/>
      <c r="HQ405" s="205"/>
      <c r="HR405" s="205"/>
      <c r="HS405" s="205"/>
      <c r="HT405" s="205"/>
      <c r="HU405" s="205"/>
      <c r="HV405" s="205"/>
      <c r="HW405" s="205"/>
      <c r="HX405" s="205"/>
      <c r="HY405" s="205"/>
      <c r="HZ405" s="205"/>
      <c r="IA405" s="205"/>
      <c r="IB405" s="205"/>
      <c r="IC405" s="205"/>
      <c r="ID405" s="205"/>
      <c r="IE405" s="205"/>
      <c r="IF405" s="205"/>
      <c r="IG405" s="205"/>
      <c r="IH405" s="205"/>
      <c r="II405" s="205"/>
      <c r="IJ405" s="205"/>
      <c r="IK405" s="205"/>
      <c r="IL405" s="205"/>
      <c r="IM405" s="205"/>
      <c r="IN405" s="205"/>
      <c r="IO405" s="205"/>
      <c r="IP405" s="205"/>
      <c r="IQ405" s="205"/>
      <c r="IR405" s="205"/>
      <c r="IS405" s="205"/>
      <c r="IT405" s="205"/>
      <c r="IU405" s="205"/>
      <c r="IV405" s="205"/>
      <c r="IW405" s="205"/>
      <c r="IX405" s="205"/>
    </row>
    <row r="406" spans="1:258" s="203" customFormat="1" x14ac:dyDescent="0.2">
      <c r="A406" s="669"/>
      <c r="B406" s="670">
        <f>RAB!B135</f>
        <v>2</v>
      </c>
      <c r="C406" s="686" t="str">
        <f>RAB!D135</f>
        <v xml:space="preserve">Memasang kusen pintu/jendela alluminium </v>
      </c>
      <c r="D406" s="672"/>
      <c r="E406" s="673"/>
      <c r="F406" s="673"/>
      <c r="G406" s="674"/>
      <c r="H406" s="675"/>
      <c r="I406" s="676"/>
      <c r="J406" s="676"/>
      <c r="K406" s="676"/>
      <c r="L406" s="676"/>
      <c r="M406" s="676"/>
      <c r="N406" s="676"/>
      <c r="O406" s="676"/>
      <c r="P406" s="676"/>
      <c r="Q406" s="676"/>
      <c r="R406" s="677"/>
      <c r="S406" s="678"/>
      <c r="T406" s="684"/>
      <c r="U406" s="205"/>
      <c r="V406" s="685"/>
      <c r="W406" s="205"/>
      <c r="X406" s="205"/>
      <c r="Y406" s="205"/>
      <c r="Z406" s="205"/>
      <c r="AA406" s="205"/>
      <c r="AB406" s="205"/>
      <c r="AC406" s="205"/>
      <c r="AD406" s="205"/>
      <c r="AE406" s="205"/>
      <c r="AF406" s="205"/>
      <c r="AG406" s="205"/>
      <c r="AH406" s="205"/>
      <c r="AI406" s="205"/>
      <c r="AJ406" s="205"/>
      <c r="AK406" s="205"/>
      <c r="AL406" s="205"/>
      <c r="AM406" s="205"/>
      <c r="AN406" s="205"/>
      <c r="AO406" s="205"/>
      <c r="AP406" s="205"/>
      <c r="AQ406" s="205"/>
      <c r="AR406" s="205"/>
      <c r="AS406" s="205"/>
      <c r="AT406" s="205"/>
      <c r="AU406" s="205"/>
      <c r="AV406" s="205"/>
      <c r="AW406" s="205"/>
      <c r="AX406" s="205"/>
      <c r="AY406" s="205"/>
      <c r="AZ406" s="205"/>
      <c r="BA406" s="205"/>
      <c r="BB406" s="205"/>
      <c r="BC406" s="205"/>
      <c r="BD406" s="205"/>
      <c r="BE406" s="205"/>
      <c r="BF406" s="205"/>
      <c r="BG406" s="205"/>
      <c r="BH406" s="205"/>
      <c r="BI406" s="205"/>
      <c r="BJ406" s="205"/>
      <c r="BK406" s="205"/>
      <c r="BL406" s="205"/>
      <c r="BM406" s="205"/>
      <c r="BN406" s="205"/>
      <c r="BO406" s="205"/>
      <c r="BP406" s="205"/>
      <c r="BQ406" s="205"/>
      <c r="BR406" s="205"/>
      <c r="BS406" s="205"/>
      <c r="BT406" s="205"/>
      <c r="BU406" s="205"/>
      <c r="BV406" s="205"/>
      <c r="BW406" s="205"/>
      <c r="BX406" s="205"/>
      <c r="BY406" s="205"/>
      <c r="BZ406" s="205"/>
      <c r="CA406" s="205"/>
      <c r="CB406" s="205"/>
      <c r="CC406" s="205"/>
      <c r="CD406" s="205"/>
      <c r="CE406" s="205"/>
      <c r="CF406" s="205"/>
      <c r="CG406" s="205"/>
      <c r="CH406" s="205"/>
      <c r="CI406" s="205"/>
      <c r="CJ406" s="205"/>
      <c r="CK406" s="205"/>
      <c r="CL406" s="205"/>
      <c r="CM406" s="205"/>
      <c r="CN406" s="205"/>
      <c r="CO406" s="205"/>
      <c r="CP406" s="205"/>
      <c r="CQ406" s="205"/>
      <c r="CR406" s="205"/>
      <c r="CS406" s="205"/>
      <c r="CT406" s="205"/>
      <c r="CU406" s="205"/>
      <c r="CV406" s="205"/>
      <c r="CW406" s="205"/>
      <c r="CX406" s="205"/>
      <c r="CY406" s="205"/>
      <c r="CZ406" s="205"/>
      <c r="DA406" s="205"/>
      <c r="DB406" s="205"/>
      <c r="DC406" s="205"/>
      <c r="DD406" s="205"/>
      <c r="DE406" s="205"/>
      <c r="DF406" s="205"/>
      <c r="DG406" s="205"/>
      <c r="DH406" s="205"/>
      <c r="DI406" s="205"/>
      <c r="DJ406" s="205"/>
      <c r="DK406" s="205"/>
      <c r="DL406" s="205"/>
      <c r="DM406" s="205"/>
      <c r="DN406" s="205"/>
      <c r="DO406" s="205"/>
      <c r="DP406" s="205"/>
      <c r="DQ406" s="205"/>
      <c r="DR406" s="205"/>
      <c r="DS406" s="205"/>
      <c r="DT406" s="205"/>
      <c r="DU406" s="205"/>
      <c r="DV406" s="205"/>
      <c r="DW406" s="205"/>
      <c r="DX406" s="205"/>
      <c r="DY406" s="205"/>
      <c r="DZ406" s="205"/>
      <c r="EA406" s="205"/>
      <c r="EB406" s="205"/>
      <c r="EC406" s="205"/>
      <c r="ED406" s="205"/>
      <c r="EE406" s="205"/>
      <c r="EF406" s="205"/>
      <c r="EG406" s="205"/>
      <c r="EH406" s="205"/>
      <c r="EI406" s="205"/>
      <c r="EJ406" s="205"/>
      <c r="EK406" s="205"/>
      <c r="EL406" s="205"/>
      <c r="EM406" s="205"/>
      <c r="EN406" s="205"/>
      <c r="EO406" s="205"/>
      <c r="EP406" s="205"/>
      <c r="EQ406" s="205"/>
      <c r="ER406" s="205"/>
      <c r="ES406" s="205"/>
      <c r="ET406" s="205"/>
      <c r="EU406" s="205"/>
      <c r="EV406" s="205"/>
      <c r="EW406" s="205"/>
      <c r="EX406" s="205"/>
      <c r="EY406" s="205"/>
      <c r="EZ406" s="205"/>
      <c r="FA406" s="205"/>
      <c r="FB406" s="205"/>
      <c r="FC406" s="205"/>
      <c r="FD406" s="205"/>
      <c r="FE406" s="205"/>
      <c r="FF406" s="205"/>
      <c r="FG406" s="205"/>
      <c r="FH406" s="205"/>
      <c r="FI406" s="205"/>
      <c r="FJ406" s="205"/>
      <c r="FK406" s="205"/>
      <c r="FL406" s="205"/>
      <c r="FM406" s="205"/>
      <c r="FN406" s="205"/>
      <c r="FO406" s="205"/>
      <c r="FP406" s="205"/>
      <c r="FQ406" s="205"/>
      <c r="FR406" s="205"/>
      <c r="FS406" s="205"/>
      <c r="FT406" s="205"/>
      <c r="FU406" s="205"/>
      <c r="FV406" s="205"/>
      <c r="FW406" s="205"/>
      <c r="FX406" s="205"/>
      <c r="FY406" s="205"/>
      <c r="FZ406" s="205"/>
      <c r="GA406" s="205"/>
      <c r="GB406" s="205"/>
      <c r="GC406" s="205"/>
      <c r="GD406" s="205"/>
      <c r="GE406" s="205"/>
      <c r="GF406" s="205"/>
      <c r="GG406" s="205"/>
      <c r="GH406" s="205"/>
      <c r="GI406" s="205"/>
      <c r="GJ406" s="205"/>
      <c r="GK406" s="205"/>
      <c r="GL406" s="205"/>
      <c r="GM406" s="205"/>
      <c r="GN406" s="205"/>
      <c r="GO406" s="205"/>
      <c r="GP406" s="205"/>
      <c r="GQ406" s="205"/>
      <c r="GR406" s="205"/>
      <c r="GS406" s="205"/>
      <c r="GT406" s="205"/>
      <c r="GU406" s="205"/>
      <c r="GV406" s="205"/>
      <c r="GW406" s="205"/>
      <c r="GX406" s="205"/>
      <c r="GY406" s="205"/>
      <c r="GZ406" s="205"/>
      <c r="HA406" s="205"/>
      <c r="HB406" s="205"/>
      <c r="HC406" s="205"/>
      <c r="HD406" s="205"/>
      <c r="HE406" s="205"/>
      <c r="HF406" s="205"/>
      <c r="HG406" s="205"/>
      <c r="HH406" s="205"/>
      <c r="HI406" s="205"/>
      <c r="HJ406" s="205"/>
      <c r="HK406" s="205"/>
      <c r="HL406" s="205"/>
      <c r="HM406" s="205"/>
      <c r="HN406" s="205"/>
      <c r="HO406" s="205"/>
      <c r="HP406" s="205"/>
      <c r="HQ406" s="205"/>
      <c r="HR406" s="205"/>
      <c r="HS406" s="205"/>
      <c r="HT406" s="205"/>
      <c r="HU406" s="205"/>
      <c r="HV406" s="205"/>
      <c r="HW406" s="205"/>
      <c r="HX406" s="205"/>
      <c r="HY406" s="205"/>
      <c r="HZ406" s="205"/>
      <c r="IA406" s="205"/>
      <c r="IB406" s="205"/>
      <c r="IC406" s="205"/>
      <c r="ID406" s="205"/>
      <c r="IE406" s="205"/>
      <c r="IF406" s="205"/>
      <c r="IG406" s="205"/>
      <c r="IH406" s="205"/>
      <c r="II406" s="205"/>
      <c r="IJ406" s="205"/>
      <c r="IK406" s="205"/>
      <c r="IL406" s="205"/>
      <c r="IM406" s="205"/>
      <c r="IN406" s="205"/>
      <c r="IO406" s="205"/>
      <c r="IP406" s="205"/>
      <c r="IQ406" s="205"/>
      <c r="IR406" s="205"/>
      <c r="IS406" s="205"/>
      <c r="IT406" s="205"/>
      <c r="IU406" s="205"/>
      <c r="IV406" s="205"/>
      <c r="IW406" s="205"/>
      <c r="IX406" s="205"/>
    </row>
    <row r="407" spans="1:258" s="203" customFormat="1" x14ac:dyDescent="0.2">
      <c r="A407" s="669"/>
      <c r="B407" s="670"/>
      <c r="C407" s="1390"/>
      <c r="D407" s="672"/>
      <c r="E407" s="1391"/>
      <c r="F407" s="1391"/>
      <c r="G407" s="1392" t="str">
        <f t="shared" ref="G407:G415" si="165">G82</f>
        <v>P1</v>
      </c>
      <c r="H407" s="1393">
        <f>H82+J82+J82</f>
        <v>5.7</v>
      </c>
      <c r="I407" s="1394" t="s">
        <v>424</v>
      </c>
      <c r="J407" s="1394">
        <f t="shared" ref="J407:J415" si="166">L82</f>
        <v>12</v>
      </c>
      <c r="K407" s="1394"/>
      <c r="L407" s="1394"/>
      <c r="M407" s="1394"/>
      <c r="N407" s="1394"/>
      <c r="O407" s="1394"/>
      <c r="P407" s="1394"/>
      <c r="Q407" s="1394" t="s">
        <v>696</v>
      </c>
      <c r="R407" s="1363">
        <f t="shared" ref="R407:R415" si="167">H407*J407</f>
        <v>68.400000000000006</v>
      </c>
      <c r="S407" s="1396"/>
      <c r="T407" s="1397"/>
      <c r="U407" s="205"/>
      <c r="V407" s="685"/>
      <c r="W407" s="205"/>
      <c r="X407" s="205"/>
      <c r="Y407" s="205"/>
      <c r="Z407" s="205"/>
      <c r="AA407" s="205"/>
      <c r="AB407" s="205"/>
      <c r="AC407" s="205"/>
      <c r="AD407" s="205"/>
      <c r="AE407" s="205"/>
      <c r="AF407" s="205"/>
      <c r="AG407" s="205"/>
      <c r="AH407" s="205"/>
      <c r="AI407" s="205"/>
      <c r="AJ407" s="205"/>
      <c r="AK407" s="205"/>
      <c r="AL407" s="205"/>
      <c r="AM407" s="205"/>
      <c r="AN407" s="205"/>
      <c r="AO407" s="205"/>
      <c r="AP407" s="205"/>
      <c r="AQ407" s="205"/>
      <c r="AR407" s="205"/>
      <c r="AS407" s="205"/>
      <c r="AT407" s="205"/>
      <c r="AU407" s="205"/>
      <c r="AV407" s="205"/>
      <c r="AW407" s="205"/>
      <c r="AX407" s="205"/>
      <c r="AY407" s="205"/>
      <c r="AZ407" s="205"/>
      <c r="BA407" s="205"/>
      <c r="BB407" s="205"/>
      <c r="BC407" s="205"/>
      <c r="BD407" s="205"/>
      <c r="BE407" s="205"/>
      <c r="BF407" s="205"/>
      <c r="BG407" s="205"/>
      <c r="BH407" s="205"/>
      <c r="BI407" s="205"/>
      <c r="BJ407" s="205"/>
      <c r="BK407" s="205"/>
      <c r="BL407" s="205"/>
      <c r="BM407" s="205"/>
      <c r="BN407" s="205"/>
      <c r="BO407" s="205"/>
      <c r="BP407" s="205"/>
      <c r="BQ407" s="205"/>
      <c r="BR407" s="205"/>
      <c r="BS407" s="205"/>
      <c r="BT407" s="205"/>
      <c r="BU407" s="205"/>
      <c r="BV407" s="205"/>
      <c r="BW407" s="205"/>
      <c r="BX407" s="205"/>
      <c r="BY407" s="205"/>
      <c r="BZ407" s="205"/>
      <c r="CA407" s="205"/>
      <c r="CB407" s="205"/>
      <c r="CC407" s="205"/>
      <c r="CD407" s="205"/>
      <c r="CE407" s="205"/>
      <c r="CF407" s="205"/>
      <c r="CG407" s="205"/>
      <c r="CH407" s="205"/>
      <c r="CI407" s="205"/>
      <c r="CJ407" s="205"/>
      <c r="CK407" s="205"/>
      <c r="CL407" s="205"/>
      <c r="CM407" s="205"/>
      <c r="CN407" s="205"/>
      <c r="CO407" s="205"/>
      <c r="CP407" s="205"/>
      <c r="CQ407" s="205"/>
      <c r="CR407" s="205"/>
      <c r="CS407" s="205"/>
      <c r="CT407" s="205"/>
      <c r="CU407" s="205"/>
      <c r="CV407" s="205"/>
      <c r="CW407" s="205"/>
      <c r="CX407" s="205"/>
      <c r="CY407" s="205"/>
      <c r="CZ407" s="205"/>
      <c r="DA407" s="205"/>
      <c r="DB407" s="205"/>
      <c r="DC407" s="205"/>
      <c r="DD407" s="205"/>
      <c r="DE407" s="205"/>
      <c r="DF407" s="205"/>
      <c r="DG407" s="205"/>
      <c r="DH407" s="205"/>
      <c r="DI407" s="205"/>
      <c r="DJ407" s="205"/>
      <c r="DK407" s="205"/>
      <c r="DL407" s="205"/>
      <c r="DM407" s="205"/>
      <c r="DN407" s="205"/>
      <c r="DO407" s="205"/>
      <c r="DP407" s="205"/>
      <c r="DQ407" s="205"/>
      <c r="DR407" s="205"/>
      <c r="DS407" s="205"/>
      <c r="DT407" s="205"/>
      <c r="DU407" s="205"/>
      <c r="DV407" s="205"/>
      <c r="DW407" s="205"/>
      <c r="DX407" s="205"/>
      <c r="DY407" s="205"/>
      <c r="DZ407" s="205"/>
      <c r="EA407" s="205"/>
      <c r="EB407" s="205"/>
      <c r="EC407" s="205"/>
      <c r="ED407" s="205"/>
      <c r="EE407" s="205"/>
      <c r="EF407" s="205"/>
      <c r="EG407" s="205"/>
      <c r="EH407" s="205"/>
      <c r="EI407" s="205"/>
      <c r="EJ407" s="205"/>
      <c r="EK407" s="205"/>
      <c r="EL407" s="205"/>
      <c r="EM407" s="205"/>
      <c r="EN407" s="205"/>
      <c r="EO407" s="205"/>
      <c r="EP407" s="205"/>
      <c r="EQ407" s="205"/>
      <c r="ER407" s="205"/>
      <c r="ES407" s="205"/>
      <c r="ET407" s="205"/>
      <c r="EU407" s="205"/>
      <c r="EV407" s="205"/>
      <c r="EW407" s="205"/>
      <c r="EX407" s="205"/>
      <c r="EY407" s="205"/>
      <c r="EZ407" s="205"/>
      <c r="FA407" s="205"/>
      <c r="FB407" s="205"/>
      <c r="FC407" s="205"/>
      <c r="FD407" s="205"/>
      <c r="FE407" s="205"/>
      <c r="FF407" s="205"/>
      <c r="FG407" s="205"/>
      <c r="FH407" s="205"/>
      <c r="FI407" s="205"/>
      <c r="FJ407" s="205"/>
      <c r="FK407" s="205"/>
      <c r="FL407" s="205"/>
      <c r="FM407" s="205"/>
      <c r="FN407" s="205"/>
      <c r="FO407" s="205"/>
      <c r="FP407" s="205"/>
      <c r="FQ407" s="205"/>
      <c r="FR407" s="205"/>
      <c r="FS407" s="205"/>
      <c r="FT407" s="205"/>
      <c r="FU407" s="205"/>
      <c r="FV407" s="205"/>
      <c r="FW407" s="205"/>
      <c r="FX407" s="205"/>
      <c r="FY407" s="205"/>
      <c r="FZ407" s="205"/>
      <c r="GA407" s="205"/>
      <c r="GB407" s="205"/>
      <c r="GC407" s="205"/>
      <c r="GD407" s="205"/>
      <c r="GE407" s="205"/>
      <c r="GF407" s="205"/>
      <c r="GG407" s="205"/>
      <c r="GH407" s="205"/>
      <c r="GI407" s="205"/>
      <c r="GJ407" s="205"/>
      <c r="GK407" s="205"/>
      <c r="GL407" s="205"/>
      <c r="GM407" s="205"/>
      <c r="GN407" s="205"/>
      <c r="GO407" s="205"/>
      <c r="GP407" s="205"/>
      <c r="GQ407" s="205"/>
      <c r="GR407" s="205"/>
      <c r="GS407" s="205"/>
      <c r="GT407" s="205"/>
      <c r="GU407" s="205"/>
      <c r="GV407" s="205"/>
      <c r="GW407" s="205"/>
      <c r="GX407" s="205"/>
      <c r="GY407" s="205"/>
      <c r="GZ407" s="205"/>
      <c r="HA407" s="205"/>
      <c r="HB407" s="205"/>
      <c r="HC407" s="205"/>
      <c r="HD407" s="205"/>
      <c r="HE407" s="205"/>
      <c r="HF407" s="205"/>
      <c r="HG407" s="205"/>
      <c r="HH407" s="205"/>
      <c r="HI407" s="205"/>
      <c r="HJ407" s="205"/>
      <c r="HK407" s="205"/>
      <c r="HL407" s="205"/>
      <c r="HM407" s="205"/>
      <c r="HN407" s="205"/>
      <c r="HO407" s="205"/>
      <c r="HP407" s="205"/>
      <c r="HQ407" s="205"/>
      <c r="HR407" s="205"/>
      <c r="HS407" s="205"/>
      <c r="HT407" s="205"/>
      <c r="HU407" s="205"/>
      <c r="HV407" s="205"/>
      <c r="HW407" s="205"/>
      <c r="HX407" s="205"/>
      <c r="HY407" s="205"/>
      <c r="HZ407" s="205"/>
      <c r="IA407" s="205"/>
      <c r="IB407" s="205"/>
      <c r="IC407" s="205"/>
      <c r="ID407" s="205"/>
      <c r="IE407" s="205"/>
      <c r="IF407" s="205"/>
      <c r="IG407" s="205"/>
      <c r="IH407" s="205"/>
      <c r="II407" s="205"/>
      <c r="IJ407" s="205"/>
      <c r="IK407" s="205"/>
      <c r="IL407" s="205"/>
      <c r="IM407" s="205"/>
      <c r="IN407" s="205"/>
      <c r="IO407" s="205"/>
      <c r="IP407" s="205"/>
      <c r="IQ407" s="205"/>
      <c r="IR407" s="205"/>
      <c r="IS407" s="205"/>
      <c r="IT407" s="205"/>
      <c r="IU407" s="205"/>
      <c r="IV407" s="205"/>
      <c r="IW407" s="205"/>
      <c r="IX407" s="205"/>
    </row>
    <row r="408" spans="1:258" s="203" customFormat="1" x14ac:dyDescent="0.2">
      <c r="A408" s="669"/>
      <c r="B408" s="670"/>
      <c r="C408" s="1390"/>
      <c r="D408" s="672"/>
      <c r="E408" s="1391"/>
      <c r="F408" s="1391"/>
      <c r="G408" s="1392" t="str">
        <f t="shared" si="165"/>
        <v>P2</v>
      </c>
      <c r="H408" s="1393">
        <f>H83+J83+J83</f>
        <v>5.7</v>
      </c>
      <c r="I408" s="1394" t="s">
        <v>424</v>
      </c>
      <c r="J408" s="1394">
        <f t="shared" si="166"/>
        <v>1</v>
      </c>
      <c r="K408" s="1394"/>
      <c r="L408" s="1394"/>
      <c r="M408" s="1394"/>
      <c r="N408" s="1394"/>
      <c r="O408" s="1394"/>
      <c r="P408" s="1394"/>
      <c r="Q408" s="1394" t="s">
        <v>696</v>
      </c>
      <c r="R408" s="1363">
        <f t="shared" si="167"/>
        <v>5.7</v>
      </c>
      <c r="S408" s="1396"/>
      <c r="T408" s="1397"/>
      <c r="U408" s="205"/>
      <c r="V408" s="68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05"/>
      <c r="BN408" s="205"/>
      <c r="BO408" s="205"/>
      <c r="BP408" s="205"/>
      <c r="BQ408" s="205"/>
      <c r="BR408" s="205"/>
      <c r="BS408" s="205"/>
      <c r="BT408" s="205"/>
      <c r="BU408" s="205"/>
      <c r="BV408" s="205"/>
      <c r="BW408" s="205"/>
      <c r="BX408" s="205"/>
      <c r="BY408" s="205"/>
      <c r="BZ408" s="205"/>
      <c r="CA408" s="205"/>
      <c r="CB408" s="205"/>
      <c r="CC408" s="205"/>
      <c r="CD408" s="205"/>
      <c r="CE408" s="205"/>
      <c r="CF408" s="205"/>
      <c r="CG408" s="205"/>
      <c r="CH408" s="205"/>
      <c r="CI408" s="205"/>
      <c r="CJ408" s="205"/>
      <c r="CK408" s="205"/>
      <c r="CL408" s="205"/>
      <c r="CM408" s="205"/>
      <c r="CN408" s="205"/>
      <c r="CO408" s="205"/>
      <c r="CP408" s="205"/>
      <c r="CQ408" s="205"/>
      <c r="CR408" s="205"/>
      <c r="CS408" s="205"/>
      <c r="CT408" s="205"/>
      <c r="CU408" s="205"/>
      <c r="CV408" s="205"/>
      <c r="CW408" s="205"/>
      <c r="CX408" s="205"/>
      <c r="CY408" s="205"/>
      <c r="CZ408" s="205"/>
      <c r="DA408" s="205"/>
      <c r="DB408" s="205"/>
      <c r="DC408" s="205"/>
      <c r="DD408" s="205"/>
      <c r="DE408" s="205"/>
      <c r="DF408" s="205"/>
      <c r="DG408" s="205"/>
      <c r="DH408" s="205"/>
      <c r="DI408" s="205"/>
      <c r="DJ408" s="205"/>
      <c r="DK408" s="205"/>
      <c r="DL408" s="205"/>
      <c r="DM408" s="205"/>
      <c r="DN408" s="205"/>
      <c r="DO408" s="205"/>
      <c r="DP408" s="205"/>
      <c r="DQ408" s="205"/>
      <c r="DR408" s="205"/>
      <c r="DS408" s="205"/>
      <c r="DT408" s="205"/>
      <c r="DU408" s="205"/>
      <c r="DV408" s="205"/>
      <c r="DW408" s="205"/>
      <c r="DX408" s="205"/>
      <c r="DY408" s="205"/>
      <c r="DZ408" s="205"/>
      <c r="EA408" s="205"/>
      <c r="EB408" s="205"/>
      <c r="EC408" s="205"/>
      <c r="ED408" s="205"/>
      <c r="EE408" s="205"/>
      <c r="EF408" s="205"/>
      <c r="EG408" s="205"/>
      <c r="EH408" s="205"/>
      <c r="EI408" s="205"/>
      <c r="EJ408" s="205"/>
      <c r="EK408" s="205"/>
      <c r="EL408" s="205"/>
      <c r="EM408" s="205"/>
      <c r="EN408" s="205"/>
      <c r="EO408" s="205"/>
      <c r="EP408" s="205"/>
      <c r="EQ408" s="205"/>
      <c r="ER408" s="205"/>
      <c r="ES408" s="205"/>
      <c r="ET408" s="205"/>
      <c r="EU408" s="205"/>
      <c r="EV408" s="205"/>
      <c r="EW408" s="205"/>
      <c r="EX408" s="205"/>
      <c r="EY408" s="205"/>
      <c r="EZ408" s="205"/>
      <c r="FA408" s="205"/>
      <c r="FB408" s="205"/>
      <c r="FC408" s="205"/>
      <c r="FD408" s="205"/>
      <c r="FE408" s="205"/>
      <c r="FF408" s="205"/>
      <c r="FG408" s="205"/>
      <c r="FH408" s="205"/>
      <c r="FI408" s="205"/>
      <c r="FJ408" s="205"/>
      <c r="FK408" s="205"/>
      <c r="FL408" s="205"/>
      <c r="FM408" s="205"/>
      <c r="FN408" s="205"/>
      <c r="FO408" s="205"/>
      <c r="FP408" s="205"/>
      <c r="FQ408" s="205"/>
      <c r="FR408" s="205"/>
      <c r="FS408" s="205"/>
      <c r="FT408" s="205"/>
      <c r="FU408" s="205"/>
      <c r="FV408" s="205"/>
      <c r="FW408" s="205"/>
      <c r="FX408" s="205"/>
      <c r="FY408" s="205"/>
      <c r="FZ408" s="205"/>
      <c r="GA408" s="205"/>
      <c r="GB408" s="205"/>
      <c r="GC408" s="205"/>
      <c r="GD408" s="205"/>
      <c r="GE408" s="205"/>
      <c r="GF408" s="205"/>
      <c r="GG408" s="205"/>
      <c r="GH408" s="205"/>
      <c r="GI408" s="205"/>
      <c r="GJ408" s="205"/>
      <c r="GK408" s="205"/>
      <c r="GL408" s="205"/>
      <c r="GM408" s="205"/>
      <c r="GN408" s="205"/>
      <c r="GO408" s="205"/>
      <c r="GP408" s="205"/>
      <c r="GQ408" s="205"/>
      <c r="GR408" s="205"/>
      <c r="GS408" s="205"/>
      <c r="GT408" s="205"/>
      <c r="GU408" s="205"/>
      <c r="GV408" s="205"/>
      <c r="GW408" s="205"/>
      <c r="GX408" s="205"/>
      <c r="GY408" s="205"/>
      <c r="GZ408" s="205"/>
      <c r="HA408" s="205"/>
      <c r="HB408" s="205"/>
      <c r="HC408" s="205"/>
      <c r="HD408" s="205"/>
      <c r="HE408" s="205"/>
      <c r="HF408" s="205"/>
      <c r="HG408" s="205"/>
      <c r="HH408" s="205"/>
      <c r="HI408" s="205"/>
      <c r="HJ408" s="205"/>
      <c r="HK408" s="205"/>
      <c r="HL408" s="205"/>
      <c r="HM408" s="205"/>
      <c r="HN408" s="205"/>
      <c r="HO408" s="205"/>
      <c r="HP408" s="205"/>
      <c r="HQ408" s="205"/>
      <c r="HR408" s="205"/>
      <c r="HS408" s="205"/>
      <c r="HT408" s="205"/>
      <c r="HU408" s="205"/>
      <c r="HV408" s="205"/>
      <c r="HW408" s="205"/>
      <c r="HX408" s="205"/>
      <c r="HY408" s="205"/>
      <c r="HZ408" s="205"/>
      <c r="IA408" s="205"/>
      <c r="IB408" s="205"/>
      <c r="IC408" s="205"/>
      <c r="ID408" s="205"/>
      <c r="IE408" s="205"/>
      <c r="IF408" s="205"/>
      <c r="IG408" s="205"/>
      <c r="IH408" s="205"/>
      <c r="II408" s="205"/>
      <c r="IJ408" s="205"/>
      <c r="IK408" s="205"/>
      <c r="IL408" s="205"/>
      <c r="IM408" s="205"/>
      <c r="IN408" s="205"/>
      <c r="IO408" s="205"/>
      <c r="IP408" s="205"/>
      <c r="IQ408" s="205"/>
      <c r="IR408" s="205"/>
      <c r="IS408" s="205"/>
      <c r="IT408" s="205"/>
      <c r="IU408" s="205"/>
      <c r="IV408" s="205"/>
      <c r="IW408" s="205"/>
      <c r="IX408" s="205"/>
    </row>
    <row r="409" spans="1:258" s="203" customFormat="1" x14ac:dyDescent="0.2">
      <c r="A409" s="669"/>
      <c r="B409" s="670"/>
      <c r="C409" s="1390"/>
      <c r="D409" s="672"/>
      <c r="E409" s="1391"/>
      <c r="F409" s="1391"/>
      <c r="G409" s="1392" t="str">
        <f t="shared" si="165"/>
        <v>P3</v>
      </c>
      <c r="H409" s="1393">
        <f>H84+J84+J84</f>
        <v>5</v>
      </c>
      <c r="I409" s="1394" t="s">
        <v>424</v>
      </c>
      <c r="J409" s="1394">
        <f t="shared" si="166"/>
        <v>9</v>
      </c>
      <c r="K409" s="1394"/>
      <c r="L409" s="1394"/>
      <c r="M409" s="1394"/>
      <c r="N409" s="1394"/>
      <c r="O409" s="1394"/>
      <c r="P409" s="1394"/>
      <c r="Q409" s="1394" t="s">
        <v>696</v>
      </c>
      <c r="R409" s="1363">
        <f t="shared" si="167"/>
        <v>45</v>
      </c>
      <c r="S409" s="1396"/>
      <c r="T409" s="1397"/>
      <c r="U409" s="205"/>
      <c r="V409" s="68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05"/>
      <c r="BN409" s="205"/>
      <c r="BO409" s="205"/>
      <c r="BP409" s="205"/>
      <c r="BQ409" s="205"/>
      <c r="BR409" s="205"/>
      <c r="BS409" s="205"/>
      <c r="BT409" s="205"/>
      <c r="BU409" s="205"/>
      <c r="BV409" s="205"/>
      <c r="BW409" s="205"/>
      <c r="BX409" s="205"/>
      <c r="BY409" s="205"/>
      <c r="BZ409" s="205"/>
      <c r="CA409" s="205"/>
      <c r="CB409" s="205"/>
      <c r="CC409" s="205"/>
      <c r="CD409" s="205"/>
      <c r="CE409" s="205"/>
      <c r="CF409" s="205"/>
      <c r="CG409" s="205"/>
      <c r="CH409" s="205"/>
      <c r="CI409" s="205"/>
      <c r="CJ409" s="205"/>
      <c r="CK409" s="205"/>
      <c r="CL409" s="205"/>
      <c r="CM409" s="205"/>
      <c r="CN409" s="205"/>
      <c r="CO409" s="205"/>
      <c r="CP409" s="205"/>
      <c r="CQ409" s="205"/>
      <c r="CR409" s="205"/>
      <c r="CS409" s="205"/>
      <c r="CT409" s="205"/>
      <c r="CU409" s="205"/>
      <c r="CV409" s="205"/>
      <c r="CW409" s="205"/>
      <c r="CX409" s="205"/>
      <c r="CY409" s="205"/>
      <c r="CZ409" s="205"/>
      <c r="DA409" s="205"/>
      <c r="DB409" s="205"/>
      <c r="DC409" s="205"/>
      <c r="DD409" s="205"/>
      <c r="DE409" s="205"/>
      <c r="DF409" s="205"/>
      <c r="DG409" s="205"/>
      <c r="DH409" s="205"/>
      <c r="DI409" s="205"/>
      <c r="DJ409" s="205"/>
      <c r="DK409" s="205"/>
      <c r="DL409" s="205"/>
      <c r="DM409" s="205"/>
      <c r="DN409" s="205"/>
      <c r="DO409" s="205"/>
      <c r="DP409" s="205"/>
      <c r="DQ409" s="205"/>
      <c r="DR409" s="205"/>
      <c r="DS409" s="205"/>
      <c r="DT409" s="205"/>
      <c r="DU409" s="205"/>
      <c r="DV409" s="205"/>
      <c r="DW409" s="205"/>
      <c r="DX409" s="205"/>
      <c r="DY409" s="205"/>
      <c r="DZ409" s="205"/>
      <c r="EA409" s="205"/>
      <c r="EB409" s="205"/>
      <c r="EC409" s="205"/>
      <c r="ED409" s="205"/>
      <c r="EE409" s="205"/>
      <c r="EF409" s="205"/>
      <c r="EG409" s="205"/>
      <c r="EH409" s="205"/>
      <c r="EI409" s="205"/>
      <c r="EJ409" s="205"/>
      <c r="EK409" s="205"/>
      <c r="EL409" s="205"/>
      <c r="EM409" s="205"/>
      <c r="EN409" s="205"/>
      <c r="EO409" s="205"/>
      <c r="EP409" s="205"/>
      <c r="EQ409" s="205"/>
      <c r="ER409" s="205"/>
      <c r="ES409" s="205"/>
      <c r="ET409" s="205"/>
      <c r="EU409" s="205"/>
      <c r="EV409" s="205"/>
      <c r="EW409" s="205"/>
      <c r="EX409" s="205"/>
      <c r="EY409" s="205"/>
      <c r="EZ409" s="205"/>
      <c r="FA409" s="205"/>
      <c r="FB409" s="205"/>
      <c r="FC409" s="205"/>
      <c r="FD409" s="205"/>
      <c r="FE409" s="205"/>
      <c r="FF409" s="205"/>
      <c r="FG409" s="205"/>
      <c r="FH409" s="205"/>
      <c r="FI409" s="205"/>
      <c r="FJ409" s="205"/>
      <c r="FK409" s="205"/>
      <c r="FL409" s="205"/>
      <c r="FM409" s="205"/>
      <c r="FN409" s="205"/>
      <c r="FO409" s="205"/>
      <c r="FP409" s="205"/>
      <c r="FQ409" s="205"/>
      <c r="FR409" s="205"/>
      <c r="FS409" s="205"/>
      <c r="FT409" s="205"/>
      <c r="FU409" s="205"/>
      <c r="FV409" s="205"/>
      <c r="FW409" s="205"/>
      <c r="FX409" s="205"/>
      <c r="FY409" s="205"/>
      <c r="FZ409" s="205"/>
      <c r="GA409" s="205"/>
      <c r="GB409" s="205"/>
      <c r="GC409" s="205"/>
      <c r="GD409" s="205"/>
      <c r="GE409" s="205"/>
      <c r="GF409" s="205"/>
      <c r="GG409" s="205"/>
      <c r="GH409" s="205"/>
      <c r="GI409" s="205"/>
      <c r="GJ409" s="205"/>
      <c r="GK409" s="205"/>
      <c r="GL409" s="205"/>
      <c r="GM409" s="205"/>
      <c r="GN409" s="205"/>
      <c r="GO409" s="205"/>
      <c r="GP409" s="205"/>
      <c r="GQ409" s="205"/>
      <c r="GR409" s="205"/>
      <c r="GS409" s="205"/>
      <c r="GT409" s="205"/>
      <c r="GU409" s="205"/>
      <c r="GV409" s="205"/>
      <c r="GW409" s="205"/>
      <c r="GX409" s="205"/>
      <c r="GY409" s="205"/>
      <c r="GZ409" s="205"/>
      <c r="HA409" s="205"/>
      <c r="HB409" s="205"/>
      <c r="HC409" s="205"/>
      <c r="HD409" s="205"/>
      <c r="HE409" s="205"/>
      <c r="HF409" s="205"/>
      <c r="HG409" s="205"/>
      <c r="HH409" s="205"/>
      <c r="HI409" s="205"/>
      <c r="HJ409" s="205"/>
      <c r="HK409" s="205"/>
      <c r="HL409" s="205"/>
      <c r="HM409" s="205"/>
      <c r="HN409" s="205"/>
      <c r="HO409" s="205"/>
      <c r="HP409" s="205"/>
      <c r="HQ409" s="205"/>
      <c r="HR409" s="205"/>
      <c r="HS409" s="205"/>
      <c r="HT409" s="205"/>
      <c r="HU409" s="205"/>
      <c r="HV409" s="205"/>
      <c r="HW409" s="205"/>
      <c r="HX409" s="205"/>
      <c r="HY409" s="205"/>
      <c r="HZ409" s="205"/>
      <c r="IA409" s="205"/>
      <c r="IB409" s="205"/>
      <c r="IC409" s="205"/>
      <c r="ID409" s="205"/>
      <c r="IE409" s="205"/>
      <c r="IF409" s="205"/>
      <c r="IG409" s="205"/>
      <c r="IH409" s="205"/>
      <c r="II409" s="205"/>
      <c r="IJ409" s="205"/>
      <c r="IK409" s="205"/>
      <c r="IL409" s="205"/>
      <c r="IM409" s="205"/>
      <c r="IN409" s="205"/>
      <c r="IO409" s="205"/>
      <c r="IP409" s="205"/>
      <c r="IQ409" s="205"/>
      <c r="IR409" s="205"/>
      <c r="IS409" s="205"/>
      <c r="IT409" s="205"/>
      <c r="IU409" s="205"/>
      <c r="IV409" s="205"/>
      <c r="IW409" s="205"/>
      <c r="IX409" s="205"/>
    </row>
    <row r="410" spans="1:258" s="203" customFormat="1" x14ac:dyDescent="0.2">
      <c r="A410" s="669"/>
      <c r="B410" s="670"/>
      <c r="C410" s="1390"/>
      <c r="D410" s="672"/>
      <c r="E410" s="1391"/>
      <c r="F410" s="1391"/>
      <c r="G410" s="1392" t="str">
        <f t="shared" si="165"/>
        <v>P4</v>
      </c>
      <c r="H410" s="1393">
        <f>H85+J85+J85</f>
        <v>5.0999999999999996</v>
      </c>
      <c r="I410" s="1394" t="s">
        <v>424</v>
      </c>
      <c r="J410" s="1394">
        <f t="shared" si="166"/>
        <v>6</v>
      </c>
      <c r="K410" s="1394"/>
      <c r="L410" s="1394"/>
      <c r="M410" s="1394"/>
      <c r="N410" s="1394"/>
      <c r="O410" s="1394"/>
      <c r="P410" s="1394"/>
      <c r="Q410" s="1394" t="s">
        <v>696</v>
      </c>
      <c r="R410" s="1363">
        <f t="shared" ref="R410" si="168">H410*J410</f>
        <v>30.599999999999998</v>
      </c>
      <c r="S410" s="1396"/>
      <c r="T410" s="1397"/>
      <c r="U410" s="205"/>
      <c r="V410" s="68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05"/>
      <c r="BN410" s="205"/>
      <c r="BO410" s="205"/>
      <c r="BP410" s="205"/>
      <c r="BQ410" s="205"/>
      <c r="BR410" s="205"/>
      <c r="BS410" s="205"/>
      <c r="BT410" s="205"/>
      <c r="BU410" s="205"/>
      <c r="BV410" s="205"/>
      <c r="BW410" s="205"/>
      <c r="BX410" s="205"/>
      <c r="BY410" s="205"/>
      <c r="BZ410" s="205"/>
      <c r="CA410" s="205"/>
      <c r="CB410" s="205"/>
      <c r="CC410" s="205"/>
      <c r="CD410" s="205"/>
      <c r="CE410" s="205"/>
      <c r="CF410" s="205"/>
      <c r="CG410" s="205"/>
      <c r="CH410" s="205"/>
      <c r="CI410" s="205"/>
      <c r="CJ410" s="205"/>
      <c r="CK410" s="205"/>
      <c r="CL410" s="205"/>
      <c r="CM410" s="205"/>
      <c r="CN410" s="205"/>
      <c r="CO410" s="205"/>
      <c r="CP410" s="205"/>
      <c r="CQ410" s="205"/>
      <c r="CR410" s="205"/>
      <c r="CS410" s="205"/>
      <c r="CT410" s="205"/>
      <c r="CU410" s="205"/>
      <c r="CV410" s="205"/>
      <c r="CW410" s="205"/>
      <c r="CX410" s="205"/>
      <c r="CY410" s="205"/>
      <c r="CZ410" s="205"/>
      <c r="DA410" s="205"/>
      <c r="DB410" s="205"/>
      <c r="DC410" s="205"/>
      <c r="DD410" s="205"/>
      <c r="DE410" s="205"/>
      <c r="DF410" s="205"/>
      <c r="DG410" s="205"/>
      <c r="DH410" s="205"/>
      <c r="DI410" s="205"/>
      <c r="DJ410" s="205"/>
      <c r="DK410" s="205"/>
      <c r="DL410" s="205"/>
      <c r="DM410" s="205"/>
      <c r="DN410" s="205"/>
      <c r="DO410" s="205"/>
      <c r="DP410" s="205"/>
      <c r="DQ410" s="205"/>
      <c r="DR410" s="205"/>
      <c r="DS410" s="205"/>
      <c r="DT410" s="205"/>
      <c r="DU410" s="205"/>
      <c r="DV410" s="205"/>
      <c r="DW410" s="205"/>
      <c r="DX410" s="205"/>
      <c r="DY410" s="205"/>
      <c r="DZ410" s="205"/>
      <c r="EA410" s="205"/>
      <c r="EB410" s="205"/>
      <c r="EC410" s="205"/>
      <c r="ED410" s="205"/>
      <c r="EE410" s="205"/>
      <c r="EF410" s="205"/>
      <c r="EG410" s="205"/>
      <c r="EH410" s="205"/>
      <c r="EI410" s="205"/>
      <c r="EJ410" s="205"/>
      <c r="EK410" s="205"/>
      <c r="EL410" s="205"/>
      <c r="EM410" s="205"/>
      <c r="EN410" s="205"/>
      <c r="EO410" s="205"/>
      <c r="EP410" s="205"/>
      <c r="EQ410" s="205"/>
      <c r="ER410" s="205"/>
      <c r="ES410" s="205"/>
      <c r="ET410" s="205"/>
      <c r="EU410" s="205"/>
      <c r="EV410" s="205"/>
      <c r="EW410" s="205"/>
      <c r="EX410" s="205"/>
      <c r="EY410" s="205"/>
      <c r="EZ410" s="205"/>
      <c r="FA410" s="205"/>
      <c r="FB410" s="205"/>
      <c r="FC410" s="205"/>
      <c r="FD410" s="205"/>
      <c r="FE410" s="205"/>
      <c r="FF410" s="205"/>
      <c r="FG410" s="205"/>
      <c r="FH410" s="205"/>
      <c r="FI410" s="205"/>
      <c r="FJ410" s="205"/>
      <c r="FK410" s="205"/>
      <c r="FL410" s="205"/>
      <c r="FM410" s="205"/>
      <c r="FN410" s="205"/>
      <c r="FO410" s="205"/>
      <c r="FP410" s="205"/>
      <c r="FQ410" s="205"/>
      <c r="FR410" s="205"/>
      <c r="FS410" s="205"/>
      <c r="FT410" s="205"/>
      <c r="FU410" s="205"/>
      <c r="FV410" s="205"/>
      <c r="FW410" s="205"/>
      <c r="FX410" s="205"/>
      <c r="FY410" s="205"/>
      <c r="FZ410" s="205"/>
      <c r="GA410" s="205"/>
      <c r="GB410" s="205"/>
      <c r="GC410" s="205"/>
      <c r="GD410" s="205"/>
      <c r="GE410" s="205"/>
      <c r="GF410" s="205"/>
      <c r="GG410" s="205"/>
      <c r="GH410" s="205"/>
      <c r="GI410" s="205"/>
      <c r="GJ410" s="205"/>
      <c r="GK410" s="205"/>
      <c r="GL410" s="205"/>
      <c r="GM410" s="205"/>
      <c r="GN410" s="205"/>
      <c r="GO410" s="205"/>
      <c r="GP410" s="205"/>
      <c r="GQ410" s="205"/>
      <c r="GR410" s="205"/>
      <c r="GS410" s="205"/>
      <c r="GT410" s="205"/>
      <c r="GU410" s="205"/>
      <c r="GV410" s="205"/>
      <c r="GW410" s="205"/>
      <c r="GX410" s="205"/>
      <c r="GY410" s="205"/>
      <c r="GZ410" s="205"/>
      <c r="HA410" s="205"/>
      <c r="HB410" s="205"/>
      <c r="HC410" s="205"/>
      <c r="HD410" s="205"/>
      <c r="HE410" s="205"/>
      <c r="HF410" s="205"/>
      <c r="HG410" s="205"/>
      <c r="HH410" s="205"/>
      <c r="HI410" s="205"/>
      <c r="HJ410" s="205"/>
      <c r="HK410" s="205"/>
      <c r="HL410" s="205"/>
      <c r="HM410" s="205"/>
      <c r="HN410" s="205"/>
      <c r="HO410" s="205"/>
      <c r="HP410" s="205"/>
      <c r="HQ410" s="205"/>
      <c r="HR410" s="205"/>
      <c r="HS410" s="205"/>
      <c r="HT410" s="205"/>
      <c r="HU410" s="205"/>
      <c r="HV410" s="205"/>
      <c r="HW410" s="205"/>
      <c r="HX410" s="205"/>
      <c r="HY410" s="205"/>
      <c r="HZ410" s="205"/>
      <c r="IA410" s="205"/>
      <c r="IB410" s="205"/>
      <c r="IC410" s="205"/>
      <c r="ID410" s="205"/>
      <c r="IE410" s="205"/>
      <c r="IF410" s="205"/>
      <c r="IG410" s="205"/>
      <c r="IH410" s="205"/>
      <c r="II410" s="205"/>
      <c r="IJ410" s="205"/>
      <c r="IK410" s="205"/>
      <c r="IL410" s="205"/>
      <c r="IM410" s="205"/>
      <c r="IN410" s="205"/>
      <c r="IO410" s="205"/>
      <c r="IP410" s="205"/>
      <c r="IQ410" s="205"/>
      <c r="IR410" s="205"/>
      <c r="IS410" s="205"/>
      <c r="IT410" s="205"/>
      <c r="IU410" s="205"/>
      <c r="IV410" s="205"/>
      <c r="IW410" s="205"/>
      <c r="IX410" s="205"/>
    </row>
    <row r="411" spans="1:258" s="203" customFormat="1" x14ac:dyDescent="0.2">
      <c r="A411" s="669"/>
      <c r="B411" s="670"/>
      <c r="C411" s="1390"/>
      <c r="D411" s="672"/>
      <c r="E411" s="1391"/>
      <c r="F411" s="1391"/>
      <c r="G411" s="1392" t="str">
        <f t="shared" si="165"/>
        <v>J1</v>
      </c>
      <c r="H411" s="1393">
        <f>(H86*4)+(J86*4)</f>
        <v>17.600000000000001</v>
      </c>
      <c r="I411" s="1394" t="s">
        <v>424</v>
      </c>
      <c r="J411" s="1394">
        <f t="shared" si="166"/>
        <v>1</v>
      </c>
      <c r="K411" s="1394"/>
      <c r="L411" s="1394"/>
      <c r="M411" s="1394"/>
      <c r="N411" s="1394"/>
      <c r="O411" s="1394"/>
      <c r="P411" s="1394"/>
      <c r="Q411" s="1394" t="s">
        <v>696</v>
      </c>
      <c r="R411" s="1363">
        <f t="shared" si="167"/>
        <v>17.600000000000001</v>
      </c>
      <c r="S411" s="1396"/>
      <c r="T411" s="1397"/>
      <c r="U411" s="205"/>
      <c r="V411" s="68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05"/>
      <c r="BN411" s="205"/>
      <c r="BO411" s="205"/>
      <c r="BP411" s="205"/>
      <c r="BQ411" s="205"/>
      <c r="BR411" s="205"/>
      <c r="BS411" s="205"/>
      <c r="BT411" s="205"/>
      <c r="BU411" s="205"/>
      <c r="BV411" s="205"/>
      <c r="BW411" s="205"/>
      <c r="BX411" s="205"/>
      <c r="BY411" s="205"/>
      <c r="BZ411" s="205"/>
      <c r="CA411" s="205"/>
      <c r="CB411" s="205"/>
      <c r="CC411" s="205"/>
      <c r="CD411" s="205"/>
      <c r="CE411" s="205"/>
      <c r="CF411" s="205"/>
      <c r="CG411" s="205"/>
      <c r="CH411" s="205"/>
      <c r="CI411" s="205"/>
      <c r="CJ411" s="205"/>
      <c r="CK411" s="205"/>
      <c r="CL411" s="205"/>
      <c r="CM411" s="205"/>
      <c r="CN411" s="205"/>
      <c r="CO411" s="205"/>
      <c r="CP411" s="205"/>
      <c r="CQ411" s="205"/>
      <c r="CR411" s="205"/>
      <c r="CS411" s="205"/>
      <c r="CT411" s="205"/>
      <c r="CU411" s="205"/>
      <c r="CV411" s="205"/>
      <c r="CW411" s="205"/>
      <c r="CX411" s="205"/>
      <c r="CY411" s="205"/>
      <c r="CZ411" s="205"/>
      <c r="DA411" s="205"/>
      <c r="DB411" s="205"/>
      <c r="DC411" s="205"/>
      <c r="DD411" s="205"/>
      <c r="DE411" s="205"/>
      <c r="DF411" s="205"/>
      <c r="DG411" s="205"/>
      <c r="DH411" s="205"/>
      <c r="DI411" s="205"/>
      <c r="DJ411" s="205"/>
      <c r="DK411" s="205"/>
      <c r="DL411" s="205"/>
      <c r="DM411" s="205"/>
      <c r="DN411" s="205"/>
      <c r="DO411" s="205"/>
      <c r="DP411" s="205"/>
      <c r="DQ411" s="205"/>
      <c r="DR411" s="205"/>
      <c r="DS411" s="205"/>
      <c r="DT411" s="205"/>
      <c r="DU411" s="205"/>
      <c r="DV411" s="205"/>
      <c r="DW411" s="205"/>
      <c r="DX411" s="205"/>
      <c r="DY411" s="205"/>
      <c r="DZ411" s="205"/>
      <c r="EA411" s="205"/>
      <c r="EB411" s="205"/>
      <c r="EC411" s="205"/>
      <c r="ED411" s="205"/>
      <c r="EE411" s="205"/>
      <c r="EF411" s="205"/>
      <c r="EG411" s="205"/>
      <c r="EH411" s="205"/>
      <c r="EI411" s="205"/>
      <c r="EJ411" s="205"/>
      <c r="EK411" s="205"/>
      <c r="EL411" s="205"/>
      <c r="EM411" s="205"/>
      <c r="EN411" s="205"/>
      <c r="EO411" s="205"/>
      <c r="EP411" s="205"/>
      <c r="EQ411" s="205"/>
      <c r="ER411" s="205"/>
      <c r="ES411" s="205"/>
      <c r="ET411" s="205"/>
      <c r="EU411" s="205"/>
      <c r="EV411" s="205"/>
      <c r="EW411" s="205"/>
      <c r="EX411" s="205"/>
      <c r="EY411" s="205"/>
      <c r="EZ411" s="205"/>
      <c r="FA411" s="205"/>
      <c r="FB411" s="205"/>
      <c r="FC411" s="205"/>
      <c r="FD411" s="205"/>
      <c r="FE411" s="205"/>
      <c r="FF411" s="205"/>
      <c r="FG411" s="205"/>
      <c r="FH411" s="205"/>
      <c r="FI411" s="205"/>
      <c r="FJ411" s="205"/>
      <c r="FK411" s="205"/>
      <c r="FL411" s="205"/>
      <c r="FM411" s="205"/>
      <c r="FN411" s="205"/>
      <c r="FO411" s="205"/>
      <c r="FP411" s="205"/>
      <c r="FQ411" s="205"/>
      <c r="FR411" s="205"/>
      <c r="FS411" s="205"/>
      <c r="FT411" s="205"/>
      <c r="FU411" s="205"/>
      <c r="FV411" s="205"/>
      <c r="FW411" s="205"/>
      <c r="FX411" s="205"/>
      <c r="FY411" s="205"/>
      <c r="FZ411" s="205"/>
      <c r="GA411" s="205"/>
      <c r="GB411" s="205"/>
      <c r="GC411" s="205"/>
      <c r="GD411" s="205"/>
      <c r="GE411" s="205"/>
      <c r="GF411" s="205"/>
      <c r="GG411" s="205"/>
      <c r="GH411" s="205"/>
      <c r="GI411" s="205"/>
      <c r="GJ411" s="205"/>
      <c r="GK411" s="205"/>
      <c r="GL411" s="205"/>
      <c r="GM411" s="205"/>
      <c r="GN411" s="205"/>
      <c r="GO411" s="205"/>
      <c r="GP411" s="205"/>
      <c r="GQ411" s="205"/>
      <c r="GR411" s="205"/>
      <c r="GS411" s="205"/>
      <c r="GT411" s="205"/>
      <c r="GU411" s="205"/>
      <c r="GV411" s="205"/>
      <c r="GW411" s="205"/>
      <c r="GX411" s="205"/>
      <c r="GY411" s="205"/>
      <c r="GZ411" s="205"/>
      <c r="HA411" s="205"/>
      <c r="HB411" s="205"/>
      <c r="HC411" s="205"/>
      <c r="HD411" s="205"/>
      <c r="HE411" s="205"/>
      <c r="HF411" s="205"/>
      <c r="HG411" s="205"/>
      <c r="HH411" s="205"/>
      <c r="HI411" s="205"/>
      <c r="HJ411" s="205"/>
      <c r="HK411" s="205"/>
      <c r="HL411" s="205"/>
      <c r="HM411" s="205"/>
      <c r="HN411" s="205"/>
      <c r="HO411" s="205"/>
      <c r="HP411" s="205"/>
      <c r="HQ411" s="205"/>
      <c r="HR411" s="205"/>
      <c r="HS411" s="205"/>
      <c r="HT411" s="205"/>
      <c r="HU411" s="205"/>
      <c r="HV411" s="205"/>
      <c r="HW411" s="205"/>
      <c r="HX411" s="205"/>
      <c r="HY411" s="205"/>
      <c r="HZ411" s="205"/>
      <c r="IA411" s="205"/>
      <c r="IB411" s="205"/>
      <c r="IC411" s="205"/>
      <c r="ID411" s="205"/>
      <c r="IE411" s="205"/>
      <c r="IF411" s="205"/>
      <c r="IG411" s="205"/>
      <c r="IH411" s="205"/>
      <c r="II411" s="205"/>
      <c r="IJ411" s="205"/>
      <c r="IK411" s="205"/>
      <c r="IL411" s="205"/>
      <c r="IM411" s="205"/>
      <c r="IN411" s="205"/>
      <c r="IO411" s="205"/>
      <c r="IP411" s="205"/>
      <c r="IQ411" s="205"/>
      <c r="IR411" s="205"/>
      <c r="IS411" s="205"/>
      <c r="IT411" s="205"/>
      <c r="IU411" s="205"/>
      <c r="IV411" s="205"/>
      <c r="IW411" s="205"/>
      <c r="IX411" s="205"/>
    </row>
    <row r="412" spans="1:258" s="203" customFormat="1" x14ac:dyDescent="0.2">
      <c r="A412" s="669"/>
      <c r="B412" s="670"/>
      <c r="C412" s="1390"/>
      <c r="D412" s="672"/>
      <c r="E412" s="1391"/>
      <c r="F412" s="1391"/>
      <c r="G412" s="1392" t="str">
        <f t="shared" si="165"/>
        <v>J2</v>
      </c>
      <c r="H412" s="1393">
        <f>(H87*3)+(J87*2)</f>
        <v>6.45</v>
      </c>
      <c r="I412" s="1394" t="s">
        <v>424</v>
      </c>
      <c r="J412" s="1394">
        <f t="shared" si="166"/>
        <v>3</v>
      </c>
      <c r="K412" s="1394"/>
      <c r="L412" s="1394"/>
      <c r="M412" s="1394"/>
      <c r="N412" s="1394"/>
      <c r="O412" s="1394"/>
      <c r="P412" s="1394"/>
      <c r="Q412" s="1394" t="s">
        <v>696</v>
      </c>
      <c r="R412" s="1363">
        <f t="shared" si="167"/>
        <v>19.350000000000001</v>
      </c>
      <c r="S412" s="1396"/>
      <c r="T412" s="1397"/>
      <c r="U412" s="205"/>
      <c r="V412" s="68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5"/>
      <c r="BN412" s="205"/>
      <c r="BO412" s="205"/>
      <c r="BP412" s="205"/>
      <c r="BQ412" s="205"/>
      <c r="BR412" s="205"/>
      <c r="BS412" s="205"/>
      <c r="BT412" s="205"/>
      <c r="BU412" s="205"/>
      <c r="BV412" s="205"/>
      <c r="BW412" s="205"/>
      <c r="BX412" s="205"/>
      <c r="BY412" s="205"/>
      <c r="BZ412" s="205"/>
      <c r="CA412" s="205"/>
      <c r="CB412" s="205"/>
      <c r="CC412" s="205"/>
      <c r="CD412" s="205"/>
      <c r="CE412" s="205"/>
      <c r="CF412" s="205"/>
      <c r="CG412" s="205"/>
      <c r="CH412" s="205"/>
      <c r="CI412" s="205"/>
      <c r="CJ412" s="205"/>
      <c r="CK412" s="205"/>
      <c r="CL412" s="205"/>
      <c r="CM412" s="205"/>
      <c r="CN412" s="205"/>
      <c r="CO412" s="205"/>
      <c r="CP412" s="205"/>
      <c r="CQ412" s="205"/>
      <c r="CR412" s="205"/>
      <c r="CS412" s="205"/>
      <c r="CT412" s="205"/>
      <c r="CU412" s="205"/>
      <c r="CV412" s="205"/>
      <c r="CW412" s="205"/>
      <c r="CX412" s="205"/>
      <c r="CY412" s="205"/>
      <c r="CZ412" s="205"/>
      <c r="DA412" s="205"/>
      <c r="DB412" s="205"/>
      <c r="DC412" s="205"/>
      <c r="DD412" s="205"/>
      <c r="DE412" s="205"/>
      <c r="DF412" s="205"/>
      <c r="DG412" s="205"/>
      <c r="DH412" s="205"/>
      <c r="DI412" s="205"/>
      <c r="DJ412" s="205"/>
      <c r="DK412" s="205"/>
      <c r="DL412" s="205"/>
      <c r="DM412" s="205"/>
      <c r="DN412" s="205"/>
      <c r="DO412" s="205"/>
      <c r="DP412" s="205"/>
      <c r="DQ412" s="205"/>
      <c r="DR412" s="205"/>
      <c r="DS412" s="205"/>
      <c r="DT412" s="205"/>
      <c r="DU412" s="205"/>
      <c r="DV412" s="205"/>
      <c r="DW412" s="205"/>
      <c r="DX412" s="205"/>
      <c r="DY412" s="205"/>
      <c r="DZ412" s="205"/>
      <c r="EA412" s="205"/>
      <c r="EB412" s="205"/>
      <c r="EC412" s="205"/>
      <c r="ED412" s="205"/>
      <c r="EE412" s="205"/>
      <c r="EF412" s="205"/>
      <c r="EG412" s="205"/>
      <c r="EH412" s="205"/>
      <c r="EI412" s="205"/>
      <c r="EJ412" s="205"/>
      <c r="EK412" s="205"/>
      <c r="EL412" s="205"/>
      <c r="EM412" s="205"/>
      <c r="EN412" s="205"/>
      <c r="EO412" s="205"/>
      <c r="EP412" s="205"/>
      <c r="EQ412" s="205"/>
      <c r="ER412" s="205"/>
      <c r="ES412" s="205"/>
      <c r="ET412" s="205"/>
      <c r="EU412" s="205"/>
      <c r="EV412" s="205"/>
      <c r="EW412" s="205"/>
      <c r="EX412" s="205"/>
      <c r="EY412" s="205"/>
      <c r="EZ412" s="205"/>
      <c r="FA412" s="205"/>
      <c r="FB412" s="205"/>
      <c r="FC412" s="205"/>
      <c r="FD412" s="205"/>
      <c r="FE412" s="205"/>
      <c r="FF412" s="205"/>
      <c r="FG412" s="205"/>
      <c r="FH412" s="205"/>
      <c r="FI412" s="205"/>
      <c r="FJ412" s="205"/>
      <c r="FK412" s="205"/>
      <c r="FL412" s="205"/>
      <c r="FM412" s="205"/>
      <c r="FN412" s="205"/>
      <c r="FO412" s="205"/>
      <c r="FP412" s="205"/>
      <c r="FQ412" s="205"/>
      <c r="FR412" s="205"/>
      <c r="FS412" s="205"/>
      <c r="FT412" s="205"/>
      <c r="FU412" s="205"/>
      <c r="FV412" s="205"/>
      <c r="FW412" s="205"/>
      <c r="FX412" s="205"/>
      <c r="FY412" s="205"/>
      <c r="FZ412" s="205"/>
      <c r="GA412" s="205"/>
      <c r="GB412" s="205"/>
      <c r="GC412" s="205"/>
      <c r="GD412" s="205"/>
      <c r="GE412" s="205"/>
      <c r="GF412" s="205"/>
      <c r="GG412" s="205"/>
      <c r="GH412" s="205"/>
      <c r="GI412" s="205"/>
      <c r="GJ412" s="205"/>
      <c r="GK412" s="205"/>
      <c r="GL412" s="205"/>
      <c r="GM412" s="205"/>
      <c r="GN412" s="205"/>
      <c r="GO412" s="205"/>
      <c r="GP412" s="205"/>
      <c r="GQ412" s="205"/>
      <c r="GR412" s="205"/>
      <c r="GS412" s="205"/>
      <c r="GT412" s="205"/>
      <c r="GU412" s="205"/>
      <c r="GV412" s="205"/>
      <c r="GW412" s="205"/>
      <c r="GX412" s="205"/>
      <c r="GY412" s="205"/>
      <c r="GZ412" s="205"/>
      <c r="HA412" s="205"/>
      <c r="HB412" s="205"/>
      <c r="HC412" s="205"/>
      <c r="HD412" s="205"/>
      <c r="HE412" s="205"/>
      <c r="HF412" s="205"/>
      <c r="HG412" s="205"/>
      <c r="HH412" s="205"/>
      <c r="HI412" s="205"/>
      <c r="HJ412" s="205"/>
      <c r="HK412" s="205"/>
      <c r="HL412" s="205"/>
      <c r="HM412" s="205"/>
      <c r="HN412" s="205"/>
      <c r="HO412" s="205"/>
      <c r="HP412" s="205"/>
      <c r="HQ412" s="205"/>
      <c r="HR412" s="205"/>
      <c r="HS412" s="205"/>
      <c r="HT412" s="205"/>
      <c r="HU412" s="205"/>
      <c r="HV412" s="205"/>
      <c r="HW412" s="205"/>
      <c r="HX412" s="205"/>
      <c r="HY412" s="205"/>
      <c r="HZ412" s="205"/>
      <c r="IA412" s="205"/>
      <c r="IB412" s="205"/>
      <c r="IC412" s="205"/>
      <c r="ID412" s="205"/>
      <c r="IE412" s="205"/>
      <c r="IF412" s="205"/>
      <c r="IG412" s="205"/>
      <c r="IH412" s="205"/>
      <c r="II412" s="205"/>
      <c r="IJ412" s="205"/>
      <c r="IK412" s="205"/>
      <c r="IL412" s="205"/>
      <c r="IM412" s="205"/>
      <c r="IN412" s="205"/>
      <c r="IO412" s="205"/>
      <c r="IP412" s="205"/>
      <c r="IQ412" s="205"/>
      <c r="IR412" s="205"/>
      <c r="IS412" s="205"/>
      <c r="IT412" s="205"/>
      <c r="IU412" s="205"/>
      <c r="IV412" s="205"/>
      <c r="IW412" s="205"/>
      <c r="IX412" s="205"/>
    </row>
    <row r="413" spans="1:258" s="203" customFormat="1" x14ac:dyDescent="0.2">
      <c r="A413" s="669"/>
      <c r="B413" s="670"/>
      <c r="C413" s="1390"/>
      <c r="D413" s="672"/>
      <c r="E413" s="1391"/>
      <c r="F413" s="1391"/>
      <c r="G413" s="1392" t="str">
        <f t="shared" si="165"/>
        <v>J3</v>
      </c>
      <c r="H413" s="1393">
        <f>H88++H88+J88+J88</f>
        <v>4.0999999999999996</v>
      </c>
      <c r="I413" s="1394" t="s">
        <v>424</v>
      </c>
      <c r="J413" s="1394">
        <f t="shared" si="166"/>
        <v>12</v>
      </c>
      <c r="K413" s="1394"/>
      <c r="L413" s="1394"/>
      <c r="M413" s="1394"/>
      <c r="N413" s="1394"/>
      <c r="O413" s="1394"/>
      <c r="P413" s="1394"/>
      <c r="Q413" s="1394" t="s">
        <v>696</v>
      </c>
      <c r="R413" s="1363">
        <f t="shared" si="167"/>
        <v>49.199999999999996</v>
      </c>
      <c r="S413" s="1396"/>
      <c r="T413" s="1397"/>
      <c r="U413" s="205"/>
      <c r="V413" s="68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5"/>
      <c r="BN413" s="205"/>
      <c r="BO413" s="205"/>
      <c r="BP413" s="205"/>
      <c r="BQ413" s="205"/>
      <c r="BR413" s="205"/>
      <c r="BS413" s="205"/>
      <c r="BT413" s="205"/>
      <c r="BU413" s="205"/>
      <c r="BV413" s="205"/>
      <c r="BW413" s="205"/>
      <c r="BX413" s="205"/>
      <c r="BY413" s="205"/>
      <c r="BZ413" s="205"/>
      <c r="CA413" s="205"/>
      <c r="CB413" s="205"/>
      <c r="CC413" s="205"/>
      <c r="CD413" s="205"/>
      <c r="CE413" s="205"/>
      <c r="CF413" s="205"/>
      <c r="CG413" s="205"/>
      <c r="CH413" s="205"/>
      <c r="CI413" s="205"/>
      <c r="CJ413" s="205"/>
      <c r="CK413" s="205"/>
      <c r="CL413" s="205"/>
      <c r="CM413" s="205"/>
      <c r="CN413" s="205"/>
      <c r="CO413" s="205"/>
      <c r="CP413" s="205"/>
      <c r="CQ413" s="205"/>
      <c r="CR413" s="205"/>
      <c r="CS413" s="205"/>
      <c r="CT413" s="205"/>
      <c r="CU413" s="205"/>
      <c r="CV413" s="205"/>
      <c r="CW413" s="205"/>
      <c r="CX413" s="205"/>
      <c r="CY413" s="205"/>
      <c r="CZ413" s="205"/>
      <c r="DA413" s="205"/>
      <c r="DB413" s="205"/>
      <c r="DC413" s="205"/>
      <c r="DD413" s="205"/>
      <c r="DE413" s="205"/>
      <c r="DF413" s="205"/>
      <c r="DG413" s="205"/>
      <c r="DH413" s="205"/>
      <c r="DI413" s="205"/>
      <c r="DJ413" s="205"/>
      <c r="DK413" s="205"/>
      <c r="DL413" s="205"/>
      <c r="DM413" s="205"/>
      <c r="DN413" s="205"/>
      <c r="DO413" s="205"/>
      <c r="DP413" s="205"/>
      <c r="DQ413" s="205"/>
      <c r="DR413" s="205"/>
      <c r="DS413" s="205"/>
      <c r="DT413" s="205"/>
      <c r="DU413" s="205"/>
      <c r="DV413" s="205"/>
      <c r="DW413" s="205"/>
      <c r="DX413" s="205"/>
      <c r="DY413" s="205"/>
      <c r="DZ413" s="205"/>
      <c r="EA413" s="205"/>
      <c r="EB413" s="205"/>
      <c r="EC413" s="205"/>
      <c r="ED413" s="205"/>
      <c r="EE413" s="205"/>
      <c r="EF413" s="205"/>
      <c r="EG413" s="205"/>
      <c r="EH413" s="205"/>
      <c r="EI413" s="205"/>
      <c r="EJ413" s="205"/>
      <c r="EK413" s="205"/>
      <c r="EL413" s="205"/>
      <c r="EM413" s="205"/>
      <c r="EN413" s="205"/>
      <c r="EO413" s="205"/>
      <c r="EP413" s="205"/>
      <c r="EQ413" s="205"/>
      <c r="ER413" s="205"/>
      <c r="ES413" s="205"/>
      <c r="ET413" s="205"/>
      <c r="EU413" s="205"/>
      <c r="EV413" s="205"/>
      <c r="EW413" s="205"/>
      <c r="EX413" s="205"/>
      <c r="EY413" s="205"/>
      <c r="EZ413" s="205"/>
      <c r="FA413" s="205"/>
      <c r="FB413" s="205"/>
      <c r="FC413" s="205"/>
      <c r="FD413" s="205"/>
      <c r="FE413" s="205"/>
      <c r="FF413" s="205"/>
      <c r="FG413" s="205"/>
      <c r="FH413" s="205"/>
      <c r="FI413" s="205"/>
      <c r="FJ413" s="205"/>
      <c r="FK413" s="205"/>
      <c r="FL413" s="205"/>
      <c r="FM413" s="205"/>
      <c r="FN413" s="205"/>
      <c r="FO413" s="205"/>
      <c r="FP413" s="205"/>
      <c r="FQ413" s="205"/>
      <c r="FR413" s="205"/>
      <c r="FS413" s="205"/>
      <c r="FT413" s="205"/>
      <c r="FU413" s="205"/>
      <c r="FV413" s="205"/>
      <c r="FW413" s="205"/>
      <c r="FX413" s="205"/>
      <c r="FY413" s="205"/>
      <c r="FZ413" s="205"/>
      <c r="GA413" s="205"/>
      <c r="GB413" s="205"/>
      <c r="GC413" s="205"/>
      <c r="GD413" s="205"/>
      <c r="GE413" s="205"/>
      <c r="GF413" s="205"/>
      <c r="GG413" s="205"/>
      <c r="GH413" s="205"/>
      <c r="GI413" s="205"/>
      <c r="GJ413" s="205"/>
      <c r="GK413" s="205"/>
      <c r="GL413" s="205"/>
      <c r="GM413" s="205"/>
      <c r="GN413" s="205"/>
      <c r="GO413" s="205"/>
      <c r="GP413" s="205"/>
      <c r="GQ413" s="205"/>
      <c r="GR413" s="205"/>
      <c r="GS413" s="205"/>
      <c r="GT413" s="205"/>
      <c r="GU413" s="205"/>
      <c r="GV413" s="205"/>
      <c r="GW413" s="205"/>
      <c r="GX413" s="205"/>
      <c r="GY413" s="205"/>
      <c r="GZ413" s="205"/>
      <c r="HA413" s="205"/>
      <c r="HB413" s="205"/>
      <c r="HC413" s="205"/>
      <c r="HD413" s="205"/>
      <c r="HE413" s="205"/>
      <c r="HF413" s="205"/>
      <c r="HG413" s="205"/>
      <c r="HH413" s="205"/>
      <c r="HI413" s="205"/>
      <c r="HJ413" s="205"/>
      <c r="HK413" s="205"/>
      <c r="HL413" s="205"/>
      <c r="HM413" s="205"/>
      <c r="HN413" s="205"/>
      <c r="HO413" s="205"/>
      <c r="HP413" s="205"/>
      <c r="HQ413" s="205"/>
      <c r="HR413" s="205"/>
      <c r="HS413" s="205"/>
      <c r="HT413" s="205"/>
      <c r="HU413" s="205"/>
      <c r="HV413" s="205"/>
      <c r="HW413" s="205"/>
      <c r="HX413" s="205"/>
      <c r="HY413" s="205"/>
      <c r="HZ413" s="205"/>
      <c r="IA413" s="205"/>
      <c r="IB413" s="205"/>
      <c r="IC413" s="205"/>
      <c r="ID413" s="205"/>
      <c r="IE413" s="205"/>
      <c r="IF413" s="205"/>
      <c r="IG413" s="205"/>
      <c r="IH413" s="205"/>
      <c r="II413" s="205"/>
      <c r="IJ413" s="205"/>
      <c r="IK413" s="205"/>
      <c r="IL413" s="205"/>
      <c r="IM413" s="205"/>
      <c r="IN413" s="205"/>
      <c r="IO413" s="205"/>
      <c r="IP413" s="205"/>
      <c r="IQ413" s="205"/>
      <c r="IR413" s="205"/>
      <c r="IS413" s="205"/>
      <c r="IT413" s="205"/>
      <c r="IU413" s="205"/>
      <c r="IV413" s="205"/>
      <c r="IW413" s="205"/>
      <c r="IX413" s="205"/>
    </row>
    <row r="414" spans="1:258" s="203" customFormat="1" x14ac:dyDescent="0.2">
      <c r="A414" s="669"/>
      <c r="B414" s="670"/>
      <c r="C414" s="1390"/>
      <c r="D414" s="672"/>
      <c r="E414" s="1391"/>
      <c r="F414" s="1391"/>
      <c r="G414" s="1392" t="str">
        <f t="shared" si="165"/>
        <v>BV 1</v>
      </c>
      <c r="H414" s="1393">
        <f>(H89*2)+(J89*4)</f>
        <v>5.9</v>
      </c>
      <c r="I414" s="1394" t="s">
        <v>424</v>
      </c>
      <c r="J414" s="1394">
        <f t="shared" si="166"/>
        <v>2</v>
      </c>
      <c r="K414" s="1394"/>
      <c r="L414" s="1394"/>
      <c r="M414" s="1394"/>
      <c r="N414" s="1394"/>
      <c r="O414" s="1394"/>
      <c r="P414" s="1394"/>
      <c r="Q414" s="1394" t="s">
        <v>696</v>
      </c>
      <c r="R414" s="1363">
        <f t="shared" si="167"/>
        <v>11.8</v>
      </c>
      <c r="S414" s="1396"/>
      <c r="T414" s="1397"/>
      <c r="U414" s="205"/>
      <c r="V414" s="68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05"/>
      <c r="BN414" s="205"/>
      <c r="BO414" s="205"/>
      <c r="BP414" s="205"/>
      <c r="BQ414" s="205"/>
      <c r="BR414" s="205"/>
      <c r="BS414" s="205"/>
      <c r="BT414" s="205"/>
      <c r="BU414" s="205"/>
      <c r="BV414" s="205"/>
      <c r="BW414" s="205"/>
      <c r="BX414" s="205"/>
      <c r="BY414" s="205"/>
      <c r="BZ414" s="205"/>
      <c r="CA414" s="205"/>
      <c r="CB414" s="205"/>
      <c r="CC414" s="205"/>
      <c r="CD414" s="205"/>
      <c r="CE414" s="205"/>
      <c r="CF414" s="205"/>
      <c r="CG414" s="205"/>
      <c r="CH414" s="205"/>
      <c r="CI414" s="205"/>
      <c r="CJ414" s="205"/>
      <c r="CK414" s="205"/>
      <c r="CL414" s="205"/>
      <c r="CM414" s="205"/>
      <c r="CN414" s="205"/>
      <c r="CO414" s="205"/>
      <c r="CP414" s="205"/>
      <c r="CQ414" s="205"/>
      <c r="CR414" s="205"/>
      <c r="CS414" s="205"/>
      <c r="CT414" s="205"/>
      <c r="CU414" s="205"/>
      <c r="CV414" s="205"/>
      <c r="CW414" s="205"/>
      <c r="CX414" s="205"/>
      <c r="CY414" s="205"/>
      <c r="CZ414" s="205"/>
      <c r="DA414" s="205"/>
      <c r="DB414" s="205"/>
      <c r="DC414" s="205"/>
      <c r="DD414" s="205"/>
      <c r="DE414" s="205"/>
      <c r="DF414" s="205"/>
      <c r="DG414" s="205"/>
      <c r="DH414" s="205"/>
      <c r="DI414" s="205"/>
      <c r="DJ414" s="205"/>
      <c r="DK414" s="205"/>
      <c r="DL414" s="205"/>
      <c r="DM414" s="205"/>
      <c r="DN414" s="205"/>
      <c r="DO414" s="205"/>
      <c r="DP414" s="205"/>
      <c r="DQ414" s="205"/>
      <c r="DR414" s="205"/>
      <c r="DS414" s="205"/>
      <c r="DT414" s="205"/>
      <c r="DU414" s="205"/>
      <c r="DV414" s="205"/>
      <c r="DW414" s="205"/>
      <c r="DX414" s="205"/>
      <c r="DY414" s="205"/>
      <c r="DZ414" s="205"/>
      <c r="EA414" s="205"/>
      <c r="EB414" s="205"/>
      <c r="EC414" s="205"/>
      <c r="ED414" s="205"/>
      <c r="EE414" s="205"/>
      <c r="EF414" s="205"/>
      <c r="EG414" s="205"/>
      <c r="EH414" s="205"/>
      <c r="EI414" s="205"/>
      <c r="EJ414" s="205"/>
      <c r="EK414" s="205"/>
      <c r="EL414" s="205"/>
      <c r="EM414" s="205"/>
      <c r="EN414" s="205"/>
      <c r="EO414" s="205"/>
      <c r="EP414" s="205"/>
      <c r="EQ414" s="205"/>
      <c r="ER414" s="205"/>
      <c r="ES414" s="205"/>
      <c r="ET414" s="205"/>
      <c r="EU414" s="205"/>
      <c r="EV414" s="205"/>
      <c r="EW414" s="205"/>
      <c r="EX414" s="205"/>
      <c r="EY414" s="205"/>
      <c r="EZ414" s="205"/>
      <c r="FA414" s="205"/>
      <c r="FB414" s="205"/>
      <c r="FC414" s="205"/>
      <c r="FD414" s="205"/>
      <c r="FE414" s="205"/>
      <c r="FF414" s="205"/>
      <c r="FG414" s="205"/>
      <c r="FH414" s="205"/>
      <c r="FI414" s="205"/>
      <c r="FJ414" s="205"/>
      <c r="FK414" s="205"/>
      <c r="FL414" s="205"/>
      <c r="FM414" s="205"/>
      <c r="FN414" s="205"/>
      <c r="FO414" s="205"/>
      <c r="FP414" s="205"/>
      <c r="FQ414" s="205"/>
      <c r="FR414" s="205"/>
      <c r="FS414" s="205"/>
      <c r="FT414" s="205"/>
      <c r="FU414" s="205"/>
      <c r="FV414" s="205"/>
      <c r="FW414" s="205"/>
      <c r="FX414" s="205"/>
      <c r="FY414" s="205"/>
      <c r="FZ414" s="205"/>
      <c r="GA414" s="205"/>
      <c r="GB414" s="205"/>
      <c r="GC414" s="205"/>
      <c r="GD414" s="205"/>
      <c r="GE414" s="205"/>
      <c r="GF414" s="205"/>
      <c r="GG414" s="205"/>
      <c r="GH414" s="205"/>
      <c r="GI414" s="205"/>
      <c r="GJ414" s="205"/>
      <c r="GK414" s="205"/>
      <c r="GL414" s="205"/>
      <c r="GM414" s="205"/>
      <c r="GN414" s="205"/>
      <c r="GO414" s="205"/>
      <c r="GP414" s="205"/>
      <c r="GQ414" s="205"/>
      <c r="GR414" s="205"/>
      <c r="GS414" s="205"/>
      <c r="GT414" s="205"/>
      <c r="GU414" s="205"/>
      <c r="GV414" s="205"/>
      <c r="GW414" s="205"/>
      <c r="GX414" s="205"/>
      <c r="GY414" s="205"/>
      <c r="GZ414" s="205"/>
      <c r="HA414" s="205"/>
      <c r="HB414" s="205"/>
      <c r="HC414" s="205"/>
      <c r="HD414" s="205"/>
      <c r="HE414" s="205"/>
      <c r="HF414" s="205"/>
      <c r="HG414" s="205"/>
      <c r="HH414" s="205"/>
      <c r="HI414" s="205"/>
      <c r="HJ414" s="205"/>
      <c r="HK414" s="205"/>
      <c r="HL414" s="205"/>
      <c r="HM414" s="205"/>
      <c r="HN414" s="205"/>
      <c r="HO414" s="205"/>
      <c r="HP414" s="205"/>
      <c r="HQ414" s="205"/>
      <c r="HR414" s="205"/>
      <c r="HS414" s="205"/>
      <c r="HT414" s="205"/>
      <c r="HU414" s="205"/>
      <c r="HV414" s="205"/>
      <c r="HW414" s="205"/>
      <c r="HX414" s="205"/>
      <c r="HY414" s="205"/>
      <c r="HZ414" s="205"/>
      <c r="IA414" s="205"/>
      <c r="IB414" s="205"/>
      <c r="IC414" s="205"/>
      <c r="ID414" s="205"/>
      <c r="IE414" s="205"/>
      <c r="IF414" s="205"/>
      <c r="IG414" s="205"/>
      <c r="IH414" s="205"/>
      <c r="II414" s="205"/>
      <c r="IJ414" s="205"/>
      <c r="IK414" s="205"/>
      <c r="IL414" s="205"/>
      <c r="IM414" s="205"/>
      <c r="IN414" s="205"/>
      <c r="IO414" s="205"/>
      <c r="IP414" s="205"/>
      <c r="IQ414" s="205"/>
      <c r="IR414" s="205"/>
      <c r="IS414" s="205"/>
      <c r="IT414" s="205"/>
      <c r="IU414" s="205"/>
      <c r="IV414" s="205"/>
      <c r="IW414" s="205"/>
      <c r="IX414" s="205"/>
    </row>
    <row r="415" spans="1:258" s="203" customFormat="1" x14ac:dyDescent="0.2">
      <c r="A415" s="669"/>
      <c r="B415" s="670"/>
      <c r="C415" s="1390"/>
      <c r="D415" s="672"/>
      <c r="E415" s="1391"/>
      <c r="F415" s="1391"/>
      <c r="G415" s="1392" t="str">
        <f t="shared" si="165"/>
        <v>BV 2</v>
      </c>
      <c r="H415" s="1393">
        <f>H90+H90+J90+J90</f>
        <v>2.4000000000000004</v>
      </c>
      <c r="I415" s="1394" t="s">
        <v>424</v>
      </c>
      <c r="J415" s="1394">
        <f t="shared" si="166"/>
        <v>10</v>
      </c>
      <c r="K415" s="1394"/>
      <c r="L415" s="1394"/>
      <c r="M415" s="1394"/>
      <c r="N415" s="1394"/>
      <c r="O415" s="1394"/>
      <c r="P415" s="1394"/>
      <c r="Q415" s="1394" t="s">
        <v>696</v>
      </c>
      <c r="R415" s="1363">
        <f t="shared" si="167"/>
        <v>24.000000000000004</v>
      </c>
      <c r="S415" s="1396"/>
      <c r="T415" s="1397"/>
      <c r="U415" s="205"/>
      <c r="V415" s="68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05"/>
      <c r="BN415" s="205"/>
      <c r="BO415" s="205"/>
      <c r="BP415" s="205"/>
      <c r="BQ415" s="205"/>
      <c r="BR415" s="205"/>
      <c r="BS415" s="205"/>
      <c r="BT415" s="205"/>
      <c r="BU415" s="205"/>
      <c r="BV415" s="205"/>
      <c r="BW415" s="205"/>
      <c r="BX415" s="205"/>
      <c r="BY415" s="205"/>
      <c r="BZ415" s="205"/>
      <c r="CA415" s="205"/>
      <c r="CB415" s="205"/>
      <c r="CC415" s="205"/>
      <c r="CD415" s="205"/>
      <c r="CE415" s="205"/>
      <c r="CF415" s="205"/>
      <c r="CG415" s="205"/>
      <c r="CH415" s="205"/>
      <c r="CI415" s="205"/>
      <c r="CJ415" s="205"/>
      <c r="CK415" s="205"/>
      <c r="CL415" s="205"/>
      <c r="CM415" s="205"/>
      <c r="CN415" s="205"/>
      <c r="CO415" s="205"/>
      <c r="CP415" s="205"/>
      <c r="CQ415" s="205"/>
      <c r="CR415" s="205"/>
      <c r="CS415" s="205"/>
      <c r="CT415" s="205"/>
      <c r="CU415" s="205"/>
      <c r="CV415" s="205"/>
      <c r="CW415" s="205"/>
      <c r="CX415" s="205"/>
      <c r="CY415" s="205"/>
      <c r="CZ415" s="205"/>
      <c r="DA415" s="205"/>
      <c r="DB415" s="205"/>
      <c r="DC415" s="205"/>
      <c r="DD415" s="205"/>
      <c r="DE415" s="205"/>
      <c r="DF415" s="205"/>
      <c r="DG415" s="205"/>
      <c r="DH415" s="205"/>
      <c r="DI415" s="205"/>
      <c r="DJ415" s="205"/>
      <c r="DK415" s="205"/>
      <c r="DL415" s="205"/>
      <c r="DM415" s="205"/>
      <c r="DN415" s="205"/>
      <c r="DO415" s="205"/>
      <c r="DP415" s="205"/>
      <c r="DQ415" s="205"/>
      <c r="DR415" s="205"/>
      <c r="DS415" s="205"/>
      <c r="DT415" s="205"/>
      <c r="DU415" s="205"/>
      <c r="DV415" s="205"/>
      <c r="DW415" s="205"/>
      <c r="DX415" s="205"/>
      <c r="DY415" s="205"/>
      <c r="DZ415" s="205"/>
      <c r="EA415" s="205"/>
      <c r="EB415" s="205"/>
      <c r="EC415" s="205"/>
      <c r="ED415" s="205"/>
      <c r="EE415" s="205"/>
      <c r="EF415" s="205"/>
      <c r="EG415" s="205"/>
      <c r="EH415" s="205"/>
      <c r="EI415" s="205"/>
      <c r="EJ415" s="205"/>
      <c r="EK415" s="205"/>
      <c r="EL415" s="205"/>
      <c r="EM415" s="205"/>
      <c r="EN415" s="205"/>
      <c r="EO415" s="205"/>
      <c r="EP415" s="205"/>
      <c r="EQ415" s="205"/>
      <c r="ER415" s="205"/>
      <c r="ES415" s="205"/>
      <c r="ET415" s="205"/>
      <c r="EU415" s="205"/>
      <c r="EV415" s="205"/>
      <c r="EW415" s="205"/>
      <c r="EX415" s="205"/>
      <c r="EY415" s="205"/>
      <c r="EZ415" s="205"/>
      <c r="FA415" s="205"/>
      <c r="FB415" s="205"/>
      <c r="FC415" s="205"/>
      <c r="FD415" s="205"/>
      <c r="FE415" s="205"/>
      <c r="FF415" s="205"/>
      <c r="FG415" s="205"/>
      <c r="FH415" s="205"/>
      <c r="FI415" s="205"/>
      <c r="FJ415" s="205"/>
      <c r="FK415" s="205"/>
      <c r="FL415" s="205"/>
      <c r="FM415" s="205"/>
      <c r="FN415" s="205"/>
      <c r="FO415" s="205"/>
      <c r="FP415" s="205"/>
      <c r="FQ415" s="205"/>
      <c r="FR415" s="205"/>
      <c r="FS415" s="205"/>
      <c r="FT415" s="205"/>
      <c r="FU415" s="205"/>
      <c r="FV415" s="205"/>
      <c r="FW415" s="205"/>
      <c r="FX415" s="205"/>
      <c r="FY415" s="205"/>
      <c r="FZ415" s="205"/>
      <c r="GA415" s="205"/>
      <c r="GB415" s="205"/>
      <c r="GC415" s="205"/>
      <c r="GD415" s="205"/>
      <c r="GE415" s="205"/>
      <c r="GF415" s="205"/>
      <c r="GG415" s="205"/>
      <c r="GH415" s="205"/>
      <c r="GI415" s="205"/>
      <c r="GJ415" s="205"/>
      <c r="GK415" s="205"/>
      <c r="GL415" s="205"/>
      <c r="GM415" s="205"/>
      <c r="GN415" s="205"/>
      <c r="GO415" s="205"/>
      <c r="GP415" s="205"/>
      <c r="GQ415" s="205"/>
      <c r="GR415" s="205"/>
      <c r="GS415" s="205"/>
      <c r="GT415" s="205"/>
      <c r="GU415" s="205"/>
      <c r="GV415" s="205"/>
      <c r="GW415" s="205"/>
      <c r="GX415" s="205"/>
      <c r="GY415" s="205"/>
      <c r="GZ415" s="205"/>
      <c r="HA415" s="205"/>
      <c r="HB415" s="205"/>
      <c r="HC415" s="205"/>
      <c r="HD415" s="205"/>
      <c r="HE415" s="205"/>
      <c r="HF415" s="205"/>
      <c r="HG415" s="205"/>
      <c r="HH415" s="205"/>
      <c r="HI415" s="205"/>
      <c r="HJ415" s="205"/>
      <c r="HK415" s="205"/>
      <c r="HL415" s="205"/>
      <c r="HM415" s="205"/>
      <c r="HN415" s="205"/>
      <c r="HO415" s="205"/>
      <c r="HP415" s="205"/>
      <c r="HQ415" s="205"/>
      <c r="HR415" s="205"/>
      <c r="HS415" s="205"/>
      <c r="HT415" s="205"/>
      <c r="HU415" s="205"/>
      <c r="HV415" s="205"/>
      <c r="HW415" s="205"/>
      <c r="HX415" s="205"/>
      <c r="HY415" s="205"/>
      <c r="HZ415" s="205"/>
      <c r="IA415" s="205"/>
      <c r="IB415" s="205"/>
      <c r="IC415" s="205"/>
      <c r="ID415" s="205"/>
      <c r="IE415" s="205"/>
      <c r="IF415" s="205"/>
      <c r="IG415" s="205"/>
      <c r="IH415" s="205"/>
      <c r="II415" s="205"/>
      <c r="IJ415" s="205"/>
      <c r="IK415" s="205"/>
      <c r="IL415" s="205"/>
      <c r="IM415" s="205"/>
      <c r="IN415" s="205"/>
      <c r="IO415" s="205"/>
      <c r="IP415" s="205"/>
      <c r="IQ415" s="205"/>
      <c r="IR415" s="205"/>
      <c r="IS415" s="205"/>
      <c r="IT415" s="205"/>
      <c r="IU415" s="205"/>
      <c r="IV415" s="205"/>
      <c r="IW415" s="205"/>
      <c r="IX415" s="205"/>
    </row>
    <row r="416" spans="1:258" s="203" customFormat="1" x14ac:dyDescent="0.2">
      <c r="A416" s="669"/>
      <c r="B416" s="670"/>
      <c r="C416" s="1390"/>
      <c r="D416" s="672"/>
      <c r="E416" s="1391"/>
      <c r="F416" s="1391"/>
      <c r="G416" s="1392"/>
      <c r="H416" s="1393"/>
      <c r="I416" s="1394"/>
      <c r="J416" s="1394"/>
      <c r="K416" s="1394"/>
      <c r="L416" s="1394"/>
      <c r="M416" s="1394"/>
      <c r="N416" s="1394"/>
      <c r="O416" s="1394"/>
      <c r="P416" s="1394"/>
      <c r="Q416" s="1394"/>
      <c r="R416" s="1395">
        <f>SUM(R407:R415)</f>
        <v>271.65000000000003</v>
      </c>
      <c r="S416" s="1396">
        <f>R416</f>
        <v>271.65000000000003</v>
      </c>
      <c r="T416" s="1397" t="s">
        <v>247</v>
      </c>
      <c r="U416" s="205"/>
      <c r="V416" s="68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205"/>
      <c r="BN416" s="205"/>
      <c r="BO416" s="205"/>
      <c r="BP416" s="205"/>
      <c r="BQ416" s="205"/>
      <c r="BR416" s="205"/>
      <c r="BS416" s="205"/>
      <c r="BT416" s="205"/>
      <c r="BU416" s="205"/>
      <c r="BV416" s="205"/>
      <c r="BW416" s="205"/>
      <c r="BX416" s="205"/>
      <c r="BY416" s="205"/>
      <c r="BZ416" s="205"/>
      <c r="CA416" s="205"/>
      <c r="CB416" s="205"/>
      <c r="CC416" s="205"/>
      <c r="CD416" s="205"/>
      <c r="CE416" s="205"/>
      <c r="CF416" s="205"/>
      <c r="CG416" s="205"/>
      <c r="CH416" s="205"/>
      <c r="CI416" s="205"/>
      <c r="CJ416" s="205"/>
      <c r="CK416" s="205"/>
      <c r="CL416" s="205"/>
      <c r="CM416" s="205"/>
      <c r="CN416" s="205"/>
      <c r="CO416" s="205"/>
      <c r="CP416" s="205"/>
      <c r="CQ416" s="205"/>
      <c r="CR416" s="205"/>
      <c r="CS416" s="205"/>
      <c r="CT416" s="205"/>
      <c r="CU416" s="205"/>
      <c r="CV416" s="205"/>
      <c r="CW416" s="205"/>
      <c r="CX416" s="205"/>
      <c r="CY416" s="205"/>
      <c r="CZ416" s="205"/>
      <c r="DA416" s="205"/>
      <c r="DB416" s="205"/>
      <c r="DC416" s="205"/>
      <c r="DD416" s="205"/>
      <c r="DE416" s="205"/>
      <c r="DF416" s="205"/>
      <c r="DG416" s="205"/>
      <c r="DH416" s="205"/>
      <c r="DI416" s="205"/>
      <c r="DJ416" s="205"/>
      <c r="DK416" s="205"/>
      <c r="DL416" s="205"/>
      <c r="DM416" s="205"/>
      <c r="DN416" s="205"/>
      <c r="DO416" s="205"/>
      <c r="DP416" s="205"/>
      <c r="DQ416" s="205"/>
      <c r="DR416" s="205"/>
      <c r="DS416" s="205"/>
      <c r="DT416" s="205"/>
      <c r="DU416" s="205"/>
      <c r="DV416" s="205"/>
      <c r="DW416" s="205"/>
      <c r="DX416" s="205"/>
      <c r="DY416" s="205"/>
      <c r="DZ416" s="205"/>
      <c r="EA416" s="205"/>
      <c r="EB416" s="205"/>
      <c r="EC416" s="205"/>
      <c r="ED416" s="205"/>
      <c r="EE416" s="205"/>
      <c r="EF416" s="205"/>
      <c r="EG416" s="205"/>
      <c r="EH416" s="205"/>
      <c r="EI416" s="205"/>
      <c r="EJ416" s="205"/>
      <c r="EK416" s="205"/>
      <c r="EL416" s="205"/>
      <c r="EM416" s="205"/>
      <c r="EN416" s="205"/>
      <c r="EO416" s="205"/>
      <c r="EP416" s="205"/>
      <c r="EQ416" s="205"/>
      <c r="ER416" s="205"/>
      <c r="ES416" s="205"/>
      <c r="ET416" s="205"/>
      <c r="EU416" s="205"/>
      <c r="EV416" s="205"/>
      <c r="EW416" s="205"/>
      <c r="EX416" s="205"/>
      <c r="EY416" s="205"/>
      <c r="EZ416" s="205"/>
      <c r="FA416" s="205"/>
      <c r="FB416" s="205"/>
      <c r="FC416" s="205"/>
      <c r="FD416" s="205"/>
      <c r="FE416" s="205"/>
      <c r="FF416" s="205"/>
      <c r="FG416" s="205"/>
      <c r="FH416" s="205"/>
      <c r="FI416" s="205"/>
      <c r="FJ416" s="205"/>
      <c r="FK416" s="205"/>
      <c r="FL416" s="205"/>
      <c r="FM416" s="205"/>
      <c r="FN416" s="205"/>
      <c r="FO416" s="205"/>
      <c r="FP416" s="205"/>
      <c r="FQ416" s="205"/>
      <c r="FR416" s="205"/>
      <c r="FS416" s="205"/>
      <c r="FT416" s="205"/>
      <c r="FU416" s="205"/>
      <c r="FV416" s="205"/>
      <c r="FW416" s="205"/>
      <c r="FX416" s="205"/>
      <c r="FY416" s="205"/>
      <c r="FZ416" s="205"/>
      <c r="GA416" s="205"/>
      <c r="GB416" s="205"/>
      <c r="GC416" s="205"/>
      <c r="GD416" s="205"/>
      <c r="GE416" s="205"/>
      <c r="GF416" s="205"/>
      <c r="GG416" s="205"/>
      <c r="GH416" s="205"/>
      <c r="GI416" s="205"/>
      <c r="GJ416" s="205"/>
      <c r="GK416" s="205"/>
      <c r="GL416" s="205"/>
      <c r="GM416" s="205"/>
      <c r="GN416" s="205"/>
      <c r="GO416" s="205"/>
      <c r="GP416" s="205"/>
      <c r="GQ416" s="205"/>
      <c r="GR416" s="205"/>
      <c r="GS416" s="205"/>
      <c r="GT416" s="205"/>
      <c r="GU416" s="205"/>
      <c r="GV416" s="205"/>
      <c r="GW416" s="205"/>
      <c r="GX416" s="205"/>
      <c r="GY416" s="205"/>
      <c r="GZ416" s="205"/>
      <c r="HA416" s="205"/>
      <c r="HB416" s="205"/>
      <c r="HC416" s="205"/>
      <c r="HD416" s="205"/>
      <c r="HE416" s="205"/>
      <c r="HF416" s="205"/>
      <c r="HG416" s="205"/>
      <c r="HH416" s="205"/>
      <c r="HI416" s="205"/>
      <c r="HJ416" s="205"/>
      <c r="HK416" s="205"/>
      <c r="HL416" s="205"/>
      <c r="HM416" s="205"/>
      <c r="HN416" s="205"/>
      <c r="HO416" s="205"/>
      <c r="HP416" s="205"/>
      <c r="HQ416" s="205"/>
      <c r="HR416" s="205"/>
      <c r="HS416" s="205"/>
      <c r="HT416" s="205"/>
      <c r="HU416" s="205"/>
      <c r="HV416" s="205"/>
      <c r="HW416" s="205"/>
      <c r="HX416" s="205"/>
      <c r="HY416" s="205"/>
      <c r="HZ416" s="205"/>
      <c r="IA416" s="205"/>
      <c r="IB416" s="205"/>
      <c r="IC416" s="205"/>
      <c r="ID416" s="205"/>
      <c r="IE416" s="205"/>
      <c r="IF416" s="205"/>
      <c r="IG416" s="205"/>
      <c r="IH416" s="205"/>
      <c r="II416" s="205"/>
      <c r="IJ416" s="205"/>
      <c r="IK416" s="205"/>
      <c r="IL416" s="205"/>
      <c r="IM416" s="205"/>
      <c r="IN416" s="205"/>
      <c r="IO416" s="205"/>
      <c r="IP416" s="205"/>
      <c r="IQ416" s="205"/>
      <c r="IR416" s="205"/>
      <c r="IS416" s="205"/>
      <c r="IT416" s="205"/>
      <c r="IU416" s="205"/>
      <c r="IV416" s="205"/>
      <c r="IW416" s="205"/>
      <c r="IX416" s="205"/>
    </row>
    <row r="417" spans="1:258" s="203" customFormat="1" x14ac:dyDescent="0.2">
      <c r="A417" s="669"/>
      <c r="B417" s="670"/>
      <c r="C417" s="1390"/>
      <c r="D417" s="672"/>
      <c r="E417" s="1391"/>
      <c r="F417" s="1391"/>
      <c r="G417" s="1392"/>
      <c r="H417" s="1393"/>
      <c r="I417" s="1394"/>
      <c r="J417" s="1394"/>
      <c r="K417" s="1394"/>
      <c r="L417" s="1394"/>
      <c r="M417" s="1394"/>
      <c r="N417" s="1394"/>
      <c r="O417" s="1394"/>
      <c r="P417" s="1394"/>
      <c r="Q417" s="1394"/>
      <c r="R417" s="1395"/>
      <c r="S417" s="1396"/>
      <c r="T417" s="1397"/>
      <c r="U417" s="205"/>
      <c r="V417" s="685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205"/>
      <c r="BN417" s="205"/>
      <c r="BO417" s="205"/>
      <c r="BP417" s="205"/>
      <c r="BQ417" s="205"/>
      <c r="BR417" s="205"/>
      <c r="BS417" s="205"/>
      <c r="BT417" s="205"/>
      <c r="BU417" s="205"/>
      <c r="BV417" s="205"/>
      <c r="BW417" s="205"/>
      <c r="BX417" s="205"/>
      <c r="BY417" s="205"/>
      <c r="BZ417" s="205"/>
      <c r="CA417" s="205"/>
      <c r="CB417" s="205"/>
      <c r="CC417" s="205"/>
      <c r="CD417" s="205"/>
      <c r="CE417" s="205"/>
      <c r="CF417" s="205"/>
      <c r="CG417" s="205"/>
      <c r="CH417" s="205"/>
      <c r="CI417" s="205"/>
      <c r="CJ417" s="205"/>
      <c r="CK417" s="205"/>
      <c r="CL417" s="205"/>
      <c r="CM417" s="205"/>
      <c r="CN417" s="205"/>
      <c r="CO417" s="205"/>
      <c r="CP417" s="205"/>
      <c r="CQ417" s="205"/>
      <c r="CR417" s="205"/>
      <c r="CS417" s="205"/>
      <c r="CT417" s="205"/>
      <c r="CU417" s="205"/>
      <c r="CV417" s="205"/>
      <c r="CW417" s="205"/>
      <c r="CX417" s="205"/>
      <c r="CY417" s="205"/>
      <c r="CZ417" s="205"/>
      <c r="DA417" s="205"/>
      <c r="DB417" s="205"/>
      <c r="DC417" s="205"/>
      <c r="DD417" s="205"/>
      <c r="DE417" s="205"/>
      <c r="DF417" s="205"/>
      <c r="DG417" s="205"/>
      <c r="DH417" s="205"/>
      <c r="DI417" s="205"/>
      <c r="DJ417" s="205"/>
      <c r="DK417" s="205"/>
      <c r="DL417" s="205"/>
      <c r="DM417" s="205"/>
      <c r="DN417" s="205"/>
      <c r="DO417" s="205"/>
      <c r="DP417" s="205"/>
      <c r="DQ417" s="205"/>
      <c r="DR417" s="205"/>
      <c r="DS417" s="205"/>
      <c r="DT417" s="205"/>
      <c r="DU417" s="205"/>
      <c r="DV417" s="205"/>
      <c r="DW417" s="205"/>
      <c r="DX417" s="205"/>
      <c r="DY417" s="205"/>
      <c r="DZ417" s="205"/>
      <c r="EA417" s="205"/>
      <c r="EB417" s="205"/>
      <c r="EC417" s="205"/>
      <c r="ED417" s="205"/>
      <c r="EE417" s="205"/>
      <c r="EF417" s="205"/>
      <c r="EG417" s="205"/>
      <c r="EH417" s="205"/>
      <c r="EI417" s="205"/>
      <c r="EJ417" s="205"/>
      <c r="EK417" s="205"/>
      <c r="EL417" s="205"/>
      <c r="EM417" s="205"/>
      <c r="EN417" s="205"/>
      <c r="EO417" s="205"/>
      <c r="EP417" s="205"/>
      <c r="EQ417" s="205"/>
      <c r="ER417" s="205"/>
      <c r="ES417" s="205"/>
      <c r="ET417" s="205"/>
      <c r="EU417" s="205"/>
      <c r="EV417" s="205"/>
      <c r="EW417" s="205"/>
      <c r="EX417" s="205"/>
      <c r="EY417" s="205"/>
      <c r="EZ417" s="205"/>
      <c r="FA417" s="205"/>
      <c r="FB417" s="205"/>
      <c r="FC417" s="205"/>
      <c r="FD417" s="205"/>
      <c r="FE417" s="205"/>
      <c r="FF417" s="205"/>
      <c r="FG417" s="205"/>
      <c r="FH417" s="205"/>
      <c r="FI417" s="205"/>
      <c r="FJ417" s="205"/>
      <c r="FK417" s="205"/>
      <c r="FL417" s="205"/>
      <c r="FM417" s="205"/>
      <c r="FN417" s="205"/>
      <c r="FO417" s="205"/>
      <c r="FP417" s="205"/>
      <c r="FQ417" s="205"/>
      <c r="FR417" s="205"/>
      <c r="FS417" s="205"/>
      <c r="FT417" s="205"/>
      <c r="FU417" s="205"/>
      <c r="FV417" s="205"/>
      <c r="FW417" s="205"/>
      <c r="FX417" s="205"/>
      <c r="FY417" s="205"/>
      <c r="FZ417" s="205"/>
      <c r="GA417" s="205"/>
      <c r="GB417" s="205"/>
      <c r="GC417" s="205"/>
      <c r="GD417" s="205"/>
      <c r="GE417" s="205"/>
      <c r="GF417" s="205"/>
      <c r="GG417" s="205"/>
      <c r="GH417" s="205"/>
      <c r="GI417" s="205"/>
      <c r="GJ417" s="205"/>
      <c r="GK417" s="205"/>
      <c r="GL417" s="205"/>
      <c r="GM417" s="205"/>
      <c r="GN417" s="205"/>
      <c r="GO417" s="205"/>
      <c r="GP417" s="205"/>
      <c r="GQ417" s="205"/>
      <c r="GR417" s="205"/>
      <c r="GS417" s="205"/>
      <c r="GT417" s="205"/>
      <c r="GU417" s="205"/>
      <c r="GV417" s="205"/>
      <c r="GW417" s="205"/>
      <c r="GX417" s="205"/>
      <c r="GY417" s="205"/>
      <c r="GZ417" s="205"/>
      <c r="HA417" s="205"/>
      <c r="HB417" s="205"/>
      <c r="HC417" s="205"/>
      <c r="HD417" s="205"/>
      <c r="HE417" s="205"/>
      <c r="HF417" s="205"/>
      <c r="HG417" s="205"/>
      <c r="HH417" s="205"/>
      <c r="HI417" s="205"/>
      <c r="HJ417" s="205"/>
      <c r="HK417" s="205"/>
      <c r="HL417" s="205"/>
      <c r="HM417" s="205"/>
      <c r="HN417" s="205"/>
      <c r="HO417" s="205"/>
      <c r="HP417" s="205"/>
      <c r="HQ417" s="205"/>
      <c r="HR417" s="205"/>
      <c r="HS417" s="205"/>
      <c r="HT417" s="205"/>
      <c r="HU417" s="205"/>
      <c r="HV417" s="205"/>
      <c r="HW417" s="205"/>
      <c r="HX417" s="205"/>
      <c r="HY417" s="205"/>
      <c r="HZ417" s="205"/>
      <c r="IA417" s="205"/>
      <c r="IB417" s="205"/>
      <c r="IC417" s="205"/>
      <c r="ID417" s="205"/>
      <c r="IE417" s="205"/>
      <c r="IF417" s="205"/>
      <c r="IG417" s="205"/>
      <c r="IH417" s="205"/>
      <c r="II417" s="205"/>
      <c r="IJ417" s="205"/>
      <c r="IK417" s="205"/>
      <c r="IL417" s="205"/>
      <c r="IM417" s="205"/>
      <c r="IN417" s="205"/>
      <c r="IO417" s="205"/>
      <c r="IP417" s="205"/>
      <c r="IQ417" s="205"/>
      <c r="IR417" s="205"/>
      <c r="IS417" s="205"/>
      <c r="IT417" s="205"/>
      <c r="IU417" s="205"/>
      <c r="IV417" s="205"/>
      <c r="IW417" s="205"/>
      <c r="IX417" s="205"/>
    </row>
    <row r="418" spans="1:258" s="203" customFormat="1" x14ac:dyDescent="0.2">
      <c r="A418" s="669"/>
      <c r="B418" s="670"/>
      <c r="C418" s="1390"/>
      <c r="D418" s="672"/>
      <c r="E418" s="1391"/>
      <c r="F418" s="1391"/>
      <c r="G418" s="1392"/>
      <c r="H418" s="1393"/>
      <c r="I418" s="1394"/>
      <c r="J418" s="1394"/>
      <c r="K418" s="1394"/>
      <c r="L418" s="1394"/>
      <c r="M418" s="1394"/>
      <c r="N418" s="1394"/>
      <c r="O418" s="1394"/>
      <c r="P418" s="1394"/>
      <c r="Q418" s="1394"/>
      <c r="R418" s="1395"/>
      <c r="S418" s="1396"/>
      <c r="T418" s="1397"/>
      <c r="U418" s="205"/>
      <c r="V418" s="685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205"/>
      <c r="BN418" s="205"/>
      <c r="BO418" s="205"/>
      <c r="BP418" s="205"/>
      <c r="BQ418" s="205"/>
      <c r="BR418" s="205"/>
      <c r="BS418" s="205"/>
      <c r="BT418" s="205"/>
      <c r="BU418" s="205"/>
      <c r="BV418" s="205"/>
      <c r="BW418" s="205"/>
      <c r="BX418" s="205"/>
      <c r="BY418" s="205"/>
      <c r="BZ418" s="205"/>
      <c r="CA418" s="205"/>
      <c r="CB418" s="205"/>
      <c r="CC418" s="205"/>
      <c r="CD418" s="205"/>
      <c r="CE418" s="205"/>
      <c r="CF418" s="205"/>
      <c r="CG418" s="205"/>
      <c r="CH418" s="205"/>
      <c r="CI418" s="205"/>
      <c r="CJ418" s="205"/>
      <c r="CK418" s="205"/>
      <c r="CL418" s="205"/>
      <c r="CM418" s="205"/>
      <c r="CN418" s="205"/>
      <c r="CO418" s="205"/>
      <c r="CP418" s="205"/>
      <c r="CQ418" s="205"/>
      <c r="CR418" s="205"/>
      <c r="CS418" s="205"/>
      <c r="CT418" s="205"/>
      <c r="CU418" s="205"/>
      <c r="CV418" s="205"/>
      <c r="CW418" s="205"/>
      <c r="CX418" s="205"/>
      <c r="CY418" s="205"/>
      <c r="CZ418" s="205"/>
      <c r="DA418" s="205"/>
      <c r="DB418" s="205"/>
      <c r="DC418" s="205"/>
      <c r="DD418" s="205"/>
      <c r="DE418" s="205"/>
      <c r="DF418" s="205"/>
      <c r="DG418" s="205"/>
      <c r="DH418" s="205"/>
      <c r="DI418" s="205"/>
      <c r="DJ418" s="205"/>
      <c r="DK418" s="205"/>
      <c r="DL418" s="205"/>
      <c r="DM418" s="205"/>
      <c r="DN418" s="205"/>
      <c r="DO418" s="205"/>
      <c r="DP418" s="205"/>
      <c r="DQ418" s="205"/>
      <c r="DR418" s="205"/>
      <c r="DS418" s="205"/>
      <c r="DT418" s="205"/>
      <c r="DU418" s="205"/>
      <c r="DV418" s="205"/>
      <c r="DW418" s="205"/>
      <c r="DX418" s="205"/>
      <c r="DY418" s="205"/>
      <c r="DZ418" s="205"/>
      <c r="EA418" s="205"/>
      <c r="EB418" s="205"/>
      <c r="EC418" s="205"/>
      <c r="ED418" s="205"/>
      <c r="EE418" s="205"/>
      <c r="EF418" s="205"/>
      <c r="EG418" s="205"/>
      <c r="EH418" s="205"/>
      <c r="EI418" s="205"/>
      <c r="EJ418" s="205"/>
      <c r="EK418" s="205"/>
      <c r="EL418" s="205"/>
      <c r="EM418" s="205"/>
      <c r="EN418" s="205"/>
      <c r="EO418" s="205"/>
      <c r="EP418" s="205"/>
      <c r="EQ418" s="205"/>
      <c r="ER418" s="205"/>
      <c r="ES418" s="205"/>
      <c r="ET418" s="205"/>
      <c r="EU418" s="205"/>
      <c r="EV418" s="205"/>
      <c r="EW418" s="205"/>
      <c r="EX418" s="205"/>
      <c r="EY418" s="205"/>
      <c r="EZ418" s="205"/>
      <c r="FA418" s="205"/>
      <c r="FB418" s="205"/>
      <c r="FC418" s="205"/>
      <c r="FD418" s="205"/>
      <c r="FE418" s="205"/>
      <c r="FF418" s="205"/>
      <c r="FG418" s="205"/>
      <c r="FH418" s="205"/>
      <c r="FI418" s="205"/>
      <c r="FJ418" s="205"/>
      <c r="FK418" s="205"/>
      <c r="FL418" s="205"/>
      <c r="FM418" s="205"/>
      <c r="FN418" s="205"/>
      <c r="FO418" s="205"/>
      <c r="FP418" s="205"/>
      <c r="FQ418" s="205"/>
      <c r="FR418" s="205"/>
      <c r="FS418" s="205"/>
      <c r="FT418" s="205"/>
      <c r="FU418" s="205"/>
      <c r="FV418" s="205"/>
      <c r="FW418" s="205"/>
      <c r="FX418" s="205"/>
      <c r="FY418" s="205"/>
      <c r="FZ418" s="205"/>
      <c r="GA418" s="205"/>
      <c r="GB418" s="205"/>
      <c r="GC418" s="205"/>
      <c r="GD418" s="205"/>
      <c r="GE418" s="205"/>
      <c r="GF418" s="205"/>
      <c r="GG418" s="205"/>
      <c r="GH418" s="205"/>
      <c r="GI418" s="205"/>
      <c r="GJ418" s="205"/>
      <c r="GK418" s="205"/>
      <c r="GL418" s="205"/>
      <c r="GM418" s="205"/>
      <c r="GN418" s="205"/>
      <c r="GO418" s="205"/>
      <c r="GP418" s="205"/>
      <c r="GQ418" s="205"/>
      <c r="GR418" s="205"/>
      <c r="GS418" s="205"/>
      <c r="GT418" s="205"/>
      <c r="GU418" s="205"/>
      <c r="GV418" s="205"/>
      <c r="GW418" s="205"/>
      <c r="GX418" s="205"/>
      <c r="GY418" s="205"/>
      <c r="GZ418" s="205"/>
      <c r="HA418" s="205"/>
      <c r="HB418" s="205"/>
      <c r="HC418" s="205"/>
      <c r="HD418" s="205"/>
      <c r="HE418" s="205"/>
      <c r="HF418" s="205"/>
      <c r="HG418" s="205"/>
      <c r="HH418" s="205"/>
      <c r="HI418" s="205"/>
      <c r="HJ418" s="205"/>
      <c r="HK418" s="205"/>
      <c r="HL418" s="205"/>
      <c r="HM418" s="205"/>
      <c r="HN418" s="205"/>
      <c r="HO418" s="205"/>
      <c r="HP418" s="205"/>
      <c r="HQ418" s="205"/>
      <c r="HR418" s="205"/>
      <c r="HS418" s="205"/>
      <c r="HT418" s="205"/>
      <c r="HU418" s="205"/>
      <c r="HV418" s="205"/>
      <c r="HW418" s="205"/>
      <c r="HX418" s="205"/>
      <c r="HY418" s="205"/>
      <c r="HZ418" s="205"/>
      <c r="IA418" s="205"/>
      <c r="IB418" s="205"/>
      <c r="IC418" s="205"/>
      <c r="ID418" s="205"/>
      <c r="IE418" s="205"/>
      <c r="IF418" s="205"/>
      <c r="IG418" s="205"/>
      <c r="IH418" s="205"/>
      <c r="II418" s="205"/>
      <c r="IJ418" s="205"/>
      <c r="IK418" s="205"/>
      <c r="IL418" s="205"/>
      <c r="IM418" s="205"/>
      <c r="IN418" s="205"/>
      <c r="IO418" s="205"/>
      <c r="IP418" s="205"/>
      <c r="IQ418" s="205"/>
      <c r="IR418" s="205"/>
      <c r="IS418" s="205"/>
      <c r="IT418" s="205"/>
      <c r="IU418" s="205"/>
      <c r="IV418" s="205"/>
      <c r="IW418" s="205"/>
      <c r="IX418" s="205"/>
    </row>
    <row r="419" spans="1:258" s="203" customFormat="1" x14ac:dyDescent="0.2">
      <c r="A419" s="669"/>
      <c r="B419" s="670">
        <f>RAB!B136</f>
        <v>3</v>
      </c>
      <c r="C419" s="686" t="e">
        <f>RAB!D136</f>
        <v>#REF!</v>
      </c>
      <c r="D419" s="672"/>
      <c r="E419" s="673"/>
      <c r="F419" s="673"/>
      <c r="G419" s="674"/>
      <c r="H419" s="675"/>
      <c r="I419" s="676"/>
      <c r="J419" s="676"/>
      <c r="K419" s="676"/>
      <c r="L419" s="676"/>
      <c r="M419" s="676"/>
      <c r="N419" s="676"/>
      <c r="O419" s="676"/>
      <c r="P419" s="676"/>
      <c r="Q419" s="676"/>
      <c r="R419" s="677"/>
      <c r="S419" s="678"/>
      <c r="T419" s="684"/>
      <c r="U419" s="205"/>
      <c r="V419" s="68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205"/>
      <c r="BN419" s="205"/>
      <c r="BO419" s="205"/>
      <c r="BP419" s="205"/>
      <c r="BQ419" s="205"/>
      <c r="BR419" s="205"/>
      <c r="BS419" s="205"/>
      <c r="BT419" s="205"/>
      <c r="BU419" s="205"/>
      <c r="BV419" s="205"/>
      <c r="BW419" s="205"/>
      <c r="BX419" s="205"/>
      <c r="BY419" s="205"/>
      <c r="BZ419" s="205"/>
      <c r="CA419" s="205"/>
      <c r="CB419" s="205"/>
      <c r="CC419" s="205"/>
      <c r="CD419" s="205"/>
      <c r="CE419" s="205"/>
      <c r="CF419" s="205"/>
      <c r="CG419" s="205"/>
      <c r="CH419" s="205"/>
      <c r="CI419" s="205"/>
      <c r="CJ419" s="205"/>
      <c r="CK419" s="205"/>
      <c r="CL419" s="205"/>
      <c r="CM419" s="205"/>
      <c r="CN419" s="205"/>
      <c r="CO419" s="205"/>
      <c r="CP419" s="205"/>
      <c r="CQ419" s="205"/>
      <c r="CR419" s="205"/>
      <c r="CS419" s="205"/>
      <c r="CT419" s="205"/>
      <c r="CU419" s="205"/>
      <c r="CV419" s="205"/>
      <c r="CW419" s="205"/>
      <c r="CX419" s="205"/>
      <c r="CY419" s="205"/>
      <c r="CZ419" s="205"/>
      <c r="DA419" s="205"/>
      <c r="DB419" s="205"/>
      <c r="DC419" s="205"/>
      <c r="DD419" s="205"/>
      <c r="DE419" s="205"/>
      <c r="DF419" s="205"/>
      <c r="DG419" s="205"/>
      <c r="DH419" s="205"/>
      <c r="DI419" s="205"/>
      <c r="DJ419" s="205"/>
      <c r="DK419" s="205"/>
      <c r="DL419" s="205"/>
      <c r="DM419" s="205"/>
      <c r="DN419" s="205"/>
      <c r="DO419" s="205"/>
      <c r="DP419" s="205"/>
      <c r="DQ419" s="205"/>
      <c r="DR419" s="205"/>
      <c r="DS419" s="205"/>
      <c r="DT419" s="205"/>
      <c r="DU419" s="205"/>
      <c r="DV419" s="205"/>
      <c r="DW419" s="205"/>
      <c r="DX419" s="205"/>
      <c r="DY419" s="205"/>
      <c r="DZ419" s="205"/>
      <c r="EA419" s="205"/>
      <c r="EB419" s="205"/>
      <c r="EC419" s="205"/>
      <c r="ED419" s="205"/>
      <c r="EE419" s="205"/>
      <c r="EF419" s="205"/>
      <c r="EG419" s="205"/>
      <c r="EH419" s="205"/>
      <c r="EI419" s="205"/>
      <c r="EJ419" s="205"/>
      <c r="EK419" s="205"/>
      <c r="EL419" s="205"/>
      <c r="EM419" s="205"/>
      <c r="EN419" s="205"/>
      <c r="EO419" s="205"/>
      <c r="EP419" s="205"/>
      <c r="EQ419" s="205"/>
      <c r="ER419" s="205"/>
      <c r="ES419" s="205"/>
      <c r="ET419" s="205"/>
      <c r="EU419" s="205"/>
      <c r="EV419" s="205"/>
      <c r="EW419" s="205"/>
      <c r="EX419" s="205"/>
      <c r="EY419" s="205"/>
      <c r="EZ419" s="205"/>
      <c r="FA419" s="205"/>
      <c r="FB419" s="205"/>
      <c r="FC419" s="205"/>
      <c r="FD419" s="205"/>
      <c r="FE419" s="205"/>
      <c r="FF419" s="205"/>
      <c r="FG419" s="205"/>
      <c r="FH419" s="205"/>
      <c r="FI419" s="205"/>
      <c r="FJ419" s="205"/>
      <c r="FK419" s="205"/>
      <c r="FL419" s="205"/>
      <c r="FM419" s="205"/>
      <c r="FN419" s="205"/>
      <c r="FO419" s="205"/>
      <c r="FP419" s="205"/>
      <c r="FQ419" s="205"/>
      <c r="FR419" s="205"/>
      <c r="FS419" s="205"/>
      <c r="FT419" s="205"/>
      <c r="FU419" s="205"/>
      <c r="FV419" s="205"/>
      <c r="FW419" s="205"/>
      <c r="FX419" s="205"/>
      <c r="FY419" s="205"/>
      <c r="FZ419" s="205"/>
      <c r="GA419" s="205"/>
      <c r="GB419" s="205"/>
      <c r="GC419" s="205"/>
      <c r="GD419" s="205"/>
      <c r="GE419" s="205"/>
      <c r="GF419" s="205"/>
      <c r="GG419" s="205"/>
      <c r="GH419" s="205"/>
      <c r="GI419" s="205"/>
      <c r="GJ419" s="205"/>
      <c r="GK419" s="205"/>
      <c r="GL419" s="205"/>
      <c r="GM419" s="205"/>
      <c r="GN419" s="205"/>
      <c r="GO419" s="205"/>
      <c r="GP419" s="205"/>
      <c r="GQ419" s="205"/>
      <c r="GR419" s="205"/>
      <c r="GS419" s="205"/>
      <c r="GT419" s="205"/>
      <c r="GU419" s="205"/>
      <c r="GV419" s="205"/>
      <c r="GW419" s="205"/>
      <c r="GX419" s="205"/>
      <c r="GY419" s="205"/>
      <c r="GZ419" s="205"/>
      <c r="HA419" s="205"/>
      <c r="HB419" s="205"/>
      <c r="HC419" s="205"/>
      <c r="HD419" s="205"/>
      <c r="HE419" s="205"/>
      <c r="HF419" s="205"/>
      <c r="HG419" s="205"/>
      <c r="HH419" s="205"/>
      <c r="HI419" s="205"/>
      <c r="HJ419" s="205"/>
      <c r="HK419" s="205"/>
      <c r="HL419" s="205"/>
      <c r="HM419" s="205"/>
      <c r="HN419" s="205"/>
      <c r="HO419" s="205"/>
      <c r="HP419" s="205"/>
      <c r="HQ419" s="205"/>
      <c r="HR419" s="205"/>
      <c r="HS419" s="205"/>
      <c r="HT419" s="205"/>
      <c r="HU419" s="205"/>
      <c r="HV419" s="205"/>
      <c r="HW419" s="205"/>
      <c r="HX419" s="205"/>
      <c r="HY419" s="205"/>
      <c r="HZ419" s="205"/>
      <c r="IA419" s="205"/>
      <c r="IB419" s="205"/>
      <c r="IC419" s="205"/>
      <c r="ID419" s="205"/>
      <c r="IE419" s="205"/>
      <c r="IF419" s="205"/>
      <c r="IG419" s="205"/>
      <c r="IH419" s="205"/>
      <c r="II419" s="205"/>
      <c r="IJ419" s="205"/>
      <c r="IK419" s="205"/>
      <c r="IL419" s="205"/>
      <c r="IM419" s="205"/>
      <c r="IN419" s="205"/>
      <c r="IO419" s="205"/>
      <c r="IP419" s="205"/>
      <c r="IQ419" s="205"/>
      <c r="IR419" s="205"/>
      <c r="IS419" s="205"/>
      <c r="IT419" s="205"/>
      <c r="IU419" s="205"/>
      <c r="IV419" s="205"/>
      <c r="IW419" s="205"/>
      <c r="IX419" s="205"/>
    </row>
    <row r="420" spans="1:258" s="203" customFormat="1" x14ac:dyDescent="0.2">
      <c r="A420" s="669"/>
      <c r="B420" s="670"/>
      <c r="C420" s="1390"/>
      <c r="D420" s="672"/>
      <c r="E420" s="1391"/>
      <c r="F420" s="1391"/>
      <c r="G420" s="1392" t="str">
        <f>G407</f>
        <v>P1</v>
      </c>
      <c r="H420" s="1393">
        <f>J82</f>
        <v>2.1</v>
      </c>
      <c r="I420" s="1394" t="s">
        <v>424</v>
      </c>
      <c r="J420" s="1394">
        <v>0.7</v>
      </c>
      <c r="K420" s="1394" t="s">
        <v>424</v>
      </c>
      <c r="L420" s="1394">
        <v>2</v>
      </c>
      <c r="M420" s="1394" t="s">
        <v>424</v>
      </c>
      <c r="N420" s="1394">
        <f>J407</f>
        <v>12</v>
      </c>
      <c r="O420" s="1394"/>
      <c r="P420" s="1394"/>
      <c r="Q420" s="1394" t="s">
        <v>696</v>
      </c>
      <c r="R420" s="1395">
        <f>H420*J420*L420*N420</f>
        <v>35.28</v>
      </c>
      <c r="S420" s="1396"/>
      <c r="T420" s="1397"/>
      <c r="U420" s="205"/>
      <c r="V420" s="685"/>
      <c r="W420" s="205"/>
      <c r="X420" s="205"/>
      <c r="Y420" s="205"/>
      <c r="Z420" s="205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5"/>
      <c r="AR420" s="205"/>
      <c r="AS420" s="205"/>
      <c r="AT420" s="205"/>
      <c r="AU420" s="205"/>
      <c r="AV420" s="205"/>
      <c r="AW420" s="205"/>
      <c r="AX420" s="205"/>
      <c r="AY420" s="205"/>
      <c r="AZ420" s="205"/>
      <c r="BA420" s="205"/>
      <c r="BB420" s="205"/>
      <c r="BC420" s="205"/>
      <c r="BD420" s="205"/>
      <c r="BE420" s="205"/>
      <c r="BF420" s="205"/>
      <c r="BG420" s="205"/>
      <c r="BH420" s="205"/>
      <c r="BI420" s="205"/>
      <c r="BJ420" s="205"/>
      <c r="BK420" s="205"/>
      <c r="BL420" s="205"/>
      <c r="BM420" s="205"/>
      <c r="BN420" s="205"/>
      <c r="BO420" s="205"/>
      <c r="BP420" s="205"/>
      <c r="BQ420" s="205"/>
      <c r="BR420" s="205"/>
      <c r="BS420" s="205"/>
      <c r="BT420" s="205"/>
      <c r="BU420" s="205"/>
      <c r="BV420" s="205"/>
      <c r="BW420" s="205"/>
      <c r="BX420" s="205"/>
      <c r="BY420" s="205"/>
      <c r="BZ420" s="205"/>
      <c r="CA420" s="205"/>
      <c r="CB420" s="205"/>
      <c r="CC420" s="205"/>
      <c r="CD420" s="205"/>
      <c r="CE420" s="205"/>
      <c r="CF420" s="205"/>
      <c r="CG420" s="205"/>
      <c r="CH420" s="205"/>
      <c r="CI420" s="205"/>
      <c r="CJ420" s="205"/>
      <c r="CK420" s="205"/>
      <c r="CL420" s="205"/>
      <c r="CM420" s="205"/>
      <c r="CN420" s="205"/>
      <c r="CO420" s="205"/>
      <c r="CP420" s="205"/>
      <c r="CQ420" s="205"/>
      <c r="CR420" s="205"/>
      <c r="CS420" s="205"/>
      <c r="CT420" s="205"/>
      <c r="CU420" s="205"/>
      <c r="CV420" s="205"/>
      <c r="CW420" s="205"/>
      <c r="CX420" s="205"/>
      <c r="CY420" s="205"/>
      <c r="CZ420" s="205"/>
      <c r="DA420" s="205"/>
      <c r="DB420" s="205"/>
      <c r="DC420" s="205"/>
      <c r="DD420" s="205"/>
      <c r="DE420" s="205"/>
      <c r="DF420" s="205"/>
      <c r="DG420" s="205"/>
      <c r="DH420" s="205"/>
      <c r="DI420" s="205"/>
      <c r="DJ420" s="205"/>
      <c r="DK420" s="205"/>
      <c r="DL420" s="205"/>
      <c r="DM420" s="205"/>
      <c r="DN420" s="205"/>
      <c r="DO420" s="205"/>
      <c r="DP420" s="205"/>
      <c r="DQ420" s="205"/>
      <c r="DR420" s="205"/>
      <c r="DS420" s="205"/>
      <c r="DT420" s="205"/>
      <c r="DU420" s="205"/>
      <c r="DV420" s="205"/>
      <c r="DW420" s="205"/>
      <c r="DX420" s="205"/>
      <c r="DY420" s="205"/>
      <c r="DZ420" s="205"/>
      <c r="EA420" s="205"/>
      <c r="EB420" s="205"/>
      <c r="EC420" s="205"/>
      <c r="ED420" s="205"/>
      <c r="EE420" s="205"/>
      <c r="EF420" s="205"/>
      <c r="EG420" s="205"/>
      <c r="EH420" s="205"/>
      <c r="EI420" s="205"/>
      <c r="EJ420" s="205"/>
      <c r="EK420" s="205"/>
      <c r="EL420" s="205"/>
      <c r="EM420" s="205"/>
      <c r="EN420" s="205"/>
      <c r="EO420" s="205"/>
      <c r="EP420" s="205"/>
      <c r="EQ420" s="205"/>
      <c r="ER420" s="205"/>
      <c r="ES420" s="205"/>
      <c r="ET420" s="205"/>
      <c r="EU420" s="205"/>
      <c r="EV420" s="205"/>
      <c r="EW420" s="205"/>
      <c r="EX420" s="205"/>
      <c r="EY420" s="205"/>
      <c r="EZ420" s="205"/>
      <c r="FA420" s="205"/>
      <c r="FB420" s="205"/>
      <c r="FC420" s="205"/>
      <c r="FD420" s="205"/>
      <c r="FE420" s="205"/>
      <c r="FF420" s="205"/>
      <c r="FG420" s="205"/>
      <c r="FH420" s="205"/>
      <c r="FI420" s="205"/>
      <c r="FJ420" s="205"/>
      <c r="FK420" s="205"/>
      <c r="FL420" s="205"/>
      <c r="FM420" s="205"/>
      <c r="FN420" s="205"/>
      <c r="FO420" s="205"/>
      <c r="FP420" s="205"/>
      <c r="FQ420" s="205"/>
      <c r="FR420" s="205"/>
      <c r="FS420" s="205"/>
      <c r="FT420" s="205"/>
      <c r="FU420" s="205"/>
      <c r="FV420" s="205"/>
      <c r="FW420" s="205"/>
      <c r="FX420" s="205"/>
      <c r="FY420" s="205"/>
      <c r="FZ420" s="205"/>
      <c r="GA420" s="205"/>
      <c r="GB420" s="205"/>
      <c r="GC420" s="205"/>
      <c r="GD420" s="205"/>
      <c r="GE420" s="205"/>
      <c r="GF420" s="205"/>
      <c r="GG420" s="205"/>
      <c r="GH420" s="205"/>
      <c r="GI420" s="205"/>
      <c r="GJ420" s="205"/>
      <c r="GK420" s="205"/>
      <c r="GL420" s="205"/>
      <c r="GM420" s="205"/>
      <c r="GN420" s="205"/>
      <c r="GO420" s="205"/>
      <c r="GP420" s="205"/>
      <c r="GQ420" s="205"/>
      <c r="GR420" s="205"/>
      <c r="GS420" s="205"/>
      <c r="GT420" s="205"/>
      <c r="GU420" s="205"/>
      <c r="GV420" s="205"/>
      <c r="GW420" s="205"/>
      <c r="GX420" s="205"/>
      <c r="GY420" s="205"/>
      <c r="GZ420" s="205"/>
      <c r="HA420" s="205"/>
      <c r="HB420" s="205"/>
      <c r="HC420" s="205"/>
      <c r="HD420" s="205"/>
      <c r="HE420" s="205"/>
      <c r="HF420" s="205"/>
      <c r="HG420" s="205"/>
      <c r="HH420" s="205"/>
      <c r="HI420" s="205"/>
      <c r="HJ420" s="205"/>
      <c r="HK420" s="205"/>
      <c r="HL420" s="205"/>
      <c r="HM420" s="205"/>
      <c r="HN420" s="205"/>
      <c r="HO420" s="205"/>
      <c r="HP420" s="205"/>
      <c r="HQ420" s="205"/>
      <c r="HR420" s="205"/>
      <c r="HS420" s="205"/>
      <c r="HT420" s="205"/>
      <c r="HU420" s="205"/>
      <c r="HV420" s="205"/>
      <c r="HW420" s="205"/>
      <c r="HX420" s="205"/>
      <c r="HY420" s="205"/>
      <c r="HZ420" s="205"/>
      <c r="IA420" s="205"/>
      <c r="IB420" s="205"/>
      <c r="IC420" s="205"/>
      <c r="ID420" s="205"/>
      <c r="IE420" s="205"/>
      <c r="IF420" s="205"/>
      <c r="IG420" s="205"/>
      <c r="IH420" s="205"/>
      <c r="II420" s="205"/>
      <c r="IJ420" s="205"/>
      <c r="IK420" s="205"/>
      <c r="IL420" s="205"/>
      <c r="IM420" s="205"/>
      <c r="IN420" s="205"/>
      <c r="IO420" s="205"/>
      <c r="IP420" s="205"/>
      <c r="IQ420" s="205"/>
      <c r="IR420" s="205"/>
      <c r="IS420" s="205"/>
      <c r="IT420" s="205"/>
      <c r="IU420" s="205"/>
      <c r="IV420" s="205"/>
      <c r="IW420" s="205"/>
      <c r="IX420" s="205"/>
    </row>
    <row r="421" spans="1:258" s="203" customFormat="1" x14ac:dyDescent="0.2">
      <c r="A421" s="669"/>
      <c r="B421" s="670"/>
      <c r="C421" s="1390"/>
      <c r="D421" s="672"/>
      <c r="E421" s="1391"/>
      <c r="F421" s="1391"/>
      <c r="G421" s="1392" t="str">
        <f>G410</f>
        <v>P4</v>
      </c>
      <c r="H421" s="1393">
        <f>J85</f>
        <v>2.1</v>
      </c>
      <c r="I421" s="1394" t="s">
        <v>424</v>
      </c>
      <c r="J421" s="1394">
        <v>0.8</v>
      </c>
      <c r="K421" s="1394" t="s">
        <v>424</v>
      </c>
      <c r="L421" s="1394">
        <v>1</v>
      </c>
      <c r="M421" s="1394" t="s">
        <v>424</v>
      </c>
      <c r="N421" s="1394">
        <f>J410</f>
        <v>6</v>
      </c>
      <c r="O421" s="1394"/>
      <c r="P421" s="1394"/>
      <c r="Q421" s="1394" t="s">
        <v>696</v>
      </c>
      <c r="R421" s="1395">
        <f>H421*J421*L421*N421</f>
        <v>10.080000000000002</v>
      </c>
      <c r="S421" s="1396"/>
      <c r="T421" s="1397"/>
      <c r="U421" s="205"/>
      <c r="V421" s="685"/>
      <c r="W421" s="205"/>
      <c r="X421" s="205"/>
      <c r="Y421" s="205"/>
      <c r="Z421" s="205"/>
      <c r="AA421" s="205"/>
      <c r="AB421" s="205"/>
      <c r="AC421" s="205"/>
      <c r="AD421" s="205"/>
      <c r="AE421" s="205"/>
      <c r="AF421" s="205"/>
      <c r="AG421" s="205"/>
      <c r="AH421" s="205"/>
      <c r="AI421" s="205"/>
      <c r="AJ421" s="205"/>
      <c r="AK421" s="205"/>
      <c r="AL421" s="205"/>
      <c r="AM421" s="205"/>
      <c r="AN421" s="205"/>
      <c r="AO421" s="205"/>
      <c r="AP421" s="205"/>
      <c r="AQ421" s="205"/>
      <c r="AR421" s="205"/>
      <c r="AS421" s="205"/>
      <c r="AT421" s="205"/>
      <c r="AU421" s="205"/>
      <c r="AV421" s="205"/>
      <c r="AW421" s="205"/>
      <c r="AX421" s="205"/>
      <c r="AY421" s="205"/>
      <c r="AZ421" s="205"/>
      <c r="BA421" s="205"/>
      <c r="BB421" s="205"/>
      <c r="BC421" s="205"/>
      <c r="BD421" s="205"/>
      <c r="BE421" s="205"/>
      <c r="BF421" s="205"/>
      <c r="BG421" s="205"/>
      <c r="BH421" s="205"/>
      <c r="BI421" s="205"/>
      <c r="BJ421" s="205"/>
      <c r="BK421" s="205"/>
      <c r="BL421" s="205"/>
      <c r="BM421" s="205"/>
      <c r="BN421" s="205"/>
      <c r="BO421" s="205"/>
      <c r="BP421" s="205"/>
      <c r="BQ421" s="205"/>
      <c r="BR421" s="205"/>
      <c r="BS421" s="205"/>
      <c r="BT421" s="205"/>
      <c r="BU421" s="205"/>
      <c r="BV421" s="205"/>
      <c r="BW421" s="205"/>
      <c r="BX421" s="205"/>
      <c r="BY421" s="205"/>
      <c r="BZ421" s="205"/>
      <c r="CA421" s="205"/>
      <c r="CB421" s="205"/>
      <c r="CC421" s="205"/>
      <c r="CD421" s="205"/>
      <c r="CE421" s="205"/>
      <c r="CF421" s="205"/>
      <c r="CG421" s="205"/>
      <c r="CH421" s="205"/>
      <c r="CI421" s="205"/>
      <c r="CJ421" s="205"/>
      <c r="CK421" s="205"/>
      <c r="CL421" s="205"/>
      <c r="CM421" s="205"/>
      <c r="CN421" s="205"/>
      <c r="CO421" s="205"/>
      <c r="CP421" s="205"/>
      <c r="CQ421" s="205"/>
      <c r="CR421" s="205"/>
      <c r="CS421" s="205"/>
      <c r="CT421" s="205"/>
      <c r="CU421" s="205"/>
      <c r="CV421" s="205"/>
      <c r="CW421" s="205"/>
      <c r="CX421" s="205"/>
      <c r="CY421" s="205"/>
      <c r="CZ421" s="205"/>
      <c r="DA421" s="205"/>
      <c r="DB421" s="205"/>
      <c r="DC421" s="205"/>
      <c r="DD421" s="205"/>
      <c r="DE421" s="205"/>
      <c r="DF421" s="205"/>
      <c r="DG421" s="205"/>
      <c r="DH421" s="205"/>
      <c r="DI421" s="205"/>
      <c r="DJ421" s="205"/>
      <c r="DK421" s="205"/>
      <c r="DL421" s="205"/>
      <c r="DM421" s="205"/>
      <c r="DN421" s="205"/>
      <c r="DO421" s="205"/>
      <c r="DP421" s="205"/>
      <c r="DQ421" s="205"/>
      <c r="DR421" s="205"/>
      <c r="DS421" s="205"/>
      <c r="DT421" s="205"/>
      <c r="DU421" s="205"/>
      <c r="DV421" s="205"/>
      <c r="DW421" s="205"/>
      <c r="DX421" s="205"/>
      <c r="DY421" s="205"/>
      <c r="DZ421" s="205"/>
      <c r="EA421" s="205"/>
      <c r="EB421" s="205"/>
      <c r="EC421" s="205"/>
      <c r="ED421" s="205"/>
      <c r="EE421" s="205"/>
      <c r="EF421" s="205"/>
      <c r="EG421" s="205"/>
      <c r="EH421" s="205"/>
      <c r="EI421" s="205"/>
      <c r="EJ421" s="205"/>
      <c r="EK421" s="205"/>
      <c r="EL421" s="205"/>
      <c r="EM421" s="205"/>
      <c r="EN421" s="205"/>
      <c r="EO421" s="205"/>
      <c r="EP421" s="205"/>
      <c r="EQ421" s="205"/>
      <c r="ER421" s="205"/>
      <c r="ES421" s="205"/>
      <c r="ET421" s="205"/>
      <c r="EU421" s="205"/>
      <c r="EV421" s="205"/>
      <c r="EW421" s="205"/>
      <c r="EX421" s="205"/>
      <c r="EY421" s="205"/>
      <c r="EZ421" s="205"/>
      <c r="FA421" s="205"/>
      <c r="FB421" s="205"/>
      <c r="FC421" s="205"/>
      <c r="FD421" s="205"/>
      <c r="FE421" s="205"/>
      <c r="FF421" s="205"/>
      <c r="FG421" s="205"/>
      <c r="FH421" s="205"/>
      <c r="FI421" s="205"/>
      <c r="FJ421" s="205"/>
      <c r="FK421" s="205"/>
      <c r="FL421" s="205"/>
      <c r="FM421" s="205"/>
      <c r="FN421" s="205"/>
      <c r="FO421" s="205"/>
      <c r="FP421" s="205"/>
      <c r="FQ421" s="205"/>
      <c r="FR421" s="205"/>
      <c r="FS421" s="205"/>
      <c r="FT421" s="205"/>
      <c r="FU421" s="205"/>
      <c r="FV421" s="205"/>
      <c r="FW421" s="205"/>
      <c r="FX421" s="205"/>
      <c r="FY421" s="205"/>
      <c r="FZ421" s="205"/>
      <c r="GA421" s="205"/>
      <c r="GB421" s="205"/>
      <c r="GC421" s="205"/>
      <c r="GD421" s="205"/>
      <c r="GE421" s="205"/>
      <c r="GF421" s="205"/>
      <c r="GG421" s="205"/>
      <c r="GH421" s="205"/>
      <c r="GI421" s="205"/>
      <c r="GJ421" s="205"/>
      <c r="GK421" s="205"/>
      <c r="GL421" s="205"/>
      <c r="GM421" s="205"/>
      <c r="GN421" s="205"/>
      <c r="GO421" s="205"/>
      <c r="GP421" s="205"/>
      <c r="GQ421" s="205"/>
      <c r="GR421" s="205"/>
      <c r="GS421" s="205"/>
      <c r="GT421" s="205"/>
      <c r="GU421" s="205"/>
      <c r="GV421" s="205"/>
      <c r="GW421" s="205"/>
      <c r="GX421" s="205"/>
      <c r="GY421" s="205"/>
      <c r="GZ421" s="205"/>
      <c r="HA421" s="205"/>
      <c r="HB421" s="205"/>
      <c r="HC421" s="205"/>
      <c r="HD421" s="205"/>
      <c r="HE421" s="205"/>
      <c r="HF421" s="205"/>
      <c r="HG421" s="205"/>
      <c r="HH421" s="205"/>
      <c r="HI421" s="205"/>
      <c r="HJ421" s="205"/>
      <c r="HK421" s="205"/>
      <c r="HL421" s="205"/>
      <c r="HM421" s="205"/>
      <c r="HN421" s="205"/>
      <c r="HO421" s="205"/>
      <c r="HP421" s="205"/>
      <c r="HQ421" s="205"/>
      <c r="HR421" s="205"/>
      <c r="HS421" s="205"/>
      <c r="HT421" s="205"/>
      <c r="HU421" s="205"/>
      <c r="HV421" s="205"/>
      <c r="HW421" s="205"/>
      <c r="HX421" s="205"/>
      <c r="HY421" s="205"/>
      <c r="HZ421" s="205"/>
      <c r="IA421" s="205"/>
      <c r="IB421" s="205"/>
      <c r="IC421" s="205"/>
      <c r="ID421" s="205"/>
      <c r="IE421" s="205"/>
      <c r="IF421" s="205"/>
      <c r="IG421" s="205"/>
      <c r="IH421" s="205"/>
      <c r="II421" s="205"/>
      <c r="IJ421" s="205"/>
      <c r="IK421" s="205"/>
      <c r="IL421" s="205"/>
      <c r="IM421" s="205"/>
      <c r="IN421" s="205"/>
      <c r="IO421" s="205"/>
      <c r="IP421" s="205"/>
      <c r="IQ421" s="205"/>
      <c r="IR421" s="205"/>
      <c r="IS421" s="205"/>
      <c r="IT421" s="205"/>
      <c r="IU421" s="205"/>
      <c r="IV421" s="205"/>
      <c r="IW421" s="205"/>
      <c r="IX421" s="205"/>
    </row>
    <row r="422" spans="1:258" s="203" customFormat="1" x14ac:dyDescent="0.2">
      <c r="A422" s="669"/>
      <c r="B422" s="670"/>
      <c r="C422" s="1390"/>
      <c r="D422" s="672"/>
      <c r="E422" s="1391"/>
      <c r="F422" s="1391"/>
      <c r="G422" s="1392"/>
      <c r="H422" s="1393"/>
      <c r="I422" s="1394"/>
      <c r="J422" s="1394"/>
      <c r="K422" s="1394"/>
      <c r="L422" s="1394"/>
      <c r="M422" s="1394"/>
      <c r="N422" s="1394"/>
      <c r="O422" s="1394"/>
      <c r="P422" s="1394"/>
      <c r="Q422" s="1394"/>
      <c r="R422" s="1395">
        <f>SUM(R420:R420)</f>
        <v>35.28</v>
      </c>
      <c r="S422" s="1396">
        <f>R422</f>
        <v>35.28</v>
      </c>
      <c r="T422" s="1397" t="s">
        <v>338</v>
      </c>
      <c r="U422" s="205"/>
      <c r="V422" s="685"/>
      <c r="W422" s="205"/>
      <c r="X422" s="205"/>
      <c r="Y422" s="205"/>
      <c r="Z422" s="205"/>
      <c r="AA422" s="205"/>
      <c r="AB422" s="205"/>
      <c r="AC422" s="205"/>
      <c r="AD422" s="205"/>
      <c r="AE422" s="205"/>
      <c r="AF422" s="205"/>
      <c r="AG422" s="205"/>
      <c r="AH422" s="205"/>
      <c r="AI422" s="205"/>
      <c r="AJ422" s="205"/>
      <c r="AK422" s="205"/>
      <c r="AL422" s="205"/>
      <c r="AM422" s="205"/>
      <c r="AN422" s="205"/>
      <c r="AO422" s="205"/>
      <c r="AP422" s="205"/>
      <c r="AQ422" s="205"/>
      <c r="AR422" s="205"/>
      <c r="AS422" s="205"/>
      <c r="AT422" s="205"/>
      <c r="AU422" s="205"/>
      <c r="AV422" s="205"/>
      <c r="AW422" s="205"/>
      <c r="AX422" s="205"/>
      <c r="AY422" s="205"/>
      <c r="AZ422" s="205"/>
      <c r="BA422" s="205"/>
      <c r="BB422" s="205"/>
      <c r="BC422" s="205"/>
      <c r="BD422" s="205"/>
      <c r="BE422" s="205"/>
      <c r="BF422" s="205"/>
      <c r="BG422" s="205"/>
      <c r="BH422" s="205"/>
      <c r="BI422" s="205"/>
      <c r="BJ422" s="205"/>
      <c r="BK422" s="205"/>
      <c r="BL422" s="205"/>
      <c r="BM422" s="205"/>
      <c r="BN422" s="205"/>
      <c r="BO422" s="205"/>
      <c r="BP422" s="205"/>
      <c r="BQ422" s="205"/>
      <c r="BR422" s="205"/>
      <c r="BS422" s="205"/>
      <c r="BT422" s="205"/>
      <c r="BU422" s="205"/>
      <c r="BV422" s="205"/>
      <c r="BW422" s="205"/>
      <c r="BX422" s="205"/>
      <c r="BY422" s="205"/>
      <c r="BZ422" s="205"/>
      <c r="CA422" s="205"/>
      <c r="CB422" s="205"/>
      <c r="CC422" s="205"/>
      <c r="CD422" s="205"/>
      <c r="CE422" s="205"/>
      <c r="CF422" s="205"/>
      <c r="CG422" s="205"/>
      <c r="CH422" s="205"/>
      <c r="CI422" s="205"/>
      <c r="CJ422" s="205"/>
      <c r="CK422" s="205"/>
      <c r="CL422" s="205"/>
      <c r="CM422" s="205"/>
      <c r="CN422" s="205"/>
      <c r="CO422" s="205"/>
      <c r="CP422" s="205"/>
      <c r="CQ422" s="205"/>
      <c r="CR422" s="205"/>
      <c r="CS422" s="205"/>
      <c r="CT422" s="205"/>
      <c r="CU422" s="205"/>
      <c r="CV422" s="205"/>
      <c r="CW422" s="205"/>
      <c r="CX422" s="205"/>
      <c r="CY422" s="205"/>
      <c r="CZ422" s="205"/>
      <c r="DA422" s="205"/>
      <c r="DB422" s="205"/>
      <c r="DC422" s="205"/>
      <c r="DD422" s="205"/>
      <c r="DE422" s="205"/>
      <c r="DF422" s="205"/>
      <c r="DG422" s="205"/>
      <c r="DH422" s="205"/>
      <c r="DI422" s="205"/>
      <c r="DJ422" s="205"/>
      <c r="DK422" s="205"/>
      <c r="DL422" s="205"/>
      <c r="DM422" s="205"/>
      <c r="DN422" s="205"/>
      <c r="DO422" s="205"/>
      <c r="DP422" s="205"/>
      <c r="DQ422" s="205"/>
      <c r="DR422" s="205"/>
      <c r="DS422" s="205"/>
      <c r="DT422" s="205"/>
      <c r="DU422" s="205"/>
      <c r="DV422" s="205"/>
      <c r="DW422" s="205"/>
      <c r="DX422" s="205"/>
      <c r="DY422" s="205"/>
      <c r="DZ422" s="205"/>
      <c r="EA422" s="205"/>
      <c r="EB422" s="205"/>
      <c r="EC422" s="205"/>
      <c r="ED422" s="205"/>
      <c r="EE422" s="205"/>
      <c r="EF422" s="205"/>
      <c r="EG422" s="205"/>
      <c r="EH422" s="205"/>
      <c r="EI422" s="205"/>
      <c r="EJ422" s="205"/>
      <c r="EK422" s="205"/>
      <c r="EL422" s="205"/>
      <c r="EM422" s="205"/>
      <c r="EN422" s="205"/>
      <c r="EO422" s="205"/>
      <c r="EP422" s="205"/>
      <c r="EQ422" s="205"/>
      <c r="ER422" s="205"/>
      <c r="ES422" s="205"/>
      <c r="ET422" s="205"/>
      <c r="EU422" s="205"/>
      <c r="EV422" s="205"/>
      <c r="EW422" s="205"/>
      <c r="EX422" s="205"/>
      <c r="EY422" s="205"/>
      <c r="EZ422" s="205"/>
      <c r="FA422" s="205"/>
      <c r="FB422" s="205"/>
      <c r="FC422" s="205"/>
      <c r="FD422" s="205"/>
      <c r="FE422" s="205"/>
      <c r="FF422" s="205"/>
      <c r="FG422" s="205"/>
      <c r="FH422" s="205"/>
      <c r="FI422" s="205"/>
      <c r="FJ422" s="205"/>
      <c r="FK422" s="205"/>
      <c r="FL422" s="205"/>
      <c r="FM422" s="205"/>
      <c r="FN422" s="205"/>
      <c r="FO422" s="205"/>
      <c r="FP422" s="205"/>
      <c r="FQ422" s="205"/>
      <c r="FR422" s="205"/>
      <c r="FS422" s="205"/>
      <c r="FT422" s="205"/>
      <c r="FU422" s="205"/>
      <c r="FV422" s="205"/>
      <c r="FW422" s="205"/>
      <c r="FX422" s="205"/>
      <c r="FY422" s="205"/>
      <c r="FZ422" s="205"/>
      <c r="GA422" s="205"/>
      <c r="GB422" s="205"/>
      <c r="GC422" s="205"/>
      <c r="GD422" s="205"/>
      <c r="GE422" s="205"/>
      <c r="GF422" s="205"/>
      <c r="GG422" s="205"/>
      <c r="GH422" s="205"/>
      <c r="GI422" s="205"/>
      <c r="GJ422" s="205"/>
      <c r="GK422" s="205"/>
      <c r="GL422" s="205"/>
      <c r="GM422" s="205"/>
      <c r="GN422" s="205"/>
      <c r="GO422" s="205"/>
      <c r="GP422" s="205"/>
      <c r="GQ422" s="205"/>
      <c r="GR422" s="205"/>
      <c r="GS422" s="205"/>
      <c r="GT422" s="205"/>
      <c r="GU422" s="205"/>
      <c r="GV422" s="205"/>
      <c r="GW422" s="205"/>
      <c r="GX422" s="205"/>
      <c r="GY422" s="205"/>
      <c r="GZ422" s="205"/>
      <c r="HA422" s="205"/>
      <c r="HB422" s="205"/>
      <c r="HC422" s="205"/>
      <c r="HD422" s="205"/>
      <c r="HE422" s="205"/>
      <c r="HF422" s="205"/>
      <c r="HG422" s="205"/>
      <c r="HH422" s="205"/>
      <c r="HI422" s="205"/>
      <c r="HJ422" s="205"/>
      <c r="HK422" s="205"/>
      <c r="HL422" s="205"/>
      <c r="HM422" s="205"/>
      <c r="HN422" s="205"/>
      <c r="HO422" s="205"/>
      <c r="HP422" s="205"/>
      <c r="HQ422" s="205"/>
      <c r="HR422" s="205"/>
      <c r="HS422" s="205"/>
      <c r="HT422" s="205"/>
      <c r="HU422" s="205"/>
      <c r="HV422" s="205"/>
      <c r="HW422" s="205"/>
      <c r="HX422" s="205"/>
      <c r="HY422" s="205"/>
      <c r="HZ422" s="205"/>
      <c r="IA422" s="205"/>
      <c r="IB422" s="205"/>
      <c r="IC422" s="205"/>
      <c r="ID422" s="205"/>
      <c r="IE422" s="205"/>
      <c r="IF422" s="205"/>
      <c r="IG422" s="205"/>
      <c r="IH422" s="205"/>
      <c r="II422" s="205"/>
      <c r="IJ422" s="205"/>
      <c r="IK422" s="205"/>
      <c r="IL422" s="205"/>
      <c r="IM422" s="205"/>
      <c r="IN422" s="205"/>
      <c r="IO422" s="205"/>
      <c r="IP422" s="205"/>
      <c r="IQ422" s="205"/>
      <c r="IR422" s="205"/>
      <c r="IS422" s="205"/>
      <c r="IT422" s="205"/>
      <c r="IU422" s="205"/>
      <c r="IV422" s="205"/>
      <c r="IW422" s="205"/>
      <c r="IX422" s="205"/>
    </row>
    <row r="423" spans="1:258" s="203" customFormat="1" x14ac:dyDescent="0.2">
      <c r="A423" s="669"/>
      <c r="B423" s="670">
        <f>RAB!B137</f>
        <v>4</v>
      </c>
      <c r="C423" s="686" t="str">
        <f>RAB!D137</f>
        <v>Memasang pintu kaca es rangka alluminium</v>
      </c>
      <c r="D423" s="672"/>
      <c r="E423" s="1391"/>
      <c r="F423" s="1391"/>
      <c r="G423" s="1392"/>
      <c r="H423" s="1393"/>
      <c r="I423" s="1394"/>
      <c r="J423" s="1394"/>
      <c r="K423" s="1394"/>
      <c r="L423" s="1394"/>
      <c r="M423" s="1394"/>
      <c r="N423" s="1394"/>
      <c r="O423" s="1394"/>
      <c r="P423" s="1394"/>
      <c r="Q423" s="1394"/>
      <c r="R423" s="1395"/>
      <c r="S423" s="1396"/>
      <c r="T423" s="1397"/>
      <c r="U423" s="205"/>
      <c r="V423" s="685"/>
      <c r="W423" s="205"/>
      <c r="X423" s="205"/>
      <c r="Y423" s="205"/>
      <c r="Z423" s="205"/>
      <c r="AA423" s="205"/>
      <c r="AB423" s="205"/>
      <c r="AC423" s="205"/>
      <c r="AD423" s="205"/>
      <c r="AE423" s="205"/>
      <c r="AF423" s="205"/>
      <c r="AG423" s="205"/>
      <c r="AH423" s="205"/>
      <c r="AI423" s="205"/>
      <c r="AJ423" s="205"/>
      <c r="AK423" s="205"/>
      <c r="AL423" s="205"/>
      <c r="AM423" s="205"/>
      <c r="AN423" s="205"/>
      <c r="AO423" s="205"/>
      <c r="AP423" s="205"/>
      <c r="AQ423" s="205"/>
      <c r="AR423" s="205"/>
      <c r="AS423" s="205"/>
      <c r="AT423" s="205"/>
      <c r="AU423" s="205"/>
      <c r="AV423" s="205"/>
      <c r="AW423" s="205"/>
      <c r="AX423" s="205"/>
      <c r="AY423" s="205"/>
      <c r="AZ423" s="205"/>
      <c r="BA423" s="205"/>
      <c r="BB423" s="205"/>
      <c r="BC423" s="205"/>
      <c r="BD423" s="205"/>
      <c r="BE423" s="205"/>
      <c r="BF423" s="205"/>
      <c r="BG423" s="205"/>
      <c r="BH423" s="205"/>
      <c r="BI423" s="205"/>
      <c r="BJ423" s="205"/>
      <c r="BK423" s="205"/>
      <c r="BL423" s="205"/>
      <c r="BM423" s="205"/>
      <c r="BN423" s="205"/>
      <c r="BO423" s="205"/>
      <c r="BP423" s="205"/>
      <c r="BQ423" s="205"/>
      <c r="BR423" s="205"/>
      <c r="BS423" s="205"/>
      <c r="BT423" s="205"/>
      <c r="BU423" s="205"/>
      <c r="BV423" s="205"/>
      <c r="BW423" s="205"/>
      <c r="BX423" s="205"/>
      <c r="BY423" s="205"/>
      <c r="BZ423" s="205"/>
      <c r="CA423" s="205"/>
      <c r="CB423" s="205"/>
      <c r="CC423" s="205"/>
      <c r="CD423" s="205"/>
      <c r="CE423" s="205"/>
      <c r="CF423" s="205"/>
      <c r="CG423" s="205"/>
      <c r="CH423" s="205"/>
      <c r="CI423" s="205"/>
      <c r="CJ423" s="205"/>
      <c r="CK423" s="205"/>
      <c r="CL423" s="205"/>
      <c r="CM423" s="205"/>
      <c r="CN423" s="205"/>
      <c r="CO423" s="205"/>
      <c r="CP423" s="205"/>
      <c r="CQ423" s="205"/>
      <c r="CR423" s="205"/>
      <c r="CS423" s="205"/>
      <c r="CT423" s="205"/>
      <c r="CU423" s="205"/>
      <c r="CV423" s="205"/>
      <c r="CW423" s="205"/>
      <c r="CX423" s="205"/>
      <c r="CY423" s="205"/>
      <c r="CZ423" s="205"/>
      <c r="DA423" s="205"/>
      <c r="DB423" s="205"/>
      <c r="DC423" s="205"/>
      <c r="DD423" s="205"/>
      <c r="DE423" s="205"/>
      <c r="DF423" s="205"/>
      <c r="DG423" s="205"/>
      <c r="DH423" s="205"/>
      <c r="DI423" s="205"/>
      <c r="DJ423" s="205"/>
      <c r="DK423" s="205"/>
      <c r="DL423" s="205"/>
      <c r="DM423" s="205"/>
      <c r="DN423" s="205"/>
      <c r="DO423" s="205"/>
      <c r="DP423" s="205"/>
      <c r="DQ423" s="205"/>
      <c r="DR423" s="205"/>
      <c r="DS423" s="205"/>
      <c r="DT423" s="205"/>
      <c r="DU423" s="205"/>
      <c r="DV423" s="205"/>
      <c r="DW423" s="205"/>
      <c r="DX423" s="205"/>
      <c r="DY423" s="205"/>
      <c r="DZ423" s="205"/>
      <c r="EA423" s="205"/>
      <c r="EB423" s="205"/>
      <c r="EC423" s="205"/>
      <c r="ED423" s="205"/>
      <c r="EE423" s="205"/>
      <c r="EF423" s="205"/>
      <c r="EG423" s="205"/>
      <c r="EH423" s="205"/>
      <c r="EI423" s="205"/>
      <c r="EJ423" s="205"/>
      <c r="EK423" s="205"/>
      <c r="EL423" s="205"/>
      <c r="EM423" s="205"/>
      <c r="EN423" s="205"/>
      <c r="EO423" s="205"/>
      <c r="EP423" s="205"/>
      <c r="EQ423" s="205"/>
      <c r="ER423" s="205"/>
      <c r="ES423" s="205"/>
      <c r="ET423" s="205"/>
      <c r="EU423" s="205"/>
      <c r="EV423" s="205"/>
      <c r="EW423" s="205"/>
      <c r="EX423" s="205"/>
      <c r="EY423" s="205"/>
      <c r="EZ423" s="205"/>
      <c r="FA423" s="205"/>
      <c r="FB423" s="205"/>
      <c r="FC423" s="205"/>
      <c r="FD423" s="205"/>
      <c r="FE423" s="205"/>
      <c r="FF423" s="205"/>
      <c r="FG423" s="205"/>
      <c r="FH423" s="205"/>
      <c r="FI423" s="205"/>
      <c r="FJ423" s="205"/>
      <c r="FK423" s="205"/>
      <c r="FL423" s="205"/>
      <c r="FM423" s="205"/>
      <c r="FN423" s="205"/>
      <c r="FO423" s="205"/>
      <c r="FP423" s="205"/>
      <c r="FQ423" s="205"/>
      <c r="FR423" s="205"/>
      <c r="FS423" s="205"/>
      <c r="FT423" s="205"/>
      <c r="FU423" s="205"/>
      <c r="FV423" s="205"/>
      <c r="FW423" s="205"/>
      <c r="FX423" s="205"/>
      <c r="FY423" s="205"/>
      <c r="FZ423" s="205"/>
      <c r="GA423" s="205"/>
      <c r="GB423" s="205"/>
      <c r="GC423" s="205"/>
      <c r="GD423" s="205"/>
      <c r="GE423" s="205"/>
      <c r="GF423" s="205"/>
      <c r="GG423" s="205"/>
      <c r="GH423" s="205"/>
      <c r="GI423" s="205"/>
      <c r="GJ423" s="205"/>
      <c r="GK423" s="205"/>
      <c r="GL423" s="205"/>
      <c r="GM423" s="205"/>
      <c r="GN423" s="205"/>
      <c r="GO423" s="205"/>
      <c r="GP423" s="205"/>
      <c r="GQ423" s="205"/>
      <c r="GR423" s="205"/>
      <c r="GS423" s="205"/>
      <c r="GT423" s="205"/>
      <c r="GU423" s="205"/>
      <c r="GV423" s="205"/>
      <c r="GW423" s="205"/>
      <c r="GX423" s="205"/>
      <c r="GY423" s="205"/>
      <c r="GZ423" s="205"/>
      <c r="HA423" s="205"/>
      <c r="HB423" s="205"/>
      <c r="HC423" s="205"/>
      <c r="HD423" s="205"/>
      <c r="HE423" s="205"/>
      <c r="HF423" s="205"/>
      <c r="HG423" s="205"/>
      <c r="HH423" s="205"/>
      <c r="HI423" s="205"/>
      <c r="HJ423" s="205"/>
      <c r="HK423" s="205"/>
      <c r="HL423" s="205"/>
      <c r="HM423" s="205"/>
      <c r="HN423" s="205"/>
      <c r="HO423" s="205"/>
      <c r="HP423" s="205"/>
      <c r="HQ423" s="205"/>
      <c r="HR423" s="205"/>
      <c r="HS423" s="205"/>
      <c r="HT423" s="205"/>
      <c r="HU423" s="205"/>
      <c r="HV423" s="205"/>
      <c r="HW423" s="205"/>
      <c r="HX423" s="205"/>
      <c r="HY423" s="205"/>
      <c r="HZ423" s="205"/>
      <c r="IA423" s="205"/>
      <c r="IB423" s="205"/>
      <c r="IC423" s="205"/>
      <c r="ID423" s="205"/>
      <c r="IE423" s="205"/>
      <c r="IF423" s="205"/>
      <c r="IG423" s="205"/>
      <c r="IH423" s="205"/>
      <c r="II423" s="205"/>
      <c r="IJ423" s="205"/>
      <c r="IK423" s="205"/>
      <c r="IL423" s="205"/>
      <c r="IM423" s="205"/>
      <c r="IN423" s="205"/>
      <c r="IO423" s="205"/>
      <c r="IP423" s="205"/>
      <c r="IQ423" s="205"/>
      <c r="IR423" s="205"/>
      <c r="IS423" s="205"/>
      <c r="IT423" s="205"/>
      <c r="IU423" s="205"/>
      <c r="IV423" s="205"/>
      <c r="IW423" s="205"/>
      <c r="IX423" s="205"/>
    </row>
    <row r="424" spans="1:258" s="203" customFormat="1" x14ac:dyDescent="0.2">
      <c r="A424" s="669"/>
      <c r="B424" s="670"/>
      <c r="C424" s="1390"/>
      <c r="D424" s="672"/>
      <c r="E424" s="1391"/>
      <c r="F424" s="1391"/>
      <c r="G424" s="1392" t="str">
        <f>G408</f>
        <v>P2</v>
      </c>
      <c r="H424" s="1393">
        <f>J83</f>
        <v>2.1</v>
      </c>
      <c r="I424" s="1394" t="s">
        <v>424</v>
      </c>
      <c r="J424" s="1394">
        <f>J420</f>
        <v>0.7</v>
      </c>
      <c r="K424" s="1394" t="s">
        <v>424</v>
      </c>
      <c r="L424" s="1394">
        <v>2</v>
      </c>
      <c r="M424" s="1394" t="s">
        <v>424</v>
      </c>
      <c r="N424" s="1394">
        <f>J408</f>
        <v>1</v>
      </c>
      <c r="O424" s="1394"/>
      <c r="P424" s="1394"/>
      <c r="Q424" s="1394" t="s">
        <v>696</v>
      </c>
      <c r="R424" s="1395">
        <f>H424*J424*L424*N424</f>
        <v>2.94</v>
      </c>
      <c r="S424" s="1396">
        <f>R424</f>
        <v>2.94</v>
      </c>
      <c r="T424" s="1397" t="s">
        <v>338</v>
      </c>
      <c r="U424" s="205"/>
      <c r="V424" s="685"/>
      <c r="W424" s="205"/>
      <c r="X424" s="205"/>
      <c r="Y424" s="205"/>
      <c r="Z424" s="205"/>
      <c r="AA424" s="205"/>
      <c r="AB424" s="205"/>
      <c r="AC424" s="205"/>
      <c r="AD424" s="205"/>
      <c r="AE424" s="205"/>
      <c r="AF424" s="205"/>
      <c r="AG424" s="205"/>
      <c r="AH424" s="205"/>
      <c r="AI424" s="205"/>
      <c r="AJ424" s="205"/>
      <c r="AK424" s="205"/>
      <c r="AL424" s="205"/>
      <c r="AM424" s="205"/>
      <c r="AN424" s="205"/>
      <c r="AO424" s="205"/>
      <c r="AP424" s="205"/>
      <c r="AQ424" s="205"/>
      <c r="AR424" s="205"/>
      <c r="AS424" s="205"/>
      <c r="AT424" s="205"/>
      <c r="AU424" s="205"/>
      <c r="AV424" s="205"/>
      <c r="AW424" s="205"/>
      <c r="AX424" s="205"/>
      <c r="AY424" s="205"/>
      <c r="AZ424" s="205"/>
      <c r="BA424" s="205"/>
      <c r="BB424" s="205"/>
      <c r="BC424" s="205"/>
      <c r="BD424" s="205"/>
      <c r="BE424" s="205"/>
      <c r="BF424" s="205"/>
      <c r="BG424" s="205"/>
      <c r="BH424" s="205"/>
      <c r="BI424" s="205"/>
      <c r="BJ424" s="205"/>
      <c r="BK424" s="205"/>
      <c r="BL424" s="205"/>
      <c r="BM424" s="205"/>
      <c r="BN424" s="205"/>
      <c r="BO424" s="205"/>
      <c r="BP424" s="205"/>
      <c r="BQ424" s="205"/>
      <c r="BR424" s="205"/>
      <c r="BS424" s="205"/>
      <c r="BT424" s="205"/>
      <c r="BU424" s="205"/>
      <c r="BV424" s="205"/>
      <c r="BW424" s="205"/>
      <c r="BX424" s="205"/>
      <c r="BY424" s="205"/>
      <c r="BZ424" s="205"/>
      <c r="CA424" s="205"/>
      <c r="CB424" s="205"/>
      <c r="CC424" s="205"/>
      <c r="CD424" s="205"/>
      <c r="CE424" s="205"/>
      <c r="CF424" s="205"/>
      <c r="CG424" s="205"/>
      <c r="CH424" s="205"/>
      <c r="CI424" s="205"/>
      <c r="CJ424" s="205"/>
      <c r="CK424" s="205"/>
      <c r="CL424" s="205"/>
      <c r="CM424" s="205"/>
      <c r="CN424" s="205"/>
      <c r="CO424" s="205"/>
      <c r="CP424" s="205"/>
      <c r="CQ424" s="205"/>
      <c r="CR424" s="205"/>
      <c r="CS424" s="205"/>
      <c r="CT424" s="205"/>
      <c r="CU424" s="205"/>
      <c r="CV424" s="205"/>
      <c r="CW424" s="205"/>
      <c r="CX424" s="205"/>
      <c r="CY424" s="205"/>
      <c r="CZ424" s="205"/>
      <c r="DA424" s="205"/>
      <c r="DB424" s="205"/>
      <c r="DC424" s="205"/>
      <c r="DD424" s="205"/>
      <c r="DE424" s="205"/>
      <c r="DF424" s="205"/>
      <c r="DG424" s="205"/>
      <c r="DH424" s="205"/>
      <c r="DI424" s="205"/>
      <c r="DJ424" s="205"/>
      <c r="DK424" s="205"/>
      <c r="DL424" s="205"/>
      <c r="DM424" s="205"/>
      <c r="DN424" s="205"/>
      <c r="DO424" s="205"/>
      <c r="DP424" s="205"/>
      <c r="DQ424" s="205"/>
      <c r="DR424" s="205"/>
      <c r="DS424" s="205"/>
      <c r="DT424" s="205"/>
      <c r="DU424" s="205"/>
      <c r="DV424" s="205"/>
      <c r="DW424" s="205"/>
      <c r="DX424" s="205"/>
      <c r="DY424" s="205"/>
      <c r="DZ424" s="205"/>
      <c r="EA424" s="205"/>
      <c r="EB424" s="205"/>
      <c r="EC424" s="205"/>
      <c r="ED424" s="205"/>
      <c r="EE424" s="205"/>
      <c r="EF424" s="205"/>
      <c r="EG424" s="205"/>
      <c r="EH424" s="205"/>
      <c r="EI424" s="205"/>
      <c r="EJ424" s="205"/>
      <c r="EK424" s="205"/>
      <c r="EL424" s="205"/>
      <c r="EM424" s="205"/>
      <c r="EN424" s="205"/>
      <c r="EO424" s="205"/>
      <c r="EP424" s="205"/>
      <c r="EQ424" s="205"/>
      <c r="ER424" s="205"/>
      <c r="ES424" s="205"/>
      <c r="ET424" s="205"/>
      <c r="EU424" s="205"/>
      <c r="EV424" s="205"/>
      <c r="EW424" s="205"/>
      <c r="EX424" s="205"/>
      <c r="EY424" s="205"/>
      <c r="EZ424" s="205"/>
      <c r="FA424" s="205"/>
      <c r="FB424" s="205"/>
      <c r="FC424" s="205"/>
      <c r="FD424" s="205"/>
      <c r="FE424" s="205"/>
      <c r="FF424" s="205"/>
      <c r="FG424" s="205"/>
      <c r="FH424" s="205"/>
      <c r="FI424" s="205"/>
      <c r="FJ424" s="205"/>
      <c r="FK424" s="205"/>
      <c r="FL424" s="205"/>
      <c r="FM424" s="205"/>
      <c r="FN424" s="205"/>
      <c r="FO424" s="205"/>
      <c r="FP424" s="205"/>
      <c r="FQ424" s="205"/>
      <c r="FR424" s="205"/>
      <c r="FS424" s="205"/>
      <c r="FT424" s="205"/>
      <c r="FU424" s="205"/>
      <c r="FV424" s="205"/>
      <c r="FW424" s="205"/>
      <c r="FX424" s="205"/>
      <c r="FY424" s="205"/>
      <c r="FZ424" s="205"/>
      <c r="GA424" s="205"/>
      <c r="GB424" s="205"/>
      <c r="GC424" s="205"/>
      <c r="GD424" s="205"/>
      <c r="GE424" s="205"/>
      <c r="GF424" s="205"/>
      <c r="GG424" s="205"/>
      <c r="GH424" s="205"/>
      <c r="GI424" s="205"/>
      <c r="GJ424" s="205"/>
      <c r="GK424" s="205"/>
      <c r="GL424" s="205"/>
      <c r="GM424" s="205"/>
      <c r="GN424" s="205"/>
      <c r="GO424" s="205"/>
      <c r="GP424" s="205"/>
      <c r="GQ424" s="205"/>
      <c r="GR424" s="205"/>
      <c r="GS424" s="205"/>
      <c r="GT424" s="205"/>
      <c r="GU424" s="205"/>
      <c r="GV424" s="205"/>
      <c r="GW424" s="205"/>
      <c r="GX424" s="205"/>
      <c r="GY424" s="205"/>
      <c r="GZ424" s="205"/>
      <c r="HA424" s="205"/>
      <c r="HB424" s="205"/>
      <c r="HC424" s="205"/>
      <c r="HD424" s="205"/>
      <c r="HE424" s="205"/>
      <c r="HF424" s="205"/>
      <c r="HG424" s="205"/>
      <c r="HH424" s="205"/>
      <c r="HI424" s="205"/>
      <c r="HJ424" s="205"/>
      <c r="HK424" s="205"/>
      <c r="HL424" s="205"/>
      <c r="HM424" s="205"/>
      <c r="HN424" s="205"/>
      <c r="HO424" s="205"/>
      <c r="HP424" s="205"/>
      <c r="HQ424" s="205"/>
      <c r="HR424" s="205"/>
      <c r="HS424" s="205"/>
      <c r="HT424" s="205"/>
      <c r="HU424" s="205"/>
      <c r="HV424" s="205"/>
      <c r="HW424" s="205"/>
      <c r="HX424" s="205"/>
      <c r="HY424" s="205"/>
      <c r="HZ424" s="205"/>
      <c r="IA424" s="205"/>
      <c r="IB424" s="205"/>
      <c r="IC424" s="205"/>
      <c r="ID424" s="205"/>
      <c r="IE424" s="205"/>
      <c r="IF424" s="205"/>
      <c r="IG424" s="205"/>
      <c r="IH424" s="205"/>
      <c r="II424" s="205"/>
      <c r="IJ424" s="205"/>
      <c r="IK424" s="205"/>
      <c r="IL424" s="205"/>
      <c r="IM424" s="205"/>
      <c r="IN424" s="205"/>
      <c r="IO424" s="205"/>
      <c r="IP424" s="205"/>
      <c r="IQ424" s="205"/>
      <c r="IR424" s="205"/>
      <c r="IS424" s="205"/>
      <c r="IT424" s="205"/>
      <c r="IU424" s="205"/>
      <c r="IV424" s="205"/>
      <c r="IW424" s="205"/>
      <c r="IX424" s="205"/>
    </row>
    <row r="425" spans="1:258" s="203" customFormat="1" x14ac:dyDescent="0.2">
      <c r="A425" s="669"/>
      <c r="B425" s="670"/>
      <c r="C425" s="1390"/>
      <c r="D425" s="672"/>
      <c r="E425" s="1391"/>
      <c r="F425" s="1391"/>
      <c r="G425" s="1392"/>
      <c r="H425" s="1393"/>
      <c r="I425" s="1394"/>
      <c r="J425" s="1394"/>
      <c r="K425" s="1394"/>
      <c r="L425" s="1394"/>
      <c r="M425" s="1394"/>
      <c r="N425" s="1394"/>
      <c r="O425" s="1394"/>
      <c r="P425" s="1394"/>
      <c r="Q425" s="1394"/>
      <c r="R425" s="1395"/>
      <c r="S425" s="1396"/>
      <c r="T425" s="1397"/>
      <c r="U425" s="205"/>
      <c r="V425" s="685"/>
      <c r="W425" s="205"/>
      <c r="X425" s="205"/>
      <c r="Y425" s="205"/>
      <c r="Z425" s="205"/>
      <c r="AA425" s="205"/>
      <c r="AB425" s="205"/>
      <c r="AC425" s="205"/>
      <c r="AD425" s="205"/>
      <c r="AE425" s="205"/>
      <c r="AF425" s="205"/>
      <c r="AG425" s="205"/>
      <c r="AH425" s="205"/>
      <c r="AI425" s="205"/>
      <c r="AJ425" s="205"/>
      <c r="AK425" s="205"/>
      <c r="AL425" s="205"/>
      <c r="AM425" s="205"/>
      <c r="AN425" s="205"/>
      <c r="AO425" s="205"/>
      <c r="AP425" s="205"/>
      <c r="AQ425" s="205"/>
      <c r="AR425" s="205"/>
      <c r="AS425" s="205"/>
      <c r="AT425" s="205"/>
      <c r="AU425" s="205"/>
      <c r="AV425" s="205"/>
      <c r="AW425" s="205"/>
      <c r="AX425" s="205"/>
      <c r="AY425" s="205"/>
      <c r="AZ425" s="205"/>
      <c r="BA425" s="205"/>
      <c r="BB425" s="205"/>
      <c r="BC425" s="205"/>
      <c r="BD425" s="205"/>
      <c r="BE425" s="205"/>
      <c r="BF425" s="205"/>
      <c r="BG425" s="205"/>
      <c r="BH425" s="205"/>
      <c r="BI425" s="205"/>
      <c r="BJ425" s="205"/>
      <c r="BK425" s="205"/>
      <c r="BL425" s="205"/>
      <c r="BM425" s="205"/>
      <c r="BN425" s="205"/>
      <c r="BO425" s="205"/>
      <c r="BP425" s="205"/>
      <c r="BQ425" s="205"/>
      <c r="BR425" s="205"/>
      <c r="BS425" s="205"/>
      <c r="BT425" s="205"/>
      <c r="BU425" s="205"/>
      <c r="BV425" s="205"/>
      <c r="BW425" s="205"/>
      <c r="BX425" s="205"/>
      <c r="BY425" s="205"/>
      <c r="BZ425" s="205"/>
      <c r="CA425" s="205"/>
      <c r="CB425" s="205"/>
      <c r="CC425" s="205"/>
      <c r="CD425" s="205"/>
      <c r="CE425" s="205"/>
      <c r="CF425" s="205"/>
      <c r="CG425" s="205"/>
      <c r="CH425" s="205"/>
      <c r="CI425" s="205"/>
      <c r="CJ425" s="205"/>
      <c r="CK425" s="205"/>
      <c r="CL425" s="205"/>
      <c r="CM425" s="205"/>
      <c r="CN425" s="205"/>
      <c r="CO425" s="205"/>
      <c r="CP425" s="205"/>
      <c r="CQ425" s="205"/>
      <c r="CR425" s="205"/>
      <c r="CS425" s="205"/>
      <c r="CT425" s="205"/>
      <c r="CU425" s="205"/>
      <c r="CV425" s="205"/>
      <c r="CW425" s="205"/>
      <c r="CX425" s="205"/>
      <c r="CY425" s="205"/>
      <c r="CZ425" s="205"/>
      <c r="DA425" s="205"/>
      <c r="DB425" s="205"/>
      <c r="DC425" s="205"/>
      <c r="DD425" s="205"/>
      <c r="DE425" s="205"/>
      <c r="DF425" s="205"/>
      <c r="DG425" s="205"/>
      <c r="DH425" s="205"/>
      <c r="DI425" s="205"/>
      <c r="DJ425" s="205"/>
      <c r="DK425" s="205"/>
      <c r="DL425" s="205"/>
      <c r="DM425" s="205"/>
      <c r="DN425" s="205"/>
      <c r="DO425" s="205"/>
      <c r="DP425" s="205"/>
      <c r="DQ425" s="205"/>
      <c r="DR425" s="205"/>
      <c r="DS425" s="205"/>
      <c r="DT425" s="205"/>
      <c r="DU425" s="205"/>
      <c r="DV425" s="205"/>
      <c r="DW425" s="205"/>
      <c r="DX425" s="205"/>
      <c r="DY425" s="205"/>
      <c r="DZ425" s="205"/>
      <c r="EA425" s="205"/>
      <c r="EB425" s="205"/>
      <c r="EC425" s="205"/>
      <c r="ED425" s="205"/>
      <c r="EE425" s="205"/>
      <c r="EF425" s="205"/>
      <c r="EG425" s="205"/>
      <c r="EH425" s="205"/>
      <c r="EI425" s="205"/>
      <c r="EJ425" s="205"/>
      <c r="EK425" s="205"/>
      <c r="EL425" s="205"/>
      <c r="EM425" s="205"/>
      <c r="EN425" s="205"/>
      <c r="EO425" s="205"/>
      <c r="EP425" s="205"/>
      <c r="EQ425" s="205"/>
      <c r="ER425" s="205"/>
      <c r="ES425" s="205"/>
      <c r="ET425" s="205"/>
      <c r="EU425" s="205"/>
      <c r="EV425" s="205"/>
      <c r="EW425" s="205"/>
      <c r="EX425" s="205"/>
      <c r="EY425" s="205"/>
      <c r="EZ425" s="205"/>
      <c r="FA425" s="205"/>
      <c r="FB425" s="205"/>
      <c r="FC425" s="205"/>
      <c r="FD425" s="205"/>
      <c r="FE425" s="205"/>
      <c r="FF425" s="205"/>
      <c r="FG425" s="205"/>
      <c r="FH425" s="205"/>
      <c r="FI425" s="205"/>
      <c r="FJ425" s="205"/>
      <c r="FK425" s="205"/>
      <c r="FL425" s="205"/>
      <c r="FM425" s="205"/>
      <c r="FN425" s="205"/>
      <c r="FO425" s="205"/>
      <c r="FP425" s="205"/>
      <c r="FQ425" s="205"/>
      <c r="FR425" s="205"/>
      <c r="FS425" s="205"/>
      <c r="FT425" s="205"/>
      <c r="FU425" s="205"/>
      <c r="FV425" s="205"/>
      <c r="FW425" s="205"/>
      <c r="FX425" s="205"/>
      <c r="FY425" s="205"/>
      <c r="FZ425" s="205"/>
      <c r="GA425" s="205"/>
      <c r="GB425" s="205"/>
      <c r="GC425" s="205"/>
      <c r="GD425" s="205"/>
      <c r="GE425" s="205"/>
      <c r="GF425" s="205"/>
      <c r="GG425" s="205"/>
      <c r="GH425" s="205"/>
      <c r="GI425" s="205"/>
      <c r="GJ425" s="205"/>
      <c r="GK425" s="205"/>
      <c r="GL425" s="205"/>
      <c r="GM425" s="205"/>
      <c r="GN425" s="205"/>
      <c r="GO425" s="205"/>
      <c r="GP425" s="205"/>
      <c r="GQ425" s="205"/>
      <c r="GR425" s="205"/>
      <c r="GS425" s="205"/>
      <c r="GT425" s="205"/>
      <c r="GU425" s="205"/>
      <c r="GV425" s="205"/>
      <c r="GW425" s="205"/>
      <c r="GX425" s="205"/>
      <c r="GY425" s="205"/>
      <c r="GZ425" s="205"/>
      <c r="HA425" s="205"/>
      <c r="HB425" s="205"/>
      <c r="HC425" s="205"/>
      <c r="HD425" s="205"/>
      <c r="HE425" s="205"/>
      <c r="HF425" s="205"/>
      <c r="HG425" s="205"/>
      <c r="HH425" s="205"/>
      <c r="HI425" s="205"/>
      <c r="HJ425" s="205"/>
      <c r="HK425" s="205"/>
      <c r="HL425" s="205"/>
      <c r="HM425" s="205"/>
      <c r="HN425" s="205"/>
      <c r="HO425" s="205"/>
      <c r="HP425" s="205"/>
      <c r="HQ425" s="205"/>
      <c r="HR425" s="205"/>
      <c r="HS425" s="205"/>
      <c r="HT425" s="205"/>
      <c r="HU425" s="205"/>
      <c r="HV425" s="205"/>
      <c r="HW425" s="205"/>
      <c r="HX425" s="205"/>
      <c r="HY425" s="205"/>
      <c r="HZ425" s="205"/>
      <c r="IA425" s="205"/>
      <c r="IB425" s="205"/>
      <c r="IC425" s="205"/>
      <c r="ID425" s="205"/>
      <c r="IE425" s="205"/>
      <c r="IF425" s="205"/>
      <c r="IG425" s="205"/>
      <c r="IH425" s="205"/>
      <c r="II425" s="205"/>
      <c r="IJ425" s="205"/>
      <c r="IK425" s="205"/>
      <c r="IL425" s="205"/>
      <c r="IM425" s="205"/>
      <c r="IN425" s="205"/>
      <c r="IO425" s="205"/>
      <c r="IP425" s="205"/>
      <c r="IQ425" s="205"/>
      <c r="IR425" s="205"/>
      <c r="IS425" s="205"/>
      <c r="IT425" s="205"/>
      <c r="IU425" s="205"/>
      <c r="IV425" s="205"/>
      <c r="IW425" s="205"/>
      <c r="IX425" s="205"/>
    </row>
    <row r="426" spans="1:258" s="203" customFormat="1" x14ac:dyDescent="0.2">
      <c r="A426" s="669"/>
      <c r="B426" s="670"/>
      <c r="C426" s="1390"/>
      <c r="D426" s="672"/>
      <c r="E426" s="1391"/>
      <c r="F426" s="1391"/>
      <c r="G426" s="1392"/>
      <c r="H426" s="1393"/>
      <c r="I426" s="1394"/>
      <c r="J426" s="1394"/>
      <c r="K426" s="1394"/>
      <c r="L426" s="1394"/>
      <c r="M426" s="1394"/>
      <c r="N426" s="1394"/>
      <c r="O426" s="1394"/>
      <c r="P426" s="1394"/>
      <c r="Q426" s="1394"/>
      <c r="R426" s="1395"/>
      <c r="S426" s="1396"/>
      <c r="T426" s="1397"/>
      <c r="U426" s="205"/>
      <c r="V426" s="68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5"/>
      <c r="BN426" s="205"/>
      <c r="BO426" s="205"/>
      <c r="BP426" s="205"/>
      <c r="BQ426" s="205"/>
      <c r="BR426" s="205"/>
      <c r="BS426" s="205"/>
      <c r="BT426" s="205"/>
      <c r="BU426" s="205"/>
      <c r="BV426" s="205"/>
      <c r="BW426" s="205"/>
      <c r="BX426" s="205"/>
      <c r="BY426" s="205"/>
      <c r="BZ426" s="205"/>
      <c r="CA426" s="205"/>
      <c r="CB426" s="205"/>
      <c r="CC426" s="205"/>
      <c r="CD426" s="205"/>
      <c r="CE426" s="205"/>
      <c r="CF426" s="205"/>
      <c r="CG426" s="205"/>
      <c r="CH426" s="205"/>
      <c r="CI426" s="205"/>
      <c r="CJ426" s="205"/>
      <c r="CK426" s="205"/>
      <c r="CL426" s="205"/>
      <c r="CM426" s="205"/>
      <c r="CN426" s="205"/>
      <c r="CO426" s="205"/>
      <c r="CP426" s="205"/>
      <c r="CQ426" s="205"/>
      <c r="CR426" s="205"/>
      <c r="CS426" s="205"/>
      <c r="CT426" s="205"/>
      <c r="CU426" s="205"/>
      <c r="CV426" s="205"/>
      <c r="CW426" s="205"/>
      <c r="CX426" s="205"/>
      <c r="CY426" s="205"/>
      <c r="CZ426" s="205"/>
      <c r="DA426" s="205"/>
      <c r="DB426" s="205"/>
      <c r="DC426" s="205"/>
      <c r="DD426" s="205"/>
      <c r="DE426" s="205"/>
      <c r="DF426" s="205"/>
      <c r="DG426" s="205"/>
      <c r="DH426" s="205"/>
      <c r="DI426" s="205"/>
      <c r="DJ426" s="205"/>
      <c r="DK426" s="205"/>
      <c r="DL426" s="205"/>
      <c r="DM426" s="205"/>
      <c r="DN426" s="205"/>
      <c r="DO426" s="205"/>
      <c r="DP426" s="205"/>
      <c r="DQ426" s="205"/>
      <c r="DR426" s="205"/>
      <c r="DS426" s="205"/>
      <c r="DT426" s="205"/>
      <c r="DU426" s="205"/>
      <c r="DV426" s="205"/>
      <c r="DW426" s="205"/>
      <c r="DX426" s="205"/>
      <c r="DY426" s="205"/>
      <c r="DZ426" s="205"/>
      <c r="EA426" s="205"/>
      <c r="EB426" s="205"/>
      <c r="EC426" s="205"/>
      <c r="ED426" s="205"/>
      <c r="EE426" s="205"/>
      <c r="EF426" s="205"/>
      <c r="EG426" s="205"/>
      <c r="EH426" s="205"/>
      <c r="EI426" s="205"/>
      <c r="EJ426" s="205"/>
      <c r="EK426" s="205"/>
      <c r="EL426" s="205"/>
      <c r="EM426" s="205"/>
      <c r="EN426" s="205"/>
      <c r="EO426" s="205"/>
      <c r="EP426" s="205"/>
      <c r="EQ426" s="205"/>
      <c r="ER426" s="205"/>
      <c r="ES426" s="205"/>
      <c r="ET426" s="205"/>
      <c r="EU426" s="205"/>
      <c r="EV426" s="205"/>
      <c r="EW426" s="205"/>
      <c r="EX426" s="205"/>
      <c r="EY426" s="205"/>
      <c r="EZ426" s="205"/>
      <c r="FA426" s="205"/>
      <c r="FB426" s="205"/>
      <c r="FC426" s="205"/>
      <c r="FD426" s="205"/>
      <c r="FE426" s="205"/>
      <c r="FF426" s="205"/>
      <c r="FG426" s="205"/>
      <c r="FH426" s="205"/>
      <c r="FI426" s="205"/>
      <c r="FJ426" s="205"/>
      <c r="FK426" s="205"/>
      <c r="FL426" s="205"/>
      <c r="FM426" s="205"/>
      <c r="FN426" s="205"/>
      <c r="FO426" s="205"/>
      <c r="FP426" s="205"/>
      <c r="FQ426" s="205"/>
      <c r="FR426" s="205"/>
      <c r="FS426" s="205"/>
      <c r="FT426" s="205"/>
      <c r="FU426" s="205"/>
      <c r="FV426" s="205"/>
      <c r="FW426" s="205"/>
      <c r="FX426" s="205"/>
      <c r="FY426" s="205"/>
      <c r="FZ426" s="205"/>
      <c r="GA426" s="205"/>
      <c r="GB426" s="205"/>
      <c r="GC426" s="205"/>
      <c r="GD426" s="205"/>
      <c r="GE426" s="205"/>
      <c r="GF426" s="205"/>
      <c r="GG426" s="205"/>
      <c r="GH426" s="205"/>
      <c r="GI426" s="205"/>
      <c r="GJ426" s="205"/>
      <c r="GK426" s="205"/>
      <c r="GL426" s="205"/>
      <c r="GM426" s="205"/>
      <c r="GN426" s="205"/>
      <c r="GO426" s="205"/>
      <c r="GP426" s="205"/>
      <c r="GQ426" s="205"/>
      <c r="GR426" s="205"/>
      <c r="GS426" s="205"/>
      <c r="GT426" s="205"/>
      <c r="GU426" s="205"/>
      <c r="GV426" s="205"/>
      <c r="GW426" s="205"/>
      <c r="GX426" s="205"/>
      <c r="GY426" s="205"/>
      <c r="GZ426" s="205"/>
      <c r="HA426" s="205"/>
      <c r="HB426" s="205"/>
      <c r="HC426" s="205"/>
      <c r="HD426" s="205"/>
      <c r="HE426" s="205"/>
      <c r="HF426" s="205"/>
      <c r="HG426" s="205"/>
      <c r="HH426" s="205"/>
      <c r="HI426" s="205"/>
      <c r="HJ426" s="205"/>
      <c r="HK426" s="205"/>
      <c r="HL426" s="205"/>
      <c r="HM426" s="205"/>
      <c r="HN426" s="205"/>
      <c r="HO426" s="205"/>
      <c r="HP426" s="205"/>
      <c r="HQ426" s="205"/>
      <c r="HR426" s="205"/>
      <c r="HS426" s="205"/>
      <c r="HT426" s="205"/>
      <c r="HU426" s="205"/>
      <c r="HV426" s="205"/>
      <c r="HW426" s="205"/>
      <c r="HX426" s="205"/>
      <c r="HY426" s="205"/>
      <c r="HZ426" s="205"/>
      <c r="IA426" s="205"/>
      <c r="IB426" s="205"/>
      <c r="IC426" s="205"/>
      <c r="ID426" s="205"/>
      <c r="IE426" s="205"/>
      <c r="IF426" s="205"/>
      <c r="IG426" s="205"/>
      <c r="IH426" s="205"/>
      <c r="II426" s="205"/>
      <c r="IJ426" s="205"/>
      <c r="IK426" s="205"/>
      <c r="IL426" s="205"/>
      <c r="IM426" s="205"/>
      <c r="IN426" s="205"/>
      <c r="IO426" s="205"/>
      <c r="IP426" s="205"/>
      <c r="IQ426" s="205"/>
      <c r="IR426" s="205"/>
      <c r="IS426" s="205"/>
      <c r="IT426" s="205"/>
      <c r="IU426" s="205"/>
      <c r="IV426" s="205"/>
      <c r="IW426" s="205"/>
      <c r="IX426" s="205"/>
    </row>
    <row r="427" spans="1:258" s="203" customFormat="1" x14ac:dyDescent="0.2">
      <c r="A427" s="669"/>
      <c r="B427" s="670">
        <f>RAB!B138</f>
        <v>5</v>
      </c>
      <c r="C427" s="686" t="e">
        <f>RAB!D138</f>
        <v>#REF!</v>
      </c>
      <c r="D427" s="672"/>
      <c r="E427" s="673"/>
      <c r="F427" s="673"/>
      <c r="G427" s="674"/>
      <c r="H427" s="675"/>
      <c r="I427" s="676"/>
      <c r="J427" s="676"/>
      <c r="K427" s="676"/>
      <c r="L427" s="676"/>
      <c r="M427" s="676"/>
      <c r="N427" s="676"/>
      <c r="O427" s="676"/>
      <c r="P427" s="676"/>
      <c r="Q427" s="676"/>
      <c r="R427" s="677"/>
      <c r="S427" s="678"/>
      <c r="T427" s="684"/>
      <c r="U427" s="205"/>
      <c r="V427" s="68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5"/>
      <c r="BN427" s="205"/>
      <c r="BO427" s="205"/>
      <c r="BP427" s="205"/>
      <c r="BQ427" s="205"/>
      <c r="BR427" s="205"/>
      <c r="BS427" s="205"/>
      <c r="BT427" s="205"/>
      <c r="BU427" s="205"/>
      <c r="BV427" s="205"/>
      <c r="BW427" s="205"/>
      <c r="BX427" s="205"/>
      <c r="BY427" s="205"/>
      <c r="BZ427" s="205"/>
      <c r="CA427" s="205"/>
      <c r="CB427" s="205"/>
      <c r="CC427" s="205"/>
      <c r="CD427" s="205"/>
      <c r="CE427" s="205"/>
      <c r="CF427" s="205"/>
      <c r="CG427" s="205"/>
      <c r="CH427" s="205"/>
      <c r="CI427" s="205"/>
      <c r="CJ427" s="205"/>
      <c r="CK427" s="205"/>
      <c r="CL427" s="205"/>
      <c r="CM427" s="205"/>
      <c r="CN427" s="205"/>
      <c r="CO427" s="205"/>
      <c r="CP427" s="205"/>
      <c r="CQ427" s="205"/>
      <c r="CR427" s="205"/>
      <c r="CS427" s="205"/>
      <c r="CT427" s="205"/>
      <c r="CU427" s="205"/>
      <c r="CV427" s="205"/>
      <c r="CW427" s="205"/>
      <c r="CX427" s="205"/>
      <c r="CY427" s="205"/>
      <c r="CZ427" s="205"/>
      <c r="DA427" s="205"/>
      <c r="DB427" s="205"/>
      <c r="DC427" s="205"/>
      <c r="DD427" s="205"/>
      <c r="DE427" s="205"/>
      <c r="DF427" s="205"/>
      <c r="DG427" s="205"/>
      <c r="DH427" s="205"/>
      <c r="DI427" s="205"/>
      <c r="DJ427" s="205"/>
      <c r="DK427" s="205"/>
      <c r="DL427" s="205"/>
      <c r="DM427" s="205"/>
      <c r="DN427" s="205"/>
      <c r="DO427" s="205"/>
      <c r="DP427" s="205"/>
      <c r="DQ427" s="205"/>
      <c r="DR427" s="205"/>
      <c r="DS427" s="205"/>
      <c r="DT427" s="205"/>
      <c r="DU427" s="205"/>
      <c r="DV427" s="205"/>
      <c r="DW427" s="205"/>
      <c r="DX427" s="205"/>
      <c r="DY427" s="205"/>
      <c r="DZ427" s="205"/>
      <c r="EA427" s="205"/>
      <c r="EB427" s="205"/>
      <c r="EC427" s="205"/>
      <c r="ED427" s="205"/>
      <c r="EE427" s="205"/>
      <c r="EF427" s="205"/>
      <c r="EG427" s="205"/>
      <c r="EH427" s="205"/>
      <c r="EI427" s="205"/>
      <c r="EJ427" s="205"/>
      <c r="EK427" s="205"/>
      <c r="EL427" s="205"/>
      <c r="EM427" s="205"/>
      <c r="EN427" s="205"/>
      <c r="EO427" s="205"/>
      <c r="EP427" s="205"/>
      <c r="EQ427" s="205"/>
      <c r="ER427" s="205"/>
      <c r="ES427" s="205"/>
      <c r="ET427" s="205"/>
      <c r="EU427" s="205"/>
      <c r="EV427" s="205"/>
      <c r="EW427" s="205"/>
      <c r="EX427" s="205"/>
      <c r="EY427" s="205"/>
      <c r="EZ427" s="205"/>
      <c r="FA427" s="205"/>
      <c r="FB427" s="205"/>
      <c r="FC427" s="205"/>
      <c r="FD427" s="205"/>
      <c r="FE427" s="205"/>
      <c r="FF427" s="205"/>
      <c r="FG427" s="205"/>
      <c r="FH427" s="205"/>
      <c r="FI427" s="205"/>
      <c r="FJ427" s="205"/>
      <c r="FK427" s="205"/>
      <c r="FL427" s="205"/>
      <c r="FM427" s="205"/>
      <c r="FN427" s="205"/>
      <c r="FO427" s="205"/>
      <c r="FP427" s="205"/>
      <c r="FQ427" s="205"/>
      <c r="FR427" s="205"/>
      <c r="FS427" s="205"/>
      <c r="FT427" s="205"/>
      <c r="FU427" s="205"/>
      <c r="FV427" s="205"/>
      <c r="FW427" s="205"/>
      <c r="FX427" s="205"/>
      <c r="FY427" s="205"/>
      <c r="FZ427" s="205"/>
      <c r="GA427" s="205"/>
      <c r="GB427" s="205"/>
      <c r="GC427" s="205"/>
      <c r="GD427" s="205"/>
      <c r="GE427" s="205"/>
      <c r="GF427" s="205"/>
      <c r="GG427" s="205"/>
      <c r="GH427" s="205"/>
      <c r="GI427" s="205"/>
      <c r="GJ427" s="205"/>
      <c r="GK427" s="205"/>
      <c r="GL427" s="205"/>
      <c r="GM427" s="205"/>
      <c r="GN427" s="205"/>
      <c r="GO427" s="205"/>
      <c r="GP427" s="205"/>
      <c r="GQ427" s="205"/>
      <c r="GR427" s="205"/>
      <c r="GS427" s="205"/>
      <c r="GT427" s="205"/>
      <c r="GU427" s="205"/>
      <c r="GV427" s="205"/>
      <c r="GW427" s="205"/>
      <c r="GX427" s="205"/>
      <c r="GY427" s="205"/>
      <c r="GZ427" s="205"/>
      <c r="HA427" s="205"/>
      <c r="HB427" s="205"/>
      <c r="HC427" s="205"/>
      <c r="HD427" s="205"/>
      <c r="HE427" s="205"/>
      <c r="HF427" s="205"/>
      <c r="HG427" s="205"/>
      <c r="HH427" s="205"/>
      <c r="HI427" s="205"/>
      <c r="HJ427" s="205"/>
      <c r="HK427" s="205"/>
      <c r="HL427" s="205"/>
      <c r="HM427" s="205"/>
      <c r="HN427" s="205"/>
      <c r="HO427" s="205"/>
      <c r="HP427" s="205"/>
      <c r="HQ427" s="205"/>
      <c r="HR427" s="205"/>
      <c r="HS427" s="205"/>
      <c r="HT427" s="205"/>
      <c r="HU427" s="205"/>
      <c r="HV427" s="205"/>
      <c r="HW427" s="205"/>
      <c r="HX427" s="205"/>
      <c r="HY427" s="205"/>
      <c r="HZ427" s="205"/>
      <c r="IA427" s="205"/>
      <c r="IB427" s="205"/>
      <c r="IC427" s="205"/>
      <c r="ID427" s="205"/>
      <c r="IE427" s="205"/>
      <c r="IF427" s="205"/>
      <c r="IG427" s="205"/>
      <c r="IH427" s="205"/>
      <c r="II427" s="205"/>
      <c r="IJ427" s="205"/>
      <c r="IK427" s="205"/>
      <c r="IL427" s="205"/>
      <c r="IM427" s="205"/>
      <c r="IN427" s="205"/>
      <c r="IO427" s="205"/>
      <c r="IP427" s="205"/>
      <c r="IQ427" s="205"/>
      <c r="IR427" s="205"/>
      <c r="IS427" s="205"/>
      <c r="IT427" s="205"/>
      <c r="IU427" s="205"/>
      <c r="IV427" s="205"/>
      <c r="IW427" s="205"/>
      <c r="IX427" s="205"/>
    </row>
    <row r="428" spans="1:258" s="203" customFormat="1" x14ac:dyDescent="0.2">
      <c r="A428" s="669"/>
      <c r="B428" s="670"/>
      <c r="C428" s="1390"/>
      <c r="D428" s="672"/>
      <c r="E428" s="1391"/>
      <c r="F428" s="1391"/>
      <c r="G428" s="1392" t="str">
        <f>G409</f>
        <v>P3</v>
      </c>
      <c r="H428" s="1393">
        <f>J84</f>
        <v>2.1</v>
      </c>
      <c r="I428" s="1394" t="s">
        <v>424</v>
      </c>
      <c r="J428" s="1394">
        <f>H84</f>
        <v>0.8</v>
      </c>
      <c r="K428" s="1394" t="s">
        <v>424</v>
      </c>
      <c r="L428" s="1394">
        <f>L84</f>
        <v>9</v>
      </c>
      <c r="M428" s="1394"/>
      <c r="N428" s="1394"/>
      <c r="O428" s="1394"/>
      <c r="P428" s="1394"/>
      <c r="Q428" s="1394" t="s">
        <v>696</v>
      </c>
      <c r="R428" s="1395">
        <f>H428*J428*L428</f>
        <v>15.120000000000001</v>
      </c>
      <c r="S428" s="1396">
        <f>R428</f>
        <v>15.120000000000001</v>
      </c>
      <c r="T428" s="1397" t="s">
        <v>338</v>
      </c>
      <c r="U428" s="205"/>
      <c r="V428" s="68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5"/>
      <c r="BN428" s="205"/>
      <c r="BO428" s="205"/>
      <c r="BP428" s="205"/>
      <c r="BQ428" s="205"/>
      <c r="BR428" s="205"/>
      <c r="BS428" s="205"/>
      <c r="BT428" s="205"/>
      <c r="BU428" s="205"/>
      <c r="BV428" s="205"/>
      <c r="BW428" s="205"/>
      <c r="BX428" s="205"/>
      <c r="BY428" s="205"/>
      <c r="BZ428" s="205"/>
      <c r="CA428" s="205"/>
      <c r="CB428" s="205"/>
      <c r="CC428" s="205"/>
      <c r="CD428" s="205"/>
      <c r="CE428" s="205"/>
      <c r="CF428" s="205"/>
      <c r="CG428" s="205"/>
      <c r="CH428" s="205"/>
      <c r="CI428" s="205"/>
      <c r="CJ428" s="205"/>
      <c r="CK428" s="205"/>
      <c r="CL428" s="205"/>
      <c r="CM428" s="205"/>
      <c r="CN428" s="205"/>
      <c r="CO428" s="205"/>
      <c r="CP428" s="205"/>
      <c r="CQ428" s="205"/>
      <c r="CR428" s="205"/>
      <c r="CS428" s="205"/>
      <c r="CT428" s="205"/>
      <c r="CU428" s="205"/>
      <c r="CV428" s="205"/>
      <c r="CW428" s="205"/>
      <c r="CX428" s="205"/>
      <c r="CY428" s="205"/>
      <c r="CZ428" s="205"/>
      <c r="DA428" s="205"/>
      <c r="DB428" s="205"/>
      <c r="DC428" s="205"/>
      <c r="DD428" s="205"/>
      <c r="DE428" s="205"/>
      <c r="DF428" s="205"/>
      <c r="DG428" s="205"/>
      <c r="DH428" s="205"/>
      <c r="DI428" s="205"/>
      <c r="DJ428" s="205"/>
      <c r="DK428" s="205"/>
      <c r="DL428" s="205"/>
      <c r="DM428" s="205"/>
      <c r="DN428" s="205"/>
      <c r="DO428" s="205"/>
      <c r="DP428" s="205"/>
      <c r="DQ428" s="205"/>
      <c r="DR428" s="205"/>
      <c r="DS428" s="205"/>
      <c r="DT428" s="205"/>
      <c r="DU428" s="205"/>
      <c r="DV428" s="205"/>
      <c r="DW428" s="205"/>
      <c r="DX428" s="205"/>
      <c r="DY428" s="205"/>
      <c r="DZ428" s="205"/>
      <c r="EA428" s="205"/>
      <c r="EB428" s="205"/>
      <c r="EC428" s="205"/>
      <c r="ED428" s="205"/>
      <c r="EE428" s="205"/>
      <c r="EF428" s="205"/>
      <c r="EG428" s="205"/>
      <c r="EH428" s="205"/>
      <c r="EI428" s="205"/>
      <c r="EJ428" s="205"/>
      <c r="EK428" s="205"/>
      <c r="EL428" s="205"/>
      <c r="EM428" s="205"/>
      <c r="EN428" s="205"/>
      <c r="EO428" s="205"/>
      <c r="EP428" s="205"/>
      <c r="EQ428" s="205"/>
      <c r="ER428" s="205"/>
      <c r="ES428" s="205"/>
      <c r="ET428" s="205"/>
      <c r="EU428" s="205"/>
      <c r="EV428" s="205"/>
      <c r="EW428" s="205"/>
      <c r="EX428" s="205"/>
      <c r="EY428" s="205"/>
      <c r="EZ428" s="205"/>
      <c r="FA428" s="205"/>
      <c r="FB428" s="205"/>
      <c r="FC428" s="205"/>
      <c r="FD428" s="205"/>
      <c r="FE428" s="205"/>
      <c r="FF428" s="205"/>
      <c r="FG428" s="205"/>
      <c r="FH428" s="205"/>
      <c r="FI428" s="205"/>
      <c r="FJ428" s="205"/>
      <c r="FK428" s="205"/>
      <c r="FL428" s="205"/>
      <c r="FM428" s="205"/>
      <c r="FN428" s="205"/>
      <c r="FO428" s="205"/>
      <c r="FP428" s="205"/>
      <c r="FQ428" s="205"/>
      <c r="FR428" s="205"/>
      <c r="FS428" s="205"/>
      <c r="FT428" s="205"/>
      <c r="FU428" s="205"/>
      <c r="FV428" s="205"/>
      <c r="FW428" s="205"/>
      <c r="FX428" s="205"/>
      <c r="FY428" s="205"/>
      <c r="FZ428" s="205"/>
      <c r="GA428" s="205"/>
      <c r="GB428" s="205"/>
      <c r="GC428" s="205"/>
      <c r="GD428" s="205"/>
      <c r="GE428" s="205"/>
      <c r="GF428" s="205"/>
      <c r="GG428" s="205"/>
      <c r="GH428" s="205"/>
      <c r="GI428" s="205"/>
      <c r="GJ428" s="205"/>
      <c r="GK428" s="205"/>
      <c r="GL428" s="205"/>
      <c r="GM428" s="205"/>
      <c r="GN428" s="205"/>
      <c r="GO428" s="205"/>
      <c r="GP428" s="205"/>
      <c r="GQ428" s="205"/>
      <c r="GR428" s="205"/>
      <c r="GS428" s="205"/>
      <c r="GT428" s="205"/>
      <c r="GU428" s="205"/>
      <c r="GV428" s="205"/>
      <c r="GW428" s="205"/>
      <c r="GX428" s="205"/>
      <c r="GY428" s="205"/>
      <c r="GZ428" s="205"/>
      <c r="HA428" s="205"/>
      <c r="HB428" s="205"/>
      <c r="HC428" s="205"/>
      <c r="HD428" s="205"/>
      <c r="HE428" s="205"/>
      <c r="HF428" s="205"/>
      <c r="HG428" s="205"/>
      <c r="HH428" s="205"/>
      <c r="HI428" s="205"/>
      <c r="HJ428" s="205"/>
      <c r="HK428" s="205"/>
      <c r="HL428" s="205"/>
      <c r="HM428" s="205"/>
      <c r="HN428" s="205"/>
      <c r="HO428" s="205"/>
      <c r="HP428" s="205"/>
      <c r="HQ428" s="205"/>
      <c r="HR428" s="205"/>
      <c r="HS428" s="205"/>
      <c r="HT428" s="205"/>
      <c r="HU428" s="205"/>
      <c r="HV428" s="205"/>
      <c r="HW428" s="205"/>
      <c r="HX428" s="205"/>
      <c r="HY428" s="205"/>
      <c r="HZ428" s="205"/>
      <c r="IA428" s="205"/>
      <c r="IB428" s="205"/>
      <c r="IC428" s="205"/>
      <c r="ID428" s="205"/>
      <c r="IE428" s="205"/>
      <c r="IF428" s="205"/>
      <c r="IG428" s="205"/>
      <c r="IH428" s="205"/>
      <c r="II428" s="205"/>
      <c r="IJ428" s="205"/>
      <c r="IK428" s="205"/>
      <c r="IL428" s="205"/>
      <c r="IM428" s="205"/>
      <c r="IN428" s="205"/>
      <c r="IO428" s="205"/>
      <c r="IP428" s="205"/>
      <c r="IQ428" s="205"/>
      <c r="IR428" s="205"/>
      <c r="IS428" s="205"/>
      <c r="IT428" s="205"/>
      <c r="IU428" s="205"/>
      <c r="IV428" s="205"/>
      <c r="IW428" s="205"/>
      <c r="IX428" s="205"/>
    </row>
    <row r="429" spans="1:258" s="203" customFormat="1" x14ac:dyDescent="0.2">
      <c r="A429" s="669"/>
      <c r="B429" s="670"/>
      <c r="C429" s="1390"/>
      <c r="D429" s="672"/>
      <c r="E429" s="1391"/>
      <c r="F429" s="1391"/>
      <c r="G429" s="1392"/>
      <c r="H429" s="1393"/>
      <c r="I429" s="1394"/>
      <c r="J429" s="1394"/>
      <c r="K429" s="1394"/>
      <c r="L429" s="1394"/>
      <c r="M429" s="1394"/>
      <c r="N429" s="1394"/>
      <c r="O429" s="1394"/>
      <c r="P429" s="1394"/>
      <c r="Q429" s="1394"/>
      <c r="R429" s="1395"/>
      <c r="S429" s="1396"/>
      <c r="T429" s="1397"/>
      <c r="U429" s="205"/>
      <c r="V429" s="68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5"/>
      <c r="BN429" s="205"/>
      <c r="BO429" s="205"/>
      <c r="BP429" s="205"/>
      <c r="BQ429" s="205"/>
      <c r="BR429" s="205"/>
      <c r="BS429" s="205"/>
      <c r="BT429" s="205"/>
      <c r="BU429" s="205"/>
      <c r="BV429" s="205"/>
      <c r="BW429" s="205"/>
      <c r="BX429" s="205"/>
      <c r="BY429" s="205"/>
      <c r="BZ429" s="205"/>
      <c r="CA429" s="205"/>
      <c r="CB429" s="205"/>
      <c r="CC429" s="205"/>
      <c r="CD429" s="205"/>
      <c r="CE429" s="205"/>
      <c r="CF429" s="205"/>
      <c r="CG429" s="205"/>
      <c r="CH429" s="205"/>
      <c r="CI429" s="205"/>
      <c r="CJ429" s="205"/>
      <c r="CK429" s="205"/>
      <c r="CL429" s="205"/>
      <c r="CM429" s="205"/>
      <c r="CN429" s="205"/>
      <c r="CO429" s="205"/>
      <c r="CP429" s="205"/>
      <c r="CQ429" s="205"/>
      <c r="CR429" s="205"/>
      <c r="CS429" s="205"/>
      <c r="CT429" s="205"/>
      <c r="CU429" s="205"/>
      <c r="CV429" s="205"/>
      <c r="CW429" s="205"/>
      <c r="CX429" s="205"/>
      <c r="CY429" s="205"/>
      <c r="CZ429" s="205"/>
      <c r="DA429" s="205"/>
      <c r="DB429" s="205"/>
      <c r="DC429" s="205"/>
      <c r="DD429" s="205"/>
      <c r="DE429" s="205"/>
      <c r="DF429" s="205"/>
      <c r="DG429" s="205"/>
      <c r="DH429" s="205"/>
      <c r="DI429" s="205"/>
      <c r="DJ429" s="205"/>
      <c r="DK429" s="205"/>
      <c r="DL429" s="205"/>
      <c r="DM429" s="205"/>
      <c r="DN429" s="205"/>
      <c r="DO429" s="205"/>
      <c r="DP429" s="205"/>
      <c r="DQ429" s="205"/>
      <c r="DR429" s="205"/>
      <c r="DS429" s="205"/>
      <c r="DT429" s="205"/>
      <c r="DU429" s="205"/>
      <c r="DV429" s="205"/>
      <c r="DW429" s="205"/>
      <c r="DX429" s="205"/>
      <c r="DY429" s="205"/>
      <c r="DZ429" s="205"/>
      <c r="EA429" s="205"/>
      <c r="EB429" s="205"/>
      <c r="EC429" s="205"/>
      <c r="ED429" s="205"/>
      <c r="EE429" s="205"/>
      <c r="EF429" s="205"/>
      <c r="EG429" s="205"/>
      <c r="EH429" s="205"/>
      <c r="EI429" s="205"/>
      <c r="EJ429" s="205"/>
      <c r="EK429" s="205"/>
      <c r="EL429" s="205"/>
      <c r="EM429" s="205"/>
      <c r="EN429" s="205"/>
      <c r="EO429" s="205"/>
      <c r="EP429" s="205"/>
      <c r="EQ429" s="205"/>
      <c r="ER429" s="205"/>
      <c r="ES429" s="205"/>
      <c r="ET429" s="205"/>
      <c r="EU429" s="205"/>
      <c r="EV429" s="205"/>
      <c r="EW429" s="205"/>
      <c r="EX429" s="205"/>
      <c r="EY429" s="205"/>
      <c r="EZ429" s="205"/>
      <c r="FA429" s="205"/>
      <c r="FB429" s="205"/>
      <c r="FC429" s="205"/>
      <c r="FD429" s="205"/>
      <c r="FE429" s="205"/>
      <c r="FF429" s="205"/>
      <c r="FG429" s="205"/>
      <c r="FH429" s="205"/>
      <c r="FI429" s="205"/>
      <c r="FJ429" s="205"/>
      <c r="FK429" s="205"/>
      <c r="FL429" s="205"/>
      <c r="FM429" s="205"/>
      <c r="FN429" s="205"/>
      <c r="FO429" s="205"/>
      <c r="FP429" s="205"/>
      <c r="FQ429" s="205"/>
      <c r="FR429" s="205"/>
      <c r="FS429" s="205"/>
      <c r="FT429" s="205"/>
      <c r="FU429" s="205"/>
      <c r="FV429" s="205"/>
      <c r="FW429" s="205"/>
      <c r="FX429" s="205"/>
      <c r="FY429" s="205"/>
      <c r="FZ429" s="205"/>
      <c r="GA429" s="205"/>
      <c r="GB429" s="205"/>
      <c r="GC429" s="205"/>
      <c r="GD429" s="205"/>
      <c r="GE429" s="205"/>
      <c r="GF429" s="205"/>
      <c r="GG429" s="205"/>
      <c r="GH429" s="205"/>
      <c r="GI429" s="205"/>
      <c r="GJ429" s="205"/>
      <c r="GK429" s="205"/>
      <c r="GL429" s="205"/>
      <c r="GM429" s="205"/>
      <c r="GN429" s="205"/>
      <c r="GO429" s="205"/>
      <c r="GP429" s="205"/>
      <c r="GQ429" s="205"/>
      <c r="GR429" s="205"/>
      <c r="GS429" s="205"/>
      <c r="GT429" s="205"/>
      <c r="GU429" s="205"/>
      <c r="GV429" s="205"/>
      <c r="GW429" s="205"/>
      <c r="GX429" s="205"/>
      <c r="GY429" s="205"/>
      <c r="GZ429" s="205"/>
      <c r="HA429" s="205"/>
      <c r="HB429" s="205"/>
      <c r="HC429" s="205"/>
      <c r="HD429" s="205"/>
      <c r="HE429" s="205"/>
      <c r="HF429" s="205"/>
      <c r="HG429" s="205"/>
      <c r="HH429" s="205"/>
      <c r="HI429" s="205"/>
      <c r="HJ429" s="205"/>
      <c r="HK429" s="205"/>
      <c r="HL429" s="205"/>
      <c r="HM429" s="205"/>
      <c r="HN429" s="205"/>
      <c r="HO429" s="205"/>
      <c r="HP429" s="205"/>
      <c r="HQ429" s="205"/>
      <c r="HR429" s="205"/>
      <c r="HS429" s="205"/>
      <c r="HT429" s="205"/>
      <c r="HU429" s="205"/>
      <c r="HV429" s="205"/>
      <c r="HW429" s="205"/>
      <c r="HX429" s="205"/>
      <c r="HY429" s="205"/>
      <c r="HZ429" s="205"/>
      <c r="IA429" s="205"/>
      <c r="IB429" s="205"/>
      <c r="IC429" s="205"/>
      <c r="ID429" s="205"/>
      <c r="IE429" s="205"/>
      <c r="IF429" s="205"/>
      <c r="IG429" s="205"/>
      <c r="IH429" s="205"/>
      <c r="II429" s="205"/>
      <c r="IJ429" s="205"/>
      <c r="IK429" s="205"/>
      <c r="IL429" s="205"/>
      <c r="IM429" s="205"/>
      <c r="IN429" s="205"/>
      <c r="IO429" s="205"/>
      <c r="IP429" s="205"/>
      <c r="IQ429" s="205"/>
      <c r="IR429" s="205"/>
      <c r="IS429" s="205"/>
      <c r="IT429" s="205"/>
      <c r="IU429" s="205"/>
      <c r="IV429" s="205"/>
      <c r="IW429" s="205"/>
      <c r="IX429" s="205"/>
    </row>
    <row r="430" spans="1:258" s="203" customFormat="1" x14ac:dyDescent="0.2">
      <c r="A430" s="669"/>
      <c r="B430" s="670">
        <f>RAB!B139</f>
        <v>6</v>
      </c>
      <c r="C430" s="686" t="str">
        <f>RAB!D139</f>
        <v>Memasang jendela &amp; boven kaca rangka aluminium</v>
      </c>
      <c r="D430" s="672"/>
      <c r="E430" s="673"/>
      <c r="F430" s="673"/>
      <c r="G430" s="674"/>
      <c r="H430" s="675"/>
      <c r="I430" s="676"/>
      <c r="J430" s="676"/>
      <c r="K430" s="676"/>
      <c r="L430" s="676"/>
      <c r="M430" s="676"/>
      <c r="N430" s="676"/>
      <c r="O430" s="676"/>
      <c r="P430" s="676"/>
      <c r="Q430" s="676"/>
      <c r="R430" s="677"/>
      <c r="S430" s="678"/>
      <c r="T430" s="684"/>
      <c r="U430" s="205"/>
      <c r="V430" s="68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5"/>
      <c r="BN430" s="205"/>
      <c r="BO430" s="205"/>
      <c r="BP430" s="205"/>
      <c r="BQ430" s="205"/>
      <c r="BR430" s="205"/>
      <c r="BS430" s="205"/>
      <c r="BT430" s="205"/>
      <c r="BU430" s="205"/>
      <c r="BV430" s="205"/>
      <c r="BW430" s="205"/>
      <c r="BX430" s="205"/>
      <c r="BY430" s="205"/>
      <c r="BZ430" s="205"/>
      <c r="CA430" s="205"/>
      <c r="CB430" s="205"/>
      <c r="CC430" s="205"/>
      <c r="CD430" s="205"/>
      <c r="CE430" s="205"/>
      <c r="CF430" s="205"/>
      <c r="CG430" s="205"/>
      <c r="CH430" s="205"/>
      <c r="CI430" s="205"/>
      <c r="CJ430" s="205"/>
      <c r="CK430" s="205"/>
      <c r="CL430" s="205"/>
      <c r="CM430" s="205"/>
      <c r="CN430" s="205"/>
      <c r="CO430" s="205"/>
      <c r="CP430" s="205"/>
      <c r="CQ430" s="205"/>
      <c r="CR430" s="205"/>
      <c r="CS430" s="205"/>
      <c r="CT430" s="205"/>
      <c r="CU430" s="205"/>
      <c r="CV430" s="205"/>
      <c r="CW430" s="205"/>
      <c r="CX430" s="205"/>
      <c r="CY430" s="205"/>
      <c r="CZ430" s="205"/>
      <c r="DA430" s="205"/>
      <c r="DB430" s="205"/>
      <c r="DC430" s="205"/>
      <c r="DD430" s="205"/>
      <c r="DE430" s="205"/>
      <c r="DF430" s="205"/>
      <c r="DG430" s="205"/>
      <c r="DH430" s="205"/>
      <c r="DI430" s="205"/>
      <c r="DJ430" s="205"/>
      <c r="DK430" s="205"/>
      <c r="DL430" s="205"/>
      <c r="DM430" s="205"/>
      <c r="DN430" s="205"/>
      <c r="DO430" s="205"/>
      <c r="DP430" s="205"/>
      <c r="DQ430" s="205"/>
      <c r="DR430" s="205"/>
      <c r="DS430" s="205"/>
      <c r="DT430" s="205"/>
      <c r="DU430" s="205"/>
      <c r="DV430" s="205"/>
      <c r="DW430" s="205"/>
      <c r="DX430" s="205"/>
      <c r="DY430" s="205"/>
      <c r="DZ430" s="205"/>
      <c r="EA430" s="205"/>
      <c r="EB430" s="205"/>
      <c r="EC430" s="205"/>
      <c r="ED430" s="205"/>
      <c r="EE430" s="205"/>
      <c r="EF430" s="205"/>
      <c r="EG430" s="205"/>
      <c r="EH430" s="205"/>
      <c r="EI430" s="205"/>
      <c r="EJ430" s="205"/>
      <c r="EK430" s="205"/>
      <c r="EL430" s="205"/>
      <c r="EM430" s="205"/>
      <c r="EN430" s="205"/>
      <c r="EO430" s="205"/>
      <c r="EP430" s="205"/>
      <c r="EQ430" s="205"/>
      <c r="ER430" s="205"/>
      <c r="ES430" s="205"/>
      <c r="ET430" s="205"/>
      <c r="EU430" s="205"/>
      <c r="EV430" s="205"/>
      <c r="EW430" s="205"/>
      <c r="EX430" s="205"/>
      <c r="EY430" s="205"/>
      <c r="EZ430" s="205"/>
      <c r="FA430" s="205"/>
      <c r="FB430" s="205"/>
      <c r="FC430" s="205"/>
      <c r="FD430" s="205"/>
      <c r="FE430" s="205"/>
      <c r="FF430" s="205"/>
      <c r="FG430" s="205"/>
      <c r="FH430" s="205"/>
      <c r="FI430" s="205"/>
      <c r="FJ430" s="205"/>
      <c r="FK430" s="205"/>
      <c r="FL430" s="205"/>
      <c r="FM430" s="205"/>
      <c r="FN430" s="205"/>
      <c r="FO430" s="205"/>
      <c r="FP430" s="205"/>
      <c r="FQ430" s="205"/>
      <c r="FR430" s="205"/>
      <c r="FS430" s="205"/>
      <c r="FT430" s="205"/>
      <c r="FU430" s="205"/>
      <c r="FV430" s="205"/>
      <c r="FW430" s="205"/>
      <c r="FX430" s="205"/>
      <c r="FY430" s="205"/>
      <c r="FZ430" s="205"/>
      <c r="GA430" s="205"/>
      <c r="GB430" s="205"/>
      <c r="GC430" s="205"/>
      <c r="GD430" s="205"/>
      <c r="GE430" s="205"/>
      <c r="GF430" s="205"/>
      <c r="GG430" s="205"/>
      <c r="GH430" s="205"/>
      <c r="GI430" s="205"/>
      <c r="GJ430" s="205"/>
      <c r="GK430" s="205"/>
      <c r="GL430" s="205"/>
      <c r="GM430" s="205"/>
      <c r="GN430" s="205"/>
      <c r="GO430" s="205"/>
      <c r="GP430" s="205"/>
      <c r="GQ430" s="205"/>
      <c r="GR430" s="205"/>
      <c r="GS430" s="205"/>
      <c r="GT430" s="205"/>
      <c r="GU430" s="205"/>
      <c r="GV430" s="205"/>
      <c r="GW430" s="205"/>
      <c r="GX430" s="205"/>
      <c r="GY430" s="205"/>
      <c r="GZ430" s="205"/>
      <c r="HA430" s="205"/>
      <c r="HB430" s="205"/>
      <c r="HC430" s="205"/>
      <c r="HD430" s="205"/>
      <c r="HE430" s="205"/>
      <c r="HF430" s="205"/>
      <c r="HG430" s="205"/>
      <c r="HH430" s="205"/>
      <c r="HI430" s="205"/>
      <c r="HJ430" s="205"/>
      <c r="HK430" s="205"/>
      <c r="HL430" s="205"/>
      <c r="HM430" s="205"/>
      <c r="HN430" s="205"/>
      <c r="HO430" s="205"/>
      <c r="HP430" s="205"/>
      <c r="HQ430" s="205"/>
      <c r="HR430" s="205"/>
      <c r="HS430" s="205"/>
      <c r="HT430" s="205"/>
      <c r="HU430" s="205"/>
      <c r="HV430" s="205"/>
      <c r="HW430" s="205"/>
      <c r="HX430" s="205"/>
      <c r="HY430" s="205"/>
      <c r="HZ430" s="205"/>
      <c r="IA430" s="205"/>
      <c r="IB430" s="205"/>
      <c r="IC430" s="205"/>
      <c r="ID430" s="205"/>
      <c r="IE430" s="205"/>
      <c r="IF430" s="205"/>
      <c r="IG430" s="205"/>
      <c r="IH430" s="205"/>
      <c r="II430" s="205"/>
      <c r="IJ430" s="205"/>
      <c r="IK430" s="205"/>
      <c r="IL430" s="205"/>
      <c r="IM430" s="205"/>
      <c r="IN430" s="205"/>
      <c r="IO430" s="205"/>
      <c r="IP430" s="205"/>
      <c r="IQ430" s="205"/>
      <c r="IR430" s="205"/>
      <c r="IS430" s="205"/>
      <c r="IT430" s="205"/>
      <c r="IU430" s="205"/>
      <c r="IV430" s="205"/>
      <c r="IW430" s="205"/>
      <c r="IX430" s="205"/>
    </row>
    <row r="431" spans="1:258" s="203" customFormat="1" x14ac:dyDescent="0.2">
      <c r="A431" s="669"/>
      <c r="B431" s="670"/>
      <c r="C431" s="1390"/>
      <c r="D431" s="672"/>
      <c r="E431" s="1391"/>
      <c r="F431" s="1391"/>
      <c r="G431" s="1392" t="str">
        <f>G411</f>
        <v>J1</v>
      </c>
      <c r="H431" s="1393">
        <v>1.1499999999999999</v>
      </c>
      <c r="I431" s="1394" t="s">
        <v>424</v>
      </c>
      <c r="J431" s="1394">
        <v>0.55000000000000004</v>
      </c>
      <c r="K431" s="1394" t="s">
        <v>424</v>
      </c>
      <c r="L431" s="1394">
        <v>3</v>
      </c>
      <c r="M431" s="1394" t="s">
        <v>424</v>
      </c>
      <c r="N431" s="1394">
        <f>J411</f>
        <v>1</v>
      </c>
      <c r="O431" s="1394"/>
      <c r="P431" s="1394"/>
      <c r="Q431" s="1394" t="s">
        <v>696</v>
      </c>
      <c r="R431" s="1395">
        <f>H431*J431*L431*N431</f>
        <v>1.8975</v>
      </c>
      <c r="S431" s="1396"/>
      <c r="T431" s="1397"/>
      <c r="U431" s="205"/>
      <c r="V431" s="685"/>
      <c r="W431" s="205"/>
      <c r="X431" s="205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05"/>
      <c r="BN431" s="205"/>
      <c r="BO431" s="205"/>
      <c r="BP431" s="205"/>
      <c r="BQ431" s="205"/>
      <c r="BR431" s="205"/>
      <c r="BS431" s="205"/>
      <c r="BT431" s="205"/>
      <c r="BU431" s="205"/>
      <c r="BV431" s="205"/>
      <c r="BW431" s="205"/>
      <c r="BX431" s="205"/>
      <c r="BY431" s="205"/>
      <c r="BZ431" s="205"/>
      <c r="CA431" s="205"/>
      <c r="CB431" s="205"/>
      <c r="CC431" s="205"/>
      <c r="CD431" s="205"/>
      <c r="CE431" s="205"/>
      <c r="CF431" s="205"/>
      <c r="CG431" s="205"/>
      <c r="CH431" s="205"/>
      <c r="CI431" s="205"/>
      <c r="CJ431" s="205"/>
      <c r="CK431" s="205"/>
      <c r="CL431" s="205"/>
      <c r="CM431" s="205"/>
      <c r="CN431" s="205"/>
      <c r="CO431" s="205"/>
      <c r="CP431" s="205"/>
      <c r="CQ431" s="205"/>
      <c r="CR431" s="205"/>
      <c r="CS431" s="205"/>
      <c r="CT431" s="205"/>
      <c r="CU431" s="205"/>
      <c r="CV431" s="205"/>
      <c r="CW431" s="205"/>
      <c r="CX431" s="205"/>
      <c r="CY431" s="205"/>
      <c r="CZ431" s="205"/>
      <c r="DA431" s="205"/>
      <c r="DB431" s="205"/>
      <c r="DC431" s="205"/>
      <c r="DD431" s="205"/>
      <c r="DE431" s="205"/>
      <c r="DF431" s="205"/>
      <c r="DG431" s="205"/>
      <c r="DH431" s="205"/>
      <c r="DI431" s="205"/>
      <c r="DJ431" s="205"/>
      <c r="DK431" s="205"/>
      <c r="DL431" s="205"/>
      <c r="DM431" s="205"/>
      <c r="DN431" s="205"/>
      <c r="DO431" s="205"/>
      <c r="DP431" s="205"/>
      <c r="DQ431" s="205"/>
      <c r="DR431" s="205"/>
      <c r="DS431" s="205"/>
      <c r="DT431" s="205"/>
      <c r="DU431" s="205"/>
      <c r="DV431" s="205"/>
      <c r="DW431" s="205"/>
      <c r="DX431" s="205"/>
      <c r="DY431" s="205"/>
      <c r="DZ431" s="205"/>
      <c r="EA431" s="205"/>
      <c r="EB431" s="205"/>
      <c r="EC431" s="205"/>
      <c r="ED431" s="205"/>
      <c r="EE431" s="205"/>
      <c r="EF431" s="205"/>
      <c r="EG431" s="205"/>
      <c r="EH431" s="205"/>
      <c r="EI431" s="205"/>
      <c r="EJ431" s="205"/>
      <c r="EK431" s="205"/>
      <c r="EL431" s="205"/>
      <c r="EM431" s="205"/>
      <c r="EN431" s="205"/>
      <c r="EO431" s="205"/>
      <c r="EP431" s="205"/>
      <c r="EQ431" s="205"/>
      <c r="ER431" s="205"/>
      <c r="ES431" s="205"/>
      <c r="ET431" s="205"/>
      <c r="EU431" s="205"/>
      <c r="EV431" s="205"/>
      <c r="EW431" s="205"/>
      <c r="EX431" s="205"/>
      <c r="EY431" s="205"/>
      <c r="EZ431" s="205"/>
      <c r="FA431" s="205"/>
      <c r="FB431" s="205"/>
      <c r="FC431" s="205"/>
      <c r="FD431" s="205"/>
      <c r="FE431" s="205"/>
      <c r="FF431" s="205"/>
      <c r="FG431" s="205"/>
      <c r="FH431" s="205"/>
      <c r="FI431" s="205"/>
      <c r="FJ431" s="205"/>
      <c r="FK431" s="205"/>
      <c r="FL431" s="205"/>
      <c r="FM431" s="205"/>
      <c r="FN431" s="205"/>
      <c r="FO431" s="205"/>
      <c r="FP431" s="205"/>
      <c r="FQ431" s="205"/>
      <c r="FR431" s="205"/>
      <c r="FS431" s="205"/>
      <c r="FT431" s="205"/>
      <c r="FU431" s="205"/>
      <c r="FV431" s="205"/>
      <c r="FW431" s="205"/>
      <c r="FX431" s="205"/>
      <c r="FY431" s="205"/>
      <c r="FZ431" s="205"/>
      <c r="GA431" s="205"/>
      <c r="GB431" s="205"/>
      <c r="GC431" s="205"/>
      <c r="GD431" s="205"/>
      <c r="GE431" s="205"/>
      <c r="GF431" s="205"/>
      <c r="GG431" s="205"/>
      <c r="GH431" s="205"/>
      <c r="GI431" s="205"/>
      <c r="GJ431" s="205"/>
      <c r="GK431" s="205"/>
      <c r="GL431" s="205"/>
      <c r="GM431" s="205"/>
      <c r="GN431" s="205"/>
      <c r="GO431" s="205"/>
      <c r="GP431" s="205"/>
      <c r="GQ431" s="205"/>
      <c r="GR431" s="205"/>
      <c r="GS431" s="205"/>
      <c r="GT431" s="205"/>
      <c r="GU431" s="205"/>
      <c r="GV431" s="205"/>
      <c r="GW431" s="205"/>
      <c r="GX431" s="205"/>
      <c r="GY431" s="205"/>
      <c r="GZ431" s="205"/>
      <c r="HA431" s="205"/>
      <c r="HB431" s="205"/>
      <c r="HC431" s="205"/>
      <c r="HD431" s="205"/>
      <c r="HE431" s="205"/>
      <c r="HF431" s="205"/>
      <c r="HG431" s="205"/>
      <c r="HH431" s="205"/>
      <c r="HI431" s="205"/>
      <c r="HJ431" s="205"/>
      <c r="HK431" s="205"/>
      <c r="HL431" s="205"/>
      <c r="HM431" s="205"/>
      <c r="HN431" s="205"/>
      <c r="HO431" s="205"/>
      <c r="HP431" s="205"/>
      <c r="HQ431" s="205"/>
      <c r="HR431" s="205"/>
      <c r="HS431" s="205"/>
      <c r="HT431" s="205"/>
      <c r="HU431" s="205"/>
      <c r="HV431" s="205"/>
      <c r="HW431" s="205"/>
      <c r="HX431" s="205"/>
      <c r="HY431" s="205"/>
      <c r="HZ431" s="205"/>
      <c r="IA431" s="205"/>
      <c r="IB431" s="205"/>
      <c r="IC431" s="205"/>
      <c r="ID431" s="205"/>
      <c r="IE431" s="205"/>
      <c r="IF431" s="205"/>
      <c r="IG431" s="205"/>
      <c r="IH431" s="205"/>
      <c r="II431" s="205"/>
      <c r="IJ431" s="205"/>
      <c r="IK431" s="205"/>
      <c r="IL431" s="205"/>
      <c r="IM431" s="205"/>
      <c r="IN431" s="205"/>
      <c r="IO431" s="205"/>
      <c r="IP431" s="205"/>
      <c r="IQ431" s="205"/>
      <c r="IR431" s="205"/>
      <c r="IS431" s="205"/>
      <c r="IT431" s="205"/>
      <c r="IU431" s="205"/>
      <c r="IV431" s="205"/>
      <c r="IW431" s="205"/>
      <c r="IX431" s="205"/>
    </row>
    <row r="432" spans="1:258" s="203" customFormat="1" x14ac:dyDescent="0.2">
      <c r="A432" s="669"/>
      <c r="B432" s="670"/>
      <c r="C432" s="1390"/>
      <c r="D432" s="672"/>
      <c r="E432" s="1391"/>
      <c r="F432" s="1391"/>
      <c r="G432" s="1392" t="str">
        <f t="shared" ref="G432:G435" si="169">G412</f>
        <v>J2</v>
      </c>
      <c r="H432" s="1393">
        <v>1.1499999999999999</v>
      </c>
      <c r="I432" s="1394" t="s">
        <v>424</v>
      </c>
      <c r="J432" s="1394">
        <v>0.6</v>
      </c>
      <c r="K432" s="1394" t="s">
        <v>424</v>
      </c>
      <c r="L432" s="1394">
        <v>2</v>
      </c>
      <c r="M432" s="1394" t="s">
        <v>424</v>
      </c>
      <c r="N432" s="1394">
        <f>J412</f>
        <v>3</v>
      </c>
      <c r="O432" s="1394"/>
      <c r="P432" s="1394"/>
      <c r="Q432" s="1394" t="s">
        <v>696</v>
      </c>
      <c r="R432" s="1395">
        <f>H432*J432*L432*N432</f>
        <v>4.1399999999999997</v>
      </c>
      <c r="S432" s="1396"/>
      <c r="T432" s="1397"/>
      <c r="U432" s="205"/>
      <c r="V432" s="685"/>
      <c r="W432" s="205"/>
      <c r="X432" s="205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05"/>
      <c r="BN432" s="205"/>
      <c r="BO432" s="205"/>
      <c r="BP432" s="205"/>
      <c r="BQ432" s="205"/>
      <c r="BR432" s="205"/>
      <c r="BS432" s="205"/>
      <c r="BT432" s="205"/>
      <c r="BU432" s="205"/>
      <c r="BV432" s="205"/>
      <c r="BW432" s="205"/>
      <c r="BX432" s="205"/>
      <c r="BY432" s="205"/>
      <c r="BZ432" s="205"/>
      <c r="CA432" s="205"/>
      <c r="CB432" s="205"/>
      <c r="CC432" s="205"/>
      <c r="CD432" s="205"/>
      <c r="CE432" s="205"/>
      <c r="CF432" s="205"/>
      <c r="CG432" s="205"/>
      <c r="CH432" s="205"/>
      <c r="CI432" s="205"/>
      <c r="CJ432" s="205"/>
      <c r="CK432" s="205"/>
      <c r="CL432" s="205"/>
      <c r="CM432" s="205"/>
      <c r="CN432" s="205"/>
      <c r="CO432" s="205"/>
      <c r="CP432" s="205"/>
      <c r="CQ432" s="205"/>
      <c r="CR432" s="205"/>
      <c r="CS432" s="205"/>
      <c r="CT432" s="205"/>
      <c r="CU432" s="205"/>
      <c r="CV432" s="205"/>
      <c r="CW432" s="205"/>
      <c r="CX432" s="205"/>
      <c r="CY432" s="205"/>
      <c r="CZ432" s="205"/>
      <c r="DA432" s="205"/>
      <c r="DB432" s="205"/>
      <c r="DC432" s="205"/>
      <c r="DD432" s="205"/>
      <c r="DE432" s="205"/>
      <c r="DF432" s="205"/>
      <c r="DG432" s="205"/>
      <c r="DH432" s="205"/>
      <c r="DI432" s="205"/>
      <c r="DJ432" s="205"/>
      <c r="DK432" s="205"/>
      <c r="DL432" s="205"/>
      <c r="DM432" s="205"/>
      <c r="DN432" s="205"/>
      <c r="DO432" s="205"/>
      <c r="DP432" s="205"/>
      <c r="DQ432" s="205"/>
      <c r="DR432" s="205"/>
      <c r="DS432" s="205"/>
      <c r="DT432" s="205"/>
      <c r="DU432" s="205"/>
      <c r="DV432" s="205"/>
      <c r="DW432" s="205"/>
      <c r="DX432" s="205"/>
      <c r="DY432" s="205"/>
      <c r="DZ432" s="205"/>
      <c r="EA432" s="205"/>
      <c r="EB432" s="205"/>
      <c r="EC432" s="205"/>
      <c r="ED432" s="205"/>
      <c r="EE432" s="205"/>
      <c r="EF432" s="205"/>
      <c r="EG432" s="205"/>
      <c r="EH432" s="205"/>
      <c r="EI432" s="205"/>
      <c r="EJ432" s="205"/>
      <c r="EK432" s="205"/>
      <c r="EL432" s="205"/>
      <c r="EM432" s="205"/>
      <c r="EN432" s="205"/>
      <c r="EO432" s="205"/>
      <c r="EP432" s="205"/>
      <c r="EQ432" s="205"/>
      <c r="ER432" s="205"/>
      <c r="ES432" s="205"/>
      <c r="ET432" s="205"/>
      <c r="EU432" s="205"/>
      <c r="EV432" s="205"/>
      <c r="EW432" s="205"/>
      <c r="EX432" s="205"/>
      <c r="EY432" s="205"/>
      <c r="EZ432" s="205"/>
      <c r="FA432" s="205"/>
      <c r="FB432" s="205"/>
      <c r="FC432" s="205"/>
      <c r="FD432" s="205"/>
      <c r="FE432" s="205"/>
      <c r="FF432" s="205"/>
      <c r="FG432" s="205"/>
      <c r="FH432" s="205"/>
      <c r="FI432" s="205"/>
      <c r="FJ432" s="205"/>
      <c r="FK432" s="205"/>
      <c r="FL432" s="205"/>
      <c r="FM432" s="205"/>
      <c r="FN432" s="205"/>
      <c r="FO432" s="205"/>
      <c r="FP432" s="205"/>
      <c r="FQ432" s="205"/>
      <c r="FR432" s="205"/>
      <c r="FS432" s="205"/>
      <c r="FT432" s="205"/>
      <c r="FU432" s="205"/>
      <c r="FV432" s="205"/>
      <c r="FW432" s="205"/>
      <c r="FX432" s="205"/>
      <c r="FY432" s="205"/>
      <c r="FZ432" s="205"/>
      <c r="GA432" s="205"/>
      <c r="GB432" s="205"/>
      <c r="GC432" s="205"/>
      <c r="GD432" s="205"/>
      <c r="GE432" s="205"/>
      <c r="GF432" s="205"/>
      <c r="GG432" s="205"/>
      <c r="GH432" s="205"/>
      <c r="GI432" s="205"/>
      <c r="GJ432" s="205"/>
      <c r="GK432" s="205"/>
      <c r="GL432" s="205"/>
      <c r="GM432" s="205"/>
      <c r="GN432" s="205"/>
      <c r="GO432" s="205"/>
      <c r="GP432" s="205"/>
      <c r="GQ432" s="205"/>
      <c r="GR432" s="205"/>
      <c r="GS432" s="205"/>
      <c r="GT432" s="205"/>
      <c r="GU432" s="205"/>
      <c r="GV432" s="205"/>
      <c r="GW432" s="205"/>
      <c r="GX432" s="205"/>
      <c r="GY432" s="205"/>
      <c r="GZ432" s="205"/>
      <c r="HA432" s="205"/>
      <c r="HB432" s="205"/>
      <c r="HC432" s="205"/>
      <c r="HD432" s="205"/>
      <c r="HE432" s="205"/>
      <c r="HF432" s="205"/>
      <c r="HG432" s="205"/>
      <c r="HH432" s="205"/>
      <c r="HI432" s="205"/>
      <c r="HJ432" s="205"/>
      <c r="HK432" s="205"/>
      <c r="HL432" s="205"/>
      <c r="HM432" s="205"/>
      <c r="HN432" s="205"/>
      <c r="HO432" s="205"/>
      <c r="HP432" s="205"/>
      <c r="HQ432" s="205"/>
      <c r="HR432" s="205"/>
      <c r="HS432" s="205"/>
      <c r="HT432" s="205"/>
      <c r="HU432" s="205"/>
      <c r="HV432" s="205"/>
      <c r="HW432" s="205"/>
      <c r="HX432" s="205"/>
      <c r="HY432" s="205"/>
      <c r="HZ432" s="205"/>
      <c r="IA432" s="205"/>
      <c r="IB432" s="205"/>
      <c r="IC432" s="205"/>
      <c r="ID432" s="205"/>
      <c r="IE432" s="205"/>
      <c r="IF432" s="205"/>
      <c r="IG432" s="205"/>
      <c r="IH432" s="205"/>
      <c r="II432" s="205"/>
      <c r="IJ432" s="205"/>
      <c r="IK432" s="205"/>
      <c r="IL432" s="205"/>
      <c r="IM432" s="205"/>
      <c r="IN432" s="205"/>
      <c r="IO432" s="205"/>
      <c r="IP432" s="205"/>
      <c r="IQ432" s="205"/>
      <c r="IR432" s="205"/>
      <c r="IS432" s="205"/>
      <c r="IT432" s="205"/>
      <c r="IU432" s="205"/>
      <c r="IV432" s="205"/>
      <c r="IW432" s="205"/>
      <c r="IX432" s="205"/>
    </row>
    <row r="433" spans="1:258" s="203" customFormat="1" x14ac:dyDescent="0.2">
      <c r="A433" s="669"/>
      <c r="B433" s="670"/>
      <c r="C433" s="1390"/>
      <c r="D433" s="672"/>
      <c r="E433" s="1391"/>
      <c r="F433" s="1391"/>
      <c r="G433" s="1392" t="str">
        <f t="shared" si="169"/>
        <v>J3</v>
      </c>
      <c r="H433" s="1393">
        <v>1.1499999999999999</v>
      </c>
      <c r="I433" s="1394" t="s">
        <v>424</v>
      </c>
      <c r="J433" s="1394">
        <v>0.6</v>
      </c>
      <c r="K433" s="1394" t="s">
        <v>424</v>
      </c>
      <c r="L433" s="1394">
        <v>1</v>
      </c>
      <c r="M433" s="1394" t="s">
        <v>424</v>
      </c>
      <c r="N433" s="1394">
        <f>J413</f>
        <v>12</v>
      </c>
      <c r="O433" s="1394"/>
      <c r="P433" s="1394"/>
      <c r="Q433" s="1394" t="s">
        <v>696</v>
      </c>
      <c r="R433" s="1395">
        <f>H433*J433*L433*N433</f>
        <v>8.2799999999999994</v>
      </c>
      <c r="S433" s="1396"/>
      <c r="T433" s="1397"/>
      <c r="U433" s="205"/>
      <c r="V433" s="68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205"/>
      <c r="BN433" s="205"/>
      <c r="BO433" s="205"/>
      <c r="BP433" s="205"/>
      <c r="BQ433" s="205"/>
      <c r="BR433" s="205"/>
      <c r="BS433" s="205"/>
      <c r="BT433" s="205"/>
      <c r="BU433" s="205"/>
      <c r="BV433" s="205"/>
      <c r="BW433" s="205"/>
      <c r="BX433" s="205"/>
      <c r="BY433" s="205"/>
      <c r="BZ433" s="205"/>
      <c r="CA433" s="205"/>
      <c r="CB433" s="205"/>
      <c r="CC433" s="205"/>
      <c r="CD433" s="205"/>
      <c r="CE433" s="205"/>
      <c r="CF433" s="205"/>
      <c r="CG433" s="205"/>
      <c r="CH433" s="205"/>
      <c r="CI433" s="205"/>
      <c r="CJ433" s="205"/>
      <c r="CK433" s="205"/>
      <c r="CL433" s="205"/>
      <c r="CM433" s="205"/>
      <c r="CN433" s="205"/>
      <c r="CO433" s="205"/>
      <c r="CP433" s="205"/>
      <c r="CQ433" s="205"/>
      <c r="CR433" s="205"/>
      <c r="CS433" s="205"/>
      <c r="CT433" s="205"/>
      <c r="CU433" s="205"/>
      <c r="CV433" s="205"/>
      <c r="CW433" s="205"/>
      <c r="CX433" s="205"/>
      <c r="CY433" s="205"/>
      <c r="CZ433" s="205"/>
      <c r="DA433" s="205"/>
      <c r="DB433" s="205"/>
      <c r="DC433" s="205"/>
      <c r="DD433" s="205"/>
      <c r="DE433" s="205"/>
      <c r="DF433" s="205"/>
      <c r="DG433" s="205"/>
      <c r="DH433" s="205"/>
      <c r="DI433" s="205"/>
      <c r="DJ433" s="205"/>
      <c r="DK433" s="205"/>
      <c r="DL433" s="205"/>
      <c r="DM433" s="205"/>
      <c r="DN433" s="205"/>
      <c r="DO433" s="205"/>
      <c r="DP433" s="205"/>
      <c r="DQ433" s="205"/>
      <c r="DR433" s="205"/>
      <c r="DS433" s="205"/>
      <c r="DT433" s="205"/>
      <c r="DU433" s="205"/>
      <c r="DV433" s="205"/>
      <c r="DW433" s="205"/>
      <c r="DX433" s="205"/>
      <c r="DY433" s="205"/>
      <c r="DZ433" s="205"/>
      <c r="EA433" s="205"/>
      <c r="EB433" s="205"/>
      <c r="EC433" s="205"/>
      <c r="ED433" s="205"/>
      <c r="EE433" s="205"/>
      <c r="EF433" s="205"/>
      <c r="EG433" s="205"/>
      <c r="EH433" s="205"/>
      <c r="EI433" s="205"/>
      <c r="EJ433" s="205"/>
      <c r="EK433" s="205"/>
      <c r="EL433" s="205"/>
      <c r="EM433" s="205"/>
      <c r="EN433" s="205"/>
      <c r="EO433" s="205"/>
      <c r="EP433" s="205"/>
      <c r="EQ433" s="205"/>
      <c r="ER433" s="205"/>
      <c r="ES433" s="205"/>
      <c r="ET433" s="205"/>
      <c r="EU433" s="205"/>
      <c r="EV433" s="205"/>
      <c r="EW433" s="205"/>
      <c r="EX433" s="205"/>
      <c r="EY433" s="205"/>
      <c r="EZ433" s="205"/>
      <c r="FA433" s="205"/>
      <c r="FB433" s="205"/>
      <c r="FC433" s="205"/>
      <c r="FD433" s="205"/>
      <c r="FE433" s="205"/>
      <c r="FF433" s="205"/>
      <c r="FG433" s="205"/>
      <c r="FH433" s="205"/>
      <c r="FI433" s="205"/>
      <c r="FJ433" s="205"/>
      <c r="FK433" s="205"/>
      <c r="FL433" s="205"/>
      <c r="FM433" s="205"/>
      <c r="FN433" s="205"/>
      <c r="FO433" s="205"/>
      <c r="FP433" s="205"/>
      <c r="FQ433" s="205"/>
      <c r="FR433" s="205"/>
      <c r="FS433" s="205"/>
      <c r="FT433" s="205"/>
      <c r="FU433" s="205"/>
      <c r="FV433" s="205"/>
      <c r="FW433" s="205"/>
      <c r="FX433" s="205"/>
      <c r="FY433" s="205"/>
      <c r="FZ433" s="205"/>
      <c r="GA433" s="205"/>
      <c r="GB433" s="205"/>
      <c r="GC433" s="205"/>
      <c r="GD433" s="205"/>
      <c r="GE433" s="205"/>
      <c r="GF433" s="205"/>
      <c r="GG433" s="205"/>
      <c r="GH433" s="205"/>
      <c r="GI433" s="205"/>
      <c r="GJ433" s="205"/>
      <c r="GK433" s="205"/>
      <c r="GL433" s="205"/>
      <c r="GM433" s="205"/>
      <c r="GN433" s="205"/>
      <c r="GO433" s="205"/>
      <c r="GP433" s="205"/>
      <c r="GQ433" s="205"/>
      <c r="GR433" s="205"/>
      <c r="GS433" s="205"/>
      <c r="GT433" s="205"/>
      <c r="GU433" s="205"/>
      <c r="GV433" s="205"/>
      <c r="GW433" s="205"/>
      <c r="GX433" s="205"/>
      <c r="GY433" s="205"/>
      <c r="GZ433" s="205"/>
      <c r="HA433" s="205"/>
      <c r="HB433" s="205"/>
      <c r="HC433" s="205"/>
      <c r="HD433" s="205"/>
      <c r="HE433" s="205"/>
      <c r="HF433" s="205"/>
      <c r="HG433" s="205"/>
      <c r="HH433" s="205"/>
      <c r="HI433" s="205"/>
      <c r="HJ433" s="205"/>
      <c r="HK433" s="205"/>
      <c r="HL433" s="205"/>
      <c r="HM433" s="205"/>
      <c r="HN433" s="205"/>
      <c r="HO433" s="205"/>
      <c r="HP433" s="205"/>
      <c r="HQ433" s="205"/>
      <c r="HR433" s="205"/>
      <c r="HS433" s="205"/>
      <c r="HT433" s="205"/>
      <c r="HU433" s="205"/>
      <c r="HV433" s="205"/>
      <c r="HW433" s="205"/>
      <c r="HX433" s="205"/>
      <c r="HY433" s="205"/>
      <c r="HZ433" s="205"/>
      <c r="IA433" s="205"/>
      <c r="IB433" s="205"/>
      <c r="IC433" s="205"/>
      <c r="ID433" s="205"/>
      <c r="IE433" s="205"/>
      <c r="IF433" s="205"/>
      <c r="IG433" s="205"/>
      <c r="IH433" s="205"/>
      <c r="II433" s="205"/>
      <c r="IJ433" s="205"/>
      <c r="IK433" s="205"/>
      <c r="IL433" s="205"/>
      <c r="IM433" s="205"/>
      <c r="IN433" s="205"/>
      <c r="IO433" s="205"/>
      <c r="IP433" s="205"/>
      <c r="IQ433" s="205"/>
      <c r="IR433" s="205"/>
      <c r="IS433" s="205"/>
      <c r="IT433" s="205"/>
      <c r="IU433" s="205"/>
      <c r="IV433" s="205"/>
      <c r="IW433" s="205"/>
      <c r="IX433" s="205"/>
    </row>
    <row r="434" spans="1:258" s="203" customFormat="1" x14ac:dyDescent="0.2">
      <c r="A434" s="669"/>
      <c r="B434" s="670"/>
      <c r="C434" s="1390"/>
      <c r="D434" s="672"/>
      <c r="E434" s="1391"/>
      <c r="F434" s="1391"/>
      <c r="G434" s="1392" t="str">
        <f t="shared" si="169"/>
        <v>BV 1</v>
      </c>
      <c r="H434" s="1393">
        <v>0.55000000000000004</v>
      </c>
      <c r="I434" s="1394" t="s">
        <v>424</v>
      </c>
      <c r="J434" s="1394">
        <v>0.45</v>
      </c>
      <c r="K434" s="1394" t="s">
        <v>424</v>
      </c>
      <c r="L434" s="1394">
        <v>3</v>
      </c>
      <c r="M434" s="1394" t="s">
        <v>424</v>
      </c>
      <c r="N434" s="1394">
        <f t="shared" ref="N434:N435" si="170">J414</f>
        <v>2</v>
      </c>
      <c r="O434" s="1394"/>
      <c r="P434" s="1394"/>
      <c r="Q434" s="1394" t="s">
        <v>696</v>
      </c>
      <c r="R434" s="1395">
        <f t="shared" ref="R434:R435" si="171">H434*J434*L434*N434</f>
        <v>1.4850000000000001</v>
      </c>
      <c r="S434" s="1396"/>
      <c r="T434" s="1397"/>
      <c r="U434" s="205"/>
      <c r="V434" s="68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205"/>
      <c r="BN434" s="205"/>
      <c r="BO434" s="205"/>
      <c r="BP434" s="205"/>
      <c r="BQ434" s="205"/>
      <c r="BR434" s="205"/>
      <c r="BS434" s="205"/>
      <c r="BT434" s="205"/>
      <c r="BU434" s="205"/>
      <c r="BV434" s="205"/>
      <c r="BW434" s="205"/>
      <c r="BX434" s="205"/>
      <c r="BY434" s="205"/>
      <c r="BZ434" s="205"/>
      <c r="CA434" s="205"/>
      <c r="CB434" s="205"/>
      <c r="CC434" s="205"/>
      <c r="CD434" s="205"/>
      <c r="CE434" s="205"/>
      <c r="CF434" s="205"/>
      <c r="CG434" s="205"/>
      <c r="CH434" s="205"/>
      <c r="CI434" s="205"/>
      <c r="CJ434" s="205"/>
      <c r="CK434" s="205"/>
      <c r="CL434" s="205"/>
      <c r="CM434" s="205"/>
      <c r="CN434" s="205"/>
      <c r="CO434" s="205"/>
      <c r="CP434" s="205"/>
      <c r="CQ434" s="205"/>
      <c r="CR434" s="205"/>
      <c r="CS434" s="205"/>
      <c r="CT434" s="205"/>
      <c r="CU434" s="205"/>
      <c r="CV434" s="205"/>
      <c r="CW434" s="205"/>
      <c r="CX434" s="205"/>
      <c r="CY434" s="205"/>
      <c r="CZ434" s="205"/>
      <c r="DA434" s="205"/>
      <c r="DB434" s="205"/>
      <c r="DC434" s="205"/>
      <c r="DD434" s="205"/>
      <c r="DE434" s="205"/>
      <c r="DF434" s="205"/>
      <c r="DG434" s="205"/>
      <c r="DH434" s="205"/>
      <c r="DI434" s="205"/>
      <c r="DJ434" s="205"/>
      <c r="DK434" s="205"/>
      <c r="DL434" s="205"/>
      <c r="DM434" s="205"/>
      <c r="DN434" s="205"/>
      <c r="DO434" s="205"/>
      <c r="DP434" s="205"/>
      <c r="DQ434" s="205"/>
      <c r="DR434" s="205"/>
      <c r="DS434" s="205"/>
      <c r="DT434" s="205"/>
      <c r="DU434" s="205"/>
      <c r="DV434" s="205"/>
      <c r="DW434" s="205"/>
      <c r="DX434" s="205"/>
      <c r="DY434" s="205"/>
      <c r="DZ434" s="205"/>
      <c r="EA434" s="205"/>
      <c r="EB434" s="205"/>
      <c r="EC434" s="205"/>
      <c r="ED434" s="205"/>
      <c r="EE434" s="205"/>
      <c r="EF434" s="205"/>
      <c r="EG434" s="205"/>
      <c r="EH434" s="205"/>
      <c r="EI434" s="205"/>
      <c r="EJ434" s="205"/>
      <c r="EK434" s="205"/>
      <c r="EL434" s="205"/>
      <c r="EM434" s="205"/>
      <c r="EN434" s="205"/>
      <c r="EO434" s="205"/>
      <c r="EP434" s="205"/>
      <c r="EQ434" s="205"/>
      <c r="ER434" s="205"/>
      <c r="ES434" s="205"/>
      <c r="ET434" s="205"/>
      <c r="EU434" s="205"/>
      <c r="EV434" s="205"/>
      <c r="EW434" s="205"/>
      <c r="EX434" s="205"/>
      <c r="EY434" s="205"/>
      <c r="EZ434" s="205"/>
      <c r="FA434" s="205"/>
      <c r="FB434" s="205"/>
      <c r="FC434" s="205"/>
      <c r="FD434" s="205"/>
      <c r="FE434" s="205"/>
      <c r="FF434" s="205"/>
      <c r="FG434" s="205"/>
      <c r="FH434" s="205"/>
      <c r="FI434" s="205"/>
      <c r="FJ434" s="205"/>
      <c r="FK434" s="205"/>
      <c r="FL434" s="205"/>
      <c r="FM434" s="205"/>
      <c r="FN434" s="205"/>
      <c r="FO434" s="205"/>
      <c r="FP434" s="205"/>
      <c r="FQ434" s="205"/>
      <c r="FR434" s="205"/>
      <c r="FS434" s="205"/>
      <c r="FT434" s="205"/>
      <c r="FU434" s="205"/>
      <c r="FV434" s="205"/>
      <c r="FW434" s="205"/>
      <c r="FX434" s="205"/>
      <c r="FY434" s="205"/>
      <c r="FZ434" s="205"/>
      <c r="GA434" s="205"/>
      <c r="GB434" s="205"/>
      <c r="GC434" s="205"/>
      <c r="GD434" s="205"/>
      <c r="GE434" s="205"/>
      <c r="GF434" s="205"/>
      <c r="GG434" s="205"/>
      <c r="GH434" s="205"/>
      <c r="GI434" s="205"/>
      <c r="GJ434" s="205"/>
      <c r="GK434" s="205"/>
      <c r="GL434" s="205"/>
      <c r="GM434" s="205"/>
      <c r="GN434" s="205"/>
      <c r="GO434" s="205"/>
      <c r="GP434" s="205"/>
      <c r="GQ434" s="205"/>
      <c r="GR434" s="205"/>
      <c r="GS434" s="205"/>
      <c r="GT434" s="205"/>
      <c r="GU434" s="205"/>
      <c r="GV434" s="205"/>
      <c r="GW434" s="205"/>
      <c r="GX434" s="205"/>
      <c r="GY434" s="205"/>
      <c r="GZ434" s="205"/>
      <c r="HA434" s="205"/>
      <c r="HB434" s="205"/>
      <c r="HC434" s="205"/>
      <c r="HD434" s="205"/>
      <c r="HE434" s="205"/>
      <c r="HF434" s="205"/>
      <c r="HG434" s="205"/>
      <c r="HH434" s="205"/>
      <c r="HI434" s="205"/>
      <c r="HJ434" s="205"/>
      <c r="HK434" s="205"/>
      <c r="HL434" s="205"/>
      <c r="HM434" s="205"/>
      <c r="HN434" s="205"/>
      <c r="HO434" s="205"/>
      <c r="HP434" s="205"/>
      <c r="HQ434" s="205"/>
      <c r="HR434" s="205"/>
      <c r="HS434" s="205"/>
      <c r="HT434" s="205"/>
      <c r="HU434" s="205"/>
      <c r="HV434" s="205"/>
      <c r="HW434" s="205"/>
      <c r="HX434" s="205"/>
      <c r="HY434" s="205"/>
      <c r="HZ434" s="205"/>
      <c r="IA434" s="205"/>
      <c r="IB434" s="205"/>
      <c r="IC434" s="205"/>
      <c r="ID434" s="205"/>
      <c r="IE434" s="205"/>
      <c r="IF434" s="205"/>
      <c r="IG434" s="205"/>
      <c r="IH434" s="205"/>
      <c r="II434" s="205"/>
      <c r="IJ434" s="205"/>
      <c r="IK434" s="205"/>
      <c r="IL434" s="205"/>
      <c r="IM434" s="205"/>
      <c r="IN434" s="205"/>
      <c r="IO434" s="205"/>
      <c r="IP434" s="205"/>
      <c r="IQ434" s="205"/>
      <c r="IR434" s="205"/>
      <c r="IS434" s="205"/>
      <c r="IT434" s="205"/>
      <c r="IU434" s="205"/>
      <c r="IV434" s="205"/>
      <c r="IW434" s="205"/>
      <c r="IX434" s="205"/>
    </row>
    <row r="435" spans="1:258" s="203" customFormat="1" x14ac:dyDescent="0.2">
      <c r="A435" s="669"/>
      <c r="B435" s="670"/>
      <c r="C435" s="1390"/>
      <c r="D435" s="672"/>
      <c r="E435" s="1391"/>
      <c r="F435" s="1391"/>
      <c r="G435" s="1392" t="str">
        <f t="shared" si="169"/>
        <v>BV 2</v>
      </c>
      <c r="H435" s="1393">
        <v>0.55000000000000004</v>
      </c>
      <c r="I435" s="1394" t="s">
        <v>424</v>
      </c>
      <c r="J435" s="1394">
        <v>0.45</v>
      </c>
      <c r="K435" s="1394" t="s">
        <v>424</v>
      </c>
      <c r="L435" s="1394">
        <v>3</v>
      </c>
      <c r="M435" s="1394" t="s">
        <v>424</v>
      </c>
      <c r="N435" s="1394">
        <f t="shared" si="170"/>
        <v>10</v>
      </c>
      <c r="O435" s="1394"/>
      <c r="P435" s="1394"/>
      <c r="Q435" s="1394" t="s">
        <v>696</v>
      </c>
      <c r="R435" s="1395">
        <f t="shared" si="171"/>
        <v>7.4250000000000007</v>
      </c>
      <c r="S435" s="1396"/>
      <c r="T435" s="1397"/>
      <c r="U435" s="205"/>
      <c r="V435" s="685"/>
      <c r="W435" s="205"/>
      <c r="X435" s="205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205"/>
      <c r="BN435" s="205"/>
      <c r="BO435" s="205"/>
      <c r="BP435" s="205"/>
      <c r="BQ435" s="205"/>
      <c r="BR435" s="205"/>
      <c r="BS435" s="205"/>
      <c r="BT435" s="205"/>
      <c r="BU435" s="205"/>
      <c r="BV435" s="205"/>
      <c r="BW435" s="205"/>
      <c r="BX435" s="205"/>
      <c r="BY435" s="205"/>
      <c r="BZ435" s="205"/>
      <c r="CA435" s="205"/>
      <c r="CB435" s="205"/>
      <c r="CC435" s="205"/>
      <c r="CD435" s="205"/>
      <c r="CE435" s="205"/>
      <c r="CF435" s="205"/>
      <c r="CG435" s="205"/>
      <c r="CH435" s="205"/>
      <c r="CI435" s="205"/>
      <c r="CJ435" s="205"/>
      <c r="CK435" s="205"/>
      <c r="CL435" s="205"/>
      <c r="CM435" s="205"/>
      <c r="CN435" s="205"/>
      <c r="CO435" s="205"/>
      <c r="CP435" s="205"/>
      <c r="CQ435" s="205"/>
      <c r="CR435" s="205"/>
      <c r="CS435" s="205"/>
      <c r="CT435" s="205"/>
      <c r="CU435" s="205"/>
      <c r="CV435" s="205"/>
      <c r="CW435" s="205"/>
      <c r="CX435" s="205"/>
      <c r="CY435" s="205"/>
      <c r="CZ435" s="205"/>
      <c r="DA435" s="205"/>
      <c r="DB435" s="205"/>
      <c r="DC435" s="205"/>
      <c r="DD435" s="205"/>
      <c r="DE435" s="205"/>
      <c r="DF435" s="205"/>
      <c r="DG435" s="205"/>
      <c r="DH435" s="205"/>
      <c r="DI435" s="205"/>
      <c r="DJ435" s="205"/>
      <c r="DK435" s="205"/>
      <c r="DL435" s="205"/>
      <c r="DM435" s="205"/>
      <c r="DN435" s="205"/>
      <c r="DO435" s="205"/>
      <c r="DP435" s="205"/>
      <c r="DQ435" s="205"/>
      <c r="DR435" s="205"/>
      <c r="DS435" s="205"/>
      <c r="DT435" s="205"/>
      <c r="DU435" s="205"/>
      <c r="DV435" s="205"/>
      <c r="DW435" s="205"/>
      <c r="DX435" s="205"/>
      <c r="DY435" s="205"/>
      <c r="DZ435" s="205"/>
      <c r="EA435" s="205"/>
      <c r="EB435" s="205"/>
      <c r="EC435" s="205"/>
      <c r="ED435" s="205"/>
      <c r="EE435" s="205"/>
      <c r="EF435" s="205"/>
      <c r="EG435" s="205"/>
      <c r="EH435" s="205"/>
      <c r="EI435" s="205"/>
      <c r="EJ435" s="205"/>
      <c r="EK435" s="205"/>
      <c r="EL435" s="205"/>
      <c r="EM435" s="205"/>
      <c r="EN435" s="205"/>
      <c r="EO435" s="205"/>
      <c r="EP435" s="205"/>
      <c r="EQ435" s="205"/>
      <c r="ER435" s="205"/>
      <c r="ES435" s="205"/>
      <c r="ET435" s="205"/>
      <c r="EU435" s="205"/>
      <c r="EV435" s="205"/>
      <c r="EW435" s="205"/>
      <c r="EX435" s="205"/>
      <c r="EY435" s="205"/>
      <c r="EZ435" s="205"/>
      <c r="FA435" s="205"/>
      <c r="FB435" s="205"/>
      <c r="FC435" s="205"/>
      <c r="FD435" s="205"/>
      <c r="FE435" s="205"/>
      <c r="FF435" s="205"/>
      <c r="FG435" s="205"/>
      <c r="FH435" s="205"/>
      <c r="FI435" s="205"/>
      <c r="FJ435" s="205"/>
      <c r="FK435" s="205"/>
      <c r="FL435" s="205"/>
      <c r="FM435" s="205"/>
      <c r="FN435" s="205"/>
      <c r="FO435" s="205"/>
      <c r="FP435" s="205"/>
      <c r="FQ435" s="205"/>
      <c r="FR435" s="205"/>
      <c r="FS435" s="205"/>
      <c r="FT435" s="205"/>
      <c r="FU435" s="205"/>
      <c r="FV435" s="205"/>
      <c r="FW435" s="205"/>
      <c r="FX435" s="205"/>
      <c r="FY435" s="205"/>
      <c r="FZ435" s="205"/>
      <c r="GA435" s="205"/>
      <c r="GB435" s="205"/>
      <c r="GC435" s="205"/>
      <c r="GD435" s="205"/>
      <c r="GE435" s="205"/>
      <c r="GF435" s="205"/>
      <c r="GG435" s="205"/>
      <c r="GH435" s="205"/>
      <c r="GI435" s="205"/>
      <c r="GJ435" s="205"/>
      <c r="GK435" s="205"/>
      <c r="GL435" s="205"/>
      <c r="GM435" s="205"/>
      <c r="GN435" s="205"/>
      <c r="GO435" s="205"/>
      <c r="GP435" s="205"/>
      <c r="GQ435" s="205"/>
      <c r="GR435" s="205"/>
      <c r="GS435" s="205"/>
      <c r="GT435" s="205"/>
      <c r="GU435" s="205"/>
      <c r="GV435" s="205"/>
      <c r="GW435" s="205"/>
      <c r="GX435" s="205"/>
      <c r="GY435" s="205"/>
      <c r="GZ435" s="205"/>
      <c r="HA435" s="205"/>
      <c r="HB435" s="205"/>
      <c r="HC435" s="205"/>
      <c r="HD435" s="205"/>
      <c r="HE435" s="205"/>
      <c r="HF435" s="205"/>
      <c r="HG435" s="205"/>
      <c r="HH435" s="205"/>
      <c r="HI435" s="205"/>
      <c r="HJ435" s="205"/>
      <c r="HK435" s="205"/>
      <c r="HL435" s="205"/>
      <c r="HM435" s="205"/>
      <c r="HN435" s="205"/>
      <c r="HO435" s="205"/>
      <c r="HP435" s="205"/>
      <c r="HQ435" s="205"/>
      <c r="HR435" s="205"/>
      <c r="HS435" s="205"/>
      <c r="HT435" s="205"/>
      <c r="HU435" s="205"/>
      <c r="HV435" s="205"/>
      <c r="HW435" s="205"/>
      <c r="HX435" s="205"/>
      <c r="HY435" s="205"/>
      <c r="HZ435" s="205"/>
      <c r="IA435" s="205"/>
      <c r="IB435" s="205"/>
      <c r="IC435" s="205"/>
      <c r="ID435" s="205"/>
      <c r="IE435" s="205"/>
      <c r="IF435" s="205"/>
      <c r="IG435" s="205"/>
      <c r="IH435" s="205"/>
      <c r="II435" s="205"/>
      <c r="IJ435" s="205"/>
      <c r="IK435" s="205"/>
      <c r="IL435" s="205"/>
      <c r="IM435" s="205"/>
      <c r="IN435" s="205"/>
      <c r="IO435" s="205"/>
      <c r="IP435" s="205"/>
      <c r="IQ435" s="205"/>
      <c r="IR435" s="205"/>
      <c r="IS435" s="205"/>
      <c r="IT435" s="205"/>
      <c r="IU435" s="205"/>
      <c r="IV435" s="205"/>
      <c r="IW435" s="205"/>
      <c r="IX435" s="205"/>
    </row>
    <row r="436" spans="1:258" s="203" customFormat="1" x14ac:dyDescent="0.2">
      <c r="A436" s="669"/>
      <c r="B436" s="670"/>
      <c r="C436" s="1390"/>
      <c r="D436" s="672"/>
      <c r="E436" s="1391"/>
      <c r="F436" s="1391"/>
      <c r="G436" s="1392"/>
      <c r="H436" s="1393"/>
      <c r="I436" s="1394"/>
      <c r="J436" s="1394"/>
      <c r="K436" s="1394"/>
      <c r="L436" s="1394"/>
      <c r="M436" s="1394"/>
      <c r="N436" s="1394"/>
      <c r="O436" s="1394"/>
      <c r="P436" s="1394"/>
      <c r="Q436" s="1394"/>
      <c r="R436" s="1395">
        <f>SUM(R431:R435)</f>
        <v>23.227499999999999</v>
      </c>
      <c r="S436" s="1396">
        <f>R436</f>
        <v>23.227499999999999</v>
      </c>
      <c r="T436" s="1397" t="s">
        <v>338</v>
      </c>
      <c r="U436" s="205"/>
      <c r="V436" s="685"/>
      <c r="W436" s="205"/>
      <c r="X436" s="205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205"/>
      <c r="BN436" s="205"/>
      <c r="BO436" s="205"/>
      <c r="BP436" s="205"/>
      <c r="BQ436" s="205"/>
      <c r="BR436" s="205"/>
      <c r="BS436" s="205"/>
      <c r="BT436" s="205"/>
      <c r="BU436" s="205"/>
      <c r="BV436" s="205"/>
      <c r="BW436" s="205"/>
      <c r="BX436" s="205"/>
      <c r="BY436" s="205"/>
      <c r="BZ436" s="205"/>
      <c r="CA436" s="205"/>
      <c r="CB436" s="205"/>
      <c r="CC436" s="205"/>
      <c r="CD436" s="205"/>
      <c r="CE436" s="205"/>
      <c r="CF436" s="205"/>
      <c r="CG436" s="205"/>
      <c r="CH436" s="205"/>
      <c r="CI436" s="205"/>
      <c r="CJ436" s="205"/>
      <c r="CK436" s="205"/>
      <c r="CL436" s="205"/>
      <c r="CM436" s="205"/>
      <c r="CN436" s="205"/>
      <c r="CO436" s="205"/>
      <c r="CP436" s="205"/>
      <c r="CQ436" s="205"/>
      <c r="CR436" s="205"/>
      <c r="CS436" s="205"/>
      <c r="CT436" s="205"/>
      <c r="CU436" s="205"/>
      <c r="CV436" s="205"/>
      <c r="CW436" s="205"/>
      <c r="CX436" s="205"/>
      <c r="CY436" s="205"/>
      <c r="CZ436" s="205"/>
      <c r="DA436" s="205"/>
      <c r="DB436" s="205"/>
      <c r="DC436" s="205"/>
      <c r="DD436" s="205"/>
      <c r="DE436" s="205"/>
      <c r="DF436" s="205"/>
      <c r="DG436" s="205"/>
      <c r="DH436" s="205"/>
      <c r="DI436" s="205"/>
      <c r="DJ436" s="205"/>
      <c r="DK436" s="205"/>
      <c r="DL436" s="205"/>
      <c r="DM436" s="205"/>
      <c r="DN436" s="205"/>
      <c r="DO436" s="205"/>
      <c r="DP436" s="205"/>
      <c r="DQ436" s="205"/>
      <c r="DR436" s="205"/>
      <c r="DS436" s="205"/>
      <c r="DT436" s="205"/>
      <c r="DU436" s="205"/>
      <c r="DV436" s="205"/>
      <c r="DW436" s="205"/>
      <c r="DX436" s="205"/>
      <c r="DY436" s="205"/>
      <c r="DZ436" s="205"/>
      <c r="EA436" s="205"/>
      <c r="EB436" s="205"/>
      <c r="EC436" s="205"/>
      <c r="ED436" s="205"/>
      <c r="EE436" s="205"/>
      <c r="EF436" s="205"/>
      <c r="EG436" s="205"/>
      <c r="EH436" s="205"/>
      <c r="EI436" s="205"/>
      <c r="EJ436" s="205"/>
      <c r="EK436" s="205"/>
      <c r="EL436" s="205"/>
      <c r="EM436" s="205"/>
      <c r="EN436" s="205"/>
      <c r="EO436" s="205"/>
      <c r="EP436" s="205"/>
      <c r="EQ436" s="205"/>
      <c r="ER436" s="205"/>
      <c r="ES436" s="205"/>
      <c r="ET436" s="205"/>
      <c r="EU436" s="205"/>
      <c r="EV436" s="205"/>
      <c r="EW436" s="205"/>
      <c r="EX436" s="205"/>
      <c r="EY436" s="205"/>
      <c r="EZ436" s="205"/>
      <c r="FA436" s="205"/>
      <c r="FB436" s="205"/>
      <c r="FC436" s="205"/>
      <c r="FD436" s="205"/>
      <c r="FE436" s="205"/>
      <c r="FF436" s="205"/>
      <c r="FG436" s="205"/>
      <c r="FH436" s="205"/>
      <c r="FI436" s="205"/>
      <c r="FJ436" s="205"/>
      <c r="FK436" s="205"/>
      <c r="FL436" s="205"/>
      <c r="FM436" s="205"/>
      <c r="FN436" s="205"/>
      <c r="FO436" s="205"/>
      <c r="FP436" s="205"/>
      <c r="FQ436" s="205"/>
      <c r="FR436" s="205"/>
      <c r="FS436" s="205"/>
      <c r="FT436" s="205"/>
      <c r="FU436" s="205"/>
      <c r="FV436" s="205"/>
      <c r="FW436" s="205"/>
      <c r="FX436" s="205"/>
      <c r="FY436" s="205"/>
      <c r="FZ436" s="205"/>
      <c r="GA436" s="205"/>
      <c r="GB436" s="205"/>
      <c r="GC436" s="205"/>
      <c r="GD436" s="205"/>
      <c r="GE436" s="205"/>
      <c r="GF436" s="205"/>
      <c r="GG436" s="205"/>
      <c r="GH436" s="205"/>
      <c r="GI436" s="205"/>
      <c r="GJ436" s="205"/>
      <c r="GK436" s="205"/>
      <c r="GL436" s="205"/>
      <c r="GM436" s="205"/>
      <c r="GN436" s="205"/>
      <c r="GO436" s="205"/>
      <c r="GP436" s="205"/>
      <c r="GQ436" s="205"/>
      <c r="GR436" s="205"/>
      <c r="GS436" s="205"/>
      <c r="GT436" s="205"/>
      <c r="GU436" s="205"/>
      <c r="GV436" s="205"/>
      <c r="GW436" s="205"/>
      <c r="GX436" s="205"/>
      <c r="GY436" s="205"/>
      <c r="GZ436" s="205"/>
      <c r="HA436" s="205"/>
      <c r="HB436" s="205"/>
      <c r="HC436" s="205"/>
      <c r="HD436" s="205"/>
      <c r="HE436" s="205"/>
      <c r="HF436" s="205"/>
      <c r="HG436" s="205"/>
      <c r="HH436" s="205"/>
      <c r="HI436" s="205"/>
      <c r="HJ436" s="205"/>
      <c r="HK436" s="205"/>
      <c r="HL436" s="205"/>
      <c r="HM436" s="205"/>
      <c r="HN436" s="205"/>
      <c r="HO436" s="205"/>
      <c r="HP436" s="205"/>
      <c r="HQ436" s="205"/>
      <c r="HR436" s="205"/>
      <c r="HS436" s="205"/>
      <c r="HT436" s="205"/>
      <c r="HU436" s="205"/>
      <c r="HV436" s="205"/>
      <c r="HW436" s="205"/>
      <c r="HX436" s="205"/>
      <c r="HY436" s="205"/>
      <c r="HZ436" s="205"/>
      <c r="IA436" s="205"/>
      <c r="IB436" s="205"/>
      <c r="IC436" s="205"/>
      <c r="ID436" s="205"/>
      <c r="IE436" s="205"/>
      <c r="IF436" s="205"/>
      <c r="IG436" s="205"/>
      <c r="IH436" s="205"/>
      <c r="II436" s="205"/>
      <c r="IJ436" s="205"/>
      <c r="IK436" s="205"/>
      <c r="IL436" s="205"/>
      <c r="IM436" s="205"/>
      <c r="IN436" s="205"/>
      <c r="IO436" s="205"/>
      <c r="IP436" s="205"/>
      <c r="IQ436" s="205"/>
      <c r="IR436" s="205"/>
      <c r="IS436" s="205"/>
      <c r="IT436" s="205"/>
      <c r="IU436" s="205"/>
      <c r="IV436" s="205"/>
      <c r="IW436" s="205"/>
      <c r="IX436" s="205"/>
    </row>
    <row r="437" spans="1:258" s="203" customFormat="1" x14ac:dyDescent="0.2">
      <c r="A437" s="669"/>
      <c r="B437" s="670"/>
      <c r="C437" s="1390"/>
      <c r="D437" s="672"/>
      <c r="E437" s="1391"/>
      <c r="F437" s="1391"/>
      <c r="G437" s="1392"/>
      <c r="H437" s="1393"/>
      <c r="I437" s="1394"/>
      <c r="J437" s="1394"/>
      <c r="K437" s="1394"/>
      <c r="L437" s="1394"/>
      <c r="M437" s="1394"/>
      <c r="N437" s="1394"/>
      <c r="O437" s="1394"/>
      <c r="P437" s="1394"/>
      <c r="Q437" s="1394"/>
      <c r="R437" s="1395"/>
      <c r="S437" s="1396"/>
      <c r="T437" s="1397"/>
      <c r="U437" s="205"/>
      <c r="V437" s="68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205"/>
      <c r="BN437" s="205"/>
      <c r="BO437" s="205"/>
      <c r="BP437" s="205"/>
      <c r="BQ437" s="205"/>
      <c r="BR437" s="205"/>
      <c r="BS437" s="205"/>
      <c r="BT437" s="205"/>
      <c r="BU437" s="205"/>
      <c r="BV437" s="205"/>
      <c r="BW437" s="205"/>
      <c r="BX437" s="205"/>
      <c r="BY437" s="205"/>
      <c r="BZ437" s="205"/>
      <c r="CA437" s="205"/>
      <c r="CB437" s="205"/>
      <c r="CC437" s="205"/>
      <c r="CD437" s="205"/>
      <c r="CE437" s="205"/>
      <c r="CF437" s="205"/>
      <c r="CG437" s="205"/>
      <c r="CH437" s="205"/>
      <c r="CI437" s="205"/>
      <c r="CJ437" s="205"/>
      <c r="CK437" s="205"/>
      <c r="CL437" s="205"/>
      <c r="CM437" s="205"/>
      <c r="CN437" s="205"/>
      <c r="CO437" s="205"/>
      <c r="CP437" s="205"/>
      <c r="CQ437" s="205"/>
      <c r="CR437" s="205"/>
      <c r="CS437" s="205"/>
      <c r="CT437" s="205"/>
      <c r="CU437" s="205"/>
      <c r="CV437" s="205"/>
      <c r="CW437" s="205"/>
      <c r="CX437" s="205"/>
      <c r="CY437" s="205"/>
      <c r="CZ437" s="205"/>
      <c r="DA437" s="205"/>
      <c r="DB437" s="205"/>
      <c r="DC437" s="205"/>
      <c r="DD437" s="205"/>
      <c r="DE437" s="205"/>
      <c r="DF437" s="205"/>
      <c r="DG437" s="205"/>
      <c r="DH437" s="205"/>
      <c r="DI437" s="205"/>
      <c r="DJ437" s="205"/>
      <c r="DK437" s="205"/>
      <c r="DL437" s="205"/>
      <c r="DM437" s="205"/>
      <c r="DN437" s="205"/>
      <c r="DO437" s="205"/>
      <c r="DP437" s="205"/>
      <c r="DQ437" s="205"/>
      <c r="DR437" s="205"/>
      <c r="DS437" s="205"/>
      <c r="DT437" s="205"/>
      <c r="DU437" s="205"/>
      <c r="DV437" s="205"/>
      <c r="DW437" s="205"/>
      <c r="DX437" s="205"/>
      <c r="DY437" s="205"/>
      <c r="DZ437" s="205"/>
      <c r="EA437" s="205"/>
      <c r="EB437" s="205"/>
      <c r="EC437" s="205"/>
      <c r="ED437" s="205"/>
      <c r="EE437" s="205"/>
      <c r="EF437" s="205"/>
      <c r="EG437" s="205"/>
      <c r="EH437" s="205"/>
      <c r="EI437" s="205"/>
      <c r="EJ437" s="205"/>
      <c r="EK437" s="205"/>
      <c r="EL437" s="205"/>
      <c r="EM437" s="205"/>
      <c r="EN437" s="205"/>
      <c r="EO437" s="205"/>
      <c r="EP437" s="205"/>
      <c r="EQ437" s="205"/>
      <c r="ER437" s="205"/>
      <c r="ES437" s="205"/>
      <c r="ET437" s="205"/>
      <c r="EU437" s="205"/>
      <c r="EV437" s="205"/>
      <c r="EW437" s="205"/>
      <c r="EX437" s="205"/>
      <c r="EY437" s="205"/>
      <c r="EZ437" s="205"/>
      <c r="FA437" s="205"/>
      <c r="FB437" s="205"/>
      <c r="FC437" s="205"/>
      <c r="FD437" s="205"/>
      <c r="FE437" s="205"/>
      <c r="FF437" s="205"/>
      <c r="FG437" s="205"/>
      <c r="FH437" s="205"/>
      <c r="FI437" s="205"/>
      <c r="FJ437" s="205"/>
      <c r="FK437" s="205"/>
      <c r="FL437" s="205"/>
      <c r="FM437" s="205"/>
      <c r="FN437" s="205"/>
      <c r="FO437" s="205"/>
      <c r="FP437" s="205"/>
      <c r="FQ437" s="205"/>
      <c r="FR437" s="205"/>
      <c r="FS437" s="205"/>
      <c r="FT437" s="205"/>
      <c r="FU437" s="205"/>
      <c r="FV437" s="205"/>
      <c r="FW437" s="205"/>
      <c r="FX437" s="205"/>
      <c r="FY437" s="205"/>
      <c r="FZ437" s="205"/>
      <c r="GA437" s="205"/>
      <c r="GB437" s="205"/>
      <c r="GC437" s="205"/>
      <c r="GD437" s="205"/>
      <c r="GE437" s="205"/>
      <c r="GF437" s="205"/>
      <c r="GG437" s="205"/>
      <c r="GH437" s="205"/>
      <c r="GI437" s="205"/>
      <c r="GJ437" s="205"/>
      <c r="GK437" s="205"/>
      <c r="GL437" s="205"/>
      <c r="GM437" s="205"/>
      <c r="GN437" s="205"/>
      <c r="GO437" s="205"/>
      <c r="GP437" s="205"/>
      <c r="GQ437" s="205"/>
      <c r="GR437" s="205"/>
      <c r="GS437" s="205"/>
      <c r="GT437" s="205"/>
      <c r="GU437" s="205"/>
      <c r="GV437" s="205"/>
      <c r="GW437" s="205"/>
      <c r="GX437" s="205"/>
      <c r="GY437" s="205"/>
      <c r="GZ437" s="205"/>
      <c r="HA437" s="205"/>
      <c r="HB437" s="205"/>
      <c r="HC437" s="205"/>
      <c r="HD437" s="205"/>
      <c r="HE437" s="205"/>
      <c r="HF437" s="205"/>
      <c r="HG437" s="205"/>
      <c r="HH437" s="205"/>
      <c r="HI437" s="205"/>
      <c r="HJ437" s="205"/>
      <c r="HK437" s="205"/>
      <c r="HL437" s="205"/>
      <c r="HM437" s="205"/>
      <c r="HN437" s="205"/>
      <c r="HO437" s="205"/>
      <c r="HP437" s="205"/>
      <c r="HQ437" s="205"/>
      <c r="HR437" s="205"/>
      <c r="HS437" s="205"/>
      <c r="HT437" s="205"/>
      <c r="HU437" s="205"/>
      <c r="HV437" s="205"/>
      <c r="HW437" s="205"/>
      <c r="HX437" s="205"/>
      <c r="HY437" s="205"/>
      <c r="HZ437" s="205"/>
      <c r="IA437" s="205"/>
      <c r="IB437" s="205"/>
      <c r="IC437" s="205"/>
      <c r="ID437" s="205"/>
      <c r="IE437" s="205"/>
      <c r="IF437" s="205"/>
      <c r="IG437" s="205"/>
      <c r="IH437" s="205"/>
      <c r="II437" s="205"/>
      <c r="IJ437" s="205"/>
      <c r="IK437" s="205"/>
      <c r="IL437" s="205"/>
      <c r="IM437" s="205"/>
      <c r="IN437" s="205"/>
      <c r="IO437" s="205"/>
      <c r="IP437" s="205"/>
      <c r="IQ437" s="205"/>
      <c r="IR437" s="205"/>
      <c r="IS437" s="205"/>
      <c r="IT437" s="205"/>
      <c r="IU437" s="205"/>
      <c r="IV437" s="205"/>
      <c r="IW437" s="205"/>
      <c r="IX437" s="205"/>
    </row>
    <row r="438" spans="1:258" s="203" customFormat="1" x14ac:dyDescent="0.2">
      <c r="A438" s="669"/>
      <c r="B438" s="670">
        <f>RAB!B140</f>
        <v>7</v>
      </c>
      <c r="C438" s="686" t="e">
        <f>RAB!D140</f>
        <v>#REF!</v>
      </c>
      <c r="D438" s="672"/>
      <c r="E438" s="673"/>
      <c r="F438" s="673"/>
      <c r="G438" s="674"/>
      <c r="H438" s="675"/>
      <c r="I438" s="676"/>
      <c r="J438" s="676"/>
      <c r="K438" s="676"/>
      <c r="L438" s="676"/>
      <c r="M438" s="676"/>
      <c r="N438" s="676"/>
      <c r="O438" s="676"/>
      <c r="P438" s="676"/>
      <c r="Q438" s="676"/>
      <c r="R438" s="677"/>
      <c r="S438" s="678"/>
      <c r="T438" s="684"/>
      <c r="U438" s="205"/>
      <c r="V438" s="685"/>
      <c r="W438" s="205"/>
      <c r="X438" s="205"/>
      <c r="Y438" s="205"/>
      <c r="Z438" s="205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5"/>
      <c r="AR438" s="205"/>
      <c r="AS438" s="205"/>
      <c r="AT438" s="205"/>
      <c r="AU438" s="205"/>
      <c r="AV438" s="205"/>
      <c r="AW438" s="205"/>
      <c r="AX438" s="205"/>
      <c r="AY438" s="205"/>
      <c r="AZ438" s="205"/>
      <c r="BA438" s="205"/>
      <c r="BB438" s="205"/>
      <c r="BC438" s="205"/>
      <c r="BD438" s="205"/>
      <c r="BE438" s="205"/>
      <c r="BF438" s="205"/>
      <c r="BG438" s="205"/>
      <c r="BH438" s="205"/>
      <c r="BI438" s="205"/>
      <c r="BJ438" s="205"/>
      <c r="BK438" s="205"/>
      <c r="BL438" s="205"/>
      <c r="BM438" s="205"/>
      <c r="BN438" s="205"/>
      <c r="BO438" s="205"/>
      <c r="BP438" s="205"/>
      <c r="BQ438" s="205"/>
      <c r="BR438" s="205"/>
      <c r="BS438" s="205"/>
      <c r="BT438" s="205"/>
      <c r="BU438" s="205"/>
      <c r="BV438" s="205"/>
      <c r="BW438" s="205"/>
      <c r="BX438" s="205"/>
      <c r="BY438" s="205"/>
      <c r="BZ438" s="205"/>
      <c r="CA438" s="205"/>
      <c r="CB438" s="205"/>
      <c r="CC438" s="205"/>
      <c r="CD438" s="205"/>
      <c r="CE438" s="205"/>
      <c r="CF438" s="205"/>
      <c r="CG438" s="205"/>
      <c r="CH438" s="205"/>
      <c r="CI438" s="205"/>
      <c r="CJ438" s="205"/>
      <c r="CK438" s="205"/>
      <c r="CL438" s="205"/>
      <c r="CM438" s="205"/>
      <c r="CN438" s="205"/>
      <c r="CO438" s="205"/>
      <c r="CP438" s="205"/>
      <c r="CQ438" s="205"/>
      <c r="CR438" s="205"/>
      <c r="CS438" s="205"/>
      <c r="CT438" s="205"/>
      <c r="CU438" s="205"/>
      <c r="CV438" s="205"/>
      <c r="CW438" s="205"/>
      <c r="CX438" s="205"/>
      <c r="CY438" s="205"/>
      <c r="CZ438" s="205"/>
      <c r="DA438" s="205"/>
      <c r="DB438" s="205"/>
      <c r="DC438" s="205"/>
      <c r="DD438" s="205"/>
      <c r="DE438" s="205"/>
      <c r="DF438" s="205"/>
      <c r="DG438" s="205"/>
      <c r="DH438" s="205"/>
      <c r="DI438" s="205"/>
      <c r="DJ438" s="205"/>
      <c r="DK438" s="205"/>
      <c r="DL438" s="205"/>
      <c r="DM438" s="205"/>
      <c r="DN438" s="205"/>
      <c r="DO438" s="205"/>
      <c r="DP438" s="205"/>
      <c r="DQ438" s="205"/>
      <c r="DR438" s="205"/>
      <c r="DS438" s="205"/>
      <c r="DT438" s="205"/>
      <c r="DU438" s="205"/>
      <c r="DV438" s="205"/>
      <c r="DW438" s="205"/>
      <c r="DX438" s="205"/>
      <c r="DY438" s="205"/>
      <c r="DZ438" s="205"/>
      <c r="EA438" s="205"/>
      <c r="EB438" s="205"/>
      <c r="EC438" s="205"/>
      <c r="ED438" s="205"/>
      <c r="EE438" s="205"/>
      <c r="EF438" s="205"/>
      <c r="EG438" s="205"/>
      <c r="EH438" s="205"/>
      <c r="EI438" s="205"/>
      <c r="EJ438" s="205"/>
      <c r="EK438" s="205"/>
      <c r="EL438" s="205"/>
      <c r="EM438" s="205"/>
      <c r="EN438" s="205"/>
      <c r="EO438" s="205"/>
      <c r="EP438" s="205"/>
      <c r="EQ438" s="205"/>
      <c r="ER438" s="205"/>
      <c r="ES438" s="205"/>
      <c r="ET438" s="205"/>
      <c r="EU438" s="205"/>
      <c r="EV438" s="205"/>
      <c r="EW438" s="205"/>
      <c r="EX438" s="205"/>
      <c r="EY438" s="205"/>
      <c r="EZ438" s="205"/>
      <c r="FA438" s="205"/>
      <c r="FB438" s="205"/>
      <c r="FC438" s="205"/>
      <c r="FD438" s="205"/>
      <c r="FE438" s="205"/>
      <c r="FF438" s="205"/>
      <c r="FG438" s="205"/>
      <c r="FH438" s="205"/>
      <c r="FI438" s="205"/>
      <c r="FJ438" s="205"/>
      <c r="FK438" s="205"/>
      <c r="FL438" s="205"/>
      <c r="FM438" s="205"/>
      <c r="FN438" s="205"/>
      <c r="FO438" s="205"/>
      <c r="FP438" s="205"/>
      <c r="FQ438" s="205"/>
      <c r="FR438" s="205"/>
      <c r="FS438" s="205"/>
      <c r="FT438" s="205"/>
      <c r="FU438" s="205"/>
      <c r="FV438" s="205"/>
      <c r="FW438" s="205"/>
      <c r="FX438" s="205"/>
      <c r="FY438" s="205"/>
      <c r="FZ438" s="205"/>
      <c r="GA438" s="205"/>
      <c r="GB438" s="205"/>
      <c r="GC438" s="205"/>
      <c r="GD438" s="205"/>
      <c r="GE438" s="205"/>
      <c r="GF438" s="205"/>
      <c r="GG438" s="205"/>
      <c r="GH438" s="205"/>
      <c r="GI438" s="205"/>
      <c r="GJ438" s="205"/>
      <c r="GK438" s="205"/>
      <c r="GL438" s="205"/>
      <c r="GM438" s="205"/>
      <c r="GN438" s="205"/>
      <c r="GO438" s="205"/>
      <c r="GP438" s="205"/>
      <c r="GQ438" s="205"/>
      <c r="GR438" s="205"/>
      <c r="GS438" s="205"/>
      <c r="GT438" s="205"/>
      <c r="GU438" s="205"/>
      <c r="GV438" s="205"/>
      <c r="GW438" s="205"/>
      <c r="GX438" s="205"/>
      <c r="GY438" s="205"/>
      <c r="GZ438" s="205"/>
      <c r="HA438" s="205"/>
      <c r="HB438" s="205"/>
      <c r="HC438" s="205"/>
      <c r="HD438" s="205"/>
      <c r="HE438" s="205"/>
      <c r="HF438" s="205"/>
      <c r="HG438" s="205"/>
      <c r="HH438" s="205"/>
      <c r="HI438" s="205"/>
      <c r="HJ438" s="205"/>
      <c r="HK438" s="205"/>
      <c r="HL438" s="205"/>
      <c r="HM438" s="205"/>
      <c r="HN438" s="205"/>
      <c r="HO438" s="205"/>
      <c r="HP438" s="205"/>
      <c r="HQ438" s="205"/>
      <c r="HR438" s="205"/>
      <c r="HS438" s="205"/>
      <c r="HT438" s="205"/>
      <c r="HU438" s="205"/>
      <c r="HV438" s="205"/>
      <c r="HW438" s="205"/>
      <c r="HX438" s="205"/>
      <c r="HY438" s="205"/>
      <c r="HZ438" s="205"/>
      <c r="IA438" s="205"/>
      <c r="IB438" s="205"/>
      <c r="IC438" s="205"/>
      <c r="ID438" s="205"/>
      <c r="IE438" s="205"/>
      <c r="IF438" s="205"/>
      <c r="IG438" s="205"/>
      <c r="IH438" s="205"/>
      <c r="II438" s="205"/>
      <c r="IJ438" s="205"/>
      <c r="IK438" s="205"/>
      <c r="IL438" s="205"/>
      <c r="IM438" s="205"/>
      <c r="IN438" s="205"/>
      <c r="IO438" s="205"/>
      <c r="IP438" s="205"/>
      <c r="IQ438" s="205"/>
      <c r="IR438" s="205"/>
      <c r="IS438" s="205"/>
      <c r="IT438" s="205"/>
      <c r="IU438" s="205"/>
      <c r="IV438" s="205"/>
      <c r="IW438" s="205"/>
      <c r="IX438" s="205"/>
    </row>
    <row r="439" spans="1:258" s="203" customFormat="1" x14ac:dyDescent="0.2">
      <c r="A439" s="669"/>
      <c r="B439" s="670"/>
      <c r="C439" s="1390"/>
      <c r="D439" s="672"/>
      <c r="E439" s="1391"/>
      <c r="F439" s="1391"/>
      <c r="G439" s="1392" t="str">
        <f>G431</f>
        <v>J1</v>
      </c>
      <c r="H439" s="1393">
        <v>0.55000000000000004</v>
      </c>
      <c r="I439" s="1394" t="s">
        <v>424</v>
      </c>
      <c r="J439" s="1394">
        <v>0.55000000000000004</v>
      </c>
      <c r="K439" s="1394" t="s">
        <v>424</v>
      </c>
      <c r="L439" s="1394">
        <v>6</v>
      </c>
      <c r="M439" s="1394" t="s">
        <v>424</v>
      </c>
      <c r="N439" s="1394">
        <f>N431</f>
        <v>1</v>
      </c>
      <c r="O439" s="1394"/>
      <c r="P439" s="1394"/>
      <c r="Q439" s="1394" t="s">
        <v>696</v>
      </c>
      <c r="R439" s="1395">
        <f>H439*J439*L439*N439</f>
        <v>1.8150000000000004</v>
      </c>
      <c r="S439" s="1396">
        <f>R439</f>
        <v>1.8150000000000004</v>
      </c>
      <c r="T439" s="1397" t="s">
        <v>338</v>
      </c>
      <c r="U439" s="205"/>
      <c r="V439" s="685"/>
      <c r="W439" s="205"/>
      <c r="X439" s="205"/>
      <c r="Y439" s="205"/>
      <c r="Z439" s="205"/>
      <c r="AA439" s="205"/>
      <c r="AB439" s="205"/>
      <c r="AC439" s="205"/>
      <c r="AD439" s="205"/>
      <c r="AE439" s="205"/>
      <c r="AF439" s="205"/>
      <c r="AG439" s="205"/>
      <c r="AH439" s="205"/>
      <c r="AI439" s="205"/>
      <c r="AJ439" s="205"/>
      <c r="AK439" s="205"/>
      <c r="AL439" s="205"/>
      <c r="AM439" s="205"/>
      <c r="AN439" s="205"/>
      <c r="AO439" s="205"/>
      <c r="AP439" s="205"/>
      <c r="AQ439" s="205"/>
      <c r="AR439" s="205"/>
      <c r="AS439" s="205"/>
      <c r="AT439" s="205"/>
      <c r="AU439" s="205"/>
      <c r="AV439" s="205"/>
      <c r="AW439" s="205"/>
      <c r="AX439" s="205"/>
      <c r="AY439" s="205"/>
      <c r="AZ439" s="205"/>
      <c r="BA439" s="205"/>
      <c r="BB439" s="205"/>
      <c r="BC439" s="205"/>
      <c r="BD439" s="205"/>
      <c r="BE439" s="205"/>
      <c r="BF439" s="205"/>
      <c r="BG439" s="205"/>
      <c r="BH439" s="205"/>
      <c r="BI439" s="205"/>
      <c r="BJ439" s="205"/>
      <c r="BK439" s="205"/>
      <c r="BL439" s="205"/>
      <c r="BM439" s="205"/>
      <c r="BN439" s="205"/>
      <c r="BO439" s="205"/>
      <c r="BP439" s="205"/>
      <c r="BQ439" s="205"/>
      <c r="BR439" s="205"/>
      <c r="BS439" s="205"/>
      <c r="BT439" s="205"/>
      <c r="BU439" s="205"/>
      <c r="BV439" s="205"/>
      <c r="BW439" s="205"/>
      <c r="BX439" s="205"/>
      <c r="BY439" s="205"/>
      <c r="BZ439" s="205"/>
      <c r="CA439" s="205"/>
      <c r="CB439" s="205"/>
      <c r="CC439" s="205"/>
      <c r="CD439" s="205"/>
      <c r="CE439" s="205"/>
      <c r="CF439" s="205"/>
      <c r="CG439" s="205"/>
      <c r="CH439" s="205"/>
      <c r="CI439" s="205"/>
      <c r="CJ439" s="205"/>
      <c r="CK439" s="205"/>
      <c r="CL439" s="205"/>
      <c r="CM439" s="205"/>
      <c r="CN439" s="205"/>
      <c r="CO439" s="205"/>
      <c r="CP439" s="205"/>
      <c r="CQ439" s="205"/>
      <c r="CR439" s="205"/>
      <c r="CS439" s="205"/>
      <c r="CT439" s="205"/>
      <c r="CU439" s="205"/>
      <c r="CV439" s="205"/>
      <c r="CW439" s="205"/>
      <c r="CX439" s="205"/>
      <c r="CY439" s="205"/>
      <c r="CZ439" s="205"/>
      <c r="DA439" s="205"/>
      <c r="DB439" s="205"/>
      <c r="DC439" s="205"/>
      <c r="DD439" s="205"/>
      <c r="DE439" s="205"/>
      <c r="DF439" s="205"/>
      <c r="DG439" s="205"/>
      <c r="DH439" s="205"/>
      <c r="DI439" s="205"/>
      <c r="DJ439" s="205"/>
      <c r="DK439" s="205"/>
      <c r="DL439" s="205"/>
      <c r="DM439" s="205"/>
      <c r="DN439" s="205"/>
      <c r="DO439" s="205"/>
      <c r="DP439" s="205"/>
      <c r="DQ439" s="205"/>
      <c r="DR439" s="205"/>
      <c r="DS439" s="205"/>
      <c r="DT439" s="205"/>
      <c r="DU439" s="205"/>
      <c r="DV439" s="205"/>
      <c r="DW439" s="205"/>
      <c r="DX439" s="205"/>
      <c r="DY439" s="205"/>
      <c r="DZ439" s="205"/>
      <c r="EA439" s="205"/>
      <c r="EB439" s="205"/>
      <c r="EC439" s="205"/>
      <c r="ED439" s="205"/>
      <c r="EE439" s="205"/>
      <c r="EF439" s="205"/>
      <c r="EG439" s="205"/>
      <c r="EH439" s="205"/>
      <c r="EI439" s="205"/>
      <c r="EJ439" s="205"/>
      <c r="EK439" s="205"/>
      <c r="EL439" s="205"/>
      <c r="EM439" s="205"/>
      <c r="EN439" s="205"/>
      <c r="EO439" s="205"/>
      <c r="EP439" s="205"/>
      <c r="EQ439" s="205"/>
      <c r="ER439" s="205"/>
      <c r="ES439" s="205"/>
      <c r="ET439" s="205"/>
      <c r="EU439" s="205"/>
      <c r="EV439" s="205"/>
      <c r="EW439" s="205"/>
      <c r="EX439" s="205"/>
      <c r="EY439" s="205"/>
      <c r="EZ439" s="205"/>
      <c r="FA439" s="205"/>
      <c r="FB439" s="205"/>
      <c r="FC439" s="205"/>
      <c r="FD439" s="205"/>
      <c r="FE439" s="205"/>
      <c r="FF439" s="205"/>
      <c r="FG439" s="205"/>
      <c r="FH439" s="205"/>
      <c r="FI439" s="205"/>
      <c r="FJ439" s="205"/>
      <c r="FK439" s="205"/>
      <c r="FL439" s="205"/>
      <c r="FM439" s="205"/>
      <c r="FN439" s="205"/>
      <c r="FO439" s="205"/>
      <c r="FP439" s="205"/>
      <c r="FQ439" s="205"/>
      <c r="FR439" s="205"/>
      <c r="FS439" s="205"/>
      <c r="FT439" s="205"/>
      <c r="FU439" s="205"/>
      <c r="FV439" s="205"/>
      <c r="FW439" s="205"/>
      <c r="FX439" s="205"/>
      <c r="FY439" s="205"/>
      <c r="FZ439" s="205"/>
      <c r="GA439" s="205"/>
      <c r="GB439" s="205"/>
      <c r="GC439" s="205"/>
      <c r="GD439" s="205"/>
      <c r="GE439" s="205"/>
      <c r="GF439" s="205"/>
      <c r="GG439" s="205"/>
      <c r="GH439" s="205"/>
      <c r="GI439" s="205"/>
      <c r="GJ439" s="205"/>
      <c r="GK439" s="205"/>
      <c r="GL439" s="205"/>
      <c r="GM439" s="205"/>
      <c r="GN439" s="205"/>
      <c r="GO439" s="205"/>
      <c r="GP439" s="205"/>
      <c r="GQ439" s="205"/>
      <c r="GR439" s="205"/>
      <c r="GS439" s="205"/>
      <c r="GT439" s="205"/>
      <c r="GU439" s="205"/>
      <c r="GV439" s="205"/>
      <c r="GW439" s="205"/>
      <c r="GX439" s="205"/>
      <c r="GY439" s="205"/>
      <c r="GZ439" s="205"/>
      <c r="HA439" s="205"/>
      <c r="HB439" s="205"/>
      <c r="HC439" s="205"/>
      <c r="HD439" s="205"/>
      <c r="HE439" s="205"/>
      <c r="HF439" s="205"/>
      <c r="HG439" s="205"/>
      <c r="HH439" s="205"/>
      <c r="HI439" s="205"/>
      <c r="HJ439" s="205"/>
      <c r="HK439" s="205"/>
      <c r="HL439" s="205"/>
      <c r="HM439" s="205"/>
      <c r="HN439" s="205"/>
      <c r="HO439" s="205"/>
      <c r="HP439" s="205"/>
      <c r="HQ439" s="205"/>
      <c r="HR439" s="205"/>
      <c r="HS439" s="205"/>
      <c r="HT439" s="205"/>
      <c r="HU439" s="205"/>
      <c r="HV439" s="205"/>
      <c r="HW439" s="205"/>
      <c r="HX439" s="205"/>
      <c r="HY439" s="205"/>
      <c r="HZ439" s="205"/>
      <c r="IA439" s="205"/>
      <c r="IB439" s="205"/>
      <c r="IC439" s="205"/>
      <c r="ID439" s="205"/>
      <c r="IE439" s="205"/>
      <c r="IF439" s="205"/>
      <c r="IG439" s="205"/>
      <c r="IH439" s="205"/>
      <c r="II439" s="205"/>
      <c r="IJ439" s="205"/>
      <c r="IK439" s="205"/>
      <c r="IL439" s="205"/>
      <c r="IM439" s="205"/>
      <c r="IN439" s="205"/>
      <c r="IO439" s="205"/>
      <c r="IP439" s="205"/>
      <c r="IQ439" s="205"/>
      <c r="IR439" s="205"/>
      <c r="IS439" s="205"/>
      <c r="IT439" s="205"/>
      <c r="IU439" s="205"/>
      <c r="IV439" s="205"/>
      <c r="IW439" s="205"/>
      <c r="IX439" s="205"/>
    </row>
    <row r="440" spans="1:258" s="203" customFormat="1" x14ac:dyDescent="0.2">
      <c r="A440" s="669"/>
      <c r="B440" s="670"/>
      <c r="C440" s="686"/>
      <c r="D440" s="672"/>
      <c r="E440" s="673"/>
      <c r="F440" s="673"/>
      <c r="G440" s="674"/>
      <c r="H440" s="675"/>
      <c r="I440" s="676"/>
      <c r="J440" s="676"/>
      <c r="K440" s="676"/>
      <c r="L440" s="676"/>
      <c r="M440" s="676"/>
      <c r="N440" s="676"/>
      <c r="O440" s="676"/>
      <c r="P440" s="676"/>
      <c r="Q440" s="676"/>
      <c r="R440" s="677"/>
      <c r="S440" s="678"/>
      <c r="T440" s="684"/>
      <c r="U440" s="205"/>
      <c r="V440" s="685"/>
      <c r="W440" s="205"/>
      <c r="X440" s="205"/>
      <c r="Y440" s="205"/>
      <c r="Z440" s="205"/>
      <c r="AA440" s="205"/>
      <c r="AB440" s="205"/>
      <c r="AC440" s="205"/>
      <c r="AD440" s="205"/>
      <c r="AE440" s="205"/>
      <c r="AF440" s="205"/>
      <c r="AG440" s="205"/>
      <c r="AH440" s="205"/>
      <c r="AI440" s="205"/>
      <c r="AJ440" s="205"/>
      <c r="AK440" s="205"/>
      <c r="AL440" s="205"/>
      <c r="AM440" s="205"/>
      <c r="AN440" s="205"/>
      <c r="AO440" s="205"/>
      <c r="AP440" s="205"/>
      <c r="AQ440" s="205"/>
      <c r="AR440" s="205"/>
      <c r="AS440" s="205"/>
      <c r="AT440" s="205"/>
      <c r="AU440" s="205"/>
      <c r="AV440" s="205"/>
      <c r="AW440" s="205"/>
      <c r="AX440" s="205"/>
      <c r="AY440" s="205"/>
      <c r="AZ440" s="205"/>
      <c r="BA440" s="205"/>
      <c r="BB440" s="205"/>
      <c r="BC440" s="205"/>
      <c r="BD440" s="205"/>
      <c r="BE440" s="205"/>
      <c r="BF440" s="205"/>
      <c r="BG440" s="205"/>
      <c r="BH440" s="205"/>
      <c r="BI440" s="205"/>
      <c r="BJ440" s="205"/>
      <c r="BK440" s="205"/>
      <c r="BL440" s="205"/>
      <c r="BM440" s="205"/>
      <c r="BN440" s="205"/>
      <c r="BO440" s="205"/>
      <c r="BP440" s="205"/>
      <c r="BQ440" s="205"/>
      <c r="BR440" s="205"/>
      <c r="BS440" s="205"/>
      <c r="BT440" s="205"/>
      <c r="BU440" s="205"/>
      <c r="BV440" s="205"/>
      <c r="BW440" s="205"/>
      <c r="BX440" s="205"/>
      <c r="BY440" s="205"/>
      <c r="BZ440" s="205"/>
      <c r="CA440" s="205"/>
      <c r="CB440" s="205"/>
      <c r="CC440" s="205"/>
      <c r="CD440" s="205"/>
      <c r="CE440" s="205"/>
      <c r="CF440" s="205"/>
      <c r="CG440" s="205"/>
      <c r="CH440" s="205"/>
      <c r="CI440" s="205"/>
      <c r="CJ440" s="205"/>
      <c r="CK440" s="205"/>
      <c r="CL440" s="205"/>
      <c r="CM440" s="205"/>
      <c r="CN440" s="205"/>
      <c r="CO440" s="205"/>
      <c r="CP440" s="205"/>
      <c r="CQ440" s="205"/>
      <c r="CR440" s="205"/>
      <c r="CS440" s="205"/>
      <c r="CT440" s="205"/>
      <c r="CU440" s="205"/>
      <c r="CV440" s="205"/>
      <c r="CW440" s="205"/>
      <c r="CX440" s="205"/>
      <c r="CY440" s="205"/>
      <c r="CZ440" s="205"/>
      <c r="DA440" s="205"/>
      <c r="DB440" s="205"/>
      <c r="DC440" s="205"/>
      <c r="DD440" s="205"/>
      <c r="DE440" s="205"/>
      <c r="DF440" s="205"/>
      <c r="DG440" s="205"/>
      <c r="DH440" s="205"/>
      <c r="DI440" s="205"/>
      <c r="DJ440" s="205"/>
      <c r="DK440" s="205"/>
      <c r="DL440" s="205"/>
      <c r="DM440" s="205"/>
      <c r="DN440" s="205"/>
      <c r="DO440" s="205"/>
      <c r="DP440" s="205"/>
      <c r="DQ440" s="205"/>
      <c r="DR440" s="205"/>
      <c r="DS440" s="205"/>
      <c r="DT440" s="205"/>
      <c r="DU440" s="205"/>
      <c r="DV440" s="205"/>
      <c r="DW440" s="205"/>
      <c r="DX440" s="205"/>
      <c r="DY440" s="205"/>
      <c r="DZ440" s="205"/>
      <c r="EA440" s="205"/>
      <c r="EB440" s="205"/>
      <c r="EC440" s="205"/>
      <c r="ED440" s="205"/>
      <c r="EE440" s="205"/>
      <c r="EF440" s="205"/>
      <c r="EG440" s="205"/>
      <c r="EH440" s="205"/>
      <c r="EI440" s="205"/>
      <c r="EJ440" s="205"/>
      <c r="EK440" s="205"/>
      <c r="EL440" s="205"/>
      <c r="EM440" s="205"/>
      <c r="EN440" s="205"/>
      <c r="EO440" s="205"/>
      <c r="EP440" s="205"/>
      <c r="EQ440" s="205"/>
      <c r="ER440" s="205"/>
      <c r="ES440" s="205"/>
      <c r="ET440" s="205"/>
      <c r="EU440" s="205"/>
      <c r="EV440" s="205"/>
      <c r="EW440" s="205"/>
      <c r="EX440" s="205"/>
      <c r="EY440" s="205"/>
      <c r="EZ440" s="205"/>
      <c r="FA440" s="205"/>
      <c r="FB440" s="205"/>
      <c r="FC440" s="205"/>
      <c r="FD440" s="205"/>
      <c r="FE440" s="205"/>
      <c r="FF440" s="205"/>
      <c r="FG440" s="205"/>
      <c r="FH440" s="205"/>
      <c r="FI440" s="205"/>
      <c r="FJ440" s="205"/>
      <c r="FK440" s="205"/>
      <c r="FL440" s="205"/>
      <c r="FM440" s="205"/>
      <c r="FN440" s="205"/>
      <c r="FO440" s="205"/>
      <c r="FP440" s="205"/>
      <c r="FQ440" s="205"/>
      <c r="FR440" s="205"/>
      <c r="FS440" s="205"/>
      <c r="FT440" s="205"/>
      <c r="FU440" s="205"/>
      <c r="FV440" s="205"/>
      <c r="FW440" s="205"/>
      <c r="FX440" s="205"/>
      <c r="FY440" s="205"/>
      <c r="FZ440" s="205"/>
      <c r="GA440" s="205"/>
      <c r="GB440" s="205"/>
      <c r="GC440" s="205"/>
      <c r="GD440" s="205"/>
      <c r="GE440" s="205"/>
      <c r="GF440" s="205"/>
      <c r="GG440" s="205"/>
      <c r="GH440" s="205"/>
      <c r="GI440" s="205"/>
      <c r="GJ440" s="205"/>
      <c r="GK440" s="205"/>
      <c r="GL440" s="205"/>
      <c r="GM440" s="205"/>
      <c r="GN440" s="205"/>
      <c r="GO440" s="205"/>
      <c r="GP440" s="205"/>
      <c r="GQ440" s="205"/>
      <c r="GR440" s="205"/>
      <c r="GS440" s="205"/>
      <c r="GT440" s="205"/>
      <c r="GU440" s="205"/>
      <c r="GV440" s="205"/>
      <c r="GW440" s="205"/>
      <c r="GX440" s="205"/>
      <c r="GY440" s="205"/>
      <c r="GZ440" s="205"/>
      <c r="HA440" s="205"/>
      <c r="HB440" s="205"/>
      <c r="HC440" s="205"/>
      <c r="HD440" s="205"/>
      <c r="HE440" s="205"/>
      <c r="HF440" s="205"/>
      <c r="HG440" s="205"/>
      <c r="HH440" s="205"/>
      <c r="HI440" s="205"/>
      <c r="HJ440" s="205"/>
      <c r="HK440" s="205"/>
      <c r="HL440" s="205"/>
      <c r="HM440" s="205"/>
      <c r="HN440" s="205"/>
      <c r="HO440" s="205"/>
      <c r="HP440" s="205"/>
      <c r="HQ440" s="205"/>
      <c r="HR440" s="205"/>
      <c r="HS440" s="205"/>
      <c r="HT440" s="205"/>
      <c r="HU440" s="205"/>
      <c r="HV440" s="205"/>
      <c r="HW440" s="205"/>
      <c r="HX440" s="205"/>
      <c r="HY440" s="205"/>
      <c r="HZ440" s="205"/>
      <c r="IA440" s="205"/>
      <c r="IB440" s="205"/>
      <c r="IC440" s="205"/>
      <c r="ID440" s="205"/>
      <c r="IE440" s="205"/>
      <c r="IF440" s="205"/>
      <c r="IG440" s="205"/>
      <c r="IH440" s="205"/>
      <c r="II440" s="205"/>
      <c r="IJ440" s="205"/>
      <c r="IK440" s="205"/>
      <c r="IL440" s="205"/>
      <c r="IM440" s="205"/>
      <c r="IN440" s="205"/>
      <c r="IO440" s="205"/>
      <c r="IP440" s="205"/>
      <c r="IQ440" s="205"/>
      <c r="IR440" s="205"/>
      <c r="IS440" s="205"/>
      <c r="IT440" s="205"/>
      <c r="IU440" s="205"/>
      <c r="IV440" s="205"/>
      <c r="IW440" s="205"/>
      <c r="IX440" s="205"/>
    </row>
    <row r="441" spans="1:258" s="203" customFormat="1" x14ac:dyDescent="0.2">
      <c r="A441" s="669"/>
      <c r="B441" s="670"/>
      <c r="C441" s="686"/>
      <c r="D441" s="672"/>
      <c r="E441" s="673"/>
      <c r="F441" s="673"/>
      <c r="G441" s="674"/>
      <c r="H441" s="675"/>
      <c r="I441" s="676"/>
      <c r="J441" s="676"/>
      <c r="K441" s="676"/>
      <c r="L441" s="676"/>
      <c r="M441" s="676"/>
      <c r="N441" s="676"/>
      <c r="O441" s="676"/>
      <c r="P441" s="676"/>
      <c r="Q441" s="676"/>
      <c r="R441" s="677"/>
      <c r="S441" s="678"/>
      <c r="T441" s="684"/>
      <c r="U441" s="205"/>
      <c r="V441" s="685"/>
      <c r="W441" s="205"/>
      <c r="X441" s="205"/>
      <c r="Y441" s="205"/>
      <c r="Z441" s="205"/>
      <c r="AA441" s="205"/>
      <c r="AB441" s="205"/>
      <c r="AC441" s="205"/>
      <c r="AD441" s="205"/>
      <c r="AE441" s="205"/>
      <c r="AF441" s="205"/>
      <c r="AG441" s="205"/>
      <c r="AH441" s="205"/>
      <c r="AI441" s="205"/>
      <c r="AJ441" s="205"/>
      <c r="AK441" s="205"/>
      <c r="AL441" s="205"/>
      <c r="AM441" s="205"/>
      <c r="AN441" s="205"/>
      <c r="AO441" s="205"/>
      <c r="AP441" s="205"/>
      <c r="AQ441" s="205"/>
      <c r="AR441" s="205"/>
      <c r="AS441" s="205"/>
      <c r="AT441" s="205"/>
      <c r="AU441" s="205"/>
      <c r="AV441" s="205"/>
      <c r="AW441" s="205"/>
      <c r="AX441" s="205"/>
      <c r="AY441" s="205"/>
      <c r="AZ441" s="205"/>
      <c r="BA441" s="205"/>
      <c r="BB441" s="205"/>
      <c r="BC441" s="205"/>
      <c r="BD441" s="205"/>
      <c r="BE441" s="205"/>
      <c r="BF441" s="205"/>
      <c r="BG441" s="205"/>
      <c r="BH441" s="205"/>
      <c r="BI441" s="205"/>
      <c r="BJ441" s="205"/>
      <c r="BK441" s="205"/>
      <c r="BL441" s="205"/>
      <c r="BM441" s="205"/>
      <c r="BN441" s="205"/>
      <c r="BO441" s="205"/>
      <c r="BP441" s="205"/>
      <c r="BQ441" s="205"/>
      <c r="BR441" s="205"/>
      <c r="BS441" s="205"/>
      <c r="BT441" s="205"/>
      <c r="BU441" s="205"/>
      <c r="BV441" s="205"/>
      <c r="BW441" s="205"/>
      <c r="BX441" s="205"/>
      <c r="BY441" s="205"/>
      <c r="BZ441" s="205"/>
      <c r="CA441" s="205"/>
      <c r="CB441" s="205"/>
      <c r="CC441" s="205"/>
      <c r="CD441" s="205"/>
      <c r="CE441" s="205"/>
      <c r="CF441" s="205"/>
      <c r="CG441" s="205"/>
      <c r="CH441" s="205"/>
      <c r="CI441" s="205"/>
      <c r="CJ441" s="205"/>
      <c r="CK441" s="205"/>
      <c r="CL441" s="205"/>
      <c r="CM441" s="205"/>
      <c r="CN441" s="205"/>
      <c r="CO441" s="205"/>
      <c r="CP441" s="205"/>
      <c r="CQ441" s="205"/>
      <c r="CR441" s="205"/>
      <c r="CS441" s="205"/>
      <c r="CT441" s="205"/>
      <c r="CU441" s="205"/>
      <c r="CV441" s="205"/>
      <c r="CW441" s="205"/>
      <c r="CX441" s="205"/>
      <c r="CY441" s="205"/>
      <c r="CZ441" s="205"/>
      <c r="DA441" s="205"/>
      <c r="DB441" s="205"/>
      <c r="DC441" s="205"/>
      <c r="DD441" s="205"/>
      <c r="DE441" s="205"/>
      <c r="DF441" s="205"/>
      <c r="DG441" s="205"/>
      <c r="DH441" s="205"/>
      <c r="DI441" s="205"/>
      <c r="DJ441" s="205"/>
      <c r="DK441" s="205"/>
      <c r="DL441" s="205"/>
      <c r="DM441" s="205"/>
      <c r="DN441" s="205"/>
      <c r="DO441" s="205"/>
      <c r="DP441" s="205"/>
      <c r="DQ441" s="205"/>
      <c r="DR441" s="205"/>
      <c r="DS441" s="205"/>
      <c r="DT441" s="205"/>
      <c r="DU441" s="205"/>
      <c r="DV441" s="205"/>
      <c r="DW441" s="205"/>
      <c r="DX441" s="205"/>
      <c r="DY441" s="205"/>
      <c r="DZ441" s="205"/>
      <c r="EA441" s="205"/>
      <c r="EB441" s="205"/>
      <c r="EC441" s="205"/>
      <c r="ED441" s="205"/>
      <c r="EE441" s="205"/>
      <c r="EF441" s="205"/>
      <c r="EG441" s="205"/>
      <c r="EH441" s="205"/>
      <c r="EI441" s="205"/>
      <c r="EJ441" s="205"/>
      <c r="EK441" s="205"/>
      <c r="EL441" s="205"/>
      <c r="EM441" s="205"/>
      <c r="EN441" s="205"/>
      <c r="EO441" s="205"/>
      <c r="EP441" s="205"/>
      <c r="EQ441" s="205"/>
      <c r="ER441" s="205"/>
      <c r="ES441" s="205"/>
      <c r="ET441" s="205"/>
      <c r="EU441" s="205"/>
      <c r="EV441" s="205"/>
      <c r="EW441" s="205"/>
      <c r="EX441" s="205"/>
      <c r="EY441" s="205"/>
      <c r="EZ441" s="205"/>
      <c r="FA441" s="205"/>
      <c r="FB441" s="205"/>
      <c r="FC441" s="205"/>
      <c r="FD441" s="205"/>
      <c r="FE441" s="205"/>
      <c r="FF441" s="205"/>
      <c r="FG441" s="205"/>
      <c r="FH441" s="205"/>
      <c r="FI441" s="205"/>
      <c r="FJ441" s="205"/>
      <c r="FK441" s="205"/>
      <c r="FL441" s="205"/>
      <c r="FM441" s="205"/>
      <c r="FN441" s="205"/>
      <c r="FO441" s="205"/>
      <c r="FP441" s="205"/>
      <c r="FQ441" s="205"/>
      <c r="FR441" s="205"/>
      <c r="FS441" s="205"/>
      <c r="FT441" s="205"/>
      <c r="FU441" s="205"/>
      <c r="FV441" s="205"/>
      <c r="FW441" s="205"/>
      <c r="FX441" s="205"/>
      <c r="FY441" s="205"/>
      <c r="FZ441" s="205"/>
      <c r="GA441" s="205"/>
      <c r="GB441" s="205"/>
      <c r="GC441" s="205"/>
      <c r="GD441" s="205"/>
      <c r="GE441" s="205"/>
      <c r="GF441" s="205"/>
      <c r="GG441" s="205"/>
      <c r="GH441" s="205"/>
      <c r="GI441" s="205"/>
      <c r="GJ441" s="205"/>
      <c r="GK441" s="205"/>
      <c r="GL441" s="205"/>
      <c r="GM441" s="205"/>
      <c r="GN441" s="205"/>
      <c r="GO441" s="205"/>
      <c r="GP441" s="205"/>
      <c r="GQ441" s="205"/>
      <c r="GR441" s="205"/>
      <c r="GS441" s="205"/>
      <c r="GT441" s="205"/>
      <c r="GU441" s="205"/>
      <c r="GV441" s="205"/>
      <c r="GW441" s="205"/>
      <c r="GX441" s="205"/>
      <c r="GY441" s="205"/>
      <c r="GZ441" s="205"/>
      <c r="HA441" s="205"/>
      <c r="HB441" s="205"/>
      <c r="HC441" s="205"/>
      <c r="HD441" s="205"/>
      <c r="HE441" s="205"/>
      <c r="HF441" s="205"/>
      <c r="HG441" s="205"/>
      <c r="HH441" s="205"/>
      <c r="HI441" s="205"/>
      <c r="HJ441" s="205"/>
      <c r="HK441" s="205"/>
      <c r="HL441" s="205"/>
      <c r="HM441" s="205"/>
      <c r="HN441" s="205"/>
      <c r="HO441" s="205"/>
      <c r="HP441" s="205"/>
      <c r="HQ441" s="205"/>
      <c r="HR441" s="205"/>
      <c r="HS441" s="205"/>
      <c r="HT441" s="205"/>
      <c r="HU441" s="205"/>
      <c r="HV441" s="205"/>
      <c r="HW441" s="205"/>
      <c r="HX441" s="205"/>
      <c r="HY441" s="205"/>
      <c r="HZ441" s="205"/>
      <c r="IA441" s="205"/>
      <c r="IB441" s="205"/>
      <c r="IC441" s="205"/>
      <c r="ID441" s="205"/>
      <c r="IE441" s="205"/>
      <c r="IF441" s="205"/>
      <c r="IG441" s="205"/>
      <c r="IH441" s="205"/>
      <c r="II441" s="205"/>
      <c r="IJ441" s="205"/>
      <c r="IK441" s="205"/>
      <c r="IL441" s="205"/>
      <c r="IM441" s="205"/>
      <c r="IN441" s="205"/>
      <c r="IO441" s="205"/>
      <c r="IP441" s="205"/>
      <c r="IQ441" s="205"/>
      <c r="IR441" s="205"/>
      <c r="IS441" s="205"/>
      <c r="IT441" s="205"/>
      <c r="IU441" s="205"/>
      <c r="IV441" s="205"/>
      <c r="IW441" s="205"/>
      <c r="IX441" s="205"/>
    </row>
    <row r="442" spans="1:258" s="203" customFormat="1" x14ac:dyDescent="0.2">
      <c r="A442" s="669"/>
      <c r="B442" s="681" t="str">
        <f>RAB!B143</f>
        <v>IX</v>
      </c>
      <c r="C442" s="682" t="str">
        <f>RAB!D143</f>
        <v>PEKERJAAN ATAP</v>
      </c>
      <c r="D442" s="672"/>
      <c r="E442" s="673"/>
      <c r="F442" s="673"/>
      <c r="G442" s="674"/>
      <c r="H442" s="675"/>
      <c r="I442" s="676"/>
      <c r="J442" s="676"/>
      <c r="K442" s="676"/>
      <c r="L442" s="676"/>
      <c r="M442" s="676"/>
      <c r="N442" s="676"/>
      <c r="O442" s="676"/>
      <c r="P442" s="676"/>
      <c r="Q442" s="676"/>
      <c r="R442" s="677"/>
      <c r="S442" s="678"/>
      <c r="T442" s="684"/>
      <c r="U442" s="205"/>
      <c r="V442" s="685"/>
      <c r="W442" s="205"/>
      <c r="X442" s="205"/>
      <c r="Y442" s="205"/>
      <c r="Z442" s="205"/>
      <c r="AA442" s="205"/>
      <c r="AB442" s="205"/>
      <c r="AC442" s="205"/>
      <c r="AD442" s="205"/>
      <c r="AE442" s="205"/>
      <c r="AF442" s="205"/>
      <c r="AG442" s="205"/>
      <c r="AH442" s="205"/>
      <c r="AI442" s="205"/>
      <c r="AJ442" s="205"/>
      <c r="AK442" s="205"/>
      <c r="AL442" s="205"/>
      <c r="AM442" s="205"/>
      <c r="AN442" s="205"/>
      <c r="AO442" s="205"/>
      <c r="AP442" s="205"/>
      <c r="AQ442" s="205"/>
      <c r="AR442" s="205"/>
      <c r="AS442" s="205"/>
      <c r="AT442" s="205"/>
      <c r="AU442" s="205"/>
      <c r="AV442" s="205"/>
      <c r="AW442" s="205"/>
      <c r="AX442" s="205"/>
      <c r="AY442" s="205"/>
      <c r="AZ442" s="205"/>
      <c r="BA442" s="205"/>
      <c r="BB442" s="205"/>
      <c r="BC442" s="205"/>
      <c r="BD442" s="205"/>
      <c r="BE442" s="205"/>
      <c r="BF442" s="205"/>
      <c r="BG442" s="205"/>
      <c r="BH442" s="205"/>
      <c r="BI442" s="205"/>
      <c r="BJ442" s="205"/>
      <c r="BK442" s="205"/>
      <c r="BL442" s="205"/>
      <c r="BM442" s="205"/>
      <c r="BN442" s="205"/>
      <c r="BO442" s="205"/>
      <c r="BP442" s="205"/>
      <c r="BQ442" s="205"/>
      <c r="BR442" s="205"/>
      <c r="BS442" s="205"/>
      <c r="BT442" s="205"/>
      <c r="BU442" s="205"/>
      <c r="BV442" s="205"/>
      <c r="BW442" s="205"/>
      <c r="BX442" s="205"/>
      <c r="BY442" s="205"/>
      <c r="BZ442" s="205"/>
      <c r="CA442" s="205"/>
      <c r="CB442" s="205"/>
      <c r="CC442" s="205"/>
      <c r="CD442" s="205"/>
      <c r="CE442" s="205"/>
      <c r="CF442" s="205"/>
      <c r="CG442" s="205"/>
      <c r="CH442" s="205"/>
      <c r="CI442" s="205"/>
      <c r="CJ442" s="205"/>
      <c r="CK442" s="205"/>
      <c r="CL442" s="205"/>
      <c r="CM442" s="205"/>
      <c r="CN442" s="205"/>
      <c r="CO442" s="205"/>
      <c r="CP442" s="205"/>
      <c r="CQ442" s="205"/>
      <c r="CR442" s="205"/>
      <c r="CS442" s="205"/>
      <c r="CT442" s="205"/>
      <c r="CU442" s="205"/>
      <c r="CV442" s="205"/>
      <c r="CW442" s="205"/>
      <c r="CX442" s="205"/>
      <c r="CY442" s="205"/>
      <c r="CZ442" s="205"/>
      <c r="DA442" s="205"/>
      <c r="DB442" s="205"/>
      <c r="DC442" s="205"/>
      <c r="DD442" s="205"/>
      <c r="DE442" s="205"/>
      <c r="DF442" s="205"/>
      <c r="DG442" s="205"/>
      <c r="DH442" s="205"/>
      <c r="DI442" s="205"/>
      <c r="DJ442" s="205"/>
      <c r="DK442" s="205"/>
      <c r="DL442" s="205"/>
      <c r="DM442" s="205"/>
      <c r="DN442" s="205"/>
      <c r="DO442" s="205"/>
      <c r="DP442" s="205"/>
      <c r="DQ442" s="205"/>
      <c r="DR442" s="205"/>
      <c r="DS442" s="205"/>
      <c r="DT442" s="205"/>
      <c r="DU442" s="205"/>
      <c r="DV442" s="205"/>
      <c r="DW442" s="205"/>
      <c r="DX442" s="205"/>
      <c r="DY442" s="205"/>
      <c r="DZ442" s="205"/>
      <c r="EA442" s="205"/>
      <c r="EB442" s="205"/>
      <c r="EC442" s="205"/>
      <c r="ED442" s="205"/>
      <c r="EE442" s="205"/>
      <c r="EF442" s="205"/>
      <c r="EG442" s="205"/>
      <c r="EH442" s="205"/>
      <c r="EI442" s="205"/>
      <c r="EJ442" s="205"/>
      <c r="EK442" s="205"/>
      <c r="EL442" s="205"/>
      <c r="EM442" s="205"/>
      <c r="EN442" s="205"/>
      <c r="EO442" s="205"/>
      <c r="EP442" s="205"/>
      <c r="EQ442" s="205"/>
      <c r="ER442" s="205"/>
      <c r="ES442" s="205"/>
      <c r="ET442" s="205"/>
      <c r="EU442" s="205"/>
      <c r="EV442" s="205"/>
      <c r="EW442" s="205"/>
      <c r="EX442" s="205"/>
      <c r="EY442" s="205"/>
      <c r="EZ442" s="205"/>
      <c r="FA442" s="205"/>
      <c r="FB442" s="205"/>
      <c r="FC442" s="205"/>
      <c r="FD442" s="205"/>
      <c r="FE442" s="205"/>
      <c r="FF442" s="205"/>
      <c r="FG442" s="205"/>
      <c r="FH442" s="205"/>
      <c r="FI442" s="205"/>
      <c r="FJ442" s="205"/>
      <c r="FK442" s="205"/>
      <c r="FL442" s="205"/>
      <c r="FM442" s="205"/>
      <c r="FN442" s="205"/>
      <c r="FO442" s="205"/>
      <c r="FP442" s="205"/>
      <c r="FQ442" s="205"/>
      <c r="FR442" s="205"/>
      <c r="FS442" s="205"/>
      <c r="FT442" s="205"/>
      <c r="FU442" s="205"/>
      <c r="FV442" s="205"/>
      <c r="FW442" s="205"/>
      <c r="FX442" s="205"/>
      <c r="FY442" s="205"/>
      <c r="FZ442" s="205"/>
      <c r="GA442" s="205"/>
      <c r="GB442" s="205"/>
      <c r="GC442" s="205"/>
      <c r="GD442" s="205"/>
      <c r="GE442" s="205"/>
      <c r="GF442" s="205"/>
      <c r="GG442" s="205"/>
      <c r="GH442" s="205"/>
      <c r="GI442" s="205"/>
      <c r="GJ442" s="205"/>
      <c r="GK442" s="205"/>
      <c r="GL442" s="205"/>
      <c r="GM442" s="205"/>
      <c r="GN442" s="205"/>
      <c r="GO442" s="205"/>
      <c r="GP442" s="205"/>
      <c r="GQ442" s="205"/>
      <c r="GR442" s="205"/>
      <c r="GS442" s="205"/>
      <c r="GT442" s="205"/>
      <c r="GU442" s="205"/>
      <c r="GV442" s="205"/>
      <c r="GW442" s="205"/>
      <c r="GX442" s="205"/>
      <c r="GY442" s="205"/>
      <c r="GZ442" s="205"/>
      <c r="HA442" s="205"/>
      <c r="HB442" s="205"/>
      <c r="HC442" s="205"/>
      <c r="HD442" s="205"/>
      <c r="HE442" s="205"/>
      <c r="HF442" s="205"/>
      <c r="HG442" s="205"/>
      <c r="HH442" s="205"/>
      <c r="HI442" s="205"/>
      <c r="HJ442" s="205"/>
      <c r="HK442" s="205"/>
      <c r="HL442" s="205"/>
      <c r="HM442" s="205"/>
      <c r="HN442" s="205"/>
      <c r="HO442" s="205"/>
      <c r="HP442" s="205"/>
      <c r="HQ442" s="205"/>
      <c r="HR442" s="205"/>
      <c r="HS442" s="205"/>
      <c r="HT442" s="205"/>
      <c r="HU442" s="205"/>
      <c r="HV442" s="205"/>
      <c r="HW442" s="205"/>
      <c r="HX442" s="205"/>
      <c r="HY442" s="205"/>
      <c r="HZ442" s="205"/>
      <c r="IA442" s="205"/>
      <c r="IB442" s="205"/>
      <c r="IC442" s="205"/>
      <c r="ID442" s="205"/>
      <c r="IE442" s="205"/>
      <c r="IF442" s="205"/>
      <c r="IG442" s="205"/>
      <c r="IH442" s="205"/>
      <c r="II442" s="205"/>
      <c r="IJ442" s="205"/>
      <c r="IK442" s="205"/>
      <c r="IL442" s="205"/>
      <c r="IM442" s="205"/>
      <c r="IN442" s="205"/>
      <c r="IO442" s="205"/>
      <c r="IP442" s="205"/>
      <c r="IQ442" s="205"/>
      <c r="IR442" s="205"/>
      <c r="IS442" s="205"/>
      <c r="IT442" s="205"/>
      <c r="IU442" s="205"/>
      <c r="IV442" s="205"/>
      <c r="IW442" s="205"/>
      <c r="IX442" s="205"/>
    </row>
    <row r="443" spans="1:258" s="203" customFormat="1" x14ac:dyDescent="0.2">
      <c r="A443" s="669"/>
      <c r="B443" s="670">
        <f>RAB!B144</f>
        <v>1</v>
      </c>
      <c r="C443" s="686" t="e">
        <f>RAB!D144</f>
        <v>#REF!</v>
      </c>
      <c r="D443" s="672"/>
      <c r="E443" s="673"/>
      <c r="F443" s="673"/>
      <c r="G443" s="674"/>
      <c r="H443" s="675">
        <v>15</v>
      </c>
      <c r="I443" s="676" t="s">
        <v>424</v>
      </c>
      <c r="J443" s="676">
        <v>0.8</v>
      </c>
      <c r="K443" s="676"/>
      <c r="L443" s="676"/>
      <c r="M443" s="676"/>
      <c r="N443" s="676"/>
      <c r="O443" s="676"/>
      <c r="P443" s="676"/>
      <c r="Q443" s="676" t="s">
        <v>696</v>
      </c>
      <c r="R443" s="677">
        <f>H443*J443</f>
        <v>12</v>
      </c>
      <c r="S443" s="678">
        <f>R443</f>
        <v>12</v>
      </c>
      <c r="T443" s="684" t="s">
        <v>338</v>
      </c>
      <c r="U443" s="205"/>
      <c r="V443" s="685"/>
      <c r="W443" s="205"/>
      <c r="X443" s="205"/>
      <c r="Y443" s="205"/>
      <c r="Z443" s="205"/>
      <c r="AA443" s="205"/>
      <c r="AB443" s="205"/>
      <c r="AC443" s="205"/>
      <c r="AD443" s="205"/>
      <c r="AE443" s="205"/>
      <c r="AF443" s="205"/>
      <c r="AG443" s="205"/>
      <c r="AH443" s="205"/>
      <c r="AI443" s="205"/>
      <c r="AJ443" s="205"/>
      <c r="AK443" s="205"/>
      <c r="AL443" s="205"/>
      <c r="AM443" s="205"/>
      <c r="AN443" s="205"/>
      <c r="AO443" s="205"/>
      <c r="AP443" s="205"/>
      <c r="AQ443" s="205"/>
      <c r="AR443" s="205"/>
      <c r="AS443" s="205"/>
      <c r="AT443" s="205"/>
      <c r="AU443" s="205"/>
      <c r="AV443" s="205"/>
      <c r="AW443" s="205"/>
      <c r="AX443" s="205"/>
      <c r="AY443" s="205"/>
      <c r="AZ443" s="205"/>
      <c r="BA443" s="205"/>
      <c r="BB443" s="205"/>
      <c r="BC443" s="205"/>
      <c r="BD443" s="205"/>
      <c r="BE443" s="205"/>
      <c r="BF443" s="205"/>
      <c r="BG443" s="205"/>
      <c r="BH443" s="205"/>
      <c r="BI443" s="205"/>
      <c r="BJ443" s="205"/>
      <c r="BK443" s="205"/>
      <c r="BL443" s="205"/>
      <c r="BM443" s="205"/>
      <c r="BN443" s="205"/>
      <c r="BO443" s="205"/>
      <c r="BP443" s="205"/>
      <c r="BQ443" s="205"/>
      <c r="BR443" s="205"/>
      <c r="BS443" s="205"/>
      <c r="BT443" s="205"/>
      <c r="BU443" s="205"/>
      <c r="BV443" s="205"/>
      <c r="BW443" s="205"/>
      <c r="BX443" s="205"/>
      <c r="BY443" s="205"/>
      <c r="BZ443" s="205"/>
      <c r="CA443" s="205"/>
      <c r="CB443" s="205"/>
      <c r="CC443" s="205"/>
      <c r="CD443" s="205"/>
      <c r="CE443" s="205"/>
      <c r="CF443" s="205"/>
      <c r="CG443" s="205"/>
      <c r="CH443" s="205"/>
      <c r="CI443" s="205"/>
      <c r="CJ443" s="205"/>
      <c r="CK443" s="205"/>
      <c r="CL443" s="205"/>
      <c r="CM443" s="205"/>
      <c r="CN443" s="205"/>
      <c r="CO443" s="205"/>
      <c r="CP443" s="205"/>
      <c r="CQ443" s="205"/>
      <c r="CR443" s="205"/>
      <c r="CS443" s="205"/>
      <c r="CT443" s="205"/>
      <c r="CU443" s="205"/>
      <c r="CV443" s="205"/>
      <c r="CW443" s="205"/>
      <c r="CX443" s="205"/>
      <c r="CY443" s="205"/>
      <c r="CZ443" s="205"/>
      <c r="DA443" s="205"/>
      <c r="DB443" s="205"/>
      <c r="DC443" s="205"/>
      <c r="DD443" s="205"/>
      <c r="DE443" s="205"/>
      <c r="DF443" s="205"/>
      <c r="DG443" s="205"/>
      <c r="DH443" s="205"/>
      <c r="DI443" s="205"/>
      <c r="DJ443" s="205"/>
      <c r="DK443" s="205"/>
      <c r="DL443" s="205"/>
      <c r="DM443" s="205"/>
      <c r="DN443" s="205"/>
      <c r="DO443" s="205"/>
      <c r="DP443" s="205"/>
      <c r="DQ443" s="205"/>
      <c r="DR443" s="205"/>
      <c r="DS443" s="205"/>
      <c r="DT443" s="205"/>
      <c r="DU443" s="205"/>
      <c r="DV443" s="205"/>
      <c r="DW443" s="205"/>
      <c r="DX443" s="205"/>
      <c r="DY443" s="205"/>
      <c r="DZ443" s="205"/>
      <c r="EA443" s="205"/>
      <c r="EB443" s="205"/>
      <c r="EC443" s="205"/>
      <c r="ED443" s="205"/>
      <c r="EE443" s="205"/>
      <c r="EF443" s="205"/>
      <c r="EG443" s="205"/>
      <c r="EH443" s="205"/>
      <c r="EI443" s="205"/>
      <c r="EJ443" s="205"/>
      <c r="EK443" s="205"/>
      <c r="EL443" s="205"/>
      <c r="EM443" s="205"/>
      <c r="EN443" s="205"/>
      <c r="EO443" s="205"/>
      <c r="EP443" s="205"/>
      <c r="EQ443" s="205"/>
      <c r="ER443" s="205"/>
      <c r="ES443" s="205"/>
      <c r="ET443" s="205"/>
      <c r="EU443" s="205"/>
      <c r="EV443" s="205"/>
      <c r="EW443" s="205"/>
      <c r="EX443" s="205"/>
      <c r="EY443" s="205"/>
      <c r="EZ443" s="205"/>
      <c r="FA443" s="205"/>
      <c r="FB443" s="205"/>
      <c r="FC443" s="205"/>
      <c r="FD443" s="205"/>
      <c r="FE443" s="205"/>
      <c r="FF443" s="205"/>
      <c r="FG443" s="205"/>
      <c r="FH443" s="205"/>
      <c r="FI443" s="205"/>
      <c r="FJ443" s="205"/>
      <c r="FK443" s="205"/>
      <c r="FL443" s="205"/>
      <c r="FM443" s="205"/>
      <c r="FN443" s="205"/>
      <c r="FO443" s="205"/>
      <c r="FP443" s="205"/>
      <c r="FQ443" s="205"/>
      <c r="FR443" s="205"/>
      <c r="FS443" s="205"/>
      <c r="FT443" s="205"/>
      <c r="FU443" s="205"/>
      <c r="FV443" s="205"/>
      <c r="FW443" s="205"/>
      <c r="FX443" s="205"/>
      <c r="FY443" s="205"/>
      <c r="FZ443" s="205"/>
      <c r="GA443" s="205"/>
      <c r="GB443" s="205"/>
      <c r="GC443" s="205"/>
      <c r="GD443" s="205"/>
      <c r="GE443" s="205"/>
      <c r="GF443" s="205"/>
      <c r="GG443" s="205"/>
      <c r="GH443" s="205"/>
      <c r="GI443" s="205"/>
      <c r="GJ443" s="205"/>
      <c r="GK443" s="205"/>
      <c r="GL443" s="205"/>
      <c r="GM443" s="205"/>
      <c r="GN443" s="205"/>
      <c r="GO443" s="205"/>
      <c r="GP443" s="205"/>
      <c r="GQ443" s="205"/>
      <c r="GR443" s="205"/>
      <c r="GS443" s="205"/>
      <c r="GT443" s="205"/>
      <c r="GU443" s="205"/>
      <c r="GV443" s="205"/>
      <c r="GW443" s="205"/>
      <c r="GX443" s="205"/>
      <c r="GY443" s="205"/>
      <c r="GZ443" s="205"/>
      <c r="HA443" s="205"/>
      <c r="HB443" s="205"/>
      <c r="HC443" s="205"/>
      <c r="HD443" s="205"/>
      <c r="HE443" s="205"/>
      <c r="HF443" s="205"/>
      <c r="HG443" s="205"/>
      <c r="HH443" s="205"/>
      <c r="HI443" s="205"/>
      <c r="HJ443" s="205"/>
      <c r="HK443" s="205"/>
      <c r="HL443" s="205"/>
      <c r="HM443" s="205"/>
      <c r="HN443" s="205"/>
      <c r="HO443" s="205"/>
      <c r="HP443" s="205"/>
      <c r="HQ443" s="205"/>
      <c r="HR443" s="205"/>
      <c r="HS443" s="205"/>
      <c r="HT443" s="205"/>
      <c r="HU443" s="205"/>
      <c r="HV443" s="205"/>
      <c r="HW443" s="205"/>
      <c r="HX443" s="205"/>
      <c r="HY443" s="205"/>
      <c r="HZ443" s="205"/>
      <c r="IA443" s="205"/>
      <c r="IB443" s="205"/>
      <c r="IC443" s="205"/>
      <c r="ID443" s="205"/>
      <c r="IE443" s="205"/>
      <c r="IF443" s="205"/>
      <c r="IG443" s="205"/>
      <c r="IH443" s="205"/>
      <c r="II443" s="205"/>
      <c r="IJ443" s="205"/>
      <c r="IK443" s="205"/>
      <c r="IL443" s="205"/>
      <c r="IM443" s="205"/>
      <c r="IN443" s="205"/>
      <c r="IO443" s="205"/>
      <c r="IP443" s="205"/>
      <c r="IQ443" s="205"/>
      <c r="IR443" s="205"/>
      <c r="IS443" s="205"/>
      <c r="IT443" s="205"/>
      <c r="IU443" s="205"/>
      <c r="IV443" s="205"/>
      <c r="IW443" s="205"/>
      <c r="IX443" s="205"/>
    </row>
    <row r="444" spans="1:258" s="203" customFormat="1" x14ac:dyDescent="0.2">
      <c r="A444" s="669"/>
      <c r="B444" s="670">
        <f>RAB!B145</f>
        <v>2</v>
      </c>
      <c r="C444" s="686" t="str">
        <f>RAB!D145</f>
        <v>Pas. rangka atap baja ringan</v>
      </c>
      <c r="D444" s="672"/>
      <c r="E444" s="673"/>
      <c r="F444" s="673"/>
      <c r="G444" s="674"/>
      <c r="H444" s="675"/>
      <c r="I444" s="676"/>
      <c r="J444" s="676" t="s">
        <v>1738</v>
      </c>
      <c r="K444" s="676"/>
      <c r="L444" s="676"/>
      <c r="M444" s="676"/>
      <c r="N444" s="676"/>
      <c r="O444" s="676"/>
      <c r="P444" s="676"/>
      <c r="Q444" s="676"/>
      <c r="R444" s="677"/>
      <c r="S444" s="678"/>
      <c r="T444" s="684"/>
      <c r="U444" s="205"/>
      <c r="V444" s="685"/>
      <c r="W444" s="205"/>
      <c r="X444" s="205"/>
      <c r="Y444" s="205"/>
      <c r="Z444" s="205"/>
      <c r="AA444" s="205"/>
      <c r="AB444" s="205"/>
      <c r="AC444" s="205"/>
      <c r="AD444" s="205"/>
      <c r="AE444" s="205"/>
      <c r="AF444" s="205"/>
      <c r="AG444" s="205"/>
      <c r="AH444" s="205"/>
      <c r="AI444" s="205"/>
      <c r="AJ444" s="205"/>
      <c r="AK444" s="205"/>
      <c r="AL444" s="205"/>
      <c r="AM444" s="205"/>
      <c r="AN444" s="205"/>
      <c r="AO444" s="205"/>
      <c r="AP444" s="205"/>
      <c r="AQ444" s="205"/>
      <c r="AR444" s="205"/>
      <c r="AS444" s="205"/>
      <c r="AT444" s="205"/>
      <c r="AU444" s="205"/>
      <c r="AV444" s="205"/>
      <c r="AW444" s="205"/>
      <c r="AX444" s="205"/>
      <c r="AY444" s="205"/>
      <c r="AZ444" s="205"/>
      <c r="BA444" s="205"/>
      <c r="BB444" s="205"/>
      <c r="BC444" s="205"/>
      <c r="BD444" s="205"/>
      <c r="BE444" s="205"/>
      <c r="BF444" s="205"/>
      <c r="BG444" s="205"/>
      <c r="BH444" s="205"/>
      <c r="BI444" s="205"/>
      <c r="BJ444" s="205"/>
      <c r="BK444" s="205"/>
      <c r="BL444" s="205"/>
      <c r="BM444" s="205"/>
      <c r="BN444" s="205"/>
      <c r="BO444" s="205"/>
      <c r="BP444" s="205"/>
      <c r="BQ444" s="205"/>
      <c r="BR444" s="205"/>
      <c r="BS444" s="205"/>
      <c r="BT444" s="205"/>
      <c r="BU444" s="205"/>
      <c r="BV444" s="205"/>
      <c r="BW444" s="205"/>
      <c r="BX444" s="205"/>
      <c r="BY444" s="205"/>
      <c r="BZ444" s="205"/>
      <c r="CA444" s="205"/>
      <c r="CB444" s="205"/>
      <c r="CC444" s="205"/>
      <c r="CD444" s="205"/>
      <c r="CE444" s="205"/>
      <c r="CF444" s="205"/>
      <c r="CG444" s="205"/>
      <c r="CH444" s="205"/>
      <c r="CI444" s="205"/>
      <c r="CJ444" s="205"/>
      <c r="CK444" s="205"/>
      <c r="CL444" s="205"/>
      <c r="CM444" s="205"/>
      <c r="CN444" s="205"/>
      <c r="CO444" s="205"/>
      <c r="CP444" s="205"/>
      <c r="CQ444" s="205"/>
      <c r="CR444" s="205"/>
      <c r="CS444" s="205"/>
      <c r="CT444" s="205"/>
      <c r="CU444" s="205"/>
      <c r="CV444" s="205"/>
      <c r="CW444" s="205"/>
      <c r="CX444" s="205"/>
      <c r="CY444" s="205"/>
      <c r="CZ444" s="205"/>
      <c r="DA444" s="205"/>
      <c r="DB444" s="205"/>
      <c r="DC444" s="205"/>
      <c r="DD444" s="205"/>
      <c r="DE444" s="205"/>
      <c r="DF444" s="205"/>
      <c r="DG444" s="205"/>
      <c r="DH444" s="205"/>
      <c r="DI444" s="205"/>
      <c r="DJ444" s="205"/>
      <c r="DK444" s="205"/>
      <c r="DL444" s="205"/>
      <c r="DM444" s="205"/>
      <c r="DN444" s="205"/>
      <c r="DO444" s="205"/>
      <c r="DP444" s="205"/>
      <c r="DQ444" s="205"/>
      <c r="DR444" s="205"/>
      <c r="DS444" s="205"/>
      <c r="DT444" s="205"/>
      <c r="DU444" s="205"/>
      <c r="DV444" s="205"/>
      <c r="DW444" s="205"/>
      <c r="DX444" s="205"/>
      <c r="DY444" s="205"/>
      <c r="DZ444" s="205"/>
      <c r="EA444" s="205"/>
      <c r="EB444" s="205"/>
      <c r="EC444" s="205"/>
      <c r="ED444" s="205"/>
      <c r="EE444" s="205"/>
      <c r="EF444" s="205"/>
      <c r="EG444" s="205"/>
      <c r="EH444" s="205"/>
      <c r="EI444" s="205"/>
      <c r="EJ444" s="205"/>
      <c r="EK444" s="205"/>
      <c r="EL444" s="205"/>
      <c r="EM444" s="205"/>
      <c r="EN444" s="205"/>
      <c r="EO444" s="205"/>
      <c r="EP444" s="205"/>
      <c r="EQ444" s="205"/>
      <c r="ER444" s="205"/>
      <c r="ES444" s="205"/>
      <c r="ET444" s="205"/>
      <c r="EU444" s="205"/>
      <c r="EV444" s="205"/>
      <c r="EW444" s="205"/>
      <c r="EX444" s="205"/>
      <c r="EY444" s="205"/>
      <c r="EZ444" s="205"/>
      <c r="FA444" s="205"/>
      <c r="FB444" s="205"/>
      <c r="FC444" s="205"/>
      <c r="FD444" s="205"/>
      <c r="FE444" s="205"/>
      <c r="FF444" s="205"/>
      <c r="FG444" s="205"/>
      <c r="FH444" s="205"/>
      <c r="FI444" s="205"/>
      <c r="FJ444" s="205"/>
      <c r="FK444" s="205"/>
      <c r="FL444" s="205"/>
      <c r="FM444" s="205"/>
      <c r="FN444" s="205"/>
      <c r="FO444" s="205"/>
      <c r="FP444" s="205"/>
      <c r="FQ444" s="205"/>
      <c r="FR444" s="205"/>
      <c r="FS444" s="205"/>
      <c r="FT444" s="205"/>
      <c r="FU444" s="205"/>
      <c r="FV444" s="205"/>
      <c r="FW444" s="205"/>
      <c r="FX444" s="205"/>
      <c r="FY444" s="205"/>
      <c r="FZ444" s="205"/>
      <c r="GA444" s="205"/>
      <c r="GB444" s="205"/>
      <c r="GC444" s="205"/>
      <c r="GD444" s="205"/>
      <c r="GE444" s="205"/>
      <c r="GF444" s="205"/>
      <c r="GG444" s="205"/>
      <c r="GH444" s="205"/>
      <c r="GI444" s="205"/>
      <c r="GJ444" s="205"/>
      <c r="GK444" s="205"/>
      <c r="GL444" s="205"/>
      <c r="GM444" s="205"/>
      <c r="GN444" s="205"/>
      <c r="GO444" s="205"/>
      <c r="GP444" s="205"/>
      <c r="GQ444" s="205"/>
      <c r="GR444" s="205"/>
      <c r="GS444" s="205"/>
      <c r="GT444" s="205"/>
      <c r="GU444" s="205"/>
      <c r="GV444" s="205"/>
      <c r="GW444" s="205"/>
      <c r="GX444" s="205"/>
      <c r="GY444" s="205"/>
      <c r="GZ444" s="205"/>
      <c r="HA444" s="205"/>
      <c r="HB444" s="205"/>
      <c r="HC444" s="205"/>
      <c r="HD444" s="205"/>
      <c r="HE444" s="205"/>
      <c r="HF444" s="205"/>
      <c r="HG444" s="205"/>
      <c r="HH444" s="205"/>
      <c r="HI444" s="205"/>
      <c r="HJ444" s="205"/>
      <c r="HK444" s="205"/>
      <c r="HL444" s="205"/>
      <c r="HM444" s="205"/>
      <c r="HN444" s="205"/>
      <c r="HO444" s="205"/>
      <c r="HP444" s="205"/>
      <c r="HQ444" s="205"/>
      <c r="HR444" s="205"/>
      <c r="HS444" s="205"/>
      <c r="HT444" s="205"/>
      <c r="HU444" s="205"/>
      <c r="HV444" s="205"/>
      <c r="HW444" s="205"/>
      <c r="HX444" s="205"/>
      <c r="HY444" s="205"/>
      <c r="HZ444" s="205"/>
      <c r="IA444" s="205"/>
      <c r="IB444" s="205"/>
      <c r="IC444" s="205"/>
      <c r="ID444" s="205"/>
      <c r="IE444" s="205"/>
      <c r="IF444" s="205"/>
      <c r="IG444" s="205"/>
      <c r="IH444" s="205"/>
      <c r="II444" s="205"/>
      <c r="IJ444" s="205"/>
      <c r="IK444" s="205"/>
      <c r="IL444" s="205"/>
      <c r="IM444" s="205"/>
      <c r="IN444" s="205"/>
      <c r="IO444" s="205"/>
      <c r="IP444" s="205"/>
      <c r="IQ444" s="205"/>
      <c r="IR444" s="205"/>
      <c r="IS444" s="205"/>
      <c r="IT444" s="205"/>
      <c r="IU444" s="205"/>
      <c r="IV444" s="205"/>
      <c r="IW444" s="205"/>
      <c r="IX444" s="205"/>
    </row>
    <row r="445" spans="1:258" s="203" customFormat="1" x14ac:dyDescent="0.2">
      <c r="A445" s="669"/>
      <c r="B445" s="670"/>
      <c r="C445" s="1390"/>
      <c r="D445" s="672"/>
      <c r="E445" s="1391"/>
      <c r="F445" s="1391"/>
      <c r="G445" s="1392" t="s">
        <v>1737</v>
      </c>
      <c r="H445" s="1393">
        <v>442</v>
      </c>
      <c r="I445" s="1394" t="s">
        <v>424</v>
      </c>
      <c r="J445" s="1394">
        <v>1.1033999999999999</v>
      </c>
      <c r="K445" s="1394"/>
      <c r="L445" s="1394"/>
      <c r="M445" s="1394"/>
      <c r="N445" s="1394"/>
      <c r="O445" s="1394"/>
      <c r="P445" s="1394"/>
      <c r="Q445" s="1394" t="s">
        <v>696</v>
      </c>
      <c r="R445" s="1395">
        <f>H445*J445</f>
        <v>487.70279999999997</v>
      </c>
      <c r="S445" s="1396">
        <f>R445</f>
        <v>487.70279999999997</v>
      </c>
      <c r="T445" s="1397" t="s">
        <v>338</v>
      </c>
      <c r="U445" s="205"/>
      <c r="V445" s="685"/>
      <c r="W445" s="205"/>
      <c r="X445" s="205"/>
      <c r="Y445" s="205"/>
      <c r="Z445" s="205"/>
      <c r="AA445" s="205"/>
      <c r="AB445" s="205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05"/>
      <c r="BN445" s="205"/>
      <c r="BO445" s="205"/>
      <c r="BP445" s="205"/>
      <c r="BQ445" s="205"/>
      <c r="BR445" s="205"/>
      <c r="BS445" s="205"/>
      <c r="BT445" s="205"/>
      <c r="BU445" s="205"/>
      <c r="BV445" s="205"/>
      <c r="BW445" s="205"/>
      <c r="BX445" s="205"/>
      <c r="BY445" s="205"/>
      <c r="BZ445" s="205"/>
      <c r="CA445" s="205"/>
      <c r="CB445" s="205"/>
      <c r="CC445" s="205"/>
      <c r="CD445" s="205"/>
      <c r="CE445" s="205"/>
      <c r="CF445" s="205"/>
      <c r="CG445" s="205"/>
      <c r="CH445" s="205"/>
      <c r="CI445" s="205"/>
      <c r="CJ445" s="205"/>
      <c r="CK445" s="205"/>
      <c r="CL445" s="205"/>
      <c r="CM445" s="205"/>
      <c r="CN445" s="205"/>
      <c r="CO445" s="205"/>
      <c r="CP445" s="205"/>
      <c r="CQ445" s="205"/>
      <c r="CR445" s="205"/>
      <c r="CS445" s="205"/>
      <c r="CT445" s="205"/>
      <c r="CU445" s="205"/>
      <c r="CV445" s="205"/>
      <c r="CW445" s="205"/>
      <c r="CX445" s="205"/>
      <c r="CY445" s="205"/>
      <c r="CZ445" s="205"/>
      <c r="DA445" s="205"/>
      <c r="DB445" s="205"/>
      <c r="DC445" s="205"/>
      <c r="DD445" s="205"/>
      <c r="DE445" s="205"/>
      <c r="DF445" s="205"/>
      <c r="DG445" s="205"/>
      <c r="DH445" s="205"/>
      <c r="DI445" s="205"/>
      <c r="DJ445" s="205"/>
      <c r="DK445" s="205"/>
      <c r="DL445" s="205"/>
      <c r="DM445" s="205"/>
      <c r="DN445" s="205"/>
      <c r="DO445" s="205"/>
      <c r="DP445" s="205"/>
      <c r="DQ445" s="205"/>
      <c r="DR445" s="205"/>
      <c r="DS445" s="205"/>
      <c r="DT445" s="205"/>
      <c r="DU445" s="205"/>
      <c r="DV445" s="205"/>
      <c r="DW445" s="205"/>
      <c r="DX445" s="205"/>
      <c r="DY445" s="205"/>
      <c r="DZ445" s="205"/>
      <c r="EA445" s="205"/>
      <c r="EB445" s="205"/>
      <c r="EC445" s="205"/>
      <c r="ED445" s="205"/>
      <c r="EE445" s="205"/>
      <c r="EF445" s="205"/>
      <c r="EG445" s="205"/>
      <c r="EH445" s="205"/>
      <c r="EI445" s="205"/>
      <c r="EJ445" s="205"/>
      <c r="EK445" s="205"/>
      <c r="EL445" s="205"/>
      <c r="EM445" s="205"/>
      <c r="EN445" s="205"/>
      <c r="EO445" s="205"/>
      <c r="EP445" s="205"/>
      <c r="EQ445" s="205"/>
      <c r="ER445" s="205"/>
      <c r="ES445" s="205"/>
      <c r="ET445" s="205"/>
      <c r="EU445" s="205"/>
      <c r="EV445" s="205"/>
      <c r="EW445" s="205"/>
      <c r="EX445" s="205"/>
      <c r="EY445" s="205"/>
      <c r="EZ445" s="205"/>
      <c r="FA445" s="205"/>
      <c r="FB445" s="205"/>
      <c r="FC445" s="205"/>
      <c r="FD445" s="205"/>
      <c r="FE445" s="205"/>
      <c r="FF445" s="205"/>
      <c r="FG445" s="205"/>
      <c r="FH445" s="205"/>
      <c r="FI445" s="205"/>
      <c r="FJ445" s="205"/>
      <c r="FK445" s="205"/>
      <c r="FL445" s="205"/>
      <c r="FM445" s="205"/>
      <c r="FN445" s="205"/>
      <c r="FO445" s="205"/>
      <c r="FP445" s="205"/>
      <c r="FQ445" s="205"/>
      <c r="FR445" s="205"/>
      <c r="FS445" s="205"/>
      <c r="FT445" s="205"/>
      <c r="FU445" s="205"/>
      <c r="FV445" s="205"/>
      <c r="FW445" s="205"/>
      <c r="FX445" s="205"/>
      <c r="FY445" s="205"/>
      <c r="FZ445" s="205"/>
      <c r="GA445" s="205"/>
      <c r="GB445" s="205"/>
      <c r="GC445" s="205"/>
      <c r="GD445" s="205"/>
      <c r="GE445" s="205"/>
      <c r="GF445" s="205"/>
      <c r="GG445" s="205"/>
      <c r="GH445" s="205"/>
      <c r="GI445" s="205"/>
      <c r="GJ445" s="205"/>
      <c r="GK445" s="205"/>
      <c r="GL445" s="205"/>
      <c r="GM445" s="205"/>
      <c r="GN445" s="205"/>
      <c r="GO445" s="205"/>
      <c r="GP445" s="205"/>
      <c r="GQ445" s="205"/>
      <c r="GR445" s="205"/>
      <c r="GS445" s="205"/>
      <c r="GT445" s="205"/>
      <c r="GU445" s="205"/>
      <c r="GV445" s="205"/>
      <c r="GW445" s="205"/>
      <c r="GX445" s="205"/>
      <c r="GY445" s="205"/>
      <c r="GZ445" s="205"/>
      <c r="HA445" s="205"/>
      <c r="HB445" s="205"/>
      <c r="HC445" s="205"/>
      <c r="HD445" s="205"/>
      <c r="HE445" s="205"/>
      <c r="HF445" s="205"/>
      <c r="HG445" s="205"/>
      <c r="HH445" s="205"/>
      <c r="HI445" s="205"/>
      <c r="HJ445" s="205"/>
      <c r="HK445" s="205"/>
      <c r="HL445" s="205"/>
      <c r="HM445" s="205"/>
      <c r="HN445" s="205"/>
      <c r="HO445" s="205"/>
      <c r="HP445" s="205"/>
      <c r="HQ445" s="205"/>
      <c r="HR445" s="205"/>
      <c r="HS445" s="205"/>
      <c r="HT445" s="205"/>
      <c r="HU445" s="205"/>
      <c r="HV445" s="205"/>
      <c r="HW445" s="205"/>
      <c r="HX445" s="205"/>
      <c r="HY445" s="205"/>
      <c r="HZ445" s="205"/>
      <c r="IA445" s="205"/>
      <c r="IB445" s="205"/>
      <c r="IC445" s="205"/>
      <c r="ID445" s="205"/>
      <c r="IE445" s="205"/>
      <c r="IF445" s="205"/>
      <c r="IG445" s="205"/>
      <c r="IH445" s="205"/>
      <c r="II445" s="205"/>
      <c r="IJ445" s="205"/>
      <c r="IK445" s="205"/>
      <c r="IL445" s="205"/>
      <c r="IM445" s="205"/>
      <c r="IN445" s="205"/>
      <c r="IO445" s="205"/>
      <c r="IP445" s="205"/>
      <c r="IQ445" s="205"/>
      <c r="IR445" s="205"/>
      <c r="IS445" s="205"/>
      <c r="IT445" s="205"/>
      <c r="IU445" s="205"/>
      <c r="IV445" s="205"/>
      <c r="IW445" s="205"/>
      <c r="IX445" s="205"/>
    </row>
    <row r="446" spans="1:258" s="203" customFormat="1" x14ac:dyDescent="0.2">
      <c r="A446" s="669"/>
      <c r="B446" s="670"/>
      <c r="C446" s="1390"/>
      <c r="D446" s="672"/>
      <c r="E446" s="1391"/>
      <c r="F446" s="1391"/>
      <c r="G446" s="1392"/>
      <c r="H446" s="1393"/>
      <c r="I446" s="1394"/>
      <c r="J446" s="1394"/>
      <c r="K446" s="1394"/>
      <c r="L446" s="1394"/>
      <c r="M446" s="1394"/>
      <c r="N446" s="1394"/>
      <c r="O446" s="1394"/>
      <c r="P446" s="1394"/>
      <c r="Q446" s="1394"/>
      <c r="R446" s="1395"/>
      <c r="S446" s="1396"/>
      <c r="T446" s="1397"/>
      <c r="U446" s="205"/>
      <c r="V446" s="685"/>
      <c r="W446" s="205"/>
      <c r="X446" s="205"/>
      <c r="Y446" s="205"/>
      <c r="Z446" s="205"/>
      <c r="AA446" s="205"/>
      <c r="AB446" s="205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05"/>
      <c r="BN446" s="205"/>
      <c r="BO446" s="205"/>
      <c r="BP446" s="205"/>
      <c r="BQ446" s="205"/>
      <c r="BR446" s="205"/>
      <c r="BS446" s="205"/>
      <c r="BT446" s="205"/>
      <c r="BU446" s="205"/>
      <c r="BV446" s="205"/>
      <c r="BW446" s="205"/>
      <c r="BX446" s="205"/>
      <c r="BY446" s="205"/>
      <c r="BZ446" s="205"/>
      <c r="CA446" s="205"/>
      <c r="CB446" s="205"/>
      <c r="CC446" s="205"/>
      <c r="CD446" s="205"/>
      <c r="CE446" s="205"/>
      <c r="CF446" s="205"/>
      <c r="CG446" s="205"/>
      <c r="CH446" s="205"/>
      <c r="CI446" s="205"/>
      <c r="CJ446" s="205"/>
      <c r="CK446" s="205"/>
      <c r="CL446" s="205"/>
      <c r="CM446" s="205"/>
      <c r="CN446" s="205"/>
      <c r="CO446" s="205"/>
      <c r="CP446" s="205"/>
      <c r="CQ446" s="205"/>
      <c r="CR446" s="205"/>
      <c r="CS446" s="205"/>
      <c r="CT446" s="205"/>
      <c r="CU446" s="205"/>
      <c r="CV446" s="205"/>
      <c r="CW446" s="205"/>
      <c r="CX446" s="205"/>
      <c r="CY446" s="205"/>
      <c r="CZ446" s="205"/>
      <c r="DA446" s="205"/>
      <c r="DB446" s="205"/>
      <c r="DC446" s="205"/>
      <c r="DD446" s="205"/>
      <c r="DE446" s="205"/>
      <c r="DF446" s="205"/>
      <c r="DG446" s="205"/>
      <c r="DH446" s="205"/>
      <c r="DI446" s="205"/>
      <c r="DJ446" s="205"/>
      <c r="DK446" s="205"/>
      <c r="DL446" s="205"/>
      <c r="DM446" s="205"/>
      <c r="DN446" s="205"/>
      <c r="DO446" s="205"/>
      <c r="DP446" s="205"/>
      <c r="DQ446" s="205"/>
      <c r="DR446" s="205"/>
      <c r="DS446" s="205"/>
      <c r="DT446" s="205"/>
      <c r="DU446" s="205"/>
      <c r="DV446" s="205"/>
      <c r="DW446" s="205"/>
      <c r="DX446" s="205"/>
      <c r="DY446" s="205"/>
      <c r="DZ446" s="205"/>
      <c r="EA446" s="205"/>
      <c r="EB446" s="205"/>
      <c r="EC446" s="205"/>
      <c r="ED446" s="205"/>
      <c r="EE446" s="205"/>
      <c r="EF446" s="205"/>
      <c r="EG446" s="205"/>
      <c r="EH446" s="205"/>
      <c r="EI446" s="205"/>
      <c r="EJ446" s="205"/>
      <c r="EK446" s="205"/>
      <c r="EL446" s="205"/>
      <c r="EM446" s="205"/>
      <c r="EN446" s="205"/>
      <c r="EO446" s="205"/>
      <c r="EP446" s="205"/>
      <c r="EQ446" s="205"/>
      <c r="ER446" s="205"/>
      <c r="ES446" s="205"/>
      <c r="ET446" s="205"/>
      <c r="EU446" s="205"/>
      <c r="EV446" s="205"/>
      <c r="EW446" s="205"/>
      <c r="EX446" s="205"/>
      <c r="EY446" s="205"/>
      <c r="EZ446" s="205"/>
      <c r="FA446" s="205"/>
      <c r="FB446" s="205"/>
      <c r="FC446" s="205"/>
      <c r="FD446" s="205"/>
      <c r="FE446" s="205"/>
      <c r="FF446" s="205"/>
      <c r="FG446" s="205"/>
      <c r="FH446" s="205"/>
      <c r="FI446" s="205"/>
      <c r="FJ446" s="205"/>
      <c r="FK446" s="205"/>
      <c r="FL446" s="205"/>
      <c r="FM446" s="205"/>
      <c r="FN446" s="205"/>
      <c r="FO446" s="205"/>
      <c r="FP446" s="205"/>
      <c r="FQ446" s="205"/>
      <c r="FR446" s="205"/>
      <c r="FS446" s="205"/>
      <c r="FT446" s="205"/>
      <c r="FU446" s="205"/>
      <c r="FV446" s="205"/>
      <c r="FW446" s="205"/>
      <c r="FX446" s="205"/>
      <c r="FY446" s="205"/>
      <c r="FZ446" s="205"/>
      <c r="GA446" s="205"/>
      <c r="GB446" s="205"/>
      <c r="GC446" s="205"/>
      <c r="GD446" s="205"/>
      <c r="GE446" s="205"/>
      <c r="GF446" s="205"/>
      <c r="GG446" s="205"/>
      <c r="GH446" s="205"/>
      <c r="GI446" s="205"/>
      <c r="GJ446" s="205"/>
      <c r="GK446" s="205"/>
      <c r="GL446" s="205"/>
      <c r="GM446" s="205"/>
      <c r="GN446" s="205"/>
      <c r="GO446" s="205"/>
      <c r="GP446" s="205"/>
      <c r="GQ446" s="205"/>
      <c r="GR446" s="205"/>
      <c r="GS446" s="205"/>
      <c r="GT446" s="205"/>
      <c r="GU446" s="205"/>
      <c r="GV446" s="205"/>
      <c r="GW446" s="205"/>
      <c r="GX446" s="205"/>
      <c r="GY446" s="205"/>
      <c r="GZ446" s="205"/>
      <c r="HA446" s="205"/>
      <c r="HB446" s="205"/>
      <c r="HC446" s="205"/>
      <c r="HD446" s="205"/>
      <c r="HE446" s="205"/>
      <c r="HF446" s="205"/>
      <c r="HG446" s="205"/>
      <c r="HH446" s="205"/>
      <c r="HI446" s="205"/>
      <c r="HJ446" s="205"/>
      <c r="HK446" s="205"/>
      <c r="HL446" s="205"/>
      <c r="HM446" s="205"/>
      <c r="HN446" s="205"/>
      <c r="HO446" s="205"/>
      <c r="HP446" s="205"/>
      <c r="HQ446" s="205"/>
      <c r="HR446" s="205"/>
      <c r="HS446" s="205"/>
      <c r="HT446" s="205"/>
      <c r="HU446" s="205"/>
      <c r="HV446" s="205"/>
      <c r="HW446" s="205"/>
      <c r="HX446" s="205"/>
      <c r="HY446" s="205"/>
      <c r="HZ446" s="205"/>
      <c r="IA446" s="205"/>
      <c r="IB446" s="205"/>
      <c r="IC446" s="205"/>
      <c r="ID446" s="205"/>
      <c r="IE446" s="205"/>
      <c r="IF446" s="205"/>
      <c r="IG446" s="205"/>
      <c r="IH446" s="205"/>
      <c r="II446" s="205"/>
      <c r="IJ446" s="205"/>
      <c r="IK446" s="205"/>
      <c r="IL446" s="205"/>
      <c r="IM446" s="205"/>
      <c r="IN446" s="205"/>
      <c r="IO446" s="205"/>
      <c r="IP446" s="205"/>
      <c r="IQ446" s="205"/>
      <c r="IR446" s="205"/>
      <c r="IS446" s="205"/>
      <c r="IT446" s="205"/>
      <c r="IU446" s="205"/>
      <c r="IV446" s="205"/>
      <c r="IW446" s="205"/>
      <c r="IX446" s="205"/>
    </row>
    <row r="447" spans="1:258" s="203" customFormat="1" x14ac:dyDescent="0.2">
      <c r="A447" s="669"/>
      <c r="B447" s="670">
        <f>RAB!B146</f>
        <v>3</v>
      </c>
      <c r="C447" s="686" t="str">
        <f>RAB!D146</f>
        <v>Pasang aluminium foil/sisalation</v>
      </c>
      <c r="D447" s="672"/>
      <c r="E447" s="673"/>
      <c r="F447" s="673"/>
      <c r="G447" s="674"/>
      <c r="H447" s="675"/>
      <c r="I447" s="676"/>
      <c r="J447" s="676"/>
      <c r="K447" s="676"/>
      <c r="L447" s="676"/>
      <c r="M447" s="676"/>
      <c r="N447" s="676"/>
      <c r="O447" s="676"/>
      <c r="P447" s="676"/>
      <c r="Q447" s="676"/>
      <c r="R447" s="677"/>
      <c r="S447" s="678"/>
      <c r="T447" s="684"/>
      <c r="U447" s="205"/>
      <c r="V447" s="685"/>
      <c r="W447" s="205"/>
      <c r="X447" s="205"/>
      <c r="Y447" s="205"/>
      <c r="Z447" s="205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05"/>
      <c r="BN447" s="205"/>
      <c r="BO447" s="205"/>
      <c r="BP447" s="205"/>
      <c r="BQ447" s="205"/>
      <c r="BR447" s="205"/>
      <c r="BS447" s="205"/>
      <c r="BT447" s="205"/>
      <c r="BU447" s="205"/>
      <c r="BV447" s="205"/>
      <c r="BW447" s="205"/>
      <c r="BX447" s="205"/>
      <c r="BY447" s="205"/>
      <c r="BZ447" s="205"/>
      <c r="CA447" s="205"/>
      <c r="CB447" s="205"/>
      <c r="CC447" s="205"/>
      <c r="CD447" s="205"/>
      <c r="CE447" s="205"/>
      <c r="CF447" s="205"/>
      <c r="CG447" s="205"/>
      <c r="CH447" s="205"/>
      <c r="CI447" s="205"/>
      <c r="CJ447" s="205"/>
      <c r="CK447" s="205"/>
      <c r="CL447" s="205"/>
      <c r="CM447" s="205"/>
      <c r="CN447" s="205"/>
      <c r="CO447" s="205"/>
      <c r="CP447" s="205"/>
      <c r="CQ447" s="205"/>
      <c r="CR447" s="205"/>
      <c r="CS447" s="205"/>
      <c r="CT447" s="205"/>
      <c r="CU447" s="205"/>
      <c r="CV447" s="205"/>
      <c r="CW447" s="205"/>
      <c r="CX447" s="205"/>
      <c r="CY447" s="205"/>
      <c r="CZ447" s="205"/>
      <c r="DA447" s="205"/>
      <c r="DB447" s="205"/>
      <c r="DC447" s="205"/>
      <c r="DD447" s="205"/>
      <c r="DE447" s="205"/>
      <c r="DF447" s="205"/>
      <c r="DG447" s="205"/>
      <c r="DH447" s="205"/>
      <c r="DI447" s="205"/>
      <c r="DJ447" s="205"/>
      <c r="DK447" s="205"/>
      <c r="DL447" s="205"/>
      <c r="DM447" s="205"/>
      <c r="DN447" s="205"/>
      <c r="DO447" s="205"/>
      <c r="DP447" s="205"/>
      <c r="DQ447" s="205"/>
      <c r="DR447" s="205"/>
      <c r="DS447" s="205"/>
      <c r="DT447" s="205"/>
      <c r="DU447" s="205"/>
      <c r="DV447" s="205"/>
      <c r="DW447" s="205"/>
      <c r="DX447" s="205"/>
      <c r="DY447" s="205"/>
      <c r="DZ447" s="205"/>
      <c r="EA447" s="205"/>
      <c r="EB447" s="205"/>
      <c r="EC447" s="205"/>
      <c r="ED447" s="205"/>
      <c r="EE447" s="205"/>
      <c r="EF447" s="205"/>
      <c r="EG447" s="205"/>
      <c r="EH447" s="205"/>
      <c r="EI447" s="205"/>
      <c r="EJ447" s="205"/>
      <c r="EK447" s="205"/>
      <c r="EL447" s="205"/>
      <c r="EM447" s="205"/>
      <c r="EN447" s="205"/>
      <c r="EO447" s="205"/>
      <c r="EP447" s="205"/>
      <c r="EQ447" s="205"/>
      <c r="ER447" s="205"/>
      <c r="ES447" s="205"/>
      <c r="ET447" s="205"/>
      <c r="EU447" s="205"/>
      <c r="EV447" s="205"/>
      <c r="EW447" s="205"/>
      <c r="EX447" s="205"/>
      <c r="EY447" s="205"/>
      <c r="EZ447" s="205"/>
      <c r="FA447" s="205"/>
      <c r="FB447" s="205"/>
      <c r="FC447" s="205"/>
      <c r="FD447" s="205"/>
      <c r="FE447" s="205"/>
      <c r="FF447" s="205"/>
      <c r="FG447" s="205"/>
      <c r="FH447" s="205"/>
      <c r="FI447" s="205"/>
      <c r="FJ447" s="205"/>
      <c r="FK447" s="205"/>
      <c r="FL447" s="205"/>
      <c r="FM447" s="205"/>
      <c r="FN447" s="205"/>
      <c r="FO447" s="205"/>
      <c r="FP447" s="205"/>
      <c r="FQ447" s="205"/>
      <c r="FR447" s="205"/>
      <c r="FS447" s="205"/>
      <c r="FT447" s="205"/>
      <c r="FU447" s="205"/>
      <c r="FV447" s="205"/>
      <c r="FW447" s="205"/>
      <c r="FX447" s="205"/>
      <c r="FY447" s="205"/>
      <c r="FZ447" s="205"/>
      <c r="GA447" s="205"/>
      <c r="GB447" s="205"/>
      <c r="GC447" s="205"/>
      <c r="GD447" s="205"/>
      <c r="GE447" s="205"/>
      <c r="GF447" s="205"/>
      <c r="GG447" s="205"/>
      <c r="GH447" s="205"/>
      <c r="GI447" s="205"/>
      <c r="GJ447" s="205"/>
      <c r="GK447" s="205"/>
      <c r="GL447" s="205"/>
      <c r="GM447" s="205"/>
      <c r="GN447" s="205"/>
      <c r="GO447" s="205"/>
      <c r="GP447" s="205"/>
      <c r="GQ447" s="205"/>
      <c r="GR447" s="205"/>
      <c r="GS447" s="205"/>
      <c r="GT447" s="205"/>
      <c r="GU447" s="205"/>
      <c r="GV447" s="205"/>
      <c r="GW447" s="205"/>
      <c r="GX447" s="205"/>
      <c r="GY447" s="205"/>
      <c r="GZ447" s="205"/>
      <c r="HA447" s="205"/>
      <c r="HB447" s="205"/>
      <c r="HC447" s="205"/>
      <c r="HD447" s="205"/>
      <c r="HE447" s="205"/>
      <c r="HF447" s="205"/>
      <c r="HG447" s="205"/>
      <c r="HH447" s="205"/>
      <c r="HI447" s="205"/>
      <c r="HJ447" s="205"/>
      <c r="HK447" s="205"/>
      <c r="HL447" s="205"/>
      <c r="HM447" s="205"/>
      <c r="HN447" s="205"/>
      <c r="HO447" s="205"/>
      <c r="HP447" s="205"/>
      <c r="HQ447" s="205"/>
      <c r="HR447" s="205"/>
      <c r="HS447" s="205"/>
      <c r="HT447" s="205"/>
      <c r="HU447" s="205"/>
      <c r="HV447" s="205"/>
      <c r="HW447" s="205"/>
      <c r="HX447" s="205"/>
      <c r="HY447" s="205"/>
      <c r="HZ447" s="205"/>
      <c r="IA447" s="205"/>
      <c r="IB447" s="205"/>
      <c r="IC447" s="205"/>
      <c r="ID447" s="205"/>
      <c r="IE447" s="205"/>
      <c r="IF447" s="205"/>
      <c r="IG447" s="205"/>
      <c r="IH447" s="205"/>
      <c r="II447" s="205"/>
      <c r="IJ447" s="205"/>
      <c r="IK447" s="205"/>
      <c r="IL447" s="205"/>
      <c r="IM447" s="205"/>
      <c r="IN447" s="205"/>
      <c r="IO447" s="205"/>
      <c r="IP447" s="205"/>
      <c r="IQ447" s="205"/>
      <c r="IR447" s="205"/>
      <c r="IS447" s="205"/>
      <c r="IT447" s="205"/>
      <c r="IU447" s="205"/>
      <c r="IV447" s="205"/>
      <c r="IW447" s="205"/>
      <c r="IX447" s="205"/>
    </row>
    <row r="448" spans="1:258" s="203" customFormat="1" x14ac:dyDescent="0.2">
      <c r="A448" s="669"/>
      <c r="B448" s="670"/>
      <c r="C448" s="1390"/>
      <c r="D448" s="672"/>
      <c r="E448" s="1391"/>
      <c r="F448" s="1391" t="s">
        <v>1733</v>
      </c>
      <c r="G448" s="1392"/>
      <c r="H448" s="1407">
        <f>S445</f>
        <v>487.70279999999997</v>
      </c>
      <c r="I448" s="1394"/>
      <c r="J448" s="1394"/>
      <c r="K448" s="1394"/>
      <c r="L448" s="1394"/>
      <c r="M448" s="1394"/>
      <c r="N448" s="1394"/>
      <c r="O448" s="1394"/>
      <c r="P448" s="1394"/>
      <c r="Q448" s="1394" t="s">
        <v>696</v>
      </c>
      <c r="R448" s="1395">
        <f>H448</f>
        <v>487.70279999999997</v>
      </c>
      <c r="S448" s="1396"/>
      <c r="T448" s="1397"/>
      <c r="U448" s="205"/>
      <c r="V448" s="68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5"/>
      <c r="BN448" s="205"/>
      <c r="BO448" s="205"/>
      <c r="BP448" s="205"/>
      <c r="BQ448" s="205"/>
      <c r="BR448" s="205"/>
      <c r="BS448" s="205"/>
      <c r="BT448" s="205"/>
      <c r="BU448" s="205"/>
      <c r="BV448" s="205"/>
      <c r="BW448" s="205"/>
      <c r="BX448" s="205"/>
      <c r="BY448" s="205"/>
      <c r="BZ448" s="205"/>
      <c r="CA448" s="205"/>
      <c r="CB448" s="205"/>
      <c r="CC448" s="205"/>
      <c r="CD448" s="205"/>
      <c r="CE448" s="205"/>
      <c r="CF448" s="205"/>
      <c r="CG448" s="205"/>
      <c r="CH448" s="205"/>
      <c r="CI448" s="205"/>
      <c r="CJ448" s="205"/>
      <c r="CK448" s="205"/>
      <c r="CL448" s="205"/>
      <c r="CM448" s="205"/>
      <c r="CN448" s="205"/>
      <c r="CO448" s="205"/>
      <c r="CP448" s="205"/>
      <c r="CQ448" s="205"/>
      <c r="CR448" s="205"/>
      <c r="CS448" s="205"/>
      <c r="CT448" s="205"/>
      <c r="CU448" s="205"/>
      <c r="CV448" s="205"/>
      <c r="CW448" s="205"/>
      <c r="CX448" s="205"/>
      <c r="CY448" s="205"/>
      <c r="CZ448" s="205"/>
      <c r="DA448" s="205"/>
      <c r="DB448" s="205"/>
      <c r="DC448" s="205"/>
      <c r="DD448" s="205"/>
      <c r="DE448" s="205"/>
      <c r="DF448" s="205"/>
      <c r="DG448" s="205"/>
      <c r="DH448" s="205"/>
      <c r="DI448" s="205"/>
      <c r="DJ448" s="205"/>
      <c r="DK448" s="205"/>
      <c r="DL448" s="205"/>
      <c r="DM448" s="205"/>
      <c r="DN448" s="205"/>
      <c r="DO448" s="205"/>
      <c r="DP448" s="205"/>
      <c r="DQ448" s="205"/>
      <c r="DR448" s="205"/>
      <c r="DS448" s="205"/>
      <c r="DT448" s="205"/>
      <c r="DU448" s="205"/>
      <c r="DV448" s="205"/>
      <c r="DW448" s="205"/>
      <c r="DX448" s="205"/>
      <c r="DY448" s="205"/>
      <c r="DZ448" s="205"/>
      <c r="EA448" s="205"/>
      <c r="EB448" s="205"/>
      <c r="EC448" s="205"/>
      <c r="ED448" s="205"/>
      <c r="EE448" s="205"/>
      <c r="EF448" s="205"/>
      <c r="EG448" s="205"/>
      <c r="EH448" s="205"/>
      <c r="EI448" s="205"/>
      <c r="EJ448" s="205"/>
      <c r="EK448" s="205"/>
      <c r="EL448" s="205"/>
      <c r="EM448" s="205"/>
      <c r="EN448" s="205"/>
      <c r="EO448" s="205"/>
      <c r="EP448" s="205"/>
      <c r="EQ448" s="205"/>
      <c r="ER448" s="205"/>
      <c r="ES448" s="205"/>
      <c r="ET448" s="205"/>
      <c r="EU448" s="205"/>
      <c r="EV448" s="205"/>
      <c r="EW448" s="205"/>
      <c r="EX448" s="205"/>
      <c r="EY448" s="205"/>
      <c r="EZ448" s="205"/>
      <c r="FA448" s="205"/>
      <c r="FB448" s="205"/>
      <c r="FC448" s="205"/>
      <c r="FD448" s="205"/>
      <c r="FE448" s="205"/>
      <c r="FF448" s="205"/>
      <c r="FG448" s="205"/>
      <c r="FH448" s="205"/>
      <c r="FI448" s="205"/>
      <c r="FJ448" s="205"/>
      <c r="FK448" s="205"/>
      <c r="FL448" s="205"/>
      <c r="FM448" s="205"/>
      <c r="FN448" s="205"/>
      <c r="FO448" s="205"/>
      <c r="FP448" s="205"/>
      <c r="FQ448" s="205"/>
      <c r="FR448" s="205"/>
      <c r="FS448" s="205"/>
      <c r="FT448" s="205"/>
      <c r="FU448" s="205"/>
      <c r="FV448" s="205"/>
      <c r="FW448" s="205"/>
      <c r="FX448" s="205"/>
      <c r="FY448" s="205"/>
      <c r="FZ448" s="205"/>
      <c r="GA448" s="205"/>
      <c r="GB448" s="205"/>
      <c r="GC448" s="205"/>
      <c r="GD448" s="205"/>
      <c r="GE448" s="205"/>
      <c r="GF448" s="205"/>
      <c r="GG448" s="205"/>
      <c r="GH448" s="205"/>
      <c r="GI448" s="205"/>
      <c r="GJ448" s="205"/>
      <c r="GK448" s="205"/>
      <c r="GL448" s="205"/>
      <c r="GM448" s="205"/>
      <c r="GN448" s="205"/>
      <c r="GO448" s="205"/>
      <c r="GP448" s="205"/>
      <c r="GQ448" s="205"/>
      <c r="GR448" s="205"/>
      <c r="GS448" s="205"/>
      <c r="GT448" s="205"/>
      <c r="GU448" s="205"/>
      <c r="GV448" s="205"/>
      <c r="GW448" s="205"/>
      <c r="GX448" s="205"/>
      <c r="GY448" s="205"/>
      <c r="GZ448" s="205"/>
      <c r="HA448" s="205"/>
      <c r="HB448" s="205"/>
      <c r="HC448" s="205"/>
      <c r="HD448" s="205"/>
      <c r="HE448" s="205"/>
      <c r="HF448" s="205"/>
      <c r="HG448" s="205"/>
      <c r="HH448" s="205"/>
      <c r="HI448" s="205"/>
      <c r="HJ448" s="205"/>
      <c r="HK448" s="205"/>
      <c r="HL448" s="205"/>
      <c r="HM448" s="205"/>
      <c r="HN448" s="205"/>
      <c r="HO448" s="205"/>
      <c r="HP448" s="205"/>
      <c r="HQ448" s="205"/>
      <c r="HR448" s="205"/>
      <c r="HS448" s="205"/>
      <c r="HT448" s="205"/>
      <c r="HU448" s="205"/>
      <c r="HV448" s="205"/>
      <c r="HW448" s="205"/>
      <c r="HX448" s="205"/>
      <c r="HY448" s="205"/>
      <c r="HZ448" s="205"/>
      <c r="IA448" s="205"/>
      <c r="IB448" s="205"/>
      <c r="IC448" s="205"/>
      <c r="ID448" s="205"/>
      <c r="IE448" s="205"/>
      <c r="IF448" s="205"/>
      <c r="IG448" s="205"/>
      <c r="IH448" s="205"/>
      <c r="II448" s="205"/>
      <c r="IJ448" s="205"/>
      <c r="IK448" s="205"/>
      <c r="IL448" s="205"/>
      <c r="IM448" s="205"/>
      <c r="IN448" s="205"/>
      <c r="IO448" s="205"/>
      <c r="IP448" s="205"/>
      <c r="IQ448" s="205"/>
      <c r="IR448" s="205"/>
      <c r="IS448" s="205"/>
      <c r="IT448" s="205"/>
      <c r="IU448" s="205"/>
      <c r="IV448" s="205"/>
      <c r="IW448" s="205"/>
      <c r="IX448" s="205"/>
    </row>
    <row r="449" spans="1:258" s="203" customFormat="1" x14ac:dyDescent="0.2">
      <c r="A449" s="669"/>
      <c r="B449" s="670"/>
      <c r="C449" s="1390"/>
      <c r="D449" s="672"/>
      <c r="E449" s="1391"/>
      <c r="F449" s="1391" t="s">
        <v>1734</v>
      </c>
      <c r="G449" s="1392"/>
      <c r="H449" s="1393">
        <v>126</v>
      </c>
      <c r="I449" s="1394" t="s">
        <v>424</v>
      </c>
      <c r="J449" s="1394">
        <f>J445</f>
        <v>1.1033999999999999</v>
      </c>
      <c r="K449" s="1394"/>
      <c r="L449" s="1394"/>
      <c r="M449" s="1394"/>
      <c r="N449" s="1394"/>
      <c r="O449" s="1394"/>
      <c r="P449" s="1394"/>
      <c r="Q449" s="1394" t="s">
        <v>696</v>
      </c>
      <c r="R449" s="1395">
        <f>H449*J449</f>
        <v>139.0284</v>
      </c>
      <c r="S449" s="1396"/>
      <c r="T449" s="1397"/>
      <c r="U449" s="205"/>
      <c r="V449" s="68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5"/>
      <c r="BN449" s="205"/>
      <c r="BO449" s="205"/>
      <c r="BP449" s="205"/>
      <c r="BQ449" s="205"/>
      <c r="BR449" s="205"/>
      <c r="BS449" s="205"/>
      <c r="BT449" s="205"/>
      <c r="BU449" s="205"/>
      <c r="BV449" s="205"/>
      <c r="BW449" s="205"/>
      <c r="BX449" s="205"/>
      <c r="BY449" s="205"/>
      <c r="BZ449" s="205"/>
      <c r="CA449" s="205"/>
      <c r="CB449" s="205"/>
      <c r="CC449" s="205"/>
      <c r="CD449" s="205"/>
      <c r="CE449" s="205"/>
      <c r="CF449" s="205"/>
      <c r="CG449" s="205"/>
      <c r="CH449" s="205"/>
      <c r="CI449" s="205"/>
      <c r="CJ449" s="205"/>
      <c r="CK449" s="205"/>
      <c r="CL449" s="205"/>
      <c r="CM449" s="205"/>
      <c r="CN449" s="205"/>
      <c r="CO449" s="205"/>
      <c r="CP449" s="205"/>
      <c r="CQ449" s="205"/>
      <c r="CR449" s="205"/>
      <c r="CS449" s="205"/>
      <c r="CT449" s="205"/>
      <c r="CU449" s="205"/>
      <c r="CV449" s="205"/>
      <c r="CW449" s="205"/>
      <c r="CX449" s="205"/>
      <c r="CY449" s="205"/>
      <c r="CZ449" s="205"/>
      <c r="DA449" s="205"/>
      <c r="DB449" s="205"/>
      <c r="DC449" s="205"/>
      <c r="DD449" s="205"/>
      <c r="DE449" s="205"/>
      <c r="DF449" s="205"/>
      <c r="DG449" s="205"/>
      <c r="DH449" s="205"/>
      <c r="DI449" s="205"/>
      <c r="DJ449" s="205"/>
      <c r="DK449" s="205"/>
      <c r="DL449" s="205"/>
      <c r="DM449" s="205"/>
      <c r="DN449" s="205"/>
      <c r="DO449" s="205"/>
      <c r="DP449" s="205"/>
      <c r="DQ449" s="205"/>
      <c r="DR449" s="205"/>
      <c r="DS449" s="205"/>
      <c r="DT449" s="205"/>
      <c r="DU449" s="205"/>
      <c r="DV449" s="205"/>
      <c r="DW449" s="205"/>
      <c r="DX449" s="205"/>
      <c r="DY449" s="205"/>
      <c r="DZ449" s="205"/>
      <c r="EA449" s="205"/>
      <c r="EB449" s="205"/>
      <c r="EC449" s="205"/>
      <c r="ED449" s="205"/>
      <c r="EE449" s="205"/>
      <c r="EF449" s="205"/>
      <c r="EG449" s="205"/>
      <c r="EH449" s="205"/>
      <c r="EI449" s="205"/>
      <c r="EJ449" s="205"/>
      <c r="EK449" s="205"/>
      <c r="EL449" s="205"/>
      <c r="EM449" s="205"/>
      <c r="EN449" s="205"/>
      <c r="EO449" s="205"/>
      <c r="EP449" s="205"/>
      <c r="EQ449" s="205"/>
      <c r="ER449" s="205"/>
      <c r="ES449" s="205"/>
      <c r="ET449" s="205"/>
      <c r="EU449" s="205"/>
      <c r="EV449" s="205"/>
      <c r="EW449" s="205"/>
      <c r="EX449" s="205"/>
      <c r="EY449" s="205"/>
      <c r="EZ449" s="205"/>
      <c r="FA449" s="205"/>
      <c r="FB449" s="205"/>
      <c r="FC449" s="205"/>
      <c r="FD449" s="205"/>
      <c r="FE449" s="205"/>
      <c r="FF449" s="205"/>
      <c r="FG449" s="205"/>
      <c r="FH449" s="205"/>
      <c r="FI449" s="205"/>
      <c r="FJ449" s="205"/>
      <c r="FK449" s="205"/>
      <c r="FL449" s="205"/>
      <c r="FM449" s="205"/>
      <c r="FN449" s="205"/>
      <c r="FO449" s="205"/>
      <c r="FP449" s="205"/>
      <c r="FQ449" s="205"/>
      <c r="FR449" s="205"/>
      <c r="FS449" s="205"/>
      <c r="FT449" s="205"/>
      <c r="FU449" s="205"/>
      <c r="FV449" s="205"/>
      <c r="FW449" s="205"/>
      <c r="FX449" s="205"/>
      <c r="FY449" s="205"/>
      <c r="FZ449" s="205"/>
      <c r="GA449" s="205"/>
      <c r="GB449" s="205"/>
      <c r="GC449" s="205"/>
      <c r="GD449" s="205"/>
      <c r="GE449" s="205"/>
      <c r="GF449" s="205"/>
      <c r="GG449" s="205"/>
      <c r="GH449" s="205"/>
      <c r="GI449" s="205"/>
      <c r="GJ449" s="205"/>
      <c r="GK449" s="205"/>
      <c r="GL449" s="205"/>
      <c r="GM449" s="205"/>
      <c r="GN449" s="205"/>
      <c r="GO449" s="205"/>
      <c r="GP449" s="205"/>
      <c r="GQ449" s="205"/>
      <c r="GR449" s="205"/>
      <c r="GS449" s="205"/>
      <c r="GT449" s="205"/>
      <c r="GU449" s="205"/>
      <c r="GV449" s="205"/>
      <c r="GW449" s="205"/>
      <c r="GX449" s="205"/>
      <c r="GY449" s="205"/>
      <c r="GZ449" s="205"/>
      <c r="HA449" s="205"/>
      <c r="HB449" s="205"/>
      <c r="HC449" s="205"/>
      <c r="HD449" s="205"/>
      <c r="HE449" s="205"/>
      <c r="HF449" s="205"/>
      <c r="HG449" s="205"/>
      <c r="HH449" s="205"/>
      <c r="HI449" s="205"/>
      <c r="HJ449" s="205"/>
      <c r="HK449" s="205"/>
      <c r="HL449" s="205"/>
      <c r="HM449" s="205"/>
      <c r="HN449" s="205"/>
      <c r="HO449" s="205"/>
      <c r="HP449" s="205"/>
      <c r="HQ449" s="205"/>
      <c r="HR449" s="205"/>
      <c r="HS449" s="205"/>
      <c r="HT449" s="205"/>
      <c r="HU449" s="205"/>
      <c r="HV449" s="205"/>
      <c r="HW449" s="205"/>
      <c r="HX449" s="205"/>
      <c r="HY449" s="205"/>
      <c r="HZ449" s="205"/>
      <c r="IA449" s="205"/>
      <c r="IB449" s="205"/>
      <c r="IC449" s="205"/>
      <c r="ID449" s="205"/>
      <c r="IE449" s="205"/>
      <c r="IF449" s="205"/>
      <c r="IG449" s="205"/>
      <c r="IH449" s="205"/>
      <c r="II449" s="205"/>
      <c r="IJ449" s="205"/>
      <c r="IK449" s="205"/>
      <c r="IL449" s="205"/>
      <c r="IM449" s="205"/>
      <c r="IN449" s="205"/>
      <c r="IO449" s="205"/>
      <c r="IP449" s="205"/>
      <c r="IQ449" s="205"/>
      <c r="IR449" s="205"/>
      <c r="IS449" s="205"/>
      <c r="IT449" s="205"/>
      <c r="IU449" s="205"/>
      <c r="IV449" s="205"/>
      <c r="IW449" s="205"/>
      <c r="IX449" s="205"/>
    </row>
    <row r="450" spans="1:258" s="203" customFormat="1" x14ac:dyDescent="0.2">
      <c r="A450" s="669"/>
      <c r="B450" s="670"/>
      <c r="C450" s="1390"/>
      <c r="D450" s="672"/>
      <c r="E450" s="1391"/>
      <c r="F450" s="1391"/>
      <c r="G450" s="1392"/>
      <c r="H450" s="1393"/>
      <c r="I450" s="1394"/>
      <c r="J450" s="1394"/>
      <c r="K450" s="1394"/>
      <c r="L450" s="1394"/>
      <c r="M450" s="1394"/>
      <c r="N450" s="1394"/>
      <c r="O450" s="1394"/>
      <c r="P450" s="1394"/>
      <c r="Q450" s="1394"/>
      <c r="R450" s="1395">
        <f>SUM(R448:R449)</f>
        <v>626.73119999999994</v>
      </c>
      <c r="S450" s="1396">
        <f>R450</f>
        <v>626.73119999999994</v>
      </c>
      <c r="T450" s="1397" t="s">
        <v>338</v>
      </c>
      <c r="U450" s="205"/>
      <c r="V450" s="68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05"/>
      <c r="BN450" s="205"/>
      <c r="BO450" s="205"/>
      <c r="BP450" s="205"/>
      <c r="BQ450" s="205"/>
      <c r="BR450" s="205"/>
      <c r="BS450" s="205"/>
      <c r="BT450" s="205"/>
      <c r="BU450" s="205"/>
      <c r="BV450" s="205"/>
      <c r="BW450" s="205"/>
      <c r="BX450" s="205"/>
      <c r="BY450" s="205"/>
      <c r="BZ450" s="205"/>
      <c r="CA450" s="205"/>
      <c r="CB450" s="205"/>
      <c r="CC450" s="205"/>
      <c r="CD450" s="205"/>
      <c r="CE450" s="205"/>
      <c r="CF450" s="205"/>
      <c r="CG450" s="205"/>
      <c r="CH450" s="205"/>
      <c r="CI450" s="205"/>
      <c r="CJ450" s="205"/>
      <c r="CK450" s="205"/>
      <c r="CL450" s="205"/>
      <c r="CM450" s="205"/>
      <c r="CN450" s="205"/>
      <c r="CO450" s="205"/>
      <c r="CP450" s="205"/>
      <c r="CQ450" s="205"/>
      <c r="CR450" s="205"/>
      <c r="CS450" s="205"/>
      <c r="CT450" s="205"/>
      <c r="CU450" s="205"/>
      <c r="CV450" s="205"/>
      <c r="CW450" s="205"/>
      <c r="CX450" s="205"/>
      <c r="CY450" s="205"/>
      <c r="CZ450" s="205"/>
      <c r="DA450" s="205"/>
      <c r="DB450" s="205"/>
      <c r="DC450" s="205"/>
      <c r="DD450" s="205"/>
      <c r="DE450" s="205"/>
      <c r="DF450" s="205"/>
      <c r="DG450" s="205"/>
      <c r="DH450" s="205"/>
      <c r="DI450" s="205"/>
      <c r="DJ450" s="205"/>
      <c r="DK450" s="205"/>
      <c r="DL450" s="205"/>
      <c r="DM450" s="205"/>
      <c r="DN450" s="205"/>
      <c r="DO450" s="205"/>
      <c r="DP450" s="205"/>
      <c r="DQ450" s="205"/>
      <c r="DR450" s="205"/>
      <c r="DS450" s="205"/>
      <c r="DT450" s="205"/>
      <c r="DU450" s="205"/>
      <c r="DV450" s="205"/>
      <c r="DW450" s="205"/>
      <c r="DX450" s="205"/>
      <c r="DY450" s="205"/>
      <c r="DZ450" s="205"/>
      <c r="EA450" s="205"/>
      <c r="EB450" s="205"/>
      <c r="EC450" s="205"/>
      <c r="ED450" s="205"/>
      <c r="EE450" s="205"/>
      <c r="EF450" s="205"/>
      <c r="EG450" s="205"/>
      <c r="EH450" s="205"/>
      <c r="EI450" s="205"/>
      <c r="EJ450" s="205"/>
      <c r="EK450" s="205"/>
      <c r="EL450" s="205"/>
      <c r="EM450" s="205"/>
      <c r="EN450" s="205"/>
      <c r="EO450" s="205"/>
      <c r="EP450" s="205"/>
      <c r="EQ450" s="205"/>
      <c r="ER450" s="205"/>
      <c r="ES450" s="205"/>
      <c r="ET450" s="205"/>
      <c r="EU450" s="205"/>
      <c r="EV450" s="205"/>
      <c r="EW450" s="205"/>
      <c r="EX450" s="205"/>
      <c r="EY450" s="205"/>
      <c r="EZ450" s="205"/>
      <c r="FA450" s="205"/>
      <c r="FB450" s="205"/>
      <c r="FC450" s="205"/>
      <c r="FD450" s="205"/>
      <c r="FE450" s="205"/>
      <c r="FF450" s="205"/>
      <c r="FG450" s="205"/>
      <c r="FH450" s="205"/>
      <c r="FI450" s="205"/>
      <c r="FJ450" s="205"/>
      <c r="FK450" s="205"/>
      <c r="FL450" s="205"/>
      <c r="FM450" s="205"/>
      <c r="FN450" s="205"/>
      <c r="FO450" s="205"/>
      <c r="FP450" s="205"/>
      <c r="FQ450" s="205"/>
      <c r="FR450" s="205"/>
      <c r="FS450" s="205"/>
      <c r="FT450" s="205"/>
      <c r="FU450" s="205"/>
      <c r="FV450" s="205"/>
      <c r="FW450" s="205"/>
      <c r="FX450" s="205"/>
      <c r="FY450" s="205"/>
      <c r="FZ450" s="205"/>
      <c r="GA450" s="205"/>
      <c r="GB450" s="205"/>
      <c r="GC450" s="205"/>
      <c r="GD450" s="205"/>
      <c r="GE450" s="205"/>
      <c r="GF450" s="205"/>
      <c r="GG450" s="205"/>
      <c r="GH450" s="205"/>
      <c r="GI450" s="205"/>
      <c r="GJ450" s="205"/>
      <c r="GK450" s="205"/>
      <c r="GL450" s="205"/>
      <c r="GM450" s="205"/>
      <c r="GN450" s="205"/>
      <c r="GO450" s="205"/>
      <c r="GP450" s="205"/>
      <c r="GQ450" s="205"/>
      <c r="GR450" s="205"/>
      <c r="GS450" s="205"/>
      <c r="GT450" s="205"/>
      <c r="GU450" s="205"/>
      <c r="GV450" s="205"/>
      <c r="GW450" s="205"/>
      <c r="GX450" s="205"/>
      <c r="GY450" s="205"/>
      <c r="GZ450" s="205"/>
      <c r="HA450" s="205"/>
      <c r="HB450" s="205"/>
      <c r="HC450" s="205"/>
      <c r="HD450" s="205"/>
      <c r="HE450" s="205"/>
      <c r="HF450" s="205"/>
      <c r="HG450" s="205"/>
      <c r="HH450" s="205"/>
      <c r="HI450" s="205"/>
      <c r="HJ450" s="205"/>
      <c r="HK450" s="205"/>
      <c r="HL450" s="205"/>
      <c r="HM450" s="205"/>
      <c r="HN450" s="205"/>
      <c r="HO450" s="205"/>
      <c r="HP450" s="205"/>
      <c r="HQ450" s="205"/>
      <c r="HR450" s="205"/>
      <c r="HS450" s="205"/>
      <c r="HT450" s="205"/>
      <c r="HU450" s="205"/>
      <c r="HV450" s="205"/>
      <c r="HW450" s="205"/>
      <c r="HX450" s="205"/>
      <c r="HY450" s="205"/>
      <c r="HZ450" s="205"/>
      <c r="IA450" s="205"/>
      <c r="IB450" s="205"/>
      <c r="IC450" s="205"/>
      <c r="ID450" s="205"/>
      <c r="IE450" s="205"/>
      <c r="IF450" s="205"/>
      <c r="IG450" s="205"/>
      <c r="IH450" s="205"/>
      <c r="II450" s="205"/>
      <c r="IJ450" s="205"/>
      <c r="IK450" s="205"/>
      <c r="IL450" s="205"/>
      <c r="IM450" s="205"/>
      <c r="IN450" s="205"/>
      <c r="IO450" s="205"/>
      <c r="IP450" s="205"/>
      <c r="IQ450" s="205"/>
      <c r="IR450" s="205"/>
      <c r="IS450" s="205"/>
      <c r="IT450" s="205"/>
      <c r="IU450" s="205"/>
      <c r="IV450" s="205"/>
      <c r="IW450" s="205"/>
      <c r="IX450" s="205"/>
    </row>
    <row r="451" spans="1:258" s="203" customFormat="1" x14ac:dyDescent="0.2">
      <c r="A451" s="669"/>
      <c r="B451" s="670">
        <f>RAB!B147</f>
        <v>4</v>
      </c>
      <c r="C451" s="686" t="e">
        <f>RAB!D147</f>
        <v>#REF!</v>
      </c>
      <c r="D451" s="672"/>
      <c r="E451" s="673"/>
      <c r="F451" s="673"/>
      <c r="G451" s="674"/>
      <c r="H451" s="675"/>
      <c r="I451" s="676"/>
      <c r="J451" s="676"/>
      <c r="K451" s="676"/>
      <c r="L451" s="676"/>
      <c r="M451" s="676"/>
      <c r="N451" s="676"/>
      <c r="O451" s="676"/>
      <c r="P451" s="676"/>
      <c r="Q451" s="676"/>
      <c r="R451" s="677"/>
      <c r="S451" s="678">
        <f>S450</f>
        <v>626.73119999999994</v>
      </c>
      <c r="T451" s="684" t="s">
        <v>338</v>
      </c>
      <c r="U451" s="205"/>
      <c r="V451" s="68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05"/>
      <c r="BN451" s="205"/>
      <c r="BO451" s="205"/>
      <c r="BP451" s="205"/>
      <c r="BQ451" s="205"/>
      <c r="BR451" s="205"/>
      <c r="BS451" s="205"/>
      <c r="BT451" s="205"/>
      <c r="BU451" s="205"/>
      <c r="BV451" s="205"/>
      <c r="BW451" s="205"/>
      <c r="BX451" s="205"/>
      <c r="BY451" s="205"/>
      <c r="BZ451" s="205"/>
      <c r="CA451" s="205"/>
      <c r="CB451" s="205"/>
      <c r="CC451" s="205"/>
      <c r="CD451" s="205"/>
      <c r="CE451" s="205"/>
      <c r="CF451" s="205"/>
      <c r="CG451" s="205"/>
      <c r="CH451" s="205"/>
      <c r="CI451" s="205"/>
      <c r="CJ451" s="205"/>
      <c r="CK451" s="205"/>
      <c r="CL451" s="205"/>
      <c r="CM451" s="205"/>
      <c r="CN451" s="205"/>
      <c r="CO451" s="205"/>
      <c r="CP451" s="205"/>
      <c r="CQ451" s="205"/>
      <c r="CR451" s="205"/>
      <c r="CS451" s="205"/>
      <c r="CT451" s="205"/>
      <c r="CU451" s="205"/>
      <c r="CV451" s="205"/>
      <c r="CW451" s="205"/>
      <c r="CX451" s="205"/>
      <c r="CY451" s="205"/>
      <c r="CZ451" s="205"/>
      <c r="DA451" s="205"/>
      <c r="DB451" s="205"/>
      <c r="DC451" s="205"/>
      <c r="DD451" s="205"/>
      <c r="DE451" s="205"/>
      <c r="DF451" s="205"/>
      <c r="DG451" s="205"/>
      <c r="DH451" s="205"/>
      <c r="DI451" s="205"/>
      <c r="DJ451" s="205"/>
      <c r="DK451" s="205"/>
      <c r="DL451" s="205"/>
      <c r="DM451" s="205"/>
      <c r="DN451" s="205"/>
      <c r="DO451" s="205"/>
      <c r="DP451" s="205"/>
      <c r="DQ451" s="205"/>
      <c r="DR451" s="205"/>
      <c r="DS451" s="205"/>
      <c r="DT451" s="205"/>
      <c r="DU451" s="205"/>
      <c r="DV451" s="205"/>
      <c r="DW451" s="205"/>
      <c r="DX451" s="205"/>
      <c r="DY451" s="205"/>
      <c r="DZ451" s="205"/>
      <c r="EA451" s="205"/>
      <c r="EB451" s="205"/>
      <c r="EC451" s="205"/>
      <c r="ED451" s="205"/>
      <c r="EE451" s="205"/>
      <c r="EF451" s="205"/>
      <c r="EG451" s="205"/>
      <c r="EH451" s="205"/>
      <c r="EI451" s="205"/>
      <c r="EJ451" s="205"/>
      <c r="EK451" s="205"/>
      <c r="EL451" s="205"/>
      <c r="EM451" s="205"/>
      <c r="EN451" s="205"/>
      <c r="EO451" s="205"/>
      <c r="EP451" s="205"/>
      <c r="EQ451" s="205"/>
      <c r="ER451" s="205"/>
      <c r="ES451" s="205"/>
      <c r="ET451" s="205"/>
      <c r="EU451" s="205"/>
      <c r="EV451" s="205"/>
      <c r="EW451" s="205"/>
      <c r="EX451" s="205"/>
      <c r="EY451" s="205"/>
      <c r="EZ451" s="205"/>
      <c r="FA451" s="205"/>
      <c r="FB451" s="205"/>
      <c r="FC451" s="205"/>
      <c r="FD451" s="205"/>
      <c r="FE451" s="205"/>
      <c r="FF451" s="205"/>
      <c r="FG451" s="205"/>
      <c r="FH451" s="205"/>
      <c r="FI451" s="205"/>
      <c r="FJ451" s="205"/>
      <c r="FK451" s="205"/>
      <c r="FL451" s="205"/>
      <c r="FM451" s="205"/>
      <c r="FN451" s="205"/>
      <c r="FO451" s="205"/>
      <c r="FP451" s="205"/>
      <c r="FQ451" s="205"/>
      <c r="FR451" s="205"/>
      <c r="FS451" s="205"/>
      <c r="FT451" s="205"/>
      <c r="FU451" s="205"/>
      <c r="FV451" s="205"/>
      <c r="FW451" s="205"/>
      <c r="FX451" s="205"/>
      <c r="FY451" s="205"/>
      <c r="FZ451" s="205"/>
      <c r="GA451" s="205"/>
      <c r="GB451" s="205"/>
      <c r="GC451" s="205"/>
      <c r="GD451" s="205"/>
      <c r="GE451" s="205"/>
      <c r="GF451" s="205"/>
      <c r="GG451" s="205"/>
      <c r="GH451" s="205"/>
      <c r="GI451" s="205"/>
      <c r="GJ451" s="205"/>
      <c r="GK451" s="205"/>
      <c r="GL451" s="205"/>
      <c r="GM451" s="205"/>
      <c r="GN451" s="205"/>
      <c r="GO451" s="205"/>
      <c r="GP451" s="205"/>
      <c r="GQ451" s="205"/>
      <c r="GR451" s="205"/>
      <c r="GS451" s="205"/>
      <c r="GT451" s="205"/>
      <c r="GU451" s="205"/>
      <c r="GV451" s="205"/>
      <c r="GW451" s="205"/>
      <c r="GX451" s="205"/>
      <c r="GY451" s="205"/>
      <c r="GZ451" s="205"/>
      <c r="HA451" s="205"/>
      <c r="HB451" s="205"/>
      <c r="HC451" s="205"/>
      <c r="HD451" s="205"/>
      <c r="HE451" s="205"/>
      <c r="HF451" s="205"/>
      <c r="HG451" s="205"/>
      <c r="HH451" s="205"/>
      <c r="HI451" s="205"/>
      <c r="HJ451" s="205"/>
      <c r="HK451" s="205"/>
      <c r="HL451" s="205"/>
      <c r="HM451" s="205"/>
      <c r="HN451" s="205"/>
      <c r="HO451" s="205"/>
      <c r="HP451" s="205"/>
      <c r="HQ451" s="205"/>
      <c r="HR451" s="205"/>
      <c r="HS451" s="205"/>
      <c r="HT451" s="205"/>
      <c r="HU451" s="205"/>
      <c r="HV451" s="205"/>
      <c r="HW451" s="205"/>
      <c r="HX451" s="205"/>
      <c r="HY451" s="205"/>
      <c r="HZ451" s="205"/>
      <c r="IA451" s="205"/>
      <c r="IB451" s="205"/>
      <c r="IC451" s="205"/>
      <c r="ID451" s="205"/>
      <c r="IE451" s="205"/>
      <c r="IF451" s="205"/>
      <c r="IG451" s="205"/>
      <c r="IH451" s="205"/>
      <c r="II451" s="205"/>
      <c r="IJ451" s="205"/>
      <c r="IK451" s="205"/>
      <c r="IL451" s="205"/>
      <c r="IM451" s="205"/>
      <c r="IN451" s="205"/>
      <c r="IO451" s="205"/>
      <c r="IP451" s="205"/>
      <c r="IQ451" s="205"/>
      <c r="IR451" s="205"/>
      <c r="IS451" s="205"/>
      <c r="IT451" s="205"/>
      <c r="IU451" s="205"/>
      <c r="IV451" s="205"/>
      <c r="IW451" s="205"/>
      <c r="IX451" s="205"/>
    </row>
    <row r="452" spans="1:258" s="203" customFormat="1" x14ac:dyDescent="0.2">
      <c r="A452" s="669"/>
      <c r="B452" s="670">
        <f>RAB!B148</f>
        <v>5</v>
      </c>
      <c r="C452" s="686" t="e">
        <f>RAB!D148</f>
        <v>#REF!</v>
      </c>
      <c r="D452" s="672"/>
      <c r="E452" s="673"/>
      <c r="F452" s="673"/>
      <c r="G452" s="674"/>
      <c r="H452" s="675"/>
      <c r="I452" s="676"/>
      <c r="J452" s="676" t="s">
        <v>1738</v>
      </c>
      <c r="K452" s="676"/>
      <c r="L452" s="676"/>
      <c r="M452" s="676"/>
      <c r="N452" s="676"/>
      <c r="O452" s="676"/>
      <c r="P452" s="676"/>
      <c r="Q452" s="676"/>
      <c r="R452" s="677"/>
      <c r="S452" s="678"/>
      <c r="T452" s="684"/>
      <c r="U452" s="205"/>
      <c r="V452" s="68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05"/>
      <c r="BN452" s="205"/>
      <c r="BO452" s="205"/>
      <c r="BP452" s="205"/>
      <c r="BQ452" s="205"/>
      <c r="BR452" s="205"/>
      <c r="BS452" s="205"/>
      <c r="BT452" s="205"/>
      <c r="BU452" s="205"/>
      <c r="BV452" s="205"/>
      <c r="BW452" s="205"/>
      <c r="BX452" s="205"/>
      <c r="BY452" s="205"/>
      <c r="BZ452" s="205"/>
      <c r="CA452" s="205"/>
      <c r="CB452" s="205"/>
      <c r="CC452" s="205"/>
      <c r="CD452" s="205"/>
      <c r="CE452" s="205"/>
      <c r="CF452" s="205"/>
      <c r="CG452" s="205"/>
      <c r="CH452" s="205"/>
      <c r="CI452" s="205"/>
      <c r="CJ452" s="205"/>
      <c r="CK452" s="205"/>
      <c r="CL452" s="205"/>
      <c r="CM452" s="205"/>
      <c r="CN452" s="205"/>
      <c r="CO452" s="205"/>
      <c r="CP452" s="205"/>
      <c r="CQ452" s="205"/>
      <c r="CR452" s="205"/>
      <c r="CS452" s="205"/>
      <c r="CT452" s="205"/>
      <c r="CU452" s="205"/>
      <c r="CV452" s="205"/>
      <c r="CW452" s="205"/>
      <c r="CX452" s="205"/>
      <c r="CY452" s="205"/>
      <c r="CZ452" s="205"/>
      <c r="DA452" s="205"/>
      <c r="DB452" s="205"/>
      <c r="DC452" s="205"/>
      <c r="DD452" s="205"/>
      <c r="DE452" s="205"/>
      <c r="DF452" s="205"/>
      <c r="DG452" s="205"/>
      <c r="DH452" s="205"/>
      <c r="DI452" s="205"/>
      <c r="DJ452" s="205"/>
      <c r="DK452" s="205"/>
      <c r="DL452" s="205"/>
      <c r="DM452" s="205"/>
      <c r="DN452" s="205"/>
      <c r="DO452" s="205"/>
      <c r="DP452" s="205"/>
      <c r="DQ452" s="205"/>
      <c r="DR452" s="205"/>
      <c r="DS452" s="205"/>
      <c r="DT452" s="205"/>
      <c r="DU452" s="205"/>
      <c r="DV452" s="205"/>
      <c r="DW452" s="205"/>
      <c r="DX452" s="205"/>
      <c r="DY452" s="205"/>
      <c r="DZ452" s="205"/>
      <c r="EA452" s="205"/>
      <c r="EB452" s="205"/>
      <c r="EC452" s="205"/>
      <c r="ED452" s="205"/>
      <c r="EE452" s="205"/>
      <c r="EF452" s="205"/>
      <c r="EG452" s="205"/>
      <c r="EH452" s="205"/>
      <c r="EI452" s="205"/>
      <c r="EJ452" s="205"/>
      <c r="EK452" s="205"/>
      <c r="EL452" s="205"/>
      <c r="EM452" s="205"/>
      <c r="EN452" s="205"/>
      <c r="EO452" s="205"/>
      <c r="EP452" s="205"/>
      <c r="EQ452" s="205"/>
      <c r="ER452" s="205"/>
      <c r="ES452" s="205"/>
      <c r="ET452" s="205"/>
      <c r="EU452" s="205"/>
      <c r="EV452" s="205"/>
      <c r="EW452" s="205"/>
      <c r="EX452" s="205"/>
      <c r="EY452" s="205"/>
      <c r="EZ452" s="205"/>
      <c r="FA452" s="205"/>
      <c r="FB452" s="205"/>
      <c r="FC452" s="205"/>
      <c r="FD452" s="205"/>
      <c r="FE452" s="205"/>
      <c r="FF452" s="205"/>
      <c r="FG452" s="205"/>
      <c r="FH452" s="205"/>
      <c r="FI452" s="205"/>
      <c r="FJ452" s="205"/>
      <c r="FK452" s="205"/>
      <c r="FL452" s="205"/>
      <c r="FM452" s="205"/>
      <c r="FN452" s="205"/>
      <c r="FO452" s="205"/>
      <c r="FP452" s="205"/>
      <c r="FQ452" s="205"/>
      <c r="FR452" s="205"/>
      <c r="FS452" s="205"/>
      <c r="FT452" s="205"/>
      <c r="FU452" s="205"/>
      <c r="FV452" s="205"/>
      <c r="FW452" s="205"/>
      <c r="FX452" s="205"/>
      <c r="FY452" s="205"/>
      <c r="FZ452" s="205"/>
      <c r="GA452" s="205"/>
      <c r="GB452" s="205"/>
      <c r="GC452" s="205"/>
      <c r="GD452" s="205"/>
      <c r="GE452" s="205"/>
      <c r="GF452" s="205"/>
      <c r="GG452" s="205"/>
      <c r="GH452" s="205"/>
      <c r="GI452" s="205"/>
      <c r="GJ452" s="205"/>
      <c r="GK452" s="205"/>
      <c r="GL452" s="205"/>
      <c r="GM452" s="205"/>
      <c r="GN452" s="205"/>
      <c r="GO452" s="205"/>
      <c r="GP452" s="205"/>
      <c r="GQ452" s="205"/>
      <c r="GR452" s="205"/>
      <c r="GS452" s="205"/>
      <c r="GT452" s="205"/>
      <c r="GU452" s="205"/>
      <c r="GV452" s="205"/>
      <c r="GW452" s="205"/>
      <c r="GX452" s="205"/>
      <c r="GY452" s="205"/>
      <c r="GZ452" s="205"/>
      <c r="HA452" s="205"/>
      <c r="HB452" s="205"/>
      <c r="HC452" s="205"/>
      <c r="HD452" s="205"/>
      <c r="HE452" s="205"/>
      <c r="HF452" s="205"/>
      <c r="HG452" s="205"/>
      <c r="HH452" s="205"/>
      <c r="HI452" s="205"/>
      <c r="HJ452" s="205"/>
      <c r="HK452" s="205"/>
      <c r="HL452" s="205"/>
      <c r="HM452" s="205"/>
      <c r="HN452" s="205"/>
      <c r="HO452" s="205"/>
      <c r="HP452" s="205"/>
      <c r="HQ452" s="205"/>
      <c r="HR452" s="205"/>
      <c r="HS452" s="205"/>
      <c r="HT452" s="205"/>
      <c r="HU452" s="205"/>
      <c r="HV452" s="205"/>
      <c r="HW452" s="205"/>
      <c r="HX452" s="205"/>
      <c r="HY452" s="205"/>
      <c r="HZ452" s="205"/>
      <c r="IA452" s="205"/>
      <c r="IB452" s="205"/>
      <c r="IC452" s="205"/>
      <c r="ID452" s="205"/>
      <c r="IE452" s="205"/>
      <c r="IF452" s="205"/>
      <c r="IG452" s="205"/>
      <c r="IH452" s="205"/>
      <c r="II452" s="205"/>
      <c r="IJ452" s="205"/>
      <c r="IK452" s="205"/>
      <c r="IL452" s="205"/>
      <c r="IM452" s="205"/>
      <c r="IN452" s="205"/>
      <c r="IO452" s="205"/>
      <c r="IP452" s="205"/>
      <c r="IQ452" s="205"/>
      <c r="IR452" s="205"/>
      <c r="IS452" s="205"/>
      <c r="IT452" s="205"/>
      <c r="IU452" s="205"/>
      <c r="IV452" s="205"/>
      <c r="IW452" s="205"/>
      <c r="IX452" s="205"/>
    </row>
    <row r="453" spans="1:258" s="203" customFormat="1" x14ac:dyDescent="0.2">
      <c r="A453" s="669"/>
      <c r="B453" s="670"/>
      <c r="C453" s="1390"/>
      <c r="D453" s="672"/>
      <c r="E453" s="1391"/>
      <c r="F453" s="1391"/>
      <c r="G453" s="1392" t="s">
        <v>1739</v>
      </c>
      <c r="H453" s="1393">
        <f>6.5+6.5+8.6+2.1+7.5+7.5+8.6</f>
        <v>47.300000000000004</v>
      </c>
      <c r="I453" s="1394" t="s">
        <v>424</v>
      </c>
      <c r="J453" s="1394">
        <f>J445</f>
        <v>1.1033999999999999</v>
      </c>
      <c r="K453" s="1394"/>
      <c r="L453" s="1394"/>
      <c r="M453" s="1394"/>
      <c r="N453" s="1394"/>
      <c r="O453" s="1394"/>
      <c r="P453" s="1394"/>
      <c r="Q453" s="1394" t="s">
        <v>696</v>
      </c>
      <c r="R453" s="1395">
        <f>H453*J453</f>
        <v>52.190820000000002</v>
      </c>
      <c r="S453" s="1396"/>
      <c r="T453" s="1397"/>
      <c r="U453" s="205"/>
      <c r="V453" s="68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205"/>
      <c r="BN453" s="205"/>
      <c r="BO453" s="205"/>
      <c r="BP453" s="205"/>
      <c r="BQ453" s="205"/>
      <c r="BR453" s="205"/>
      <c r="BS453" s="205"/>
      <c r="BT453" s="205"/>
      <c r="BU453" s="205"/>
      <c r="BV453" s="205"/>
      <c r="BW453" s="205"/>
      <c r="BX453" s="205"/>
      <c r="BY453" s="205"/>
      <c r="BZ453" s="205"/>
      <c r="CA453" s="205"/>
      <c r="CB453" s="205"/>
      <c r="CC453" s="205"/>
      <c r="CD453" s="205"/>
      <c r="CE453" s="205"/>
      <c r="CF453" s="205"/>
      <c r="CG453" s="205"/>
      <c r="CH453" s="205"/>
      <c r="CI453" s="205"/>
      <c r="CJ453" s="205"/>
      <c r="CK453" s="205"/>
      <c r="CL453" s="205"/>
      <c r="CM453" s="205"/>
      <c r="CN453" s="205"/>
      <c r="CO453" s="205"/>
      <c r="CP453" s="205"/>
      <c r="CQ453" s="205"/>
      <c r="CR453" s="205"/>
      <c r="CS453" s="205"/>
      <c r="CT453" s="205"/>
      <c r="CU453" s="205"/>
      <c r="CV453" s="205"/>
      <c r="CW453" s="205"/>
      <c r="CX453" s="205"/>
      <c r="CY453" s="205"/>
      <c r="CZ453" s="205"/>
      <c r="DA453" s="205"/>
      <c r="DB453" s="205"/>
      <c r="DC453" s="205"/>
      <c r="DD453" s="205"/>
      <c r="DE453" s="205"/>
      <c r="DF453" s="205"/>
      <c r="DG453" s="205"/>
      <c r="DH453" s="205"/>
      <c r="DI453" s="205"/>
      <c r="DJ453" s="205"/>
      <c r="DK453" s="205"/>
      <c r="DL453" s="205"/>
      <c r="DM453" s="205"/>
      <c r="DN453" s="205"/>
      <c r="DO453" s="205"/>
      <c r="DP453" s="205"/>
      <c r="DQ453" s="205"/>
      <c r="DR453" s="205"/>
      <c r="DS453" s="205"/>
      <c r="DT453" s="205"/>
      <c r="DU453" s="205"/>
      <c r="DV453" s="205"/>
      <c r="DW453" s="205"/>
      <c r="DX453" s="205"/>
      <c r="DY453" s="205"/>
      <c r="DZ453" s="205"/>
      <c r="EA453" s="205"/>
      <c r="EB453" s="205"/>
      <c r="EC453" s="205"/>
      <c r="ED453" s="205"/>
      <c r="EE453" s="205"/>
      <c r="EF453" s="205"/>
      <c r="EG453" s="205"/>
      <c r="EH453" s="205"/>
      <c r="EI453" s="205"/>
      <c r="EJ453" s="205"/>
      <c r="EK453" s="205"/>
      <c r="EL453" s="205"/>
      <c r="EM453" s="205"/>
      <c r="EN453" s="205"/>
      <c r="EO453" s="205"/>
      <c r="EP453" s="205"/>
      <c r="EQ453" s="205"/>
      <c r="ER453" s="205"/>
      <c r="ES453" s="205"/>
      <c r="ET453" s="205"/>
      <c r="EU453" s="205"/>
      <c r="EV453" s="205"/>
      <c r="EW453" s="205"/>
      <c r="EX453" s="205"/>
      <c r="EY453" s="205"/>
      <c r="EZ453" s="205"/>
      <c r="FA453" s="205"/>
      <c r="FB453" s="205"/>
      <c r="FC453" s="205"/>
      <c r="FD453" s="205"/>
      <c r="FE453" s="205"/>
      <c r="FF453" s="205"/>
      <c r="FG453" s="205"/>
      <c r="FH453" s="205"/>
      <c r="FI453" s="205"/>
      <c r="FJ453" s="205"/>
      <c r="FK453" s="205"/>
      <c r="FL453" s="205"/>
      <c r="FM453" s="205"/>
      <c r="FN453" s="205"/>
      <c r="FO453" s="205"/>
      <c r="FP453" s="205"/>
      <c r="FQ453" s="205"/>
      <c r="FR453" s="205"/>
      <c r="FS453" s="205"/>
      <c r="FT453" s="205"/>
      <c r="FU453" s="205"/>
      <c r="FV453" s="205"/>
      <c r="FW453" s="205"/>
      <c r="FX453" s="205"/>
      <c r="FY453" s="205"/>
      <c r="FZ453" s="205"/>
      <c r="GA453" s="205"/>
      <c r="GB453" s="205"/>
      <c r="GC453" s="205"/>
      <c r="GD453" s="205"/>
      <c r="GE453" s="205"/>
      <c r="GF453" s="205"/>
      <c r="GG453" s="205"/>
      <c r="GH453" s="205"/>
      <c r="GI453" s="205"/>
      <c r="GJ453" s="205"/>
      <c r="GK453" s="205"/>
      <c r="GL453" s="205"/>
      <c r="GM453" s="205"/>
      <c r="GN453" s="205"/>
      <c r="GO453" s="205"/>
      <c r="GP453" s="205"/>
      <c r="GQ453" s="205"/>
      <c r="GR453" s="205"/>
      <c r="GS453" s="205"/>
      <c r="GT453" s="205"/>
      <c r="GU453" s="205"/>
      <c r="GV453" s="205"/>
      <c r="GW453" s="205"/>
      <c r="GX453" s="205"/>
      <c r="GY453" s="205"/>
      <c r="GZ453" s="205"/>
      <c r="HA453" s="205"/>
      <c r="HB453" s="205"/>
      <c r="HC453" s="205"/>
      <c r="HD453" s="205"/>
      <c r="HE453" s="205"/>
      <c r="HF453" s="205"/>
      <c r="HG453" s="205"/>
      <c r="HH453" s="205"/>
      <c r="HI453" s="205"/>
      <c r="HJ453" s="205"/>
      <c r="HK453" s="205"/>
      <c r="HL453" s="205"/>
      <c r="HM453" s="205"/>
      <c r="HN453" s="205"/>
      <c r="HO453" s="205"/>
      <c r="HP453" s="205"/>
      <c r="HQ453" s="205"/>
      <c r="HR453" s="205"/>
      <c r="HS453" s="205"/>
      <c r="HT453" s="205"/>
      <c r="HU453" s="205"/>
      <c r="HV453" s="205"/>
      <c r="HW453" s="205"/>
      <c r="HX453" s="205"/>
      <c r="HY453" s="205"/>
      <c r="HZ453" s="205"/>
      <c r="IA453" s="205"/>
      <c r="IB453" s="205"/>
      <c r="IC453" s="205"/>
      <c r="ID453" s="205"/>
      <c r="IE453" s="205"/>
      <c r="IF453" s="205"/>
      <c r="IG453" s="205"/>
      <c r="IH453" s="205"/>
      <c r="II453" s="205"/>
      <c r="IJ453" s="205"/>
      <c r="IK453" s="205"/>
      <c r="IL453" s="205"/>
      <c r="IM453" s="205"/>
      <c r="IN453" s="205"/>
      <c r="IO453" s="205"/>
      <c r="IP453" s="205"/>
      <c r="IQ453" s="205"/>
      <c r="IR453" s="205"/>
      <c r="IS453" s="205"/>
      <c r="IT453" s="205"/>
      <c r="IU453" s="205"/>
      <c r="IV453" s="205"/>
      <c r="IW453" s="205"/>
      <c r="IX453" s="205"/>
    </row>
    <row r="454" spans="1:258" s="203" customFormat="1" x14ac:dyDescent="0.2">
      <c r="A454" s="669"/>
      <c r="B454" s="670"/>
      <c r="C454" s="1390"/>
      <c r="D454" s="672"/>
      <c r="E454" s="1391"/>
      <c r="F454" s="1391"/>
      <c r="G454" s="1392"/>
      <c r="H454" s="1393">
        <f>12+9.5+18</f>
        <v>39.5</v>
      </c>
      <c r="I454" s="1394"/>
      <c r="J454" s="1394"/>
      <c r="K454" s="1394"/>
      <c r="L454" s="1394"/>
      <c r="M454" s="1394"/>
      <c r="N454" s="1394"/>
      <c r="O454" s="1394"/>
      <c r="P454" s="1394"/>
      <c r="Q454" s="1394" t="s">
        <v>696</v>
      </c>
      <c r="R454" s="1395">
        <f>H454</f>
        <v>39.5</v>
      </c>
      <c r="S454" s="1396"/>
      <c r="T454" s="1397"/>
      <c r="U454" s="205"/>
      <c r="V454" s="68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205"/>
      <c r="BN454" s="205"/>
      <c r="BO454" s="205"/>
      <c r="BP454" s="205"/>
      <c r="BQ454" s="205"/>
      <c r="BR454" s="205"/>
      <c r="BS454" s="205"/>
      <c r="BT454" s="205"/>
      <c r="BU454" s="205"/>
      <c r="BV454" s="205"/>
      <c r="BW454" s="205"/>
      <c r="BX454" s="205"/>
      <c r="BY454" s="205"/>
      <c r="BZ454" s="205"/>
      <c r="CA454" s="205"/>
      <c r="CB454" s="205"/>
      <c r="CC454" s="205"/>
      <c r="CD454" s="205"/>
      <c r="CE454" s="205"/>
      <c r="CF454" s="205"/>
      <c r="CG454" s="205"/>
      <c r="CH454" s="205"/>
      <c r="CI454" s="205"/>
      <c r="CJ454" s="205"/>
      <c r="CK454" s="205"/>
      <c r="CL454" s="205"/>
      <c r="CM454" s="205"/>
      <c r="CN454" s="205"/>
      <c r="CO454" s="205"/>
      <c r="CP454" s="205"/>
      <c r="CQ454" s="205"/>
      <c r="CR454" s="205"/>
      <c r="CS454" s="205"/>
      <c r="CT454" s="205"/>
      <c r="CU454" s="205"/>
      <c r="CV454" s="205"/>
      <c r="CW454" s="205"/>
      <c r="CX454" s="205"/>
      <c r="CY454" s="205"/>
      <c r="CZ454" s="205"/>
      <c r="DA454" s="205"/>
      <c r="DB454" s="205"/>
      <c r="DC454" s="205"/>
      <c r="DD454" s="205"/>
      <c r="DE454" s="205"/>
      <c r="DF454" s="205"/>
      <c r="DG454" s="205"/>
      <c r="DH454" s="205"/>
      <c r="DI454" s="205"/>
      <c r="DJ454" s="205"/>
      <c r="DK454" s="205"/>
      <c r="DL454" s="205"/>
      <c r="DM454" s="205"/>
      <c r="DN454" s="205"/>
      <c r="DO454" s="205"/>
      <c r="DP454" s="205"/>
      <c r="DQ454" s="205"/>
      <c r="DR454" s="205"/>
      <c r="DS454" s="205"/>
      <c r="DT454" s="205"/>
      <c r="DU454" s="205"/>
      <c r="DV454" s="205"/>
      <c r="DW454" s="205"/>
      <c r="DX454" s="205"/>
      <c r="DY454" s="205"/>
      <c r="DZ454" s="205"/>
      <c r="EA454" s="205"/>
      <c r="EB454" s="205"/>
      <c r="EC454" s="205"/>
      <c r="ED454" s="205"/>
      <c r="EE454" s="205"/>
      <c r="EF454" s="205"/>
      <c r="EG454" s="205"/>
      <c r="EH454" s="205"/>
      <c r="EI454" s="205"/>
      <c r="EJ454" s="205"/>
      <c r="EK454" s="205"/>
      <c r="EL454" s="205"/>
      <c r="EM454" s="205"/>
      <c r="EN454" s="205"/>
      <c r="EO454" s="205"/>
      <c r="EP454" s="205"/>
      <c r="EQ454" s="205"/>
      <c r="ER454" s="205"/>
      <c r="ES454" s="205"/>
      <c r="ET454" s="205"/>
      <c r="EU454" s="205"/>
      <c r="EV454" s="205"/>
      <c r="EW454" s="205"/>
      <c r="EX454" s="205"/>
      <c r="EY454" s="205"/>
      <c r="EZ454" s="205"/>
      <c r="FA454" s="205"/>
      <c r="FB454" s="205"/>
      <c r="FC454" s="205"/>
      <c r="FD454" s="205"/>
      <c r="FE454" s="205"/>
      <c r="FF454" s="205"/>
      <c r="FG454" s="205"/>
      <c r="FH454" s="205"/>
      <c r="FI454" s="205"/>
      <c r="FJ454" s="205"/>
      <c r="FK454" s="205"/>
      <c r="FL454" s="205"/>
      <c r="FM454" s="205"/>
      <c r="FN454" s="205"/>
      <c r="FO454" s="205"/>
      <c r="FP454" s="205"/>
      <c r="FQ454" s="205"/>
      <c r="FR454" s="205"/>
      <c r="FS454" s="205"/>
      <c r="FT454" s="205"/>
      <c r="FU454" s="205"/>
      <c r="FV454" s="205"/>
      <c r="FW454" s="205"/>
      <c r="FX454" s="205"/>
      <c r="FY454" s="205"/>
      <c r="FZ454" s="205"/>
      <c r="GA454" s="205"/>
      <c r="GB454" s="205"/>
      <c r="GC454" s="205"/>
      <c r="GD454" s="205"/>
      <c r="GE454" s="205"/>
      <c r="GF454" s="205"/>
      <c r="GG454" s="205"/>
      <c r="GH454" s="205"/>
      <c r="GI454" s="205"/>
      <c r="GJ454" s="205"/>
      <c r="GK454" s="205"/>
      <c r="GL454" s="205"/>
      <c r="GM454" s="205"/>
      <c r="GN454" s="205"/>
      <c r="GO454" s="205"/>
      <c r="GP454" s="205"/>
      <c r="GQ454" s="205"/>
      <c r="GR454" s="205"/>
      <c r="GS454" s="205"/>
      <c r="GT454" s="205"/>
      <c r="GU454" s="205"/>
      <c r="GV454" s="205"/>
      <c r="GW454" s="205"/>
      <c r="GX454" s="205"/>
      <c r="GY454" s="205"/>
      <c r="GZ454" s="205"/>
      <c r="HA454" s="205"/>
      <c r="HB454" s="205"/>
      <c r="HC454" s="205"/>
      <c r="HD454" s="205"/>
      <c r="HE454" s="205"/>
      <c r="HF454" s="205"/>
      <c r="HG454" s="205"/>
      <c r="HH454" s="205"/>
      <c r="HI454" s="205"/>
      <c r="HJ454" s="205"/>
      <c r="HK454" s="205"/>
      <c r="HL454" s="205"/>
      <c r="HM454" s="205"/>
      <c r="HN454" s="205"/>
      <c r="HO454" s="205"/>
      <c r="HP454" s="205"/>
      <c r="HQ454" s="205"/>
      <c r="HR454" s="205"/>
      <c r="HS454" s="205"/>
      <c r="HT454" s="205"/>
      <c r="HU454" s="205"/>
      <c r="HV454" s="205"/>
      <c r="HW454" s="205"/>
      <c r="HX454" s="205"/>
      <c r="HY454" s="205"/>
      <c r="HZ454" s="205"/>
      <c r="IA454" s="205"/>
      <c r="IB454" s="205"/>
      <c r="IC454" s="205"/>
      <c r="ID454" s="205"/>
      <c r="IE454" s="205"/>
      <c r="IF454" s="205"/>
      <c r="IG454" s="205"/>
      <c r="IH454" s="205"/>
      <c r="II454" s="205"/>
      <c r="IJ454" s="205"/>
      <c r="IK454" s="205"/>
      <c r="IL454" s="205"/>
      <c r="IM454" s="205"/>
      <c r="IN454" s="205"/>
      <c r="IO454" s="205"/>
      <c r="IP454" s="205"/>
      <c r="IQ454" s="205"/>
      <c r="IR454" s="205"/>
      <c r="IS454" s="205"/>
      <c r="IT454" s="205"/>
      <c r="IU454" s="205"/>
      <c r="IV454" s="205"/>
      <c r="IW454" s="205"/>
      <c r="IX454" s="205"/>
    </row>
    <row r="455" spans="1:258" s="203" customFormat="1" x14ac:dyDescent="0.2">
      <c r="A455" s="669"/>
      <c r="B455" s="670"/>
      <c r="C455" s="1390"/>
      <c r="D455" s="672"/>
      <c r="E455" s="1391"/>
      <c r="F455" s="1391"/>
      <c r="G455" s="1392"/>
      <c r="H455" s="1393"/>
      <c r="I455" s="1394"/>
      <c r="J455" s="1394"/>
      <c r="K455" s="1394"/>
      <c r="L455" s="1394"/>
      <c r="M455" s="1394"/>
      <c r="N455" s="1394"/>
      <c r="O455" s="1394"/>
      <c r="P455" s="1394"/>
      <c r="Q455" s="1394"/>
      <c r="R455" s="1395">
        <f>SUM(R453:R454)</f>
        <v>91.690820000000002</v>
      </c>
      <c r="S455" s="1396">
        <f>R455</f>
        <v>91.690820000000002</v>
      </c>
      <c r="T455" s="1397" t="s">
        <v>247</v>
      </c>
      <c r="U455" s="205"/>
      <c r="V455" s="685"/>
      <c r="W455" s="205"/>
      <c r="X455" s="205"/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205"/>
      <c r="BN455" s="205"/>
      <c r="BO455" s="205"/>
      <c r="BP455" s="205"/>
      <c r="BQ455" s="205"/>
      <c r="BR455" s="205"/>
      <c r="BS455" s="205"/>
      <c r="BT455" s="205"/>
      <c r="BU455" s="205"/>
      <c r="BV455" s="205"/>
      <c r="BW455" s="205"/>
      <c r="BX455" s="205"/>
      <c r="BY455" s="205"/>
      <c r="BZ455" s="205"/>
      <c r="CA455" s="205"/>
      <c r="CB455" s="205"/>
      <c r="CC455" s="205"/>
      <c r="CD455" s="205"/>
      <c r="CE455" s="205"/>
      <c r="CF455" s="205"/>
      <c r="CG455" s="205"/>
      <c r="CH455" s="205"/>
      <c r="CI455" s="205"/>
      <c r="CJ455" s="205"/>
      <c r="CK455" s="205"/>
      <c r="CL455" s="205"/>
      <c r="CM455" s="205"/>
      <c r="CN455" s="205"/>
      <c r="CO455" s="205"/>
      <c r="CP455" s="205"/>
      <c r="CQ455" s="205"/>
      <c r="CR455" s="205"/>
      <c r="CS455" s="205"/>
      <c r="CT455" s="205"/>
      <c r="CU455" s="205"/>
      <c r="CV455" s="205"/>
      <c r="CW455" s="205"/>
      <c r="CX455" s="205"/>
      <c r="CY455" s="205"/>
      <c r="CZ455" s="205"/>
      <c r="DA455" s="205"/>
      <c r="DB455" s="205"/>
      <c r="DC455" s="205"/>
      <c r="DD455" s="205"/>
      <c r="DE455" s="205"/>
      <c r="DF455" s="205"/>
      <c r="DG455" s="205"/>
      <c r="DH455" s="205"/>
      <c r="DI455" s="205"/>
      <c r="DJ455" s="205"/>
      <c r="DK455" s="205"/>
      <c r="DL455" s="205"/>
      <c r="DM455" s="205"/>
      <c r="DN455" s="205"/>
      <c r="DO455" s="205"/>
      <c r="DP455" s="205"/>
      <c r="DQ455" s="205"/>
      <c r="DR455" s="205"/>
      <c r="DS455" s="205"/>
      <c r="DT455" s="205"/>
      <c r="DU455" s="205"/>
      <c r="DV455" s="205"/>
      <c r="DW455" s="205"/>
      <c r="DX455" s="205"/>
      <c r="DY455" s="205"/>
      <c r="DZ455" s="205"/>
      <c r="EA455" s="205"/>
      <c r="EB455" s="205"/>
      <c r="EC455" s="205"/>
      <c r="ED455" s="205"/>
      <c r="EE455" s="205"/>
      <c r="EF455" s="205"/>
      <c r="EG455" s="205"/>
      <c r="EH455" s="205"/>
      <c r="EI455" s="205"/>
      <c r="EJ455" s="205"/>
      <c r="EK455" s="205"/>
      <c r="EL455" s="205"/>
      <c r="EM455" s="205"/>
      <c r="EN455" s="205"/>
      <c r="EO455" s="205"/>
      <c r="EP455" s="205"/>
      <c r="EQ455" s="205"/>
      <c r="ER455" s="205"/>
      <c r="ES455" s="205"/>
      <c r="ET455" s="205"/>
      <c r="EU455" s="205"/>
      <c r="EV455" s="205"/>
      <c r="EW455" s="205"/>
      <c r="EX455" s="205"/>
      <c r="EY455" s="205"/>
      <c r="EZ455" s="205"/>
      <c r="FA455" s="205"/>
      <c r="FB455" s="205"/>
      <c r="FC455" s="205"/>
      <c r="FD455" s="205"/>
      <c r="FE455" s="205"/>
      <c r="FF455" s="205"/>
      <c r="FG455" s="205"/>
      <c r="FH455" s="205"/>
      <c r="FI455" s="205"/>
      <c r="FJ455" s="205"/>
      <c r="FK455" s="205"/>
      <c r="FL455" s="205"/>
      <c r="FM455" s="205"/>
      <c r="FN455" s="205"/>
      <c r="FO455" s="205"/>
      <c r="FP455" s="205"/>
      <c r="FQ455" s="205"/>
      <c r="FR455" s="205"/>
      <c r="FS455" s="205"/>
      <c r="FT455" s="205"/>
      <c r="FU455" s="205"/>
      <c r="FV455" s="205"/>
      <c r="FW455" s="205"/>
      <c r="FX455" s="205"/>
      <c r="FY455" s="205"/>
      <c r="FZ455" s="205"/>
      <c r="GA455" s="205"/>
      <c r="GB455" s="205"/>
      <c r="GC455" s="205"/>
      <c r="GD455" s="205"/>
      <c r="GE455" s="205"/>
      <c r="GF455" s="205"/>
      <c r="GG455" s="205"/>
      <c r="GH455" s="205"/>
      <c r="GI455" s="205"/>
      <c r="GJ455" s="205"/>
      <c r="GK455" s="205"/>
      <c r="GL455" s="205"/>
      <c r="GM455" s="205"/>
      <c r="GN455" s="205"/>
      <c r="GO455" s="205"/>
      <c r="GP455" s="205"/>
      <c r="GQ455" s="205"/>
      <c r="GR455" s="205"/>
      <c r="GS455" s="205"/>
      <c r="GT455" s="205"/>
      <c r="GU455" s="205"/>
      <c r="GV455" s="205"/>
      <c r="GW455" s="205"/>
      <c r="GX455" s="205"/>
      <c r="GY455" s="205"/>
      <c r="GZ455" s="205"/>
      <c r="HA455" s="205"/>
      <c r="HB455" s="205"/>
      <c r="HC455" s="205"/>
      <c r="HD455" s="205"/>
      <c r="HE455" s="205"/>
      <c r="HF455" s="205"/>
      <c r="HG455" s="205"/>
      <c r="HH455" s="205"/>
      <c r="HI455" s="205"/>
      <c r="HJ455" s="205"/>
      <c r="HK455" s="205"/>
      <c r="HL455" s="205"/>
      <c r="HM455" s="205"/>
      <c r="HN455" s="205"/>
      <c r="HO455" s="205"/>
      <c r="HP455" s="205"/>
      <c r="HQ455" s="205"/>
      <c r="HR455" s="205"/>
      <c r="HS455" s="205"/>
      <c r="HT455" s="205"/>
      <c r="HU455" s="205"/>
      <c r="HV455" s="205"/>
      <c r="HW455" s="205"/>
      <c r="HX455" s="205"/>
      <c r="HY455" s="205"/>
      <c r="HZ455" s="205"/>
      <c r="IA455" s="205"/>
      <c r="IB455" s="205"/>
      <c r="IC455" s="205"/>
      <c r="ID455" s="205"/>
      <c r="IE455" s="205"/>
      <c r="IF455" s="205"/>
      <c r="IG455" s="205"/>
      <c r="IH455" s="205"/>
      <c r="II455" s="205"/>
      <c r="IJ455" s="205"/>
      <c r="IK455" s="205"/>
      <c r="IL455" s="205"/>
      <c r="IM455" s="205"/>
      <c r="IN455" s="205"/>
      <c r="IO455" s="205"/>
      <c r="IP455" s="205"/>
      <c r="IQ455" s="205"/>
      <c r="IR455" s="205"/>
      <c r="IS455" s="205"/>
      <c r="IT455" s="205"/>
      <c r="IU455" s="205"/>
      <c r="IV455" s="205"/>
      <c r="IW455" s="205"/>
      <c r="IX455" s="205"/>
    </row>
    <row r="456" spans="1:258" s="203" customFormat="1" x14ac:dyDescent="0.2">
      <c r="A456" s="669"/>
      <c r="B456" s="670"/>
      <c r="C456" s="1390"/>
      <c r="D456" s="672"/>
      <c r="E456" s="1391"/>
      <c r="F456" s="1391"/>
      <c r="G456" s="1392"/>
      <c r="H456" s="1393"/>
      <c r="I456" s="1394"/>
      <c r="J456" s="1394"/>
      <c r="K456" s="1394"/>
      <c r="L456" s="1394"/>
      <c r="M456" s="1394"/>
      <c r="N456" s="1394"/>
      <c r="O456" s="1394"/>
      <c r="P456" s="1394"/>
      <c r="Q456" s="1394"/>
      <c r="R456" s="1395"/>
      <c r="S456" s="1396"/>
      <c r="T456" s="1397"/>
      <c r="U456" s="205"/>
      <c r="V456" s="68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205"/>
      <c r="BN456" s="205"/>
      <c r="BO456" s="205"/>
      <c r="BP456" s="205"/>
      <c r="BQ456" s="205"/>
      <c r="BR456" s="205"/>
      <c r="BS456" s="205"/>
      <c r="BT456" s="205"/>
      <c r="BU456" s="205"/>
      <c r="BV456" s="205"/>
      <c r="BW456" s="205"/>
      <c r="BX456" s="205"/>
      <c r="BY456" s="205"/>
      <c r="BZ456" s="205"/>
      <c r="CA456" s="205"/>
      <c r="CB456" s="205"/>
      <c r="CC456" s="205"/>
      <c r="CD456" s="205"/>
      <c r="CE456" s="205"/>
      <c r="CF456" s="205"/>
      <c r="CG456" s="205"/>
      <c r="CH456" s="205"/>
      <c r="CI456" s="205"/>
      <c r="CJ456" s="205"/>
      <c r="CK456" s="205"/>
      <c r="CL456" s="205"/>
      <c r="CM456" s="205"/>
      <c r="CN456" s="205"/>
      <c r="CO456" s="205"/>
      <c r="CP456" s="205"/>
      <c r="CQ456" s="205"/>
      <c r="CR456" s="205"/>
      <c r="CS456" s="205"/>
      <c r="CT456" s="205"/>
      <c r="CU456" s="205"/>
      <c r="CV456" s="205"/>
      <c r="CW456" s="205"/>
      <c r="CX456" s="205"/>
      <c r="CY456" s="205"/>
      <c r="CZ456" s="205"/>
      <c r="DA456" s="205"/>
      <c r="DB456" s="205"/>
      <c r="DC456" s="205"/>
      <c r="DD456" s="205"/>
      <c r="DE456" s="205"/>
      <c r="DF456" s="205"/>
      <c r="DG456" s="205"/>
      <c r="DH456" s="205"/>
      <c r="DI456" s="205"/>
      <c r="DJ456" s="205"/>
      <c r="DK456" s="205"/>
      <c r="DL456" s="205"/>
      <c r="DM456" s="205"/>
      <c r="DN456" s="205"/>
      <c r="DO456" s="205"/>
      <c r="DP456" s="205"/>
      <c r="DQ456" s="205"/>
      <c r="DR456" s="205"/>
      <c r="DS456" s="205"/>
      <c r="DT456" s="205"/>
      <c r="DU456" s="205"/>
      <c r="DV456" s="205"/>
      <c r="DW456" s="205"/>
      <c r="DX456" s="205"/>
      <c r="DY456" s="205"/>
      <c r="DZ456" s="205"/>
      <c r="EA456" s="205"/>
      <c r="EB456" s="205"/>
      <c r="EC456" s="205"/>
      <c r="ED456" s="205"/>
      <c r="EE456" s="205"/>
      <c r="EF456" s="205"/>
      <c r="EG456" s="205"/>
      <c r="EH456" s="205"/>
      <c r="EI456" s="205"/>
      <c r="EJ456" s="205"/>
      <c r="EK456" s="205"/>
      <c r="EL456" s="205"/>
      <c r="EM456" s="205"/>
      <c r="EN456" s="205"/>
      <c r="EO456" s="205"/>
      <c r="EP456" s="205"/>
      <c r="EQ456" s="205"/>
      <c r="ER456" s="205"/>
      <c r="ES456" s="205"/>
      <c r="ET456" s="205"/>
      <c r="EU456" s="205"/>
      <c r="EV456" s="205"/>
      <c r="EW456" s="205"/>
      <c r="EX456" s="205"/>
      <c r="EY456" s="205"/>
      <c r="EZ456" s="205"/>
      <c r="FA456" s="205"/>
      <c r="FB456" s="205"/>
      <c r="FC456" s="205"/>
      <c r="FD456" s="205"/>
      <c r="FE456" s="205"/>
      <c r="FF456" s="205"/>
      <c r="FG456" s="205"/>
      <c r="FH456" s="205"/>
      <c r="FI456" s="205"/>
      <c r="FJ456" s="205"/>
      <c r="FK456" s="205"/>
      <c r="FL456" s="205"/>
      <c r="FM456" s="205"/>
      <c r="FN456" s="205"/>
      <c r="FO456" s="205"/>
      <c r="FP456" s="205"/>
      <c r="FQ456" s="205"/>
      <c r="FR456" s="205"/>
      <c r="FS456" s="205"/>
      <c r="FT456" s="205"/>
      <c r="FU456" s="205"/>
      <c r="FV456" s="205"/>
      <c r="FW456" s="205"/>
      <c r="FX456" s="205"/>
      <c r="FY456" s="205"/>
      <c r="FZ456" s="205"/>
      <c r="GA456" s="205"/>
      <c r="GB456" s="205"/>
      <c r="GC456" s="205"/>
      <c r="GD456" s="205"/>
      <c r="GE456" s="205"/>
      <c r="GF456" s="205"/>
      <c r="GG456" s="205"/>
      <c r="GH456" s="205"/>
      <c r="GI456" s="205"/>
      <c r="GJ456" s="205"/>
      <c r="GK456" s="205"/>
      <c r="GL456" s="205"/>
      <c r="GM456" s="205"/>
      <c r="GN456" s="205"/>
      <c r="GO456" s="205"/>
      <c r="GP456" s="205"/>
      <c r="GQ456" s="205"/>
      <c r="GR456" s="205"/>
      <c r="GS456" s="205"/>
      <c r="GT456" s="205"/>
      <c r="GU456" s="205"/>
      <c r="GV456" s="205"/>
      <c r="GW456" s="205"/>
      <c r="GX456" s="205"/>
      <c r="GY456" s="205"/>
      <c r="GZ456" s="205"/>
      <c r="HA456" s="205"/>
      <c r="HB456" s="205"/>
      <c r="HC456" s="205"/>
      <c r="HD456" s="205"/>
      <c r="HE456" s="205"/>
      <c r="HF456" s="205"/>
      <c r="HG456" s="205"/>
      <c r="HH456" s="205"/>
      <c r="HI456" s="205"/>
      <c r="HJ456" s="205"/>
      <c r="HK456" s="205"/>
      <c r="HL456" s="205"/>
      <c r="HM456" s="205"/>
      <c r="HN456" s="205"/>
      <c r="HO456" s="205"/>
      <c r="HP456" s="205"/>
      <c r="HQ456" s="205"/>
      <c r="HR456" s="205"/>
      <c r="HS456" s="205"/>
      <c r="HT456" s="205"/>
      <c r="HU456" s="205"/>
      <c r="HV456" s="205"/>
      <c r="HW456" s="205"/>
      <c r="HX456" s="205"/>
      <c r="HY456" s="205"/>
      <c r="HZ456" s="205"/>
      <c r="IA456" s="205"/>
      <c r="IB456" s="205"/>
      <c r="IC456" s="205"/>
      <c r="ID456" s="205"/>
      <c r="IE456" s="205"/>
      <c r="IF456" s="205"/>
      <c r="IG456" s="205"/>
      <c r="IH456" s="205"/>
      <c r="II456" s="205"/>
      <c r="IJ456" s="205"/>
      <c r="IK456" s="205"/>
      <c r="IL456" s="205"/>
      <c r="IM456" s="205"/>
      <c r="IN456" s="205"/>
      <c r="IO456" s="205"/>
      <c r="IP456" s="205"/>
      <c r="IQ456" s="205"/>
      <c r="IR456" s="205"/>
      <c r="IS456" s="205"/>
      <c r="IT456" s="205"/>
      <c r="IU456" s="205"/>
      <c r="IV456" s="205"/>
      <c r="IW456" s="205"/>
      <c r="IX456" s="205"/>
    </row>
    <row r="457" spans="1:258" s="203" customFormat="1" x14ac:dyDescent="0.2">
      <c r="A457" s="669"/>
      <c r="B457" s="670">
        <f>RAB!B149</f>
        <v>6</v>
      </c>
      <c r="C457" s="686" t="str">
        <f>RAB!D149</f>
        <v>Memasang lisplank woodplank</v>
      </c>
      <c r="D457" s="672"/>
      <c r="E457" s="673"/>
      <c r="F457" s="673"/>
      <c r="G457" s="674"/>
      <c r="H457" s="675"/>
      <c r="I457" s="676"/>
      <c r="J457" s="676"/>
      <c r="K457" s="676"/>
      <c r="L457" s="676"/>
      <c r="M457" s="676"/>
      <c r="N457" s="676"/>
      <c r="O457" s="676"/>
      <c r="P457" s="676"/>
      <c r="Q457" s="676"/>
      <c r="R457" s="677"/>
      <c r="S457" s="678"/>
      <c r="T457" s="684"/>
      <c r="U457" s="205"/>
      <c r="V457" s="685"/>
      <c r="W457" s="205"/>
      <c r="X457" s="205"/>
      <c r="Y457" s="205"/>
      <c r="Z457" s="205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  <c r="BK457" s="205"/>
      <c r="BL457" s="205"/>
      <c r="BM457" s="205"/>
      <c r="BN457" s="205"/>
      <c r="BO457" s="205"/>
      <c r="BP457" s="205"/>
      <c r="BQ457" s="205"/>
      <c r="BR457" s="205"/>
      <c r="BS457" s="205"/>
      <c r="BT457" s="205"/>
      <c r="BU457" s="205"/>
      <c r="BV457" s="205"/>
      <c r="BW457" s="205"/>
      <c r="BX457" s="205"/>
      <c r="BY457" s="205"/>
      <c r="BZ457" s="205"/>
      <c r="CA457" s="205"/>
      <c r="CB457" s="205"/>
      <c r="CC457" s="205"/>
      <c r="CD457" s="205"/>
      <c r="CE457" s="205"/>
      <c r="CF457" s="205"/>
      <c r="CG457" s="205"/>
      <c r="CH457" s="205"/>
      <c r="CI457" s="205"/>
      <c r="CJ457" s="205"/>
      <c r="CK457" s="205"/>
      <c r="CL457" s="205"/>
      <c r="CM457" s="205"/>
      <c r="CN457" s="205"/>
      <c r="CO457" s="205"/>
      <c r="CP457" s="205"/>
      <c r="CQ457" s="205"/>
      <c r="CR457" s="205"/>
      <c r="CS457" s="205"/>
      <c r="CT457" s="205"/>
      <c r="CU457" s="205"/>
      <c r="CV457" s="205"/>
      <c r="CW457" s="205"/>
      <c r="CX457" s="205"/>
      <c r="CY457" s="205"/>
      <c r="CZ457" s="205"/>
      <c r="DA457" s="205"/>
      <c r="DB457" s="205"/>
      <c r="DC457" s="205"/>
      <c r="DD457" s="205"/>
      <c r="DE457" s="205"/>
      <c r="DF457" s="205"/>
      <c r="DG457" s="205"/>
      <c r="DH457" s="205"/>
      <c r="DI457" s="205"/>
      <c r="DJ457" s="205"/>
      <c r="DK457" s="205"/>
      <c r="DL457" s="205"/>
      <c r="DM457" s="205"/>
      <c r="DN457" s="205"/>
      <c r="DO457" s="205"/>
      <c r="DP457" s="205"/>
      <c r="DQ457" s="205"/>
      <c r="DR457" s="205"/>
      <c r="DS457" s="205"/>
      <c r="DT457" s="205"/>
      <c r="DU457" s="205"/>
      <c r="DV457" s="205"/>
      <c r="DW457" s="205"/>
      <c r="DX457" s="205"/>
      <c r="DY457" s="205"/>
      <c r="DZ457" s="205"/>
      <c r="EA457" s="205"/>
      <c r="EB457" s="205"/>
      <c r="EC457" s="205"/>
      <c r="ED457" s="205"/>
      <c r="EE457" s="205"/>
      <c r="EF457" s="205"/>
      <c r="EG457" s="205"/>
      <c r="EH457" s="205"/>
      <c r="EI457" s="205"/>
      <c r="EJ457" s="205"/>
      <c r="EK457" s="205"/>
      <c r="EL457" s="205"/>
      <c r="EM457" s="205"/>
      <c r="EN457" s="205"/>
      <c r="EO457" s="205"/>
      <c r="EP457" s="205"/>
      <c r="EQ457" s="205"/>
      <c r="ER457" s="205"/>
      <c r="ES457" s="205"/>
      <c r="ET457" s="205"/>
      <c r="EU457" s="205"/>
      <c r="EV457" s="205"/>
      <c r="EW457" s="205"/>
      <c r="EX457" s="205"/>
      <c r="EY457" s="205"/>
      <c r="EZ457" s="205"/>
      <c r="FA457" s="205"/>
      <c r="FB457" s="205"/>
      <c r="FC457" s="205"/>
      <c r="FD457" s="205"/>
      <c r="FE457" s="205"/>
      <c r="FF457" s="205"/>
      <c r="FG457" s="205"/>
      <c r="FH457" s="205"/>
      <c r="FI457" s="205"/>
      <c r="FJ457" s="205"/>
      <c r="FK457" s="205"/>
      <c r="FL457" s="205"/>
      <c r="FM457" s="205"/>
      <c r="FN457" s="205"/>
      <c r="FO457" s="205"/>
      <c r="FP457" s="205"/>
      <c r="FQ457" s="205"/>
      <c r="FR457" s="205"/>
      <c r="FS457" s="205"/>
      <c r="FT457" s="205"/>
      <c r="FU457" s="205"/>
      <c r="FV457" s="205"/>
      <c r="FW457" s="205"/>
      <c r="FX457" s="205"/>
      <c r="FY457" s="205"/>
      <c r="FZ457" s="205"/>
      <c r="GA457" s="205"/>
      <c r="GB457" s="205"/>
      <c r="GC457" s="205"/>
      <c r="GD457" s="205"/>
      <c r="GE457" s="205"/>
      <c r="GF457" s="205"/>
      <c r="GG457" s="205"/>
      <c r="GH457" s="205"/>
      <c r="GI457" s="205"/>
      <c r="GJ457" s="205"/>
      <c r="GK457" s="205"/>
      <c r="GL457" s="205"/>
      <c r="GM457" s="205"/>
      <c r="GN457" s="205"/>
      <c r="GO457" s="205"/>
      <c r="GP457" s="205"/>
      <c r="GQ457" s="205"/>
      <c r="GR457" s="205"/>
      <c r="GS457" s="205"/>
      <c r="GT457" s="205"/>
      <c r="GU457" s="205"/>
      <c r="GV457" s="205"/>
      <c r="GW457" s="205"/>
      <c r="GX457" s="205"/>
      <c r="GY457" s="205"/>
      <c r="GZ457" s="205"/>
      <c r="HA457" s="205"/>
      <c r="HB457" s="205"/>
      <c r="HC457" s="205"/>
      <c r="HD457" s="205"/>
      <c r="HE457" s="205"/>
      <c r="HF457" s="205"/>
      <c r="HG457" s="205"/>
      <c r="HH457" s="205"/>
      <c r="HI457" s="205"/>
      <c r="HJ457" s="205"/>
      <c r="HK457" s="205"/>
      <c r="HL457" s="205"/>
      <c r="HM457" s="205"/>
      <c r="HN457" s="205"/>
      <c r="HO457" s="205"/>
      <c r="HP457" s="205"/>
      <c r="HQ457" s="205"/>
      <c r="HR457" s="205"/>
      <c r="HS457" s="205"/>
      <c r="HT457" s="205"/>
      <c r="HU457" s="205"/>
      <c r="HV457" s="205"/>
      <c r="HW457" s="205"/>
      <c r="HX457" s="205"/>
      <c r="HY457" s="205"/>
      <c r="HZ457" s="205"/>
      <c r="IA457" s="205"/>
      <c r="IB457" s="205"/>
      <c r="IC457" s="205"/>
      <c r="ID457" s="205"/>
      <c r="IE457" s="205"/>
      <c r="IF457" s="205"/>
      <c r="IG457" s="205"/>
      <c r="IH457" s="205"/>
      <c r="II457" s="205"/>
      <c r="IJ457" s="205"/>
      <c r="IK457" s="205"/>
      <c r="IL457" s="205"/>
      <c r="IM457" s="205"/>
      <c r="IN457" s="205"/>
      <c r="IO457" s="205"/>
      <c r="IP457" s="205"/>
      <c r="IQ457" s="205"/>
      <c r="IR457" s="205"/>
      <c r="IS457" s="205"/>
      <c r="IT457" s="205"/>
      <c r="IU457" s="205"/>
      <c r="IV457" s="205"/>
      <c r="IW457" s="205"/>
      <c r="IX457" s="205"/>
    </row>
    <row r="458" spans="1:258" s="203" customFormat="1" x14ac:dyDescent="0.2">
      <c r="A458" s="669"/>
      <c r="B458" s="670"/>
      <c r="C458" s="1390"/>
      <c r="D458" s="672"/>
      <c r="E458" s="1391"/>
      <c r="F458" s="1391"/>
      <c r="G458" s="1392"/>
      <c r="H458" s="1393">
        <v>126</v>
      </c>
      <c r="I458" s="1394"/>
      <c r="J458" s="1394"/>
      <c r="K458" s="1394"/>
      <c r="L458" s="1394"/>
      <c r="M458" s="1394"/>
      <c r="N458" s="1394"/>
      <c r="O458" s="1394"/>
      <c r="P458" s="1394"/>
      <c r="Q458" s="1394" t="s">
        <v>696</v>
      </c>
      <c r="R458" s="1395">
        <f>H458</f>
        <v>126</v>
      </c>
      <c r="S458" s="1396">
        <f>R458</f>
        <v>126</v>
      </c>
      <c r="T458" s="1397" t="s">
        <v>247</v>
      </c>
      <c r="U458" s="205"/>
      <c r="V458" s="685"/>
      <c r="W458" s="205"/>
      <c r="X458" s="205"/>
      <c r="Y458" s="205"/>
      <c r="Z458" s="205"/>
      <c r="AA458" s="205"/>
      <c r="AB458" s="205"/>
      <c r="AC458" s="205"/>
      <c r="AD458" s="205"/>
      <c r="AE458" s="205"/>
      <c r="AF458" s="205"/>
      <c r="AG458" s="205"/>
      <c r="AH458" s="205"/>
      <c r="AI458" s="205"/>
      <c r="AJ458" s="205"/>
      <c r="AK458" s="205"/>
      <c r="AL458" s="205"/>
      <c r="AM458" s="205"/>
      <c r="AN458" s="205"/>
      <c r="AO458" s="205"/>
      <c r="AP458" s="205"/>
      <c r="AQ458" s="205"/>
      <c r="AR458" s="205"/>
      <c r="AS458" s="205"/>
      <c r="AT458" s="205"/>
      <c r="AU458" s="205"/>
      <c r="AV458" s="205"/>
      <c r="AW458" s="205"/>
      <c r="AX458" s="205"/>
      <c r="AY458" s="205"/>
      <c r="AZ458" s="205"/>
      <c r="BA458" s="205"/>
      <c r="BB458" s="205"/>
      <c r="BC458" s="205"/>
      <c r="BD458" s="205"/>
      <c r="BE458" s="205"/>
      <c r="BF458" s="205"/>
      <c r="BG458" s="205"/>
      <c r="BH458" s="205"/>
      <c r="BI458" s="205"/>
      <c r="BJ458" s="205"/>
      <c r="BK458" s="205"/>
      <c r="BL458" s="205"/>
      <c r="BM458" s="205"/>
      <c r="BN458" s="205"/>
      <c r="BO458" s="205"/>
      <c r="BP458" s="205"/>
      <c r="BQ458" s="205"/>
      <c r="BR458" s="205"/>
      <c r="BS458" s="205"/>
      <c r="BT458" s="205"/>
      <c r="BU458" s="205"/>
      <c r="BV458" s="205"/>
      <c r="BW458" s="205"/>
      <c r="BX458" s="205"/>
      <c r="BY458" s="205"/>
      <c r="BZ458" s="205"/>
      <c r="CA458" s="205"/>
      <c r="CB458" s="205"/>
      <c r="CC458" s="205"/>
      <c r="CD458" s="205"/>
      <c r="CE458" s="205"/>
      <c r="CF458" s="205"/>
      <c r="CG458" s="205"/>
      <c r="CH458" s="205"/>
      <c r="CI458" s="205"/>
      <c r="CJ458" s="205"/>
      <c r="CK458" s="205"/>
      <c r="CL458" s="205"/>
      <c r="CM458" s="205"/>
      <c r="CN458" s="205"/>
      <c r="CO458" s="205"/>
      <c r="CP458" s="205"/>
      <c r="CQ458" s="205"/>
      <c r="CR458" s="205"/>
      <c r="CS458" s="205"/>
      <c r="CT458" s="205"/>
      <c r="CU458" s="205"/>
      <c r="CV458" s="205"/>
      <c r="CW458" s="205"/>
      <c r="CX458" s="205"/>
      <c r="CY458" s="205"/>
      <c r="CZ458" s="205"/>
      <c r="DA458" s="205"/>
      <c r="DB458" s="205"/>
      <c r="DC458" s="205"/>
      <c r="DD458" s="205"/>
      <c r="DE458" s="205"/>
      <c r="DF458" s="205"/>
      <c r="DG458" s="205"/>
      <c r="DH458" s="205"/>
      <c r="DI458" s="205"/>
      <c r="DJ458" s="205"/>
      <c r="DK458" s="205"/>
      <c r="DL458" s="205"/>
      <c r="DM458" s="205"/>
      <c r="DN458" s="205"/>
      <c r="DO458" s="205"/>
      <c r="DP458" s="205"/>
      <c r="DQ458" s="205"/>
      <c r="DR458" s="205"/>
      <c r="DS458" s="205"/>
      <c r="DT458" s="205"/>
      <c r="DU458" s="205"/>
      <c r="DV458" s="205"/>
      <c r="DW458" s="205"/>
      <c r="DX458" s="205"/>
      <c r="DY458" s="205"/>
      <c r="DZ458" s="205"/>
      <c r="EA458" s="205"/>
      <c r="EB458" s="205"/>
      <c r="EC458" s="205"/>
      <c r="ED458" s="205"/>
      <c r="EE458" s="205"/>
      <c r="EF458" s="205"/>
      <c r="EG458" s="205"/>
      <c r="EH458" s="205"/>
      <c r="EI458" s="205"/>
      <c r="EJ458" s="205"/>
      <c r="EK458" s="205"/>
      <c r="EL458" s="205"/>
      <c r="EM458" s="205"/>
      <c r="EN458" s="205"/>
      <c r="EO458" s="205"/>
      <c r="EP458" s="205"/>
      <c r="EQ458" s="205"/>
      <c r="ER458" s="205"/>
      <c r="ES458" s="205"/>
      <c r="ET458" s="205"/>
      <c r="EU458" s="205"/>
      <c r="EV458" s="205"/>
      <c r="EW458" s="205"/>
      <c r="EX458" s="205"/>
      <c r="EY458" s="205"/>
      <c r="EZ458" s="205"/>
      <c r="FA458" s="205"/>
      <c r="FB458" s="205"/>
      <c r="FC458" s="205"/>
      <c r="FD458" s="205"/>
      <c r="FE458" s="205"/>
      <c r="FF458" s="205"/>
      <c r="FG458" s="205"/>
      <c r="FH458" s="205"/>
      <c r="FI458" s="205"/>
      <c r="FJ458" s="205"/>
      <c r="FK458" s="205"/>
      <c r="FL458" s="205"/>
      <c r="FM458" s="205"/>
      <c r="FN458" s="205"/>
      <c r="FO458" s="205"/>
      <c r="FP458" s="205"/>
      <c r="FQ458" s="205"/>
      <c r="FR458" s="205"/>
      <c r="FS458" s="205"/>
      <c r="FT458" s="205"/>
      <c r="FU458" s="205"/>
      <c r="FV458" s="205"/>
      <c r="FW458" s="205"/>
      <c r="FX458" s="205"/>
      <c r="FY458" s="205"/>
      <c r="FZ458" s="205"/>
      <c r="GA458" s="205"/>
      <c r="GB458" s="205"/>
      <c r="GC458" s="205"/>
      <c r="GD458" s="205"/>
      <c r="GE458" s="205"/>
      <c r="GF458" s="205"/>
      <c r="GG458" s="205"/>
      <c r="GH458" s="205"/>
      <c r="GI458" s="205"/>
      <c r="GJ458" s="205"/>
      <c r="GK458" s="205"/>
      <c r="GL458" s="205"/>
      <c r="GM458" s="205"/>
      <c r="GN458" s="205"/>
      <c r="GO458" s="205"/>
      <c r="GP458" s="205"/>
      <c r="GQ458" s="205"/>
      <c r="GR458" s="205"/>
      <c r="GS458" s="205"/>
      <c r="GT458" s="205"/>
      <c r="GU458" s="205"/>
      <c r="GV458" s="205"/>
      <c r="GW458" s="205"/>
      <c r="GX458" s="205"/>
      <c r="GY458" s="205"/>
      <c r="GZ458" s="205"/>
      <c r="HA458" s="205"/>
      <c r="HB458" s="205"/>
      <c r="HC458" s="205"/>
      <c r="HD458" s="205"/>
      <c r="HE458" s="205"/>
      <c r="HF458" s="205"/>
      <c r="HG458" s="205"/>
      <c r="HH458" s="205"/>
      <c r="HI458" s="205"/>
      <c r="HJ458" s="205"/>
      <c r="HK458" s="205"/>
      <c r="HL458" s="205"/>
      <c r="HM458" s="205"/>
      <c r="HN458" s="205"/>
      <c r="HO458" s="205"/>
      <c r="HP458" s="205"/>
      <c r="HQ458" s="205"/>
      <c r="HR458" s="205"/>
      <c r="HS458" s="205"/>
      <c r="HT458" s="205"/>
      <c r="HU458" s="205"/>
      <c r="HV458" s="205"/>
      <c r="HW458" s="205"/>
      <c r="HX458" s="205"/>
      <c r="HY458" s="205"/>
      <c r="HZ458" s="205"/>
      <c r="IA458" s="205"/>
      <c r="IB458" s="205"/>
      <c r="IC458" s="205"/>
      <c r="ID458" s="205"/>
      <c r="IE458" s="205"/>
      <c r="IF458" s="205"/>
      <c r="IG458" s="205"/>
      <c r="IH458" s="205"/>
      <c r="II458" s="205"/>
      <c r="IJ458" s="205"/>
      <c r="IK458" s="205"/>
      <c r="IL458" s="205"/>
      <c r="IM458" s="205"/>
      <c r="IN458" s="205"/>
      <c r="IO458" s="205"/>
      <c r="IP458" s="205"/>
      <c r="IQ458" s="205"/>
      <c r="IR458" s="205"/>
      <c r="IS458" s="205"/>
      <c r="IT458" s="205"/>
      <c r="IU458" s="205"/>
      <c r="IV458" s="205"/>
      <c r="IW458" s="205"/>
      <c r="IX458" s="205"/>
    </row>
    <row r="459" spans="1:258" s="203" customFormat="1" x14ac:dyDescent="0.2">
      <c r="A459" s="669"/>
      <c r="B459" s="670"/>
      <c r="C459" s="1390"/>
      <c r="D459" s="672"/>
      <c r="E459" s="1391"/>
      <c r="F459" s="1391"/>
      <c r="G459" s="1392"/>
      <c r="H459" s="1393"/>
      <c r="I459" s="1394"/>
      <c r="J459" s="1394"/>
      <c r="K459" s="1394"/>
      <c r="L459" s="1394"/>
      <c r="M459" s="1394"/>
      <c r="N459" s="1394"/>
      <c r="O459" s="1394"/>
      <c r="P459" s="1394"/>
      <c r="Q459" s="1394"/>
      <c r="R459" s="1395"/>
      <c r="S459" s="1396"/>
      <c r="T459" s="1397"/>
      <c r="U459" s="205"/>
      <c r="V459" s="685"/>
      <c r="W459" s="205"/>
      <c r="X459" s="205"/>
      <c r="Y459" s="205"/>
      <c r="Z459" s="205"/>
      <c r="AA459" s="205"/>
      <c r="AB459" s="205"/>
      <c r="AC459" s="205"/>
      <c r="AD459" s="205"/>
      <c r="AE459" s="205"/>
      <c r="AF459" s="205"/>
      <c r="AG459" s="205"/>
      <c r="AH459" s="205"/>
      <c r="AI459" s="205"/>
      <c r="AJ459" s="205"/>
      <c r="AK459" s="205"/>
      <c r="AL459" s="205"/>
      <c r="AM459" s="205"/>
      <c r="AN459" s="205"/>
      <c r="AO459" s="205"/>
      <c r="AP459" s="205"/>
      <c r="AQ459" s="205"/>
      <c r="AR459" s="205"/>
      <c r="AS459" s="205"/>
      <c r="AT459" s="205"/>
      <c r="AU459" s="205"/>
      <c r="AV459" s="205"/>
      <c r="AW459" s="205"/>
      <c r="AX459" s="205"/>
      <c r="AY459" s="205"/>
      <c r="AZ459" s="205"/>
      <c r="BA459" s="205"/>
      <c r="BB459" s="205"/>
      <c r="BC459" s="205"/>
      <c r="BD459" s="205"/>
      <c r="BE459" s="205"/>
      <c r="BF459" s="205"/>
      <c r="BG459" s="205"/>
      <c r="BH459" s="205"/>
      <c r="BI459" s="205"/>
      <c r="BJ459" s="205"/>
      <c r="BK459" s="205"/>
      <c r="BL459" s="205"/>
      <c r="BM459" s="205"/>
      <c r="BN459" s="205"/>
      <c r="BO459" s="205"/>
      <c r="BP459" s="205"/>
      <c r="BQ459" s="205"/>
      <c r="BR459" s="205"/>
      <c r="BS459" s="205"/>
      <c r="BT459" s="205"/>
      <c r="BU459" s="205"/>
      <c r="BV459" s="205"/>
      <c r="BW459" s="205"/>
      <c r="BX459" s="205"/>
      <c r="BY459" s="205"/>
      <c r="BZ459" s="205"/>
      <c r="CA459" s="205"/>
      <c r="CB459" s="205"/>
      <c r="CC459" s="205"/>
      <c r="CD459" s="205"/>
      <c r="CE459" s="205"/>
      <c r="CF459" s="205"/>
      <c r="CG459" s="205"/>
      <c r="CH459" s="205"/>
      <c r="CI459" s="205"/>
      <c r="CJ459" s="205"/>
      <c r="CK459" s="205"/>
      <c r="CL459" s="205"/>
      <c r="CM459" s="205"/>
      <c r="CN459" s="205"/>
      <c r="CO459" s="205"/>
      <c r="CP459" s="205"/>
      <c r="CQ459" s="205"/>
      <c r="CR459" s="205"/>
      <c r="CS459" s="205"/>
      <c r="CT459" s="205"/>
      <c r="CU459" s="205"/>
      <c r="CV459" s="205"/>
      <c r="CW459" s="205"/>
      <c r="CX459" s="205"/>
      <c r="CY459" s="205"/>
      <c r="CZ459" s="205"/>
      <c r="DA459" s="205"/>
      <c r="DB459" s="205"/>
      <c r="DC459" s="205"/>
      <c r="DD459" s="205"/>
      <c r="DE459" s="205"/>
      <c r="DF459" s="205"/>
      <c r="DG459" s="205"/>
      <c r="DH459" s="205"/>
      <c r="DI459" s="205"/>
      <c r="DJ459" s="205"/>
      <c r="DK459" s="205"/>
      <c r="DL459" s="205"/>
      <c r="DM459" s="205"/>
      <c r="DN459" s="205"/>
      <c r="DO459" s="205"/>
      <c r="DP459" s="205"/>
      <c r="DQ459" s="205"/>
      <c r="DR459" s="205"/>
      <c r="DS459" s="205"/>
      <c r="DT459" s="205"/>
      <c r="DU459" s="205"/>
      <c r="DV459" s="205"/>
      <c r="DW459" s="205"/>
      <c r="DX459" s="205"/>
      <c r="DY459" s="205"/>
      <c r="DZ459" s="205"/>
      <c r="EA459" s="205"/>
      <c r="EB459" s="205"/>
      <c r="EC459" s="205"/>
      <c r="ED459" s="205"/>
      <c r="EE459" s="205"/>
      <c r="EF459" s="205"/>
      <c r="EG459" s="205"/>
      <c r="EH459" s="205"/>
      <c r="EI459" s="205"/>
      <c r="EJ459" s="205"/>
      <c r="EK459" s="205"/>
      <c r="EL459" s="205"/>
      <c r="EM459" s="205"/>
      <c r="EN459" s="205"/>
      <c r="EO459" s="205"/>
      <c r="EP459" s="205"/>
      <c r="EQ459" s="205"/>
      <c r="ER459" s="205"/>
      <c r="ES459" s="205"/>
      <c r="ET459" s="205"/>
      <c r="EU459" s="205"/>
      <c r="EV459" s="205"/>
      <c r="EW459" s="205"/>
      <c r="EX459" s="205"/>
      <c r="EY459" s="205"/>
      <c r="EZ459" s="205"/>
      <c r="FA459" s="205"/>
      <c r="FB459" s="205"/>
      <c r="FC459" s="205"/>
      <c r="FD459" s="205"/>
      <c r="FE459" s="205"/>
      <c r="FF459" s="205"/>
      <c r="FG459" s="205"/>
      <c r="FH459" s="205"/>
      <c r="FI459" s="205"/>
      <c r="FJ459" s="205"/>
      <c r="FK459" s="205"/>
      <c r="FL459" s="205"/>
      <c r="FM459" s="205"/>
      <c r="FN459" s="205"/>
      <c r="FO459" s="205"/>
      <c r="FP459" s="205"/>
      <c r="FQ459" s="205"/>
      <c r="FR459" s="205"/>
      <c r="FS459" s="205"/>
      <c r="FT459" s="205"/>
      <c r="FU459" s="205"/>
      <c r="FV459" s="205"/>
      <c r="FW459" s="205"/>
      <c r="FX459" s="205"/>
      <c r="FY459" s="205"/>
      <c r="FZ459" s="205"/>
      <c r="GA459" s="205"/>
      <c r="GB459" s="205"/>
      <c r="GC459" s="205"/>
      <c r="GD459" s="205"/>
      <c r="GE459" s="205"/>
      <c r="GF459" s="205"/>
      <c r="GG459" s="205"/>
      <c r="GH459" s="205"/>
      <c r="GI459" s="205"/>
      <c r="GJ459" s="205"/>
      <c r="GK459" s="205"/>
      <c r="GL459" s="205"/>
      <c r="GM459" s="205"/>
      <c r="GN459" s="205"/>
      <c r="GO459" s="205"/>
      <c r="GP459" s="205"/>
      <c r="GQ459" s="205"/>
      <c r="GR459" s="205"/>
      <c r="GS459" s="205"/>
      <c r="GT459" s="205"/>
      <c r="GU459" s="205"/>
      <c r="GV459" s="205"/>
      <c r="GW459" s="205"/>
      <c r="GX459" s="205"/>
      <c r="GY459" s="205"/>
      <c r="GZ459" s="205"/>
      <c r="HA459" s="205"/>
      <c r="HB459" s="205"/>
      <c r="HC459" s="205"/>
      <c r="HD459" s="205"/>
      <c r="HE459" s="205"/>
      <c r="HF459" s="205"/>
      <c r="HG459" s="205"/>
      <c r="HH459" s="205"/>
      <c r="HI459" s="205"/>
      <c r="HJ459" s="205"/>
      <c r="HK459" s="205"/>
      <c r="HL459" s="205"/>
      <c r="HM459" s="205"/>
      <c r="HN459" s="205"/>
      <c r="HO459" s="205"/>
      <c r="HP459" s="205"/>
      <c r="HQ459" s="205"/>
      <c r="HR459" s="205"/>
      <c r="HS459" s="205"/>
      <c r="HT459" s="205"/>
      <c r="HU459" s="205"/>
      <c r="HV459" s="205"/>
      <c r="HW459" s="205"/>
      <c r="HX459" s="205"/>
      <c r="HY459" s="205"/>
      <c r="HZ459" s="205"/>
      <c r="IA459" s="205"/>
      <c r="IB459" s="205"/>
      <c r="IC459" s="205"/>
      <c r="ID459" s="205"/>
      <c r="IE459" s="205"/>
      <c r="IF459" s="205"/>
      <c r="IG459" s="205"/>
      <c r="IH459" s="205"/>
      <c r="II459" s="205"/>
      <c r="IJ459" s="205"/>
      <c r="IK459" s="205"/>
      <c r="IL459" s="205"/>
      <c r="IM459" s="205"/>
      <c r="IN459" s="205"/>
      <c r="IO459" s="205"/>
      <c r="IP459" s="205"/>
      <c r="IQ459" s="205"/>
      <c r="IR459" s="205"/>
      <c r="IS459" s="205"/>
      <c r="IT459" s="205"/>
      <c r="IU459" s="205"/>
      <c r="IV459" s="205"/>
      <c r="IW459" s="205"/>
      <c r="IX459" s="205"/>
    </row>
    <row r="460" spans="1:258" s="203" customFormat="1" x14ac:dyDescent="0.2">
      <c r="A460" s="669"/>
      <c r="B460" s="670">
        <f>RAB!B150</f>
        <v>7</v>
      </c>
      <c r="C460" s="686" t="e">
        <f>RAB!D150</f>
        <v>#REF!</v>
      </c>
      <c r="D460" s="672"/>
      <c r="E460" s="673"/>
      <c r="F460" s="673"/>
      <c r="G460" s="674" t="s">
        <v>1740</v>
      </c>
      <c r="H460" s="675">
        <f>6.5+8.6</f>
        <v>15.1</v>
      </c>
      <c r="I460" s="676" t="s">
        <v>424</v>
      </c>
      <c r="J460" s="676">
        <f>J453</f>
        <v>1.1033999999999999</v>
      </c>
      <c r="K460" s="676"/>
      <c r="L460" s="676"/>
      <c r="M460" s="676"/>
      <c r="N460" s="676"/>
      <c r="O460" s="676"/>
      <c r="P460" s="676"/>
      <c r="Q460" s="1394" t="s">
        <v>696</v>
      </c>
      <c r="R460" s="1395">
        <f>H460*J460</f>
        <v>16.661339999999999</v>
      </c>
      <c r="S460" s="678"/>
      <c r="T460" s="684"/>
      <c r="U460" s="205"/>
      <c r="V460" s="685"/>
      <c r="W460" s="205"/>
      <c r="X460" s="205"/>
      <c r="Y460" s="205"/>
      <c r="Z460" s="205"/>
      <c r="AA460" s="205"/>
      <c r="AB460" s="205"/>
      <c r="AC460" s="205"/>
      <c r="AD460" s="205"/>
      <c r="AE460" s="205"/>
      <c r="AF460" s="205"/>
      <c r="AG460" s="205"/>
      <c r="AH460" s="205"/>
      <c r="AI460" s="205"/>
      <c r="AJ460" s="205"/>
      <c r="AK460" s="205"/>
      <c r="AL460" s="205"/>
      <c r="AM460" s="205"/>
      <c r="AN460" s="205"/>
      <c r="AO460" s="205"/>
      <c r="AP460" s="205"/>
      <c r="AQ460" s="205"/>
      <c r="AR460" s="205"/>
      <c r="AS460" s="205"/>
      <c r="AT460" s="205"/>
      <c r="AU460" s="205"/>
      <c r="AV460" s="205"/>
      <c r="AW460" s="205"/>
      <c r="AX460" s="205"/>
      <c r="AY460" s="205"/>
      <c r="AZ460" s="205"/>
      <c r="BA460" s="205"/>
      <c r="BB460" s="205"/>
      <c r="BC460" s="205"/>
      <c r="BD460" s="205"/>
      <c r="BE460" s="205"/>
      <c r="BF460" s="205"/>
      <c r="BG460" s="205"/>
      <c r="BH460" s="205"/>
      <c r="BI460" s="205"/>
      <c r="BJ460" s="205"/>
      <c r="BK460" s="205"/>
      <c r="BL460" s="205"/>
      <c r="BM460" s="205"/>
      <c r="BN460" s="205"/>
      <c r="BO460" s="205"/>
      <c r="BP460" s="205"/>
      <c r="BQ460" s="205"/>
      <c r="BR460" s="205"/>
      <c r="BS460" s="205"/>
      <c r="BT460" s="205"/>
      <c r="BU460" s="205"/>
      <c r="BV460" s="205"/>
      <c r="BW460" s="205"/>
      <c r="BX460" s="205"/>
      <c r="BY460" s="205"/>
      <c r="BZ460" s="205"/>
      <c r="CA460" s="205"/>
      <c r="CB460" s="205"/>
      <c r="CC460" s="205"/>
      <c r="CD460" s="205"/>
      <c r="CE460" s="205"/>
      <c r="CF460" s="205"/>
      <c r="CG460" s="205"/>
      <c r="CH460" s="205"/>
      <c r="CI460" s="205"/>
      <c r="CJ460" s="205"/>
      <c r="CK460" s="205"/>
      <c r="CL460" s="205"/>
      <c r="CM460" s="205"/>
      <c r="CN460" s="205"/>
      <c r="CO460" s="205"/>
      <c r="CP460" s="205"/>
      <c r="CQ460" s="205"/>
      <c r="CR460" s="205"/>
      <c r="CS460" s="205"/>
      <c r="CT460" s="205"/>
      <c r="CU460" s="205"/>
      <c r="CV460" s="205"/>
      <c r="CW460" s="205"/>
      <c r="CX460" s="205"/>
      <c r="CY460" s="205"/>
      <c r="CZ460" s="205"/>
      <c r="DA460" s="205"/>
      <c r="DB460" s="205"/>
      <c r="DC460" s="205"/>
      <c r="DD460" s="205"/>
      <c r="DE460" s="205"/>
      <c r="DF460" s="205"/>
      <c r="DG460" s="205"/>
      <c r="DH460" s="205"/>
      <c r="DI460" s="205"/>
      <c r="DJ460" s="205"/>
      <c r="DK460" s="205"/>
      <c r="DL460" s="205"/>
      <c r="DM460" s="205"/>
      <c r="DN460" s="205"/>
      <c r="DO460" s="205"/>
      <c r="DP460" s="205"/>
      <c r="DQ460" s="205"/>
      <c r="DR460" s="205"/>
      <c r="DS460" s="205"/>
      <c r="DT460" s="205"/>
      <c r="DU460" s="205"/>
      <c r="DV460" s="205"/>
      <c r="DW460" s="205"/>
      <c r="DX460" s="205"/>
      <c r="DY460" s="205"/>
      <c r="DZ460" s="205"/>
      <c r="EA460" s="205"/>
      <c r="EB460" s="205"/>
      <c r="EC460" s="205"/>
      <c r="ED460" s="205"/>
      <c r="EE460" s="205"/>
      <c r="EF460" s="205"/>
      <c r="EG460" s="205"/>
      <c r="EH460" s="205"/>
      <c r="EI460" s="205"/>
      <c r="EJ460" s="205"/>
      <c r="EK460" s="205"/>
      <c r="EL460" s="205"/>
      <c r="EM460" s="205"/>
      <c r="EN460" s="205"/>
      <c r="EO460" s="205"/>
      <c r="EP460" s="205"/>
      <c r="EQ460" s="205"/>
      <c r="ER460" s="205"/>
      <c r="ES460" s="205"/>
      <c r="ET460" s="205"/>
      <c r="EU460" s="205"/>
      <c r="EV460" s="205"/>
      <c r="EW460" s="205"/>
      <c r="EX460" s="205"/>
      <c r="EY460" s="205"/>
      <c r="EZ460" s="205"/>
      <c r="FA460" s="205"/>
      <c r="FB460" s="205"/>
      <c r="FC460" s="205"/>
      <c r="FD460" s="205"/>
      <c r="FE460" s="205"/>
      <c r="FF460" s="205"/>
      <c r="FG460" s="205"/>
      <c r="FH460" s="205"/>
      <c r="FI460" s="205"/>
      <c r="FJ460" s="205"/>
      <c r="FK460" s="205"/>
      <c r="FL460" s="205"/>
      <c r="FM460" s="205"/>
      <c r="FN460" s="205"/>
      <c r="FO460" s="205"/>
      <c r="FP460" s="205"/>
      <c r="FQ460" s="205"/>
      <c r="FR460" s="205"/>
      <c r="FS460" s="205"/>
      <c r="FT460" s="205"/>
      <c r="FU460" s="205"/>
      <c r="FV460" s="205"/>
      <c r="FW460" s="205"/>
      <c r="FX460" s="205"/>
      <c r="FY460" s="205"/>
      <c r="FZ460" s="205"/>
      <c r="GA460" s="205"/>
      <c r="GB460" s="205"/>
      <c r="GC460" s="205"/>
      <c r="GD460" s="205"/>
      <c r="GE460" s="205"/>
      <c r="GF460" s="205"/>
      <c r="GG460" s="205"/>
      <c r="GH460" s="205"/>
      <c r="GI460" s="205"/>
      <c r="GJ460" s="205"/>
      <c r="GK460" s="205"/>
      <c r="GL460" s="205"/>
      <c r="GM460" s="205"/>
      <c r="GN460" s="205"/>
      <c r="GO460" s="205"/>
      <c r="GP460" s="205"/>
      <c r="GQ460" s="205"/>
      <c r="GR460" s="205"/>
      <c r="GS460" s="205"/>
      <c r="GT460" s="205"/>
      <c r="GU460" s="205"/>
      <c r="GV460" s="205"/>
      <c r="GW460" s="205"/>
      <c r="GX460" s="205"/>
      <c r="GY460" s="205"/>
      <c r="GZ460" s="205"/>
      <c r="HA460" s="205"/>
      <c r="HB460" s="205"/>
      <c r="HC460" s="205"/>
      <c r="HD460" s="205"/>
      <c r="HE460" s="205"/>
      <c r="HF460" s="205"/>
      <c r="HG460" s="205"/>
      <c r="HH460" s="205"/>
      <c r="HI460" s="205"/>
      <c r="HJ460" s="205"/>
      <c r="HK460" s="205"/>
      <c r="HL460" s="205"/>
      <c r="HM460" s="205"/>
      <c r="HN460" s="205"/>
      <c r="HO460" s="205"/>
      <c r="HP460" s="205"/>
      <c r="HQ460" s="205"/>
      <c r="HR460" s="205"/>
      <c r="HS460" s="205"/>
      <c r="HT460" s="205"/>
      <c r="HU460" s="205"/>
      <c r="HV460" s="205"/>
      <c r="HW460" s="205"/>
      <c r="HX460" s="205"/>
      <c r="HY460" s="205"/>
      <c r="HZ460" s="205"/>
      <c r="IA460" s="205"/>
      <c r="IB460" s="205"/>
      <c r="IC460" s="205"/>
      <c r="ID460" s="205"/>
      <c r="IE460" s="205"/>
      <c r="IF460" s="205"/>
      <c r="IG460" s="205"/>
      <c r="IH460" s="205"/>
      <c r="II460" s="205"/>
      <c r="IJ460" s="205"/>
      <c r="IK460" s="205"/>
      <c r="IL460" s="205"/>
      <c r="IM460" s="205"/>
      <c r="IN460" s="205"/>
      <c r="IO460" s="205"/>
      <c r="IP460" s="205"/>
      <c r="IQ460" s="205"/>
      <c r="IR460" s="205"/>
      <c r="IS460" s="205"/>
      <c r="IT460" s="205"/>
      <c r="IU460" s="205"/>
      <c r="IV460" s="205"/>
      <c r="IW460" s="205"/>
      <c r="IX460" s="205"/>
    </row>
    <row r="461" spans="1:258" s="203" customFormat="1" x14ac:dyDescent="0.2">
      <c r="A461" s="669"/>
      <c r="B461" s="670"/>
      <c r="C461" s="1390"/>
      <c r="D461" s="672"/>
      <c r="E461" s="1391"/>
      <c r="F461" s="1391"/>
      <c r="G461" s="1392" t="s">
        <v>1741</v>
      </c>
      <c r="H461" s="1393">
        <v>5</v>
      </c>
      <c r="I461" s="1394" t="s">
        <v>424</v>
      </c>
      <c r="J461" s="1394">
        <v>2</v>
      </c>
      <c r="K461" s="1394"/>
      <c r="L461" s="1394"/>
      <c r="M461" s="1394"/>
      <c r="N461" s="1394"/>
      <c r="O461" s="1394"/>
      <c r="P461" s="1394"/>
      <c r="Q461" s="1394" t="s">
        <v>696</v>
      </c>
      <c r="R461" s="1395">
        <f>H461*J461</f>
        <v>10</v>
      </c>
      <c r="S461" s="1396"/>
      <c r="T461" s="1397"/>
      <c r="U461" s="205"/>
      <c r="V461" s="685"/>
      <c r="W461" s="205"/>
      <c r="X461" s="205"/>
      <c r="Y461" s="205"/>
      <c r="Z461" s="205"/>
      <c r="AA461" s="205"/>
      <c r="AB461" s="205"/>
      <c r="AC461" s="205"/>
      <c r="AD461" s="205"/>
      <c r="AE461" s="205"/>
      <c r="AF461" s="205"/>
      <c r="AG461" s="205"/>
      <c r="AH461" s="205"/>
      <c r="AI461" s="205"/>
      <c r="AJ461" s="205"/>
      <c r="AK461" s="205"/>
      <c r="AL461" s="205"/>
      <c r="AM461" s="205"/>
      <c r="AN461" s="205"/>
      <c r="AO461" s="205"/>
      <c r="AP461" s="205"/>
      <c r="AQ461" s="205"/>
      <c r="AR461" s="205"/>
      <c r="AS461" s="205"/>
      <c r="AT461" s="205"/>
      <c r="AU461" s="205"/>
      <c r="AV461" s="205"/>
      <c r="AW461" s="205"/>
      <c r="AX461" s="205"/>
      <c r="AY461" s="205"/>
      <c r="AZ461" s="205"/>
      <c r="BA461" s="205"/>
      <c r="BB461" s="205"/>
      <c r="BC461" s="205"/>
      <c r="BD461" s="205"/>
      <c r="BE461" s="205"/>
      <c r="BF461" s="205"/>
      <c r="BG461" s="205"/>
      <c r="BH461" s="205"/>
      <c r="BI461" s="205"/>
      <c r="BJ461" s="205"/>
      <c r="BK461" s="205"/>
      <c r="BL461" s="205"/>
      <c r="BM461" s="205"/>
      <c r="BN461" s="205"/>
      <c r="BO461" s="205"/>
      <c r="BP461" s="205"/>
      <c r="BQ461" s="205"/>
      <c r="BR461" s="205"/>
      <c r="BS461" s="205"/>
      <c r="BT461" s="205"/>
      <c r="BU461" s="205"/>
      <c r="BV461" s="205"/>
      <c r="BW461" s="205"/>
      <c r="BX461" s="205"/>
      <c r="BY461" s="205"/>
      <c r="BZ461" s="205"/>
      <c r="CA461" s="205"/>
      <c r="CB461" s="205"/>
      <c r="CC461" s="205"/>
      <c r="CD461" s="205"/>
      <c r="CE461" s="205"/>
      <c r="CF461" s="205"/>
      <c r="CG461" s="205"/>
      <c r="CH461" s="205"/>
      <c r="CI461" s="205"/>
      <c r="CJ461" s="205"/>
      <c r="CK461" s="205"/>
      <c r="CL461" s="205"/>
      <c r="CM461" s="205"/>
      <c r="CN461" s="205"/>
      <c r="CO461" s="205"/>
      <c r="CP461" s="205"/>
      <c r="CQ461" s="205"/>
      <c r="CR461" s="205"/>
      <c r="CS461" s="205"/>
      <c r="CT461" s="205"/>
      <c r="CU461" s="205"/>
      <c r="CV461" s="205"/>
      <c r="CW461" s="205"/>
      <c r="CX461" s="205"/>
      <c r="CY461" s="205"/>
      <c r="CZ461" s="205"/>
      <c r="DA461" s="205"/>
      <c r="DB461" s="205"/>
      <c r="DC461" s="205"/>
      <c r="DD461" s="205"/>
      <c r="DE461" s="205"/>
      <c r="DF461" s="205"/>
      <c r="DG461" s="205"/>
      <c r="DH461" s="205"/>
      <c r="DI461" s="205"/>
      <c r="DJ461" s="205"/>
      <c r="DK461" s="205"/>
      <c r="DL461" s="205"/>
      <c r="DM461" s="205"/>
      <c r="DN461" s="205"/>
      <c r="DO461" s="205"/>
      <c r="DP461" s="205"/>
      <c r="DQ461" s="205"/>
      <c r="DR461" s="205"/>
      <c r="DS461" s="205"/>
      <c r="DT461" s="205"/>
      <c r="DU461" s="205"/>
      <c r="DV461" s="205"/>
      <c r="DW461" s="205"/>
      <c r="DX461" s="205"/>
      <c r="DY461" s="205"/>
      <c r="DZ461" s="205"/>
      <c r="EA461" s="205"/>
      <c r="EB461" s="205"/>
      <c r="EC461" s="205"/>
      <c r="ED461" s="205"/>
      <c r="EE461" s="205"/>
      <c r="EF461" s="205"/>
      <c r="EG461" s="205"/>
      <c r="EH461" s="205"/>
      <c r="EI461" s="205"/>
      <c r="EJ461" s="205"/>
      <c r="EK461" s="205"/>
      <c r="EL461" s="205"/>
      <c r="EM461" s="205"/>
      <c r="EN461" s="205"/>
      <c r="EO461" s="205"/>
      <c r="EP461" s="205"/>
      <c r="EQ461" s="205"/>
      <c r="ER461" s="205"/>
      <c r="ES461" s="205"/>
      <c r="ET461" s="205"/>
      <c r="EU461" s="205"/>
      <c r="EV461" s="205"/>
      <c r="EW461" s="205"/>
      <c r="EX461" s="205"/>
      <c r="EY461" s="205"/>
      <c r="EZ461" s="205"/>
      <c r="FA461" s="205"/>
      <c r="FB461" s="205"/>
      <c r="FC461" s="205"/>
      <c r="FD461" s="205"/>
      <c r="FE461" s="205"/>
      <c r="FF461" s="205"/>
      <c r="FG461" s="205"/>
      <c r="FH461" s="205"/>
      <c r="FI461" s="205"/>
      <c r="FJ461" s="205"/>
      <c r="FK461" s="205"/>
      <c r="FL461" s="205"/>
      <c r="FM461" s="205"/>
      <c r="FN461" s="205"/>
      <c r="FO461" s="205"/>
      <c r="FP461" s="205"/>
      <c r="FQ461" s="205"/>
      <c r="FR461" s="205"/>
      <c r="FS461" s="205"/>
      <c r="FT461" s="205"/>
      <c r="FU461" s="205"/>
      <c r="FV461" s="205"/>
      <c r="FW461" s="205"/>
      <c r="FX461" s="205"/>
      <c r="FY461" s="205"/>
      <c r="FZ461" s="205"/>
      <c r="GA461" s="205"/>
      <c r="GB461" s="205"/>
      <c r="GC461" s="205"/>
      <c r="GD461" s="205"/>
      <c r="GE461" s="205"/>
      <c r="GF461" s="205"/>
      <c r="GG461" s="205"/>
      <c r="GH461" s="205"/>
      <c r="GI461" s="205"/>
      <c r="GJ461" s="205"/>
      <c r="GK461" s="205"/>
      <c r="GL461" s="205"/>
      <c r="GM461" s="205"/>
      <c r="GN461" s="205"/>
      <c r="GO461" s="205"/>
      <c r="GP461" s="205"/>
      <c r="GQ461" s="205"/>
      <c r="GR461" s="205"/>
      <c r="GS461" s="205"/>
      <c r="GT461" s="205"/>
      <c r="GU461" s="205"/>
      <c r="GV461" s="205"/>
      <c r="GW461" s="205"/>
      <c r="GX461" s="205"/>
      <c r="GY461" s="205"/>
      <c r="GZ461" s="205"/>
      <c r="HA461" s="205"/>
      <c r="HB461" s="205"/>
      <c r="HC461" s="205"/>
      <c r="HD461" s="205"/>
      <c r="HE461" s="205"/>
      <c r="HF461" s="205"/>
      <c r="HG461" s="205"/>
      <c r="HH461" s="205"/>
      <c r="HI461" s="205"/>
      <c r="HJ461" s="205"/>
      <c r="HK461" s="205"/>
      <c r="HL461" s="205"/>
      <c r="HM461" s="205"/>
      <c r="HN461" s="205"/>
      <c r="HO461" s="205"/>
      <c r="HP461" s="205"/>
      <c r="HQ461" s="205"/>
      <c r="HR461" s="205"/>
      <c r="HS461" s="205"/>
      <c r="HT461" s="205"/>
      <c r="HU461" s="205"/>
      <c r="HV461" s="205"/>
      <c r="HW461" s="205"/>
      <c r="HX461" s="205"/>
      <c r="HY461" s="205"/>
      <c r="HZ461" s="205"/>
      <c r="IA461" s="205"/>
      <c r="IB461" s="205"/>
      <c r="IC461" s="205"/>
      <c r="ID461" s="205"/>
      <c r="IE461" s="205"/>
      <c r="IF461" s="205"/>
      <c r="IG461" s="205"/>
      <c r="IH461" s="205"/>
      <c r="II461" s="205"/>
      <c r="IJ461" s="205"/>
      <c r="IK461" s="205"/>
      <c r="IL461" s="205"/>
      <c r="IM461" s="205"/>
      <c r="IN461" s="205"/>
      <c r="IO461" s="205"/>
      <c r="IP461" s="205"/>
      <c r="IQ461" s="205"/>
      <c r="IR461" s="205"/>
      <c r="IS461" s="205"/>
      <c r="IT461" s="205"/>
      <c r="IU461" s="205"/>
      <c r="IV461" s="205"/>
      <c r="IW461" s="205"/>
      <c r="IX461" s="205"/>
    </row>
    <row r="462" spans="1:258" s="203" customFormat="1" x14ac:dyDescent="0.2">
      <c r="A462" s="669"/>
      <c r="B462" s="670"/>
      <c r="C462" s="1390"/>
      <c r="D462" s="672"/>
      <c r="E462" s="1391"/>
      <c r="F462" s="1391"/>
      <c r="G462" s="1392"/>
      <c r="H462" s="1393"/>
      <c r="I462" s="1394"/>
      <c r="J462" s="1394"/>
      <c r="K462" s="1394"/>
      <c r="L462" s="1394"/>
      <c r="M462" s="1394"/>
      <c r="N462" s="1394"/>
      <c r="O462" s="1394"/>
      <c r="P462" s="1394"/>
      <c r="Q462" s="1394"/>
      <c r="R462" s="1395">
        <f>SUM(R460:R461)</f>
        <v>26.661339999999999</v>
      </c>
      <c r="S462" s="1396">
        <f>R462</f>
        <v>26.661339999999999</v>
      </c>
      <c r="T462" s="1397" t="s">
        <v>247</v>
      </c>
      <c r="U462" s="205"/>
      <c r="V462" s="685"/>
      <c r="W462" s="205"/>
      <c r="X462" s="205"/>
      <c r="Y462" s="205"/>
      <c r="Z462" s="205"/>
      <c r="AA462" s="205"/>
      <c r="AB462" s="205"/>
      <c r="AC462" s="205"/>
      <c r="AD462" s="205"/>
      <c r="AE462" s="205"/>
      <c r="AF462" s="205"/>
      <c r="AG462" s="205"/>
      <c r="AH462" s="205"/>
      <c r="AI462" s="205"/>
      <c r="AJ462" s="205"/>
      <c r="AK462" s="205"/>
      <c r="AL462" s="205"/>
      <c r="AM462" s="205"/>
      <c r="AN462" s="205"/>
      <c r="AO462" s="205"/>
      <c r="AP462" s="205"/>
      <c r="AQ462" s="205"/>
      <c r="AR462" s="205"/>
      <c r="AS462" s="205"/>
      <c r="AT462" s="205"/>
      <c r="AU462" s="205"/>
      <c r="AV462" s="205"/>
      <c r="AW462" s="205"/>
      <c r="AX462" s="205"/>
      <c r="AY462" s="205"/>
      <c r="AZ462" s="205"/>
      <c r="BA462" s="205"/>
      <c r="BB462" s="205"/>
      <c r="BC462" s="205"/>
      <c r="BD462" s="205"/>
      <c r="BE462" s="205"/>
      <c r="BF462" s="205"/>
      <c r="BG462" s="205"/>
      <c r="BH462" s="205"/>
      <c r="BI462" s="205"/>
      <c r="BJ462" s="205"/>
      <c r="BK462" s="205"/>
      <c r="BL462" s="205"/>
      <c r="BM462" s="205"/>
      <c r="BN462" s="205"/>
      <c r="BO462" s="205"/>
      <c r="BP462" s="205"/>
      <c r="BQ462" s="205"/>
      <c r="BR462" s="205"/>
      <c r="BS462" s="205"/>
      <c r="BT462" s="205"/>
      <c r="BU462" s="205"/>
      <c r="BV462" s="205"/>
      <c r="BW462" s="205"/>
      <c r="BX462" s="205"/>
      <c r="BY462" s="205"/>
      <c r="BZ462" s="205"/>
      <c r="CA462" s="205"/>
      <c r="CB462" s="205"/>
      <c r="CC462" s="205"/>
      <c r="CD462" s="205"/>
      <c r="CE462" s="205"/>
      <c r="CF462" s="205"/>
      <c r="CG462" s="205"/>
      <c r="CH462" s="205"/>
      <c r="CI462" s="205"/>
      <c r="CJ462" s="205"/>
      <c r="CK462" s="205"/>
      <c r="CL462" s="205"/>
      <c r="CM462" s="205"/>
      <c r="CN462" s="205"/>
      <c r="CO462" s="205"/>
      <c r="CP462" s="205"/>
      <c r="CQ462" s="205"/>
      <c r="CR462" s="205"/>
      <c r="CS462" s="205"/>
      <c r="CT462" s="205"/>
      <c r="CU462" s="205"/>
      <c r="CV462" s="205"/>
      <c r="CW462" s="205"/>
      <c r="CX462" s="205"/>
      <c r="CY462" s="205"/>
      <c r="CZ462" s="205"/>
      <c r="DA462" s="205"/>
      <c r="DB462" s="205"/>
      <c r="DC462" s="205"/>
      <c r="DD462" s="205"/>
      <c r="DE462" s="205"/>
      <c r="DF462" s="205"/>
      <c r="DG462" s="205"/>
      <c r="DH462" s="205"/>
      <c r="DI462" s="205"/>
      <c r="DJ462" s="205"/>
      <c r="DK462" s="205"/>
      <c r="DL462" s="205"/>
      <c r="DM462" s="205"/>
      <c r="DN462" s="205"/>
      <c r="DO462" s="205"/>
      <c r="DP462" s="205"/>
      <c r="DQ462" s="205"/>
      <c r="DR462" s="205"/>
      <c r="DS462" s="205"/>
      <c r="DT462" s="205"/>
      <c r="DU462" s="205"/>
      <c r="DV462" s="205"/>
      <c r="DW462" s="205"/>
      <c r="DX462" s="205"/>
      <c r="DY462" s="205"/>
      <c r="DZ462" s="205"/>
      <c r="EA462" s="205"/>
      <c r="EB462" s="205"/>
      <c r="EC462" s="205"/>
      <c r="ED462" s="205"/>
      <c r="EE462" s="205"/>
      <c r="EF462" s="205"/>
      <c r="EG462" s="205"/>
      <c r="EH462" s="205"/>
      <c r="EI462" s="205"/>
      <c r="EJ462" s="205"/>
      <c r="EK462" s="205"/>
      <c r="EL462" s="205"/>
      <c r="EM462" s="205"/>
      <c r="EN462" s="205"/>
      <c r="EO462" s="205"/>
      <c r="EP462" s="205"/>
      <c r="EQ462" s="205"/>
      <c r="ER462" s="205"/>
      <c r="ES462" s="205"/>
      <c r="ET462" s="205"/>
      <c r="EU462" s="205"/>
      <c r="EV462" s="205"/>
      <c r="EW462" s="205"/>
      <c r="EX462" s="205"/>
      <c r="EY462" s="205"/>
      <c r="EZ462" s="205"/>
      <c r="FA462" s="205"/>
      <c r="FB462" s="205"/>
      <c r="FC462" s="205"/>
      <c r="FD462" s="205"/>
      <c r="FE462" s="205"/>
      <c r="FF462" s="205"/>
      <c r="FG462" s="205"/>
      <c r="FH462" s="205"/>
      <c r="FI462" s="205"/>
      <c r="FJ462" s="205"/>
      <c r="FK462" s="205"/>
      <c r="FL462" s="205"/>
      <c r="FM462" s="205"/>
      <c r="FN462" s="205"/>
      <c r="FO462" s="205"/>
      <c r="FP462" s="205"/>
      <c r="FQ462" s="205"/>
      <c r="FR462" s="205"/>
      <c r="FS462" s="205"/>
      <c r="FT462" s="205"/>
      <c r="FU462" s="205"/>
      <c r="FV462" s="205"/>
      <c r="FW462" s="205"/>
      <c r="FX462" s="205"/>
      <c r="FY462" s="205"/>
      <c r="FZ462" s="205"/>
      <c r="GA462" s="205"/>
      <c r="GB462" s="205"/>
      <c r="GC462" s="205"/>
      <c r="GD462" s="205"/>
      <c r="GE462" s="205"/>
      <c r="GF462" s="205"/>
      <c r="GG462" s="205"/>
      <c r="GH462" s="205"/>
      <c r="GI462" s="205"/>
      <c r="GJ462" s="205"/>
      <c r="GK462" s="205"/>
      <c r="GL462" s="205"/>
      <c r="GM462" s="205"/>
      <c r="GN462" s="205"/>
      <c r="GO462" s="205"/>
      <c r="GP462" s="205"/>
      <c r="GQ462" s="205"/>
      <c r="GR462" s="205"/>
      <c r="GS462" s="205"/>
      <c r="GT462" s="205"/>
      <c r="GU462" s="205"/>
      <c r="GV462" s="205"/>
      <c r="GW462" s="205"/>
      <c r="GX462" s="205"/>
      <c r="GY462" s="205"/>
      <c r="GZ462" s="205"/>
      <c r="HA462" s="205"/>
      <c r="HB462" s="205"/>
      <c r="HC462" s="205"/>
      <c r="HD462" s="205"/>
      <c r="HE462" s="205"/>
      <c r="HF462" s="205"/>
      <c r="HG462" s="205"/>
      <c r="HH462" s="205"/>
      <c r="HI462" s="205"/>
      <c r="HJ462" s="205"/>
      <c r="HK462" s="205"/>
      <c r="HL462" s="205"/>
      <c r="HM462" s="205"/>
      <c r="HN462" s="205"/>
      <c r="HO462" s="205"/>
      <c r="HP462" s="205"/>
      <c r="HQ462" s="205"/>
      <c r="HR462" s="205"/>
      <c r="HS462" s="205"/>
      <c r="HT462" s="205"/>
      <c r="HU462" s="205"/>
      <c r="HV462" s="205"/>
      <c r="HW462" s="205"/>
      <c r="HX462" s="205"/>
      <c r="HY462" s="205"/>
      <c r="HZ462" s="205"/>
      <c r="IA462" s="205"/>
      <c r="IB462" s="205"/>
      <c r="IC462" s="205"/>
      <c r="ID462" s="205"/>
      <c r="IE462" s="205"/>
      <c r="IF462" s="205"/>
      <c r="IG462" s="205"/>
      <c r="IH462" s="205"/>
      <c r="II462" s="205"/>
      <c r="IJ462" s="205"/>
      <c r="IK462" s="205"/>
      <c r="IL462" s="205"/>
      <c r="IM462" s="205"/>
      <c r="IN462" s="205"/>
      <c r="IO462" s="205"/>
      <c r="IP462" s="205"/>
      <c r="IQ462" s="205"/>
      <c r="IR462" s="205"/>
      <c r="IS462" s="205"/>
      <c r="IT462" s="205"/>
      <c r="IU462" s="205"/>
      <c r="IV462" s="205"/>
      <c r="IW462" s="205"/>
      <c r="IX462" s="205"/>
    </row>
    <row r="463" spans="1:258" s="203" customFormat="1" x14ac:dyDescent="0.2">
      <c r="A463" s="669"/>
      <c r="B463" s="670"/>
      <c r="C463" s="1390"/>
      <c r="D463" s="672"/>
      <c r="E463" s="1391"/>
      <c r="F463" s="1391"/>
      <c r="G463" s="1392"/>
      <c r="H463" s="1393"/>
      <c r="I463" s="1394"/>
      <c r="J463" s="1394"/>
      <c r="K463" s="1394"/>
      <c r="L463" s="1394"/>
      <c r="M463" s="1394"/>
      <c r="N463" s="1394"/>
      <c r="O463" s="1394"/>
      <c r="P463" s="1394"/>
      <c r="Q463" s="1394"/>
      <c r="R463" s="1395"/>
      <c r="S463" s="1396"/>
      <c r="T463" s="1397"/>
      <c r="U463" s="205"/>
      <c r="V463" s="685"/>
      <c r="W463" s="205"/>
      <c r="X463" s="205"/>
      <c r="Y463" s="205"/>
      <c r="Z463" s="205"/>
      <c r="AA463" s="205"/>
      <c r="AB463" s="205"/>
      <c r="AC463" s="205"/>
      <c r="AD463" s="205"/>
      <c r="AE463" s="205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05"/>
      <c r="BN463" s="205"/>
      <c r="BO463" s="205"/>
      <c r="BP463" s="205"/>
      <c r="BQ463" s="205"/>
      <c r="BR463" s="205"/>
      <c r="BS463" s="205"/>
      <c r="BT463" s="205"/>
      <c r="BU463" s="205"/>
      <c r="BV463" s="205"/>
      <c r="BW463" s="205"/>
      <c r="BX463" s="205"/>
      <c r="BY463" s="205"/>
      <c r="BZ463" s="205"/>
      <c r="CA463" s="205"/>
      <c r="CB463" s="205"/>
      <c r="CC463" s="205"/>
      <c r="CD463" s="205"/>
      <c r="CE463" s="205"/>
      <c r="CF463" s="205"/>
      <c r="CG463" s="205"/>
      <c r="CH463" s="205"/>
      <c r="CI463" s="205"/>
      <c r="CJ463" s="205"/>
      <c r="CK463" s="205"/>
      <c r="CL463" s="205"/>
      <c r="CM463" s="205"/>
      <c r="CN463" s="205"/>
      <c r="CO463" s="205"/>
      <c r="CP463" s="205"/>
      <c r="CQ463" s="205"/>
      <c r="CR463" s="205"/>
      <c r="CS463" s="205"/>
      <c r="CT463" s="205"/>
      <c r="CU463" s="205"/>
      <c r="CV463" s="205"/>
      <c r="CW463" s="205"/>
      <c r="CX463" s="205"/>
      <c r="CY463" s="205"/>
      <c r="CZ463" s="205"/>
      <c r="DA463" s="205"/>
      <c r="DB463" s="205"/>
      <c r="DC463" s="205"/>
      <c r="DD463" s="205"/>
      <c r="DE463" s="205"/>
      <c r="DF463" s="205"/>
      <c r="DG463" s="205"/>
      <c r="DH463" s="205"/>
      <c r="DI463" s="205"/>
      <c r="DJ463" s="205"/>
      <c r="DK463" s="205"/>
      <c r="DL463" s="205"/>
      <c r="DM463" s="205"/>
      <c r="DN463" s="205"/>
      <c r="DO463" s="205"/>
      <c r="DP463" s="205"/>
      <c r="DQ463" s="205"/>
      <c r="DR463" s="205"/>
      <c r="DS463" s="205"/>
      <c r="DT463" s="205"/>
      <c r="DU463" s="205"/>
      <c r="DV463" s="205"/>
      <c r="DW463" s="205"/>
      <c r="DX463" s="205"/>
      <c r="DY463" s="205"/>
      <c r="DZ463" s="205"/>
      <c r="EA463" s="205"/>
      <c r="EB463" s="205"/>
      <c r="EC463" s="205"/>
      <c r="ED463" s="205"/>
      <c r="EE463" s="205"/>
      <c r="EF463" s="205"/>
      <c r="EG463" s="205"/>
      <c r="EH463" s="205"/>
      <c r="EI463" s="205"/>
      <c r="EJ463" s="205"/>
      <c r="EK463" s="205"/>
      <c r="EL463" s="205"/>
      <c r="EM463" s="205"/>
      <c r="EN463" s="205"/>
      <c r="EO463" s="205"/>
      <c r="EP463" s="205"/>
      <c r="EQ463" s="205"/>
      <c r="ER463" s="205"/>
      <c r="ES463" s="205"/>
      <c r="ET463" s="205"/>
      <c r="EU463" s="205"/>
      <c r="EV463" s="205"/>
      <c r="EW463" s="205"/>
      <c r="EX463" s="205"/>
      <c r="EY463" s="205"/>
      <c r="EZ463" s="205"/>
      <c r="FA463" s="205"/>
      <c r="FB463" s="205"/>
      <c r="FC463" s="205"/>
      <c r="FD463" s="205"/>
      <c r="FE463" s="205"/>
      <c r="FF463" s="205"/>
      <c r="FG463" s="205"/>
      <c r="FH463" s="205"/>
      <c r="FI463" s="205"/>
      <c r="FJ463" s="205"/>
      <c r="FK463" s="205"/>
      <c r="FL463" s="205"/>
      <c r="FM463" s="205"/>
      <c r="FN463" s="205"/>
      <c r="FO463" s="205"/>
      <c r="FP463" s="205"/>
      <c r="FQ463" s="205"/>
      <c r="FR463" s="205"/>
      <c r="FS463" s="205"/>
      <c r="FT463" s="205"/>
      <c r="FU463" s="205"/>
      <c r="FV463" s="205"/>
      <c r="FW463" s="205"/>
      <c r="FX463" s="205"/>
      <c r="FY463" s="205"/>
      <c r="FZ463" s="205"/>
      <c r="GA463" s="205"/>
      <c r="GB463" s="205"/>
      <c r="GC463" s="205"/>
      <c r="GD463" s="205"/>
      <c r="GE463" s="205"/>
      <c r="GF463" s="205"/>
      <c r="GG463" s="205"/>
      <c r="GH463" s="205"/>
      <c r="GI463" s="205"/>
      <c r="GJ463" s="205"/>
      <c r="GK463" s="205"/>
      <c r="GL463" s="205"/>
      <c r="GM463" s="205"/>
      <c r="GN463" s="205"/>
      <c r="GO463" s="205"/>
      <c r="GP463" s="205"/>
      <c r="GQ463" s="205"/>
      <c r="GR463" s="205"/>
      <c r="GS463" s="205"/>
      <c r="GT463" s="205"/>
      <c r="GU463" s="205"/>
      <c r="GV463" s="205"/>
      <c r="GW463" s="205"/>
      <c r="GX463" s="205"/>
      <c r="GY463" s="205"/>
      <c r="GZ463" s="205"/>
      <c r="HA463" s="205"/>
      <c r="HB463" s="205"/>
      <c r="HC463" s="205"/>
      <c r="HD463" s="205"/>
      <c r="HE463" s="205"/>
      <c r="HF463" s="205"/>
      <c r="HG463" s="205"/>
      <c r="HH463" s="205"/>
      <c r="HI463" s="205"/>
      <c r="HJ463" s="205"/>
      <c r="HK463" s="205"/>
      <c r="HL463" s="205"/>
      <c r="HM463" s="205"/>
      <c r="HN463" s="205"/>
      <c r="HO463" s="205"/>
      <c r="HP463" s="205"/>
      <c r="HQ463" s="205"/>
      <c r="HR463" s="205"/>
      <c r="HS463" s="205"/>
      <c r="HT463" s="205"/>
      <c r="HU463" s="205"/>
      <c r="HV463" s="205"/>
      <c r="HW463" s="205"/>
      <c r="HX463" s="205"/>
      <c r="HY463" s="205"/>
      <c r="HZ463" s="205"/>
      <c r="IA463" s="205"/>
      <c r="IB463" s="205"/>
      <c r="IC463" s="205"/>
      <c r="ID463" s="205"/>
      <c r="IE463" s="205"/>
      <c r="IF463" s="205"/>
      <c r="IG463" s="205"/>
      <c r="IH463" s="205"/>
      <c r="II463" s="205"/>
      <c r="IJ463" s="205"/>
      <c r="IK463" s="205"/>
      <c r="IL463" s="205"/>
      <c r="IM463" s="205"/>
      <c r="IN463" s="205"/>
      <c r="IO463" s="205"/>
      <c r="IP463" s="205"/>
      <c r="IQ463" s="205"/>
      <c r="IR463" s="205"/>
      <c r="IS463" s="205"/>
      <c r="IT463" s="205"/>
      <c r="IU463" s="205"/>
      <c r="IV463" s="205"/>
      <c r="IW463" s="205"/>
      <c r="IX463" s="205"/>
    </row>
    <row r="464" spans="1:258" s="203" customFormat="1" x14ac:dyDescent="0.2">
      <c r="A464" s="669"/>
      <c r="B464" s="670"/>
      <c r="C464" s="682" t="str">
        <f>RAB!D151</f>
        <v>Atap drop off</v>
      </c>
      <c r="D464" s="672"/>
      <c r="E464" s="673"/>
      <c r="F464" s="673"/>
      <c r="G464" s="674"/>
      <c r="H464" s="675"/>
      <c r="I464" s="676"/>
      <c r="J464" s="676"/>
      <c r="K464" s="676"/>
      <c r="L464" s="676"/>
      <c r="M464" s="676"/>
      <c r="N464" s="676"/>
      <c r="O464" s="676"/>
      <c r="P464" s="676"/>
      <c r="Q464" s="676"/>
      <c r="R464" s="677"/>
      <c r="S464" s="678"/>
      <c r="T464" s="684"/>
      <c r="U464" s="205"/>
      <c r="V464" s="685"/>
      <c r="W464" s="205"/>
      <c r="X464" s="205"/>
      <c r="Y464" s="205"/>
      <c r="Z464" s="205"/>
      <c r="AA464" s="205"/>
      <c r="AB464" s="205"/>
      <c r="AC464" s="205"/>
      <c r="AD464" s="205"/>
      <c r="AE464" s="205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05"/>
      <c r="BN464" s="205"/>
      <c r="BO464" s="205"/>
      <c r="BP464" s="205"/>
      <c r="BQ464" s="205"/>
      <c r="BR464" s="205"/>
      <c r="BS464" s="205"/>
      <c r="BT464" s="205"/>
      <c r="BU464" s="205"/>
      <c r="BV464" s="205"/>
      <c r="BW464" s="205"/>
      <c r="BX464" s="205"/>
      <c r="BY464" s="205"/>
      <c r="BZ464" s="205"/>
      <c r="CA464" s="205"/>
      <c r="CB464" s="205"/>
      <c r="CC464" s="205"/>
      <c r="CD464" s="205"/>
      <c r="CE464" s="205"/>
      <c r="CF464" s="205"/>
      <c r="CG464" s="205"/>
      <c r="CH464" s="205"/>
      <c r="CI464" s="205"/>
      <c r="CJ464" s="205"/>
      <c r="CK464" s="205"/>
      <c r="CL464" s="205"/>
      <c r="CM464" s="205"/>
      <c r="CN464" s="205"/>
      <c r="CO464" s="205"/>
      <c r="CP464" s="205"/>
      <c r="CQ464" s="205"/>
      <c r="CR464" s="205"/>
      <c r="CS464" s="205"/>
      <c r="CT464" s="205"/>
      <c r="CU464" s="205"/>
      <c r="CV464" s="205"/>
      <c r="CW464" s="205"/>
      <c r="CX464" s="205"/>
      <c r="CY464" s="205"/>
      <c r="CZ464" s="205"/>
      <c r="DA464" s="205"/>
      <c r="DB464" s="205"/>
      <c r="DC464" s="205"/>
      <c r="DD464" s="205"/>
      <c r="DE464" s="205"/>
      <c r="DF464" s="205"/>
      <c r="DG464" s="205"/>
      <c r="DH464" s="205"/>
      <c r="DI464" s="205"/>
      <c r="DJ464" s="205"/>
      <c r="DK464" s="205"/>
      <c r="DL464" s="205"/>
      <c r="DM464" s="205"/>
      <c r="DN464" s="205"/>
      <c r="DO464" s="205"/>
      <c r="DP464" s="205"/>
      <c r="DQ464" s="205"/>
      <c r="DR464" s="205"/>
      <c r="DS464" s="205"/>
      <c r="DT464" s="205"/>
      <c r="DU464" s="205"/>
      <c r="DV464" s="205"/>
      <c r="DW464" s="205"/>
      <c r="DX464" s="205"/>
      <c r="DY464" s="205"/>
      <c r="DZ464" s="205"/>
      <c r="EA464" s="205"/>
      <c r="EB464" s="205"/>
      <c r="EC464" s="205"/>
      <c r="ED464" s="205"/>
      <c r="EE464" s="205"/>
      <c r="EF464" s="205"/>
      <c r="EG464" s="205"/>
      <c r="EH464" s="205"/>
      <c r="EI464" s="205"/>
      <c r="EJ464" s="205"/>
      <c r="EK464" s="205"/>
      <c r="EL464" s="205"/>
      <c r="EM464" s="205"/>
      <c r="EN464" s="205"/>
      <c r="EO464" s="205"/>
      <c r="EP464" s="205"/>
      <c r="EQ464" s="205"/>
      <c r="ER464" s="205"/>
      <c r="ES464" s="205"/>
      <c r="ET464" s="205"/>
      <c r="EU464" s="205"/>
      <c r="EV464" s="205"/>
      <c r="EW464" s="205"/>
      <c r="EX464" s="205"/>
      <c r="EY464" s="205"/>
      <c r="EZ464" s="205"/>
      <c r="FA464" s="205"/>
      <c r="FB464" s="205"/>
      <c r="FC464" s="205"/>
      <c r="FD464" s="205"/>
      <c r="FE464" s="205"/>
      <c r="FF464" s="205"/>
      <c r="FG464" s="205"/>
      <c r="FH464" s="205"/>
      <c r="FI464" s="205"/>
      <c r="FJ464" s="205"/>
      <c r="FK464" s="205"/>
      <c r="FL464" s="205"/>
      <c r="FM464" s="205"/>
      <c r="FN464" s="205"/>
      <c r="FO464" s="205"/>
      <c r="FP464" s="205"/>
      <c r="FQ464" s="205"/>
      <c r="FR464" s="205"/>
      <c r="FS464" s="205"/>
      <c r="FT464" s="205"/>
      <c r="FU464" s="205"/>
      <c r="FV464" s="205"/>
      <c r="FW464" s="205"/>
      <c r="FX464" s="205"/>
      <c r="FY464" s="205"/>
      <c r="FZ464" s="205"/>
      <c r="GA464" s="205"/>
      <c r="GB464" s="205"/>
      <c r="GC464" s="205"/>
      <c r="GD464" s="205"/>
      <c r="GE464" s="205"/>
      <c r="GF464" s="205"/>
      <c r="GG464" s="205"/>
      <c r="GH464" s="205"/>
      <c r="GI464" s="205"/>
      <c r="GJ464" s="205"/>
      <c r="GK464" s="205"/>
      <c r="GL464" s="205"/>
      <c r="GM464" s="205"/>
      <c r="GN464" s="205"/>
      <c r="GO464" s="205"/>
      <c r="GP464" s="205"/>
      <c r="GQ464" s="205"/>
      <c r="GR464" s="205"/>
      <c r="GS464" s="205"/>
      <c r="GT464" s="205"/>
      <c r="GU464" s="205"/>
      <c r="GV464" s="205"/>
      <c r="GW464" s="205"/>
      <c r="GX464" s="205"/>
      <c r="GY464" s="205"/>
      <c r="GZ464" s="205"/>
      <c r="HA464" s="205"/>
      <c r="HB464" s="205"/>
      <c r="HC464" s="205"/>
      <c r="HD464" s="205"/>
      <c r="HE464" s="205"/>
      <c r="HF464" s="205"/>
      <c r="HG464" s="205"/>
      <c r="HH464" s="205"/>
      <c r="HI464" s="205"/>
      <c r="HJ464" s="205"/>
      <c r="HK464" s="205"/>
      <c r="HL464" s="205"/>
      <c r="HM464" s="205"/>
      <c r="HN464" s="205"/>
      <c r="HO464" s="205"/>
      <c r="HP464" s="205"/>
      <c r="HQ464" s="205"/>
      <c r="HR464" s="205"/>
      <c r="HS464" s="205"/>
      <c r="HT464" s="205"/>
      <c r="HU464" s="205"/>
      <c r="HV464" s="205"/>
      <c r="HW464" s="205"/>
      <c r="HX464" s="205"/>
      <c r="HY464" s="205"/>
      <c r="HZ464" s="205"/>
      <c r="IA464" s="205"/>
      <c r="IB464" s="205"/>
      <c r="IC464" s="205"/>
      <c r="ID464" s="205"/>
      <c r="IE464" s="205"/>
      <c r="IF464" s="205"/>
      <c r="IG464" s="205"/>
      <c r="IH464" s="205"/>
      <c r="II464" s="205"/>
      <c r="IJ464" s="205"/>
      <c r="IK464" s="205"/>
      <c r="IL464" s="205"/>
      <c r="IM464" s="205"/>
      <c r="IN464" s="205"/>
      <c r="IO464" s="205"/>
      <c r="IP464" s="205"/>
      <c r="IQ464" s="205"/>
      <c r="IR464" s="205"/>
      <c r="IS464" s="205"/>
      <c r="IT464" s="205"/>
      <c r="IU464" s="205"/>
      <c r="IV464" s="205"/>
      <c r="IW464" s="205"/>
      <c r="IX464" s="205"/>
    </row>
    <row r="465" spans="1:258" s="203" customFormat="1" x14ac:dyDescent="0.2">
      <c r="A465" s="669"/>
      <c r="B465" s="670">
        <f>RAB!B152</f>
        <v>8</v>
      </c>
      <c r="C465" s="686" t="e">
        <f>RAB!D152</f>
        <v>#REF!</v>
      </c>
      <c r="D465" s="672"/>
      <c r="E465" s="673"/>
      <c r="F465" s="673"/>
      <c r="G465" s="674"/>
      <c r="H465" s="675"/>
      <c r="I465" s="676"/>
      <c r="J465" s="676"/>
      <c r="K465" s="676"/>
      <c r="L465" s="676" t="s">
        <v>1653</v>
      </c>
      <c r="M465" s="676"/>
      <c r="N465" s="676"/>
      <c r="O465" s="676"/>
      <c r="P465" s="676"/>
      <c r="Q465" s="676"/>
      <c r="R465" s="677"/>
      <c r="S465" s="678"/>
      <c r="T465" s="684"/>
      <c r="U465" s="205"/>
      <c r="V465" s="68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05"/>
      <c r="BN465" s="205"/>
      <c r="BO465" s="205"/>
      <c r="BP465" s="205"/>
      <c r="BQ465" s="205"/>
      <c r="BR465" s="205"/>
      <c r="BS465" s="205"/>
      <c r="BT465" s="205"/>
      <c r="BU465" s="205"/>
      <c r="BV465" s="205"/>
      <c r="BW465" s="205"/>
      <c r="BX465" s="205"/>
      <c r="BY465" s="205"/>
      <c r="BZ465" s="205"/>
      <c r="CA465" s="205"/>
      <c r="CB465" s="205"/>
      <c r="CC465" s="205"/>
      <c r="CD465" s="205"/>
      <c r="CE465" s="205"/>
      <c r="CF465" s="205"/>
      <c r="CG465" s="205"/>
      <c r="CH465" s="205"/>
      <c r="CI465" s="205"/>
      <c r="CJ465" s="205"/>
      <c r="CK465" s="205"/>
      <c r="CL465" s="205"/>
      <c r="CM465" s="205"/>
      <c r="CN465" s="205"/>
      <c r="CO465" s="205"/>
      <c r="CP465" s="205"/>
      <c r="CQ465" s="205"/>
      <c r="CR465" s="205"/>
      <c r="CS465" s="205"/>
      <c r="CT465" s="205"/>
      <c r="CU465" s="205"/>
      <c r="CV465" s="205"/>
      <c r="CW465" s="205"/>
      <c r="CX465" s="205"/>
      <c r="CY465" s="205"/>
      <c r="CZ465" s="205"/>
      <c r="DA465" s="205"/>
      <c r="DB465" s="205"/>
      <c r="DC465" s="205"/>
      <c r="DD465" s="205"/>
      <c r="DE465" s="205"/>
      <c r="DF465" s="205"/>
      <c r="DG465" s="205"/>
      <c r="DH465" s="205"/>
      <c r="DI465" s="205"/>
      <c r="DJ465" s="205"/>
      <c r="DK465" s="205"/>
      <c r="DL465" s="205"/>
      <c r="DM465" s="205"/>
      <c r="DN465" s="205"/>
      <c r="DO465" s="205"/>
      <c r="DP465" s="205"/>
      <c r="DQ465" s="205"/>
      <c r="DR465" s="205"/>
      <c r="DS465" s="205"/>
      <c r="DT465" s="205"/>
      <c r="DU465" s="205"/>
      <c r="DV465" s="205"/>
      <c r="DW465" s="205"/>
      <c r="DX465" s="205"/>
      <c r="DY465" s="205"/>
      <c r="DZ465" s="205"/>
      <c r="EA465" s="205"/>
      <c r="EB465" s="205"/>
      <c r="EC465" s="205"/>
      <c r="ED465" s="205"/>
      <c r="EE465" s="205"/>
      <c r="EF465" s="205"/>
      <c r="EG465" s="205"/>
      <c r="EH465" s="205"/>
      <c r="EI465" s="205"/>
      <c r="EJ465" s="205"/>
      <c r="EK465" s="205"/>
      <c r="EL465" s="205"/>
      <c r="EM465" s="205"/>
      <c r="EN465" s="205"/>
      <c r="EO465" s="205"/>
      <c r="EP465" s="205"/>
      <c r="EQ465" s="205"/>
      <c r="ER465" s="205"/>
      <c r="ES465" s="205"/>
      <c r="ET465" s="205"/>
      <c r="EU465" s="205"/>
      <c r="EV465" s="205"/>
      <c r="EW465" s="205"/>
      <c r="EX465" s="205"/>
      <c r="EY465" s="205"/>
      <c r="EZ465" s="205"/>
      <c r="FA465" s="205"/>
      <c r="FB465" s="205"/>
      <c r="FC465" s="205"/>
      <c r="FD465" s="205"/>
      <c r="FE465" s="205"/>
      <c r="FF465" s="205"/>
      <c r="FG465" s="205"/>
      <c r="FH465" s="205"/>
      <c r="FI465" s="205"/>
      <c r="FJ465" s="205"/>
      <c r="FK465" s="205"/>
      <c r="FL465" s="205"/>
      <c r="FM465" s="205"/>
      <c r="FN465" s="205"/>
      <c r="FO465" s="205"/>
      <c r="FP465" s="205"/>
      <c r="FQ465" s="205"/>
      <c r="FR465" s="205"/>
      <c r="FS465" s="205"/>
      <c r="FT465" s="205"/>
      <c r="FU465" s="205"/>
      <c r="FV465" s="205"/>
      <c r="FW465" s="205"/>
      <c r="FX465" s="205"/>
      <c r="FY465" s="205"/>
      <c r="FZ465" s="205"/>
      <c r="GA465" s="205"/>
      <c r="GB465" s="205"/>
      <c r="GC465" s="205"/>
      <c r="GD465" s="205"/>
      <c r="GE465" s="205"/>
      <c r="GF465" s="205"/>
      <c r="GG465" s="205"/>
      <c r="GH465" s="205"/>
      <c r="GI465" s="205"/>
      <c r="GJ465" s="205"/>
      <c r="GK465" s="205"/>
      <c r="GL465" s="205"/>
      <c r="GM465" s="205"/>
      <c r="GN465" s="205"/>
      <c r="GO465" s="205"/>
      <c r="GP465" s="205"/>
      <c r="GQ465" s="205"/>
      <c r="GR465" s="205"/>
      <c r="GS465" s="205"/>
      <c r="GT465" s="205"/>
      <c r="GU465" s="205"/>
      <c r="GV465" s="205"/>
      <c r="GW465" s="205"/>
      <c r="GX465" s="205"/>
      <c r="GY465" s="205"/>
      <c r="GZ465" s="205"/>
      <c r="HA465" s="205"/>
      <c r="HB465" s="205"/>
      <c r="HC465" s="205"/>
      <c r="HD465" s="205"/>
      <c r="HE465" s="205"/>
      <c r="HF465" s="205"/>
      <c r="HG465" s="205"/>
      <c r="HH465" s="205"/>
      <c r="HI465" s="205"/>
      <c r="HJ465" s="205"/>
      <c r="HK465" s="205"/>
      <c r="HL465" s="205"/>
      <c r="HM465" s="205"/>
      <c r="HN465" s="205"/>
      <c r="HO465" s="205"/>
      <c r="HP465" s="205"/>
      <c r="HQ465" s="205"/>
      <c r="HR465" s="205"/>
      <c r="HS465" s="205"/>
      <c r="HT465" s="205"/>
      <c r="HU465" s="205"/>
      <c r="HV465" s="205"/>
      <c r="HW465" s="205"/>
      <c r="HX465" s="205"/>
      <c r="HY465" s="205"/>
      <c r="HZ465" s="205"/>
      <c r="IA465" s="205"/>
      <c r="IB465" s="205"/>
      <c r="IC465" s="205"/>
      <c r="ID465" s="205"/>
      <c r="IE465" s="205"/>
      <c r="IF465" s="205"/>
      <c r="IG465" s="205"/>
      <c r="IH465" s="205"/>
      <c r="II465" s="205"/>
      <c r="IJ465" s="205"/>
      <c r="IK465" s="205"/>
      <c r="IL465" s="205"/>
      <c r="IM465" s="205"/>
      <c r="IN465" s="205"/>
      <c r="IO465" s="205"/>
      <c r="IP465" s="205"/>
      <c r="IQ465" s="205"/>
      <c r="IR465" s="205"/>
      <c r="IS465" s="205"/>
      <c r="IT465" s="205"/>
      <c r="IU465" s="205"/>
      <c r="IV465" s="205"/>
      <c r="IW465" s="205"/>
      <c r="IX465" s="205"/>
    </row>
    <row r="466" spans="1:258" s="203" customFormat="1" x14ac:dyDescent="0.2">
      <c r="A466" s="669"/>
      <c r="B466" s="670"/>
      <c r="C466" s="1390"/>
      <c r="D466" s="672">
        <v>168</v>
      </c>
      <c r="E466" s="1391"/>
      <c r="F466" s="1391"/>
      <c r="G466" s="1392" t="s">
        <v>1742</v>
      </c>
      <c r="H466" s="1393">
        <f>3.28+3.28+4</f>
        <v>10.559999999999999</v>
      </c>
      <c r="I466" s="1394" t="s">
        <v>424</v>
      </c>
      <c r="J466" s="1394">
        <v>2</v>
      </c>
      <c r="K466" s="1394" t="s">
        <v>424</v>
      </c>
      <c r="L466" s="1394">
        <f>D466/12</f>
        <v>14</v>
      </c>
      <c r="M466" s="1394"/>
      <c r="N466" s="1394"/>
      <c r="O466" s="1394"/>
      <c r="P466" s="1394"/>
      <c r="Q466" s="1394" t="s">
        <v>696</v>
      </c>
      <c r="R466" s="1395">
        <f>H466*J466*L466</f>
        <v>295.67999999999995</v>
      </c>
      <c r="S466" s="1396">
        <f>R466</f>
        <v>295.67999999999995</v>
      </c>
      <c r="T466" s="1397" t="s">
        <v>298</v>
      </c>
      <c r="U466" s="205"/>
      <c r="V466" s="68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5"/>
      <c r="BN466" s="205"/>
      <c r="BO466" s="205"/>
      <c r="BP466" s="205"/>
      <c r="BQ466" s="205"/>
      <c r="BR466" s="205"/>
      <c r="BS466" s="205"/>
      <c r="BT466" s="205"/>
      <c r="BU466" s="205"/>
      <c r="BV466" s="205"/>
      <c r="BW466" s="205"/>
      <c r="BX466" s="205"/>
      <c r="BY466" s="205"/>
      <c r="BZ466" s="205"/>
      <c r="CA466" s="205"/>
      <c r="CB466" s="205"/>
      <c r="CC466" s="205"/>
      <c r="CD466" s="205"/>
      <c r="CE466" s="205"/>
      <c r="CF466" s="205"/>
      <c r="CG466" s="205"/>
      <c r="CH466" s="205"/>
      <c r="CI466" s="205"/>
      <c r="CJ466" s="205"/>
      <c r="CK466" s="205"/>
      <c r="CL466" s="205"/>
      <c r="CM466" s="205"/>
      <c r="CN466" s="205"/>
      <c r="CO466" s="205"/>
      <c r="CP466" s="205"/>
      <c r="CQ466" s="205"/>
      <c r="CR466" s="205"/>
      <c r="CS466" s="205"/>
      <c r="CT466" s="205"/>
      <c r="CU466" s="205"/>
      <c r="CV466" s="205"/>
      <c r="CW466" s="205"/>
      <c r="CX466" s="205"/>
      <c r="CY466" s="205"/>
      <c r="CZ466" s="205"/>
      <c r="DA466" s="205"/>
      <c r="DB466" s="205"/>
      <c r="DC466" s="205"/>
      <c r="DD466" s="205"/>
      <c r="DE466" s="205"/>
      <c r="DF466" s="205"/>
      <c r="DG466" s="205"/>
      <c r="DH466" s="205"/>
      <c r="DI466" s="205"/>
      <c r="DJ466" s="205"/>
      <c r="DK466" s="205"/>
      <c r="DL466" s="205"/>
      <c r="DM466" s="205"/>
      <c r="DN466" s="205"/>
      <c r="DO466" s="205"/>
      <c r="DP466" s="205"/>
      <c r="DQ466" s="205"/>
      <c r="DR466" s="205"/>
      <c r="DS466" s="205"/>
      <c r="DT466" s="205"/>
      <c r="DU466" s="205"/>
      <c r="DV466" s="205"/>
      <c r="DW466" s="205"/>
      <c r="DX466" s="205"/>
      <c r="DY466" s="205"/>
      <c r="DZ466" s="205"/>
      <c r="EA466" s="205"/>
      <c r="EB466" s="205"/>
      <c r="EC466" s="205"/>
      <c r="ED466" s="205"/>
      <c r="EE466" s="205"/>
      <c r="EF466" s="205"/>
      <c r="EG466" s="205"/>
      <c r="EH466" s="205"/>
      <c r="EI466" s="205"/>
      <c r="EJ466" s="205"/>
      <c r="EK466" s="205"/>
      <c r="EL466" s="205"/>
      <c r="EM466" s="205"/>
      <c r="EN466" s="205"/>
      <c r="EO466" s="205"/>
      <c r="EP466" s="205"/>
      <c r="EQ466" s="205"/>
      <c r="ER466" s="205"/>
      <c r="ES466" s="205"/>
      <c r="ET466" s="205"/>
      <c r="EU466" s="205"/>
      <c r="EV466" s="205"/>
      <c r="EW466" s="205"/>
      <c r="EX466" s="205"/>
      <c r="EY466" s="205"/>
      <c r="EZ466" s="205"/>
      <c r="FA466" s="205"/>
      <c r="FB466" s="205"/>
      <c r="FC466" s="205"/>
      <c r="FD466" s="205"/>
      <c r="FE466" s="205"/>
      <c r="FF466" s="205"/>
      <c r="FG466" s="205"/>
      <c r="FH466" s="205"/>
      <c r="FI466" s="205"/>
      <c r="FJ466" s="205"/>
      <c r="FK466" s="205"/>
      <c r="FL466" s="205"/>
      <c r="FM466" s="205"/>
      <c r="FN466" s="205"/>
      <c r="FO466" s="205"/>
      <c r="FP466" s="205"/>
      <c r="FQ466" s="205"/>
      <c r="FR466" s="205"/>
      <c r="FS466" s="205"/>
      <c r="FT466" s="205"/>
      <c r="FU466" s="205"/>
      <c r="FV466" s="205"/>
      <c r="FW466" s="205"/>
      <c r="FX466" s="205"/>
      <c r="FY466" s="205"/>
      <c r="FZ466" s="205"/>
      <c r="GA466" s="205"/>
      <c r="GB466" s="205"/>
      <c r="GC466" s="205"/>
      <c r="GD466" s="205"/>
      <c r="GE466" s="205"/>
      <c r="GF466" s="205"/>
      <c r="GG466" s="205"/>
      <c r="GH466" s="205"/>
      <c r="GI466" s="205"/>
      <c r="GJ466" s="205"/>
      <c r="GK466" s="205"/>
      <c r="GL466" s="205"/>
      <c r="GM466" s="205"/>
      <c r="GN466" s="205"/>
      <c r="GO466" s="205"/>
      <c r="GP466" s="205"/>
      <c r="GQ466" s="205"/>
      <c r="GR466" s="205"/>
      <c r="GS466" s="205"/>
      <c r="GT466" s="205"/>
      <c r="GU466" s="205"/>
      <c r="GV466" s="205"/>
      <c r="GW466" s="205"/>
      <c r="GX466" s="205"/>
      <c r="GY466" s="205"/>
      <c r="GZ466" s="205"/>
      <c r="HA466" s="205"/>
      <c r="HB466" s="205"/>
      <c r="HC466" s="205"/>
      <c r="HD466" s="205"/>
      <c r="HE466" s="205"/>
      <c r="HF466" s="205"/>
      <c r="HG466" s="205"/>
      <c r="HH466" s="205"/>
      <c r="HI466" s="205"/>
      <c r="HJ466" s="205"/>
      <c r="HK466" s="205"/>
      <c r="HL466" s="205"/>
      <c r="HM466" s="205"/>
      <c r="HN466" s="205"/>
      <c r="HO466" s="205"/>
      <c r="HP466" s="205"/>
      <c r="HQ466" s="205"/>
      <c r="HR466" s="205"/>
      <c r="HS466" s="205"/>
      <c r="HT466" s="205"/>
      <c r="HU466" s="205"/>
      <c r="HV466" s="205"/>
      <c r="HW466" s="205"/>
      <c r="HX466" s="205"/>
      <c r="HY466" s="205"/>
      <c r="HZ466" s="205"/>
      <c r="IA466" s="205"/>
      <c r="IB466" s="205"/>
      <c r="IC466" s="205"/>
      <c r="ID466" s="205"/>
      <c r="IE466" s="205"/>
      <c r="IF466" s="205"/>
      <c r="IG466" s="205"/>
      <c r="IH466" s="205"/>
      <c r="II466" s="205"/>
      <c r="IJ466" s="205"/>
      <c r="IK466" s="205"/>
      <c r="IL466" s="205"/>
      <c r="IM466" s="205"/>
      <c r="IN466" s="205"/>
      <c r="IO466" s="205"/>
      <c r="IP466" s="205"/>
      <c r="IQ466" s="205"/>
      <c r="IR466" s="205"/>
      <c r="IS466" s="205"/>
      <c r="IT466" s="205"/>
      <c r="IU466" s="205"/>
      <c r="IV466" s="205"/>
      <c r="IW466" s="205"/>
      <c r="IX466" s="205"/>
    </row>
    <row r="467" spans="1:258" s="203" customFormat="1" x14ac:dyDescent="0.2">
      <c r="A467" s="669"/>
      <c r="B467" s="670"/>
      <c r="C467" s="1390"/>
      <c r="D467" s="672"/>
      <c r="E467" s="1391"/>
      <c r="F467" s="1391"/>
      <c r="G467" s="1392"/>
      <c r="H467" s="1393"/>
      <c r="I467" s="1394"/>
      <c r="J467" s="1394"/>
      <c r="K467" s="1394"/>
      <c r="L467" s="1394"/>
      <c r="M467" s="1394"/>
      <c r="N467" s="1394"/>
      <c r="O467" s="1394"/>
      <c r="P467" s="1394"/>
      <c r="Q467" s="1394"/>
      <c r="R467" s="1395"/>
      <c r="S467" s="1396"/>
      <c r="T467" s="1397"/>
      <c r="U467" s="205"/>
      <c r="V467" s="68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5"/>
      <c r="BN467" s="205"/>
      <c r="BO467" s="205"/>
      <c r="BP467" s="205"/>
      <c r="BQ467" s="205"/>
      <c r="BR467" s="205"/>
      <c r="BS467" s="205"/>
      <c r="BT467" s="205"/>
      <c r="BU467" s="205"/>
      <c r="BV467" s="205"/>
      <c r="BW467" s="205"/>
      <c r="BX467" s="205"/>
      <c r="BY467" s="205"/>
      <c r="BZ467" s="205"/>
      <c r="CA467" s="205"/>
      <c r="CB467" s="205"/>
      <c r="CC467" s="205"/>
      <c r="CD467" s="205"/>
      <c r="CE467" s="205"/>
      <c r="CF467" s="205"/>
      <c r="CG467" s="205"/>
      <c r="CH467" s="205"/>
      <c r="CI467" s="205"/>
      <c r="CJ467" s="205"/>
      <c r="CK467" s="205"/>
      <c r="CL467" s="205"/>
      <c r="CM467" s="205"/>
      <c r="CN467" s="205"/>
      <c r="CO467" s="205"/>
      <c r="CP467" s="205"/>
      <c r="CQ467" s="205"/>
      <c r="CR467" s="205"/>
      <c r="CS467" s="205"/>
      <c r="CT467" s="205"/>
      <c r="CU467" s="205"/>
      <c r="CV467" s="205"/>
      <c r="CW467" s="205"/>
      <c r="CX467" s="205"/>
      <c r="CY467" s="205"/>
      <c r="CZ467" s="205"/>
      <c r="DA467" s="205"/>
      <c r="DB467" s="205"/>
      <c r="DC467" s="205"/>
      <c r="DD467" s="205"/>
      <c r="DE467" s="205"/>
      <c r="DF467" s="205"/>
      <c r="DG467" s="205"/>
      <c r="DH467" s="205"/>
      <c r="DI467" s="205"/>
      <c r="DJ467" s="205"/>
      <c r="DK467" s="205"/>
      <c r="DL467" s="205"/>
      <c r="DM467" s="205"/>
      <c r="DN467" s="205"/>
      <c r="DO467" s="205"/>
      <c r="DP467" s="205"/>
      <c r="DQ467" s="205"/>
      <c r="DR467" s="205"/>
      <c r="DS467" s="205"/>
      <c r="DT467" s="205"/>
      <c r="DU467" s="205"/>
      <c r="DV467" s="205"/>
      <c r="DW467" s="205"/>
      <c r="DX467" s="205"/>
      <c r="DY467" s="205"/>
      <c r="DZ467" s="205"/>
      <c r="EA467" s="205"/>
      <c r="EB467" s="205"/>
      <c r="EC467" s="205"/>
      <c r="ED467" s="205"/>
      <c r="EE467" s="205"/>
      <c r="EF467" s="205"/>
      <c r="EG467" s="205"/>
      <c r="EH467" s="205"/>
      <c r="EI467" s="205"/>
      <c r="EJ467" s="205"/>
      <c r="EK467" s="205"/>
      <c r="EL467" s="205"/>
      <c r="EM467" s="205"/>
      <c r="EN467" s="205"/>
      <c r="EO467" s="205"/>
      <c r="EP467" s="205"/>
      <c r="EQ467" s="205"/>
      <c r="ER467" s="205"/>
      <c r="ES467" s="205"/>
      <c r="ET467" s="205"/>
      <c r="EU467" s="205"/>
      <c r="EV467" s="205"/>
      <c r="EW467" s="205"/>
      <c r="EX467" s="205"/>
      <c r="EY467" s="205"/>
      <c r="EZ467" s="205"/>
      <c r="FA467" s="205"/>
      <c r="FB467" s="205"/>
      <c r="FC467" s="205"/>
      <c r="FD467" s="205"/>
      <c r="FE467" s="205"/>
      <c r="FF467" s="205"/>
      <c r="FG467" s="205"/>
      <c r="FH467" s="205"/>
      <c r="FI467" s="205"/>
      <c r="FJ467" s="205"/>
      <c r="FK467" s="205"/>
      <c r="FL467" s="205"/>
      <c r="FM467" s="205"/>
      <c r="FN467" s="205"/>
      <c r="FO467" s="205"/>
      <c r="FP467" s="205"/>
      <c r="FQ467" s="205"/>
      <c r="FR467" s="205"/>
      <c r="FS467" s="205"/>
      <c r="FT467" s="205"/>
      <c r="FU467" s="205"/>
      <c r="FV467" s="205"/>
      <c r="FW467" s="205"/>
      <c r="FX467" s="205"/>
      <c r="FY467" s="205"/>
      <c r="FZ467" s="205"/>
      <c r="GA467" s="205"/>
      <c r="GB467" s="205"/>
      <c r="GC467" s="205"/>
      <c r="GD467" s="205"/>
      <c r="GE467" s="205"/>
      <c r="GF467" s="205"/>
      <c r="GG467" s="205"/>
      <c r="GH467" s="205"/>
      <c r="GI467" s="205"/>
      <c r="GJ467" s="205"/>
      <c r="GK467" s="205"/>
      <c r="GL467" s="205"/>
      <c r="GM467" s="205"/>
      <c r="GN467" s="205"/>
      <c r="GO467" s="205"/>
      <c r="GP467" s="205"/>
      <c r="GQ467" s="205"/>
      <c r="GR467" s="205"/>
      <c r="GS467" s="205"/>
      <c r="GT467" s="205"/>
      <c r="GU467" s="205"/>
      <c r="GV467" s="205"/>
      <c r="GW467" s="205"/>
      <c r="GX467" s="205"/>
      <c r="GY467" s="205"/>
      <c r="GZ467" s="205"/>
      <c r="HA467" s="205"/>
      <c r="HB467" s="205"/>
      <c r="HC467" s="205"/>
      <c r="HD467" s="205"/>
      <c r="HE467" s="205"/>
      <c r="HF467" s="205"/>
      <c r="HG467" s="205"/>
      <c r="HH467" s="205"/>
      <c r="HI467" s="205"/>
      <c r="HJ467" s="205"/>
      <c r="HK467" s="205"/>
      <c r="HL467" s="205"/>
      <c r="HM467" s="205"/>
      <c r="HN467" s="205"/>
      <c r="HO467" s="205"/>
      <c r="HP467" s="205"/>
      <c r="HQ467" s="205"/>
      <c r="HR467" s="205"/>
      <c r="HS467" s="205"/>
      <c r="HT467" s="205"/>
      <c r="HU467" s="205"/>
      <c r="HV467" s="205"/>
      <c r="HW467" s="205"/>
      <c r="HX467" s="205"/>
      <c r="HY467" s="205"/>
      <c r="HZ467" s="205"/>
      <c r="IA467" s="205"/>
      <c r="IB467" s="205"/>
      <c r="IC467" s="205"/>
      <c r="ID467" s="205"/>
      <c r="IE467" s="205"/>
      <c r="IF467" s="205"/>
      <c r="IG467" s="205"/>
      <c r="IH467" s="205"/>
      <c r="II467" s="205"/>
      <c r="IJ467" s="205"/>
      <c r="IK467" s="205"/>
      <c r="IL467" s="205"/>
      <c r="IM467" s="205"/>
      <c r="IN467" s="205"/>
      <c r="IO467" s="205"/>
      <c r="IP467" s="205"/>
      <c r="IQ467" s="205"/>
      <c r="IR467" s="205"/>
      <c r="IS467" s="205"/>
      <c r="IT467" s="205"/>
      <c r="IU467" s="205"/>
      <c r="IV467" s="205"/>
      <c r="IW467" s="205"/>
      <c r="IX467" s="205"/>
    </row>
    <row r="468" spans="1:258" s="203" customFormat="1" x14ac:dyDescent="0.2">
      <c r="A468" s="669"/>
      <c r="B468" s="670">
        <f>RAB!B153</f>
        <v>9</v>
      </c>
      <c r="C468" s="686" t="e">
        <f>RAB!D153</f>
        <v>#REF!</v>
      </c>
      <c r="D468" s="672"/>
      <c r="E468" s="673"/>
      <c r="F468" s="673"/>
      <c r="G468" s="674"/>
      <c r="H468" s="720">
        <f>S466</f>
        <v>295.67999999999995</v>
      </c>
      <c r="I468" s="1408" t="s">
        <v>697</v>
      </c>
      <c r="J468" s="676">
        <v>100</v>
      </c>
      <c r="K468" s="676"/>
      <c r="L468" s="676"/>
      <c r="M468" s="676"/>
      <c r="N468" s="676"/>
      <c r="O468" s="676"/>
      <c r="P468" s="676"/>
      <c r="Q468" s="676" t="s">
        <v>696</v>
      </c>
      <c r="R468" s="677">
        <f>H468/J468</f>
        <v>2.9567999999999994</v>
      </c>
      <c r="S468" s="678">
        <f>R468</f>
        <v>2.9567999999999994</v>
      </c>
      <c r="T468" s="684" t="s">
        <v>298</v>
      </c>
      <c r="U468" s="205"/>
      <c r="V468" s="68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5"/>
      <c r="BN468" s="205"/>
      <c r="BO468" s="205"/>
      <c r="BP468" s="205"/>
      <c r="BQ468" s="205"/>
      <c r="BR468" s="205"/>
      <c r="BS468" s="205"/>
      <c r="BT468" s="205"/>
      <c r="BU468" s="205"/>
      <c r="BV468" s="205"/>
      <c r="BW468" s="205"/>
      <c r="BX468" s="205"/>
      <c r="BY468" s="205"/>
      <c r="BZ468" s="205"/>
      <c r="CA468" s="205"/>
      <c r="CB468" s="205"/>
      <c r="CC468" s="205"/>
      <c r="CD468" s="205"/>
      <c r="CE468" s="205"/>
      <c r="CF468" s="205"/>
      <c r="CG468" s="205"/>
      <c r="CH468" s="205"/>
      <c r="CI468" s="205"/>
      <c r="CJ468" s="205"/>
      <c r="CK468" s="205"/>
      <c r="CL468" s="205"/>
      <c r="CM468" s="205"/>
      <c r="CN468" s="205"/>
      <c r="CO468" s="205"/>
      <c r="CP468" s="205"/>
      <c r="CQ468" s="205"/>
      <c r="CR468" s="205"/>
      <c r="CS468" s="205"/>
      <c r="CT468" s="205"/>
      <c r="CU468" s="205"/>
      <c r="CV468" s="205"/>
      <c r="CW468" s="205"/>
      <c r="CX468" s="205"/>
      <c r="CY468" s="205"/>
      <c r="CZ468" s="205"/>
      <c r="DA468" s="205"/>
      <c r="DB468" s="205"/>
      <c r="DC468" s="205"/>
      <c r="DD468" s="205"/>
      <c r="DE468" s="205"/>
      <c r="DF468" s="205"/>
      <c r="DG468" s="205"/>
      <c r="DH468" s="205"/>
      <c r="DI468" s="205"/>
      <c r="DJ468" s="205"/>
      <c r="DK468" s="205"/>
      <c r="DL468" s="205"/>
      <c r="DM468" s="205"/>
      <c r="DN468" s="205"/>
      <c r="DO468" s="205"/>
      <c r="DP468" s="205"/>
      <c r="DQ468" s="205"/>
      <c r="DR468" s="205"/>
      <c r="DS468" s="205"/>
      <c r="DT468" s="205"/>
      <c r="DU468" s="205"/>
      <c r="DV468" s="205"/>
      <c r="DW468" s="205"/>
      <c r="DX468" s="205"/>
      <c r="DY468" s="205"/>
      <c r="DZ468" s="205"/>
      <c r="EA468" s="205"/>
      <c r="EB468" s="205"/>
      <c r="EC468" s="205"/>
      <c r="ED468" s="205"/>
      <c r="EE468" s="205"/>
      <c r="EF468" s="205"/>
      <c r="EG468" s="205"/>
      <c r="EH468" s="205"/>
      <c r="EI468" s="205"/>
      <c r="EJ468" s="205"/>
      <c r="EK468" s="205"/>
      <c r="EL468" s="205"/>
      <c r="EM468" s="205"/>
      <c r="EN468" s="205"/>
      <c r="EO468" s="205"/>
      <c r="EP468" s="205"/>
      <c r="EQ468" s="205"/>
      <c r="ER468" s="205"/>
      <c r="ES468" s="205"/>
      <c r="ET468" s="205"/>
      <c r="EU468" s="205"/>
      <c r="EV468" s="205"/>
      <c r="EW468" s="205"/>
      <c r="EX468" s="205"/>
      <c r="EY468" s="205"/>
      <c r="EZ468" s="205"/>
      <c r="FA468" s="205"/>
      <c r="FB468" s="205"/>
      <c r="FC468" s="205"/>
      <c r="FD468" s="205"/>
      <c r="FE468" s="205"/>
      <c r="FF468" s="205"/>
      <c r="FG468" s="205"/>
      <c r="FH468" s="205"/>
      <c r="FI468" s="205"/>
      <c r="FJ468" s="205"/>
      <c r="FK468" s="205"/>
      <c r="FL468" s="205"/>
      <c r="FM468" s="205"/>
      <c r="FN468" s="205"/>
      <c r="FO468" s="205"/>
      <c r="FP468" s="205"/>
      <c r="FQ468" s="205"/>
      <c r="FR468" s="205"/>
      <c r="FS468" s="205"/>
      <c r="FT468" s="205"/>
      <c r="FU468" s="205"/>
      <c r="FV468" s="205"/>
      <c r="FW468" s="205"/>
      <c r="FX468" s="205"/>
      <c r="FY468" s="205"/>
      <c r="FZ468" s="205"/>
      <c r="GA468" s="205"/>
      <c r="GB468" s="205"/>
      <c r="GC468" s="205"/>
      <c r="GD468" s="205"/>
      <c r="GE468" s="205"/>
      <c r="GF468" s="205"/>
      <c r="GG468" s="205"/>
      <c r="GH468" s="205"/>
      <c r="GI468" s="205"/>
      <c r="GJ468" s="205"/>
      <c r="GK468" s="205"/>
      <c r="GL468" s="205"/>
      <c r="GM468" s="205"/>
      <c r="GN468" s="205"/>
      <c r="GO468" s="205"/>
      <c r="GP468" s="205"/>
      <c r="GQ468" s="205"/>
      <c r="GR468" s="205"/>
      <c r="GS468" s="205"/>
      <c r="GT468" s="205"/>
      <c r="GU468" s="205"/>
      <c r="GV468" s="205"/>
      <c r="GW468" s="205"/>
      <c r="GX468" s="205"/>
      <c r="GY468" s="205"/>
      <c r="GZ468" s="205"/>
      <c r="HA468" s="205"/>
      <c r="HB468" s="205"/>
      <c r="HC468" s="205"/>
      <c r="HD468" s="205"/>
      <c r="HE468" s="205"/>
      <c r="HF468" s="205"/>
      <c r="HG468" s="205"/>
      <c r="HH468" s="205"/>
      <c r="HI468" s="205"/>
      <c r="HJ468" s="205"/>
      <c r="HK468" s="205"/>
      <c r="HL468" s="205"/>
      <c r="HM468" s="205"/>
      <c r="HN468" s="205"/>
      <c r="HO468" s="205"/>
      <c r="HP468" s="205"/>
      <c r="HQ468" s="205"/>
      <c r="HR468" s="205"/>
      <c r="HS468" s="205"/>
      <c r="HT468" s="205"/>
      <c r="HU468" s="205"/>
      <c r="HV468" s="205"/>
      <c r="HW468" s="205"/>
      <c r="HX468" s="205"/>
      <c r="HY468" s="205"/>
      <c r="HZ468" s="205"/>
      <c r="IA468" s="205"/>
      <c r="IB468" s="205"/>
      <c r="IC468" s="205"/>
      <c r="ID468" s="205"/>
      <c r="IE468" s="205"/>
      <c r="IF468" s="205"/>
      <c r="IG468" s="205"/>
      <c r="IH468" s="205"/>
      <c r="II468" s="205"/>
      <c r="IJ468" s="205"/>
      <c r="IK468" s="205"/>
      <c r="IL468" s="205"/>
      <c r="IM468" s="205"/>
      <c r="IN468" s="205"/>
      <c r="IO468" s="205"/>
      <c r="IP468" s="205"/>
      <c r="IQ468" s="205"/>
      <c r="IR468" s="205"/>
      <c r="IS468" s="205"/>
      <c r="IT468" s="205"/>
      <c r="IU468" s="205"/>
      <c r="IV468" s="205"/>
      <c r="IW468" s="205"/>
      <c r="IX468" s="205"/>
    </row>
    <row r="469" spans="1:258" s="203" customFormat="1" x14ac:dyDescent="0.2">
      <c r="A469" s="669"/>
      <c r="B469" s="670">
        <f>RAB!B154</f>
        <v>9</v>
      </c>
      <c r="C469" s="686" t="e">
        <f>RAB!D154</f>
        <v>#REF!</v>
      </c>
      <c r="D469" s="672"/>
      <c r="E469" s="673"/>
      <c r="F469" s="673"/>
      <c r="G469" s="674"/>
      <c r="H469" s="675">
        <v>1.5</v>
      </c>
      <c r="I469" s="676"/>
      <c r="J469" s="676"/>
      <c r="K469" s="676"/>
      <c r="L469" s="676"/>
      <c r="M469" s="676"/>
      <c r="N469" s="676"/>
      <c r="O469" s="676"/>
      <c r="P469" s="676"/>
      <c r="Q469" s="676" t="s">
        <v>696</v>
      </c>
      <c r="R469" s="677">
        <f>H469</f>
        <v>1.5</v>
      </c>
      <c r="S469" s="678">
        <f>R469</f>
        <v>1.5</v>
      </c>
      <c r="T469" s="684" t="s">
        <v>253</v>
      </c>
      <c r="U469" s="205"/>
      <c r="V469" s="68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05"/>
      <c r="BN469" s="205"/>
      <c r="BO469" s="205"/>
      <c r="BP469" s="205"/>
      <c r="BQ469" s="205"/>
      <c r="BR469" s="205"/>
      <c r="BS469" s="205"/>
      <c r="BT469" s="205"/>
      <c r="BU469" s="205"/>
      <c r="BV469" s="205"/>
      <c r="BW469" s="205"/>
      <c r="BX469" s="205"/>
      <c r="BY469" s="205"/>
      <c r="BZ469" s="205"/>
      <c r="CA469" s="205"/>
      <c r="CB469" s="205"/>
      <c r="CC469" s="205"/>
      <c r="CD469" s="205"/>
      <c r="CE469" s="205"/>
      <c r="CF469" s="205"/>
      <c r="CG469" s="205"/>
      <c r="CH469" s="205"/>
      <c r="CI469" s="205"/>
      <c r="CJ469" s="205"/>
      <c r="CK469" s="205"/>
      <c r="CL469" s="205"/>
      <c r="CM469" s="205"/>
      <c r="CN469" s="205"/>
      <c r="CO469" s="205"/>
      <c r="CP469" s="205"/>
      <c r="CQ469" s="205"/>
      <c r="CR469" s="205"/>
      <c r="CS469" s="205"/>
      <c r="CT469" s="205"/>
      <c r="CU469" s="205"/>
      <c r="CV469" s="205"/>
      <c r="CW469" s="205"/>
      <c r="CX469" s="205"/>
      <c r="CY469" s="205"/>
      <c r="CZ469" s="205"/>
      <c r="DA469" s="205"/>
      <c r="DB469" s="205"/>
      <c r="DC469" s="205"/>
      <c r="DD469" s="205"/>
      <c r="DE469" s="205"/>
      <c r="DF469" s="205"/>
      <c r="DG469" s="205"/>
      <c r="DH469" s="205"/>
      <c r="DI469" s="205"/>
      <c r="DJ469" s="205"/>
      <c r="DK469" s="205"/>
      <c r="DL469" s="205"/>
      <c r="DM469" s="205"/>
      <c r="DN469" s="205"/>
      <c r="DO469" s="205"/>
      <c r="DP469" s="205"/>
      <c r="DQ469" s="205"/>
      <c r="DR469" s="205"/>
      <c r="DS469" s="205"/>
      <c r="DT469" s="205"/>
      <c r="DU469" s="205"/>
      <c r="DV469" s="205"/>
      <c r="DW469" s="205"/>
      <c r="DX469" s="205"/>
      <c r="DY469" s="205"/>
      <c r="DZ469" s="205"/>
      <c r="EA469" s="205"/>
      <c r="EB469" s="205"/>
      <c r="EC469" s="205"/>
      <c r="ED469" s="205"/>
      <c r="EE469" s="205"/>
      <c r="EF469" s="205"/>
      <c r="EG469" s="205"/>
      <c r="EH469" s="205"/>
      <c r="EI469" s="205"/>
      <c r="EJ469" s="205"/>
      <c r="EK469" s="205"/>
      <c r="EL469" s="205"/>
      <c r="EM469" s="205"/>
      <c r="EN469" s="205"/>
      <c r="EO469" s="205"/>
      <c r="EP469" s="205"/>
      <c r="EQ469" s="205"/>
      <c r="ER469" s="205"/>
      <c r="ES469" s="205"/>
      <c r="ET469" s="205"/>
      <c r="EU469" s="205"/>
      <c r="EV469" s="205"/>
      <c r="EW469" s="205"/>
      <c r="EX469" s="205"/>
      <c r="EY469" s="205"/>
      <c r="EZ469" s="205"/>
      <c r="FA469" s="205"/>
      <c r="FB469" s="205"/>
      <c r="FC469" s="205"/>
      <c r="FD469" s="205"/>
      <c r="FE469" s="205"/>
      <c r="FF469" s="205"/>
      <c r="FG469" s="205"/>
      <c r="FH469" s="205"/>
      <c r="FI469" s="205"/>
      <c r="FJ469" s="205"/>
      <c r="FK469" s="205"/>
      <c r="FL469" s="205"/>
      <c r="FM469" s="205"/>
      <c r="FN469" s="205"/>
      <c r="FO469" s="205"/>
      <c r="FP469" s="205"/>
      <c r="FQ469" s="205"/>
      <c r="FR469" s="205"/>
      <c r="FS469" s="205"/>
      <c r="FT469" s="205"/>
      <c r="FU469" s="205"/>
      <c r="FV469" s="205"/>
      <c r="FW469" s="205"/>
      <c r="FX469" s="205"/>
      <c r="FY469" s="205"/>
      <c r="FZ469" s="205"/>
      <c r="GA469" s="205"/>
      <c r="GB469" s="205"/>
      <c r="GC469" s="205"/>
      <c r="GD469" s="205"/>
      <c r="GE469" s="205"/>
      <c r="GF469" s="205"/>
      <c r="GG469" s="205"/>
      <c r="GH469" s="205"/>
      <c r="GI469" s="205"/>
      <c r="GJ469" s="205"/>
      <c r="GK469" s="205"/>
      <c r="GL469" s="205"/>
      <c r="GM469" s="205"/>
      <c r="GN469" s="205"/>
      <c r="GO469" s="205"/>
      <c r="GP469" s="205"/>
      <c r="GQ469" s="205"/>
      <c r="GR469" s="205"/>
      <c r="GS469" s="205"/>
      <c r="GT469" s="205"/>
      <c r="GU469" s="205"/>
      <c r="GV469" s="205"/>
      <c r="GW469" s="205"/>
      <c r="GX469" s="205"/>
      <c r="GY469" s="205"/>
      <c r="GZ469" s="205"/>
      <c r="HA469" s="205"/>
      <c r="HB469" s="205"/>
      <c r="HC469" s="205"/>
      <c r="HD469" s="205"/>
      <c r="HE469" s="205"/>
      <c r="HF469" s="205"/>
      <c r="HG469" s="205"/>
      <c r="HH469" s="205"/>
      <c r="HI469" s="205"/>
      <c r="HJ469" s="205"/>
      <c r="HK469" s="205"/>
      <c r="HL469" s="205"/>
      <c r="HM469" s="205"/>
      <c r="HN469" s="205"/>
      <c r="HO469" s="205"/>
      <c r="HP469" s="205"/>
      <c r="HQ469" s="205"/>
      <c r="HR469" s="205"/>
      <c r="HS469" s="205"/>
      <c r="HT469" s="205"/>
      <c r="HU469" s="205"/>
      <c r="HV469" s="205"/>
      <c r="HW469" s="205"/>
      <c r="HX469" s="205"/>
      <c r="HY469" s="205"/>
      <c r="HZ469" s="205"/>
      <c r="IA469" s="205"/>
      <c r="IB469" s="205"/>
      <c r="IC469" s="205"/>
      <c r="ID469" s="205"/>
      <c r="IE469" s="205"/>
      <c r="IF469" s="205"/>
      <c r="IG469" s="205"/>
      <c r="IH469" s="205"/>
      <c r="II469" s="205"/>
      <c r="IJ469" s="205"/>
      <c r="IK469" s="205"/>
      <c r="IL469" s="205"/>
      <c r="IM469" s="205"/>
      <c r="IN469" s="205"/>
      <c r="IO469" s="205"/>
      <c r="IP469" s="205"/>
      <c r="IQ469" s="205"/>
      <c r="IR469" s="205"/>
      <c r="IS469" s="205"/>
      <c r="IT469" s="205"/>
      <c r="IU469" s="205"/>
      <c r="IV469" s="205"/>
      <c r="IW469" s="205"/>
      <c r="IX469" s="205"/>
    </row>
    <row r="470" spans="1:258" s="203" customFormat="1" x14ac:dyDescent="0.2">
      <c r="A470" s="669"/>
      <c r="B470" s="670">
        <f>RAB!B155</f>
        <v>10</v>
      </c>
      <c r="C470" s="686" t="e">
        <f>RAB!D155</f>
        <v>#REF!</v>
      </c>
      <c r="D470" s="672"/>
      <c r="E470" s="673"/>
      <c r="F470" s="673"/>
      <c r="G470" s="674"/>
      <c r="H470" s="675"/>
      <c r="I470" s="676"/>
      <c r="J470" s="676"/>
      <c r="K470" s="676"/>
      <c r="L470" s="676" t="s">
        <v>1653</v>
      </c>
      <c r="M470" s="676"/>
      <c r="N470" s="676"/>
      <c r="O470" s="676"/>
      <c r="P470" s="676"/>
      <c r="Q470" s="676"/>
      <c r="R470" s="677"/>
      <c r="S470" s="678"/>
      <c r="T470" s="684"/>
      <c r="U470" s="205"/>
      <c r="V470" s="68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05"/>
      <c r="BN470" s="205"/>
      <c r="BO470" s="205"/>
      <c r="BP470" s="205"/>
      <c r="BQ470" s="205"/>
      <c r="BR470" s="205"/>
      <c r="BS470" s="205"/>
      <c r="BT470" s="205"/>
      <c r="BU470" s="205"/>
      <c r="BV470" s="205"/>
      <c r="BW470" s="205"/>
      <c r="BX470" s="205"/>
      <c r="BY470" s="205"/>
      <c r="BZ470" s="205"/>
      <c r="CA470" s="205"/>
      <c r="CB470" s="205"/>
      <c r="CC470" s="205"/>
      <c r="CD470" s="205"/>
      <c r="CE470" s="205"/>
      <c r="CF470" s="205"/>
      <c r="CG470" s="205"/>
      <c r="CH470" s="205"/>
      <c r="CI470" s="205"/>
      <c r="CJ470" s="205"/>
      <c r="CK470" s="205"/>
      <c r="CL470" s="205"/>
      <c r="CM470" s="205"/>
      <c r="CN470" s="205"/>
      <c r="CO470" s="205"/>
      <c r="CP470" s="205"/>
      <c r="CQ470" s="205"/>
      <c r="CR470" s="205"/>
      <c r="CS470" s="205"/>
      <c r="CT470" s="205"/>
      <c r="CU470" s="205"/>
      <c r="CV470" s="205"/>
      <c r="CW470" s="205"/>
      <c r="CX470" s="205"/>
      <c r="CY470" s="205"/>
      <c r="CZ470" s="205"/>
      <c r="DA470" s="205"/>
      <c r="DB470" s="205"/>
      <c r="DC470" s="205"/>
      <c r="DD470" s="205"/>
      <c r="DE470" s="205"/>
      <c r="DF470" s="205"/>
      <c r="DG470" s="205"/>
      <c r="DH470" s="205"/>
      <c r="DI470" s="205"/>
      <c r="DJ470" s="205"/>
      <c r="DK470" s="205"/>
      <c r="DL470" s="205"/>
      <c r="DM470" s="205"/>
      <c r="DN470" s="205"/>
      <c r="DO470" s="205"/>
      <c r="DP470" s="205"/>
      <c r="DQ470" s="205"/>
      <c r="DR470" s="205"/>
      <c r="DS470" s="205"/>
      <c r="DT470" s="205"/>
      <c r="DU470" s="205"/>
      <c r="DV470" s="205"/>
      <c r="DW470" s="205"/>
      <c r="DX470" s="205"/>
      <c r="DY470" s="205"/>
      <c r="DZ470" s="205"/>
      <c r="EA470" s="205"/>
      <c r="EB470" s="205"/>
      <c r="EC470" s="205"/>
      <c r="ED470" s="205"/>
      <c r="EE470" s="205"/>
      <c r="EF470" s="205"/>
      <c r="EG470" s="205"/>
      <c r="EH470" s="205"/>
      <c r="EI470" s="205"/>
      <c r="EJ470" s="205"/>
      <c r="EK470" s="205"/>
      <c r="EL470" s="205"/>
      <c r="EM470" s="205"/>
      <c r="EN470" s="205"/>
      <c r="EO470" s="205"/>
      <c r="EP470" s="205"/>
      <c r="EQ470" s="205"/>
      <c r="ER470" s="205"/>
      <c r="ES470" s="205"/>
      <c r="ET470" s="205"/>
      <c r="EU470" s="205"/>
      <c r="EV470" s="205"/>
      <c r="EW470" s="205"/>
      <c r="EX470" s="205"/>
      <c r="EY470" s="205"/>
      <c r="EZ470" s="205"/>
      <c r="FA470" s="205"/>
      <c r="FB470" s="205"/>
      <c r="FC470" s="205"/>
      <c r="FD470" s="205"/>
      <c r="FE470" s="205"/>
      <c r="FF470" s="205"/>
      <c r="FG470" s="205"/>
      <c r="FH470" s="205"/>
      <c r="FI470" s="205"/>
      <c r="FJ470" s="205"/>
      <c r="FK470" s="205"/>
      <c r="FL470" s="205"/>
      <c r="FM470" s="205"/>
      <c r="FN470" s="205"/>
      <c r="FO470" s="205"/>
      <c r="FP470" s="205"/>
      <c r="FQ470" s="205"/>
      <c r="FR470" s="205"/>
      <c r="FS470" s="205"/>
      <c r="FT470" s="205"/>
      <c r="FU470" s="205"/>
      <c r="FV470" s="205"/>
      <c r="FW470" s="205"/>
      <c r="FX470" s="205"/>
      <c r="FY470" s="205"/>
      <c r="FZ470" s="205"/>
      <c r="GA470" s="205"/>
      <c r="GB470" s="205"/>
      <c r="GC470" s="205"/>
      <c r="GD470" s="205"/>
      <c r="GE470" s="205"/>
      <c r="GF470" s="205"/>
      <c r="GG470" s="205"/>
      <c r="GH470" s="205"/>
      <c r="GI470" s="205"/>
      <c r="GJ470" s="205"/>
      <c r="GK470" s="205"/>
      <c r="GL470" s="205"/>
      <c r="GM470" s="205"/>
      <c r="GN470" s="205"/>
      <c r="GO470" s="205"/>
      <c r="GP470" s="205"/>
      <c r="GQ470" s="205"/>
      <c r="GR470" s="205"/>
      <c r="GS470" s="205"/>
      <c r="GT470" s="205"/>
      <c r="GU470" s="205"/>
      <c r="GV470" s="205"/>
      <c r="GW470" s="205"/>
      <c r="GX470" s="205"/>
      <c r="GY470" s="205"/>
      <c r="GZ470" s="205"/>
      <c r="HA470" s="205"/>
      <c r="HB470" s="205"/>
      <c r="HC470" s="205"/>
      <c r="HD470" s="205"/>
      <c r="HE470" s="205"/>
      <c r="HF470" s="205"/>
      <c r="HG470" s="205"/>
      <c r="HH470" s="205"/>
      <c r="HI470" s="205"/>
      <c r="HJ470" s="205"/>
      <c r="HK470" s="205"/>
      <c r="HL470" s="205"/>
      <c r="HM470" s="205"/>
      <c r="HN470" s="205"/>
      <c r="HO470" s="205"/>
      <c r="HP470" s="205"/>
      <c r="HQ470" s="205"/>
      <c r="HR470" s="205"/>
      <c r="HS470" s="205"/>
      <c r="HT470" s="205"/>
      <c r="HU470" s="205"/>
      <c r="HV470" s="205"/>
      <c r="HW470" s="205"/>
      <c r="HX470" s="205"/>
      <c r="HY470" s="205"/>
      <c r="HZ470" s="205"/>
      <c r="IA470" s="205"/>
      <c r="IB470" s="205"/>
      <c r="IC470" s="205"/>
      <c r="ID470" s="205"/>
      <c r="IE470" s="205"/>
      <c r="IF470" s="205"/>
      <c r="IG470" s="205"/>
      <c r="IH470" s="205"/>
      <c r="II470" s="205"/>
      <c r="IJ470" s="205"/>
      <c r="IK470" s="205"/>
      <c r="IL470" s="205"/>
      <c r="IM470" s="205"/>
      <c r="IN470" s="205"/>
      <c r="IO470" s="205"/>
      <c r="IP470" s="205"/>
      <c r="IQ470" s="205"/>
      <c r="IR470" s="205"/>
      <c r="IS470" s="205"/>
      <c r="IT470" s="205"/>
      <c r="IU470" s="205"/>
      <c r="IV470" s="205"/>
      <c r="IW470" s="205"/>
      <c r="IX470" s="205"/>
    </row>
    <row r="471" spans="1:258" s="203" customFormat="1" x14ac:dyDescent="0.2">
      <c r="A471" s="669"/>
      <c r="B471" s="670"/>
      <c r="C471" s="1390"/>
      <c r="D471" s="672">
        <v>19.03</v>
      </c>
      <c r="E471" s="1391"/>
      <c r="F471" s="1391" t="s">
        <v>1743</v>
      </c>
      <c r="G471" s="1392"/>
      <c r="H471" s="1393">
        <v>5</v>
      </c>
      <c r="I471" s="1394" t="s">
        <v>424</v>
      </c>
      <c r="J471" s="1394">
        <v>4</v>
      </c>
      <c r="K471" s="1394" t="s">
        <v>424</v>
      </c>
      <c r="L471" s="1409">
        <f>D471/12</f>
        <v>1.5858333333333334</v>
      </c>
      <c r="M471" s="1394" t="s">
        <v>424</v>
      </c>
      <c r="N471" s="1394">
        <f>J466</f>
        <v>2</v>
      </c>
      <c r="O471" s="1394"/>
      <c r="P471" s="1394"/>
      <c r="Q471" s="1394" t="s">
        <v>696</v>
      </c>
      <c r="R471" s="1395">
        <f>H471*J471*L471*N471</f>
        <v>63.433333333333337</v>
      </c>
      <c r="S471" s="1396"/>
      <c r="T471" s="1397"/>
      <c r="U471" s="205"/>
      <c r="V471" s="68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205"/>
      <c r="BN471" s="205"/>
      <c r="BO471" s="205"/>
      <c r="BP471" s="205"/>
      <c r="BQ471" s="205"/>
      <c r="BR471" s="205"/>
      <c r="BS471" s="205"/>
      <c r="BT471" s="205"/>
      <c r="BU471" s="205"/>
      <c r="BV471" s="205"/>
      <c r="BW471" s="205"/>
      <c r="BX471" s="205"/>
      <c r="BY471" s="205"/>
      <c r="BZ471" s="205"/>
      <c r="CA471" s="205"/>
      <c r="CB471" s="205"/>
      <c r="CC471" s="205"/>
      <c r="CD471" s="205"/>
      <c r="CE471" s="205"/>
      <c r="CF471" s="205"/>
      <c r="CG471" s="205"/>
      <c r="CH471" s="205"/>
      <c r="CI471" s="205"/>
      <c r="CJ471" s="205"/>
      <c r="CK471" s="205"/>
      <c r="CL471" s="205"/>
      <c r="CM471" s="205"/>
      <c r="CN471" s="205"/>
      <c r="CO471" s="205"/>
      <c r="CP471" s="205"/>
      <c r="CQ471" s="205"/>
      <c r="CR471" s="205"/>
      <c r="CS471" s="205"/>
      <c r="CT471" s="205"/>
      <c r="CU471" s="205"/>
      <c r="CV471" s="205"/>
      <c r="CW471" s="205"/>
      <c r="CX471" s="205"/>
      <c r="CY471" s="205"/>
      <c r="CZ471" s="205"/>
      <c r="DA471" s="205"/>
      <c r="DB471" s="205"/>
      <c r="DC471" s="205"/>
      <c r="DD471" s="205"/>
      <c r="DE471" s="205"/>
      <c r="DF471" s="205"/>
      <c r="DG471" s="205"/>
      <c r="DH471" s="205"/>
      <c r="DI471" s="205"/>
      <c r="DJ471" s="205"/>
      <c r="DK471" s="205"/>
      <c r="DL471" s="205"/>
      <c r="DM471" s="205"/>
      <c r="DN471" s="205"/>
      <c r="DO471" s="205"/>
      <c r="DP471" s="205"/>
      <c r="DQ471" s="205"/>
      <c r="DR471" s="205"/>
      <c r="DS471" s="205"/>
      <c r="DT471" s="205"/>
      <c r="DU471" s="205"/>
      <c r="DV471" s="205"/>
      <c r="DW471" s="205"/>
      <c r="DX471" s="205"/>
      <c r="DY471" s="205"/>
      <c r="DZ471" s="205"/>
      <c r="EA471" s="205"/>
      <c r="EB471" s="205"/>
      <c r="EC471" s="205"/>
      <c r="ED471" s="205"/>
      <c r="EE471" s="205"/>
      <c r="EF471" s="205"/>
      <c r="EG471" s="205"/>
      <c r="EH471" s="205"/>
      <c r="EI471" s="205"/>
      <c r="EJ471" s="205"/>
      <c r="EK471" s="205"/>
      <c r="EL471" s="205"/>
      <c r="EM471" s="205"/>
      <c r="EN471" s="205"/>
      <c r="EO471" s="205"/>
      <c r="EP471" s="205"/>
      <c r="EQ471" s="205"/>
      <c r="ER471" s="205"/>
      <c r="ES471" s="205"/>
      <c r="ET471" s="205"/>
      <c r="EU471" s="205"/>
      <c r="EV471" s="205"/>
      <c r="EW471" s="205"/>
      <c r="EX471" s="205"/>
      <c r="EY471" s="205"/>
      <c r="EZ471" s="205"/>
      <c r="FA471" s="205"/>
      <c r="FB471" s="205"/>
      <c r="FC471" s="205"/>
      <c r="FD471" s="205"/>
      <c r="FE471" s="205"/>
      <c r="FF471" s="205"/>
      <c r="FG471" s="205"/>
      <c r="FH471" s="205"/>
      <c r="FI471" s="205"/>
      <c r="FJ471" s="205"/>
      <c r="FK471" s="205"/>
      <c r="FL471" s="205"/>
      <c r="FM471" s="205"/>
      <c r="FN471" s="205"/>
      <c r="FO471" s="205"/>
      <c r="FP471" s="205"/>
      <c r="FQ471" s="205"/>
      <c r="FR471" s="205"/>
      <c r="FS471" s="205"/>
      <c r="FT471" s="205"/>
      <c r="FU471" s="205"/>
      <c r="FV471" s="205"/>
      <c r="FW471" s="205"/>
      <c r="FX471" s="205"/>
      <c r="FY471" s="205"/>
      <c r="FZ471" s="205"/>
      <c r="GA471" s="205"/>
      <c r="GB471" s="205"/>
      <c r="GC471" s="205"/>
      <c r="GD471" s="205"/>
      <c r="GE471" s="205"/>
      <c r="GF471" s="205"/>
      <c r="GG471" s="205"/>
      <c r="GH471" s="205"/>
      <c r="GI471" s="205"/>
      <c r="GJ471" s="205"/>
      <c r="GK471" s="205"/>
      <c r="GL471" s="205"/>
      <c r="GM471" s="205"/>
      <c r="GN471" s="205"/>
      <c r="GO471" s="205"/>
      <c r="GP471" s="205"/>
      <c r="GQ471" s="205"/>
      <c r="GR471" s="205"/>
      <c r="GS471" s="205"/>
      <c r="GT471" s="205"/>
      <c r="GU471" s="205"/>
      <c r="GV471" s="205"/>
      <c r="GW471" s="205"/>
      <c r="GX471" s="205"/>
      <c r="GY471" s="205"/>
      <c r="GZ471" s="205"/>
      <c r="HA471" s="205"/>
      <c r="HB471" s="205"/>
      <c r="HC471" s="205"/>
      <c r="HD471" s="205"/>
      <c r="HE471" s="205"/>
      <c r="HF471" s="205"/>
      <c r="HG471" s="205"/>
      <c r="HH471" s="205"/>
      <c r="HI471" s="205"/>
      <c r="HJ471" s="205"/>
      <c r="HK471" s="205"/>
      <c r="HL471" s="205"/>
      <c r="HM471" s="205"/>
      <c r="HN471" s="205"/>
      <c r="HO471" s="205"/>
      <c r="HP471" s="205"/>
      <c r="HQ471" s="205"/>
      <c r="HR471" s="205"/>
      <c r="HS471" s="205"/>
      <c r="HT471" s="205"/>
      <c r="HU471" s="205"/>
      <c r="HV471" s="205"/>
      <c r="HW471" s="205"/>
      <c r="HX471" s="205"/>
      <c r="HY471" s="205"/>
      <c r="HZ471" s="205"/>
      <c r="IA471" s="205"/>
      <c r="IB471" s="205"/>
      <c r="IC471" s="205"/>
      <c r="ID471" s="205"/>
      <c r="IE471" s="205"/>
      <c r="IF471" s="205"/>
      <c r="IG471" s="205"/>
      <c r="IH471" s="205"/>
      <c r="II471" s="205"/>
      <c r="IJ471" s="205"/>
      <c r="IK471" s="205"/>
      <c r="IL471" s="205"/>
      <c r="IM471" s="205"/>
      <c r="IN471" s="205"/>
      <c r="IO471" s="205"/>
      <c r="IP471" s="205"/>
      <c r="IQ471" s="205"/>
      <c r="IR471" s="205"/>
      <c r="IS471" s="205"/>
      <c r="IT471" s="205"/>
      <c r="IU471" s="205"/>
      <c r="IV471" s="205"/>
      <c r="IW471" s="205"/>
      <c r="IX471" s="205"/>
    </row>
    <row r="472" spans="1:258" s="203" customFormat="1" x14ac:dyDescent="0.2">
      <c r="A472" s="669"/>
      <c r="B472" s="670"/>
      <c r="C472" s="1390"/>
      <c r="D472" s="672"/>
      <c r="E472" s="1391"/>
      <c r="F472" s="1391"/>
      <c r="G472" s="1392"/>
      <c r="H472" s="1393">
        <v>3.1</v>
      </c>
      <c r="I472" s="1394" t="s">
        <v>424</v>
      </c>
      <c r="J472" s="1394">
        <v>4</v>
      </c>
      <c r="K472" s="1394" t="s">
        <v>424</v>
      </c>
      <c r="L472" s="1409">
        <f>L471</f>
        <v>1.5858333333333334</v>
      </c>
      <c r="M472" s="1394" t="s">
        <v>424</v>
      </c>
      <c r="N472" s="1394">
        <f>N471</f>
        <v>2</v>
      </c>
      <c r="O472" s="1394"/>
      <c r="P472" s="1394"/>
      <c r="Q472" s="1394" t="s">
        <v>696</v>
      </c>
      <c r="R472" s="1395">
        <f>H472*J472*L472*N472</f>
        <v>39.32866666666667</v>
      </c>
      <c r="S472" s="1396"/>
      <c r="T472" s="1397"/>
      <c r="U472" s="205"/>
      <c r="V472" s="68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205"/>
      <c r="BN472" s="205"/>
      <c r="BO472" s="205"/>
      <c r="BP472" s="205"/>
      <c r="BQ472" s="205"/>
      <c r="BR472" s="205"/>
      <c r="BS472" s="205"/>
      <c r="BT472" s="205"/>
      <c r="BU472" s="205"/>
      <c r="BV472" s="205"/>
      <c r="BW472" s="205"/>
      <c r="BX472" s="205"/>
      <c r="BY472" s="205"/>
      <c r="BZ472" s="205"/>
      <c r="CA472" s="205"/>
      <c r="CB472" s="205"/>
      <c r="CC472" s="205"/>
      <c r="CD472" s="205"/>
      <c r="CE472" s="205"/>
      <c r="CF472" s="205"/>
      <c r="CG472" s="205"/>
      <c r="CH472" s="205"/>
      <c r="CI472" s="205"/>
      <c r="CJ472" s="205"/>
      <c r="CK472" s="205"/>
      <c r="CL472" s="205"/>
      <c r="CM472" s="205"/>
      <c r="CN472" s="205"/>
      <c r="CO472" s="205"/>
      <c r="CP472" s="205"/>
      <c r="CQ472" s="205"/>
      <c r="CR472" s="205"/>
      <c r="CS472" s="205"/>
      <c r="CT472" s="205"/>
      <c r="CU472" s="205"/>
      <c r="CV472" s="205"/>
      <c r="CW472" s="205"/>
      <c r="CX472" s="205"/>
      <c r="CY472" s="205"/>
      <c r="CZ472" s="205"/>
      <c r="DA472" s="205"/>
      <c r="DB472" s="205"/>
      <c r="DC472" s="205"/>
      <c r="DD472" s="205"/>
      <c r="DE472" s="205"/>
      <c r="DF472" s="205"/>
      <c r="DG472" s="205"/>
      <c r="DH472" s="205"/>
      <c r="DI472" s="205"/>
      <c r="DJ472" s="205"/>
      <c r="DK472" s="205"/>
      <c r="DL472" s="205"/>
      <c r="DM472" s="205"/>
      <c r="DN472" s="205"/>
      <c r="DO472" s="205"/>
      <c r="DP472" s="205"/>
      <c r="DQ472" s="205"/>
      <c r="DR472" s="205"/>
      <c r="DS472" s="205"/>
      <c r="DT472" s="205"/>
      <c r="DU472" s="205"/>
      <c r="DV472" s="205"/>
      <c r="DW472" s="205"/>
      <c r="DX472" s="205"/>
      <c r="DY472" s="205"/>
      <c r="DZ472" s="205"/>
      <c r="EA472" s="205"/>
      <c r="EB472" s="205"/>
      <c r="EC472" s="205"/>
      <c r="ED472" s="205"/>
      <c r="EE472" s="205"/>
      <c r="EF472" s="205"/>
      <c r="EG472" s="205"/>
      <c r="EH472" s="205"/>
      <c r="EI472" s="205"/>
      <c r="EJ472" s="205"/>
      <c r="EK472" s="205"/>
      <c r="EL472" s="205"/>
      <c r="EM472" s="205"/>
      <c r="EN472" s="205"/>
      <c r="EO472" s="205"/>
      <c r="EP472" s="205"/>
      <c r="EQ472" s="205"/>
      <c r="ER472" s="205"/>
      <c r="ES472" s="205"/>
      <c r="ET472" s="205"/>
      <c r="EU472" s="205"/>
      <c r="EV472" s="205"/>
      <c r="EW472" s="205"/>
      <c r="EX472" s="205"/>
      <c r="EY472" s="205"/>
      <c r="EZ472" s="205"/>
      <c r="FA472" s="205"/>
      <c r="FB472" s="205"/>
      <c r="FC472" s="205"/>
      <c r="FD472" s="205"/>
      <c r="FE472" s="205"/>
      <c r="FF472" s="205"/>
      <c r="FG472" s="205"/>
      <c r="FH472" s="205"/>
      <c r="FI472" s="205"/>
      <c r="FJ472" s="205"/>
      <c r="FK472" s="205"/>
      <c r="FL472" s="205"/>
      <c r="FM472" s="205"/>
      <c r="FN472" s="205"/>
      <c r="FO472" s="205"/>
      <c r="FP472" s="205"/>
      <c r="FQ472" s="205"/>
      <c r="FR472" s="205"/>
      <c r="FS472" s="205"/>
      <c r="FT472" s="205"/>
      <c r="FU472" s="205"/>
      <c r="FV472" s="205"/>
      <c r="FW472" s="205"/>
      <c r="FX472" s="205"/>
      <c r="FY472" s="205"/>
      <c r="FZ472" s="205"/>
      <c r="GA472" s="205"/>
      <c r="GB472" s="205"/>
      <c r="GC472" s="205"/>
      <c r="GD472" s="205"/>
      <c r="GE472" s="205"/>
      <c r="GF472" s="205"/>
      <c r="GG472" s="205"/>
      <c r="GH472" s="205"/>
      <c r="GI472" s="205"/>
      <c r="GJ472" s="205"/>
      <c r="GK472" s="205"/>
      <c r="GL472" s="205"/>
      <c r="GM472" s="205"/>
      <c r="GN472" s="205"/>
      <c r="GO472" s="205"/>
      <c r="GP472" s="205"/>
      <c r="GQ472" s="205"/>
      <c r="GR472" s="205"/>
      <c r="GS472" s="205"/>
      <c r="GT472" s="205"/>
      <c r="GU472" s="205"/>
      <c r="GV472" s="205"/>
      <c r="GW472" s="205"/>
      <c r="GX472" s="205"/>
      <c r="GY472" s="205"/>
      <c r="GZ472" s="205"/>
      <c r="HA472" s="205"/>
      <c r="HB472" s="205"/>
      <c r="HC472" s="205"/>
      <c r="HD472" s="205"/>
      <c r="HE472" s="205"/>
      <c r="HF472" s="205"/>
      <c r="HG472" s="205"/>
      <c r="HH472" s="205"/>
      <c r="HI472" s="205"/>
      <c r="HJ472" s="205"/>
      <c r="HK472" s="205"/>
      <c r="HL472" s="205"/>
      <c r="HM472" s="205"/>
      <c r="HN472" s="205"/>
      <c r="HO472" s="205"/>
      <c r="HP472" s="205"/>
      <c r="HQ472" s="205"/>
      <c r="HR472" s="205"/>
      <c r="HS472" s="205"/>
      <c r="HT472" s="205"/>
      <c r="HU472" s="205"/>
      <c r="HV472" s="205"/>
      <c r="HW472" s="205"/>
      <c r="HX472" s="205"/>
      <c r="HY472" s="205"/>
      <c r="HZ472" s="205"/>
      <c r="IA472" s="205"/>
      <c r="IB472" s="205"/>
      <c r="IC472" s="205"/>
      <c r="ID472" s="205"/>
      <c r="IE472" s="205"/>
      <c r="IF472" s="205"/>
      <c r="IG472" s="205"/>
      <c r="IH472" s="205"/>
      <c r="II472" s="205"/>
      <c r="IJ472" s="205"/>
      <c r="IK472" s="205"/>
      <c r="IL472" s="205"/>
      <c r="IM472" s="205"/>
      <c r="IN472" s="205"/>
      <c r="IO472" s="205"/>
      <c r="IP472" s="205"/>
      <c r="IQ472" s="205"/>
      <c r="IR472" s="205"/>
      <c r="IS472" s="205"/>
      <c r="IT472" s="205"/>
      <c r="IU472" s="205"/>
      <c r="IV472" s="205"/>
      <c r="IW472" s="205"/>
      <c r="IX472" s="205"/>
    </row>
    <row r="473" spans="1:258" s="203" customFormat="1" x14ac:dyDescent="0.2">
      <c r="A473" s="669"/>
      <c r="B473" s="670"/>
      <c r="C473" s="1390"/>
      <c r="D473" s="672"/>
      <c r="E473" s="1391"/>
      <c r="F473" s="1391"/>
      <c r="G473" s="1392"/>
      <c r="H473" s="1393"/>
      <c r="I473" s="1394"/>
      <c r="J473" s="1394"/>
      <c r="K473" s="1394"/>
      <c r="L473" s="1394"/>
      <c r="M473" s="1394"/>
      <c r="N473" s="1394"/>
      <c r="O473" s="1394"/>
      <c r="P473" s="1394"/>
      <c r="Q473" s="1394"/>
      <c r="R473" s="1395">
        <f>SUM(R471:R472)</f>
        <v>102.762</v>
      </c>
      <c r="S473" s="1396">
        <f>R473</f>
        <v>102.762</v>
      </c>
      <c r="T473" s="1397" t="s">
        <v>298</v>
      </c>
      <c r="U473" s="205"/>
      <c r="V473" s="685"/>
      <c r="W473" s="205"/>
      <c r="X473" s="205"/>
      <c r="Y473" s="205"/>
      <c r="Z473" s="205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205"/>
      <c r="BN473" s="205"/>
      <c r="BO473" s="205"/>
      <c r="BP473" s="205"/>
      <c r="BQ473" s="205"/>
      <c r="BR473" s="205"/>
      <c r="BS473" s="205"/>
      <c r="BT473" s="205"/>
      <c r="BU473" s="205"/>
      <c r="BV473" s="205"/>
      <c r="BW473" s="205"/>
      <c r="BX473" s="205"/>
      <c r="BY473" s="205"/>
      <c r="BZ473" s="205"/>
      <c r="CA473" s="205"/>
      <c r="CB473" s="205"/>
      <c r="CC473" s="205"/>
      <c r="CD473" s="205"/>
      <c r="CE473" s="205"/>
      <c r="CF473" s="205"/>
      <c r="CG473" s="205"/>
      <c r="CH473" s="205"/>
      <c r="CI473" s="205"/>
      <c r="CJ473" s="205"/>
      <c r="CK473" s="205"/>
      <c r="CL473" s="205"/>
      <c r="CM473" s="205"/>
      <c r="CN473" s="205"/>
      <c r="CO473" s="205"/>
      <c r="CP473" s="205"/>
      <c r="CQ473" s="205"/>
      <c r="CR473" s="205"/>
      <c r="CS473" s="205"/>
      <c r="CT473" s="205"/>
      <c r="CU473" s="205"/>
      <c r="CV473" s="205"/>
      <c r="CW473" s="205"/>
      <c r="CX473" s="205"/>
      <c r="CY473" s="205"/>
      <c r="CZ473" s="205"/>
      <c r="DA473" s="205"/>
      <c r="DB473" s="205"/>
      <c r="DC473" s="205"/>
      <c r="DD473" s="205"/>
      <c r="DE473" s="205"/>
      <c r="DF473" s="205"/>
      <c r="DG473" s="205"/>
      <c r="DH473" s="205"/>
      <c r="DI473" s="205"/>
      <c r="DJ473" s="205"/>
      <c r="DK473" s="205"/>
      <c r="DL473" s="205"/>
      <c r="DM473" s="205"/>
      <c r="DN473" s="205"/>
      <c r="DO473" s="205"/>
      <c r="DP473" s="205"/>
      <c r="DQ473" s="205"/>
      <c r="DR473" s="205"/>
      <c r="DS473" s="205"/>
      <c r="DT473" s="205"/>
      <c r="DU473" s="205"/>
      <c r="DV473" s="205"/>
      <c r="DW473" s="205"/>
      <c r="DX473" s="205"/>
      <c r="DY473" s="205"/>
      <c r="DZ473" s="205"/>
      <c r="EA473" s="205"/>
      <c r="EB473" s="205"/>
      <c r="EC473" s="205"/>
      <c r="ED473" s="205"/>
      <c r="EE473" s="205"/>
      <c r="EF473" s="205"/>
      <c r="EG473" s="205"/>
      <c r="EH473" s="205"/>
      <c r="EI473" s="205"/>
      <c r="EJ473" s="205"/>
      <c r="EK473" s="205"/>
      <c r="EL473" s="205"/>
      <c r="EM473" s="205"/>
      <c r="EN473" s="205"/>
      <c r="EO473" s="205"/>
      <c r="EP473" s="205"/>
      <c r="EQ473" s="205"/>
      <c r="ER473" s="205"/>
      <c r="ES473" s="205"/>
      <c r="ET473" s="205"/>
      <c r="EU473" s="205"/>
      <c r="EV473" s="205"/>
      <c r="EW473" s="205"/>
      <c r="EX473" s="205"/>
      <c r="EY473" s="205"/>
      <c r="EZ473" s="205"/>
      <c r="FA473" s="205"/>
      <c r="FB473" s="205"/>
      <c r="FC473" s="205"/>
      <c r="FD473" s="205"/>
      <c r="FE473" s="205"/>
      <c r="FF473" s="205"/>
      <c r="FG473" s="205"/>
      <c r="FH473" s="205"/>
      <c r="FI473" s="205"/>
      <c r="FJ473" s="205"/>
      <c r="FK473" s="205"/>
      <c r="FL473" s="205"/>
      <c r="FM473" s="205"/>
      <c r="FN473" s="205"/>
      <c r="FO473" s="205"/>
      <c r="FP473" s="205"/>
      <c r="FQ473" s="205"/>
      <c r="FR473" s="205"/>
      <c r="FS473" s="205"/>
      <c r="FT473" s="205"/>
      <c r="FU473" s="205"/>
      <c r="FV473" s="205"/>
      <c r="FW473" s="205"/>
      <c r="FX473" s="205"/>
      <c r="FY473" s="205"/>
      <c r="FZ473" s="205"/>
      <c r="GA473" s="205"/>
      <c r="GB473" s="205"/>
      <c r="GC473" s="205"/>
      <c r="GD473" s="205"/>
      <c r="GE473" s="205"/>
      <c r="GF473" s="205"/>
      <c r="GG473" s="205"/>
      <c r="GH473" s="205"/>
      <c r="GI473" s="205"/>
      <c r="GJ473" s="205"/>
      <c r="GK473" s="205"/>
      <c r="GL473" s="205"/>
      <c r="GM473" s="205"/>
      <c r="GN473" s="205"/>
      <c r="GO473" s="205"/>
      <c r="GP473" s="205"/>
      <c r="GQ473" s="205"/>
      <c r="GR473" s="205"/>
      <c r="GS473" s="205"/>
      <c r="GT473" s="205"/>
      <c r="GU473" s="205"/>
      <c r="GV473" s="205"/>
      <c r="GW473" s="205"/>
      <c r="GX473" s="205"/>
      <c r="GY473" s="205"/>
      <c r="GZ473" s="205"/>
      <c r="HA473" s="205"/>
      <c r="HB473" s="205"/>
      <c r="HC473" s="205"/>
      <c r="HD473" s="205"/>
      <c r="HE473" s="205"/>
      <c r="HF473" s="205"/>
      <c r="HG473" s="205"/>
      <c r="HH473" s="205"/>
      <c r="HI473" s="205"/>
      <c r="HJ473" s="205"/>
      <c r="HK473" s="205"/>
      <c r="HL473" s="205"/>
      <c r="HM473" s="205"/>
      <c r="HN473" s="205"/>
      <c r="HO473" s="205"/>
      <c r="HP473" s="205"/>
      <c r="HQ473" s="205"/>
      <c r="HR473" s="205"/>
      <c r="HS473" s="205"/>
      <c r="HT473" s="205"/>
      <c r="HU473" s="205"/>
      <c r="HV473" s="205"/>
      <c r="HW473" s="205"/>
      <c r="HX473" s="205"/>
      <c r="HY473" s="205"/>
      <c r="HZ473" s="205"/>
      <c r="IA473" s="205"/>
      <c r="IB473" s="205"/>
      <c r="IC473" s="205"/>
      <c r="ID473" s="205"/>
      <c r="IE473" s="205"/>
      <c r="IF473" s="205"/>
      <c r="IG473" s="205"/>
      <c r="IH473" s="205"/>
      <c r="II473" s="205"/>
      <c r="IJ473" s="205"/>
      <c r="IK473" s="205"/>
      <c r="IL473" s="205"/>
      <c r="IM473" s="205"/>
      <c r="IN473" s="205"/>
      <c r="IO473" s="205"/>
      <c r="IP473" s="205"/>
      <c r="IQ473" s="205"/>
      <c r="IR473" s="205"/>
      <c r="IS473" s="205"/>
      <c r="IT473" s="205"/>
      <c r="IU473" s="205"/>
      <c r="IV473" s="205"/>
      <c r="IW473" s="205"/>
      <c r="IX473" s="205"/>
    </row>
    <row r="474" spans="1:258" s="203" customFormat="1" x14ac:dyDescent="0.2">
      <c r="A474" s="669"/>
      <c r="B474" s="670"/>
      <c r="C474" s="1390"/>
      <c r="D474" s="672"/>
      <c r="E474" s="1391"/>
      <c r="F474" s="1391"/>
      <c r="G474" s="1392"/>
      <c r="H474" s="1393"/>
      <c r="I474" s="1394"/>
      <c r="J474" s="1394"/>
      <c r="K474" s="1394"/>
      <c r="L474" s="1394"/>
      <c r="M474" s="1394"/>
      <c r="N474" s="1394"/>
      <c r="O474" s="1394"/>
      <c r="P474" s="1394"/>
      <c r="Q474" s="1394"/>
      <c r="R474" s="1395"/>
      <c r="S474" s="1396"/>
      <c r="T474" s="1397"/>
      <c r="U474" s="205"/>
      <c r="V474" s="685"/>
      <c r="W474" s="205"/>
      <c r="X474" s="205"/>
      <c r="Y474" s="205"/>
      <c r="Z474" s="205"/>
      <c r="AA474" s="205"/>
      <c r="AB474" s="205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205"/>
      <c r="BN474" s="205"/>
      <c r="BO474" s="205"/>
      <c r="BP474" s="205"/>
      <c r="BQ474" s="205"/>
      <c r="BR474" s="205"/>
      <c r="BS474" s="205"/>
      <c r="BT474" s="205"/>
      <c r="BU474" s="205"/>
      <c r="BV474" s="205"/>
      <c r="BW474" s="205"/>
      <c r="BX474" s="205"/>
      <c r="BY474" s="205"/>
      <c r="BZ474" s="205"/>
      <c r="CA474" s="205"/>
      <c r="CB474" s="205"/>
      <c r="CC474" s="205"/>
      <c r="CD474" s="205"/>
      <c r="CE474" s="205"/>
      <c r="CF474" s="205"/>
      <c r="CG474" s="205"/>
      <c r="CH474" s="205"/>
      <c r="CI474" s="205"/>
      <c r="CJ474" s="205"/>
      <c r="CK474" s="205"/>
      <c r="CL474" s="205"/>
      <c r="CM474" s="205"/>
      <c r="CN474" s="205"/>
      <c r="CO474" s="205"/>
      <c r="CP474" s="205"/>
      <c r="CQ474" s="205"/>
      <c r="CR474" s="205"/>
      <c r="CS474" s="205"/>
      <c r="CT474" s="205"/>
      <c r="CU474" s="205"/>
      <c r="CV474" s="205"/>
      <c r="CW474" s="205"/>
      <c r="CX474" s="205"/>
      <c r="CY474" s="205"/>
      <c r="CZ474" s="205"/>
      <c r="DA474" s="205"/>
      <c r="DB474" s="205"/>
      <c r="DC474" s="205"/>
      <c r="DD474" s="205"/>
      <c r="DE474" s="205"/>
      <c r="DF474" s="205"/>
      <c r="DG474" s="205"/>
      <c r="DH474" s="205"/>
      <c r="DI474" s="205"/>
      <c r="DJ474" s="205"/>
      <c r="DK474" s="205"/>
      <c r="DL474" s="205"/>
      <c r="DM474" s="205"/>
      <c r="DN474" s="205"/>
      <c r="DO474" s="205"/>
      <c r="DP474" s="205"/>
      <c r="DQ474" s="205"/>
      <c r="DR474" s="205"/>
      <c r="DS474" s="205"/>
      <c r="DT474" s="205"/>
      <c r="DU474" s="205"/>
      <c r="DV474" s="205"/>
      <c r="DW474" s="205"/>
      <c r="DX474" s="205"/>
      <c r="DY474" s="205"/>
      <c r="DZ474" s="205"/>
      <c r="EA474" s="205"/>
      <c r="EB474" s="205"/>
      <c r="EC474" s="205"/>
      <c r="ED474" s="205"/>
      <c r="EE474" s="205"/>
      <c r="EF474" s="205"/>
      <c r="EG474" s="205"/>
      <c r="EH474" s="205"/>
      <c r="EI474" s="205"/>
      <c r="EJ474" s="205"/>
      <c r="EK474" s="205"/>
      <c r="EL474" s="205"/>
      <c r="EM474" s="205"/>
      <c r="EN474" s="205"/>
      <c r="EO474" s="205"/>
      <c r="EP474" s="205"/>
      <c r="EQ474" s="205"/>
      <c r="ER474" s="205"/>
      <c r="ES474" s="205"/>
      <c r="ET474" s="205"/>
      <c r="EU474" s="205"/>
      <c r="EV474" s="205"/>
      <c r="EW474" s="205"/>
      <c r="EX474" s="205"/>
      <c r="EY474" s="205"/>
      <c r="EZ474" s="205"/>
      <c r="FA474" s="205"/>
      <c r="FB474" s="205"/>
      <c r="FC474" s="205"/>
      <c r="FD474" s="205"/>
      <c r="FE474" s="205"/>
      <c r="FF474" s="205"/>
      <c r="FG474" s="205"/>
      <c r="FH474" s="205"/>
      <c r="FI474" s="205"/>
      <c r="FJ474" s="205"/>
      <c r="FK474" s="205"/>
      <c r="FL474" s="205"/>
      <c r="FM474" s="205"/>
      <c r="FN474" s="205"/>
      <c r="FO474" s="205"/>
      <c r="FP474" s="205"/>
      <c r="FQ474" s="205"/>
      <c r="FR474" s="205"/>
      <c r="FS474" s="205"/>
      <c r="FT474" s="205"/>
      <c r="FU474" s="205"/>
      <c r="FV474" s="205"/>
      <c r="FW474" s="205"/>
      <c r="FX474" s="205"/>
      <c r="FY474" s="205"/>
      <c r="FZ474" s="205"/>
      <c r="GA474" s="205"/>
      <c r="GB474" s="205"/>
      <c r="GC474" s="205"/>
      <c r="GD474" s="205"/>
      <c r="GE474" s="205"/>
      <c r="GF474" s="205"/>
      <c r="GG474" s="205"/>
      <c r="GH474" s="205"/>
      <c r="GI474" s="205"/>
      <c r="GJ474" s="205"/>
      <c r="GK474" s="205"/>
      <c r="GL474" s="205"/>
      <c r="GM474" s="205"/>
      <c r="GN474" s="205"/>
      <c r="GO474" s="205"/>
      <c r="GP474" s="205"/>
      <c r="GQ474" s="205"/>
      <c r="GR474" s="205"/>
      <c r="GS474" s="205"/>
      <c r="GT474" s="205"/>
      <c r="GU474" s="205"/>
      <c r="GV474" s="205"/>
      <c r="GW474" s="205"/>
      <c r="GX474" s="205"/>
      <c r="GY474" s="205"/>
      <c r="GZ474" s="205"/>
      <c r="HA474" s="205"/>
      <c r="HB474" s="205"/>
      <c r="HC474" s="205"/>
      <c r="HD474" s="205"/>
      <c r="HE474" s="205"/>
      <c r="HF474" s="205"/>
      <c r="HG474" s="205"/>
      <c r="HH474" s="205"/>
      <c r="HI474" s="205"/>
      <c r="HJ474" s="205"/>
      <c r="HK474" s="205"/>
      <c r="HL474" s="205"/>
      <c r="HM474" s="205"/>
      <c r="HN474" s="205"/>
      <c r="HO474" s="205"/>
      <c r="HP474" s="205"/>
      <c r="HQ474" s="205"/>
      <c r="HR474" s="205"/>
      <c r="HS474" s="205"/>
      <c r="HT474" s="205"/>
      <c r="HU474" s="205"/>
      <c r="HV474" s="205"/>
      <c r="HW474" s="205"/>
      <c r="HX474" s="205"/>
      <c r="HY474" s="205"/>
      <c r="HZ474" s="205"/>
      <c r="IA474" s="205"/>
      <c r="IB474" s="205"/>
      <c r="IC474" s="205"/>
      <c r="ID474" s="205"/>
      <c r="IE474" s="205"/>
      <c r="IF474" s="205"/>
      <c r="IG474" s="205"/>
      <c r="IH474" s="205"/>
      <c r="II474" s="205"/>
      <c r="IJ474" s="205"/>
      <c r="IK474" s="205"/>
      <c r="IL474" s="205"/>
      <c r="IM474" s="205"/>
      <c r="IN474" s="205"/>
      <c r="IO474" s="205"/>
      <c r="IP474" s="205"/>
      <c r="IQ474" s="205"/>
      <c r="IR474" s="205"/>
      <c r="IS474" s="205"/>
      <c r="IT474" s="205"/>
      <c r="IU474" s="205"/>
      <c r="IV474" s="205"/>
      <c r="IW474" s="205"/>
      <c r="IX474" s="205"/>
    </row>
    <row r="475" spans="1:258" s="203" customFormat="1" x14ac:dyDescent="0.2">
      <c r="A475" s="669"/>
      <c r="B475" s="670">
        <f>RAB!B156</f>
        <v>10</v>
      </c>
      <c r="C475" s="686" t="e">
        <f>RAB!D156</f>
        <v>#REF!</v>
      </c>
      <c r="D475" s="672"/>
      <c r="E475" s="673"/>
      <c r="F475" s="673"/>
      <c r="G475" s="674"/>
      <c r="H475" s="675">
        <v>12</v>
      </c>
      <c r="I475" s="676"/>
      <c r="J475" s="676"/>
      <c r="K475" s="676"/>
      <c r="L475" s="676"/>
      <c r="M475" s="676"/>
      <c r="N475" s="676"/>
      <c r="O475" s="676"/>
      <c r="P475" s="676"/>
      <c r="Q475" s="676" t="s">
        <v>696</v>
      </c>
      <c r="R475" s="677">
        <f>H475</f>
        <v>12</v>
      </c>
      <c r="S475" s="678">
        <f>R475</f>
        <v>12</v>
      </c>
      <c r="T475" s="684" t="s">
        <v>268</v>
      </c>
      <c r="U475" s="205"/>
      <c r="V475" s="685"/>
      <c r="W475" s="205"/>
      <c r="X475" s="205"/>
      <c r="Y475" s="205"/>
      <c r="Z475" s="205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  <c r="BK475" s="205"/>
      <c r="BL475" s="205"/>
      <c r="BM475" s="205"/>
      <c r="BN475" s="205"/>
      <c r="BO475" s="205"/>
      <c r="BP475" s="205"/>
      <c r="BQ475" s="205"/>
      <c r="BR475" s="205"/>
      <c r="BS475" s="205"/>
      <c r="BT475" s="205"/>
      <c r="BU475" s="205"/>
      <c r="BV475" s="205"/>
      <c r="BW475" s="205"/>
      <c r="BX475" s="205"/>
      <c r="BY475" s="205"/>
      <c r="BZ475" s="205"/>
      <c r="CA475" s="205"/>
      <c r="CB475" s="205"/>
      <c r="CC475" s="205"/>
      <c r="CD475" s="205"/>
      <c r="CE475" s="205"/>
      <c r="CF475" s="205"/>
      <c r="CG475" s="205"/>
      <c r="CH475" s="205"/>
      <c r="CI475" s="205"/>
      <c r="CJ475" s="205"/>
      <c r="CK475" s="205"/>
      <c r="CL475" s="205"/>
      <c r="CM475" s="205"/>
      <c r="CN475" s="205"/>
      <c r="CO475" s="205"/>
      <c r="CP475" s="205"/>
      <c r="CQ475" s="205"/>
      <c r="CR475" s="205"/>
      <c r="CS475" s="205"/>
      <c r="CT475" s="205"/>
      <c r="CU475" s="205"/>
      <c r="CV475" s="205"/>
      <c r="CW475" s="205"/>
      <c r="CX475" s="205"/>
      <c r="CY475" s="205"/>
      <c r="CZ475" s="205"/>
      <c r="DA475" s="205"/>
      <c r="DB475" s="205"/>
      <c r="DC475" s="205"/>
      <c r="DD475" s="205"/>
      <c r="DE475" s="205"/>
      <c r="DF475" s="205"/>
      <c r="DG475" s="205"/>
      <c r="DH475" s="205"/>
      <c r="DI475" s="205"/>
      <c r="DJ475" s="205"/>
      <c r="DK475" s="205"/>
      <c r="DL475" s="205"/>
      <c r="DM475" s="205"/>
      <c r="DN475" s="205"/>
      <c r="DO475" s="205"/>
      <c r="DP475" s="205"/>
      <c r="DQ475" s="205"/>
      <c r="DR475" s="205"/>
      <c r="DS475" s="205"/>
      <c r="DT475" s="205"/>
      <c r="DU475" s="205"/>
      <c r="DV475" s="205"/>
      <c r="DW475" s="205"/>
      <c r="DX475" s="205"/>
      <c r="DY475" s="205"/>
      <c r="DZ475" s="205"/>
      <c r="EA475" s="205"/>
      <c r="EB475" s="205"/>
      <c r="EC475" s="205"/>
      <c r="ED475" s="205"/>
      <c r="EE475" s="205"/>
      <c r="EF475" s="205"/>
      <c r="EG475" s="205"/>
      <c r="EH475" s="205"/>
      <c r="EI475" s="205"/>
      <c r="EJ475" s="205"/>
      <c r="EK475" s="205"/>
      <c r="EL475" s="205"/>
      <c r="EM475" s="205"/>
      <c r="EN475" s="205"/>
      <c r="EO475" s="205"/>
      <c r="EP475" s="205"/>
      <c r="EQ475" s="205"/>
      <c r="ER475" s="205"/>
      <c r="ES475" s="205"/>
      <c r="ET475" s="205"/>
      <c r="EU475" s="205"/>
      <c r="EV475" s="205"/>
      <c r="EW475" s="205"/>
      <c r="EX475" s="205"/>
      <c r="EY475" s="205"/>
      <c r="EZ475" s="205"/>
      <c r="FA475" s="205"/>
      <c r="FB475" s="205"/>
      <c r="FC475" s="205"/>
      <c r="FD475" s="205"/>
      <c r="FE475" s="205"/>
      <c r="FF475" s="205"/>
      <c r="FG475" s="205"/>
      <c r="FH475" s="205"/>
      <c r="FI475" s="205"/>
      <c r="FJ475" s="205"/>
      <c r="FK475" s="205"/>
      <c r="FL475" s="205"/>
      <c r="FM475" s="205"/>
      <c r="FN475" s="205"/>
      <c r="FO475" s="205"/>
      <c r="FP475" s="205"/>
      <c r="FQ475" s="205"/>
      <c r="FR475" s="205"/>
      <c r="FS475" s="205"/>
      <c r="FT475" s="205"/>
      <c r="FU475" s="205"/>
      <c r="FV475" s="205"/>
      <c r="FW475" s="205"/>
      <c r="FX475" s="205"/>
      <c r="FY475" s="205"/>
      <c r="FZ475" s="205"/>
      <c r="GA475" s="205"/>
      <c r="GB475" s="205"/>
      <c r="GC475" s="205"/>
      <c r="GD475" s="205"/>
      <c r="GE475" s="205"/>
      <c r="GF475" s="205"/>
      <c r="GG475" s="205"/>
      <c r="GH475" s="205"/>
      <c r="GI475" s="205"/>
      <c r="GJ475" s="205"/>
      <c r="GK475" s="205"/>
      <c r="GL475" s="205"/>
      <c r="GM475" s="205"/>
      <c r="GN475" s="205"/>
      <c r="GO475" s="205"/>
      <c r="GP475" s="205"/>
      <c r="GQ475" s="205"/>
      <c r="GR475" s="205"/>
      <c r="GS475" s="205"/>
      <c r="GT475" s="205"/>
      <c r="GU475" s="205"/>
      <c r="GV475" s="205"/>
      <c r="GW475" s="205"/>
      <c r="GX475" s="205"/>
      <c r="GY475" s="205"/>
      <c r="GZ475" s="205"/>
      <c r="HA475" s="205"/>
      <c r="HB475" s="205"/>
      <c r="HC475" s="205"/>
      <c r="HD475" s="205"/>
      <c r="HE475" s="205"/>
      <c r="HF475" s="205"/>
      <c r="HG475" s="205"/>
      <c r="HH475" s="205"/>
      <c r="HI475" s="205"/>
      <c r="HJ475" s="205"/>
      <c r="HK475" s="205"/>
      <c r="HL475" s="205"/>
      <c r="HM475" s="205"/>
      <c r="HN475" s="205"/>
      <c r="HO475" s="205"/>
      <c r="HP475" s="205"/>
      <c r="HQ475" s="205"/>
      <c r="HR475" s="205"/>
      <c r="HS475" s="205"/>
      <c r="HT475" s="205"/>
      <c r="HU475" s="205"/>
      <c r="HV475" s="205"/>
      <c r="HW475" s="205"/>
      <c r="HX475" s="205"/>
      <c r="HY475" s="205"/>
      <c r="HZ475" s="205"/>
      <c r="IA475" s="205"/>
      <c r="IB475" s="205"/>
      <c r="IC475" s="205"/>
      <c r="ID475" s="205"/>
      <c r="IE475" s="205"/>
      <c r="IF475" s="205"/>
      <c r="IG475" s="205"/>
      <c r="IH475" s="205"/>
      <c r="II475" s="205"/>
      <c r="IJ475" s="205"/>
      <c r="IK475" s="205"/>
      <c r="IL475" s="205"/>
      <c r="IM475" s="205"/>
      <c r="IN475" s="205"/>
      <c r="IO475" s="205"/>
      <c r="IP475" s="205"/>
      <c r="IQ475" s="205"/>
      <c r="IR475" s="205"/>
      <c r="IS475" s="205"/>
      <c r="IT475" s="205"/>
      <c r="IU475" s="205"/>
      <c r="IV475" s="205"/>
      <c r="IW475" s="205"/>
      <c r="IX475" s="205"/>
    </row>
    <row r="476" spans="1:258" s="203" customFormat="1" x14ac:dyDescent="0.2">
      <c r="A476" s="669"/>
      <c r="B476" s="670">
        <f>RAB!B157</f>
        <v>11</v>
      </c>
      <c r="C476" s="686" t="e">
        <f>RAB!D157</f>
        <v>#REF!</v>
      </c>
      <c r="D476" s="672"/>
      <c r="E476" s="673"/>
      <c r="F476" s="673"/>
      <c r="G476" s="674"/>
      <c r="H476" s="675">
        <v>12</v>
      </c>
      <c r="I476" s="676"/>
      <c r="J476" s="676"/>
      <c r="K476" s="676"/>
      <c r="L476" s="676"/>
      <c r="M476" s="676"/>
      <c r="N476" s="676"/>
      <c r="O476" s="676"/>
      <c r="P476" s="676"/>
      <c r="Q476" s="676" t="s">
        <v>696</v>
      </c>
      <c r="R476" s="677">
        <f>H476</f>
        <v>12</v>
      </c>
      <c r="S476" s="678">
        <f>R476</f>
        <v>12</v>
      </c>
      <c r="T476" s="684" t="s">
        <v>268</v>
      </c>
      <c r="U476" s="205"/>
      <c r="V476" s="685"/>
      <c r="W476" s="205"/>
      <c r="X476" s="205"/>
      <c r="Y476" s="205"/>
      <c r="Z476" s="205"/>
      <c r="AA476" s="205"/>
      <c r="AB476" s="205"/>
      <c r="AC476" s="205"/>
      <c r="AD476" s="205"/>
      <c r="AE476" s="205"/>
      <c r="AF476" s="205"/>
      <c r="AG476" s="205"/>
      <c r="AH476" s="205"/>
      <c r="AI476" s="205"/>
      <c r="AJ476" s="205"/>
      <c r="AK476" s="205"/>
      <c r="AL476" s="205"/>
      <c r="AM476" s="205"/>
      <c r="AN476" s="205"/>
      <c r="AO476" s="205"/>
      <c r="AP476" s="205"/>
      <c r="AQ476" s="205"/>
      <c r="AR476" s="205"/>
      <c r="AS476" s="205"/>
      <c r="AT476" s="205"/>
      <c r="AU476" s="205"/>
      <c r="AV476" s="205"/>
      <c r="AW476" s="205"/>
      <c r="AX476" s="205"/>
      <c r="AY476" s="205"/>
      <c r="AZ476" s="205"/>
      <c r="BA476" s="205"/>
      <c r="BB476" s="205"/>
      <c r="BC476" s="205"/>
      <c r="BD476" s="205"/>
      <c r="BE476" s="205"/>
      <c r="BF476" s="205"/>
      <c r="BG476" s="205"/>
      <c r="BH476" s="205"/>
      <c r="BI476" s="205"/>
      <c r="BJ476" s="205"/>
      <c r="BK476" s="205"/>
      <c r="BL476" s="205"/>
      <c r="BM476" s="205"/>
      <c r="BN476" s="205"/>
      <c r="BO476" s="205"/>
      <c r="BP476" s="205"/>
      <c r="BQ476" s="205"/>
      <c r="BR476" s="205"/>
      <c r="BS476" s="205"/>
      <c r="BT476" s="205"/>
      <c r="BU476" s="205"/>
      <c r="BV476" s="205"/>
      <c r="BW476" s="205"/>
      <c r="BX476" s="205"/>
      <c r="BY476" s="205"/>
      <c r="BZ476" s="205"/>
      <c r="CA476" s="205"/>
      <c r="CB476" s="205"/>
      <c r="CC476" s="205"/>
      <c r="CD476" s="205"/>
      <c r="CE476" s="205"/>
      <c r="CF476" s="205"/>
      <c r="CG476" s="205"/>
      <c r="CH476" s="205"/>
      <c r="CI476" s="205"/>
      <c r="CJ476" s="205"/>
      <c r="CK476" s="205"/>
      <c r="CL476" s="205"/>
      <c r="CM476" s="205"/>
      <c r="CN476" s="205"/>
      <c r="CO476" s="205"/>
      <c r="CP476" s="205"/>
      <c r="CQ476" s="205"/>
      <c r="CR476" s="205"/>
      <c r="CS476" s="205"/>
      <c r="CT476" s="205"/>
      <c r="CU476" s="205"/>
      <c r="CV476" s="205"/>
      <c r="CW476" s="205"/>
      <c r="CX476" s="205"/>
      <c r="CY476" s="205"/>
      <c r="CZ476" s="205"/>
      <c r="DA476" s="205"/>
      <c r="DB476" s="205"/>
      <c r="DC476" s="205"/>
      <c r="DD476" s="205"/>
      <c r="DE476" s="205"/>
      <c r="DF476" s="205"/>
      <c r="DG476" s="205"/>
      <c r="DH476" s="205"/>
      <c r="DI476" s="205"/>
      <c r="DJ476" s="205"/>
      <c r="DK476" s="205"/>
      <c r="DL476" s="205"/>
      <c r="DM476" s="205"/>
      <c r="DN476" s="205"/>
      <c r="DO476" s="205"/>
      <c r="DP476" s="205"/>
      <c r="DQ476" s="205"/>
      <c r="DR476" s="205"/>
      <c r="DS476" s="205"/>
      <c r="DT476" s="205"/>
      <c r="DU476" s="205"/>
      <c r="DV476" s="205"/>
      <c r="DW476" s="205"/>
      <c r="DX476" s="205"/>
      <c r="DY476" s="205"/>
      <c r="DZ476" s="205"/>
      <c r="EA476" s="205"/>
      <c r="EB476" s="205"/>
      <c r="EC476" s="205"/>
      <c r="ED476" s="205"/>
      <c r="EE476" s="205"/>
      <c r="EF476" s="205"/>
      <c r="EG476" s="205"/>
      <c r="EH476" s="205"/>
      <c r="EI476" s="205"/>
      <c r="EJ476" s="205"/>
      <c r="EK476" s="205"/>
      <c r="EL476" s="205"/>
      <c r="EM476" s="205"/>
      <c r="EN476" s="205"/>
      <c r="EO476" s="205"/>
      <c r="EP476" s="205"/>
      <c r="EQ476" s="205"/>
      <c r="ER476" s="205"/>
      <c r="ES476" s="205"/>
      <c r="ET476" s="205"/>
      <c r="EU476" s="205"/>
      <c r="EV476" s="205"/>
      <c r="EW476" s="205"/>
      <c r="EX476" s="205"/>
      <c r="EY476" s="205"/>
      <c r="EZ476" s="205"/>
      <c r="FA476" s="205"/>
      <c r="FB476" s="205"/>
      <c r="FC476" s="205"/>
      <c r="FD476" s="205"/>
      <c r="FE476" s="205"/>
      <c r="FF476" s="205"/>
      <c r="FG476" s="205"/>
      <c r="FH476" s="205"/>
      <c r="FI476" s="205"/>
      <c r="FJ476" s="205"/>
      <c r="FK476" s="205"/>
      <c r="FL476" s="205"/>
      <c r="FM476" s="205"/>
      <c r="FN476" s="205"/>
      <c r="FO476" s="205"/>
      <c r="FP476" s="205"/>
      <c r="FQ476" s="205"/>
      <c r="FR476" s="205"/>
      <c r="FS476" s="205"/>
      <c r="FT476" s="205"/>
      <c r="FU476" s="205"/>
      <c r="FV476" s="205"/>
      <c r="FW476" s="205"/>
      <c r="FX476" s="205"/>
      <c r="FY476" s="205"/>
      <c r="FZ476" s="205"/>
      <c r="GA476" s="205"/>
      <c r="GB476" s="205"/>
      <c r="GC476" s="205"/>
      <c r="GD476" s="205"/>
      <c r="GE476" s="205"/>
      <c r="GF476" s="205"/>
      <c r="GG476" s="205"/>
      <c r="GH476" s="205"/>
      <c r="GI476" s="205"/>
      <c r="GJ476" s="205"/>
      <c r="GK476" s="205"/>
      <c r="GL476" s="205"/>
      <c r="GM476" s="205"/>
      <c r="GN476" s="205"/>
      <c r="GO476" s="205"/>
      <c r="GP476" s="205"/>
      <c r="GQ476" s="205"/>
      <c r="GR476" s="205"/>
      <c r="GS476" s="205"/>
      <c r="GT476" s="205"/>
      <c r="GU476" s="205"/>
      <c r="GV476" s="205"/>
      <c r="GW476" s="205"/>
      <c r="GX476" s="205"/>
      <c r="GY476" s="205"/>
      <c r="GZ476" s="205"/>
      <c r="HA476" s="205"/>
      <c r="HB476" s="205"/>
      <c r="HC476" s="205"/>
      <c r="HD476" s="205"/>
      <c r="HE476" s="205"/>
      <c r="HF476" s="205"/>
      <c r="HG476" s="205"/>
      <c r="HH476" s="205"/>
      <c r="HI476" s="205"/>
      <c r="HJ476" s="205"/>
      <c r="HK476" s="205"/>
      <c r="HL476" s="205"/>
      <c r="HM476" s="205"/>
      <c r="HN476" s="205"/>
      <c r="HO476" s="205"/>
      <c r="HP476" s="205"/>
      <c r="HQ476" s="205"/>
      <c r="HR476" s="205"/>
      <c r="HS476" s="205"/>
      <c r="HT476" s="205"/>
      <c r="HU476" s="205"/>
      <c r="HV476" s="205"/>
      <c r="HW476" s="205"/>
      <c r="HX476" s="205"/>
      <c r="HY476" s="205"/>
      <c r="HZ476" s="205"/>
      <c r="IA476" s="205"/>
      <c r="IB476" s="205"/>
      <c r="IC476" s="205"/>
      <c r="ID476" s="205"/>
      <c r="IE476" s="205"/>
      <c r="IF476" s="205"/>
      <c r="IG476" s="205"/>
      <c r="IH476" s="205"/>
      <c r="II476" s="205"/>
      <c r="IJ476" s="205"/>
      <c r="IK476" s="205"/>
      <c r="IL476" s="205"/>
      <c r="IM476" s="205"/>
      <c r="IN476" s="205"/>
      <c r="IO476" s="205"/>
      <c r="IP476" s="205"/>
      <c r="IQ476" s="205"/>
      <c r="IR476" s="205"/>
      <c r="IS476" s="205"/>
      <c r="IT476" s="205"/>
      <c r="IU476" s="205"/>
      <c r="IV476" s="205"/>
      <c r="IW476" s="205"/>
      <c r="IX476" s="205"/>
    </row>
    <row r="477" spans="1:258" s="203" customFormat="1" x14ac:dyDescent="0.2">
      <c r="A477" s="669"/>
      <c r="B477" s="670">
        <f>RAB!B158</f>
        <v>11</v>
      </c>
      <c r="C477" s="686" t="e">
        <f>RAB!D158</f>
        <v>#REF!</v>
      </c>
      <c r="D477" s="672"/>
      <c r="E477" s="673"/>
      <c r="F477" s="673"/>
      <c r="G477" s="674"/>
      <c r="H477" s="675">
        <v>3.45</v>
      </c>
      <c r="I477" s="676" t="s">
        <v>424</v>
      </c>
      <c r="J477" s="676">
        <v>4</v>
      </c>
      <c r="K477" s="676"/>
      <c r="L477" s="676"/>
      <c r="M477" s="676"/>
      <c r="N477" s="676"/>
      <c r="O477" s="676"/>
      <c r="P477" s="676"/>
      <c r="Q477" s="676" t="s">
        <v>696</v>
      </c>
      <c r="R477" s="677">
        <f>H477*J477</f>
        <v>13.8</v>
      </c>
      <c r="S477" s="678">
        <f>R477</f>
        <v>13.8</v>
      </c>
      <c r="T477" s="684" t="s">
        <v>247</v>
      </c>
      <c r="U477" s="205"/>
      <c r="V477" s="685"/>
      <c r="W477" s="205"/>
      <c r="X477" s="205"/>
      <c r="Y477" s="205"/>
      <c r="Z477" s="205"/>
      <c r="AA477" s="205"/>
      <c r="AB477" s="205"/>
      <c r="AC477" s="205"/>
      <c r="AD477" s="205"/>
      <c r="AE477" s="205"/>
      <c r="AF477" s="205"/>
      <c r="AG477" s="205"/>
      <c r="AH477" s="205"/>
      <c r="AI477" s="205"/>
      <c r="AJ477" s="205"/>
      <c r="AK477" s="205"/>
      <c r="AL477" s="205"/>
      <c r="AM477" s="205"/>
      <c r="AN477" s="205"/>
      <c r="AO477" s="205"/>
      <c r="AP477" s="205"/>
      <c r="AQ477" s="205"/>
      <c r="AR477" s="205"/>
      <c r="AS477" s="205"/>
      <c r="AT477" s="205"/>
      <c r="AU477" s="205"/>
      <c r="AV477" s="205"/>
      <c r="AW477" s="205"/>
      <c r="AX477" s="205"/>
      <c r="AY477" s="205"/>
      <c r="AZ477" s="205"/>
      <c r="BA477" s="205"/>
      <c r="BB477" s="205"/>
      <c r="BC477" s="205"/>
      <c r="BD477" s="205"/>
      <c r="BE477" s="205"/>
      <c r="BF477" s="205"/>
      <c r="BG477" s="205"/>
      <c r="BH477" s="205"/>
      <c r="BI477" s="205"/>
      <c r="BJ477" s="205"/>
      <c r="BK477" s="205"/>
      <c r="BL477" s="205"/>
      <c r="BM477" s="205"/>
      <c r="BN477" s="205"/>
      <c r="BO477" s="205"/>
      <c r="BP477" s="205"/>
      <c r="BQ477" s="205"/>
      <c r="BR477" s="205"/>
      <c r="BS477" s="205"/>
      <c r="BT477" s="205"/>
      <c r="BU477" s="205"/>
      <c r="BV477" s="205"/>
      <c r="BW477" s="205"/>
      <c r="BX477" s="205"/>
      <c r="BY477" s="205"/>
      <c r="BZ477" s="205"/>
      <c r="CA477" s="205"/>
      <c r="CB477" s="205"/>
      <c r="CC477" s="205"/>
      <c r="CD477" s="205"/>
      <c r="CE477" s="205"/>
      <c r="CF477" s="205"/>
      <c r="CG477" s="205"/>
      <c r="CH477" s="205"/>
      <c r="CI477" s="205"/>
      <c r="CJ477" s="205"/>
      <c r="CK477" s="205"/>
      <c r="CL477" s="205"/>
      <c r="CM477" s="205"/>
      <c r="CN477" s="205"/>
      <c r="CO477" s="205"/>
      <c r="CP477" s="205"/>
      <c r="CQ477" s="205"/>
      <c r="CR477" s="205"/>
      <c r="CS477" s="205"/>
      <c r="CT477" s="205"/>
      <c r="CU477" s="205"/>
      <c r="CV477" s="205"/>
      <c r="CW477" s="205"/>
      <c r="CX477" s="205"/>
      <c r="CY477" s="205"/>
      <c r="CZ477" s="205"/>
      <c r="DA477" s="205"/>
      <c r="DB477" s="205"/>
      <c r="DC477" s="205"/>
      <c r="DD477" s="205"/>
      <c r="DE477" s="205"/>
      <c r="DF477" s="205"/>
      <c r="DG477" s="205"/>
      <c r="DH477" s="205"/>
      <c r="DI477" s="205"/>
      <c r="DJ477" s="205"/>
      <c r="DK477" s="205"/>
      <c r="DL477" s="205"/>
      <c r="DM477" s="205"/>
      <c r="DN477" s="205"/>
      <c r="DO477" s="205"/>
      <c r="DP477" s="205"/>
      <c r="DQ477" s="205"/>
      <c r="DR477" s="205"/>
      <c r="DS477" s="205"/>
      <c r="DT477" s="205"/>
      <c r="DU477" s="205"/>
      <c r="DV477" s="205"/>
      <c r="DW477" s="205"/>
      <c r="DX477" s="205"/>
      <c r="DY477" s="205"/>
      <c r="DZ477" s="205"/>
      <c r="EA477" s="205"/>
      <c r="EB477" s="205"/>
      <c r="EC477" s="205"/>
      <c r="ED477" s="205"/>
      <c r="EE477" s="205"/>
      <c r="EF477" s="205"/>
      <c r="EG477" s="205"/>
      <c r="EH477" s="205"/>
      <c r="EI477" s="205"/>
      <c r="EJ477" s="205"/>
      <c r="EK477" s="205"/>
      <c r="EL477" s="205"/>
      <c r="EM477" s="205"/>
      <c r="EN477" s="205"/>
      <c r="EO477" s="205"/>
      <c r="EP477" s="205"/>
      <c r="EQ477" s="205"/>
      <c r="ER477" s="205"/>
      <c r="ES477" s="205"/>
      <c r="ET477" s="205"/>
      <c r="EU477" s="205"/>
      <c r="EV477" s="205"/>
      <c r="EW477" s="205"/>
      <c r="EX477" s="205"/>
      <c r="EY477" s="205"/>
      <c r="EZ477" s="205"/>
      <c r="FA477" s="205"/>
      <c r="FB477" s="205"/>
      <c r="FC477" s="205"/>
      <c r="FD477" s="205"/>
      <c r="FE477" s="205"/>
      <c r="FF477" s="205"/>
      <c r="FG477" s="205"/>
      <c r="FH477" s="205"/>
      <c r="FI477" s="205"/>
      <c r="FJ477" s="205"/>
      <c r="FK477" s="205"/>
      <c r="FL477" s="205"/>
      <c r="FM477" s="205"/>
      <c r="FN477" s="205"/>
      <c r="FO477" s="205"/>
      <c r="FP477" s="205"/>
      <c r="FQ477" s="205"/>
      <c r="FR477" s="205"/>
      <c r="FS477" s="205"/>
      <c r="FT477" s="205"/>
      <c r="FU477" s="205"/>
      <c r="FV477" s="205"/>
      <c r="FW477" s="205"/>
      <c r="FX477" s="205"/>
      <c r="FY477" s="205"/>
      <c r="FZ477" s="205"/>
      <c r="GA477" s="205"/>
      <c r="GB477" s="205"/>
      <c r="GC477" s="205"/>
      <c r="GD477" s="205"/>
      <c r="GE477" s="205"/>
      <c r="GF477" s="205"/>
      <c r="GG477" s="205"/>
      <c r="GH477" s="205"/>
      <c r="GI477" s="205"/>
      <c r="GJ477" s="205"/>
      <c r="GK477" s="205"/>
      <c r="GL477" s="205"/>
      <c r="GM477" s="205"/>
      <c r="GN477" s="205"/>
      <c r="GO477" s="205"/>
      <c r="GP477" s="205"/>
      <c r="GQ477" s="205"/>
      <c r="GR477" s="205"/>
      <c r="GS477" s="205"/>
      <c r="GT477" s="205"/>
      <c r="GU477" s="205"/>
      <c r="GV477" s="205"/>
      <c r="GW477" s="205"/>
      <c r="GX477" s="205"/>
      <c r="GY477" s="205"/>
      <c r="GZ477" s="205"/>
      <c r="HA477" s="205"/>
      <c r="HB477" s="205"/>
      <c r="HC477" s="205"/>
      <c r="HD477" s="205"/>
      <c r="HE477" s="205"/>
      <c r="HF477" s="205"/>
      <c r="HG477" s="205"/>
      <c r="HH477" s="205"/>
      <c r="HI477" s="205"/>
      <c r="HJ477" s="205"/>
      <c r="HK477" s="205"/>
      <c r="HL477" s="205"/>
      <c r="HM477" s="205"/>
      <c r="HN477" s="205"/>
      <c r="HO477" s="205"/>
      <c r="HP477" s="205"/>
      <c r="HQ477" s="205"/>
      <c r="HR477" s="205"/>
      <c r="HS477" s="205"/>
      <c r="HT477" s="205"/>
      <c r="HU477" s="205"/>
      <c r="HV477" s="205"/>
      <c r="HW477" s="205"/>
      <c r="HX477" s="205"/>
      <c r="HY477" s="205"/>
      <c r="HZ477" s="205"/>
      <c r="IA477" s="205"/>
      <c r="IB477" s="205"/>
      <c r="IC477" s="205"/>
      <c r="ID477" s="205"/>
      <c r="IE477" s="205"/>
      <c r="IF477" s="205"/>
      <c r="IG477" s="205"/>
      <c r="IH477" s="205"/>
      <c r="II477" s="205"/>
      <c r="IJ477" s="205"/>
      <c r="IK477" s="205"/>
      <c r="IL477" s="205"/>
      <c r="IM477" s="205"/>
      <c r="IN477" s="205"/>
      <c r="IO477" s="205"/>
      <c r="IP477" s="205"/>
      <c r="IQ477" s="205"/>
      <c r="IR477" s="205"/>
      <c r="IS477" s="205"/>
      <c r="IT477" s="205"/>
      <c r="IU477" s="205"/>
      <c r="IV477" s="205"/>
      <c r="IW477" s="205"/>
      <c r="IX477" s="205"/>
    </row>
    <row r="478" spans="1:258" s="203" customFormat="1" x14ac:dyDescent="0.2">
      <c r="A478" s="669"/>
      <c r="B478" s="670">
        <f>RAB!B159</f>
        <v>12</v>
      </c>
      <c r="C478" s="686" t="str">
        <f>RAB!D159</f>
        <v>Memasang penutup atap galvalum pasir</v>
      </c>
      <c r="D478" s="672"/>
      <c r="E478" s="673"/>
      <c r="F478" s="673"/>
      <c r="G478" s="674"/>
      <c r="H478" s="675">
        <v>5</v>
      </c>
      <c r="I478" s="676" t="s">
        <v>424</v>
      </c>
      <c r="J478" s="676">
        <v>3.2</v>
      </c>
      <c r="K478" s="676" t="s">
        <v>424</v>
      </c>
      <c r="L478" s="676">
        <v>2</v>
      </c>
      <c r="M478" s="676"/>
      <c r="N478" s="676"/>
      <c r="O478" s="676"/>
      <c r="P478" s="676"/>
      <c r="Q478" s="1394" t="s">
        <v>696</v>
      </c>
      <c r="R478" s="1395">
        <f>H478*J478*L478</f>
        <v>32</v>
      </c>
      <c r="S478" s="678">
        <f>R478</f>
        <v>32</v>
      </c>
      <c r="T478" s="684" t="s">
        <v>338</v>
      </c>
      <c r="U478" s="205"/>
      <c r="V478" s="685"/>
      <c r="W478" s="205"/>
      <c r="X478" s="205"/>
      <c r="Y478" s="205"/>
      <c r="Z478" s="205"/>
      <c r="AA478" s="205"/>
      <c r="AB478" s="205"/>
      <c r="AC478" s="205"/>
      <c r="AD478" s="205"/>
      <c r="AE478" s="205"/>
      <c r="AF478" s="205"/>
      <c r="AG478" s="205"/>
      <c r="AH478" s="205"/>
      <c r="AI478" s="205"/>
      <c r="AJ478" s="205"/>
      <c r="AK478" s="205"/>
      <c r="AL478" s="205"/>
      <c r="AM478" s="205"/>
      <c r="AN478" s="205"/>
      <c r="AO478" s="205"/>
      <c r="AP478" s="205"/>
      <c r="AQ478" s="205"/>
      <c r="AR478" s="205"/>
      <c r="AS478" s="205"/>
      <c r="AT478" s="205"/>
      <c r="AU478" s="205"/>
      <c r="AV478" s="205"/>
      <c r="AW478" s="205"/>
      <c r="AX478" s="205"/>
      <c r="AY478" s="205"/>
      <c r="AZ478" s="205"/>
      <c r="BA478" s="205"/>
      <c r="BB478" s="205"/>
      <c r="BC478" s="205"/>
      <c r="BD478" s="205"/>
      <c r="BE478" s="205"/>
      <c r="BF478" s="205"/>
      <c r="BG478" s="205"/>
      <c r="BH478" s="205"/>
      <c r="BI478" s="205"/>
      <c r="BJ478" s="205"/>
      <c r="BK478" s="205"/>
      <c r="BL478" s="205"/>
      <c r="BM478" s="205"/>
      <c r="BN478" s="205"/>
      <c r="BO478" s="205"/>
      <c r="BP478" s="205"/>
      <c r="BQ478" s="205"/>
      <c r="BR478" s="205"/>
      <c r="BS478" s="205"/>
      <c r="BT478" s="205"/>
      <c r="BU478" s="205"/>
      <c r="BV478" s="205"/>
      <c r="BW478" s="205"/>
      <c r="BX478" s="205"/>
      <c r="BY478" s="205"/>
      <c r="BZ478" s="205"/>
      <c r="CA478" s="205"/>
      <c r="CB478" s="205"/>
      <c r="CC478" s="205"/>
      <c r="CD478" s="205"/>
      <c r="CE478" s="205"/>
      <c r="CF478" s="205"/>
      <c r="CG478" s="205"/>
      <c r="CH478" s="205"/>
      <c r="CI478" s="205"/>
      <c r="CJ478" s="205"/>
      <c r="CK478" s="205"/>
      <c r="CL478" s="205"/>
      <c r="CM478" s="205"/>
      <c r="CN478" s="205"/>
      <c r="CO478" s="205"/>
      <c r="CP478" s="205"/>
      <c r="CQ478" s="205"/>
      <c r="CR478" s="205"/>
      <c r="CS478" s="205"/>
      <c r="CT478" s="205"/>
      <c r="CU478" s="205"/>
      <c r="CV478" s="205"/>
      <c r="CW478" s="205"/>
      <c r="CX478" s="205"/>
      <c r="CY478" s="205"/>
      <c r="CZ478" s="205"/>
      <c r="DA478" s="205"/>
      <c r="DB478" s="205"/>
      <c r="DC478" s="205"/>
      <c r="DD478" s="205"/>
      <c r="DE478" s="205"/>
      <c r="DF478" s="205"/>
      <c r="DG478" s="205"/>
      <c r="DH478" s="205"/>
      <c r="DI478" s="205"/>
      <c r="DJ478" s="205"/>
      <c r="DK478" s="205"/>
      <c r="DL478" s="205"/>
      <c r="DM478" s="205"/>
      <c r="DN478" s="205"/>
      <c r="DO478" s="205"/>
      <c r="DP478" s="205"/>
      <c r="DQ478" s="205"/>
      <c r="DR478" s="205"/>
      <c r="DS478" s="205"/>
      <c r="DT478" s="205"/>
      <c r="DU478" s="205"/>
      <c r="DV478" s="205"/>
      <c r="DW478" s="205"/>
      <c r="DX478" s="205"/>
      <c r="DY478" s="205"/>
      <c r="DZ478" s="205"/>
      <c r="EA478" s="205"/>
      <c r="EB478" s="205"/>
      <c r="EC478" s="205"/>
      <c r="ED478" s="205"/>
      <c r="EE478" s="205"/>
      <c r="EF478" s="205"/>
      <c r="EG478" s="205"/>
      <c r="EH478" s="205"/>
      <c r="EI478" s="205"/>
      <c r="EJ478" s="205"/>
      <c r="EK478" s="205"/>
      <c r="EL478" s="205"/>
      <c r="EM478" s="205"/>
      <c r="EN478" s="205"/>
      <c r="EO478" s="205"/>
      <c r="EP478" s="205"/>
      <c r="EQ478" s="205"/>
      <c r="ER478" s="205"/>
      <c r="ES478" s="205"/>
      <c r="ET478" s="205"/>
      <c r="EU478" s="205"/>
      <c r="EV478" s="205"/>
      <c r="EW478" s="205"/>
      <c r="EX478" s="205"/>
      <c r="EY478" s="205"/>
      <c r="EZ478" s="205"/>
      <c r="FA478" s="205"/>
      <c r="FB478" s="205"/>
      <c r="FC478" s="205"/>
      <c r="FD478" s="205"/>
      <c r="FE478" s="205"/>
      <c r="FF478" s="205"/>
      <c r="FG478" s="205"/>
      <c r="FH478" s="205"/>
      <c r="FI478" s="205"/>
      <c r="FJ478" s="205"/>
      <c r="FK478" s="205"/>
      <c r="FL478" s="205"/>
      <c r="FM478" s="205"/>
      <c r="FN478" s="205"/>
      <c r="FO478" s="205"/>
      <c r="FP478" s="205"/>
      <c r="FQ478" s="205"/>
      <c r="FR478" s="205"/>
      <c r="FS478" s="205"/>
      <c r="FT478" s="205"/>
      <c r="FU478" s="205"/>
      <c r="FV478" s="205"/>
      <c r="FW478" s="205"/>
      <c r="FX478" s="205"/>
      <c r="FY478" s="205"/>
      <c r="FZ478" s="205"/>
      <c r="GA478" s="205"/>
      <c r="GB478" s="205"/>
      <c r="GC478" s="205"/>
      <c r="GD478" s="205"/>
      <c r="GE478" s="205"/>
      <c r="GF478" s="205"/>
      <c r="GG478" s="205"/>
      <c r="GH478" s="205"/>
      <c r="GI478" s="205"/>
      <c r="GJ478" s="205"/>
      <c r="GK478" s="205"/>
      <c r="GL478" s="205"/>
      <c r="GM478" s="205"/>
      <c r="GN478" s="205"/>
      <c r="GO478" s="205"/>
      <c r="GP478" s="205"/>
      <c r="GQ478" s="205"/>
      <c r="GR478" s="205"/>
      <c r="GS478" s="205"/>
      <c r="GT478" s="205"/>
      <c r="GU478" s="205"/>
      <c r="GV478" s="205"/>
      <c r="GW478" s="205"/>
      <c r="GX478" s="205"/>
      <c r="GY478" s="205"/>
      <c r="GZ478" s="205"/>
      <c r="HA478" s="205"/>
      <c r="HB478" s="205"/>
      <c r="HC478" s="205"/>
      <c r="HD478" s="205"/>
      <c r="HE478" s="205"/>
      <c r="HF478" s="205"/>
      <c r="HG478" s="205"/>
      <c r="HH478" s="205"/>
      <c r="HI478" s="205"/>
      <c r="HJ478" s="205"/>
      <c r="HK478" s="205"/>
      <c r="HL478" s="205"/>
      <c r="HM478" s="205"/>
      <c r="HN478" s="205"/>
      <c r="HO478" s="205"/>
      <c r="HP478" s="205"/>
      <c r="HQ478" s="205"/>
      <c r="HR478" s="205"/>
      <c r="HS478" s="205"/>
      <c r="HT478" s="205"/>
      <c r="HU478" s="205"/>
      <c r="HV478" s="205"/>
      <c r="HW478" s="205"/>
      <c r="HX478" s="205"/>
      <c r="HY478" s="205"/>
      <c r="HZ478" s="205"/>
      <c r="IA478" s="205"/>
      <c r="IB478" s="205"/>
      <c r="IC478" s="205"/>
      <c r="ID478" s="205"/>
      <c r="IE478" s="205"/>
      <c r="IF478" s="205"/>
      <c r="IG478" s="205"/>
      <c r="IH478" s="205"/>
      <c r="II478" s="205"/>
      <c r="IJ478" s="205"/>
      <c r="IK478" s="205"/>
      <c r="IL478" s="205"/>
      <c r="IM478" s="205"/>
      <c r="IN478" s="205"/>
      <c r="IO478" s="205"/>
      <c r="IP478" s="205"/>
      <c r="IQ478" s="205"/>
      <c r="IR478" s="205"/>
      <c r="IS478" s="205"/>
      <c r="IT478" s="205"/>
      <c r="IU478" s="205"/>
      <c r="IV478" s="205"/>
      <c r="IW478" s="205"/>
      <c r="IX478" s="205"/>
    </row>
    <row r="479" spans="1:258" s="203" customFormat="1" x14ac:dyDescent="0.2">
      <c r="A479" s="669"/>
      <c r="B479" s="670"/>
      <c r="C479" s="686"/>
      <c r="D479" s="672"/>
      <c r="E479" s="673"/>
      <c r="F479" s="673"/>
      <c r="G479" s="674"/>
      <c r="H479" s="675"/>
      <c r="I479" s="676"/>
      <c r="J479" s="676"/>
      <c r="K479" s="676"/>
      <c r="L479" s="676"/>
      <c r="M479" s="676"/>
      <c r="N479" s="676"/>
      <c r="O479" s="676"/>
      <c r="P479" s="676"/>
      <c r="Q479" s="676"/>
      <c r="R479" s="677"/>
      <c r="S479" s="678"/>
      <c r="T479" s="684"/>
      <c r="U479" s="205"/>
      <c r="V479" s="685"/>
      <c r="W479" s="205"/>
      <c r="X479" s="205"/>
      <c r="Y479" s="205"/>
      <c r="Z479" s="205"/>
      <c r="AA479" s="205"/>
      <c r="AB479" s="205"/>
      <c r="AC479" s="205"/>
      <c r="AD479" s="205"/>
      <c r="AE479" s="205"/>
      <c r="AF479" s="205"/>
      <c r="AG479" s="205"/>
      <c r="AH479" s="205"/>
      <c r="AI479" s="205"/>
      <c r="AJ479" s="205"/>
      <c r="AK479" s="205"/>
      <c r="AL479" s="205"/>
      <c r="AM479" s="205"/>
      <c r="AN479" s="205"/>
      <c r="AO479" s="205"/>
      <c r="AP479" s="205"/>
      <c r="AQ479" s="205"/>
      <c r="AR479" s="205"/>
      <c r="AS479" s="205"/>
      <c r="AT479" s="205"/>
      <c r="AU479" s="205"/>
      <c r="AV479" s="205"/>
      <c r="AW479" s="205"/>
      <c r="AX479" s="205"/>
      <c r="AY479" s="205"/>
      <c r="AZ479" s="205"/>
      <c r="BA479" s="205"/>
      <c r="BB479" s="205"/>
      <c r="BC479" s="205"/>
      <c r="BD479" s="205"/>
      <c r="BE479" s="205"/>
      <c r="BF479" s="205"/>
      <c r="BG479" s="205"/>
      <c r="BH479" s="205"/>
      <c r="BI479" s="205"/>
      <c r="BJ479" s="205"/>
      <c r="BK479" s="205"/>
      <c r="BL479" s="205"/>
      <c r="BM479" s="205"/>
      <c r="BN479" s="205"/>
      <c r="BO479" s="205"/>
      <c r="BP479" s="205"/>
      <c r="BQ479" s="205"/>
      <c r="BR479" s="205"/>
      <c r="BS479" s="205"/>
      <c r="BT479" s="205"/>
      <c r="BU479" s="205"/>
      <c r="BV479" s="205"/>
      <c r="BW479" s="205"/>
      <c r="BX479" s="205"/>
      <c r="BY479" s="205"/>
      <c r="BZ479" s="205"/>
      <c r="CA479" s="205"/>
      <c r="CB479" s="205"/>
      <c r="CC479" s="205"/>
      <c r="CD479" s="205"/>
      <c r="CE479" s="205"/>
      <c r="CF479" s="205"/>
      <c r="CG479" s="205"/>
      <c r="CH479" s="205"/>
      <c r="CI479" s="205"/>
      <c r="CJ479" s="205"/>
      <c r="CK479" s="205"/>
      <c r="CL479" s="205"/>
      <c r="CM479" s="205"/>
      <c r="CN479" s="205"/>
      <c r="CO479" s="205"/>
      <c r="CP479" s="205"/>
      <c r="CQ479" s="205"/>
      <c r="CR479" s="205"/>
      <c r="CS479" s="205"/>
      <c r="CT479" s="205"/>
      <c r="CU479" s="205"/>
      <c r="CV479" s="205"/>
      <c r="CW479" s="205"/>
      <c r="CX479" s="205"/>
      <c r="CY479" s="205"/>
      <c r="CZ479" s="205"/>
      <c r="DA479" s="205"/>
      <c r="DB479" s="205"/>
      <c r="DC479" s="205"/>
      <c r="DD479" s="205"/>
      <c r="DE479" s="205"/>
      <c r="DF479" s="205"/>
      <c r="DG479" s="205"/>
      <c r="DH479" s="205"/>
      <c r="DI479" s="205"/>
      <c r="DJ479" s="205"/>
      <c r="DK479" s="205"/>
      <c r="DL479" s="205"/>
      <c r="DM479" s="205"/>
      <c r="DN479" s="205"/>
      <c r="DO479" s="205"/>
      <c r="DP479" s="205"/>
      <c r="DQ479" s="205"/>
      <c r="DR479" s="205"/>
      <c r="DS479" s="205"/>
      <c r="DT479" s="205"/>
      <c r="DU479" s="205"/>
      <c r="DV479" s="205"/>
      <c r="DW479" s="205"/>
      <c r="DX479" s="205"/>
      <c r="DY479" s="205"/>
      <c r="DZ479" s="205"/>
      <c r="EA479" s="205"/>
      <c r="EB479" s="205"/>
      <c r="EC479" s="205"/>
      <c r="ED479" s="205"/>
      <c r="EE479" s="205"/>
      <c r="EF479" s="205"/>
      <c r="EG479" s="205"/>
      <c r="EH479" s="205"/>
      <c r="EI479" s="205"/>
      <c r="EJ479" s="205"/>
      <c r="EK479" s="205"/>
      <c r="EL479" s="205"/>
      <c r="EM479" s="205"/>
      <c r="EN479" s="205"/>
      <c r="EO479" s="205"/>
      <c r="EP479" s="205"/>
      <c r="EQ479" s="205"/>
      <c r="ER479" s="205"/>
      <c r="ES479" s="205"/>
      <c r="ET479" s="205"/>
      <c r="EU479" s="205"/>
      <c r="EV479" s="205"/>
      <c r="EW479" s="205"/>
      <c r="EX479" s="205"/>
      <c r="EY479" s="205"/>
      <c r="EZ479" s="205"/>
      <c r="FA479" s="205"/>
      <c r="FB479" s="205"/>
      <c r="FC479" s="205"/>
      <c r="FD479" s="205"/>
      <c r="FE479" s="205"/>
      <c r="FF479" s="205"/>
      <c r="FG479" s="205"/>
      <c r="FH479" s="205"/>
      <c r="FI479" s="205"/>
      <c r="FJ479" s="205"/>
      <c r="FK479" s="205"/>
      <c r="FL479" s="205"/>
      <c r="FM479" s="205"/>
      <c r="FN479" s="205"/>
      <c r="FO479" s="205"/>
      <c r="FP479" s="205"/>
      <c r="FQ479" s="205"/>
      <c r="FR479" s="205"/>
      <c r="FS479" s="205"/>
      <c r="FT479" s="205"/>
      <c r="FU479" s="205"/>
      <c r="FV479" s="205"/>
      <c r="FW479" s="205"/>
      <c r="FX479" s="205"/>
      <c r="FY479" s="205"/>
      <c r="FZ479" s="205"/>
      <c r="GA479" s="205"/>
      <c r="GB479" s="205"/>
      <c r="GC479" s="205"/>
      <c r="GD479" s="205"/>
      <c r="GE479" s="205"/>
      <c r="GF479" s="205"/>
      <c r="GG479" s="205"/>
      <c r="GH479" s="205"/>
      <c r="GI479" s="205"/>
      <c r="GJ479" s="205"/>
      <c r="GK479" s="205"/>
      <c r="GL479" s="205"/>
      <c r="GM479" s="205"/>
      <c r="GN479" s="205"/>
      <c r="GO479" s="205"/>
      <c r="GP479" s="205"/>
      <c r="GQ479" s="205"/>
      <c r="GR479" s="205"/>
      <c r="GS479" s="205"/>
      <c r="GT479" s="205"/>
      <c r="GU479" s="205"/>
      <c r="GV479" s="205"/>
      <c r="GW479" s="205"/>
      <c r="GX479" s="205"/>
      <c r="GY479" s="205"/>
      <c r="GZ479" s="205"/>
      <c r="HA479" s="205"/>
      <c r="HB479" s="205"/>
      <c r="HC479" s="205"/>
      <c r="HD479" s="205"/>
      <c r="HE479" s="205"/>
      <c r="HF479" s="205"/>
      <c r="HG479" s="205"/>
      <c r="HH479" s="205"/>
      <c r="HI479" s="205"/>
      <c r="HJ479" s="205"/>
      <c r="HK479" s="205"/>
      <c r="HL479" s="205"/>
      <c r="HM479" s="205"/>
      <c r="HN479" s="205"/>
      <c r="HO479" s="205"/>
      <c r="HP479" s="205"/>
      <c r="HQ479" s="205"/>
      <c r="HR479" s="205"/>
      <c r="HS479" s="205"/>
      <c r="HT479" s="205"/>
      <c r="HU479" s="205"/>
      <c r="HV479" s="205"/>
      <c r="HW479" s="205"/>
      <c r="HX479" s="205"/>
      <c r="HY479" s="205"/>
      <c r="HZ479" s="205"/>
      <c r="IA479" s="205"/>
      <c r="IB479" s="205"/>
      <c r="IC479" s="205"/>
      <c r="ID479" s="205"/>
      <c r="IE479" s="205"/>
      <c r="IF479" s="205"/>
      <c r="IG479" s="205"/>
      <c r="IH479" s="205"/>
      <c r="II479" s="205"/>
      <c r="IJ479" s="205"/>
      <c r="IK479" s="205"/>
      <c r="IL479" s="205"/>
      <c r="IM479" s="205"/>
      <c r="IN479" s="205"/>
      <c r="IO479" s="205"/>
      <c r="IP479" s="205"/>
      <c r="IQ479" s="205"/>
      <c r="IR479" s="205"/>
      <c r="IS479" s="205"/>
      <c r="IT479" s="205"/>
      <c r="IU479" s="205"/>
      <c r="IV479" s="205"/>
      <c r="IW479" s="205"/>
      <c r="IX479" s="205"/>
    </row>
    <row r="480" spans="1:258" s="203" customFormat="1" x14ac:dyDescent="0.2">
      <c r="A480" s="669"/>
      <c r="B480" s="670"/>
      <c r="C480" s="686"/>
      <c r="D480" s="672"/>
      <c r="E480" s="673"/>
      <c r="F480" s="673"/>
      <c r="G480" s="674"/>
      <c r="H480" s="675"/>
      <c r="I480" s="676"/>
      <c r="J480" s="676"/>
      <c r="K480" s="676"/>
      <c r="L480" s="676"/>
      <c r="M480" s="676"/>
      <c r="N480" s="676"/>
      <c r="O480" s="676"/>
      <c r="P480" s="676"/>
      <c r="Q480" s="676"/>
      <c r="R480" s="677"/>
      <c r="S480" s="678"/>
      <c r="T480" s="684"/>
      <c r="U480" s="205"/>
      <c r="V480" s="685"/>
      <c r="W480" s="205"/>
      <c r="X480" s="205"/>
      <c r="Y480" s="205"/>
      <c r="Z480" s="205"/>
      <c r="AA480" s="205"/>
      <c r="AB480" s="205"/>
      <c r="AC480" s="205"/>
      <c r="AD480" s="205"/>
      <c r="AE480" s="205"/>
      <c r="AF480" s="205"/>
      <c r="AG480" s="205"/>
      <c r="AH480" s="205"/>
      <c r="AI480" s="205"/>
      <c r="AJ480" s="205"/>
      <c r="AK480" s="205"/>
      <c r="AL480" s="205"/>
      <c r="AM480" s="205"/>
      <c r="AN480" s="205"/>
      <c r="AO480" s="205"/>
      <c r="AP480" s="205"/>
      <c r="AQ480" s="205"/>
      <c r="AR480" s="205"/>
      <c r="AS480" s="205"/>
      <c r="AT480" s="205"/>
      <c r="AU480" s="205"/>
      <c r="AV480" s="205"/>
      <c r="AW480" s="205"/>
      <c r="AX480" s="205"/>
      <c r="AY480" s="205"/>
      <c r="AZ480" s="205"/>
      <c r="BA480" s="205"/>
      <c r="BB480" s="205"/>
      <c r="BC480" s="205"/>
      <c r="BD480" s="205"/>
      <c r="BE480" s="205"/>
      <c r="BF480" s="205"/>
      <c r="BG480" s="205"/>
      <c r="BH480" s="205"/>
      <c r="BI480" s="205"/>
      <c r="BJ480" s="205"/>
      <c r="BK480" s="205"/>
      <c r="BL480" s="205"/>
      <c r="BM480" s="205"/>
      <c r="BN480" s="205"/>
      <c r="BO480" s="205"/>
      <c r="BP480" s="205"/>
      <c r="BQ480" s="205"/>
      <c r="BR480" s="205"/>
      <c r="BS480" s="205"/>
      <c r="BT480" s="205"/>
      <c r="BU480" s="205"/>
      <c r="BV480" s="205"/>
      <c r="BW480" s="205"/>
      <c r="BX480" s="205"/>
      <c r="BY480" s="205"/>
      <c r="BZ480" s="205"/>
      <c r="CA480" s="205"/>
      <c r="CB480" s="205"/>
      <c r="CC480" s="205"/>
      <c r="CD480" s="205"/>
      <c r="CE480" s="205"/>
      <c r="CF480" s="205"/>
      <c r="CG480" s="205"/>
      <c r="CH480" s="205"/>
      <c r="CI480" s="205"/>
      <c r="CJ480" s="205"/>
      <c r="CK480" s="205"/>
      <c r="CL480" s="205"/>
      <c r="CM480" s="205"/>
      <c r="CN480" s="205"/>
      <c r="CO480" s="205"/>
      <c r="CP480" s="205"/>
      <c r="CQ480" s="205"/>
      <c r="CR480" s="205"/>
      <c r="CS480" s="205"/>
      <c r="CT480" s="205"/>
      <c r="CU480" s="205"/>
      <c r="CV480" s="205"/>
      <c r="CW480" s="205"/>
      <c r="CX480" s="205"/>
      <c r="CY480" s="205"/>
      <c r="CZ480" s="205"/>
      <c r="DA480" s="205"/>
      <c r="DB480" s="205"/>
      <c r="DC480" s="205"/>
      <c r="DD480" s="205"/>
      <c r="DE480" s="205"/>
      <c r="DF480" s="205"/>
      <c r="DG480" s="205"/>
      <c r="DH480" s="205"/>
      <c r="DI480" s="205"/>
      <c r="DJ480" s="205"/>
      <c r="DK480" s="205"/>
      <c r="DL480" s="205"/>
      <c r="DM480" s="205"/>
      <c r="DN480" s="205"/>
      <c r="DO480" s="205"/>
      <c r="DP480" s="205"/>
      <c r="DQ480" s="205"/>
      <c r="DR480" s="205"/>
      <c r="DS480" s="205"/>
      <c r="DT480" s="205"/>
      <c r="DU480" s="205"/>
      <c r="DV480" s="205"/>
      <c r="DW480" s="205"/>
      <c r="DX480" s="205"/>
      <c r="DY480" s="205"/>
      <c r="DZ480" s="205"/>
      <c r="EA480" s="205"/>
      <c r="EB480" s="205"/>
      <c r="EC480" s="205"/>
      <c r="ED480" s="205"/>
      <c r="EE480" s="205"/>
      <c r="EF480" s="205"/>
      <c r="EG480" s="205"/>
      <c r="EH480" s="205"/>
      <c r="EI480" s="205"/>
      <c r="EJ480" s="205"/>
      <c r="EK480" s="205"/>
      <c r="EL480" s="205"/>
      <c r="EM480" s="205"/>
      <c r="EN480" s="205"/>
      <c r="EO480" s="205"/>
      <c r="EP480" s="205"/>
      <c r="EQ480" s="205"/>
      <c r="ER480" s="205"/>
      <c r="ES480" s="205"/>
      <c r="ET480" s="205"/>
      <c r="EU480" s="205"/>
      <c r="EV480" s="205"/>
      <c r="EW480" s="205"/>
      <c r="EX480" s="205"/>
      <c r="EY480" s="205"/>
      <c r="EZ480" s="205"/>
      <c r="FA480" s="205"/>
      <c r="FB480" s="205"/>
      <c r="FC480" s="205"/>
      <c r="FD480" s="205"/>
      <c r="FE480" s="205"/>
      <c r="FF480" s="205"/>
      <c r="FG480" s="205"/>
      <c r="FH480" s="205"/>
      <c r="FI480" s="205"/>
      <c r="FJ480" s="205"/>
      <c r="FK480" s="205"/>
      <c r="FL480" s="205"/>
      <c r="FM480" s="205"/>
      <c r="FN480" s="205"/>
      <c r="FO480" s="205"/>
      <c r="FP480" s="205"/>
      <c r="FQ480" s="205"/>
      <c r="FR480" s="205"/>
      <c r="FS480" s="205"/>
      <c r="FT480" s="205"/>
      <c r="FU480" s="205"/>
      <c r="FV480" s="205"/>
      <c r="FW480" s="205"/>
      <c r="FX480" s="205"/>
      <c r="FY480" s="205"/>
      <c r="FZ480" s="205"/>
      <c r="GA480" s="205"/>
      <c r="GB480" s="205"/>
      <c r="GC480" s="205"/>
      <c r="GD480" s="205"/>
      <c r="GE480" s="205"/>
      <c r="GF480" s="205"/>
      <c r="GG480" s="205"/>
      <c r="GH480" s="205"/>
      <c r="GI480" s="205"/>
      <c r="GJ480" s="205"/>
      <c r="GK480" s="205"/>
      <c r="GL480" s="205"/>
      <c r="GM480" s="205"/>
      <c r="GN480" s="205"/>
      <c r="GO480" s="205"/>
      <c r="GP480" s="205"/>
      <c r="GQ480" s="205"/>
      <c r="GR480" s="205"/>
      <c r="GS480" s="205"/>
      <c r="GT480" s="205"/>
      <c r="GU480" s="205"/>
      <c r="GV480" s="205"/>
      <c r="GW480" s="205"/>
      <c r="GX480" s="205"/>
      <c r="GY480" s="205"/>
      <c r="GZ480" s="205"/>
      <c r="HA480" s="205"/>
      <c r="HB480" s="205"/>
      <c r="HC480" s="205"/>
      <c r="HD480" s="205"/>
      <c r="HE480" s="205"/>
      <c r="HF480" s="205"/>
      <c r="HG480" s="205"/>
      <c r="HH480" s="205"/>
      <c r="HI480" s="205"/>
      <c r="HJ480" s="205"/>
      <c r="HK480" s="205"/>
      <c r="HL480" s="205"/>
      <c r="HM480" s="205"/>
      <c r="HN480" s="205"/>
      <c r="HO480" s="205"/>
      <c r="HP480" s="205"/>
      <c r="HQ480" s="205"/>
      <c r="HR480" s="205"/>
      <c r="HS480" s="205"/>
      <c r="HT480" s="205"/>
      <c r="HU480" s="205"/>
      <c r="HV480" s="205"/>
      <c r="HW480" s="205"/>
      <c r="HX480" s="205"/>
      <c r="HY480" s="205"/>
      <c r="HZ480" s="205"/>
      <c r="IA480" s="205"/>
      <c r="IB480" s="205"/>
      <c r="IC480" s="205"/>
      <c r="ID480" s="205"/>
      <c r="IE480" s="205"/>
      <c r="IF480" s="205"/>
      <c r="IG480" s="205"/>
      <c r="IH480" s="205"/>
      <c r="II480" s="205"/>
      <c r="IJ480" s="205"/>
      <c r="IK480" s="205"/>
      <c r="IL480" s="205"/>
      <c r="IM480" s="205"/>
      <c r="IN480" s="205"/>
      <c r="IO480" s="205"/>
      <c r="IP480" s="205"/>
      <c r="IQ480" s="205"/>
      <c r="IR480" s="205"/>
      <c r="IS480" s="205"/>
      <c r="IT480" s="205"/>
      <c r="IU480" s="205"/>
      <c r="IV480" s="205"/>
      <c r="IW480" s="205"/>
      <c r="IX480" s="205"/>
    </row>
    <row r="481" spans="1:258" s="203" customFormat="1" x14ac:dyDescent="0.2">
      <c r="A481" s="669"/>
      <c r="B481" s="681" t="str">
        <f>RAB!B162</f>
        <v>X</v>
      </c>
      <c r="C481" s="682" t="str">
        <f>RAB!D162</f>
        <v>PEKERJAAN CAT</v>
      </c>
      <c r="D481" s="672"/>
      <c r="E481" s="673"/>
      <c r="F481" s="673"/>
      <c r="G481" s="674"/>
      <c r="H481" s="675"/>
      <c r="I481" s="676"/>
      <c r="J481" s="676"/>
      <c r="K481" s="676"/>
      <c r="L481" s="676"/>
      <c r="M481" s="676"/>
      <c r="N481" s="676"/>
      <c r="O481" s="676"/>
      <c r="P481" s="676"/>
      <c r="Q481" s="676"/>
      <c r="R481" s="677"/>
      <c r="S481" s="678"/>
      <c r="T481" s="684"/>
      <c r="U481" s="205"/>
      <c r="V481" s="685"/>
      <c r="W481" s="205"/>
      <c r="X481" s="205"/>
      <c r="Y481" s="205"/>
      <c r="Z481" s="205"/>
      <c r="AA481" s="205"/>
      <c r="AB481" s="205"/>
      <c r="AC481" s="205"/>
      <c r="AD481" s="205"/>
      <c r="AE481" s="205"/>
      <c r="AF481" s="205"/>
      <c r="AG481" s="205"/>
      <c r="AH481" s="205"/>
      <c r="AI481" s="205"/>
      <c r="AJ481" s="205"/>
      <c r="AK481" s="205"/>
      <c r="AL481" s="205"/>
      <c r="AM481" s="205"/>
      <c r="AN481" s="205"/>
      <c r="AO481" s="205"/>
      <c r="AP481" s="205"/>
      <c r="AQ481" s="205"/>
      <c r="AR481" s="205"/>
      <c r="AS481" s="205"/>
      <c r="AT481" s="205"/>
      <c r="AU481" s="205"/>
      <c r="AV481" s="205"/>
      <c r="AW481" s="205"/>
      <c r="AX481" s="205"/>
      <c r="AY481" s="205"/>
      <c r="AZ481" s="205"/>
      <c r="BA481" s="205"/>
      <c r="BB481" s="205"/>
      <c r="BC481" s="205"/>
      <c r="BD481" s="205"/>
      <c r="BE481" s="205"/>
      <c r="BF481" s="205"/>
      <c r="BG481" s="205"/>
      <c r="BH481" s="205"/>
      <c r="BI481" s="205"/>
      <c r="BJ481" s="205"/>
      <c r="BK481" s="205"/>
      <c r="BL481" s="205"/>
      <c r="BM481" s="205"/>
      <c r="BN481" s="205"/>
      <c r="BO481" s="205"/>
      <c r="BP481" s="205"/>
      <c r="BQ481" s="205"/>
      <c r="BR481" s="205"/>
      <c r="BS481" s="205"/>
      <c r="BT481" s="205"/>
      <c r="BU481" s="205"/>
      <c r="BV481" s="205"/>
      <c r="BW481" s="205"/>
      <c r="BX481" s="205"/>
      <c r="BY481" s="205"/>
      <c r="BZ481" s="205"/>
      <c r="CA481" s="205"/>
      <c r="CB481" s="205"/>
      <c r="CC481" s="205"/>
      <c r="CD481" s="205"/>
      <c r="CE481" s="205"/>
      <c r="CF481" s="205"/>
      <c r="CG481" s="205"/>
      <c r="CH481" s="205"/>
      <c r="CI481" s="205"/>
      <c r="CJ481" s="205"/>
      <c r="CK481" s="205"/>
      <c r="CL481" s="205"/>
      <c r="CM481" s="205"/>
      <c r="CN481" s="205"/>
      <c r="CO481" s="205"/>
      <c r="CP481" s="205"/>
      <c r="CQ481" s="205"/>
      <c r="CR481" s="205"/>
      <c r="CS481" s="205"/>
      <c r="CT481" s="205"/>
      <c r="CU481" s="205"/>
      <c r="CV481" s="205"/>
      <c r="CW481" s="205"/>
      <c r="CX481" s="205"/>
      <c r="CY481" s="205"/>
      <c r="CZ481" s="205"/>
      <c r="DA481" s="205"/>
      <c r="DB481" s="205"/>
      <c r="DC481" s="205"/>
      <c r="DD481" s="205"/>
      <c r="DE481" s="205"/>
      <c r="DF481" s="205"/>
      <c r="DG481" s="205"/>
      <c r="DH481" s="205"/>
      <c r="DI481" s="205"/>
      <c r="DJ481" s="205"/>
      <c r="DK481" s="205"/>
      <c r="DL481" s="205"/>
      <c r="DM481" s="205"/>
      <c r="DN481" s="205"/>
      <c r="DO481" s="205"/>
      <c r="DP481" s="205"/>
      <c r="DQ481" s="205"/>
      <c r="DR481" s="205"/>
      <c r="DS481" s="205"/>
      <c r="DT481" s="205"/>
      <c r="DU481" s="205"/>
      <c r="DV481" s="205"/>
      <c r="DW481" s="205"/>
      <c r="DX481" s="205"/>
      <c r="DY481" s="205"/>
      <c r="DZ481" s="205"/>
      <c r="EA481" s="205"/>
      <c r="EB481" s="205"/>
      <c r="EC481" s="205"/>
      <c r="ED481" s="205"/>
      <c r="EE481" s="205"/>
      <c r="EF481" s="205"/>
      <c r="EG481" s="205"/>
      <c r="EH481" s="205"/>
      <c r="EI481" s="205"/>
      <c r="EJ481" s="205"/>
      <c r="EK481" s="205"/>
      <c r="EL481" s="205"/>
      <c r="EM481" s="205"/>
      <c r="EN481" s="205"/>
      <c r="EO481" s="205"/>
      <c r="EP481" s="205"/>
      <c r="EQ481" s="205"/>
      <c r="ER481" s="205"/>
      <c r="ES481" s="205"/>
      <c r="ET481" s="205"/>
      <c r="EU481" s="205"/>
      <c r="EV481" s="205"/>
      <c r="EW481" s="205"/>
      <c r="EX481" s="205"/>
      <c r="EY481" s="205"/>
      <c r="EZ481" s="205"/>
      <c r="FA481" s="205"/>
      <c r="FB481" s="205"/>
      <c r="FC481" s="205"/>
      <c r="FD481" s="205"/>
      <c r="FE481" s="205"/>
      <c r="FF481" s="205"/>
      <c r="FG481" s="205"/>
      <c r="FH481" s="205"/>
      <c r="FI481" s="205"/>
      <c r="FJ481" s="205"/>
      <c r="FK481" s="205"/>
      <c r="FL481" s="205"/>
      <c r="FM481" s="205"/>
      <c r="FN481" s="205"/>
      <c r="FO481" s="205"/>
      <c r="FP481" s="205"/>
      <c r="FQ481" s="205"/>
      <c r="FR481" s="205"/>
      <c r="FS481" s="205"/>
      <c r="FT481" s="205"/>
      <c r="FU481" s="205"/>
      <c r="FV481" s="205"/>
      <c r="FW481" s="205"/>
      <c r="FX481" s="205"/>
      <c r="FY481" s="205"/>
      <c r="FZ481" s="205"/>
      <c r="GA481" s="205"/>
      <c r="GB481" s="205"/>
      <c r="GC481" s="205"/>
      <c r="GD481" s="205"/>
      <c r="GE481" s="205"/>
      <c r="GF481" s="205"/>
      <c r="GG481" s="205"/>
      <c r="GH481" s="205"/>
      <c r="GI481" s="205"/>
      <c r="GJ481" s="205"/>
      <c r="GK481" s="205"/>
      <c r="GL481" s="205"/>
      <c r="GM481" s="205"/>
      <c r="GN481" s="205"/>
      <c r="GO481" s="205"/>
      <c r="GP481" s="205"/>
      <c r="GQ481" s="205"/>
      <c r="GR481" s="205"/>
      <c r="GS481" s="205"/>
      <c r="GT481" s="205"/>
      <c r="GU481" s="205"/>
      <c r="GV481" s="205"/>
      <c r="GW481" s="205"/>
      <c r="GX481" s="205"/>
      <c r="GY481" s="205"/>
      <c r="GZ481" s="205"/>
      <c r="HA481" s="205"/>
      <c r="HB481" s="205"/>
      <c r="HC481" s="205"/>
      <c r="HD481" s="205"/>
      <c r="HE481" s="205"/>
      <c r="HF481" s="205"/>
      <c r="HG481" s="205"/>
      <c r="HH481" s="205"/>
      <c r="HI481" s="205"/>
      <c r="HJ481" s="205"/>
      <c r="HK481" s="205"/>
      <c r="HL481" s="205"/>
      <c r="HM481" s="205"/>
      <c r="HN481" s="205"/>
      <c r="HO481" s="205"/>
      <c r="HP481" s="205"/>
      <c r="HQ481" s="205"/>
      <c r="HR481" s="205"/>
      <c r="HS481" s="205"/>
      <c r="HT481" s="205"/>
      <c r="HU481" s="205"/>
      <c r="HV481" s="205"/>
      <c r="HW481" s="205"/>
      <c r="HX481" s="205"/>
      <c r="HY481" s="205"/>
      <c r="HZ481" s="205"/>
      <c r="IA481" s="205"/>
      <c r="IB481" s="205"/>
      <c r="IC481" s="205"/>
      <c r="ID481" s="205"/>
      <c r="IE481" s="205"/>
      <c r="IF481" s="205"/>
      <c r="IG481" s="205"/>
      <c r="IH481" s="205"/>
      <c r="II481" s="205"/>
      <c r="IJ481" s="205"/>
      <c r="IK481" s="205"/>
      <c r="IL481" s="205"/>
      <c r="IM481" s="205"/>
      <c r="IN481" s="205"/>
      <c r="IO481" s="205"/>
      <c r="IP481" s="205"/>
      <c r="IQ481" s="205"/>
      <c r="IR481" s="205"/>
      <c r="IS481" s="205"/>
      <c r="IT481" s="205"/>
      <c r="IU481" s="205"/>
      <c r="IV481" s="205"/>
      <c r="IW481" s="205"/>
      <c r="IX481" s="205"/>
    </row>
    <row r="482" spans="1:258" s="203" customFormat="1" x14ac:dyDescent="0.2">
      <c r="A482" s="669"/>
      <c r="B482" s="670">
        <f>RAB!B163</f>
        <v>1</v>
      </c>
      <c r="C482" s="686" t="str">
        <f>RAB!D163</f>
        <v>Pengecatan dinding dalam (cat interior)</v>
      </c>
      <c r="D482" s="672"/>
      <c r="E482" s="673"/>
      <c r="F482" s="673"/>
      <c r="G482" s="674"/>
      <c r="H482" s="675"/>
      <c r="I482" s="676"/>
      <c r="J482" s="676"/>
      <c r="K482" s="676"/>
      <c r="L482" s="676"/>
      <c r="M482" s="676"/>
      <c r="N482" s="676"/>
      <c r="O482" s="676"/>
      <c r="P482" s="676"/>
      <c r="Q482" s="676"/>
      <c r="R482" s="677"/>
      <c r="S482" s="678"/>
      <c r="T482" s="684"/>
      <c r="U482" s="205"/>
      <c r="V482" s="685"/>
      <c r="W482" s="205"/>
      <c r="X482" s="205"/>
      <c r="Y482" s="205"/>
      <c r="Z482" s="205"/>
      <c r="AA482" s="205"/>
      <c r="AB482" s="205"/>
      <c r="AC482" s="205"/>
      <c r="AD482" s="205"/>
      <c r="AE482" s="205"/>
      <c r="AF482" s="205"/>
      <c r="AG482" s="205"/>
      <c r="AH482" s="205"/>
      <c r="AI482" s="205"/>
      <c r="AJ482" s="205"/>
      <c r="AK482" s="205"/>
      <c r="AL482" s="205"/>
      <c r="AM482" s="205"/>
      <c r="AN482" s="205"/>
      <c r="AO482" s="205"/>
      <c r="AP482" s="205"/>
      <c r="AQ482" s="205"/>
      <c r="AR482" s="205"/>
      <c r="AS482" s="205"/>
      <c r="AT482" s="205"/>
      <c r="AU482" s="205"/>
      <c r="AV482" s="205"/>
      <c r="AW482" s="205"/>
      <c r="AX482" s="205"/>
      <c r="AY482" s="205"/>
      <c r="AZ482" s="205"/>
      <c r="BA482" s="205"/>
      <c r="BB482" s="205"/>
      <c r="BC482" s="205"/>
      <c r="BD482" s="205"/>
      <c r="BE482" s="205"/>
      <c r="BF482" s="205"/>
      <c r="BG482" s="205"/>
      <c r="BH482" s="205"/>
      <c r="BI482" s="205"/>
      <c r="BJ482" s="205"/>
      <c r="BK482" s="205"/>
      <c r="BL482" s="205"/>
      <c r="BM482" s="205"/>
      <c r="BN482" s="205"/>
      <c r="BO482" s="205"/>
      <c r="BP482" s="205"/>
      <c r="BQ482" s="205"/>
      <c r="BR482" s="205"/>
      <c r="BS482" s="205"/>
      <c r="BT482" s="205"/>
      <c r="BU482" s="205"/>
      <c r="BV482" s="205"/>
      <c r="BW482" s="205"/>
      <c r="BX482" s="205"/>
      <c r="BY482" s="205"/>
      <c r="BZ482" s="205"/>
      <c r="CA482" s="205"/>
      <c r="CB482" s="205"/>
      <c r="CC482" s="205"/>
      <c r="CD482" s="205"/>
      <c r="CE482" s="205"/>
      <c r="CF482" s="205"/>
      <c r="CG482" s="205"/>
      <c r="CH482" s="205"/>
      <c r="CI482" s="205"/>
      <c r="CJ482" s="205"/>
      <c r="CK482" s="205"/>
      <c r="CL482" s="205"/>
      <c r="CM482" s="205"/>
      <c r="CN482" s="205"/>
      <c r="CO482" s="205"/>
      <c r="CP482" s="205"/>
      <c r="CQ482" s="205"/>
      <c r="CR482" s="205"/>
      <c r="CS482" s="205"/>
      <c r="CT482" s="205"/>
      <c r="CU482" s="205"/>
      <c r="CV482" s="205"/>
      <c r="CW482" s="205"/>
      <c r="CX482" s="205"/>
      <c r="CY482" s="205"/>
      <c r="CZ482" s="205"/>
      <c r="DA482" s="205"/>
      <c r="DB482" s="205"/>
      <c r="DC482" s="205"/>
      <c r="DD482" s="205"/>
      <c r="DE482" s="205"/>
      <c r="DF482" s="205"/>
      <c r="DG482" s="205"/>
      <c r="DH482" s="205"/>
      <c r="DI482" s="205"/>
      <c r="DJ482" s="205"/>
      <c r="DK482" s="205"/>
      <c r="DL482" s="205"/>
      <c r="DM482" s="205"/>
      <c r="DN482" s="205"/>
      <c r="DO482" s="205"/>
      <c r="DP482" s="205"/>
      <c r="DQ482" s="205"/>
      <c r="DR482" s="205"/>
      <c r="DS482" s="205"/>
      <c r="DT482" s="205"/>
      <c r="DU482" s="205"/>
      <c r="DV482" s="205"/>
      <c r="DW482" s="205"/>
      <c r="DX482" s="205"/>
      <c r="DY482" s="205"/>
      <c r="DZ482" s="205"/>
      <c r="EA482" s="205"/>
      <c r="EB482" s="205"/>
      <c r="EC482" s="205"/>
      <c r="ED482" s="205"/>
      <c r="EE482" s="205"/>
      <c r="EF482" s="205"/>
      <c r="EG482" s="205"/>
      <c r="EH482" s="205"/>
      <c r="EI482" s="205"/>
      <c r="EJ482" s="205"/>
      <c r="EK482" s="205"/>
      <c r="EL482" s="205"/>
      <c r="EM482" s="205"/>
      <c r="EN482" s="205"/>
      <c r="EO482" s="205"/>
      <c r="EP482" s="205"/>
      <c r="EQ482" s="205"/>
      <c r="ER482" s="205"/>
      <c r="ES482" s="205"/>
      <c r="ET482" s="205"/>
      <c r="EU482" s="205"/>
      <c r="EV482" s="205"/>
      <c r="EW482" s="205"/>
      <c r="EX482" s="205"/>
      <c r="EY482" s="205"/>
      <c r="EZ482" s="205"/>
      <c r="FA482" s="205"/>
      <c r="FB482" s="205"/>
      <c r="FC482" s="205"/>
      <c r="FD482" s="205"/>
      <c r="FE482" s="205"/>
      <c r="FF482" s="205"/>
      <c r="FG482" s="205"/>
      <c r="FH482" s="205"/>
      <c r="FI482" s="205"/>
      <c r="FJ482" s="205"/>
      <c r="FK482" s="205"/>
      <c r="FL482" s="205"/>
      <c r="FM482" s="205"/>
      <c r="FN482" s="205"/>
      <c r="FO482" s="205"/>
      <c r="FP482" s="205"/>
      <c r="FQ482" s="205"/>
      <c r="FR482" s="205"/>
      <c r="FS482" s="205"/>
      <c r="FT482" s="205"/>
      <c r="FU482" s="205"/>
      <c r="FV482" s="205"/>
      <c r="FW482" s="205"/>
      <c r="FX482" s="205"/>
      <c r="FY482" s="205"/>
      <c r="FZ482" s="205"/>
      <c r="GA482" s="205"/>
      <c r="GB482" s="205"/>
      <c r="GC482" s="205"/>
      <c r="GD482" s="205"/>
      <c r="GE482" s="205"/>
      <c r="GF482" s="205"/>
      <c r="GG482" s="205"/>
      <c r="GH482" s="205"/>
      <c r="GI482" s="205"/>
      <c r="GJ482" s="205"/>
      <c r="GK482" s="205"/>
      <c r="GL482" s="205"/>
      <c r="GM482" s="205"/>
      <c r="GN482" s="205"/>
      <c r="GO482" s="205"/>
      <c r="GP482" s="205"/>
      <c r="GQ482" s="205"/>
      <c r="GR482" s="205"/>
      <c r="GS482" s="205"/>
      <c r="GT482" s="205"/>
      <c r="GU482" s="205"/>
      <c r="GV482" s="205"/>
      <c r="GW482" s="205"/>
      <c r="GX482" s="205"/>
      <c r="GY482" s="205"/>
      <c r="GZ482" s="205"/>
      <c r="HA482" s="205"/>
      <c r="HB482" s="205"/>
      <c r="HC482" s="205"/>
      <c r="HD482" s="205"/>
      <c r="HE482" s="205"/>
      <c r="HF482" s="205"/>
      <c r="HG482" s="205"/>
      <c r="HH482" s="205"/>
      <c r="HI482" s="205"/>
      <c r="HJ482" s="205"/>
      <c r="HK482" s="205"/>
      <c r="HL482" s="205"/>
      <c r="HM482" s="205"/>
      <c r="HN482" s="205"/>
      <c r="HO482" s="205"/>
      <c r="HP482" s="205"/>
      <c r="HQ482" s="205"/>
      <c r="HR482" s="205"/>
      <c r="HS482" s="205"/>
      <c r="HT482" s="205"/>
      <c r="HU482" s="205"/>
      <c r="HV482" s="205"/>
      <c r="HW482" s="205"/>
      <c r="HX482" s="205"/>
      <c r="HY482" s="205"/>
      <c r="HZ482" s="205"/>
      <c r="IA482" s="205"/>
      <c r="IB482" s="205"/>
      <c r="IC482" s="205"/>
      <c r="ID482" s="205"/>
      <c r="IE482" s="205"/>
      <c r="IF482" s="205"/>
      <c r="IG482" s="205"/>
      <c r="IH482" s="205"/>
      <c r="II482" s="205"/>
      <c r="IJ482" s="205"/>
      <c r="IK482" s="205"/>
      <c r="IL482" s="205"/>
      <c r="IM482" s="205"/>
      <c r="IN482" s="205"/>
      <c r="IO482" s="205"/>
      <c r="IP482" s="205"/>
      <c r="IQ482" s="205"/>
      <c r="IR482" s="205"/>
      <c r="IS482" s="205"/>
      <c r="IT482" s="205"/>
      <c r="IU482" s="205"/>
      <c r="IV482" s="205"/>
      <c r="IW482" s="205"/>
      <c r="IX482" s="205"/>
    </row>
    <row r="483" spans="1:258" s="203" customFormat="1" x14ac:dyDescent="0.2">
      <c r="A483" s="669"/>
      <c r="B483" s="670"/>
      <c r="C483" s="1390"/>
      <c r="D483" s="672"/>
      <c r="E483" s="1391"/>
      <c r="F483" s="1391"/>
      <c r="G483" s="1411" t="s">
        <v>1744</v>
      </c>
      <c r="H483" s="1407">
        <f>S103</f>
        <v>1224.875</v>
      </c>
      <c r="I483" s="1394" t="s">
        <v>805</v>
      </c>
      <c r="J483" s="1410">
        <f>S496</f>
        <v>245.20249999999999</v>
      </c>
      <c r="K483" s="1394"/>
      <c r="L483" s="1394"/>
      <c r="M483" s="1394"/>
      <c r="N483" s="1394"/>
      <c r="O483" s="1394"/>
      <c r="P483" s="1394"/>
      <c r="Q483" s="1394" t="s">
        <v>696</v>
      </c>
      <c r="R483" s="1395">
        <f>H483-J483</f>
        <v>979.67250000000001</v>
      </c>
      <c r="S483" s="1396">
        <f>R483</f>
        <v>979.67250000000001</v>
      </c>
      <c r="T483" s="1397" t="s">
        <v>338</v>
      </c>
      <c r="U483" s="205"/>
      <c r="V483" s="685"/>
      <c r="W483" s="205"/>
      <c r="X483" s="205"/>
      <c r="Y483" s="205"/>
      <c r="Z483" s="205"/>
      <c r="AA483" s="205"/>
      <c r="AB483" s="205"/>
      <c r="AC483" s="205"/>
      <c r="AD483" s="205"/>
      <c r="AE483" s="205"/>
      <c r="AF483" s="205"/>
      <c r="AG483" s="205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05"/>
      <c r="BN483" s="205"/>
      <c r="BO483" s="205"/>
      <c r="BP483" s="205"/>
      <c r="BQ483" s="205"/>
      <c r="BR483" s="205"/>
      <c r="BS483" s="205"/>
      <c r="BT483" s="205"/>
      <c r="BU483" s="205"/>
      <c r="BV483" s="205"/>
      <c r="BW483" s="205"/>
      <c r="BX483" s="205"/>
      <c r="BY483" s="205"/>
      <c r="BZ483" s="205"/>
      <c r="CA483" s="205"/>
      <c r="CB483" s="205"/>
      <c r="CC483" s="205"/>
      <c r="CD483" s="205"/>
      <c r="CE483" s="205"/>
      <c r="CF483" s="205"/>
      <c r="CG483" s="205"/>
      <c r="CH483" s="205"/>
      <c r="CI483" s="205"/>
      <c r="CJ483" s="205"/>
      <c r="CK483" s="205"/>
      <c r="CL483" s="205"/>
      <c r="CM483" s="205"/>
      <c r="CN483" s="205"/>
      <c r="CO483" s="205"/>
      <c r="CP483" s="205"/>
      <c r="CQ483" s="205"/>
      <c r="CR483" s="205"/>
      <c r="CS483" s="205"/>
      <c r="CT483" s="205"/>
      <c r="CU483" s="205"/>
      <c r="CV483" s="205"/>
      <c r="CW483" s="205"/>
      <c r="CX483" s="205"/>
      <c r="CY483" s="205"/>
      <c r="CZ483" s="205"/>
      <c r="DA483" s="205"/>
      <c r="DB483" s="205"/>
      <c r="DC483" s="205"/>
      <c r="DD483" s="205"/>
      <c r="DE483" s="205"/>
      <c r="DF483" s="205"/>
      <c r="DG483" s="205"/>
      <c r="DH483" s="205"/>
      <c r="DI483" s="205"/>
      <c r="DJ483" s="205"/>
      <c r="DK483" s="205"/>
      <c r="DL483" s="205"/>
      <c r="DM483" s="205"/>
      <c r="DN483" s="205"/>
      <c r="DO483" s="205"/>
      <c r="DP483" s="205"/>
      <c r="DQ483" s="205"/>
      <c r="DR483" s="205"/>
      <c r="DS483" s="205"/>
      <c r="DT483" s="205"/>
      <c r="DU483" s="205"/>
      <c r="DV483" s="205"/>
      <c r="DW483" s="205"/>
      <c r="DX483" s="205"/>
      <c r="DY483" s="205"/>
      <c r="DZ483" s="205"/>
      <c r="EA483" s="205"/>
      <c r="EB483" s="205"/>
      <c r="EC483" s="205"/>
      <c r="ED483" s="205"/>
      <c r="EE483" s="205"/>
      <c r="EF483" s="205"/>
      <c r="EG483" s="205"/>
      <c r="EH483" s="205"/>
      <c r="EI483" s="205"/>
      <c r="EJ483" s="205"/>
      <c r="EK483" s="205"/>
      <c r="EL483" s="205"/>
      <c r="EM483" s="205"/>
      <c r="EN483" s="205"/>
      <c r="EO483" s="205"/>
      <c r="EP483" s="205"/>
      <c r="EQ483" s="205"/>
      <c r="ER483" s="205"/>
      <c r="ES483" s="205"/>
      <c r="ET483" s="205"/>
      <c r="EU483" s="205"/>
      <c r="EV483" s="205"/>
      <c r="EW483" s="205"/>
      <c r="EX483" s="205"/>
      <c r="EY483" s="205"/>
      <c r="EZ483" s="205"/>
      <c r="FA483" s="205"/>
      <c r="FB483" s="205"/>
      <c r="FC483" s="205"/>
      <c r="FD483" s="205"/>
      <c r="FE483" s="205"/>
      <c r="FF483" s="205"/>
      <c r="FG483" s="205"/>
      <c r="FH483" s="205"/>
      <c r="FI483" s="205"/>
      <c r="FJ483" s="205"/>
      <c r="FK483" s="205"/>
      <c r="FL483" s="205"/>
      <c r="FM483" s="205"/>
      <c r="FN483" s="205"/>
      <c r="FO483" s="205"/>
      <c r="FP483" s="205"/>
      <c r="FQ483" s="205"/>
      <c r="FR483" s="205"/>
      <c r="FS483" s="205"/>
      <c r="FT483" s="205"/>
      <c r="FU483" s="205"/>
      <c r="FV483" s="205"/>
      <c r="FW483" s="205"/>
      <c r="FX483" s="205"/>
      <c r="FY483" s="205"/>
      <c r="FZ483" s="205"/>
      <c r="GA483" s="205"/>
      <c r="GB483" s="205"/>
      <c r="GC483" s="205"/>
      <c r="GD483" s="205"/>
      <c r="GE483" s="205"/>
      <c r="GF483" s="205"/>
      <c r="GG483" s="205"/>
      <c r="GH483" s="205"/>
      <c r="GI483" s="205"/>
      <c r="GJ483" s="205"/>
      <c r="GK483" s="205"/>
      <c r="GL483" s="205"/>
      <c r="GM483" s="205"/>
      <c r="GN483" s="205"/>
      <c r="GO483" s="205"/>
      <c r="GP483" s="205"/>
      <c r="GQ483" s="205"/>
      <c r="GR483" s="205"/>
      <c r="GS483" s="205"/>
      <c r="GT483" s="205"/>
      <c r="GU483" s="205"/>
      <c r="GV483" s="205"/>
      <c r="GW483" s="205"/>
      <c r="GX483" s="205"/>
      <c r="GY483" s="205"/>
      <c r="GZ483" s="205"/>
      <c r="HA483" s="205"/>
      <c r="HB483" s="205"/>
      <c r="HC483" s="205"/>
      <c r="HD483" s="205"/>
      <c r="HE483" s="205"/>
      <c r="HF483" s="205"/>
      <c r="HG483" s="205"/>
      <c r="HH483" s="205"/>
      <c r="HI483" s="205"/>
      <c r="HJ483" s="205"/>
      <c r="HK483" s="205"/>
      <c r="HL483" s="205"/>
      <c r="HM483" s="205"/>
      <c r="HN483" s="205"/>
      <c r="HO483" s="205"/>
      <c r="HP483" s="205"/>
      <c r="HQ483" s="205"/>
      <c r="HR483" s="205"/>
      <c r="HS483" s="205"/>
      <c r="HT483" s="205"/>
      <c r="HU483" s="205"/>
      <c r="HV483" s="205"/>
      <c r="HW483" s="205"/>
      <c r="HX483" s="205"/>
      <c r="HY483" s="205"/>
      <c r="HZ483" s="205"/>
      <c r="IA483" s="205"/>
      <c r="IB483" s="205"/>
      <c r="IC483" s="205"/>
      <c r="ID483" s="205"/>
      <c r="IE483" s="205"/>
      <c r="IF483" s="205"/>
      <c r="IG483" s="205"/>
      <c r="IH483" s="205"/>
      <c r="II483" s="205"/>
      <c r="IJ483" s="205"/>
      <c r="IK483" s="205"/>
      <c r="IL483" s="205"/>
      <c r="IM483" s="205"/>
      <c r="IN483" s="205"/>
      <c r="IO483" s="205"/>
      <c r="IP483" s="205"/>
      <c r="IQ483" s="205"/>
      <c r="IR483" s="205"/>
      <c r="IS483" s="205"/>
      <c r="IT483" s="205"/>
      <c r="IU483" s="205"/>
      <c r="IV483" s="205"/>
      <c r="IW483" s="205"/>
      <c r="IX483" s="205"/>
    </row>
    <row r="484" spans="1:258" s="203" customFormat="1" x14ac:dyDescent="0.2">
      <c r="A484" s="669"/>
      <c r="B484" s="670"/>
      <c r="C484" s="1390"/>
      <c r="D484" s="672"/>
      <c r="E484" s="1391"/>
      <c r="F484" s="1391"/>
      <c r="G484" s="1392"/>
      <c r="H484" s="1393"/>
      <c r="I484" s="1394"/>
      <c r="J484" s="1394"/>
      <c r="K484" s="1394"/>
      <c r="L484" s="1394"/>
      <c r="M484" s="1394"/>
      <c r="N484" s="1394"/>
      <c r="O484" s="1394"/>
      <c r="P484" s="1394"/>
      <c r="Q484" s="1394"/>
      <c r="R484" s="1395"/>
      <c r="S484" s="1396"/>
      <c r="T484" s="1397"/>
      <c r="U484" s="205"/>
      <c r="V484" s="685"/>
      <c r="W484" s="205"/>
      <c r="X484" s="205"/>
      <c r="Y484" s="205"/>
      <c r="Z484" s="205"/>
      <c r="AA484" s="205"/>
      <c r="AB484" s="205"/>
      <c r="AC484" s="205"/>
      <c r="AD484" s="205"/>
      <c r="AE484" s="205"/>
      <c r="AF484" s="205"/>
      <c r="AG484" s="205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05"/>
      <c r="BN484" s="205"/>
      <c r="BO484" s="205"/>
      <c r="BP484" s="205"/>
      <c r="BQ484" s="205"/>
      <c r="BR484" s="205"/>
      <c r="BS484" s="205"/>
      <c r="BT484" s="205"/>
      <c r="BU484" s="205"/>
      <c r="BV484" s="205"/>
      <c r="BW484" s="205"/>
      <c r="BX484" s="205"/>
      <c r="BY484" s="205"/>
      <c r="BZ484" s="205"/>
      <c r="CA484" s="205"/>
      <c r="CB484" s="205"/>
      <c r="CC484" s="205"/>
      <c r="CD484" s="205"/>
      <c r="CE484" s="205"/>
      <c r="CF484" s="205"/>
      <c r="CG484" s="205"/>
      <c r="CH484" s="205"/>
      <c r="CI484" s="205"/>
      <c r="CJ484" s="205"/>
      <c r="CK484" s="205"/>
      <c r="CL484" s="205"/>
      <c r="CM484" s="205"/>
      <c r="CN484" s="205"/>
      <c r="CO484" s="205"/>
      <c r="CP484" s="205"/>
      <c r="CQ484" s="205"/>
      <c r="CR484" s="205"/>
      <c r="CS484" s="205"/>
      <c r="CT484" s="205"/>
      <c r="CU484" s="205"/>
      <c r="CV484" s="205"/>
      <c r="CW484" s="205"/>
      <c r="CX484" s="205"/>
      <c r="CY484" s="205"/>
      <c r="CZ484" s="205"/>
      <c r="DA484" s="205"/>
      <c r="DB484" s="205"/>
      <c r="DC484" s="205"/>
      <c r="DD484" s="205"/>
      <c r="DE484" s="205"/>
      <c r="DF484" s="205"/>
      <c r="DG484" s="205"/>
      <c r="DH484" s="205"/>
      <c r="DI484" s="205"/>
      <c r="DJ484" s="205"/>
      <c r="DK484" s="205"/>
      <c r="DL484" s="205"/>
      <c r="DM484" s="205"/>
      <c r="DN484" s="205"/>
      <c r="DO484" s="205"/>
      <c r="DP484" s="205"/>
      <c r="DQ484" s="205"/>
      <c r="DR484" s="205"/>
      <c r="DS484" s="205"/>
      <c r="DT484" s="205"/>
      <c r="DU484" s="205"/>
      <c r="DV484" s="205"/>
      <c r="DW484" s="205"/>
      <c r="DX484" s="205"/>
      <c r="DY484" s="205"/>
      <c r="DZ484" s="205"/>
      <c r="EA484" s="205"/>
      <c r="EB484" s="205"/>
      <c r="EC484" s="205"/>
      <c r="ED484" s="205"/>
      <c r="EE484" s="205"/>
      <c r="EF484" s="205"/>
      <c r="EG484" s="205"/>
      <c r="EH484" s="205"/>
      <c r="EI484" s="205"/>
      <c r="EJ484" s="205"/>
      <c r="EK484" s="205"/>
      <c r="EL484" s="205"/>
      <c r="EM484" s="205"/>
      <c r="EN484" s="205"/>
      <c r="EO484" s="205"/>
      <c r="EP484" s="205"/>
      <c r="EQ484" s="205"/>
      <c r="ER484" s="205"/>
      <c r="ES484" s="205"/>
      <c r="ET484" s="205"/>
      <c r="EU484" s="205"/>
      <c r="EV484" s="205"/>
      <c r="EW484" s="205"/>
      <c r="EX484" s="205"/>
      <c r="EY484" s="205"/>
      <c r="EZ484" s="205"/>
      <c r="FA484" s="205"/>
      <c r="FB484" s="205"/>
      <c r="FC484" s="205"/>
      <c r="FD484" s="205"/>
      <c r="FE484" s="205"/>
      <c r="FF484" s="205"/>
      <c r="FG484" s="205"/>
      <c r="FH484" s="205"/>
      <c r="FI484" s="205"/>
      <c r="FJ484" s="205"/>
      <c r="FK484" s="205"/>
      <c r="FL484" s="205"/>
      <c r="FM484" s="205"/>
      <c r="FN484" s="205"/>
      <c r="FO484" s="205"/>
      <c r="FP484" s="205"/>
      <c r="FQ484" s="205"/>
      <c r="FR484" s="205"/>
      <c r="FS484" s="205"/>
      <c r="FT484" s="205"/>
      <c r="FU484" s="205"/>
      <c r="FV484" s="205"/>
      <c r="FW484" s="205"/>
      <c r="FX484" s="205"/>
      <c r="FY484" s="205"/>
      <c r="FZ484" s="205"/>
      <c r="GA484" s="205"/>
      <c r="GB484" s="205"/>
      <c r="GC484" s="205"/>
      <c r="GD484" s="205"/>
      <c r="GE484" s="205"/>
      <c r="GF484" s="205"/>
      <c r="GG484" s="205"/>
      <c r="GH484" s="205"/>
      <c r="GI484" s="205"/>
      <c r="GJ484" s="205"/>
      <c r="GK484" s="205"/>
      <c r="GL484" s="205"/>
      <c r="GM484" s="205"/>
      <c r="GN484" s="205"/>
      <c r="GO484" s="205"/>
      <c r="GP484" s="205"/>
      <c r="GQ484" s="205"/>
      <c r="GR484" s="205"/>
      <c r="GS484" s="205"/>
      <c r="GT484" s="205"/>
      <c r="GU484" s="205"/>
      <c r="GV484" s="205"/>
      <c r="GW484" s="205"/>
      <c r="GX484" s="205"/>
      <c r="GY484" s="205"/>
      <c r="GZ484" s="205"/>
      <c r="HA484" s="205"/>
      <c r="HB484" s="205"/>
      <c r="HC484" s="205"/>
      <c r="HD484" s="205"/>
      <c r="HE484" s="205"/>
      <c r="HF484" s="205"/>
      <c r="HG484" s="205"/>
      <c r="HH484" s="205"/>
      <c r="HI484" s="205"/>
      <c r="HJ484" s="205"/>
      <c r="HK484" s="205"/>
      <c r="HL484" s="205"/>
      <c r="HM484" s="205"/>
      <c r="HN484" s="205"/>
      <c r="HO484" s="205"/>
      <c r="HP484" s="205"/>
      <c r="HQ484" s="205"/>
      <c r="HR484" s="205"/>
      <c r="HS484" s="205"/>
      <c r="HT484" s="205"/>
      <c r="HU484" s="205"/>
      <c r="HV484" s="205"/>
      <c r="HW484" s="205"/>
      <c r="HX484" s="205"/>
      <c r="HY484" s="205"/>
      <c r="HZ484" s="205"/>
      <c r="IA484" s="205"/>
      <c r="IB484" s="205"/>
      <c r="IC484" s="205"/>
      <c r="ID484" s="205"/>
      <c r="IE484" s="205"/>
      <c r="IF484" s="205"/>
      <c r="IG484" s="205"/>
      <c r="IH484" s="205"/>
      <c r="II484" s="205"/>
      <c r="IJ484" s="205"/>
      <c r="IK484" s="205"/>
      <c r="IL484" s="205"/>
      <c r="IM484" s="205"/>
      <c r="IN484" s="205"/>
      <c r="IO484" s="205"/>
      <c r="IP484" s="205"/>
      <c r="IQ484" s="205"/>
      <c r="IR484" s="205"/>
      <c r="IS484" s="205"/>
      <c r="IT484" s="205"/>
      <c r="IU484" s="205"/>
      <c r="IV484" s="205"/>
      <c r="IW484" s="205"/>
      <c r="IX484" s="205"/>
    </row>
    <row r="485" spans="1:258" s="203" customFormat="1" x14ac:dyDescent="0.2">
      <c r="A485" s="669"/>
      <c r="B485" s="670">
        <f>RAB!B164</f>
        <v>2</v>
      </c>
      <c r="C485" s="686" t="str">
        <f>RAB!D164</f>
        <v>Pengecatan dinding luar (cat exterior)</v>
      </c>
      <c r="D485" s="672"/>
      <c r="E485" s="673"/>
      <c r="F485" s="673"/>
      <c r="G485" s="674"/>
      <c r="H485" s="675">
        <f>13+19.5+22+5+22+2</f>
        <v>83.5</v>
      </c>
      <c r="I485" s="676" t="s">
        <v>424</v>
      </c>
      <c r="J485" s="676">
        <v>3.5</v>
      </c>
      <c r="K485" s="676"/>
      <c r="L485" s="676"/>
      <c r="M485" s="676"/>
      <c r="N485" s="676"/>
      <c r="O485" s="676"/>
      <c r="P485" s="676"/>
      <c r="Q485" s="676" t="s">
        <v>696</v>
      </c>
      <c r="R485" s="677">
        <f>H485*J485</f>
        <v>292.25</v>
      </c>
      <c r="S485" s="678"/>
      <c r="T485" s="684"/>
      <c r="U485" s="205"/>
      <c r="V485" s="685"/>
      <c r="W485" s="205"/>
      <c r="X485" s="205"/>
      <c r="Y485" s="205"/>
      <c r="Z485" s="205"/>
      <c r="AA485" s="205"/>
      <c r="AB485" s="205"/>
      <c r="AC485" s="205"/>
      <c r="AD485" s="205"/>
      <c r="AE485" s="205"/>
      <c r="AF485" s="205"/>
      <c r="AG485" s="205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05"/>
      <c r="BN485" s="205"/>
      <c r="BO485" s="205"/>
      <c r="BP485" s="205"/>
      <c r="BQ485" s="205"/>
      <c r="BR485" s="205"/>
      <c r="BS485" s="205"/>
      <c r="BT485" s="205"/>
      <c r="BU485" s="205"/>
      <c r="BV485" s="205"/>
      <c r="BW485" s="205"/>
      <c r="BX485" s="205"/>
      <c r="BY485" s="205"/>
      <c r="BZ485" s="205"/>
      <c r="CA485" s="205"/>
      <c r="CB485" s="205"/>
      <c r="CC485" s="205"/>
      <c r="CD485" s="205"/>
      <c r="CE485" s="205"/>
      <c r="CF485" s="205"/>
      <c r="CG485" s="205"/>
      <c r="CH485" s="205"/>
      <c r="CI485" s="205"/>
      <c r="CJ485" s="205"/>
      <c r="CK485" s="205"/>
      <c r="CL485" s="205"/>
      <c r="CM485" s="205"/>
      <c r="CN485" s="205"/>
      <c r="CO485" s="205"/>
      <c r="CP485" s="205"/>
      <c r="CQ485" s="205"/>
      <c r="CR485" s="205"/>
      <c r="CS485" s="205"/>
      <c r="CT485" s="205"/>
      <c r="CU485" s="205"/>
      <c r="CV485" s="205"/>
      <c r="CW485" s="205"/>
      <c r="CX485" s="205"/>
      <c r="CY485" s="205"/>
      <c r="CZ485" s="205"/>
      <c r="DA485" s="205"/>
      <c r="DB485" s="205"/>
      <c r="DC485" s="205"/>
      <c r="DD485" s="205"/>
      <c r="DE485" s="205"/>
      <c r="DF485" s="205"/>
      <c r="DG485" s="205"/>
      <c r="DH485" s="205"/>
      <c r="DI485" s="205"/>
      <c r="DJ485" s="205"/>
      <c r="DK485" s="205"/>
      <c r="DL485" s="205"/>
      <c r="DM485" s="205"/>
      <c r="DN485" s="205"/>
      <c r="DO485" s="205"/>
      <c r="DP485" s="205"/>
      <c r="DQ485" s="205"/>
      <c r="DR485" s="205"/>
      <c r="DS485" s="205"/>
      <c r="DT485" s="205"/>
      <c r="DU485" s="205"/>
      <c r="DV485" s="205"/>
      <c r="DW485" s="205"/>
      <c r="DX485" s="205"/>
      <c r="DY485" s="205"/>
      <c r="DZ485" s="205"/>
      <c r="EA485" s="205"/>
      <c r="EB485" s="205"/>
      <c r="EC485" s="205"/>
      <c r="ED485" s="205"/>
      <c r="EE485" s="205"/>
      <c r="EF485" s="205"/>
      <c r="EG485" s="205"/>
      <c r="EH485" s="205"/>
      <c r="EI485" s="205"/>
      <c r="EJ485" s="205"/>
      <c r="EK485" s="205"/>
      <c r="EL485" s="205"/>
      <c r="EM485" s="205"/>
      <c r="EN485" s="205"/>
      <c r="EO485" s="205"/>
      <c r="EP485" s="205"/>
      <c r="EQ485" s="205"/>
      <c r="ER485" s="205"/>
      <c r="ES485" s="205"/>
      <c r="ET485" s="205"/>
      <c r="EU485" s="205"/>
      <c r="EV485" s="205"/>
      <c r="EW485" s="205"/>
      <c r="EX485" s="205"/>
      <c r="EY485" s="205"/>
      <c r="EZ485" s="205"/>
      <c r="FA485" s="205"/>
      <c r="FB485" s="205"/>
      <c r="FC485" s="205"/>
      <c r="FD485" s="205"/>
      <c r="FE485" s="205"/>
      <c r="FF485" s="205"/>
      <c r="FG485" s="205"/>
      <c r="FH485" s="205"/>
      <c r="FI485" s="205"/>
      <c r="FJ485" s="205"/>
      <c r="FK485" s="205"/>
      <c r="FL485" s="205"/>
      <c r="FM485" s="205"/>
      <c r="FN485" s="205"/>
      <c r="FO485" s="205"/>
      <c r="FP485" s="205"/>
      <c r="FQ485" s="205"/>
      <c r="FR485" s="205"/>
      <c r="FS485" s="205"/>
      <c r="FT485" s="205"/>
      <c r="FU485" s="205"/>
      <c r="FV485" s="205"/>
      <c r="FW485" s="205"/>
      <c r="FX485" s="205"/>
      <c r="FY485" s="205"/>
      <c r="FZ485" s="205"/>
      <c r="GA485" s="205"/>
      <c r="GB485" s="205"/>
      <c r="GC485" s="205"/>
      <c r="GD485" s="205"/>
      <c r="GE485" s="205"/>
      <c r="GF485" s="205"/>
      <c r="GG485" s="205"/>
      <c r="GH485" s="205"/>
      <c r="GI485" s="205"/>
      <c r="GJ485" s="205"/>
      <c r="GK485" s="205"/>
      <c r="GL485" s="205"/>
      <c r="GM485" s="205"/>
      <c r="GN485" s="205"/>
      <c r="GO485" s="205"/>
      <c r="GP485" s="205"/>
      <c r="GQ485" s="205"/>
      <c r="GR485" s="205"/>
      <c r="GS485" s="205"/>
      <c r="GT485" s="205"/>
      <c r="GU485" s="205"/>
      <c r="GV485" s="205"/>
      <c r="GW485" s="205"/>
      <c r="GX485" s="205"/>
      <c r="GY485" s="205"/>
      <c r="GZ485" s="205"/>
      <c r="HA485" s="205"/>
      <c r="HB485" s="205"/>
      <c r="HC485" s="205"/>
      <c r="HD485" s="205"/>
      <c r="HE485" s="205"/>
      <c r="HF485" s="205"/>
      <c r="HG485" s="205"/>
      <c r="HH485" s="205"/>
      <c r="HI485" s="205"/>
      <c r="HJ485" s="205"/>
      <c r="HK485" s="205"/>
      <c r="HL485" s="205"/>
      <c r="HM485" s="205"/>
      <c r="HN485" s="205"/>
      <c r="HO485" s="205"/>
      <c r="HP485" s="205"/>
      <c r="HQ485" s="205"/>
      <c r="HR485" s="205"/>
      <c r="HS485" s="205"/>
      <c r="HT485" s="205"/>
      <c r="HU485" s="205"/>
      <c r="HV485" s="205"/>
      <c r="HW485" s="205"/>
      <c r="HX485" s="205"/>
      <c r="HY485" s="205"/>
      <c r="HZ485" s="205"/>
      <c r="IA485" s="205"/>
      <c r="IB485" s="205"/>
      <c r="IC485" s="205"/>
      <c r="ID485" s="205"/>
      <c r="IE485" s="205"/>
      <c r="IF485" s="205"/>
      <c r="IG485" s="205"/>
      <c r="IH485" s="205"/>
      <c r="II485" s="205"/>
      <c r="IJ485" s="205"/>
      <c r="IK485" s="205"/>
      <c r="IL485" s="205"/>
      <c r="IM485" s="205"/>
      <c r="IN485" s="205"/>
      <c r="IO485" s="205"/>
      <c r="IP485" s="205"/>
      <c r="IQ485" s="205"/>
      <c r="IR485" s="205"/>
      <c r="IS485" s="205"/>
      <c r="IT485" s="205"/>
      <c r="IU485" s="205"/>
      <c r="IV485" s="205"/>
      <c r="IW485" s="205"/>
      <c r="IX485" s="205"/>
    </row>
    <row r="486" spans="1:258" s="719" customFormat="1" x14ac:dyDescent="0.2">
      <c r="A486" s="716"/>
      <c r="B486" s="717"/>
      <c r="C486" s="1399"/>
      <c r="D486" s="718"/>
      <c r="E486" s="1400"/>
      <c r="F486" s="1400" t="s">
        <v>1647</v>
      </c>
      <c r="G486" s="1401"/>
      <c r="H486" s="1402"/>
      <c r="I486" s="1403"/>
      <c r="J486" s="1403"/>
      <c r="K486" s="1403"/>
      <c r="L486" s="1403"/>
      <c r="M486" s="1403"/>
      <c r="N486" s="1403"/>
      <c r="O486" s="1403"/>
      <c r="P486" s="1403"/>
      <c r="Q486" s="1403"/>
      <c r="R486" s="1404"/>
      <c r="S486" s="1405"/>
      <c r="T486" s="1406"/>
      <c r="U486" s="662"/>
      <c r="V486" s="685"/>
      <c r="W486" s="662"/>
      <c r="X486" s="662"/>
      <c r="Y486" s="662"/>
      <c r="Z486" s="662"/>
      <c r="AA486" s="662"/>
      <c r="AB486" s="662"/>
      <c r="AC486" s="662"/>
      <c r="AD486" s="662"/>
      <c r="AE486" s="662"/>
      <c r="AF486" s="662"/>
      <c r="AG486" s="662"/>
      <c r="AH486" s="662"/>
      <c r="AI486" s="662"/>
      <c r="AJ486" s="662"/>
      <c r="AK486" s="662"/>
      <c r="AL486" s="662"/>
      <c r="AM486" s="662"/>
      <c r="AN486" s="662"/>
      <c r="AO486" s="662"/>
      <c r="AP486" s="662"/>
      <c r="AQ486" s="662"/>
      <c r="AR486" s="662"/>
      <c r="AS486" s="662"/>
      <c r="AT486" s="662"/>
      <c r="AU486" s="662"/>
      <c r="AV486" s="662"/>
      <c r="AW486" s="662"/>
      <c r="AX486" s="662"/>
      <c r="AY486" s="662"/>
      <c r="AZ486" s="662"/>
      <c r="BA486" s="662"/>
      <c r="BB486" s="662"/>
      <c r="BC486" s="662"/>
      <c r="BD486" s="662"/>
      <c r="BE486" s="662"/>
      <c r="BF486" s="662"/>
      <c r="BG486" s="662"/>
      <c r="BH486" s="662"/>
      <c r="BI486" s="662"/>
      <c r="BJ486" s="662"/>
      <c r="BK486" s="662"/>
      <c r="BL486" s="662"/>
      <c r="BM486" s="662"/>
      <c r="BN486" s="662"/>
      <c r="BO486" s="662"/>
      <c r="BP486" s="662"/>
      <c r="BQ486" s="662"/>
      <c r="BR486" s="662"/>
      <c r="BS486" s="662"/>
      <c r="BT486" s="662"/>
      <c r="BU486" s="662"/>
      <c r="BV486" s="662"/>
      <c r="BW486" s="662"/>
      <c r="BX486" s="662"/>
      <c r="BY486" s="662"/>
      <c r="BZ486" s="662"/>
      <c r="CA486" s="662"/>
      <c r="CB486" s="662"/>
      <c r="CC486" s="662"/>
      <c r="CD486" s="662"/>
      <c r="CE486" s="662"/>
      <c r="CF486" s="662"/>
      <c r="CG486" s="662"/>
      <c r="CH486" s="662"/>
      <c r="CI486" s="662"/>
      <c r="CJ486" s="662"/>
      <c r="CK486" s="662"/>
      <c r="CL486" s="662"/>
      <c r="CM486" s="662"/>
      <c r="CN486" s="662"/>
      <c r="CO486" s="662"/>
      <c r="CP486" s="662"/>
      <c r="CQ486" s="662"/>
      <c r="CR486" s="662"/>
      <c r="CS486" s="662"/>
      <c r="CT486" s="662"/>
      <c r="CU486" s="662"/>
      <c r="CV486" s="662"/>
      <c r="CW486" s="662"/>
      <c r="CX486" s="662"/>
      <c r="CY486" s="662"/>
      <c r="CZ486" s="662"/>
      <c r="DA486" s="662"/>
      <c r="DB486" s="662"/>
      <c r="DC486" s="662"/>
      <c r="DD486" s="662"/>
      <c r="DE486" s="662"/>
      <c r="DF486" s="662"/>
      <c r="DG486" s="662"/>
      <c r="DH486" s="662"/>
      <c r="DI486" s="662"/>
      <c r="DJ486" s="662"/>
      <c r="DK486" s="662"/>
      <c r="DL486" s="662"/>
      <c r="DM486" s="662"/>
      <c r="DN486" s="662"/>
      <c r="DO486" s="662"/>
      <c r="DP486" s="662"/>
      <c r="DQ486" s="662"/>
      <c r="DR486" s="662"/>
      <c r="DS486" s="662"/>
      <c r="DT486" s="662"/>
      <c r="DU486" s="662"/>
      <c r="DV486" s="662"/>
      <c r="DW486" s="662"/>
      <c r="DX486" s="662"/>
      <c r="DY486" s="662"/>
      <c r="DZ486" s="662"/>
      <c r="EA486" s="662"/>
      <c r="EB486" s="662"/>
      <c r="EC486" s="662"/>
      <c r="ED486" s="662"/>
      <c r="EE486" s="662"/>
      <c r="EF486" s="662"/>
      <c r="EG486" s="662"/>
      <c r="EH486" s="662"/>
      <c r="EI486" s="662"/>
      <c r="EJ486" s="662"/>
      <c r="EK486" s="662"/>
      <c r="EL486" s="662"/>
      <c r="EM486" s="662"/>
      <c r="EN486" s="662"/>
      <c r="EO486" s="662"/>
      <c r="EP486" s="662"/>
      <c r="EQ486" s="662"/>
      <c r="ER486" s="662"/>
      <c r="ES486" s="662"/>
      <c r="ET486" s="662"/>
      <c r="EU486" s="662"/>
      <c r="EV486" s="662"/>
      <c r="EW486" s="662"/>
      <c r="EX486" s="662"/>
      <c r="EY486" s="662"/>
      <c r="EZ486" s="662"/>
      <c r="FA486" s="662"/>
      <c r="FB486" s="662"/>
      <c r="FC486" s="662"/>
      <c r="FD486" s="662"/>
      <c r="FE486" s="662"/>
      <c r="FF486" s="662"/>
      <c r="FG486" s="662"/>
      <c r="FH486" s="662"/>
      <c r="FI486" s="662"/>
      <c r="FJ486" s="662"/>
      <c r="FK486" s="662"/>
      <c r="FL486" s="662"/>
      <c r="FM486" s="662"/>
      <c r="FN486" s="662"/>
      <c r="FO486" s="662"/>
      <c r="FP486" s="662"/>
      <c r="FQ486" s="662"/>
      <c r="FR486" s="662"/>
      <c r="FS486" s="662"/>
      <c r="FT486" s="662"/>
      <c r="FU486" s="662"/>
      <c r="FV486" s="662"/>
      <c r="FW486" s="662"/>
      <c r="FX486" s="662"/>
      <c r="FY486" s="662"/>
      <c r="FZ486" s="662"/>
      <c r="GA486" s="662"/>
      <c r="GB486" s="662"/>
      <c r="GC486" s="662"/>
      <c r="GD486" s="662"/>
      <c r="GE486" s="662"/>
      <c r="GF486" s="662"/>
      <c r="GG486" s="662"/>
      <c r="GH486" s="662"/>
      <c r="GI486" s="662"/>
      <c r="GJ486" s="662"/>
      <c r="GK486" s="662"/>
      <c r="GL486" s="662"/>
      <c r="GM486" s="662"/>
      <c r="GN486" s="662"/>
      <c r="GO486" s="662"/>
      <c r="GP486" s="662"/>
      <c r="GQ486" s="662"/>
      <c r="GR486" s="662"/>
      <c r="GS486" s="662"/>
      <c r="GT486" s="662"/>
      <c r="GU486" s="662"/>
      <c r="GV486" s="662"/>
      <c r="GW486" s="662"/>
      <c r="GX486" s="662"/>
      <c r="GY486" s="662"/>
      <c r="GZ486" s="662"/>
      <c r="HA486" s="662"/>
      <c r="HB486" s="662"/>
      <c r="HC486" s="662"/>
      <c r="HD486" s="662"/>
      <c r="HE486" s="662"/>
      <c r="HF486" s="662"/>
      <c r="HG486" s="662"/>
      <c r="HH486" s="662"/>
      <c r="HI486" s="662"/>
      <c r="HJ486" s="662"/>
      <c r="HK486" s="662"/>
      <c r="HL486" s="662"/>
      <c r="HM486" s="662"/>
      <c r="HN486" s="662"/>
      <c r="HO486" s="662"/>
      <c r="HP486" s="662"/>
      <c r="HQ486" s="662"/>
      <c r="HR486" s="662"/>
      <c r="HS486" s="662"/>
      <c r="HT486" s="662"/>
      <c r="HU486" s="662"/>
      <c r="HV486" s="662"/>
      <c r="HW486" s="662"/>
      <c r="HX486" s="662"/>
      <c r="HY486" s="662"/>
      <c r="HZ486" s="662"/>
      <c r="IA486" s="662"/>
      <c r="IB486" s="662"/>
      <c r="IC486" s="662"/>
      <c r="ID486" s="662"/>
      <c r="IE486" s="662"/>
      <c r="IF486" s="662"/>
      <c r="IG486" s="662"/>
      <c r="IH486" s="662"/>
      <c r="II486" s="662"/>
      <c r="IJ486" s="662"/>
      <c r="IK486" s="662"/>
      <c r="IL486" s="662"/>
      <c r="IM486" s="662"/>
      <c r="IN486" s="662"/>
      <c r="IO486" s="662"/>
      <c r="IP486" s="662"/>
      <c r="IQ486" s="662"/>
      <c r="IR486" s="662"/>
      <c r="IS486" s="662"/>
      <c r="IT486" s="662"/>
      <c r="IU486" s="662"/>
      <c r="IV486" s="662"/>
      <c r="IW486" s="662"/>
      <c r="IX486" s="662"/>
    </row>
    <row r="487" spans="1:258" s="719" customFormat="1" x14ac:dyDescent="0.2">
      <c r="A487" s="716"/>
      <c r="B487" s="717"/>
      <c r="C487" s="1399"/>
      <c r="D487" s="718"/>
      <c r="E487" s="1400"/>
      <c r="F487" s="1400"/>
      <c r="G487" s="1401" t="s">
        <v>1699</v>
      </c>
      <c r="H487" s="1402">
        <v>1.8</v>
      </c>
      <c r="I487" s="1403" t="s">
        <v>424</v>
      </c>
      <c r="J487" s="1403">
        <v>2.4</v>
      </c>
      <c r="K487" s="1403" t="s">
        <v>424</v>
      </c>
      <c r="L487" s="1403">
        <v>1</v>
      </c>
      <c r="M487" s="1403"/>
      <c r="N487" s="1403"/>
      <c r="O487" s="1403"/>
      <c r="P487" s="1403"/>
      <c r="Q487" s="1403" t="s">
        <v>696</v>
      </c>
      <c r="R487" s="1404">
        <f>H487*J487*L487</f>
        <v>4.32</v>
      </c>
      <c r="S487" s="1405"/>
      <c r="T487" s="1406"/>
      <c r="U487" s="662"/>
      <c r="V487" s="685"/>
      <c r="W487" s="662"/>
      <c r="X487" s="662"/>
      <c r="Y487" s="662"/>
      <c r="Z487" s="662"/>
      <c r="AA487" s="662"/>
      <c r="AB487" s="662"/>
      <c r="AC487" s="662"/>
      <c r="AD487" s="662"/>
      <c r="AE487" s="662"/>
      <c r="AF487" s="662"/>
      <c r="AG487" s="662"/>
      <c r="AH487" s="662"/>
      <c r="AI487" s="662"/>
      <c r="AJ487" s="662"/>
      <c r="AK487" s="662"/>
      <c r="AL487" s="662"/>
      <c r="AM487" s="662"/>
      <c r="AN487" s="662"/>
      <c r="AO487" s="662"/>
      <c r="AP487" s="662"/>
      <c r="AQ487" s="662"/>
      <c r="AR487" s="662"/>
      <c r="AS487" s="662"/>
      <c r="AT487" s="662"/>
      <c r="AU487" s="662"/>
      <c r="AV487" s="662"/>
      <c r="AW487" s="662"/>
      <c r="AX487" s="662"/>
      <c r="AY487" s="662"/>
      <c r="AZ487" s="662"/>
      <c r="BA487" s="662"/>
      <c r="BB487" s="662"/>
      <c r="BC487" s="662"/>
      <c r="BD487" s="662"/>
      <c r="BE487" s="662"/>
      <c r="BF487" s="662"/>
      <c r="BG487" s="662"/>
      <c r="BH487" s="662"/>
      <c r="BI487" s="662"/>
      <c r="BJ487" s="662"/>
      <c r="BK487" s="662"/>
      <c r="BL487" s="662"/>
      <c r="BM487" s="662"/>
      <c r="BN487" s="662"/>
      <c r="BO487" s="662"/>
      <c r="BP487" s="662"/>
      <c r="BQ487" s="662"/>
      <c r="BR487" s="662"/>
      <c r="BS487" s="662"/>
      <c r="BT487" s="662"/>
      <c r="BU487" s="662"/>
      <c r="BV487" s="662"/>
      <c r="BW487" s="662"/>
      <c r="BX487" s="662"/>
      <c r="BY487" s="662"/>
      <c r="BZ487" s="662"/>
      <c r="CA487" s="662"/>
      <c r="CB487" s="662"/>
      <c r="CC487" s="662"/>
      <c r="CD487" s="662"/>
      <c r="CE487" s="662"/>
      <c r="CF487" s="662"/>
      <c r="CG487" s="662"/>
      <c r="CH487" s="662"/>
      <c r="CI487" s="662"/>
      <c r="CJ487" s="662"/>
      <c r="CK487" s="662"/>
      <c r="CL487" s="662"/>
      <c r="CM487" s="662"/>
      <c r="CN487" s="662"/>
      <c r="CO487" s="662"/>
      <c r="CP487" s="662"/>
      <c r="CQ487" s="662"/>
      <c r="CR487" s="662"/>
      <c r="CS487" s="662"/>
      <c r="CT487" s="662"/>
      <c r="CU487" s="662"/>
      <c r="CV487" s="662"/>
      <c r="CW487" s="662"/>
      <c r="CX487" s="662"/>
      <c r="CY487" s="662"/>
      <c r="CZ487" s="662"/>
      <c r="DA487" s="662"/>
      <c r="DB487" s="662"/>
      <c r="DC487" s="662"/>
      <c r="DD487" s="662"/>
      <c r="DE487" s="662"/>
      <c r="DF487" s="662"/>
      <c r="DG487" s="662"/>
      <c r="DH487" s="662"/>
      <c r="DI487" s="662"/>
      <c r="DJ487" s="662"/>
      <c r="DK487" s="662"/>
      <c r="DL487" s="662"/>
      <c r="DM487" s="662"/>
      <c r="DN487" s="662"/>
      <c r="DO487" s="662"/>
      <c r="DP487" s="662"/>
      <c r="DQ487" s="662"/>
      <c r="DR487" s="662"/>
      <c r="DS487" s="662"/>
      <c r="DT487" s="662"/>
      <c r="DU487" s="662"/>
      <c r="DV487" s="662"/>
      <c r="DW487" s="662"/>
      <c r="DX487" s="662"/>
      <c r="DY487" s="662"/>
      <c r="DZ487" s="662"/>
      <c r="EA487" s="662"/>
      <c r="EB487" s="662"/>
      <c r="EC487" s="662"/>
      <c r="ED487" s="662"/>
      <c r="EE487" s="662"/>
      <c r="EF487" s="662"/>
      <c r="EG487" s="662"/>
      <c r="EH487" s="662"/>
      <c r="EI487" s="662"/>
      <c r="EJ487" s="662"/>
      <c r="EK487" s="662"/>
      <c r="EL487" s="662"/>
      <c r="EM487" s="662"/>
      <c r="EN487" s="662"/>
      <c r="EO487" s="662"/>
      <c r="EP487" s="662"/>
      <c r="EQ487" s="662"/>
      <c r="ER487" s="662"/>
      <c r="ES487" s="662"/>
      <c r="ET487" s="662"/>
      <c r="EU487" s="662"/>
      <c r="EV487" s="662"/>
      <c r="EW487" s="662"/>
      <c r="EX487" s="662"/>
      <c r="EY487" s="662"/>
      <c r="EZ487" s="662"/>
      <c r="FA487" s="662"/>
      <c r="FB487" s="662"/>
      <c r="FC487" s="662"/>
      <c r="FD487" s="662"/>
      <c r="FE487" s="662"/>
      <c r="FF487" s="662"/>
      <c r="FG487" s="662"/>
      <c r="FH487" s="662"/>
      <c r="FI487" s="662"/>
      <c r="FJ487" s="662"/>
      <c r="FK487" s="662"/>
      <c r="FL487" s="662"/>
      <c r="FM487" s="662"/>
      <c r="FN487" s="662"/>
      <c r="FO487" s="662"/>
      <c r="FP487" s="662"/>
      <c r="FQ487" s="662"/>
      <c r="FR487" s="662"/>
      <c r="FS487" s="662"/>
      <c r="FT487" s="662"/>
      <c r="FU487" s="662"/>
      <c r="FV487" s="662"/>
      <c r="FW487" s="662"/>
      <c r="FX487" s="662"/>
      <c r="FY487" s="662"/>
      <c r="FZ487" s="662"/>
      <c r="GA487" s="662"/>
      <c r="GB487" s="662"/>
      <c r="GC487" s="662"/>
      <c r="GD487" s="662"/>
      <c r="GE487" s="662"/>
      <c r="GF487" s="662"/>
      <c r="GG487" s="662"/>
      <c r="GH487" s="662"/>
      <c r="GI487" s="662"/>
      <c r="GJ487" s="662"/>
      <c r="GK487" s="662"/>
      <c r="GL487" s="662"/>
      <c r="GM487" s="662"/>
      <c r="GN487" s="662"/>
      <c r="GO487" s="662"/>
      <c r="GP487" s="662"/>
      <c r="GQ487" s="662"/>
      <c r="GR487" s="662"/>
      <c r="GS487" s="662"/>
      <c r="GT487" s="662"/>
      <c r="GU487" s="662"/>
      <c r="GV487" s="662"/>
      <c r="GW487" s="662"/>
      <c r="GX487" s="662"/>
      <c r="GY487" s="662"/>
      <c r="GZ487" s="662"/>
      <c r="HA487" s="662"/>
      <c r="HB487" s="662"/>
      <c r="HC487" s="662"/>
      <c r="HD487" s="662"/>
      <c r="HE487" s="662"/>
      <c r="HF487" s="662"/>
      <c r="HG487" s="662"/>
      <c r="HH487" s="662"/>
      <c r="HI487" s="662"/>
      <c r="HJ487" s="662"/>
      <c r="HK487" s="662"/>
      <c r="HL487" s="662"/>
      <c r="HM487" s="662"/>
      <c r="HN487" s="662"/>
      <c r="HO487" s="662"/>
      <c r="HP487" s="662"/>
      <c r="HQ487" s="662"/>
      <c r="HR487" s="662"/>
      <c r="HS487" s="662"/>
      <c r="HT487" s="662"/>
      <c r="HU487" s="662"/>
      <c r="HV487" s="662"/>
      <c r="HW487" s="662"/>
      <c r="HX487" s="662"/>
      <c r="HY487" s="662"/>
      <c r="HZ487" s="662"/>
      <c r="IA487" s="662"/>
      <c r="IB487" s="662"/>
      <c r="IC487" s="662"/>
      <c r="ID487" s="662"/>
      <c r="IE487" s="662"/>
      <c r="IF487" s="662"/>
      <c r="IG487" s="662"/>
      <c r="IH487" s="662"/>
      <c r="II487" s="662"/>
      <c r="IJ487" s="662"/>
      <c r="IK487" s="662"/>
      <c r="IL487" s="662"/>
      <c r="IM487" s="662"/>
      <c r="IN487" s="662"/>
      <c r="IO487" s="662"/>
      <c r="IP487" s="662"/>
      <c r="IQ487" s="662"/>
      <c r="IR487" s="662"/>
      <c r="IS487" s="662"/>
      <c r="IT487" s="662"/>
      <c r="IU487" s="662"/>
      <c r="IV487" s="662"/>
      <c r="IW487" s="662"/>
      <c r="IX487" s="662"/>
    </row>
    <row r="488" spans="1:258" s="719" customFormat="1" x14ac:dyDescent="0.2">
      <c r="A488" s="716"/>
      <c r="B488" s="717"/>
      <c r="C488" s="1399"/>
      <c r="D488" s="718"/>
      <c r="E488" s="1400"/>
      <c r="F488" s="1400"/>
      <c r="G488" s="1401" t="str">
        <f>G407</f>
        <v>P1</v>
      </c>
      <c r="H488" s="1402">
        <f>H82</f>
        <v>1.5</v>
      </c>
      <c r="I488" s="1403" t="s">
        <v>424</v>
      </c>
      <c r="J488" s="1403">
        <f>J82</f>
        <v>2.1</v>
      </c>
      <c r="K488" s="1403" t="s">
        <v>424</v>
      </c>
      <c r="L488" s="1403">
        <v>5</v>
      </c>
      <c r="M488" s="1403"/>
      <c r="N488" s="1403"/>
      <c r="O488" s="1403"/>
      <c r="P488" s="1403"/>
      <c r="Q488" s="1403" t="s">
        <v>696</v>
      </c>
      <c r="R488" s="1404">
        <f t="shared" ref="R488:R494" si="172">H488*J488*L488</f>
        <v>15.750000000000002</v>
      </c>
      <c r="S488" s="1405"/>
      <c r="T488" s="1406"/>
      <c r="U488" s="662"/>
      <c r="V488" s="685"/>
      <c r="W488" s="662"/>
      <c r="X488" s="662"/>
      <c r="Y488" s="662"/>
      <c r="Z488" s="662"/>
      <c r="AA488" s="662"/>
      <c r="AB488" s="662"/>
      <c r="AC488" s="662"/>
      <c r="AD488" s="662"/>
      <c r="AE488" s="662"/>
      <c r="AF488" s="662"/>
      <c r="AG488" s="662"/>
      <c r="AH488" s="662"/>
      <c r="AI488" s="662"/>
      <c r="AJ488" s="662"/>
      <c r="AK488" s="662"/>
      <c r="AL488" s="662"/>
      <c r="AM488" s="662"/>
      <c r="AN488" s="662"/>
      <c r="AO488" s="662"/>
      <c r="AP488" s="662"/>
      <c r="AQ488" s="662"/>
      <c r="AR488" s="662"/>
      <c r="AS488" s="662"/>
      <c r="AT488" s="662"/>
      <c r="AU488" s="662"/>
      <c r="AV488" s="662"/>
      <c r="AW488" s="662"/>
      <c r="AX488" s="662"/>
      <c r="AY488" s="662"/>
      <c r="AZ488" s="662"/>
      <c r="BA488" s="662"/>
      <c r="BB488" s="662"/>
      <c r="BC488" s="662"/>
      <c r="BD488" s="662"/>
      <c r="BE488" s="662"/>
      <c r="BF488" s="662"/>
      <c r="BG488" s="662"/>
      <c r="BH488" s="662"/>
      <c r="BI488" s="662"/>
      <c r="BJ488" s="662"/>
      <c r="BK488" s="662"/>
      <c r="BL488" s="662"/>
      <c r="BM488" s="662"/>
      <c r="BN488" s="662"/>
      <c r="BO488" s="662"/>
      <c r="BP488" s="662"/>
      <c r="BQ488" s="662"/>
      <c r="BR488" s="662"/>
      <c r="BS488" s="662"/>
      <c r="BT488" s="662"/>
      <c r="BU488" s="662"/>
      <c r="BV488" s="662"/>
      <c r="BW488" s="662"/>
      <c r="BX488" s="662"/>
      <c r="BY488" s="662"/>
      <c r="BZ488" s="662"/>
      <c r="CA488" s="662"/>
      <c r="CB488" s="662"/>
      <c r="CC488" s="662"/>
      <c r="CD488" s="662"/>
      <c r="CE488" s="662"/>
      <c r="CF488" s="662"/>
      <c r="CG488" s="662"/>
      <c r="CH488" s="662"/>
      <c r="CI488" s="662"/>
      <c r="CJ488" s="662"/>
      <c r="CK488" s="662"/>
      <c r="CL488" s="662"/>
      <c r="CM488" s="662"/>
      <c r="CN488" s="662"/>
      <c r="CO488" s="662"/>
      <c r="CP488" s="662"/>
      <c r="CQ488" s="662"/>
      <c r="CR488" s="662"/>
      <c r="CS488" s="662"/>
      <c r="CT488" s="662"/>
      <c r="CU488" s="662"/>
      <c r="CV488" s="662"/>
      <c r="CW488" s="662"/>
      <c r="CX488" s="662"/>
      <c r="CY488" s="662"/>
      <c r="CZ488" s="662"/>
      <c r="DA488" s="662"/>
      <c r="DB488" s="662"/>
      <c r="DC488" s="662"/>
      <c r="DD488" s="662"/>
      <c r="DE488" s="662"/>
      <c r="DF488" s="662"/>
      <c r="DG488" s="662"/>
      <c r="DH488" s="662"/>
      <c r="DI488" s="662"/>
      <c r="DJ488" s="662"/>
      <c r="DK488" s="662"/>
      <c r="DL488" s="662"/>
      <c r="DM488" s="662"/>
      <c r="DN488" s="662"/>
      <c r="DO488" s="662"/>
      <c r="DP488" s="662"/>
      <c r="DQ488" s="662"/>
      <c r="DR488" s="662"/>
      <c r="DS488" s="662"/>
      <c r="DT488" s="662"/>
      <c r="DU488" s="662"/>
      <c r="DV488" s="662"/>
      <c r="DW488" s="662"/>
      <c r="DX488" s="662"/>
      <c r="DY488" s="662"/>
      <c r="DZ488" s="662"/>
      <c r="EA488" s="662"/>
      <c r="EB488" s="662"/>
      <c r="EC488" s="662"/>
      <c r="ED488" s="662"/>
      <c r="EE488" s="662"/>
      <c r="EF488" s="662"/>
      <c r="EG488" s="662"/>
      <c r="EH488" s="662"/>
      <c r="EI488" s="662"/>
      <c r="EJ488" s="662"/>
      <c r="EK488" s="662"/>
      <c r="EL488" s="662"/>
      <c r="EM488" s="662"/>
      <c r="EN488" s="662"/>
      <c r="EO488" s="662"/>
      <c r="EP488" s="662"/>
      <c r="EQ488" s="662"/>
      <c r="ER488" s="662"/>
      <c r="ES488" s="662"/>
      <c r="ET488" s="662"/>
      <c r="EU488" s="662"/>
      <c r="EV488" s="662"/>
      <c r="EW488" s="662"/>
      <c r="EX488" s="662"/>
      <c r="EY488" s="662"/>
      <c r="EZ488" s="662"/>
      <c r="FA488" s="662"/>
      <c r="FB488" s="662"/>
      <c r="FC488" s="662"/>
      <c r="FD488" s="662"/>
      <c r="FE488" s="662"/>
      <c r="FF488" s="662"/>
      <c r="FG488" s="662"/>
      <c r="FH488" s="662"/>
      <c r="FI488" s="662"/>
      <c r="FJ488" s="662"/>
      <c r="FK488" s="662"/>
      <c r="FL488" s="662"/>
      <c r="FM488" s="662"/>
      <c r="FN488" s="662"/>
      <c r="FO488" s="662"/>
      <c r="FP488" s="662"/>
      <c r="FQ488" s="662"/>
      <c r="FR488" s="662"/>
      <c r="FS488" s="662"/>
      <c r="FT488" s="662"/>
      <c r="FU488" s="662"/>
      <c r="FV488" s="662"/>
      <c r="FW488" s="662"/>
      <c r="FX488" s="662"/>
      <c r="FY488" s="662"/>
      <c r="FZ488" s="662"/>
      <c r="GA488" s="662"/>
      <c r="GB488" s="662"/>
      <c r="GC488" s="662"/>
      <c r="GD488" s="662"/>
      <c r="GE488" s="662"/>
      <c r="GF488" s="662"/>
      <c r="GG488" s="662"/>
      <c r="GH488" s="662"/>
      <c r="GI488" s="662"/>
      <c r="GJ488" s="662"/>
      <c r="GK488" s="662"/>
      <c r="GL488" s="662"/>
      <c r="GM488" s="662"/>
      <c r="GN488" s="662"/>
      <c r="GO488" s="662"/>
      <c r="GP488" s="662"/>
      <c r="GQ488" s="662"/>
      <c r="GR488" s="662"/>
      <c r="GS488" s="662"/>
      <c r="GT488" s="662"/>
      <c r="GU488" s="662"/>
      <c r="GV488" s="662"/>
      <c r="GW488" s="662"/>
      <c r="GX488" s="662"/>
      <c r="GY488" s="662"/>
      <c r="GZ488" s="662"/>
      <c r="HA488" s="662"/>
      <c r="HB488" s="662"/>
      <c r="HC488" s="662"/>
      <c r="HD488" s="662"/>
      <c r="HE488" s="662"/>
      <c r="HF488" s="662"/>
      <c r="HG488" s="662"/>
      <c r="HH488" s="662"/>
      <c r="HI488" s="662"/>
      <c r="HJ488" s="662"/>
      <c r="HK488" s="662"/>
      <c r="HL488" s="662"/>
      <c r="HM488" s="662"/>
      <c r="HN488" s="662"/>
      <c r="HO488" s="662"/>
      <c r="HP488" s="662"/>
      <c r="HQ488" s="662"/>
      <c r="HR488" s="662"/>
      <c r="HS488" s="662"/>
      <c r="HT488" s="662"/>
      <c r="HU488" s="662"/>
      <c r="HV488" s="662"/>
      <c r="HW488" s="662"/>
      <c r="HX488" s="662"/>
      <c r="HY488" s="662"/>
      <c r="HZ488" s="662"/>
      <c r="IA488" s="662"/>
      <c r="IB488" s="662"/>
      <c r="IC488" s="662"/>
      <c r="ID488" s="662"/>
      <c r="IE488" s="662"/>
      <c r="IF488" s="662"/>
      <c r="IG488" s="662"/>
      <c r="IH488" s="662"/>
      <c r="II488" s="662"/>
      <c r="IJ488" s="662"/>
      <c r="IK488" s="662"/>
      <c r="IL488" s="662"/>
      <c r="IM488" s="662"/>
      <c r="IN488" s="662"/>
      <c r="IO488" s="662"/>
      <c r="IP488" s="662"/>
      <c r="IQ488" s="662"/>
      <c r="IR488" s="662"/>
      <c r="IS488" s="662"/>
      <c r="IT488" s="662"/>
      <c r="IU488" s="662"/>
      <c r="IV488" s="662"/>
      <c r="IW488" s="662"/>
      <c r="IX488" s="662"/>
    </row>
    <row r="489" spans="1:258" s="719" customFormat="1" x14ac:dyDescent="0.2">
      <c r="A489" s="716"/>
      <c r="B489" s="717"/>
      <c r="C489" s="1399"/>
      <c r="D489" s="718"/>
      <c r="E489" s="1400"/>
      <c r="F489" s="1400"/>
      <c r="G489" s="1401" t="str">
        <f>G408</f>
        <v>P2</v>
      </c>
      <c r="H489" s="1402">
        <f>H83</f>
        <v>1.5</v>
      </c>
      <c r="I489" s="1403" t="s">
        <v>424</v>
      </c>
      <c r="J489" s="1403">
        <f>J83</f>
        <v>2.1</v>
      </c>
      <c r="K489" s="1403" t="s">
        <v>424</v>
      </c>
      <c r="L489" s="1403">
        <v>1</v>
      </c>
      <c r="M489" s="1403"/>
      <c r="N489" s="1403"/>
      <c r="O489" s="1403"/>
      <c r="P489" s="1403"/>
      <c r="Q489" s="1403" t="s">
        <v>696</v>
      </c>
      <c r="R489" s="1404">
        <f t="shared" si="172"/>
        <v>3.1500000000000004</v>
      </c>
      <c r="S489" s="1405"/>
      <c r="T489" s="1406"/>
      <c r="U489" s="662"/>
      <c r="V489" s="685"/>
      <c r="W489" s="662"/>
      <c r="X489" s="662"/>
      <c r="Y489" s="662"/>
      <c r="Z489" s="662"/>
      <c r="AA489" s="662"/>
      <c r="AB489" s="662"/>
      <c r="AC489" s="662"/>
      <c r="AD489" s="662"/>
      <c r="AE489" s="662"/>
      <c r="AF489" s="662"/>
      <c r="AG489" s="662"/>
      <c r="AH489" s="662"/>
      <c r="AI489" s="662"/>
      <c r="AJ489" s="662"/>
      <c r="AK489" s="662"/>
      <c r="AL489" s="662"/>
      <c r="AM489" s="662"/>
      <c r="AN489" s="662"/>
      <c r="AO489" s="662"/>
      <c r="AP489" s="662"/>
      <c r="AQ489" s="662"/>
      <c r="AR489" s="662"/>
      <c r="AS489" s="662"/>
      <c r="AT489" s="662"/>
      <c r="AU489" s="662"/>
      <c r="AV489" s="662"/>
      <c r="AW489" s="662"/>
      <c r="AX489" s="662"/>
      <c r="AY489" s="662"/>
      <c r="AZ489" s="662"/>
      <c r="BA489" s="662"/>
      <c r="BB489" s="662"/>
      <c r="BC489" s="662"/>
      <c r="BD489" s="662"/>
      <c r="BE489" s="662"/>
      <c r="BF489" s="662"/>
      <c r="BG489" s="662"/>
      <c r="BH489" s="662"/>
      <c r="BI489" s="662"/>
      <c r="BJ489" s="662"/>
      <c r="BK489" s="662"/>
      <c r="BL489" s="662"/>
      <c r="BM489" s="662"/>
      <c r="BN489" s="662"/>
      <c r="BO489" s="662"/>
      <c r="BP489" s="662"/>
      <c r="BQ489" s="662"/>
      <c r="BR489" s="662"/>
      <c r="BS489" s="662"/>
      <c r="BT489" s="662"/>
      <c r="BU489" s="662"/>
      <c r="BV489" s="662"/>
      <c r="BW489" s="662"/>
      <c r="BX489" s="662"/>
      <c r="BY489" s="662"/>
      <c r="BZ489" s="662"/>
      <c r="CA489" s="662"/>
      <c r="CB489" s="662"/>
      <c r="CC489" s="662"/>
      <c r="CD489" s="662"/>
      <c r="CE489" s="662"/>
      <c r="CF489" s="662"/>
      <c r="CG489" s="662"/>
      <c r="CH489" s="662"/>
      <c r="CI489" s="662"/>
      <c r="CJ489" s="662"/>
      <c r="CK489" s="662"/>
      <c r="CL489" s="662"/>
      <c r="CM489" s="662"/>
      <c r="CN489" s="662"/>
      <c r="CO489" s="662"/>
      <c r="CP489" s="662"/>
      <c r="CQ489" s="662"/>
      <c r="CR489" s="662"/>
      <c r="CS489" s="662"/>
      <c r="CT489" s="662"/>
      <c r="CU489" s="662"/>
      <c r="CV489" s="662"/>
      <c r="CW489" s="662"/>
      <c r="CX489" s="662"/>
      <c r="CY489" s="662"/>
      <c r="CZ489" s="662"/>
      <c r="DA489" s="662"/>
      <c r="DB489" s="662"/>
      <c r="DC489" s="662"/>
      <c r="DD489" s="662"/>
      <c r="DE489" s="662"/>
      <c r="DF489" s="662"/>
      <c r="DG489" s="662"/>
      <c r="DH489" s="662"/>
      <c r="DI489" s="662"/>
      <c r="DJ489" s="662"/>
      <c r="DK489" s="662"/>
      <c r="DL489" s="662"/>
      <c r="DM489" s="662"/>
      <c r="DN489" s="662"/>
      <c r="DO489" s="662"/>
      <c r="DP489" s="662"/>
      <c r="DQ489" s="662"/>
      <c r="DR489" s="662"/>
      <c r="DS489" s="662"/>
      <c r="DT489" s="662"/>
      <c r="DU489" s="662"/>
      <c r="DV489" s="662"/>
      <c r="DW489" s="662"/>
      <c r="DX489" s="662"/>
      <c r="DY489" s="662"/>
      <c r="DZ489" s="662"/>
      <c r="EA489" s="662"/>
      <c r="EB489" s="662"/>
      <c r="EC489" s="662"/>
      <c r="ED489" s="662"/>
      <c r="EE489" s="662"/>
      <c r="EF489" s="662"/>
      <c r="EG489" s="662"/>
      <c r="EH489" s="662"/>
      <c r="EI489" s="662"/>
      <c r="EJ489" s="662"/>
      <c r="EK489" s="662"/>
      <c r="EL489" s="662"/>
      <c r="EM489" s="662"/>
      <c r="EN489" s="662"/>
      <c r="EO489" s="662"/>
      <c r="EP489" s="662"/>
      <c r="EQ489" s="662"/>
      <c r="ER489" s="662"/>
      <c r="ES489" s="662"/>
      <c r="ET489" s="662"/>
      <c r="EU489" s="662"/>
      <c r="EV489" s="662"/>
      <c r="EW489" s="662"/>
      <c r="EX489" s="662"/>
      <c r="EY489" s="662"/>
      <c r="EZ489" s="662"/>
      <c r="FA489" s="662"/>
      <c r="FB489" s="662"/>
      <c r="FC489" s="662"/>
      <c r="FD489" s="662"/>
      <c r="FE489" s="662"/>
      <c r="FF489" s="662"/>
      <c r="FG489" s="662"/>
      <c r="FH489" s="662"/>
      <c r="FI489" s="662"/>
      <c r="FJ489" s="662"/>
      <c r="FK489" s="662"/>
      <c r="FL489" s="662"/>
      <c r="FM489" s="662"/>
      <c r="FN489" s="662"/>
      <c r="FO489" s="662"/>
      <c r="FP489" s="662"/>
      <c r="FQ489" s="662"/>
      <c r="FR489" s="662"/>
      <c r="FS489" s="662"/>
      <c r="FT489" s="662"/>
      <c r="FU489" s="662"/>
      <c r="FV489" s="662"/>
      <c r="FW489" s="662"/>
      <c r="FX489" s="662"/>
      <c r="FY489" s="662"/>
      <c r="FZ489" s="662"/>
      <c r="GA489" s="662"/>
      <c r="GB489" s="662"/>
      <c r="GC489" s="662"/>
      <c r="GD489" s="662"/>
      <c r="GE489" s="662"/>
      <c r="GF489" s="662"/>
      <c r="GG489" s="662"/>
      <c r="GH489" s="662"/>
      <c r="GI489" s="662"/>
      <c r="GJ489" s="662"/>
      <c r="GK489" s="662"/>
      <c r="GL489" s="662"/>
      <c r="GM489" s="662"/>
      <c r="GN489" s="662"/>
      <c r="GO489" s="662"/>
      <c r="GP489" s="662"/>
      <c r="GQ489" s="662"/>
      <c r="GR489" s="662"/>
      <c r="GS489" s="662"/>
      <c r="GT489" s="662"/>
      <c r="GU489" s="662"/>
      <c r="GV489" s="662"/>
      <c r="GW489" s="662"/>
      <c r="GX489" s="662"/>
      <c r="GY489" s="662"/>
      <c r="GZ489" s="662"/>
      <c r="HA489" s="662"/>
      <c r="HB489" s="662"/>
      <c r="HC489" s="662"/>
      <c r="HD489" s="662"/>
      <c r="HE489" s="662"/>
      <c r="HF489" s="662"/>
      <c r="HG489" s="662"/>
      <c r="HH489" s="662"/>
      <c r="HI489" s="662"/>
      <c r="HJ489" s="662"/>
      <c r="HK489" s="662"/>
      <c r="HL489" s="662"/>
      <c r="HM489" s="662"/>
      <c r="HN489" s="662"/>
      <c r="HO489" s="662"/>
      <c r="HP489" s="662"/>
      <c r="HQ489" s="662"/>
      <c r="HR489" s="662"/>
      <c r="HS489" s="662"/>
      <c r="HT489" s="662"/>
      <c r="HU489" s="662"/>
      <c r="HV489" s="662"/>
      <c r="HW489" s="662"/>
      <c r="HX489" s="662"/>
      <c r="HY489" s="662"/>
      <c r="HZ489" s="662"/>
      <c r="IA489" s="662"/>
      <c r="IB489" s="662"/>
      <c r="IC489" s="662"/>
      <c r="ID489" s="662"/>
      <c r="IE489" s="662"/>
      <c r="IF489" s="662"/>
      <c r="IG489" s="662"/>
      <c r="IH489" s="662"/>
      <c r="II489" s="662"/>
      <c r="IJ489" s="662"/>
      <c r="IK489" s="662"/>
      <c r="IL489" s="662"/>
      <c r="IM489" s="662"/>
      <c r="IN489" s="662"/>
      <c r="IO489" s="662"/>
      <c r="IP489" s="662"/>
      <c r="IQ489" s="662"/>
      <c r="IR489" s="662"/>
      <c r="IS489" s="662"/>
      <c r="IT489" s="662"/>
      <c r="IU489" s="662"/>
      <c r="IV489" s="662"/>
      <c r="IW489" s="662"/>
      <c r="IX489" s="662"/>
    </row>
    <row r="490" spans="1:258" s="719" customFormat="1" x14ac:dyDescent="0.2">
      <c r="A490" s="716"/>
      <c r="B490" s="717"/>
      <c r="C490" s="1399"/>
      <c r="D490" s="718"/>
      <c r="E490" s="1400"/>
      <c r="F490" s="1400"/>
      <c r="G490" s="1401" t="str">
        <f>G411</f>
        <v>J1</v>
      </c>
      <c r="H490" s="1402">
        <f>H86</f>
        <v>1.95</v>
      </c>
      <c r="I490" s="1403" t="s">
        <v>424</v>
      </c>
      <c r="J490" s="1403">
        <f>J86</f>
        <v>2.4500000000000002</v>
      </c>
      <c r="K490" s="1403" t="s">
        <v>424</v>
      </c>
      <c r="L490" s="1403">
        <v>1</v>
      </c>
      <c r="M490" s="1403"/>
      <c r="N490" s="1403"/>
      <c r="O490" s="1403"/>
      <c r="P490" s="1403"/>
      <c r="Q490" s="1403" t="s">
        <v>696</v>
      </c>
      <c r="R490" s="1404">
        <f t="shared" si="172"/>
        <v>4.7774999999999999</v>
      </c>
      <c r="S490" s="1405"/>
      <c r="T490" s="1406"/>
      <c r="U490" s="662"/>
      <c r="V490" s="685"/>
      <c r="W490" s="662"/>
      <c r="X490" s="662"/>
      <c r="Y490" s="662"/>
      <c r="Z490" s="662"/>
      <c r="AA490" s="662"/>
      <c r="AB490" s="662"/>
      <c r="AC490" s="662"/>
      <c r="AD490" s="662"/>
      <c r="AE490" s="662"/>
      <c r="AF490" s="662"/>
      <c r="AG490" s="662"/>
      <c r="AH490" s="662"/>
      <c r="AI490" s="662"/>
      <c r="AJ490" s="662"/>
      <c r="AK490" s="662"/>
      <c r="AL490" s="662"/>
      <c r="AM490" s="662"/>
      <c r="AN490" s="662"/>
      <c r="AO490" s="662"/>
      <c r="AP490" s="662"/>
      <c r="AQ490" s="662"/>
      <c r="AR490" s="662"/>
      <c r="AS490" s="662"/>
      <c r="AT490" s="662"/>
      <c r="AU490" s="662"/>
      <c r="AV490" s="662"/>
      <c r="AW490" s="662"/>
      <c r="AX490" s="662"/>
      <c r="AY490" s="662"/>
      <c r="AZ490" s="662"/>
      <c r="BA490" s="662"/>
      <c r="BB490" s="662"/>
      <c r="BC490" s="662"/>
      <c r="BD490" s="662"/>
      <c r="BE490" s="662"/>
      <c r="BF490" s="662"/>
      <c r="BG490" s="662"/>
      <c r="BH490" s="662"/>
      <c r="BI490" s="662"/>
      <c r="BJ490" s="662"/>
      <c r="BK490" s="662"/>
      <c r="BL490" s="662"/>
      <c r="BM490" s="662"/>
      <c r="BN490" s="662"/>
      <c r="BO490" s="662"/>
      <c r="BP490" s="662"/>
      <c r="BQ490" s="662"/>
      <c r="BR490" s="662"/>
      <c r="BS490" s="662"/>
      <c r="BT490" s="662"/>
      <c r="BU490" s="662"/>
      <c r="BV490" s="662"/>
      <c r="BW490" s="662"/>
      <c r="BX490" s="662"/>
      <c r="BY490" s="662"/>
      <c r="BZ490" s="662"/>
      <c r="CA490" s="662"/>
      <c r="CB490" s="662"/>
      <c r="CC490" s="662"/>
      <c r="CD490" s="662"/>
      <c r="CE490" s="662"/>
      <c r="CF490" s="662"/>
      <c r="CG490" s="662"/>
      <c r="CH490" s="662"/>
      <c r="CI490" s="662"/>
      <c r="CJ490" s="662"/>
      <c r="CK490" s="662"/>
      <c r="CL490" s="662"/>
      <c r="CM490" s="662"/>
      <c r="CN490" s="662"/>
      <c r="CO490" s="662"/>
      <c r="CP490" s="662"/>
      <c r="CQ490" s="662"/>
      <c r="CR490" s="662"/>
      <c r="CS490" s="662"/>
      <c r="CT490" s="662"/>
      <c r="CU490" s="662"/>
      <c r="CV490" s="662"/>
      <c r="CW490" s="662"/>
      <c r="CX490" s="662"/>
      <c r="CY490" s="662"/>
      <c r="CZ490" s="662"/>
      <c r="DA490" s="662"/>
      <c r="DB490" s="662"/>
      <c r="DC490" s="662"/>
      <c r="DD490" s="662"/>
      <c r="DE490" s="662"/>
      <c r="DF490" s="662"/>
      <c r="DG490" s="662"/>
      <c r="DH490" s="662"/>
      <c r="DI490" s="662"/>
      <c r="DJ490" s="662"/>
      <c r="DK490" s="662"/>
      <c r="DL490" s="662"/>
      <c r="DM490" s="662"/>
      <c r="DN490" s="662"/>
      <c r="DO490" s="662"/>
      <c r="DP490" s="662"/>
      <c r="DQ490" s="662"/>
      <c r="DR490" s="662"/>
      <c r="DS490" s="662"/>
      <c r="DT490" s="662"/>
      <c r="DU490" s="662"/>
      <c r="DV490" s="662"/>
      <c r="DW490" s="662"/>
      <c r="DX490" s="662"/>
      <c r="DY490" s="662"/>
      <c r="DZ490" s="662"/>
      <c r="EA490" s="662"/>
      <c r="EB490" s="662"/>
      <c r="EC490" s="662"/>
      <c r="ED490" s="662"/>
      <c r="EE490" s="662"/>
      <c r="EF490" s="662"/>
      <c r="EG490" s="662"/>
      <c r="EH490" s="662"/>
      <c r="EI490" s="662"/>
      <c r="EJ490" s="662"/>
      <c r="EK490" s="662"/>
      <c r="EL490" s="662"/>
      <c r="EM490" s="662"/>
      <c r="EN490" s="662"/>
      <c r="EO490" s="662"/>
      <c r="EP490" s="662"/>
      <c r="EQ490" s="662"/>
      <c r="ER490" s="662"/>
      <c r="ES490" s="662"/>
      <c r="ET490" s="662"/>
      <c r="EU490" s="662"/>
      <c r="EV490" s="662"/>
      <c r="EW490" s="662"/>
      <c r="EX490" s="662"/>
      <c r="EY490" s="662"/>
      <c r="EZ490" s="662"/>
      <c r="FA490" s="662"/>
      <c r="FB490" s="662"/>
      <c r="FC490" s="662"/>
      <c r="FD490" s="662"/>
      <c r="FE490" s="662"/>
      <c r="FF490" s="662"/>
      <c r="FG490" s="662"/>
      <c r="FH490" s="662"/>
      <c r="FI490" s="662"/>
      <c r="FJ490" s="662"/>
      <c r="FK490" s="662"/>
      <c r="FL490" s="662"/>
      <c r="FM490" s="662"/>
      <c r="FN490" s="662"/>
      <c r="FO490" s="662"/>
      <c r="FP490" s="662"/>
      <c r="FQ490" s="662"/>
      <c r="FR490" s="662"/>
      <c r="FS490" s="662"/>
      <c r="FT490" s="662"/>
      <c r="FU490" s="662"/>
      <c r="FV490" s="662"/>
      <c r="FW490" s="662"/>
      <c r="FX490" s="662"/>
      <c r="FY490" s="662"/>
      <c r="FZ490" s="662"/>
      <c r="GA490" s="662"/>
      <c r="GB490" s="662"/>
      <c r="GC490" s="662"/>
      <c r="GD490" s="662"/>
      <c r="GE490" s="662"/>
      <c r="GF490" s="662"/>
      <c r="GG490" s="662"/>
      <c r="GH490" s="662"/>
      <c r="GI490" s="662"/>
      <c r="GJ490" s="662"/>
      <c r="GK490" s="662"/>
      <c r="GL490" s="662"/>
      <c r="GM490" s="662"/>
      <c r="GN490" s="662"/>
      <c r="GO490" s="662"/>
      <c r="GP490" s="662"/>
      <c r="GQ490" s="662"/>
      <c r="GR490" s="662"/>
      <c r="GS490" s="662"/>
      <c r="GT490" s="662"/>
      <c r="GU490" s="662"/>
      <c r="GV490" s="662"/>
      <c r="GW490" s="662"/>
      <c r="GX490" s="662"/>
      <c r="GY490" s="662"/>
      <c r="GZ490" s="662"/>
      <c r="HA490" s="662"/>
      <c r="HB490" s="662"/>
      <c r="HC490" s="662"/>
      <c r="HD490" s="662"/>
      <c r="HE490" s="662"/>
      <c r="HF490" s="662"/>
      <c r="HG490" s="662"/>
      <c r="HH490" s="662"/>
      <c r="HI490" s="662"/>
      <c r="HJ490" s="662"/>
      <c r="HK490" s="662"/>
      <c r="HL490" s="662"/>
      <c r="HM490" s="662"/>
      <c r="HN490" s="662"/>
      <c r="HO490" s="662"/>
      <c r="HP490" s="662"/>
      <c r="HQ490" s="662"/>
      <c r="HR490" s="662"/>
      <c r="HS490" s="662"/>
      <c r="HT490" s="662"/>
      <c r="HU490" s="662"/>
      <c r="HV490" s="662"/>
      <c r="HW490" s="662"/>
      <c r="HX490" s="662"/>
      <c r="HY490" s="662"/>
      <c r="HZ490" s="662"/>
      <c r="IA490" s="662"/>
      <c r="IB490" s="662"/>
      <c r="IC490" s="662"/>
      <c r="ID490" s="662"/>
      <c r="IE490" s="662"/>
      <c r="IF490" s="662"/>
      <c r="IG490" s="662"/>
      <c r="IH490" s="662"/>
      <c r="II490" s="662"/>
      <c r="IJ490" s="662"/>
      <c r="IK490" s="662"/>
      <c r="IL490" s="662"/>
      <c r="IM490" s="662"/>
      <c r="IN490" s="662"/>
      <c r="IO490" s="662"/>
      <c r="IP490" s="662"/>
      <c r="IQ490" s="662"/>
      <c r="IR490" s="662"/>
      <c r="IS490" s="662"/>
      <c r="IT490" s="662"/>
      <c r="IU490" s="662"/>
      <c r="IV490" s="662"/>
      <c r="IW490" s="662"/>
      <c r="IX490" s="662"/>
    </row>
    <row r="491" spans="1:258" s="203" customFormat="1" x14ac:dyDescent="0.2">
      <c r="A491" s="669"/>
      <c r="B491" s="670"/>
      <c r="C491" s="1390"/>
      <c r="D491" s="672"/>
      <c r="E491" s="1391"/>
      <c r="F491" s="1391"/>
      <c r="G491" s="1401" t="str">
        <f>G412</f>
        <v>J2</v>
      </c>
      <c r="H491" s="1402">
        <f>H87</f>
        <v>1.25</v>
      </c>
      <c r="I491" s="1403" t="s">
        <v>424</v>
      </c>
      <c r="J491" s="1403">
        <f>J87</f>
        <v>1.35</v>
      </c>
      <c r="K491" s="1403" t="s">
        <v>424</v>
      </c>
      <c r="L491" s="1403">
        <v>3</v>
      </c>
      <c r="M491" s="1403"/>
      <c r="N491" s="1403"/>
      <c r="O491" s="1403"/>
      <c r="P491" s="1403"/>
      <c r="Q491" s="1403" t="s">
        <v>696</v>
      </c>
      <c r="R491" s="1404">
        <f t="shared" si="172"/>
        <v>5.0625</v>
      </c>
      <c r="S491" s="1405"/>
      <c r="T491" s="1397"/>
      <c r="U491" s="205"/>
      <c r="V491" s="685"/>
      <c r="W491" s="205"/>
      <c r="X491" s="205"/>
      <c r="Y491" s="205"/>
      <c r="Z491" s="205"/>
      <c r="AA491" s="205"/>
      <c r="AB491" s="205"/>
      <c r="AC491" s="205"/>
      <c r="AD491" s="205"/>
      <c r="AE491" s="205"/>
      <c r="AF491" s="205"/>
      <c r="AG491" s="205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5"/>
      <c r="AR491" s="205"/>
      <c r="AS491" s="205"/>
      <c r="AT491" s="205"/>
      <c r="AU491" s="205"/>
      <c r="AV491" s="205"/>
      <c r="AW491" s="205"/>
      <c r="AX491" s="205"/>
      <c r="AY491" s="205"/>
      <c r="AZ491" s="205"/>
      <c r="BA491" s="205"/>
      <c r="BB491" s="205"/>
      <c r="BC491" s="205"/>
      <c r="BD491" s="205"/>
      <c r="BE491" s="205"/>
      <c r="BF491" s="205"/>
      <c r="BG491" s="205"/>
      <c r="BH491" s="205"/>
      <c r="BI491" s="205"/>
      <c r="BJ491" s="205"/>
      <c r="BK491" s="205"/>
      <c r="BL491" s="205"/>
      <c r="BM491" s="205"/>
      <c r="BN491" s="205"/>
      <c r="BO491" s="205"/>
      <c r="BP491" s="205"/>
      <c r="BQ491" s="205"/>
      <c r="BR491" s="205"/>
      <c r="BS491" s="205"/>
      <c r="BT491" s="205"/>
      <c r="BU491" s="205"/>
      <c r="BV491" s="205"/>
      <c r="BW491" s="205"/>
      <c r="BX491" s="205"/>
      <c r="BY491" s="205"/>
      <c r="BZ491" s="205"/>
      <c r="CA491" s="205"/>
      <c r="CB491" s="205"/>
      <c r="CC491" s="205"/>
      <c r="CD491" s="205"/>
      <c r="CE491" s="205"/>
      <c r="CF491" s="205"/>
      <c r="CG491" s="205"/>
      <c r="CH491" s="205"/>
      <c r="CI491" s="205"/>
      <c r="CJ491" s="205"/>
      <c r="CK491" s="205"/>
      <c r="CL491" s="205"/>
      <c r="CM491" s="205"/>
      <c r="CN491" s="205"/>
      <c r="CO491" s="205"/>
      <c r="CP491" s="205"/>
      <c r="CQ491" s="205"/>
      <c r="CR491" s="205"/>
      <c r="CS491" s="205"/>
      <c r="CT491" s="205"/>
      <c r="CU491" s="205"/>
      <c r="CV491" s="205"/>
      <c r="CW491" s="205"/>
      <c r="CX491" s="205"/>
      <c r="CY491" s="205"/>
      <c r="CZ491" s="205"/>
      <c r="DA491" s="205"/>
      <c r="DB491" s="205"/>
      <c r="DC491" s="205"/>
      <c r="DD491" s="205"/>
      <c r="DE491" s="205"/>
      <c r="DF491" s="205"/>
      <c r="DG491" s="205"/>
      <c r="DH491" s="205"/>
      <c r="DI491" s="205"/>
      <c r="DJ491" s="205"/>
      <c r="DK491" s="205"/>
      <c r="DL491" s="205"/>
      <c r="DM491" s="205"/>
      <c r="DN491" s="205"/>
      <c r="DO491" s="205"/>
      <c r="DP491" s="205"/>
      <c r="DQ491" s="205"/>
      <c r="DR491" s="205"/>
      <c r="DS491" s="205"/>
      <c r="DT491" s="205"/>
      <c r="DU491" s="205"/>
      <c r="DV491" s="205"/>
      <c r="DW491" s="205"/>
      <c r="DX491" s="205"/>
      <c r="DY491" s="205"/>
      <c r="DZ491" s="205"/>
      <c r="EA491" s="205"/>
      <c r="EB491" s="205"/>
      <c r="EC491" s="205"/>
      <c r="ED491" s="205"/>
      <c r="EE491" s="205"/>
      <c r="EF491" s="205"/>
      <c r="EG491" s="205"/>
      <c r="EH491" s="205"/>
      <c r="EI491" s="205"/>
      <c r="EJ491" s="205"/>
      <c r="EK491" s="205"/>
      <c r="EL491" s="205"/>
      <c r="EM491" s="205"/>
      <c r="EN491" s="205"/>
      <c r="EO491" s="205"/>
      <c r="EP491" s="205"/>
      <c r="EQ491" s="205"/>
      <c r="ER491" s="205"/>
      <c r="ES491" s="205"/>
      <c r="ET491" s="205"/>
      <c r="EU491" s="205"/>
      <c r="EV491" s="205"/>
      <c r="EW491" s="205"/>
      <c r="EX491" s="205"/>
      <c r="EY491" s="205"/>
      <c r="EZ491" s="205"/>
      <c r="FA491" s="205"/>
      <c r="FB491" s="205"/>
      <c r="FC491" s="205"/>
      <c r="FD491" s="205"/>
      <c r="FE491" s="205"/>
      <c r="FF491" s="205"/>
      <c r="FG491" s="205"/>
      <c r="FH491" s="205"/>
      <c r="FI491" s="205"/>
      <c r="FJ491" s="205"/>
      <c r="FK491" s="205"/>
      <c r="FL491" s="205"/>
      <c r="FM491" s="205"/>
      <c r="FN491" s="205"/>
      <c r="FO491" s="205"/>
      <c r="FP491" s="205"/>
      <c r="FQ491" s="205"/>
      <c r="FR491" s="205"/>
      <c r="FS491" s="205"/>
      <c r="FT491" s="205"/>
      <c r="FU491" s="205"/>
      <c r="FV491" s="205"/>
      <c r="FW491" s="205"/>
      <c r="FX491" s="205"/>
      <c r="FY491" s="205"/>
      <c r="FZ491" s="205"/>
      <c r="GA491" s="205"/>
      <c r="GB491" s="205"/>
      <c r="GC491" s="205"/>
      <c r="GD491" s="205"/>
      <c r="GE491" s="205"/>
      <c r="GF491" s="205"/>
      <c r="GG491" s="205"/>
      <c r="GH491" s="205"/>
      <c r="GI491" s="205"/>
      <c r="GJ491" s="205"/>
      <c r="GK491" s="205"/>
      <c r="GL491" s="205"/>
      <c r="GM491" s="205"/>
      <c r="GN491" s="205"/>
      <c r="GO491" s="205"/>
      <c r="GP491" s="205"/>
      <c r="GQ491" s="205"/>
      <c r="GR491" s="205"/>
      <c r="GS491" s="205"/>
      <c r="GT491" s="205"/>
      <c r="GU491" s="205"/>
      <c r="GV491" s="205"/>
      <c r="GW491" s="205"/>
      <c r="GX491" s="205"/>
      <c r="GY491" s="205"/>
      <c r="GZ491" s="205"/>
      <c r="HA491" s="205"/>
      <c r="HB491" s="205"/>
      <c r="HC491" s="205"/>
      <c r="HD491" s="205"/>
      <c r="HE491" s="205"/>
      <c r="HF491" s="205"/>
      <c r="HG491" s="205"/>
      <c r="HH491" s="205"/>
      <c r="HI491" s="205"/>
      <c r="HJ491" s="205"/>
      <c r="HK491" s="205"/>
      <c r="HL491" s="205"/>
      <c r="HM491" s="205"/>
      <c r="HN491" s="205"/>
      <c r="HO491" s="205"/>
      <c r="HP491" s="205"/>
      <c r="HQ491" s="205"/>
      <c r="HR491" s="205"/>
      <c r="HS491" s="205"/>
      <c r="HT491" s="205"/>
      <c r="HU491" s="205"/>
      <c r="HV491" s="205"/>
      <c r="HW491" s="205"/>
      <c r="HX491" s="205"/>
      <c r="HY491" s="205"/>
      <c r="HZ491" s="205"/>
      <c r="IA491" s="205"/>
      <c r="IB491" s="205"/>
      <c r="IC491" s="205"/>
      <c r="ID491" s="205"/>
      <c r="IE491" s="205"/>
      <c r="IF491" s="205"/>
      <c r="IG491" s="205"/>
      <c r="IH491" s="205"/>
      <c r="II491" s="205"/>
      <c r="IJ491" s="205"/>
      <c r="IK491" s="205"/>
      <c r="IL491" s="205"/>
      <c r="IM491" s="205"/>
      <c r="IN491" s="205"/>
      <c r="IO491" s="205"/>
      <c r="IP491" s="205"/>
      <c r="IQ491" s="205"/>
      <c r="IR491" s="205"/>
      <c r="IS491" s="205"/>
      <c r="IT491" s="205"/>
      <c r="IU491" s="205"/>
      <c r="IV491" s="205"/>
      <c r="IW491" s="205"/>
      <c r="IX491" s="205"/>
    </row>
    <row r="492" spans="1:258" s="203" customFormat="1" x14ac:dyDescent="0.2">
      <c r="A492" s="669"/>
      <c r="B492" s="670"/>
      <c r="C492" s="1390"/>
      <c r="D492" s="672"/>
      <c r="E492" s="1391"/>
      <c r="F492" s="1391"/>
      <c r="G492" s="1401" t="str">
        <f>G413</f>
        <v>J3</v>
      </c>
      <c r="H492" s="1402">
        <f>H88</f>
        <v>0.7</v>
      </c>
      <c r="I492" s="1403" t="s">
        <v>424</v>
      </c>
      <c r="J492" s="1403">
        <f>J88</f>
        <v>1.35</v>
      </c>
      <c r="K492" s="1403" t="s">
        <v>424</v>
      </c>
      <c r="L492" s="1403">
        <v>10</v>
      </c>
      <c r="M492" s="1403"/>
      <c r="N492" s="1403"/>
      <c r="O492" s="1403"/>
      <c r="P492" s="1403"/>
      <c r="Q492" s="1403" t="s">
        <v>696</v>
      </c>
      <c r="R492" s="1404">
        <f t="shared" si="172"/>
        <v>9.4499999999999993</v>
      </c>
      <c r="S492" s="1405"/>
      <c r="T492" s="1397"/>
      <c r="U492" s="205"/>
      <c r="V492" s="685"/>
      <c r="W492" s="205"/>
      <c r="X492" s="205"/>
      <c r="Y492" s="205"/>
      <c r="Z492" s="205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5"/>
      <c r="BB492" s="205"/>
      <c r="BC492" s="205"/>
      <c r="BD492" s="205"/>
      <c r="BE492" s="205"/>
      <c r="BF492" s="205"/>
      <c r="BG492" s="205"/>
      <c r="BH492" s="205"/>
      <c r="BI492" s="205"/>
      <c r="BJ492" s="205"/>
      <c r="BK492" s="205"/>
      <c r="BL492" s="205"/>
      <c r="BM492" s="205"/>
      <c r="BN492" s="205"/>
      <c r="BO492" s="205"/>
      <c r="BP492" s="205"/>
      <c r="BQ492" s="205"/>
      <c r="BR492" s="205"/>
      <c r="BS492" s="205"/>
      <c r="BT492" s="205"/>
      <c r="BU492" s="205"/>
      <c r="BV492" s="205"/>
      <c r="BW492" s="205"/>
      <c r="BX492" s="205"/>
      <c r="BY492" s="205"/>
      <c r="BZ492" s="205"/>
      <c r="CA492" s="205"/>
      <c r="CB492" s="205"/>
      <c r="CC492" s="205"/>
      <c r="CD492" s="205"/>
      <c r="CE492" s="205"/>
      <c r="CF492" s="205"/>
      <c r="CG492" s="205"/>
      <c r="CH492" s="205"/>
      <c r="CI492" s="205"/>
      <c r="CJ492" s="205"/>
      <c r="CK492" s="205"/>
      <c r="CL492" s="205"/>
      <c r="CM492" s="205"/>
      <c r="CN492" s="205"/>
      <c r="CO492" s="205"/>
      <c r="CP492" s="205"/>
      <c r="CQ492" s="205"/>
      <c r="CR492" s="205"/>
      <c r="CS492" s="205"/>
      <c r="CT492" s="205"/>
      <c r="CU492" s="205"/>
      <c r="CV492" s="205"/>
      <c r="CW492" s="205"/>
      <c r="CX492" s="205"/>
      <c r="CY492" s="205"/>
      <c r="CZ492" s="205"/>
      <c r="DA492" s="205"/>
      <c r="DB492" s="205"/>
      <c r="DC492" s="205"/>
      <c r="DD492" s="205"/>
      <c r="DE492" s="205"/>
      <c r="DF492" s="205"/>
      <c r="DG492" s="205"/>
      <c r="DH492" s="205"/>
      <c r="DI492" s="205"/>
      <c r="DJ492" s="205"/>
      <c r="DK492" s="205"/>
      <c r="DL492" s="205"/>
      <c r="DM492" s="205"/>
      <c r="DN492" s="205"/>
      <c r="DO492" s="205"/>
      <c r="DP492" s="205"/>
      <c r="DQ492" s="205"/>
      <c r="DR492" s="205"/>
      <c r="DS492" s="205"/>
      <c r="DT492" s="205"/>
      <c r="DU492" s="205"/>
      <c r="DV492" s="205"/>
      <c r="DW492" s="205"/>
      <c r="DX492" s="205"/>
      <c r="DY492" s="205"/>
      <c r="DZ492" s="205"/>
      <c r="EA492" s="205"/>
      <c r="EB492" s="205"/>
      <c r="EC492" s="205"/>
      <c r="ED492" s="205"/>
      <c r="EE492" s="205"/>
      <c r="EF492" s="205"/>
      <c r="EG492" s="205"/>
      <c r="EH492" s="205"/>
      <c r="EI492" s="205"/>
      <c r="EJ492" s="205"/>
      <c r="EK492" s="205"/>
      <c r="EL492" s="205"/>
      <c r="EM492" s="205"/>
      <c r="EN492" s="205"/>
      <c r="EO492" s="205"/>
      <c r="EP492" s="205"/>
      <c r="EQ492" s="205"/>
      <c r="ER492" s="205"/>
      <c r="ES492" s="205"/>
      <c r="ET492" s="205"/>
      <c r="EU492" s="205"/>
      <c r="EV492" s="205"/>
      <c r="EW492" s="205"/>
      <c r="EX492" s="205"/>
      <c r="EY492" s="205"/>
      <c r="EZ492" s="205"/>
      <c r="FA492" s="205"/>
      <c r="FB492" s="205"/>
      <c r="FC492" s="205"/>
      <c r="FD492" s="205"/>
      <c r="FE492" s="205"/>
      <c r="FF492" s="205"/>
      <c r="FG492" s="205"/>
      <c r="FH492" s="205"/>
      <c r="FI492" s="205"/>
      <c r="FJ492" s="205"/>
      <c r="FK492" s="205"/>
      <c r="FL492" s="205"/>
      <c r="FM492" s="205"/>
      <c r="FN492" s="205"/>
      <c r="FO492" s="205"/>
      <c r="FP492" s="205"/>
      <c r="FQ492" s="205"/>
      <c r="FR492" s="205"/>
      <c r="FS492" s="205"/>
      <c r="FT492" s="205"/>
      <c r="FU492" s="205"/>
      <c r="FV492" s="205"/>
      <c r="FW492" s="205"/>
      <c r="FX492" s="205"/>
      <c r="FY492" s="205"/>
      <c r="FZ492" s="205"/>
      <c r="GA492" s="205"/>
      <c r="GB492" s="205"/>
      <c r="GC492" s="205"/>
      <c r="GD492" s="205"/>
      <c r="GE492" s="205"/>
      <c r="GF492" s="205"/>
      <c r="GG492" s="205"/>
      <c r="GH492" s="205"/>
      <c r="GI492" s="205"/>
      <c r="GJ492" s="205"/>
      <c r="GK492" s="205"/>
      <c r="GL492" s="205"/>
      <c r="GM492" s="205"/>
      <c r="GN492" s="205"/>
      <c r="GO492" s="205"/>
      <c r="GP492" s="205"/>
      <c r="GQ492" s="205"/>
      <c r="GR492" s="205"/>
      <c r="GS492" s="205"/>
      <c r="GT492" s="205"/>
      <c r="GU492" s="205"/>
      <c r="GV492" s="205"/>
      <c r="GW492" s="205"/>
      <c r="GX492" s="205"/>
      <c r="GY492" s="205"/>
      <c r="GZ492" s="205"/>
      <c r="HA492" s="205"/>
      <c r="HB492" s="205"/>
      <c r="HC492" s="205"/>
      <c r="HD492" s="205"/>
      <c r="HE492" s="205"/>
      <c r="HF492" s="205"/>
      <c r="HG492" s="205"/>
      <c r="HH492" s="205"/>
      <c r="HI492" s="205"/>
      <c r="HJ492" s="205"/>
      <c r="HK492" s="205"/>
      <c r="HL492" s="205"/>
      <c r="HM492" s="205"/>
      <c r="HN492" s="205"/>
      <c r="HO492" s="205"/>
      <c r="HP492" s="205"/>
      <c r="HQ492" s="205"/>
      <c r="HR492" s="205"/>
      <c r="HS492" s="205"/>
      <c r="HT492" s="205"/>
      <c r="HU492" s="205"/>
      <c r="HV492" s="205"/>
      <c r="HW492" s="205"/>
      <c r="HX492" s="205"/>
      <c r="HY492" s="205"/>
      <c r="HZ492" s="205"/>
      <c r="IA492" s="205"/>
      <c r="IB492" s="205"/>
      <c r="IC492" s="205"/>
      <c r="ID492" s="205"/>
      <c r="IE492" s="205"/>
      <c r="IF492" s="205"/>
      <c r="IG492" s="205"/>
      <c r="IH492" s="205"/>
      <c r="II492" s="205"/>
      <c r="IJ492" s="205"/>
      <c r="IK492" s="205"/>
      <c r="IL492" s="205"/>
      <c r="IM492" s="205"/>
      <c r="IN492" s="205"/>
      <c r="IO492" s="205"/>
      <c r="IP492" s="205"/>
      <c r="IQ492" s="205"/>
      <c r="IR492" s="205"/>
      <c r="IS492" s="205"/>
      <c r="IT492" s="205"/>
      <c r="IU492" s="205"/>
      <c r="IV492" s="205"/>
      <c r="IW492" s="205"/>
      <c r="IX492" s="205"/>
    </row>
    <row r="493" spans="1:258" s="203" customFormat="1" x14ac:dyDescent="0.2">
      <c r="A493" s="669"/>
      <c r="B493" s="670"/>
      <c r="C493" s="1390"/>
      <c r="D493" s="672"/>
      <c r="E493" s="1391"/>
      <c r="F493" s="1391"/>
      <c r="G493" s="1401" t="str">
        <f>G414</f>
        <v>BV 1</v>
      </c>
      <c r="H493" s="1402">
        <f>H89</f>
        <v>1.85</v>
      </c>
      <c r="I493" s="1403" t="s">
        <v>424</v>
      </c>
      <c r="J493" s="1403">
        <f>J89</f>
        <v>0.55000000000000004</v>
      </c>
      <c r="K493" s="1403" t="s">
        <v>424</v>
      </c>
      <c r="L493" s="1403">
        <v>2</v>
      </c>
      <c r="M493" s="1403"/>
      <c r="N493" s="1403"/>
      <c r="O493" s="1403"/>
      <c r="P493" s="1403"/>
      <c r="Q493" s="1403" t="s">
        <v>696</v>
      </c>
      <c r="R493" s="1404">
        <f t="shared" si="172"/>
        <v>2.0350000000000001</v>
      </c>
      <c r="S493" s="1405"/>
      <c r="T493" s="1397"/>
      <c r="U493" s="205"/>
      <c r="V493" s="685"/>
      <c r="W493" s="205"/>
      <c r="X493" s="205"/>
      <c r="Y493" s="205"/>
      <c r="Z493" s="205"/>
      <c r="AA493" s="205"/>
      <c r="AB493" s="205"/>
      <c r="AC493" s="205"/>
      <c r="AD493" s="205"/>
      <c r="AE493" s="205"/>
      <c r="AF493" s="205"/>
      <c r="AG493" s="205"/>
      <c r="AH493" s="205"/>
      <c r="AI493" s="205"/>
      <c r="AJ493" s="205"/>
      <c r="AK493" s="205"/>
      <c r="AL493" s="205"/>
      <c r="AM493" s="205"/>
      <c r="AN493" s="205"/>
      <c r="AO493" s="205"/>
      <c r="AP493" s="205"/>
      <c r="AQ493" s="205"/>
      <c r="AR493" s="205"/>
      <c r="AS493" s="205"/>
      <c r="AT493" s="205"/>
      <c r="AU493" s="205"/>
      <c r="AV493" s="205"/>
      <c r="AW493" s="205"/>
      <c r="AX493" s="205"/>
      <c r="AY493" s="205"/>
      <c r="AZ493" s="205"/>
      <c r="BA493" s="205"/>
      <c r="BB493" s="205"/>
      <c r="BC493" s="205"/>
      <c r="BD493" s="205"/>
      <c r="BE493" s="205"/>
      <c r="BF493" s="205"/>
      <c r="BG493" s="205"/>
      <c r="BH493" s="205"/>
      <c r="BI493" s="205"/>
      <c r="BJ493" s="205"/>
      <c r="BK493" s="205"/>
      <c r="BL493" s="205"/>
      <c r="BM493" s="205"/>
      <c r="BN493" s="205"/>
      <c r="BO493" s="205"/>
      <c r="BP493" s="205"/>
      <c r="BQ493" s="205"/>
      <c r="BR493" s="205"/>
      <c r="BS493" s="205"/>
      <c r="BT493" s="205"/>
      <c r="BU493" s="205"/>
      <c r="BV493" s="205"/>
      <c r="BW493" s="205"/>
      <c r="BX493" s="205"/>
      <c r="BY493" s="205"/>
      <c r="BZ493" s="205"/>
      <c r="CA493" s="205"/>
      <c r="CB493" s="205"/>
      <c r="CC493" s="205"/>
      <c r="CD493" s="205"/>
      <c r="CE493" s="205"/>
      <c r="CF493" s="205"/>
      <c r="CG493" s="205"/>
      <c r="CH493" s="205"/>
      <c r="CI493" s="205"/>
      <c r="CJ493" s="205"/>
      <c r="CK493" s="205"/>
      <c r="CL493" s="205"/>
      <c r="CM493" s="205"/>
      <c r="CN493" s="205"/>
      <c r="CO493" s="205"/>
      <c r="CP493" s="205"/>
      <c r="CQ493" s="205"/>
      <c r="CR493" s="205"/>
      <c r="CS493" s="205"/>
      <c r="CT493" s="205"/>
      <c r="CU493" s="205"/>
      <c r="CV493" s="205"/>
      <c r="CW493" s="205"/>
      <c r="CX493" s="205"/>
      <c r="CY493" s="205"/>
      <c r="CZ493" s="205"/>
      <c r="DA493" s="205"/>
      <c r="DB493" s="205"/>
      <c r="DC493" s="205"/>
      <c r="DD493" s="205"/>
      <c r="DE493" s="205"/>
      <c r="DF493" s="205"/>
      <c r="DG493" s="205"/>
      <c r="DH493" s="205"/>
      <c r="DI493" s="205"/>
      <c r="DJ493" s="205"/>
      <c r="DK493" s="205"/>
      <c r="DL493" s="205"/>
      <c r="DM493" s="205"/>
      <c r="DN493" s="205"/>
      <c r="DO493" s="205"/>
      <c r="DP493" s="205"/>
      <c r="DQ493" s="205"/>
      <c r="DR493" s="205"/>
      <c r="DS493" s="205"/>
      <c r="DT493" s="205"/>
      <c r="DU493" s="205"/>
      <c r="DV493" s="205"/>
      <c r="DW493" s="205"/>
      <c r="DX493" s="205"/>
      <c r="DY493" s="205"/>
      <c r="DZ493" s="205"/>
      <c r="EA493" s="205"/>
      <c r="EB493" s="205"/>
      <c r="EC493" s="205"/>
      <c r="ED493" s="205"/>
      <c r="EE493" s="205"/>
      <c r="EF493" s="205"/>
      <c r="EG493" s="205"/>
      <c r="EH493" s="205"/>
      <c r="EI493" s="205"/>
      <c r="EJ493" s="205"/>
      <c r="EK493" s="205"/>
      <c r="EL493" s="205"/>
      <c r="EM493" s="205"/>
      <c r="EN493" s="205"/>
      <c r="EO493" s="205"/>
      <c r="EP493" s="205"/>
      <c r="EQ493" s="205"/>
      <c r="ER493" s="205"/>
      <c r="ES493" s="205"/>
      <c r="ET493" s="205"/>
      <c r="EU493" s="205"/>
      <c r="EV493" s="205"/>
      <c r="EW493" s="205"/>
      <c r="EX493" s="205"/>
      <c r="EY493" s="205"/>
      <c r="EZ493" s="205"/>
      <c r="FA493" s="205"/>
      <c r="FB493" s="205"/>
      <c r="FC493" s="205"/>
      <c r="FD493" s="205"/>
      <c r="FE493" s="205"/>
      <c r="FF493" s="205"/>
      <c r="FG493" s="205"/>
      <c r="FH493" s="205"/>
      <c r="FI493" s="205"/>
      <c r="FJ493" s="205"/>
      <c r="FK493" s="205"/>
      <c r="FL493" s="205"/>
      <c r="FM493" s="205"/>
      <c r="FN493" s="205"/>
      <c r="FO493" s="205"/>
      <c r="FP493" s="205"/>
      <c r="FQ493" s="205"/>
      <c r="FR493" s="205"/>
      <c r="FS493" s="205"/>
      <c r="FT493" s="205"/>
      <c r="FU493" s="205"/>
      <c r="FV493" s="205"/>
      <c r="FW493" s="205"/>
      <c r="FX493" s="205"/>
      <c r="FY493" s="205"/>
      <c r="FZ493" s="205"/>
      <c r="GA493" s="205"/>
      <c r="GB493" s="205"/>
      <c r="GC493" s="205"/>
      <c r="GD493" s="205"/>
      <c r="GE493" s="205"/>
      <c r="GF493" s="205"/>
      <c r="GG493" s="205"/>
      <c r="GH493" s="205"/>
      <c r="GI493" s="205"/>
      <c r="GJ493" s="205"/>
      <c r="GK493" s="205"/>
      <c r="GL493" s="205"/>
      <c r="GM493" s="205"/>
      <c r="GN493" s="205"/>
      <c r="GO493" s="205"/>
      <c r="GP493" s="205"/>
      <c r="GQ493" s="205"/>
      <c r="GR493" s="205"/>
      <c r="GS493" s="205"/>
      <c r="GT493" s="205"/>
      <c r="GU493" s="205"/>
      <c r="GV493" s="205"/>
      <c r="GW493" s="205"/>
      <c r="GX493" s="205"/>
      <c r="GY493" s="205"/>
      <c r="GZ493" s="205"/>
      <c r="HA493" s="205"/>
      <c r="HB493" s="205"/>
      <c r="HC493" s="205"/>
      <c r="HD493" s="205"/>
      <c r="HE493" s="205"/>
      <c r="HF493" s="205"/>
      <c r="HG493" s="205"/>
      <c r="HH493" s="205"/>
      <c r="HI493" s="205"/>
      <c r="HJ493" s="205"/>
      <c r="HK493" s="205"/>
      <c r="HL493" s="205"/>
      <c r="HM493" s="205"/>
      <c r="HN493" s="205"/>
      <c r="HO493" s="205"/>
      <c r="HP493" s="205"/>
      <c r="HQ493" s="205"/>
      <c r="HR493" s="205"/>
      <c r="HS493" s="205"/>
      <c r="HT493" s="205"/>
      <c r="HU493" s="205"/>
      <c r="HV493" s="205"/>
      <c r="HW493" s="205"/>
      <c r="HX493" s="205"/>
      <c r="HY493" s="205"/>
      <c r="HZ493" s="205"/>
      <c r="IA493" s="205"/>
      <c r="IB493" s="205"/>
      <c r="IC493" s="205"/>
      <c r="ID493" s="205"/>
      <c r="IE493" s="205"/>
      <c r="IF493" s="205"/>
      <c r="IG493" s="205"/>
      <c r="IH493" s="205"/>
      <c r="II493" s="205"/>
      <c r="IJ493" s="205"/>
      <c r="IK493" s="205"/>
      <c r="IL493" s="205"/>
      <c r="IM493" s="205"/>
      <c r="IN493" s="205"/>
      <c r="IO493" s="205"/>
      <c r="IP493" s="205"/>
      <c r="IQ493" s="205"/>
      <c r="IR493" s="205"/>
      <c r="IS493" s="205"/>
      <c r="IT493" s="205"/>
      <c r="IU493" s="205"/>
      <c r="IV493" s="205"/>
      <c r="IW493" s="205"/>
      <c r="IX493" s="205"/>
    </row>
    <row r="494" spans="1:258" s="203" customFormat="1" x14ac:dyDescent="0.2">
      <c r="A494" s="669"/>
      <c r="B494" s="670"/>
      <c r="C494" s="1390"/>
      <c r="D494" s="672"/>
      <c r="E494" s="1391"/>
      <c r="F494" s="1391"/>
      <c r="G494" s="1401" t="str">
        <f>G415</f>
        <v>BV 2</v>
      </c>
      <c r="H494" s="1402">
        <f>H90</f>
        <v>0.65</v>
      </c>
      <c r="I494" s="1403" t="s">
        <v>424</v>
      </c>
      <c r="J494" s="1403">
        <f>J90</f>
        <v>0.55000000000000004</v>
      </c>
      <c r="K494" s="1403" t="s">
        <v>424</v>
      </c>
      <c r="L494" s="1403">
        <v>7</v>
      </c>
      <c r="M494" s="1403"/>
      <c r="N494" s="1403"/>
      <c r="O494" s="1403"/>
      <c r="P494" s="1403"/>
      <c r="Q494" s="1403" t="s">
        <v>696</v>
      </c>
      <c r="R494" s="1404">
        <f t="shared" si="172"/>
        <v>2.5025000000000004</v>
      </c>
      <c r="S494" s="1405"/>
      <c r="T494" s="1397"/>
      <c r="U494" s="205"/>
      <c r="V494" s="685"/>
      <c r="W494" s="205"/>
      <c r="X494" s="205"/>
      <c r="Y494" s="205"/>
      <c r="Z494" s="205"/>
      <c r="AA494" s="205"/>
      <c r="AB494" s="205"/>
      <c r="AC494" s="205"/>
      <c r="AD494" s="205"/>
      <c r="AE494" s="205"/>
      <c r="AF494" s="205"/>
      <c r="AG494" s="205"/>
      <c r="AH494" s="205"/>
      <c r="AI494" s="205"/>
      <c r="AJ494" s="205"/>
      <c r="AK494" s="205"/>
      <c r="AL494" s="205"/>
      <c r="AM494" s="205"/>
      <c r="AN494" s="205"/>
      <c r="AO494" s="205"/>
      <c r="AP494" s="205"/>
      <c r="AQ494" s="205"/>
      <c r="AR494" s="205"/>
      <c r="AS494" s="205"/>
      <c r="AT494" s="205"/>
      <c r="AU494" s="205"/>
      <c r="AV494" s="205"/>
      <c r="AW494" s="205"/>
      <c r="AX494" s="205"/>
      <c r="AY494" s="205"/>
      <c r="AZ494" s="205"/>
      <c r="BA494" s="205"/>
      <c r="BB494" s="205"/>
      <c r="BC494" s="205"/>
      <c r="BD494" s="205"/>
      <c r="BE494" s="205"/>
      <c r="BF494" s="205"/>
      <c r="BG494" s="205"/>
      <c r="BH494" s="205"/>
      <c r="BI494" s="205"/>
      <c r="BJ494" s="205"/>
      <c r="BK494" s="205"/>
      <c r="BL494" s="205"/>
      <c r="BM494" s="205"/>
      <c r="BN494" s="205"/>
      <c r="BO494" s="205"/>
      <c r="BP494" s="205"/>
      <c r="BQ494" s="205"/>
      <c r="BR494" s="205"/>
      <c r="BS494" s="205"/>
      <c r="BT494" s="205"/>
      <c r="BU494" s="205"/>
      <c r="BV494" s="205"/>
      <c r="BW494" s="205"/>
      <c r="BX494" s="205"/>
      <c r="BY494" s="205"/>
      <c r="BZ494" s="205"/>
      <c r="CA494" s="205"/>
      <c r="CB494" s="205"/>
      <c r="CC494" s="205"/>
      <c r="CD494" s="205"/>
      <c r="CE494" s="205"/>
      <c r="CF494" s="205"/>
      <c r="CG494" s="205"/>
      <c r="CH494" s="205"/>
      <c r="CI494" s="205"/>
      <c r="CJ494" s="205"/>
      <c r="CK494" s="205"/>
      <c r="CL494" s="205"/>
      <c r="CM494" s="205"/>
      <c r="CN494" s="205"/>
      <c r="CO494" s="205"/>
      <c r="CP494" s="205"/>
      <c r="CQ494" s="205"/>
      <c r="CR494" s="205"/>
      <c r="CS494" s="205"/>
      <c r="CT494" s="205"/>
      <c r="CU494" s="205"/>
      <c r="CV494" s="205"/>
      <c r="CW494" s="205"/>
      <c r="CX494" s="205"/>
      <c r="CY494" s="205"/>
      <c r="CZ494" s="205"/>
      <c r="DA494" s="205"/>
      <c r="DB494" s="205"/>
      <c r="DC494" s="205"/>
      <c r="DD494" s="205"/>
      <c r="DE494" s="205"/>
      <c r="DF494" s="205"/>
      <c r="DG494" s="205"/>
      <c r="DH494" s="205"/>
      <c r="DI494" s="205"/>
      <c r="DJ494" s="205"/>
      <c r="DK494" s="205"/>
      <c r="DL494" s="205"/>
      <c r="DM494" s="205"/>
      <c r="DN494" s="205"/>
      <c r="DO494" s="205"/>
      <c r="DP494" s="205"/>
      <c r="DQ494" s="205"/>
      <c r="DR494" s="205"/>
      <c r="DS494" s="205"/>
      <c r="DT494" s="205"/>
      <c r="DU494" s="205"/>
      <c r="DV494" s="205"/>
      <c r="DW494" s="205"/>
      <c r="DX494" s="205"/>
      <c r="DY494" s="205"/>
      <c r="DZ494" s="205"/>
      <c r="EA494" s="205"/>
      <c r="EB494" s="205"/>
      <c r="EC494" s="205"/>
      <c r="ED494" s="205"/>
      <c r="EE494" s="205"/>
      <c r="EF494" s="205"/>
      <c r="EG494" s="205"/>
      <c r="EH494" s="205"/>
      <c r="EI494" s="205"/>
      <c r="EJ494" s="205"/>
      <c r="EK494" s="205"/>
      <c r="EL494" s="205"/>
      <c r="EM494" s="205"/>
      <c r="EN494" s="205"/>
      <c r="EO494" s="205"/>
      <c r="EP494" s="205"/>
      <c r="EQ494" s="205"/>
      <c r="ER494" s="205"/>
      <c r="ES494" s="205"/>
      <c r="ET494" s="205"/>
      <c r="EU494" s="205"/>
      <c r="EV494" s="205"/>
      <c r="EW494" s="205"/>
      <c r="EX494" s="205"/>
      <c r="EY494" s="205"/>
      <c r="EZ494" s="205"/>
      <c r="FA494" s="205"/>
      <c r="FB494" s="205"/>
      <c r="FC494" s="205"/>
      <c r="FD494" s="205"/>
      <c r="FE494" s="205"/>
      <c r="FF494" s="205"/>
      <c r="FG494" s="205"/>
      <c r="FH494" s="205"/>
      <c r="FI494" s="205"/>
      <c r="FJ494" s="205"/>
      <c r="FK494" s="205"/>
      <c r="FL494" s="205"/>
      <c r="FM494" s="205"/>
      <c r="FN494" s="205"/>
      <c r="FO494" s="205"/>
      <c r="FP494" s="205"/>
      <c r="FQ494" s="205"/>
      <c r="FR494" s="205"/>
      <c r="FS494" s="205"/>
      <c r="FT494" s="205"/>
      <c r="FU494" s="205"/>
      <c r="FV494" s="205"/>
      <c r="FW494" s="205"/>
      <c r="FX494" s="205"/>
      <c r="FY494" s="205"/>
      <c r="FZ494" s="205"/>
      <c r="GA494" s="205"/>
      <c r="GB494" s="205"/>
      <c r="GC494" s="205"/>
      <c r="GD494" s="205"/>
      <c r="GE494" s="205"/>
      <c r="GF494" s="205"/>
      <c r="GG494" s="205"/>
      <c r="GH494" s="205"/>
      <c r="GI494" s="205"/>
      <c r="GJ494" s="205"/>
      <c r="GK494" s="205"/>
      <c r="GL494" s="205"/>
      <c r="GM494" s="205"/>
      <c r="GN494" s="205"/>
      <c r="GO494" s="205"/>
      <c r="GP494" s="205"/>
      <c r="GQ494" s="205"/>
      <c r="GR494" s="205"/>
      <c r="GS494" s="205"/>
      <c r="GT494" s="205"/>
      <c r="GU494" s="205"/>
      <c r="GV494" s="205"/>
      <c r="GW494" s="205"/>
      <c r="GX494" s="205"/>
      <c r="GY494" s="205"/>
      <c r="GZ494" s="205"/>
      <c r="HA494" s="205"/>
      <c r="HB494" s="205"/>
      <c r="HC494" s="205"/>
      <c r="HD494" s="205"/>
      <c r="HE494" s="205"/>
      <c r="HF494" s="205"/>
      <c r="HG494" s="205"/>
      <c r="HH494" s="205"/>
      <c r="HI494" s="205"/>
      <c r="HJ494" s="205"/>
      <c r="HK494" s="205"/>
      <c r="HL494" s="205"/>
      <c r="HM494" s="205"/>
      <c r="HN494" s="205"/>
      <c r="HO494" s="205"/>
      <c r="HP494" s="205"/>
      <c r="HQ494" s="205"/>
      <c r="HR494" s="205"/>
      <c r="HS494" s="205"/>
      <c r="HT494" s="205"/>
      <c r="HU494" s="205"/>
      <c r="HV494" s="205"/>
      <c r="HW494" s="205"/>
      <c r="HX494" s="205"/>
      <c r="HY494" s="205"/>
      <c r="HZ494" s="205"/>
      <c r="IA494" s="205"/>
      <c r="IB494" s="205"/>
      <c r="IC494" s="205"/>
      <c r="ID494" s="205"/>
      <c r="IE494" s="205"/>
      <c r="IF494" s="205"/>
      <c r="IG494" s="205"/>
      <c r="IH494" s="205"/>
      <c r="II494" s="205"/>
      <c r="IJ494" s="205"/>
      <c r="IK494" s="205"/>
      <c r="IL494" s="205"/>
      <c r="IM494" s="205"/>
      <c r="IN494" s="205"/>
      <c r="IO494" s="205"/>
      <c r="IP494" s="205"/>
      <c r="IQ494" s="205"/>
      <c r="IR494" s="205"/>
      <c r="IS494" s="205"/>
      <c r="IT494" s="205"/>
      <c r="IU494" s="205"/>
      <c r="IV494" s="205"/>
      <c r="IW494" s="205"/>
      <c r="IX494" s="205"/>
    </row>
    <row r="495" spans="1:258" s="203" customFormat="1" x14ac:dyDescent="0.2">
      <c r="A495" s="669"/>
      <c r="B495" s="670"/>
      <c r="C495" s="1390"/>
      <c r="D495" s="672"/>
      <c r="E495" s="1391"/>
      <c r="F495" s="1391"/>
      <c r="G495" s="1401"/>
      <c r="H495" s="1402"/>
      <c r="I495" s="1403"/>
      <c r="J495" s="1403"/>
      <c r="K495" s="1403"/>
      <c r="L495" s="1403"/>
      <c r="M495" s="1403"/>
      <c r="N495" s="1403"/>
      <c r="O495" s="1403"/>
      <c r="P495" s="1403"/>
      <c r="Q495" s="1403"/>
      <c r="R495" s="1404">
        <f>SUM(R487:R494)</f>
        <v>47.047499999999999</v>
      </c>
      <c r="S495" s="1405"/>
      <c r="T495" s="1397"/>
      <c r="U495" s="205"/>
      <c r="V495" s="685"/>
      <c r="W495" s="205"/>
      <c r="X495" s="205"/>
      <c r="Y495" s="205"/>
      <c r="Z495" s="205"/>
      <c r="AA495" s="205"/>
      <c r="AB495" s="205"/>
      <c r="AC495" s="205"/>
      <c r="AD495" s="205"/>
      <c r="AE495" s="205"/>
      <c r="AF495" s="205"/>
      <c r="AG495" s="205"/>
      <c r="AH495" s="205"/>
      <c r="AI495" s="205"/>
      <c r="AJ495" s="205"/>
      <c r="AK495" s="205"/>
      <c r="AL495" s="205"/>
      <c r="AM495" s="205"/>
      <c r="AN495" s="205"/>
      <c r="AO495" s="205"/>
      <c r="AP495" s="205"/>
      <c r="AQ495" s="205"/>
      <c r="AR495" s="205"/>
      <c r="AS495" s="205"/>
      <c r="AT495" s="205"/>
      <c r="AU495" s="205"/>
      <c r="AV495" s="205"/>
      <c r="AW495" s="205"/>
      <c r="AX495" s="205"/>
      <c r="AY495" s="205"/>
      <c r="AZ495" s="205"/>
      <c r="BA495" s="205"/>
      <c r="BB495" s="205"/>
      <c r="BC495" s="205"/>
      <c r="BD495" s="205"/>
      <c r="BE495" s="205"/>
      <c r="BF495" s="205"/>
      <c r="BG495" s="205"/>
      <c r="BH495" s="205"/>
      <c r="BI495" s="205"/>
      <c r="BJ495" s="205"/>
      <c r="BK495" s="205"/>
      <c r="BL495" s="205"/>
      <c r="BM495" s="205"/>
      <c r="BN495" s="205"/>
      <c r="BO495" s="205"/>
      <c r="BP495" s="205"/>
      <c r="BQ495" s="205"/>
      <c r="BR495" s="205"/>
      <c r="BS495" s="205"/>
      <c r="BT495" s="205"/>
      <c r="BU495" s="205"/>
      <c r="BV495" s="205"/>
      <c r="BW495" s="205"/>
      <c r="BX495" s="205"/>
      <c r="BY495" s="205"/>
      <c r="BZ495" s="205"/>
      <c r="CA495" s="205"/>
      <c r="CB495" s="205"/>
      <c r="CC495" s="205"/>
      <c r="CD495" s="205"/>
      <c r="CE495" s="205"/>
      <c r="CF495" s="205"/>
      <c r="CG495" s="205"/>
      <c r="CH495" s="205"/>
      <c r="CI495" s="205"/>
      <c r="CJ495" s="205"/>
      <c r="CK495" s="205"/>
      <c r="CL495" s="205"/>
      <c r="CM495" s="205"/>
      <c r="CN495" s="205"/>
      <c r="CO495" s="205"/>
      <c r="CP495" s="205"/>
      <c r="CQ495" s="205"/>
      <c r="CR495" s="205"/>
      <c r="CS495" s="205"/>
      <c r="CT495" s="205"/>
      <c r="CU495" s="205"/>
      <c r="CV495" s="205"/>
      <c r="CW495" s="205"/>
      <c r="CX495" s="205"/>
      <c r="CY495" s="205"/>
      <c r="CZ495" s="205"/>
      <c r="DA495" s="205"/>
      <c r="DB495" s="205"/>
      <c r="DC495" s="205"/>
      <c r="DD495" s="205"/>
      <c r="DE495" s="205"/>
      <c r="DF495" s="205"/>
      <c r="DG495" s="205"/>
      <c r="DH495" s="205"/>
      <c r="DI495" s="205"/>
      <c r="DJ495" s="205"/>
      <c r="DK495" s="205"/>
      <c r="DL495" s="205"/>
      <c r="DM495" s="205"/>
      <c r="DN495" s="205"/>
      <c r="DO495" s="205"/>
      <c r="DP495" s="205"/>
      <c r="DQ495" s="205"/>
      <c r="DR495" s="205"/>
      <c r="DS495" s="205"/>
      <c r="DT495" s="205"/>
      <c r="DU495" s="205"/>
      <c r="DV495" s="205"/>
      <c r="DW495" s="205"/>
      <c r="DX495" s="205"/>
      <c r="DY495" s="205"/>
      <c r="DZ495" s="205"/>
      <c r="EA495" s="205"/>
      <c r="EB495" s="205"/>
      <c r="EC495" s="205"/>
      <c r="ED495" s="205"/>
      <c r="EE495" s="205"/>
      <c r="EF495" s="205"/>
      <c r="EG495" s="205"/>
      <c r="EH495" s="205"/>
      <c r="EI495" s="205"/>
      <c r="EJ495" s="205"/>
      <c r="EK495" s="205"/>
      <c r="EL495" s="205"/>
      <c r="EM495" s="205"/>
      <c r="EN495" s="205"/>
      <c r="EO495" s="205"/>
      <c r="EP495" s="205"/>
      <c r="EQ495" s="205"/>
      <c r="ER495" s="205"/>
      <c r="ES495" s="205"/>
      <c r="ET495" s="205"/>
      <c r="EU495" s="205"/>
      <c r="EV495" s="205"/>
      <c r="EW495" s="205"/>
      <c r="EX495" s="205"/>
      <c r="EY495" s="205"/>
      <c r="EZ495" s="205"/>
      <c r="FA495" s="205"/>
      <c r="FB495" s="205"/>
      <c r="FC495" s="205"/>
      <c r="FD495" s="205"/>
      <c r="FE495" s="205"/>
      <c r="FF495" s="205"/>
      <c r="FG495" s="205"/>
      <c r="FH495" s="205"/>
      <c r="FI495" s="205"/>
      <c r="FJ495" s="205"/>
      <c r="FK495" s="205"/>
      <c r="FL495" s="205"/>
      <c r="FM495" s="205"/>
      <c r="FN495" s="205"/>
      <c r="FO495" s="205"/>
      <c r="FP495" s="205"/>
      <c r="FQ495" s="205"/>
      <c r="FR495" s="205"/>
      <c r="FS495" s="205"/>
      <c r="FT495" s="205"/>
      <c r="FU495" s="205"/>
      <c r="FV495" s="205"/>
      <c r="FW495" s="205"/>
      <c r="FX495" s="205"/>
      <c r="FY495" s="205"/>
      <c r="FZ495" s="205"/>
      <c r="GA495" s="205"/>
      <c r="GB495" s="205"/>
      <c r="GC495" s="205"/>
      <c r="GD495" s="205"/>
      <c r="GE495" s="205"/>
      <c r="GF495" s="205"/>
      <c r="GG495" s="205"/>
      <c r="GH495" s="205"/>
      <c r="GI495" s="205"/>
      <c r="GJ495" s="205"/>
      <c r="GK495" s="205"/>
      <c r="GL495" s="205"/>
      <c r="GM495" s="205"/>
      <c r="GN495" s="205"/>
      <c r="GO495" s="205"/>
      <c r="GP495" s="205"/>
      <c r="GQ495" s="205"/>
      <c r="GR495" s="205"/>
      <c r="GS495" s="205"/>
      <c r="GT495" s="205"/>
      <c r="GU495" s="205"/>
      <c r="GV495" s="205"/>
      <c r="GW495" s="205"/>
      <c r="GX495" s="205"/>
      <c r="GY495" s="205"/>
      <c r="GZ495" s="205"/>
      <c r="HA495" s="205"/>
      <c r="HB495" s="205"/>
      <c r="HC495" s="205"/>
      <c r="HD495" s="205"/>
      <c r="HE495" s="205"/>
      <c r="HF495" s="205"/>
      <c r="HG495" s="205"/>
      <c r="HH495" s="205"/>
      <c r="HI495" s="205"/>
      <c r="HJ495" s="205"/>
      <c r="HK495" s="205"/>
      <c r="HL495" s="205"/>
      <c r="HM495" s="205"/>
      <c r="HN495" s="205"/>
      <c r="HO495" s="205"/>
      <c r="HP495" s="205"/>
      <c r="HQ495" s="205"/>
      <c r="HR495" s="205"/>
      <c r="HS495" s="205"/>
      <c r="HT495" s="205"/>
      <c r="HU495" s="205"/>
      <c r="HV495" s="205"/>
      <c r="HW495" s="205"/>
      <c r="HX495" s="205"/>
      <c r="HY495" s="205"/>
      <c r="HZ495" s="205"/>
      <c r="IA495" s="205"/>
      <c r="IB495" s="205"/>
      <c r="IC495" s="205"/>
      <c r="ID495" s="205"/>
      <c r="IE495" s="205"/>
      <c r="IF495" s="205"/>
      <c r="IG495" s="205"/>
      <c r="IH495" s="205"/>
      <c r="II495" s="205"/>
      <c r="IJ495" s="205"/>
      <c r="IK495" s="205"/>
      <c r="IL495" s="205"/>
      <c r="IM495" s="205"/>
      <c r="IN495" s="205"/>
      <c r="IO495" s="205"/>
      <c r="IP495" s="205"/>
      <c r="IQ495" s="205"/>
      <c r="IR495" s="205"/>
      <c r="IS495" s="205"/>
      <c r="IT495" s="205"/>
      <c r="IU495" s="205"/>
      <c r="IV495" s="205"/>
      <c r="IW495" s="205"/>
      <c r="IX495" s="205"/>
    </row>
    <row r="496" spans="1:258" s="203" customFormat="1" x14ac:dyDescent="0.2">
      <c r="A496" s="669"/>
      <c r="B496" s="670"/>
      <c r="C496" s="1390"/>
      <c r="D496" s="672"/>
      <c r="E496" s="1391"/>
      <c r="F496" s="1391"/>
      <c r="G496" s="1392"/>
      <c r="H496" s="1407">
        <f>R485</f>
        <v>292.25</v>
      </c>
      <c r="I496" s="1394" t="s">
        <v>805</v>
      </c>
      <c r="J496" s="1410">
        <f>R495</f>
        <v>47.047499999999999</v>
      </c>
      <c r="K496" s="1394"/>
      <c r="L496" s="1394"/>
      <c r="M496" s="1394"/>
      <c r="N496" s="1394"/>
      <c r="O496" s="1394"/>
      <c r="P496" s="1394"/>
      <c r="Q496" s="1394" t="s">
        <v>696</v>
      </c>
      <c r="R496" s="1395">
        <f>H496-J496</f>
        <v>245.20249999999999</v>
      </c>
      <c r="S496" s="1396">
        <f>R496</f>
        <v>245.20249999999999</v>
      </c>
      <c r="T496" s="1397" t="s">
        <v>338</v>
      </c>
      <c r="U496" s="205"/>
      <c r="V496" s="721"/>
      <c r="W496" s="205"/>
      <c r="X496" s="205"/>
      <c r="Y496" s="205"/>
      <c r="Z496" s="205"/>
      <c r="AA496" s="205"/>
      <c r="AB496" s="205"/>
      <c r="AC496" s="205"/>
      <c r="AD496" s="205"/>
      <c r="AE496" s="205"/>
      <c r="AF496" s="205"/>
      <c r="AG496" s="205"/>
      <c r="AH496" s="205"/>
      <c r="AI496" s="205"/>
      <c r="AJ496" s="205"/>
      <c r="AK496" s="205"/>
      <c r="AL496" s="205"/>
      <c r="AM496" s="205"/>
      <c r="AN496" s="205"/>
      <c r="AO496" s="205"/>
      <c r="AP496" s="205"/>
      <c r="AQ496" s="205"/>
      <c r="AR496" s="205"/>
      <c r="AS496" s="205"/>
      <c r="AT496" s="205"/>
      <c r="AU496" s="205"/>
      <c r="AV496" s="205"/>
      <c r="AW496" s="205"/>
      <c r="AX496" s="205"/>
      <c r="AY496" s="205"/>
      <c r="AZ496" s="205"/>
      <c r="BA496" s="205"/>
      <c r="BB496" s="205"/>
      <c r="BC496" s="205"/>
      <c r="BD496" s="205"/>
      <c r="BE496" s="205"/>
      <c r="BF496" s="205"/>
      <c r="BG496" s="205"/>
      <c r="BH496" s="205"/>
      <c r="BI496" s="205"/>
      <c r="BJ496" s="205"/>
      <c r="BK496" s="205"/>
      <c r="BL496" s="205"/>
      <c r="BM496" s="205"/>
      <c r="BN496" s="205"/>
      <c r="BO496" s="205"/>
      <c r="BP496" s="205"/>
      <c r="BQ496" s="205"/>
      <c r="BR496" s="205"/>
      <c r="BS496" s="205"/>
      <c r="BT496" s="205"/>
      <c r="BU496" s="205"/>
      <c r="BV496" s="205"/>
      <c r="BW496" s="205"/>
      <c r="BX496" s="205"/>
      <c r="BY496" s="205"/>
      <c r="BZ496" s="205"/>
      <c r="CA496" s="205"/>
      <c r="CB496" s="205"/>
      <c r="CC496" s="205"/>
      <c r="CD496" s="205"/>
      <c r="CE496" s="205"/>
      <c r="CF496" s="205"/>
      <c r="CG496" s="205"/>
      <c r="CH496" s="205"/>
      <c r="CI496" s="205"/>
      <c r="CJ496" s="205"/>
      <c r="CK496" s="205"/>
      <c r="CL496" s="205"/>
      <c r="CM496" s="205"/>
      <c r="CN496" s="205"/>
      <c r="CO496" s="205"/>
      <c r="CP496" s="205"/>
      <c r="CQ496" s="205"/>
      <c r="CR496" s="205"/>
      <c r="CS496" s="205"/>
      <c r="CT496" s="205"/>
      <c r="CU496" s="205"/>
      <c r="CV496" s="205"/>
      <c r="CW496" s="205"/>
      <c r="CX496" s="205"/>
      <c r="CY496" s="205"/>
      <c r="CZ496" s="205"/>
      <c r="DA496" s="205"/>
      <c r="DB496" s="205"/>
      <c r="DC496" s="205"/>
      <c r="DD496" s="205"/>
      <c r="DE496" s="205"/>
      <c r="DF496" s="205"/>
      <c r="DG496" s="205"/>
      <c r="DH496" s="205"/>
      <c r="DI496" s="205"/>
      <c r="DJ496" s="205"/>
      <c r="DK496" s="205"/>
      <c r="DL496" s="205"/>
      <c r="DM496" s="205"/>
      <c r="DN496" s="205"/>
      <c r="DO496" s="205"/>
      <c r="DP496" s="205"/>
      <c r="DQ496" s="205"/>
      <c r="DR496" s="205"/>
      <c r="DS496" s="205"/>
      <c r="DT496" s="205"/>
      <c r="DU496" s="205"/>
      <c r="DV496" s="205"/>
      <c r="DW496" s="205"/>
      <c r="DX496" s="205"/>
      <c r="DY496" s="205"/>
      <c r="DZ496" s="205"/>
      <c r="EA496" s="205"/>
      <c r="EB496" s="205"/>
      <c r="EC496" s="205"/>
      <c r="ED496" s="205"/>
      <c r="EE496" s="205"/>
      <c r="EF496" s="205"/>
      <c r="EG496" s="205"/>
      <c r="EH496" s="205"/>
      <c r="EI496" s="205"/>
      <c r="EJ496" s="205"/>
      <c r="EK496" s="205"/>
      <c r="EL496" s="205"/>
      <c r="EM496" s="205"/>
      <c r="EN496" s="205"/>
      <c r="EO496" s="205"/>
      <c r="EP496" s="205"/>
      <c r="EQ496" s="205"/>
      <c r="ER496" s="205"/>
      <c r="ES496" s="205"/>
      <c r="ET496" s="205"/>
      <c r="EU496" s="205"/>
      <c r="EV496" s="205"/>
      <c r="EW496" s="205"/>
      <c r="EX496" s="205"/>
      <c r="EY496" s="205"/>
      <c r="EZ496" s="205"/>
      <c r="FA496" s="205"/>
      <c r="FB496" s="205"/>
      <c r="FC496" s="205"/>
      <c r="FD496" s="205"/>
      <c r="FE496" s="205"/>
      <c r="FF496" s="205"/>
      <c r="FG496" s="205"/>
      <c r="FH496" s="205"/>
      <c r="FI496" s="205"/>
      <c r="FJ496" s="205"/>
      <c r="FK496" s="205"/>
      <c r="FL496" s="205"/>
      <c r="FM496" s="205"/>
      <c r="FN496" s="205"/>
      <c r="FO496" s="205"/>
      <c r="FP496" s="205"/>
      <c r="FQ496" s="205"/>
      <c r="FR496" s="205"/>
      <c r="FS496" s="205"/>
      <c r="FT496" s="205"/>
      <c r="FU496" s="205"/>
      <c r="FV496" s="205"/>
      <c r="FW496" s="205"/>
      <c r="FX496" s="205"/>
      <c r="FY496" s="205"/>
      <c r="FZ496" s="205"/>
      <c r="GA496" s="205"/>
      <c r="GB496" s="205"/>
      <c r="GC496" s="205"/>
      <c r="GD496" s="205"/>
      <c r="GE496" s="205"/>
      <c r="GF496" s="205"/>
      <c r="GG496" s="205"/>
      <c r="GH496" s="205"/>
      <c r="GI496" s="205"/>
      <c r="GJ496" s="205"/>
      <c r="GK496" s="205"/>
      <c r="GL496" s="205"/>
      <c r="GM496" s="205"/>
      <c r="GN496" s="205"/>
      <c r="GO496" s="205"/>
      <c r="GP496" s="205"/>
      <c r="GQ496" s="205"/>
      <c r="GR496" s="205"/>
      <c r="GS496" s="205"/>
      <c r="GT496" s="205"/>
      <c r="GU496" s="205"/>
      <c r="GV496" s="205"/>
      <c r="GW496" s="205"/>
      <c r="GX496" s="205"/>
      <c r="GY496" s="205"/>
      <c r="GZ496" s="205"/>
      <c r="HA496" s="205"/>
      <c r="HB496" s="205"/>
      <c r="HC496" s="205"/>
      <c r="HD496" s="205"/>
      <c r="HE496" s="205"/>
      <c r="HF496" s="205"/>
      <c r="HG496" s="205"/>
      <c r="HH496" s="205"/>
      <c r="HI496" s="205"/>
      <c r="HJ496" s="205"/>
      <c r="HK496" s="205"/>
      <c r="HL496" s="205"/>
      <c r="HM496" s="205"/>
      <c r="HN496" s="205"/>
      <c r="HO496" s="205"/>
      <c r="HP496" s="205"/>
      <c r="HQ496" s="205"/>
      <c r="HR496" s="205"/>
      <c r="HS496" s="205"/>
      <c r="HT496" s="205"/>
      <c r="HU496" s="205"/>
      <c r="HV496" s="205"/>
      <c r="HW496" s="205"/>
      <c r="HX496" s="205"/>
      <c r="HY496" s="205"/>
      <c r="HZ496" s="205"/>
      <c r="IA496" s="205"/>
      <c r="IB496" s="205"/>
      <c r="IC496" s="205"/>
      <c r="ID496" s="205"/>
      <c r="IE496" s="205"/>
      <c r="IF496" s="205"/>
      <c r="IG496" s="205"/>
      <c r="IH496" s="205"/>
      <c r="II496" s="205"/>
      <c r="IJ496" s="205"/>
      <c r="IK496" s="205"/>
      <c r="IL496" s="205"/>
      <c r="IM496" s="205"/>
      <c r="IN496" s="205"/>
      <c r="IO496" s="205"/>
      <c r="IP496" s="205"/>
      <c r="IQ496" s="205"/>
      <c r="IR496" s="205"/>
      <c r="IS496" s="205"/>
      <c r="IT496" s="205"/>
      <c r="IU496" s="205"/>
      <c r="IV496" s="205"/>
      <c r="IW496" s="205"/>
      <c r="IX496" s="205"/>
    </row>
    <row r="497" spans="1:258" s="203" customFormat="1" x14ac:dyDescent="0.2">
      <c r="A497" s="669"/>
      <c r="B497" s="670"/>
      <c r="C497" s="1390"/>
      <c r="D497" s="672"/>
      <c r="E497" s="1391"/>
      <c r="F497" s="1391"/>
      <c r="G497" s="1392"/>
      <c r="H497" s="1393"/>
      <c r="I497" s="1394"/>
      <c r="J497" s="1394"/>
      <c r="K497" s="1394"/>
      <c r="L497" s="1394"/>
      <c r="M497" s="1394"/>
      <c r="N497" s="1394"/>
      <c r="O497" s="1394"/>
      <c r="P497" s="1394"/>
      <c r="Q497" s="1394"/>
      <c r="R497" s="1395"/>
      <c r="S497" s="1396"/>
      <c r="T497" s="1397"/>
      <c r="U497" s="205"/>
      <c r="V497" s="685"/>
      <c r="W497" s="205"/>
      <c r="X497" s="205"/>
      <c r="Y497" s="205"/>
      <c r="Z497" s="205"/>
      <c r="AA497" s="205"/>
      <c r="AB497" s="205"/>
      <c r="AC497" s="205"/>
      <c r="AD497" s="205"/>
      <c r="AE497" s="205"/>
      <c r="AF497" s="205"/>
      <c r="AG497" s="205"/>
      <c r="AH497" s="205"/>
      <c r="AI497" s="205"/>
      <c r="AJ497" s="205"/>
      <c r="AK497" s="205"/>
      <c r="AL497" s="205"/>
      <c r="AM497" s="205"/>
      <c r="AN497" s="205"/>
      <c r="AO497" s="205"/>
      <c r="AP497" s="205"/>
      <c r="AQ497" s="205"/>
      <c r="AR497" s="205"/>
      <c r="AS497" s="205"/>
      <c r="AT497" s="205"/>
      <c r="AU497" s="205"/>
      <c r="AV497" s="205"/>
      <c r="AW497" s="205"/>
      <c r="AX497" s="205"/>
      <c r="AY497" s="205"/>
      <c r="AZ497" s="205"/>
      <c r="BA497" s="205"/>
      <c r="BB497" s="205"/>
      <c r="BC497" s="205"/>
      <c r="BD497" s="205"/>
      <c r="BE497" s="205"/>
      <c r="BF497" s="205"/>
      <c r="BG497" s="205"/>
      <c r="BH497" s="205"/>
      <c r="BI497" s="205"/>
      <c r="BJ497" s="205"/>
      <c r="BK497" s="205"/>
      <c r="BL497" s="205"/>
      <c r="BM497" s="205"/>
      <c r="BN497" s="205"/>
      <c r="BO497" s="205"/>
      <c r="BP497" s="205"/>
      <c r="BQ497" s="205"/>
      <c r="BR497" s="205"/>
      <c r="BS497" s="205"/>
      <c r="BT497" s="205"/>
      <c r="BU497" s="205"/>
      <c r="BV497" s="205"/>
      <c r="BW497" s="205"/>
      <c r="BX497" s="205"/>
      <c r="BY497" s="205"/>
      <c r="BZ497" s="205"/>
      <c r="CA497" s="205"/>
      <c r="CB497" s="205"/>
      <c r="CC497" s="205"/>
      <c r="CD497" s="205"/>
      <c r="CE497" s="205"/>
      <c r="CF497" s="205"/>
      <c r="CG497" s="205"/>
      <c r="CH497" s="205"/>
      <c r="CI497" s="205"/>
      <c r="CJ497" s="205"/>
      <c r="CK497" s="205"/>
      <c r="CL497" s="205"/>
      <c r="CM497" s="205"/>
      <c r="CN497" s="205"/>
      <c r="CO497" s="205"/>
      <c r="CP497" s="205"/>
      <c r="CQ497" s="205"/>
      <c r="CR497" s="205"/>
      <c r="CS497" s="205"/>
      <c r="CT497" s="205"/>
      <c r="CU497" s="205"/>
      <c r="CV497" s="205"/>
      <c r="CW497" s="205"/>
      <c r="CX497" s="205"/>
      <c r="CY497" s="205"/>
      <c r="CZ497" s="205"/>
      <c r="DA497" s="205"/>
      <c r="DB497" s="205"/>
      <c r="DC497" s="205"/>
      <c r="DD497" s="205"/>
      <c r="DE497" s="205"/>
      <c r="DF497" s="205"/>
      <c r="DG497" s="205"/>
      <c r="DH497" s="205"/>
      <c r="DI497" s="205"/>
      <c r="DJ497" s="205"/>
      <c r="DK497" s="205"/>
      <c r="DL497" s="205"/>
      <c r="DM497" s="205"/>
      <c r="DN497" s="205"/>
      <c r="DO497" s="205"/>
      <c r="DP497" s="205"/>
      <c r="DQ497" s="205"/>
      <c r="DR497" s="205"/>
      <c r="DS497" s="205"/>
      <c r="DT497" s="205"/>
      <c r="DU497" s="205"/>
      <c r="DV497" s="205"/>
      <c r="DW497" s="205"/>
      <c r="DX497" s="205"/>
      <c r="DY497" s="205"/>
      <c r="DZ497" s="205"/>
      <c r="EA497" s="205"/>
      <c r="EB497" s="205"/>
      <c r="EC497" s="205"/>
      <c r="ED497" s="205"/>
      <c r="EE497" s="205"/>
      <c r="EF497" s="205"/>
      <c r="EG497" s="205"/>
      <c r="EH497" s="205"/>
      <c r="EI497" s="205"/>
      <c r="EJ497" s="205"/>
      <c r="EK497" s="205"/>
      <c r="EL497" s="205"/>
      <c r="EM497" s="205"/>
      <c r="EN497" s="205"/>
      <c r="EO497" s="205"/>
      <c r="EP497" s="205"/>
      <c r="EQ497" s="205"/>
      <c r="ER497" s="205"/>
      <c r="ES497" s="205"/>
      <c r="ET497" s="205"/>
      <c r="EU497" s="205"/>
      <c r="EV497" s="205"/>
      <c r="EW497" s="205"/>
      <c r="EX497" s="205"/>
      <c r="EY497" s="205"/>
      <c r="EZ497" s="205"/>
      <c r="FA497" s="205"/>
      <c r="FB497" s="205"/>
      <c r="FC497" s="205"/>
      <c r="FD497" s="205"/>
      <c r="FE497" s="205"/>
      <c r="FF497" s="205"/>
      <c r="FG497" s="205"/>
      <c r="FH497" s="205"/>
      <c r="FI497" s="205"/>
      <c r="FJ497" s="205"/>
      <c r="FK497" s="205"/>
      <c r="FL497" s="205"/>
      <c r="FM497" s="205"/>
      <c r="FN497" s="205"/>
      <c r="FO497" s="205"/>
      <c r="FP497" s="205"/>
      <c r="FQ497" s="205"/>
      <c r="FR497" s="205"/>
      <c r="FS497" s="205"/>
      <c r="FT497" s="205"/>
      <c r="FU497" s="205"/>
      <c r="FV497" s="205"/>
      <c r="FW497" s="205"/>
      <c r="FX497" s="205"/>
      <c r="FY497" s="205"/>
      <c r="FZ497" s="205"/>
      <c r="GA497" s="205"/>
      <c r="GB497" s="205"/>
      <c r="GC497" s="205"/>
      <c r="GD497" s="205"/>
      <c r="GE497" s="205"/>
      <c r="GF497" s="205"/>
      <c r="GG497" s="205"/>
      <c r="GH497" s="205"/>
      <c r="GI497" s="205"/>
      <c r="GJ497" s="205"/>
      <c r="GK497" s="205"/>
      <c r="GL497" s="205"/>
      <c r="GM497" s="205"/>
      <c r="GN497" s="205"/>
      <c r="GO497" s="205"/>
      <c r="GP497" s="205"/>
      <c r="GQ497" s="205"/>
      <c r="GR497" s="205"/>
      <c r="GS497" s="205"/>
      <c r="GT497" s="205"/>
      <c r="GU497" s="205"/>
      <c r="GV497" s="205"/>
      <c r="GW497" s="205"/>
      <c r="GX497" s="205"/>
      <c r="GY497" s="205"/>
      <c r="GZ497" s="205"/>
      <c r="HA497" s="205"/>
      <c r="HB497" s="205"/>
      <c r="HC497" s="205"/>
      <c r="HD497" s="205"/>
      <c r="HE497" s="205"/>
      <c r="HF497" s="205"/>
      <c r="HG497" s="205"/>
      <c r="HH497" s="205"/>
      <c r="HI497" s="205"/>
      <c r="HJ497" s="205"/>
      <c r="HK497" s="205"/>
      <c r="HL497" s="205"/>
      <c r="HM497" s="205"/>
      <c r="HN497" s="205"/>
      <c r="HO497" s="205"/>
      <c r="HP497" s="205"/>
      <c r="HQ497" s="205"/>
      <c r="HR497" s="205"/>
      <c r="HS497" s="205"/>
      <c r="HT497" s="205"/>
      <c r="HU497" s="205"/>
      <c r="HV497" s="205"/>
      <c r="HW497" s="205"/>
      <c r="HX497" s="205"/>
      <c r="HY497" s="205"/>
      <c r="HZ497" s="205"/>
      <c r="IA497" s="205"/>
      <c r="IB497" s="205"/>
      <c r="IC497" s="205"/>
      <c r="ID497" s="205"/>
      <c r="IE497" s="205"/>
      <c r="IF497" s="205"/>
      <c r="IG497" s="205"/>
      <c r="IH497" s="205"/>
      <c r="II497" s="205"/>
      <c r="IJ497" s="205"/>
      <c r="IK497" s="205"/>
      <c r="IL497" s="205"/>
      <c r="IM497" s="205"/>
      <c r="IN497" s="205"/>
      <c r="IO497" s="205"/>
      <c r="IP497" s="205"/>
      <c r="IQ497" s="205"/>
      <c r="IR497" s="205"/>
      <c r="IS497" s="205"/>
      <c r="IT497" s="205"/>
      <c r="IU497" s="205"/>
      <c r="IV497" s="205"/>
      <c r="IW497" s="205"/>
      <c r="IX497" s="205"/>
    </row>
    <row r="498" spans="1:258" s="203" customFormat="1" x14ac:dyDescent="0.2">
      <c r="A498" s="669"/>
      <c r="B498" s="670">
        <f>RAB!B165</f>
        <v>3</v>
      </c>
      <c r="C498" s="686" t="e">
        <f>RAB!D165</f>
        <v>#REF!</v>
      </c>
      <c r="D498" s="672"/>
      <c r="E498" s="673"/>
      <c r="F498" s="673"/>
      <c r="G498" s="674"/>
      <c r="H498" s="675">
        <f>H458</f>
        <v>126</v>
      </c>
      <c r="I498" s="676" t="s">
        <v>424</v>
      </c>
      <c r="J498" s="676">
        <v>0.25</v>
      </c>
      <c r="K498" s="676"/>
      <c r="L498" s="676"/>
      <c r="M498" s="676"/>
      <c r="N498" s="676"/>
      <c r="O498" s="676"/>
      <c r="P498" s="676"/>
      <c r="Q498" s="1416" t="s">
        <v>696</v>
      </c>
      <c r="R498" s="1417">
        <f>H498*J498</f>
        <v>31.5</v>
      </c>
      <c r="S498" s="678">
        <f>R498</f>
        <v>31.5</v>
      </c>
      <c r="T498" s="684" t="s">
        <v>338</v>
      </c>
      <c r="U498" s="205"/>
      <c r="V498" s="685"/>
      <c r="W498" s="205"/>
      <c r="X498" s="205"/>
      <c r="Y498" s="205"/>
      <c r="Z498" s="205"/>
      <c r="AA498" s="205"/>
      <c r="AB498" s="205"/>
      <c r="AC498" s="205"/>
      <c r="AD498" s="205"/>
      <c r="AE498" s="205"/>
      <c r="AF498" s="205"/>
      <c r="AG498" s="205"/>
      <c r="AH498" s="205"/>
      <c r="AI498" s="205"/>
      <c r="AJ498" s="205"/>
      <c r="AK498" s="205"/>
      <c r="AL498" s="205"/>
      <c r="AM498" s="205"/>
      <c r="AN498" s="205"/>
      <c r="AO498" s="205"/>
      <c r="AP498" s="205"/>
      <c r="AQ498" s="205"/>
      <c r="AR498" s="205"/>
      <c r="AS498" s="205"/>
      <c r="AT498" s="205"/>
      <c r="AU498" s="205"/>
      <c r="AV498" s="205"/>
      <c r="AW498" s="205"/>
      <c r="AX498" s="205"/>
      <c r="AY498" s="205"/>
      <c r="AZ498" s="205"/>
      <c r="BA498" s="205"/>
      <c r="BB498" s="205"/>
      <c r="BC498" s="205"/>
      <c r="BD498" s="205"/>
      <c r="BE498" s="205"/>
      <c r="BF498" s="205"/>
      <c r="BG498" s="205"/>
      <c r="BH498" s="205"/>
      <c r="BI498" s="205"/>
      <c r="BJ498" s="205"/>
      <c r="BK498" s="205"/>
      <c r="BL498" s="205"/>
      <c r="BM498" s="205"/>
      <c r="BN498" s="205"/>
      <c r="BO498" s="205"/>
      <c r="BP498" s="205"/>
      <c r="BQ498" s="205"/>
      <c r="BR498" s="205"/>
      <c r="BS498" s="205"/>
      <c r="BT498" s="205"/>
      <c r="BU498" s="205"/>
      <c r="BV498" s="205"/>
      <c r="BW498" s="205"/>
      <c r="BX498" s="205"/>
      <c r="BY498" s="205"/>
      <c r="BZ498" s="205"/>
      <c r="CA498" s="205"/>
      <c r="CB498" s="205"/>
      <c r="CC498" s="205"/>
      <c r="CD498" s="205"/>
      <c r="CE498" s="205"/>
      <c r="CF498" s="205"/>
      <c r="CG498" s="205"/>
      <c r="CH498" s="205"/>
      <c r="CI498" s="205"/>
      <c r="CJ498" s="205"/>
      <c r="CK498" s="205"/>
      <c r="CL498" s="205"/>
      <c r="CM498" s="205"/>
      <c r="CN498" s="205"/>
      <c r="CO498" s="205"/>
      <c r="CP498" s="205"/>
      <c r="CQ498" s="205"/>
      <c r="CR498" s="205"/>
      <c r="CS498" s="205"/>
      <c r="CT498" s="205"/>
      <c r="CU498" s="205"/>
      <c r="CV498" s="205"/>
      <c r="CW498" s="205"/>
      <c r="CX498" s="205"/>
      <c r="CY498" s="205"/>
      <c r="CZ498" s="205"/>
      <c r="DA498" s="205"/>
      <c r="DB498" s="205"/>
      <c r="DC498" s="205"/>
      <c r="DD498" s="205"/>
      <c r="DE498" s="205"/>
      <c r="DF498" s="205"/>
      <c r="DG498" s="205"/>
      <c r="DH498" s="205"/>
      <c r="DI498" s="205"/>
      <c r="DJ498" s="205"/>
      <c r="DK498" s="205"/>
      <c r="DL498" s="205"/>
      <c r="DM498" s="205"/>
      <c r="DN498" s="205"/>
      <c r="DO498" s="205"/>
      <c r="DP498" s="205"/>
      <c r="DQ498" s="205"/>
      <c r="DR498" s="205"/>
      <c r="DS498" s="205"/>
      <c r="DT498" s="205"/>
      <c r="DU498" s="205"/>
      <c r="DV498" s="205"/>
      <c r="DW498" s="205"/>
      <c r="DX498" s="205"/>
      <c r="DY498" s="205"/>
      <c r="DZ498" s="205"/>
      <c r="EA498" s="205"/>
      <c r="EB498" s="205"/>
      <c r="EC498" s="205"/>
      <c r="ED498" s="205"/>
      <c r="EE498" s="205"/>
      <c r="EF498" s="205"/>
      <c r="EG498" s="205"/>
      <c r="EH498" s="205"/>
      <c r="EI498" s="205"/>
      <c r="EJ498" s="205"/>
      <c r="EK498" s="205"/>
      <c r="EL498" s="205"/>
      <c r="EM498" s="205"/>
      <c r="EN498" s="205"/>
      <c r="EO498" s="205"/>
      <c r="EP498" s="205"/>
      <c r="EQ498" s="205"/>
      <c r="ER498" s="205"/>
      <c r="ES498" s="205"/>
      <c r="ET498" s="205"/>
      <c r="EU498" s="205"/>
      <c r="EV498" s="205"/>
      <c r="EW498" s="205"/>
      <c r="EX498" s="205"/>
      <c r="EY498" s="205"/>
      <c r="EZ498" s="205"/>
      <c r="FA498" s="205"/>
      <c r="FB498" s="205"/>
      <c r="FC498" s="205"/>
      <c r="FD498" s="205"/>
      <c r="FE498" s="205"/>
      <c r="FF498" s="205"/>
      <c r="FG498" s="205"/>
      <c r="FH498" s="205"/>
      <c r="FI498" s="205"/>
      <c r="FJ498" s="205"/>
      <c r="FK498" s="205"/>
      <c r="FL498" s="205"/>
      <c r="FM498" s="205"/>
      <c r="FN498" s="205"/>
      <c r="FO498" s="205"/>
      <c r="FP498" s="205"/>
      <c r="FQ498" s="205"/>
      <c r="FR498" s="205"/>
      <c r="FS498" s="205"/>
      <c r="FT498" s="205"/>
      <c r="FU498" s="205"/>
      <c r="FV498" s="205"/>
      <c r="FW498" s="205"/>
      <c r="FX498" s="205"/>
      <c r="FY498" s="205"/>
      <c r="FZ498" s="205"/>
      <c r="GA498" s="205"/>
      <c r="GB498" s="205"/>
      <c r="GC498" s="205"/>
      <c r="GD498" s="205"/>
      <c r="GE498" s="205"/>
      <c r="GF498" s="205"/>
      <c r="GG498" s="205"/>
      <c r="GH498" s="205"/>
      <c r="GI498" s="205"/>
      <c r="GJ498" s="205"/>
      <c r="GK498" s="205"/>
      <c r="GL498" s="205"/>
      <c r="GM498" s="205"/>
      <c r="GN498" s="205"/>
      <c r="GO498" s="205"/>
      <c r="GP498" s="205"/>
      <c r="GQ498" s="205"/>
      <c r="GR498" s="205"/>
      <c r="GS498" s="205"/>
      <c r="GT498" s="205"/>
      <c r="GU498" s="205"/>
      <c r="GV498" s="205"/>
      <c r="GW498" s="205"/>
      <c r="GX498" s="205"/>
      <c r="GY498" s="205"/>
      <c r="GZ498" s="205"/>
      <c r="HA498" s="205"/>
      <c r="HB498" s="205"/>
      <c r="HC498" s="205"/>
      <c r="HD498" s="205"/>
      <c r="HE498" s="205"/>
      <c r="HF498" s="205"/>
      <c r="HG498" s="205"/>
      <c r="HH498" s="205"/>
      <c r="HI498" s="205"/>
      <c r="HJ498" s="205"/>
      <c r="HK498" s="205"/>
      <c r="HL498" s="205"/>
      <c r="HM498" s="205"/>
      <c r="HN498" s="205"/>
      <c r="HO498" s="205"/>
      <c r="HP498" s="205"/>
      <c r="HQ498" s="205"/>
      <c r="HR498" s="205"/>
      <c r="HS498" s="205"/>
      <c r="HT498" s="205"/>
      <c r="HU498" s="205"/>
      <c r="HV498" s="205"/>
      <c r="HW498" s="205"/>
      <c r="HX498" s="205"/>
      <c r="HY498" s="205"/>
      <c r="HZ498" s="205"/>
      <c r="IA498" s="205"/>
      <c r="IB498" s="205"/>
      <c r="IC498" s="205"/>
      <c r="ID498" s="205"/>
      <c r="IE498" s="205"/>
      <c r="IF498" s="205"/>
      <c r="IG498" s="205"/>
      <c r="IH498" s="205"/>
      <c r="II498" s="205"/>
      <c r="IJ498" s="205"/>
      <c r="IK498" s="205"/>
      <c r="IL498" s="205"/>
      <c r="IM498" s="205"/>
      <c r="IN498" s="205"/>
      <c r="IO498" s="205"/>
      <c r="IP498" s="205"/>
      <c r="IQ498" s="205"/>
      <c r="IR498" s="205"/>
      <c r="IS498" s="205"/>
      <c r="IT498" s="205"/>
      <c r="IU498" s="205"/>
      <c r="IV498" s="205"/>
      <c r="IW498" s="205"/>
      <c r="IX498" s="205"/>
    </row>
    <row r="499" spans="1:258" s="203" customFormat="1" x14ac:dyDescent="0.2">
      <c r="A499" s="669"/>
      <c r="B499" s="670">
        <f>RAB!B166</f>
        <v>4</v>
      </c>
      <c r="C499" s="686" t="e">
        <f>RAB!D166</f>
        <v>#REF!</v>
      </c>
      <c r="D499" s="672"/>
      <c r="E499" s="1413"/>
      <c r="F499" s="1413"/>
      <c r="G499" s="1414"/>
      <c r="H499" s="1415"/>
      <c r="I499" s="1416"/>
      <c r="J499" s="1416"/>
      <c r="K499" s="1416"/>
      <c r="L499" s="1416"/>
      <c r="M499" s="1416"/>
      <c r="N499" s="1416"/>
      <c r="O499" s="1416"/>
      <c r="P499" s="1416"/>
      <c r="Q499" s="1416"/>
      <c r="R499" s="1417"/>
      <c r="S499" s="1418"/>
      <c r="T499" s="1419"/>
      <c r="U499" s="205"/>
      <c r="V499" s="685"/>
      <c r="W499" s="205"/>
      <c r="X499" s="205"/>
      <c r="Y499" s="205"/>
      <c r="Z499" s="205"/>
      <c r="AA499" s="205"/>
      <c r="AB499" s="205"/>
      <c r="AC499" s="205"/>
      <c r="AD499" s="205"/>
      <c r="AE499" s="205"/>
      <c r="AF499" s="205"/>
      <c r="AG499" s="205"/>
      <c r="AH499" s="205"/>
      <c r="AI499" s="205"/>
      <c r="AJ499" s="205"/>
      <c r="AK499" s="205"/>
      <c r="AL499" s="205"/>
      <c r="AM499" s="205"/>
      <c r="AN499" s="205"/>
      <c r="AO499" s="205"/>
      <c r="AP499" s="205"/>
      <c r="AQ499" s="205"/>
      <c r="AR499" s="205"/>
      <c r="AS499" s="205"/>
      <c r="AT499" s="205"/>
      <c r="AU499" s="205"/>
      <c r="AV499" s="205"/>
      <c r="AW499" s="205"/>
      <c r="AX499" s="205"/>
      <c r="AY499" s="205"/>
      <c r="AZ499" s="205"/>
      <c r="BA499" s="205"/>
      <c r="BB499" s="205"/>
      <c r="BC499" s="205"/>
      <c r="BD499" s="205"/>
      <c r="BE499" s="205"/>
      <c r="BF499" s="205"/>
      <c r="BG499" s="205"/>
      <c r="BH499" s="205"/>
      <c r="BI499" s="205"/>
      <c r="BJ499" s="205"/>
      <c r="BK499" s="205"/>
      <c r="BL499" s="205"/>
      <c r="BM499" s="205"/>
      <c r="BN499" s="205"/>
      <c r="BO499" s="205"/>
      <c r="BP499" s="205"/>
      <c r="BQ499" s="205"/>
      <c r="BR499" s="205"/>
      <c r="BS499" s="205"/>
      <c r="BT499" s="205"/>
      <c r="BU499" s="205"/>
      <c r="BV499" s="205"/>
      <c r="BW499" s="205"/>
      <c r="BX499" s="205"/>
      <c r="BY499" s="205"/>
      <c r="BZ499" s="205"/>
      <c r="CA499" s="205"/>
      <c r="CB499" s="205"/>
      <c r="CC499" s="205"/>
      <c r="CD499" s="205"/>
      <c r="CE499" s="205"/>
      <c r="CF499" s="205"/>
      <c r="CG499" s="205"/>
      <c r="CH499" s="205"/>
      <c r="CI499" s="205"/>
      <c r="CJ499" s="205"/>
      <c r="CK499" s="205"/>
      <c r="CL499" s="205"/>
      <c r="CM499" s="205"/>
      <c r="CN499" s="205"/>
      <c r="CO499" s="205"/>
      <c r="CP499" s="205"/>
      <c r="CQ499" s="205"/>
      <c r="CR499" s="205"/>
      <c r="CS499" s="205"/>
      <c r="CT499" s="205"/>
      <c r="CU499" s="205"/>
      <c r="CV499" s="205"/>
      <c r="CW499" s="205"/>
      <c r="CX499" s="205"/>
      <c r="CY499" s="205"/>
      <c r="CZ499" s="205"/>
      <c r="DA499" s="205"/>
      <c r="DB499" s="205"/>
      <c r="DC499" s="205"/>
      <c r="DD499" s="205"/>
      <c r="DE499" s="205"/>
      <c r="DF499" s="205"/>
      <c r="DG499" s="205"/>
      <c r="DH499" s="205"/>
      <c r="DI499" s="205"/>
      <c r="DJ499" s="205"/>
      <c r="DK499" s="205"/>
      <c r="DL499" s="205"/>
      <c r="DM499" s="205"/>
      <c r="DN499" s="205"/>
      <c r="DO499" s="205"/>
      <c r="DP499" s="205"/>
      <c r="DQ499" s="205"/>
      <c r="DR499" s="205"/>
      <c r="DS499" s="205"/>
      <c r="DT499" s="205"/>
      <c r="DU499" s="205"/>
      <c r="DV499" s="205"/>
      <c r="DW499" s="205"/>
      <c r="DX499" s="205"/>
      <c r="DY499" s="205"/>
      <c r="DZ499" s="205"/>
      <c r="EA499" s="205"/>
      <c r="EB499" s="205"/>
      <c r="EC499" s="205"/>
      <c r="ED499" s="205"/>
      <c r="EE499" s="205"/>
      <c r="EF499" s="205"/>
      <c r="EG499" s="205"/>
      <c r="EH499" s="205"/>
      <c r="EI499" s="205"/>
      <c r="EJ499" s="205"/>
      <c r="EK499" s="205"/>
      <c r="EL499" s="205"/>
      <c r="EM499" s="205"/>
      <c r="EN499" s="205"/>
      <c r="EO499" s="205"/>
      <c r="EP499" s="205"/>
      <c r="EQ499" s="205"/>
      <c r="ER499" s="205"/>
      <c r="ES499" s="205"/>
      <c r="ET499" s="205"/>
      <c r="EU499" s="205"/>
      <c r="EV499" s="205"/>
      <c r="EW499" s="205"/>
      <c r="EX499" s="205"/>
      <c r="EY499" s="205"/>
      <c r="EZ499" s="205"/>
      <c r="FA499" s="205"/>
      <c r="FB499" s="205"/>
      <c r="FC499" s="205"/>
      <c r="FD499" s="205"/>
      <c r="FE499" s="205"/>
      <c r="FF499" s="205"/>
      <c r="FG499" s="205"/>
      <c r="FH499" s="205"/>
      <c r="FI499" s="205"/>
      <c r="FJ499" s="205"/>
      <c r="FK499" s="205"/>
      <c r="FL499" s="205"/>
      <c r="FM499" s="205"/>
      <c r="FN499" s="205"/>
      <c r="FO499" s="205"/>
      <c r="FP499" s="205"/>
      <c r="FQ499" s="205"/>
      <c r="FR499" s="205"/>
      <c r="FS499" s="205"/>
      <c r="FT499" s="205"/>
      <c r="FU499" s="205"/>
      <c r="FV499" s="205"/>
      <c r="FW499" s="205"/>
      <c r="FX499" s="205"/>
      <c r="FY499" s="205"/>
      <c r="FZ499" s="205"/>
      <c r="GA499" s="205"/>
      <c r="GB499" s="205"/>
      <c r="GC499" s="205"/>
      <c r="GD499" s="205"/>
      <c r="GE499" s="205"/>
      <c r="GF499" s="205"/>
      <c r="GG499" s="205"/>
      <c r="GH499" s="205"/>
      <c r="GI499" s="205"/>
      <c r="GJ499" s="205"/>
      <c r="GK499" s="205"/>
      <c r="GL499" s="205"/>
      <c r="GM499" s="205"/>
      <c r="GN499" s="205"/>
      <c r="GO499" s="205"/>
      <c r="GP499" s="205"/>
      <c r="GQ499" s="205"/>
      <c r="GR499" s="205"/>
      <c r="GS499" s="205"/>
      <c r="GT499" s="205"/>
      <c r="GU499" s="205"/>
      <c r="GV499" s="205"/>
      <c r="GW499" s="205"/>
      <c r="GX499" s="205"/>
      <c r="GY499" s="205"/>
      <c r="GZ499" s="205"/>
      <c r="HA499" s="205"/>
      <c r="HB499" s="205"/>
      <c r="HC499" s="205"/>
      <c r="HD499" s="205"/>
      <c r="HE499" s="205"/>
      <c r="HF499" s="205"/>
      <c r="HG499" s="205"/>
      <c r="HH499" s="205"/>
      <c r="HI499" s="205"/>
      <c r="HJ499" s="205"/>
      <c r="HK499" s="205"/>
      <c r="HL499" s="205"/>
      <c r="HM499" s="205"/>
      <c r="HN499" s="205"/>
      <c r="HO499" s="205"/>
      <c r="HP499" s="205"/>
      <c r="HQ499" s="205"/>
      <c r="HR499" s="205"/>
      <c r="HS499" s="205"/>
      <c r="HT499" s="205"/>
      <c r="HU499" s="205"/>
      <c r="HV499" s="205"/>
      <c r="HW499" s="205"/>
      <c r="HX499" s="205"/>
      <c r="HY499" s="205"/>
      <c r="HZ499" s="205"/>
      <c r="IA499" s="205"/>
      <c r="IB499" s="205"/>
      <c r="IC499" s="205"/>
      <c r="ID499" s="205"/>
      <c r="IE499" s="205"/>
      <c r="IF499" s="205"/>
      <c r="IG499" s="205"/>
      <c r="IH499" s="205"/>
      <c r="II499" s="205"/>
      <c r="IJ499" s="205"/>
      <c r="IK499" s="205"/>
      <c r="IL499" s="205"/>
      <c r="IM499" s="205"/>
      <c r="IN499" s="205"/>
      <c r="IO499" s="205"/>
      <c r="IP499" s="205"/>
      <c r="IQ499" s="205"/>
      <c r="IR499" s="205"/>
      <c r="IS499" s="205"/>
      <c r="IT499" s="205"/>
      <c r="IU499" s="205"/>
      <c r="IV499" s="205"/>
      <c r="IW499" s="205"/>
      <c r="IX499" s="205"/>
    </row>
    <row r="500" spans="1:258" s="203" customFormat="1" x14ac:dyDescent="0.2">
      <c r="A500" s="669"/>
      <c r="B500" s="670"/>
      <c r="C500" s="1412"/>
      <c r="D500" s="672"/>
      <c r="E500" s="1413"/>
      <c r="F500" s="1413"/>
      <c r="G500" s="1414"/>
      <c r="H500" s="1415">
        <f>(15+125+11+15)+(10+1.5+2+2+1.5+1.5+1.5+10)</f>
        <v>196</v>
      </c>
      <c r="I500" s="1416" t="s">
        <v>424</v>
      </c>
      <c r="J500" s="1416">
        <v>3.5</v>
      </c>
      <c r="K500" s="1416"/>
      <c r="L500" s="1416"/>
      <c r="M500" s="1416"/>
      <c r="N500" s="1416"/>
      <c r="O500" s="1416"/>
      <c r="P500" s="1416"/>
      <c r="Q500" s="1416" t="s">
        <v>696</v>
      </c>
      <c r="R500" s="1417">
        <f>H500*J500</f>
        <v>686</v>
      </c>
      <c r="S500" s="1418"/>
      <c r="T500" s="1419"/>
      <c r="U500" s="205"/>
      <c r="V500" s="685"/>
      <c r="W500" s="205"/>
      <c r="X500" s="205"/>
      <c r="Y500" s="205"/>
      <c r="Z500" s="205"/>
      <c r="AA500" s="205"/>
      <c r="AB500" s="205"/>
      <c r="AC500" s="205"/>
      <c r="AD500" s="205"/>
      <c r="AE500" s="205"/>
      <c r="AF500" s="205"/>
      <c r="AG500" s="205"/>
      <c r="AH500" s="205"/>
      <c r="AI500" s="205"/>
      <c r="AJ500" s="205"/>
      <c r="AK500" s="205"/>
      <c r="AL500" s="205"/>
      <c r="AM500" s="205"/>
      <c r="AN500" s="205"/>
      <c r="AO500" s="205"/>
      <c r="AP500" s="205"/>
      <c r="AQ500" s="205"/>
      <c r="AR500" s="205"/>
      <c r="AS500" s="205"/>
      <c r="AT500" s="205"/>
      <c r="AU500" s="205"/>
      <c r="AV500" s="205"/>
      <c r="AW500" s="205"/>
      <c r="AX500" s="205"/>
      <c r="AY500" s="205"/>
      <c r="AZ500" s="205"/>
      <c r="BA500" s="205"/>
      <c r="BB500" s="205"/>
      <c r="BC500" s="205"/>
      <c r="BD500" s="205"/>
      <c r="BE500" s="205"/>
      <c r="BF500" s="205"/>
      <c r="BG500" s="205"/>
      <c r="BH500" s="205"/>
      <c r="BI500" s="205"/>
      <c r="BJ500" s="205"/>
      <c r="BK500" s="205"/>
      <c r="BL500" s="205"/>
      <c r="BM500" s="205"/>
      <c r="BN500" s="205"/>
      <c r="BO500" s="205"/>
      <c r="BP500" s="205"/>
      <c r="BQ500" s="205"/>
      <c r="BR500" s="205"/>
      <c r="BS500" s="205"/>
      <c r="BT500" s="205"/>
      <c r="BU500" s="205"/>
      <c r="BV500" s="205"/>
      <c r="BW500" s="205"/>
      <c r="BX500" s="205"/>
      <c r="BY500" s="205"/>
      <c r="BZ500" s="205"/>
      <c r="CA500" s="205"/>
      <c r="CB500" s="205"/>
      <c r="CC500" s="205"/>
      <c r="CD500" s="205"/>
      <c r="CE500" s="205"/>
      <c r="CF500" s="205"/>
      <c r="CG500" s="205"/>
      <c r="CH500" s="205"/>
      <c r="CI500" s="205"/>
      <c r="CJ500" s="205"/>
      <c r="CK500" s="205"/>
      <c r="CL500" s="205"/>
      <c r="CM500" s="205"/>
      <c r="CN500" s="205"/>
      <c r="CO500" s="205"/>
      <c r="CP500" s="205"/>
      <c r="CQ500" s="205"/>
      <c r="CR500" s="205"/>
      <c r="CS500" s="205"/>
      <c r="CT500" s="205"/>
      <c r="CU500" s="205"/>
      <c r="CV500" s="205"/>
      <c r="CW500" s="205"/>
      <c r="CX500" s="205"/>
      <c r="CY500" s="205"/>
      <c r="CZ500" s="205"/>
      <c r="DA500" s="205"/>
      <c r="DB500" s="205"/>
      <c r="DC500" s="205"/>
      <c r="DD500" s="205"/>
      <c r="DE500" s="205"/>
      <c r="DF500" s="205"/>
      <c r="DG500" s="205"/>
      <c r="DH500" s="205"/>
      <c r="DI500" s="205"/>
      <c r="DJ500" s="205"/>
      <c r="DK500" s="205"/>
      <c r="DL500" s="205"/>
      <c r="DM500" s="205"/>
      <c r="DN500" s="205"/>
      <c r="DO500" s="205"/>
      <c r="DP500" s="205"/>
      <c r="DQ500" s="205"/>
      <c r="DR500" s="205"/>
      <c r="DS500" s="205"/>
      <c r="DT500" s="205"/>
      <c r="DU500" s="205"/>
      <c r="DV500" s="205"/>
      <c r="DW500" s="205"/>
      <c r="DX500" s="205"/>
      <c r="DY500" s="205"/>
      <c r="DZ500" s="205"/>
      <c r="EA500" s="205"/>
      <c r="EB500" s="205"/>
      <c r="EC500" s="205"/>
      <c r="ED500" s="205"/>
      <c r="EE500" s="205"/>
      <c r="EF500" s="205"/>
      <c r="EG500" s="205"/>
      <c r="EH500" s="205"/>
      <c r="EI500" s="205"/>
      <c r="EJ500" s="205"/>
      <c r="EK500" s="205"/>
      <c r="EL500" s="205"/>
      <c r="EM500" s="205"/>
      <c r="EN500" s="205"/>
      <c r="EO500" s="205"/>
      <c r="EP500" s="205"/>
      <c r="EQ500" s="205"/>
      <c r="ER500" s="205"/>
      <c r="ES500" s="205"/>
      <c r="ET500" s="205"/>
      <c r="EU500" s="205"/>
      <c r="EV500" s="205"/>
      <c r="EW500" s="205"/>
      <c r="EX500" s="205"/>
      <c r="EY500" s="205"/>
      <c r="EZ500" s="205"/>
      <c r="FA500" s="205"/>
      <c r="FB500" s="205"/>
      <c r="FC500" s="205"/>
      <c r="FD500" s="205"/>
      <c r="FE500" s="205"/>
      <c r="FF500" s="205"/>
      <c r="FG500" s="205"/>
      <c r="FH500" s="205"/>
      <c r="FI500" s="205"/>
      <c r="FJ500" s="205"/>
      <c r="FK500" s="205"/>
      <c r="FL500" s="205"/>
      <c r="FM500" s="205"/>
      <c r="FN500" s="205"/>
      <c r="FO500" s="205"/>
      <c r="FP500" s="205"/>
      <c r="FQ500" s="205"/>
      <c r="FR500" s="205"/>
      <c r="FS500" s="205"/>
      <c r="FT500" s="205"/>
      <c r="FU500" s="205"/>
      <c r="FV500" s="205"/>
      <c r="FW500" s="205"/>
      <c r="FX500" s="205"/>
      <c r="FY500" s="205"/>
      <c r="FZ500" s="205"/>
      <c r="GA500" s="205"/>
      <c r="GB500" s="205"/>
      <c r="GC500" s="205"/>
      <c r="GD500" s="205"/>
      <c r="GE500" s="205"/>
      <c r="GF500" s="205"/>
      <c r="GG500" s="205"/>
      <c r="GH500" s="205"/>
      <c r="GI500" s="205"/>
      <c r="GJ500" s="205"/>
      <c r="GK500" s="205"/>
      <c r="GL500" s="205"/>
      <c r="GM500" s="205"/>
      <c r="GN500" s="205"/>
      <c r="GO500" s="205"/>
      <c r="GP500" s="205"/>
      <c r="GQ500" s="205"/>
      <c r="GR500" s="205"/>
      <c r="GS500" s="205"/>
      <c r="GT500" s="205"/>
      <c r="GU500" s="205"/>
      <c r="GV500" s="205"/>
      <c r="GW500" s="205"/>
      <c r="GX500" s="205"/>
      <c r="GY500" s="205"/>
      <c r="GZ500" s="205"/>
      <c r="HA500" s="205"/>
      <c r="HB500" s="205"/>
      <c r="HC500" s="205"/>
      <c r="HD500" s="205"/>
      <c r="HE500" s="205"/>
      <c r="HF500" s="205"/>
      <c r="HG500" s="205"/>
      <c r="HH500" s="205"/>
      <c r="HI500" s="205"/>
      <c r="HJ500" s="205"/>
      <c r="HK500" s="205"/>
      <c r="HL500" s="205"/>
      <c r="HM500" s="205"/>
      <c r="HN500" s="205"/>
      <c r="HO500" s="205"/>
      <c r="HP500" s="205"/>
      <c r="HQ500" s="205"/>
      <c r="HR500" s="205"/>
      <c r="HS500" s="205"/>
      <c r="HT500" s="205"/>
      <c r="HU500" s="205"/>
      <c r="HV500" s="205"/>
      <c r="HW500" s="205"/>
      <c r="HX500" s="205"/>
      <c r="HY500" s="205"/>
      <c r="HZ500" s="205"/>
      <c r="IA500" s="205"/>
      <c r="IB500" s="205"/>
      <c r="IC500" s="205"/>
      <c r="ID500" s="205"/>
      <c r="IE500" s="205"/>
      <c r="IF500" s="205"/>
      <c r="IG500" s="205"/>
      <c r="IH500" s="205"/>
      <c r="II500" s="205"/>
      <c r="IJ500" s="205"/>
      <c r="IK500" s="205"/>
      <c r="IL500" s="205"/>
      <c r="IM500" s="205"/>
      <c r="IN500" s="205"/>
      <c r="IO500" s="205"/>
      <c r="IP500" s="205"/>
      <c r="IQ500" s="205"/>
      <c r="IR500" s="205"/>
      <c r="IS500" s="205"/>
      <c r="IT500" s="205"/>
      <c r="IU500" s="205"/>
      <c r="IV500" s="205"/>
      <c r="IW500" s="205"/>
      <c r="IX500" s="205"/>
    </row>
    <row r="501" spans="1:258" s="203" customFormat="1" x14ac:dyDescent="0.2">
      <c r="A501" s="669"/>
      <c r="B501" s="670"/>
      <c r="C501" s="1412"/>
      <c r="D501" s="672"/>
      <c r="E501" s="1413"/>
      <c r="F501" s="1400" t="s">
        <v>1647</v>
      </c>
      <c r="G501" s="1414"/>
      <c r="H501" s="1415"/>
      <c r="I501" s="1416"/>
      <c r="J501" s="1416"/>
      <c r="K501" s="1416"/>
      <c r="L501" s="1416"/>
      <c r="M501" s="1416"/>
      <c r="N501" s="1416"/>
      <c r="O501" s="1416"/>
      <c r="P501" s="1416"/>
      <c r="Q501" s="1416"/>
      <c r="R501" s="1417"/>
      <c r="S501" s="1418"/>
      <c r="T501" s="1419"/>
      <c r="U501" s="205"/>
      <c r="V501" s="685"/>
      <c r="W501" s="205"/>
      <c r="X501" s="205"/>
      <c r="Y501" s="205"/>
      <c r="Z501" s="205"/>
      <c r="AA501" s="205"/>
      <c r="AB501" s="205"/>
      <c r="AC501" s="205"/>
      <c r="AD501" s="205"/>
      <c r="AE501" s="205"/>
      <c r="AF501" s="205"/>
      <c r="AG501" s="205"/>
      <c r="AH501" s="205"/>
      <c r="AI501" s="205"/>
      <c r="AJ501" s="205"/>
      <c r="AK501" s="205"/>
      <c r="AL501" s="205"/>
      <c r="AM501" s="205"/>
      <c r="AN501" s="205"/>
      <c r="AO501" s="205"/>
      <c r="AP501" s="205"/>
      <c r="AQ501" s="205"/>
      <c r="AR501" s="205"/>
      <c r="AS501" s="205"/>
      <c r="AT501" s="205"/>
      <c r="AU501" s="205"/>
      <c r="AV501" s="205"/>
      <c r="AW501" s="205"/>
      <c r="AX501" s="205"/>
      <c r="AY501" s="205"/>
      <c r="AZ501" s="205"/>
      <c r="BA501" s="205"/>
      <c r="BB501" s="205"/>
      <c r="BC501" s="205"/>
      <c r="BD501" s="205"/>
      <c r="BE501" s="205"/>
      <c r="BF501" s="205"/>
      <c r="BG501" s="205"/>
      <c r="BH501" s="205"/>
      <c r="BI501" s="205"/>
      <c r="BJ501" s="205"/>
      <c r="BK501" s="205"/>
      <c r="BL501" s="205"/>
      <c r="BM501" s="205"/>
      <c r="BN501" s="205"/>
      <c r="BO501" s="205"/>
      <c r="BP501" s="205"/>
      <c r="BQ501" s="205"/>
      <c r="BR501" s="205"/>
      <c r="BS501" s="205"/>
      <c r="BT501" s="205"/>
      <c r="BU501" s="205"/>
      <c r="BV501" s="205"/>
      <c r="BW501" s="205"/>
      <c r="BX501" s="205"/>
      <c r="BY501" s="205"/>
      <c r="BZ501" s="205"/>
      <c r="CA501" s="205"/>
      <c r="CB501" s="205"/>
      <c r="CC501" s="205"/>
      <c r="CD501" s="205"/>
      <c r="CE501" s="205"/>
      <c r="CF501" s="205"/>
      <c r="CG501" s="205"/>
      <c r="CH501" s="205"/>
      <c r="CI501" s="205"/>
      <c r="CJ501" s="205"/>
      <c r="CK501" s="205"/>
      <c r="CL501" s="205"/>
      <c r="CM501" s="205"/>
      <c r="CN501" s="205"/>
      <c r="CO501" s="205"/>
      <c r="CP501" s="205"/>
      <c r="CQ501" s="205"/>
      <c r="CR501" s="205"/>
      <c r="CS501" s="205"/>
      <c r="CT501" s="205"/>
      <c r="CU501" s="205"/>
      <c r="CV501" s="205"/>
      <c r="CW501" s="205"/>
      <c r="CX501" s="205"/>
      <c r="CY501" s="205"/>
      <c r="CZ501" s="205"/>
      <c r="DA501" s="205"/>
      <c r="DB501" s="205"/>
      <c r="DC501" s="205"/>
      <c r="DD501" s="205"/>
      <c r="DE501" s="205"/>
      <c r="DF501" s="205"/>
      <c r="DG501" s="205"/>
      <c r="DH501" s="205"/>
      <c r="DI501" s="205"/>
      <c r="DJ501" s="205"/>
      <c r="DK501" s="205"/>
      <c r="DL501" s="205"/>
      <c r="DM501" s="205"/>
      <c r="DN501" s="205"/>
      <c r="DO501" s="205"/>
      <c r="DP501" s="205"/>
      <c r="DQ501" s="205"/>
      <c r="DR501" s="205"/>
      <c r="DS501" s="205"/>
      <c r="DT501" s="205"/>
      <c r="DU501" s="205"/>
      <c r="DV501" s="205"/>
      <c r="DW501" s="205"/>
      <c r="DX501" s="205"/>
      <c r="DY501" s="205"/>
      <c r="DZ501" s="205"/>
      <c r="EA501" s="205"/>
      <c r="EB501" s="205"/>
      <c r="EC501" s="205"/>
      <c r="ED501" s="205"/>
      <c r="EE501" s="205"/>
      <c r="EF501" s="205"/>
      <c r="EG501" s="205"/>
      <c r="EH501" s="205"/>
      <c r="EI501" s="205"/>
      <c r="EJ501" s="205"/>
      <c r="EK501" s="205"/>
      <c r="EL501" s="205"/>
      <c r="EM501" s="205"/>
      <c r="EN501" s="205"/>
      <c r="EO501" s="205"/>
      <c r="EP501" s="205"/>
      <c r="EQ501" s="205"/>
      <c r="ER501" s="205"/>
      <c r="ES501" s="205"/>
      <c r="ET501" s="205"/>
      <c r="EU501" s="205"/>
      <c r="EV501" s="205"/>
      <c r="EW501" s="205"/>
      <c r="EX501" s="205"/>
      <c r="EY501" s="205"/>
      <c r="EZ501" s="205"/>
      <c r="FA501" s="205"/>
      <c r="FB501" s="205"/>
      <c r="FC501" s="205"/>
      <c r="FD501" s="205"/>
      <c r="FE501" s="205"/>
      <c r="FF501" s="205"/>
      <c r="FG501" s="205"/>
      <c r="FH501" s="205"/>
      <c r="FI501" s="205"/>
      <c r="FJ501" s="205"/>
      <c r="FK501" s="205"/>
      <c r="FL501" s="205"/>
      <c r="FM501" s="205"/>
      <c r="FN501" s="205"/>
      <c r="FO501" s="205"/>
      <c r="FP501" s="205"/>
      <c r="FQ501" s="205"/>
      <c r="FR501" s="205"/>
      <c r="FS501" s="205"/>
      <c r="FT501" s="205"/>
      <c r="FU501" s="205"/>
      <c r="FV501" s="205"/>
      <c r="FW501" s="205"/>
      <c r="FX501" s="205"/>
      <c r="FY501" s="205"/>
      <c r="FZ501" s="205"/>
      <c r="GA501" s="205"/>
      <c r="GB501" s="205"/>
      <c r="GC501" s="205"/>
      <c r="GD501" s="205"/>
      <c r="GE501" s="205"/>
      <c r="GF501" s="205"/>
      <c r="GG501" s="205"/>
      <c r="GH501" s="205"/>
      <c r="GI501" s="205"/>
      <c r="GJ501" s="205"/>
      <c r="GK501" s="205"/>
      <c r="GL501" s="205"/>
      <c r="GM501" s="205"/>
      <c r="GN501" s="205"/>
      <c r="GO501" s="205"/>
      <c r="GP501" s="205"/>
      <c r="GQ501" s="205"/>
      <c r="GR501" s="205"/>
      <c r="GS501" s="205"/>
      <c r="GT501" s="205"/>
      <c r="GU501" s="205"/>
      <c r="GV501" s="205"/>
      <c r="GW501" s="205"/>
      <c r="GX501" s="205"/>
      <c r="GY501" s="205"/>
      <c r="GZ501" s="205"/>
      <c r="HA501" s="205"/>
      <c r="HB501" s="205"/>
      <c r="HC501" s="205"/>
      <c r="HD501" s="205"/>
      <c r="HE501" s="205"/>
      <c r="HF501" s="205"/>
      <c r="HG501" s="205"/>
      <c r="HH501" s="205"/>
      <c r="HI501" s="205"/>
      <c r="HJ501" s="205"/>
      <c r="HK501" s="205"/>
      <c r="HL501" s="205"/>
      <c r="HM501" s="205"/>
      <c r="HN501" s="205"/>
      <c r="HO501" s="205"/>
      <c r="HP501" s="205"/>
      <c r="HQ501" s="205"/>
      <c r="HR501" s="205"/>
      <c r="HS501" s="205"/>
      <c r="HT501" s="205"/>
      <c r="HU501" s="205"/>
      <c r="HV501" s="205"/>
      <c r="HW501" s="205"/>
      <c r="HX501" s="205"/>
      <c r="HY501" s="205"/>
      <c r="HZ501" s="205"/>
      <c r="IA501" s="205"/>
      <c r="IB501" s="205"/>
      <c r="IC501" s="205"/>
      <c r="ID501" s="205"/>
      <c r="IE501" s="205"/>
      <c r="IF501" s="205"/>
      <c r="IG501" s="205"/>
      <c r="IH501" s="205"/>
      <c r="II501" s="205"/>
      <c r="IJ501" s="205"/>
      <c r="IK501" s="205"/>
      <c r="IL501" s="205"/>
      <c r="IM501" s="205"/>
      <c r="IN501" s="205"/>
      <c r="IO501" s="205"/>
      <c r="IP501" s="205"/>
      <c r="IQ501" s="205"/>
      <c r="IR501" s="205"/>
      <c r="IS501" s="205"/>
      <c r="IT501" s="205"/>
      <c r="IU501" s="205"/>
      <c r="IV501" s="205"/>
      <c r="IW501" s="205"/>
      <c r="IX501" s="205"/>
    </row>
    <row r="502" spans="1:258" s="719" customFormat="1" x14ac:dyDescent="0.2">
      <c r="A502" s="716"/>
      <c r="B502" s="717"/>
      <c r="C502" s="1420"/>
      <c r="D502" s="718"/>
      <c r="E502" s="1421"/>
      <c r="F502" s="1421"/>
      <c r="G502" s="1422" t="str">
        <f>G488</f>
        <v>P1</v>
      </c>
      <c r="H502" s="1423">
        <f>H488</f>
        <v>1.5</v>
      </c>
      <c r="I502" s="1424" t="s">
        <v>424</v>
      </c>
      <c r="J502" s="1424">
        <f>J488</f>
        <v>2.1</v>
      </c>
      <c r="K502" s="1424" t="s">
        <v>424</v>
      </c>
      <c r="L502" s="1424">
        <v>1</v>
      </c>
      <c r="M502" s="1424"/>
      <c r="N502" s="1424"/>
      <c r="O502" s="1424"/>
      <c r="P502" s="1424"/>
      <c r="Q502" s="1403" t="s">
        <v>696</v>
      </c>
      <c r="R502" s="1404">
        <f t="shared" ref="R502:R510" si="173">H502*J502*L502</f>
        <v>3.1500000000000004</v>
      </c>
      <c r="S502" s="1426"/>
      <c r="T502" s="1427"/>
      <c r="U502" s="662"/>
      <c r="V502" s="685"/>
      <c r="W502" s="662"/>
      <c r="X502" s="662"/>
      <c r="Y502" s="662"/>
      <c r="Z502" s="662"/>
      <c r="AA502" s="662"/>
      <c r="AB502" s="662"/>
      <c r="AC502" s="662"/>
      <c r="AD502" s="662"/>
      <c r="AE502" s="662"/>
      <c r="AF502" s="662"/>
      <c r="AG502" s="662"/>
      <c r="AH502" s="662"/>
      <c r="AI502" s="662"/>
      <c r="AJ502" s="662"/>
      <c r="AK502" s="662"/>
      <c r="AL502" s="662"/>
      <c r="AM502" s="662"/>
      <c r="AN502" s="662"/>
      <c r="AO502" s="662"/>
      <c r="AP502" s="662"/>
      <c r="AQ502" s="662"/>
      <c r="AR502" s="662"/>
      <c r="AS502" s="662"/>
      <c r="AT502" s="662"/>
      <c r="AU502" s="662"/>
      <c r="AV502" s="662"/>
      <c r="AW502" s="662"/>
      <c r="AX502" s="662"/>
      <c r="AY502" s="662"/>
      <c r="AZ502" s="662"/>
      <c r="BA502" s="662"/>
      <c r="BB502" s="662"/>
      <c r="BC502" s="662"/>
      <c r="BD502" s="662"/>
      <c r="BE502" s="662"/>
      <c r="BF502" s="662"/>
      <c r="BG502" s="662"/>
      <c r="BH502" s="662"/>
      <c r="BI502" s="662"/>
      <c r="BJ502" s="662"/>
      <c r="BK502" s="662"/>
      <c r="BL502" s="662"/>
      <c r="BM502" s="662"/>
      <c r="BN502" s="662"/>
      <c r="BO502" s="662"/>
      <c r="BP502" s="662"/>
      <c r="BQ502" s="662"/>
      <c r="BR502" s="662"/>
      <c r="BS502" s="662"/>
      <c r="BT502" s="662"/>
      <c r="BU502" s="662"/>
      <c r="BV502" s="662"/>
      <c r="BW502" s="662"/>
      <c r="BX502" s="662"/>
      <c r="BY502" s="662"/>
      <c r="BZ502" s="662"/>
      <c r="CA502" s="662"/>
      <c r="CB502" s="662"/>
      <c r="CC502" s="662"/>
      <c r="CD502" s="662"/>
      <c r="CE502" s="662"/>
      <c r="CF502" s="662"/>
      <c r="CG502" s="662"/>
      <c r="CH502" s="662"/>
      <c r="CI502" s="662"/>
      <c r="CJ502" s="662"/>
      <c r="CK502" s="662"/>
      <c r="CL502" s="662"/>
      <c r="CM502" s="662"/>
      <c r="CN502" s="662"/>
      <c r="CO502" s="662"/>
      <c r="CP502" s="662"/>
      <c r="CQ502" s="662"/>
      <c r="CR502" s="662"/>
      <c r="CS502" s="662"/>
      <c r="CT502" s="662"/>
      <c r="CU502" s="662"/>
      <c r="CV502" s="662"/>
      <c r="CW502" s="662"/>
      <c r="CX502" s="662"/>
      <c r="CY502" s="662"/>
      <c r="CZ502" s="662"/>
      <c r="DA502" s="662"/>
      <c r="DB502" s="662"/>
      <c r="DC502" s="662"/>
      <c r="DD502" s="662"/>
      <c r="DE502" s="662"/>
      <c r="DF502" s="662"/>
      <c r="DG502" s="662"/>
      <c r="DH502" s="662"/>
      <c r="DI502" s="662"/>
      <c r="DJ502" s="662"/>
      <c r="DK502" s="662"/>
      <c r="DL502" s="662"/>
      <c r="DM502" s="662"/>
      <c r="DN502" s="662"/>
      <c r="DO502" s="662"/>
      <c r="DP502" s="662"/>
      <c r="DQ502" s="662"/>
      <c r="DR502" s="662"/>
      <c r="DS502" s="662"/>
      <c r="DT502" s="662"/>
      <c r="DU502" s="662"/>
      <c r="DV502" s="662"/>
      <c r="DW502" s="662"/>
      <c r="DX502" s="662"/>
      <c r="DY502" s="662"/>
      <c r="DZ502" s="662"/>
      <c r="EA502" s="662"/>
      <c r="EB502" s="662"/>
      <c r="EC502" s="662"/>
      <c r="ED502" s="662"/>
      <c r="EE502" s="662"/>
      <c r="EF502" s="662"/>
      <c r="EG502" s="662"/>
      <c r="EH502" s="662"/>
      <c r="EI502" s="662"/>
      <c r="EJ502" s="662"/>
      <c r="EK502" s="662"/>
      <c r="EL502" s="662"/>
      <c r="EM502" s="662"/>
      <c r="EN502" s="662"/>
      <c r="EO502" s="662"/>
      <c r="EP502" s="662"/>
      <c r="EQ502" s="662"/>
      <c r="ER502" s="662"/>
      <c r="ES502" s="662"/>
      <c r="ET502" s="662"/>
      <c r="EU502" s="662"/>
      <c r="EV502" s="662"/>
      <c r="EW502" s="662"/>
      <c r="EX502" s="662"/>
      <c r="EY502" s="662"/>
      <c r="EZ502" s="662"/>
      <c r="FA502" s="662"/>
      <c r="FB502" s="662"/>
      <c r="FC502" s="662"/>
      <c r="FD502" s="662"/>
      <c r="FE502" s="662"/>
      <c r="FF502" s="662"/>
      <c r="FG502" s="662"/>
      <c r="FH502" s="662"/>
      <c r="FI502" s="662"/>
      <c r="FJ502" s="662"/>
      <c r="FK502" s="662"/>
      <c r="FL502" s="662"/>
      <c r="FM502" s="662"/>
      <c r="FN502" s="662"/>
      <c r="FO502" s="662"/>
      <c r="FP502" s="662"/>
      <c r="FQ502" s="662"/>
      <c r="FR502" s="662"/>
      <c r="FS502" s="662"/>
      <c r="FT502" s="662"/>
      <c r="FU502" s="662"/>
      <c r="FV502" s="662"/>
      <c r="FW502" s="662"/>
      <c r="FX502" s="662"/>
      <c r="FY502" s="662"/>
      <c r="FZ502" s="662"/>
      <c r="GA502" s="662"/>
      <c r="GB502" s="662"/>
      <c r="GC502" s="662"/>
      <c r="GD502" s="662"/>
      <c r="GE502" s="662"/>
      <c r="GF502" s="662"/>
      <c r="GG502" s="662"/>
      <c r="GH502" s="662"/>
      <c r="GI502" s="662"/>
      <c r="GJ502" s="662"/>
      <c r="GK502" s="662"/>
      <c r="GL502" s="662"/>
      <c r="GM502" s="662"/>
      <c r="GN502" s="662"/>
      <c r="GO502" s="662"/>
      <c r="GP502" s="662"/>
      <c r="GQ502" s="662"/>
      <c r="GR502" s="662"/>
      <c r="GS502" s="662"/>
      <c r="GT502" s="662"/>
      <c r="GU502" s="662"/>
      <c r="GV502" s="662"/>
      <c r="GW502" s="662"/>
      <c r="GX502" s="662"/>
      <c r="GY502" s="662"/>
      <c r="GZ502" s="662"/>
      <c r="HA502" s="662"/>
      <c r="HB502" s="662"/>
      <c r="HC502" s="662"/>
      <c r="HD502" s="662"/>
      <c r="HE502" s="662"/>
      <c r="HF502" s="662"/>
      <c r="HG502" s="662"/>
      <c r="HH502" s="662"/>
      <c r="HI502" s="662"/>
      <c r="HJ502" s="662"/>
      <c r="HK502" s="662"/>
      <c r="HL502" s="662"/>
      <c r="HM502" s="662"/>
      <c r="HN502" s="662"/>
      <c r="HO502" s="662"/>
      <c r="HP502" s="662"/>
      <c r="HQ502" s="662"/>
      <c r="HR502" s="662"/>
      <c r="HS502" s="662"/>
      <c r="HT502" s="662"/>
      <c r="HU502" s="662"/>
      <c r="HV502" s="662"/>
      <c r="HW502" s="662"/>
      <c r="HX502" s="662"/>
      <c r="HY502" s="662"/>
      <c r="HZ502" s="662"/>
      <c r="IA502" s="662"/>
      <c r="IB502" s="662"/>
      <c r="IC502" s="662"/>
      <c r="ID502" s="662"/>
      <c r="IE502" s="662"/>
      <c r="IF502" s="662"/>
      <c r="IG502" s="662"/>
      <c r="IH502" s="662"/>
      <c r="II502" s="662"/>
      <c r="IJ502" s="662"/>
      <c r="IK502" s="662"/>
      <c r="IL502" s="662"/>
      <c r="IM502" s="662"/>
      <c r="IN502" s="662"/>
      <c r="IO502" s="662"/>
      <c r="IP502" s="662"/>
      <c r="IQ502" s="662"/>
      <c r="IR502" s="662"/>
      <c r="IS502" s="662"/>
      <c r="IT502" s="662"/>
      <c r="IU502" s="662"/>
      <c r="IV502" s="662"/>
      <c r="IW502" s="662"/>
      <c r="IX502" s="662"/>
    </row>
    <row r="503" spans="1:258" s="719" customFormat="1" x14ac:dyDescent="0.2">
      <c r="A503" s="716"/>
      <c r="B503" s="717"/>
      <c r="C503" s="1420"/>
      <c r="D503" s="718"/>
      <c r="E503" s="1421"/>
      <c r="F503" s="1421"/>
      <c r="G503" s="1422" t="str">
        <f>G489</f>
        <v>P2</v>
      </c>
      <c r="H503" s="1423">
        <f>H489</f>
        <v>1.5</v>
      </c>
      <c r="I503" s="1424" t="s">
        <v>424</v>
      </c>
      <c r="J503" s="1424">
        <f t="shared" ref="J503" si="174">J489</f>
        <v>2.1</v>
      </c>
      <c r="K503" s="1424" t="s">
        <v>424</v>
      </c>
      <c r="L503" s="1424">
        <v>1</v>
      </c>
      <c r="M503" s="1424" t="s">
        <v>424</v>
      </c>
      <c r="N503" s="1424"/>
      <c r="O503" s="1424"/>
      <c r="P503" s="1424"/>
      <c r="Q503" s="1403" t="s">
        <v>696</v>
      </c>
      <c r="R503" s="1404">
        <f t="shared" si="173"/>
        <v>3.1500000000000004</v>
      </c>
      <c r="S503" s="1426"/>
      <c r="T503" s="1427"/>
      <c r="U503" s="662"/>
      <c r="V503" s="685"/>
      <c r="W503" s="662"/>
      <c r="X503" s="662"/>
      <c r="Y503" s="662"/>
      <c r="Z503" s="662"/>
      <c r="AA503" s="662"/>
      <c r="AB503" s="662"/>
      <c r="AC503" s="662"/>
      <c r="AD503" s="662"/>
      <c r="AE503" s="662"/>
      <c r="AF503" s="662"/>
      <c r="AG503" s="662"/>
      <c r="AH503" s="662"/>
      <c r="AI503" s="662"/>
      <c r="AJ503" s="662"/>
      <c r="AK503" s="662"/>
      <c r="AL503" s="662"/>
      <c r="AM503" s="662"/>
      <c r="AN503" s="662"/>
      <c r="AO503" s="662"/>
      <c r="AP503" s="662"/>
      <c r="AQ503" s="662"/>
      <c r="AR503" s="662"/>
      <c r="AS503" s="662"/>
      <c r="AT503" s="662"/>
      <c r="AU503" s="662"/>
      <c r="AV503" s="662"/>
      <c r="AW503" s="662"/>
      <c r="AX503" s="662"/>
      <c r="AY503" s="662"/>
      <c r="AZ503" s="662"/>
      <c r="BA503" s="662"/>
      <c r="BB503" s="662"/>
      <c r="BC503" s="662"/>
      <c r="BD503" s="662"/>
      <c r="BE503" s="662"/>
      <c r="BF503" s="662"/>
      <c r="BG503" s="662"/>
      <c r="BH503" s="662"/>
      <c r="BI503" s="662"/>
      <c r="BJ503" s="662"/>
      <c r="BK503" s="662"/>
      <c r="BL503" s="662"/>
      <c r="BM503" s="662"/>
      <c r="BN503" s="662"/>
      <c r="BO503" s="662"/>
      <c r="BP503" s="662"/>
      <c r="BQ503" s="662"/>
      <c r="BR503" s="662"/>
      <c r="BS503" s="662"/>
      <c r="BT503" s="662"/>
      <c r="BU503" s="662"/>
      <c r="BV503" s="662"/>
      <c r="BW503" s="662"/>
      <c r="BX503" s="662"/>
      <c r="BY503" s="662"/>
      <c r="BZ503" s="662"/>
      <c r="CA503" s="662"/>
      <c r="CB503" s="662"/>
      <c r="CC503" s="662"/>
      <c r="CD503" s="662"/>
      <c r="CE503" s="662"/>
      <c r="CF503" s="662"/>
      <c r="CG503" s="662"/>
      <c r="CH503" s="662"/>
      <c r="CI503" s="662"/>
      <c r="CJ503" s="662"/>
      <c r="CK503" s="662"/>
      <c r="CL503" s="662"/>
      <c r="CM503" s="662"/>
      <c r="CN503" s="662"/>
      <c r="CO503" s="662"/>
      <c r="CP503" s="662"/>
      <c r="CQ503" s="662"/>
      <c r="CR503" s="662"/>
      <c r="CS503" s="662"/>
      <c r="CT503" s="662"/>
      <c r="CU503" s="662"/>
      <c r="CV503" s="662"/>
      <c r="CW503" s="662"/>
      <c r="CX503" s="662"/>
      <c r="CY503" s="662"/>
      <c r="CZ503" s="662"/>
      <c r="DA503" s="662"/>
      <c r="DB503" s="662"/>
      <c r="DC503" s="662"/>
      <c r="DD503" s="662"/>
      <c r="DE503" s="662"/>
      <c r="DF503" s="662"/>
      <c r="DG503" s="662"/>
      <c r="DH503" s="662"/>
      <c r="DI503" s="662"/>
      <c r="DJ503" s="662"/>
      <c r="DK503" s="662"/>
      <c r="DL503" s="662"/>
      <c r="DM503" s="662"/>
      <c r="DN503" s="662"/>
      <c r="DO503" s="662"/>
      <c r="DP503" s="662"/>
      <c r="DQ503" s="662"/>
      <c r="DR503" s="662"/>
      <c r="DS503" s="662"/>
      <c r="DT503" s="662"/>
      <c r="DU503" s="662"/>
      <c r="DV503" s="662"/>
      <c r="DW503" s="662"/>
      <c r="DX503" s="662"/>
      <c r="DY503" s="662"/>
      <c r="DZ503" s="662"/>
      <c r="EA503" s="662"/>
      <c r="EB503" s="662"/>
      <c r="EC503" s="662"/>
      <c r="ED503" s="662"/>
      <c r="EE503" s="662"/>
      <c r="EF503" s="662"/>
      <c r="EG503" s="662"/>
      <c r="EH503" s="662"/>
      <c r="EI503" s="662"/>
      <c r="EJ503" s="662"/>
      <c r="EK503" s="662"/>
      <c r="EL503" s="662"/>
      <c r="EM503" s="662"/>
      <c r="EN503" s="662"/>
      <c r="EO503" s="662"/>
      <c r="EP503" s="662"/>
      <c r="EQ503" s="662"/>
      <c r="ER503" s="662"/>
      <c r="ES503" s="662"/>
      <c r="ET503" s="662"/>
      <c r="EU503" s="662"/>
      <c r="EV503" s="662"/>
      <c r="EW503" s="662"/>
      <c r="EX503" s="662"/>
      <c r="EY503" s="662"/>
      <c r="EZ503" s="662"/>
      <c r="FA503" s="662"/>
      <c r="FB503" s="662"/>
      <c r="FC503" s="662"/>
      <c r="FD503" s="662"/>
      <c r="FE503" s="662"/>
      <c r="FF503" s="662"/>
      <c r="FG503" s="662"/>
      <c r="FH503" s="662"/>
      <c r="FI503" s="662"/>
      <c r="FJ503" s="662"/>
      <c r="FK503" s="662"/>
      <c r="FL503" s="662"/>
      <c r="FM503" s="662"/>
      <c r="FN503" s="662"/>
      <c r="FO503" s="662"/>
      <c r="FP503" s="662"/>
      <c r="FQ503" s="662"/>
      <c r="FR503" s="662"/>
      <c r="FS503" s="662"/>
      <c r="FT503" s="662"/>
      <c r="FU503" s="662"/>
      <c r="FV503" s="662"/>
      <c r="FW503" s="662"/>
      <c r="FX503" s="662"/>
      <c r="FY503" s="662"/>
      <c r="FZ503" s="662"/>
      <c r="GA503" s="662"/>
      <c r="GB503" s="662"/>
      <c r="GC503" s="662"/>
      <c r="GD503" s="662"/>
      <c r="GE503" s="662"/>
      <c r="GF503" s="662"/>
      <c r="GG503" s="662"/>
      <c r="GH503" s="662"/>
      <c r="GI503" s="662"/>
      <c r="GJ503" s="662"/>
      <c r="GK503" s="662"/>
      <c r="GL503" s="662"/>
      <c r="GM503" s="662"/>
      <c r="GN503" s="662"/>
      <c r="GO503" s="662"/>
      <c r="GP503" s="662"/>
      <c r="GQ503" s="662"/>
      <c r="GR503" s="662"/>
      <c r="GS503" s="662"/>
      <c r="GT503" s="662"/>
      <c r="GU503" s="662"/>
      <c r="GV503" s="662"/>
      <c r="GW503" s="662"/>
      <c r="GX503" s="662"/>
      <c r="GY503" s="662"/>
      <c r="GZ503" s="662"/>
      <c r="HA503" s="662"/>
      <c r="HB503" s="662"/>
      <c r="HC503" s="662"/>
      <c r="HD503" s="662"/>
      <c r="HE503" s="662"/>
      <c r="HF503" s="662"/>
      <c r="HG503" s="662"/>
      <c r="HH503" s="662"/>
      <c r="HI503" s="662"/>
      <c r="HJ503" s="662"/>
      <c r="HK503" s="662"/>
      <c r="HL503" s="662"/>
      <c r="HM503" s="662"/>
      <c r="HN503" s="662"/>
      <c r="HO503" s="662"/>
      <c r="HP503" s="662"/>
      <c r="HQ503" s="662"/>
      <c r="HR503" s="662"/>
      <c r="HS503" s="662"/>
      <c r="HT503" s="662"/>
      <c r="HU503" s="662"/>
      <c r="HV503" s="662"/>
      <c r="HW503" s="662"/>
      <c r="HX503" s="662"/>
      <c r="HY503" s="662"/>
      <c r="HZ503" s="662"/>
      <c r="IA503" s="662"/>
      <c r="IB503" s="662"/>
      <c r="IC503" s="662"/>
      <c r="ID503" s="662"/>
      <c r="IE503" s="662"/>
      <c r="IF503" s="662"/>
      <c r="IG503" s="662"/>
      <c r="IH503" s="662"/>
      <c r="II503" s="662"/>
      <c r="IJ503" s="662"/>
      <c r="IK503" s="662"/>
      <c r="IL503" s="662"/>
      <c r="IM503" s="662"/>
      <c r="IN503" s="662"/>
      <c r="IO503" s="662"/>
      <c r="IP503" s="662"/>
      <c r="IQ503" s="662"/>
      <c r="IR503" s="662"/>
      <c r="IS503" s="662"/>
      <c r="IT503" s="662"/>
      <c r="IU503" s="662"/>
      <c r="IV503" s="662"/>
      <c r="IW503" s="662"/>
      <c r="IX503" s="662"/>
    </row>
    <row r="504" spans="1:258" s="719" customFormat="1" x14ac:dyDescent="0.2">
      <c r="A504" s="716"/>
      <c r="B504" s="717"/>
      <c r="C504" s="1420"/>
      <c r="D504" s="718"/>
      <c r="E504" s="1421"/>
      <c r="F504" s="1421"/>
      <c r="G504" s="1422" t="str">
        <f>G84</f>
        <v>P3</v>
      </c>
      <c r="H504" s="1423">
        <f>H84</f>
        <v>0.8</v>
      </c>
      <c r="I504" s="1424" t="s">
        <v>424</v>
      </c>
      <c r="J504" s="1424">
        <f>J84</f>
        <v>2.1</v>
      </c>
      <c r="K504" s="1424" t="s">
        <v>424</v>
      </c>
      <c r="L504" s="1424">
        <v>7</v>
      </c>
      <c r="M504" s="1424" t="s">
        <v>424</v>
      </c>
      <c r="N504" s="1424">
        <v>2</v>
      </c>
      <c r="O504" s="1424"/>
      <c r="P504" s="1424"/>
      <c r="Q504" s="1403" t="s">
        <v>696</v>
      </c>
      <c r="R504" s="1404">
        <f>H504*J504*L504*N504</f>
        <v>23.520000000000003</v>
      </c>
      <c r="S504" s="1426"/>
      <c r="T504" s="1427"/>
      <c r="U504" s="662"/>
      <c r="V504" s="685"/>
      <c r="W504" s="662"/>
      <c r="X504" s="662"/>
      <c r="Y504" s="662"/>
      <c r="Z504" s="662"/>
      <c r="AA504" s="662"/>
      <c r="AB504" s="662"/>
      <c r="AC504" s="662"/>
      <c r="AD504" s="662"/>
      <c r="AE504" s="662"/>
      <c r="AF504" s="662"/>
      <c r="AG504" s="662"/>
      <c r="AH504" s="662"/>
      <c r="AI504" s="662"/>
      <c r="AJ504" s="662"/>
      <c r="AK504" s="662"/>
      <c r="AL504" s="662"/>
      <c r="AM504" s="662"/>
      <c r="AN504" s="662"/>
      <c r="AO504" s="662"/>
      <c r="AP504" s="662"/>
      <c r="AQ504" s="662"/>
      <c r="AR504" s="662"/>
      <c r="AS504" s="662"/>
      <c r="AT504" s="662"/>
      <c r="AU504" s="662"/>
      <c r="AV504" s="662"/>
      <c r="AW504" s="662"/>
      <c r="AX504" s="662"/>
      <c r="AY504" s="662"/>
      <c r="AZ504" s="662"/>
      <c r="BA504" s="662"/>
      <c r="BB504" s="662"/>
      <c r="BC504" s="662"/>
      <c r="BD504" s="662"/>
      <c r="BE504" s="662"/>
      <c r="BF504" s="662"/>
      <c r="BG504" s="662"/>
      <c r="BH504" s="662"/>
      <c r="BI504" s="662"/>
      <c r="BJ504" s="662"/>
      <c r="BK504" s="662"/>
      <c r="BL504" s="662"/>
      <c r="BM504" s="662"/>
      <c r="BN504" s="662"/>
      <c r="BO504" s="662"/>
      <c r="BP504" s="662"/>
      <c r="BQ504" s="662"/>
      <c r="BR504" s="662"/>
      <c r="BS504" s="662"/>
      <c r="BT504" s="662"/>
      <c r="BU504" s="662"/>
      <c r="BV504" s="662"/>
      <c r="BW504" s="662"/>
      <c r="BX504" s="662"/>
      <c r="BY504" s="662"/>
      <c r="BZ504" s="662"/>
      <c r="CA504" s="662"/>
      <c r="CB504" s="662"/>
      <c r="CC504" s="662"/>
      <c r="CD504" s="662"/>
      <c r="CE504" s="662"/>
      <c r="CF504" s="662"/>
      <c r="CG504" s="662"/>
      <c r="CH504" s="662"/>
      <c r="CI504" s="662"/>
      <c r="CJ504" s="662"/>
      <c r="CK504" s="662"/>
      <c r="CL504" s="662"/>
      <c r="CM504" s="662"/>
      <c r="CN504" s="662"/>
      <c r="CO504" s="662"/>
      <c r="CP504" s="662"/>
      <c r="CQ504" s="662"/>
      <c r="CR504" s="662"/>
      <c r="CS504" s="662"/>
      <c r="CT504" s="662"/>
      <c r="CU504" s="662"/>
      <c r="CV504" s="662"/>
      <c r="CW504" s="662"/>
      <c r="CX504" s="662"/>
      <c r="CY504" s="662"/>
      <c r="CZ504" s="662"/>
      <c r="DA504" s="662"/>
      <c r="DB504" s="662"/>
      <c r="DC504" s="662"/>
      <c r="DD504" s="662"/>
      <c r="DE504" s="662"/>
      <c r="DF504" s="662"/>
      <c r="DG504" s="662"/>
      <c r="DH504" s="662"/>
      <c r="DI504" s="662"/>
      <c r="DJ504" s="662"/>
      <c r="DK504" s="662"/>
      <c r="DL504" s="662"/>
      <c r="DM504" s="662"/>
      <c r="DN504" s="662"/>
      <c r="DO504" s="662"/>
      <c r="DP504" s="662"/>
      <c r="DQ504" s="662"/>
      <c r="DR504" s="662"/>
      <c r="DS504" s="662"/>
      <c r="DT504" s="662"/>
      <c r="DU504" s="662"/>
      <c r="DV504" s="662"/>
      <c r="DW504" s="662"/>
      <c r="DX504" s="662"/>
      <c r="DY504" s="662"/>
      <c r="DZ504" s="662"/>
      <c r="EA504" s="662"/>
      <c r="EB504" s="662"/>
      <c r="EC504" s="662"/>
      <c r="ED504" s="662"/>
      <c r="EE504" s="662"/>
      <c r="EF504" s="662"/>
      <c r="EG504" s="662"/>
      <c r="EH504" s="662"/>
      <c r="EI504" s="662"/>
      <c r="EJ504" s="662"/>
      <c r="EK504" s="662"/>
      <c r="EL504" s="662"/>
      <c r="EM504" s="662"/>
      <c r="EN504" s="662"/>
      <c r="EO504" s="662"/>
      <c r="EP504" s="662"/>
      <c r="EQ504" s="662"/>
      <c r="ER504" s="662"/>
      <c r="ES504" s="662"/>
      <c r="ET504" s="662"/>
      <c r="EU504" s="662"/>
      <c r="EV504" s="662"/>
      <c r="EW504" s="662"/>
      <c r="EX504" s="662"/>
      <c r="EY504" s="662"/>
      <c r="EZ504" s="662"/>
      <c r="FA504" s="662"/>
      <c r="FB504" s="662"/>
      <c r="FC504" s="662"/>
      <c r="FD504" s="662"/>
      <c r="FE504" s="662"/>
      <c r="FF504" s="662"/>
      <c r="FG504" s="662"/>
      <c r="FH504" s="662"/>
      <c r="FI504" s="662"/>
      <c r="FJ504" s="662"/>
      <c r="FK504" s="662"/>
      <c r="FL504" s="662"/>
      <c r="FM504" s="662"/>
      <c r="FN504" s="662"/>
      <c r="FO504" s="662"/>
      <c r="FP504" s="662"/>
      <c r="FQ504" s="662"/>
      <c r="FR504" s="662"/>
      <c r="FS504" s="662"/>
      <c r="FT504" s="662"/>
      <c r="FU504" s="662"/>
      <c r="FV504" s="662"/>
      <c r="FW504" s="662"/>
      <c r="FX504" s="662"/>
      <c r="FY504" s="662"/>
      <c r="FZ504" s="662"/>
      <c r="GA504" s="662"/>
      <c r="GB504" s="662"/>
      <c r="GC504" s="662"/>
      <c r="GD504" s="662"/>
      <c r="GE504" s="662"/>
      <c r="GF504" s="662"/>
      <c r="GG504" s="662"/>
      <c r="GH504" s="662"/>
      <c r="GI504" s="662"/>
      <c r="GJ504" s="662"/>
      <c r="GK504" s="662"/>
      <c r="GL504" s="662"/>
      <c r="GM504" s="662"/>
      <c r="GN504" s="662"/>
      <c r="GO504" s="662"/>
      <c r="GP504" s="662"/>
      <c r="GQ504" s="662"/>
      <c r="GR504" s="662"/>
      <c r="GS504" s="662"/>
      <c r="GT504" s="662"/>
      <c r="GU504" s="662"/>
      <c r="GV504" s="662"/>
      <c r="GW504" s="662"/>
      <c r="GX504" s="662"/>
      <c r="GY504" s="662"/>
      <c r="GZ504" s="662"/>
      <c r="HA504" s="662"/>
      <c r="HB504" s="662"/>
      <c r="HC504" s="662"/>
      <c r="HD504" s="662"/>
      <c r="HE504" s="662"/>
      <c r="HF504" s="662"/>
      <c r="HG504" s="662"/>
      <c r="HH504" s="662"/>
      <c r="HI504" s="662"/>
      <c r="HJ504" s="662"/>
      <c r="HK504" s="662"/>
      <c r="HL504" s="662"/>
      <c r="HM504" s="662"/>
      <c r="HN504" s="662"/>
      <c r="HO504" s="662"/>
      <c r="HP504" s="662"/>
      <c r="HQ504" s="662"/>
      <c r="HR504" s="662"/>
      <c r="HS504" s="662"/>
      <c r="HT504" s="662"/>
      <c r="HU504" s="662"/>
      <c r="HV504" s="662"/>
      <c r="HW504" s="662"/>
      <c r="HX504" s="662"/>
      <c r="HY504" s="662"/>
      <c r="HZ504" s="662"/>
      <c r="IA504" s="662"/>
      <c r="IB504" s="662"/>
      <c r="IC504" s="662"/>
      <c r="ID504" s="662"/>
      <c r="IE504" s="662"/>
      <c r="IF504" s="662"/>
      <c r="IG504" s="662"/>
      <c r="IH504" s="662"/>
      <c r="II504" s="662"/>
      <c r="IJ504" s="662"/>
      <c r="IK504" s="662"/>
      <c r="IL504" s="662"/>
      <c r="IM504" s="662"/>
      <c r="IN504" s="662"/>
      <c r="IO504" s="662"/>
      <c r="IP504" s="662"/>
      <c r="IQ504" s="662"/>
      <c r="IR504" s="662"/>
      <c r="IS504" s="662"/>
      <c r="IT504" s="662"/>
      <c r="IU504" s="662"/>
      <c r="IV504" s="662"/>
      <c r="IW504" s="662"/>
      <c r="IX504" s="662"/>
    </row>
    <row r="505" spans="1:258" s="719" customFormat="1" x14ac:dyDescent="0.2">
      <c r="A505" s="716"/>
      <c r="B505" s="717"/>
      <c r="C505" s="1420"/>
      <c r="D505" s="718"/>
      <c r="E505" s="1421"/>
      <c r="F505" s="1421"/>
      <c r="G505" s="1422" t="str">
        <f>G85</f>
        <v>P4</v>
      </c>
      <c r="H505" s="1423">
        <f>H85</f>
        <v>0.9</v>
      </c>
      <c r="I505" s="1424" t="s">
        <v>424</v>
      </c>
      <c r="J505" s="1424">
        <f>J85</f>
        <v>2.1</v>
      </c>
      <c r="K505" s="1424" t="s">
        <v>424</v>
      </c>
      <c r="L505" s="1424">
        <v>2</v>
      </c>
      <c r="M505" s="1424" t="s">
        <v>424</v>
      </c>
      <c r="N505" s="1424">
        <v>2</v>
      </c>
      <c r="O505" s="1424"/>
      <c r="P505" s="1424"/>
      <c r="Q505" s="1403" t="s">
        <v>696</v>
      </c>
      <c r="R505" s="1404">
        <f>H505*J505*L505*N505</f>
        <v>7.5600000000000005</v>
      </c>
      <c r="S505" s="1426"/>
      <c r="T505" s="1427"/>
      <c r="U505" s="662"/>
      <c r="V505" s="685"/>
      <c r="W505" s="662"/>
      <c r="X505" s="662"/>
      <c r="Y505" s="662"/>
      <c r="Z505" s="662"/>
      <c r="AA505" s="662"/>
      <c r="AB505" s="662"/>
      <c r="AC505" s="662"/>
      <c r="AD505" s="662"/>
      <c r="AE505" s="662"/>
      <c r="AF505" s="662"/>
      <c r="AG505" s="662"/>
      <c r="AH505" s="662"/>
      <c r="AI505" s="662"/>
      <c r="AJ505" s="662"/>
      <c r="AK505" s="662"/>
      <c r="AL505" s="662"/>
      <c r="AM505" s="662"/>
      <c r="AN505" s="662"/>
      <c r="AO505" s="662"/>
      <c r="AP505" s="662"/>
      <c r="AQ505" s="662"/>
      <c r="AR505" s="662"/>
      <c r="AS505" s="662"/>
      <c r="AT505" s="662"/>
      <c r="AU505" s="662"/>
      <c r="AV505" s="662"/>
      <c r="AW505" s="662"/>
      <c r="AX505" s="662"/>
      <c r="AY505" s="662"/>
      <c r="AZ505" s="662"/>
      <c r="BA505" s="662"/>
      <c r="BB505" s="662"/>
      <c r="BC505" s="662"/>
      <c r="BD505" s="662"/>
      <c r="BE505" s="662"/>
      <c r="BF505" s="662"/>
      <c r="BG505" s="662"/>
      <c r="BH505" s="662"/>
      <c r="BI505" s="662"/>
      <c r="BJ505" s="662"/>
      <c r="BK505" s="662"/>
      <c r="BL505" s="662"/>
      <c r="BM505" s="662"/>
      <c r="BN505" s="662"/>
      <c r="BO505" s="662"/>
      <c r="BP505" s="662"/>
      <c r="BQ505" s="662"/>
      <c r="BR505" s="662"/>
      <c r="BS505" s="662"/>
      <c r="BT505" s="662"/>
      <c r="BU505" s="662"/>
      <c r="BV505" s="662"/>
      <c r="BW505" s="662"/>
      <c r="BX505" s="662"/>
      <c r="BY505" s="662"/>
      <c r="BZ505" s="662"/>
      <c r="CA505" s="662"/>
      <c r="CB505" s="662"/>
      <c r="CC505" s="662"/>
      <c r="CD505" s="662"/>
      <c r="CE505" s="662"/>
      <c r="CF505" s="662"/>
      <c r="CG505" s="662"/>
      <c r="CH505" s="662"/>
      <c r="CI505" s="662"/>
      <c r="CJ505" s="662"/>
      <c r="CK505" s="662"/>
      <c r="CL505" s="662"/>
      <c r="CM505" s="662"/>
      <c r="CN505" s="662"/>
      <c r="CO505" s="662"/>
      <c r="CP505" s="662"/>
      <c r="CQ505" s="662"/>
      <c r="CR505" s="662"/>
      <c r="CS505" s="662"/>
      <c r="CT505" s="662"/>
      <c r="CU505" s="662"/>
      <c r="CV505" s="662"/>
      <c r="CW505" s="662"/>
      <c r="CX505" s="662"/>
      <c r="CY505" s="662"/>
      <c r="CZ505" s="662"/>
      <c r="DA505" s="662"/>
      <c r="DB505" s="662"/>
      <c r="DC505" s="662"/>
      <c r="DD505" s="662"/>
      <c r="DE505" s="662"/>
      <c r="DF505" s="662"/>
      <c r="DG505" s="662"/>
      <c r="DH505" s="662"/>
      <c r="DI505" s="662"/>
      <c r="DJ505" s="662"/>
      <c r="DK505" s="662"/>
      <c r="DL505" s="662"/>
      <c r="DM505" s="662"/>
      <c r="DN505" s="662"/>
      <c r="DO505" s="662"/>
      <c r="DP505" s="662"/>
      <c r="DQ505" s="662"/>
      <c r="DR505" s="662"/>
      <c r="DS505" s="662"/>
      <c r="DT505" s="662"/>
      <c r="DU505" s="662"/>
      <c r="DV505" s="662"/>
      <c r="DW505" s="662"/>
      <c r="DX505" s="662"/>
      <c r="DY505" s="662"/>
      <c r="DZ505" s="662"/>
      <c r="EA505" s="662"/>
      <c r="EB505" s="662"/>
      <c r="EC505" s="662"/>
      <c r="ED505" s="662"/>
      <c r="EE505" s="662"/>
      <c r="EF505" s="662"/>
      <c r="EG505" s="662"/>
      <c r="EH505" s="662"/>
      <c r="EI505" s="662"/>
      <c r="EJ505" s="662"/>
      <c r="EK505" s="662"/>
      <c r="EL505" s="662"/>
      <c r="EM505" s="662"/>
      <c r="EN505" s="662"/>
      <c r="EO505" s="662"/>
      <c r="EP505" s="662"/>
      <c r="EQ505" s="662"/>
      <c r="ER505" s="662"/>
      <c r="ES505" s="662"/>
      <c r="ET505" s="662"/>
      <c r="EU505" s="662"/>
      <c r="EV505" s="662"/>
      <c r="EW505" s="662"/>
      <c r="EX505" s="662"/>
      <c r="EY505" s="662"/>
      <c r="EZ505" s="662"/>
      <c r="FA505" s="662"/>
      <c r="FB505" s="662"/>
      <c r="FC505" s="662"/>
      <c r="FD505" s="662"/>
      <c r="FE505" s="662"/>
      <c r="FF505" s="662"/>
      <c r="FG505" s="662"/>
      <c r="FH505" s="662"/>
      <c r="FI505" s="662"/>
      <c r="FJ505" s="662"/>
      <c r="FK505" s="662"/>
      <c r="FL505" s="662"/>
      <c r="FM505" s="662"/>
      <c r="FN505" s="662"/>
      <c r="FO505" s="662"/>
      <c r="FP505" s="662"/>
      <c r="FQ505" s="662"/>
      <c r="FR505" s="662"/>
      <c r="FS505" s="662"/>
      <c r="FT505" s="662"/>
      <c r="FU505" s="662"/>
      <c r="FV505" s="662"/>
      <c r="FW505" s="662"/>
      <c r="FX505" s="662"/>
      <c r="FY505" s="662"/>
      <c r="FZ505" s="662"/>
      <c r="GA505" s="662"/>
      <c r="GB505" s="662"/>
      <c r="GC505" s="662"/>
      <c r="GD505" s="662"/>
      <c r="GE505" s="662"/>
      <c r="GF505" s="662"/>
      <c r="GG505" s="662"/>
      <c r="GH505" s="662"/>
      <c r="GI505" s="662"/>
      <c r="GJ505" s="662"/>
      <c r="GK505" s="662"/>
      <c r="GL505" s="662"/>
      <c r="GM505" s="662"/>
      <c r="GN505" s="662"/>
      <c r="GO505" s="662"/>
      <c r="GP505" s="662"/>
      <c r="GQ505" s="662"/>
      <c r="GR505" s="662"/>
      <c r="GS505" s="662"/>
      <c r="GT505" s="662"/>
      <c r="GU505" s="662"/>
      <c r="GV505" s="662"/>
      <c r="GW505" s="662"/>
      <c r="GX505" s="662"/>
      <c r="GY505" s="662"/>
      <c r="GZ505" s="662"/>
      <c r="HA505" s="662"/>
      <c r="HB505" s="662"/>
      <c r="HC505" s="662"/>
      <c r="HD505" s="662"/>
      <c r="HE505" s="662"/>
      <c r="HF505" s="662"/>
      <c r="HG505" s="662"/>
      <c r="HH505" s="662"/>
      <c r="HI505" s="662"/>
      <c r="HJ505" s="662"/>
      <c r="HK505" s="662"/>
      <c r="HL505" s="662"/>
      <c r="HM505" s="662"/>
      <c r="HN505" s="662"/>
      <c r="HO505" s="662"/>
      <c r="HP505" s="662"/>
      <c r="HQ505" s="662"/>
      <c r="HR505" s="662"/>
      <c r="HS505" s="662"/>
      <c r="HT505" s="662"/>
      <c r="HU505" s="662"/>
      <c r="HV505" s="662"/>
      <c r="HW505" s="662"/>
      <c r="HX505" s="662"/>
      <c r="HY505" s="662"/>
      <c r="HZ505" s="662"/>
      <c r="IA505" s="662"/>
      <c r="IB505" s="662"/>
      <c r="IC505" s="662"/>
      <c r="ID505" s="662"/>
      <c r="IE505" s="662"/>
      <c r="IF505" s="662"/>
      <c r="IG505" s="662"/>
      <c r="IH505" s="662"/>
      <c r="II505" s="662"/>
      <c r="IJ505" s="662"/>
      <c r="IK505" s="662"/>
      <c r="IL505" s="662"/>
      <c r="IM505" s="662"/>
      <c r="IN505" s="662"/>
      <c r="IO505" s="662"/>
      <c r="IP505" s="662"/>
      <c r="IQ505" s="662"/>
      <c r="IR505" s="662"/>
      <c r="IS505" s="662"/>
      <c r="IT505" s="662"/>
      <c r="IU505" s="662"/>
      <c r="IV505" s="662"/>
      <c r="IW505" s="662"/>
      <c r="IX505" s="662"/>
    </row>
    <row r="506" spans="1:258" s="719" customFormat="1" x14ac:dyDescent="0.2">
      <c r="A506" s="716"/>
      <c r="B506" s="717"/>
      <c r="C506" s="1420"/>
      <c r="D506" s="718"/>
      <c r="E506" s="1421"/>
      <c r="F506" s="1421"/>
      <c r="G506" s="1422" t="str">
        <f t="shared" ref="G506:H510" si="175">G490</f>
        <v>J1</v>
      </c>
      <c r="H506" s="1423">
        <f t="shared" si="175"/>
        <v>1.95</v>
      </c>
      <c r="I506" s="1424" t="s">
        <v>424</v>
      </c>
      <c r="J506" s="1424">
        <f>J490</f>
        <v>2.4500000000000002</v>
      </c>
      <c r="K506" s="1424" t="s">
        <v>424</v>
      </c>
      <c r="L506" s="1424"/>
      <c r="M506" s="1424"/>
      <c r="N506" s="1424"/>
      <c r="O506" s="1424"/>
      <c r="P506" s="1424"/>
      <c r="Q506" s="1403" t="s">
        <v>696</v>
      </c>
      <c r="R506" s="1404">
        <f t="shared" si="173"/>
        <v>0</v>
      </c>
      <c r="S506" s="1426"/>
      <c r="T506" s="1427"/>
      <c r="U506" s="662"/>
      <c r="V506" s="685"/>
      <c r="W506" s="662"/>
      <c r="X506" s="662"/>
      <c r="Y506" s="662"/>
      <c r="Z506" s="662"/>
      <c r="AA506" s="662"/>
      <c r="AB506" s="662"/>
      <c r="AC506" s="662"/>
      <c r="AD506" s="662"/>
      <c r="AE506" s="662"/>
      <c r="AF506" s="662"/>
      <c r="AG506" s="662"/>
      <c r="AH506" s="662"/>
      <c r="AI506" s="662"/>
      <c r="AJ506" s="662"/>
      <c r="AK506" s="662"/>
      <c r="AL506" s="662"/>
      <c r="AM506" s="662"/>
      <c r="AN506" s="662"/>
      <c r="AO506" s="662"/>
      <c r="AP506" s="662"/>
      <c r="AQ506" s="662"/>
      <c r="AR506" s="662"/>
      <c r="AS506" s="662"/>
      <c r="AT506" s="662"/>
      <c r="AU506" s="662"/>
      <c r="AV506" s="662"/>
      <c r="AW506" s="662"/>
      <c r="AX506" s="662"/>
      <c r="AY506" s="662"/>
      <c r="AZ506" s="662"/>
      <c r="BA506" s="662"/>
      <c r="BB506" s="662"/>
      <c r="BC506" s="662"/>
      <c r="BD506" s="662"/>
      <c r="BE506" s="662"/>
      <c r="BF506" s="662"/>
      <c r="BG506" s="662"/>
      <c r="BH506" s="662"/>
      <c r="BI506" s="662"/>
      <c r="BJ506" s="662"/>
      <c r="BK506" s="662"/>
      <c r="BL506" s="662"/>
      <c r="BM506" s="662"/>
      <c r="BN506" s="662"/>
      <c r="BO506" s="662"/>
      <c r="BP506" s="662"/>
      <c r="BQ506" s="662"/>
      <c r="BR506" s="662"/>
      <c r="BS506" s="662"/>
      <c r="BT506" s="662"/>
      <c r="BU506" s="662"/>
      <c r="BV506" s="662"/>
      <c r="BW506" s="662"/>
      <c r="BX506" s="662"/>
      <c r="BY506" s="662"/>
      <c r="BZ506" s="662"/>
      <c r="CA506" s="662"/>
      <c r="CB506" s="662"/>
      <c r="CC506" s="662"/>
      <c r="CD506" s="662"/>
      <c r="CE506" s="662"/>
      <c r="CF506" s="662"/>
      <c r="CG506" s="662"/>
      <c r="CH506" s="662"/>
      <c r="CI506" s="662"/>
      <c r="CJ506" s="662"/>
      <c r="CK506" s="662"/>
      <c r="CL506" s="662"/>
      <c r="CM506" s="662"/>
      <c r="CN506" s="662"/>
      <c r="CO506" s="662"/>
      <c r="CP506" s="662"/>
      <c r="CQ506" s="662"/>
      <c r="CR506" s="662"/>
      <c r="CS506" s="662"/>
      <c r="CT506" s="662"/>
      <c r="CU506" s="662"/>
      <c r="CV506" s="662"/>
      <c r="CW506" s="662"/>
      <c r="CX506" s="662"/>
      <c r="CY506" s="662"/>
      <c r="CZ506" s="662"/>
      <c r="DA506" s="662"/>
      <c r="DB506" s="662"/>
      <c r="DC506" s="662"/>
      <c r="DD506" s="662"/>
      <c r="DE506" s="662"/>
      <c r="DF506" s="662"/>
      <c r="DG506" s="662"/>
      <c r="DH506" s="662"/>
      <c r="DI506" s="662"/>
      <c r="DJ506" s="662"/>
      <c r="DK506" s="662"/>
      <c r="DL506" s="662"/>
      <c r="DM506" s="662"/>
      <c r="DN506" s="662"/>
      <c r="DO506" s="662"/>
      <c r="DP506" s="662"/>
      <c r="DQ506" s="662"/>
      <c r="DR506" s="662"/>
      <c r="DS506" s="662"/>
      <c r="DT506" s="662"/>
      <c r="DU506" s="662"/>
      <c r="DV506" s="662"/>
      <c r="DW506" s="662"/>
      <c r="DX506" s="662"/>
      <c r="DY506" s="662"/>
      <c r="DZ506" s="662"/>
      <c r="EA506" s="662"/>
      <c r="EB506" s="662"/>
      <c r="EC506" s="662"/>
      <c r="ED506" s="662"/>
      <c r="EE506" s="662"/>
      <c r="EF506" s="662"/>
      <c r="EG506" s="662"/>
      <c r="EH506" s="662"/>
      <c r="EI506" s="662"/>
      <c r="EJ506" s="662"/>
      <c r="EK506" s="662"/>
      <c r="EL506" s="662"/>
      <c r="EM506" s="662"/>
      <c r="EN506" s="662"/>
      <c r="EO506" s="662"/>
      <c r="EP506" s="662"/>
      <c r="EQ506" s="662"/>
      <c r="ER506" s="662"/>
      <c r="ES506" s="662"/>
      <c r="ET506" s="662"/>
      <c r="EU506" s="662"/>
      <c r="EV506" s="662"/>
      <c r="EW506" s="662"/>
      <c r="EX506" s="662"/>
      <c r="EY506" s="662"/>
      <c r="EZ506" s="662"/>
      <c r="FA506" s="662"/>
      <c r="FB506" s="662"/>
      <c r="FC506" s="662"/>
      <c r="FD506" s="662"/>
      <c r="FE506" s="662"/>
      <c r="FF506" s="662"/>
      <c r="FG506" s="662"/>
      <c r="FH506" s="662"/>
      <c r="FI506" s="662"/>
      <c r="FJ506" s="662"/>
      <c r="FK506" s="662"/>
      <c r="FL506" s="662"/>
      <c r="FM506" s="662"/>
      <c r="FN506" s="662"/>
      <c r="FO506" s="662"/>
      <c r="FP506" s="662"/>
      <c r="FQ506" s="662"/>
      <c r="FR506" s="662"/>
      <c r="FS506" s="662"/>
      <c r="FT506" s="662"/>
      <c r="FU506" s="662"/>
      <c r="FV506" s="662"/>
      <c r="FW506" s="662"/>
      <c r="FX506" s="662"/>
      <c r="FY506" s="662"/>
      <c r="FZ506" s="662"/>
      <c r="GA506" s="662"/>
      <c r="GB506" s="662"/>
      <c r="GC506" s="662"/>
      <c r="GD506" s="662"/>
      <c r="GE506" s="662"/>
      <c r="GF506" s="662"/>
      <c r="GG506" s="662"/>
      <c r="GH506" s="662"/>
      <c r="GI506" s="662"/>
      <c r="GJ506" s="662"/>
      <c r="GK506" s="662"/>
      <c r="GL506" s="662"/>
      <c r="GM506" s="662"/>
      <c r="GN506" s="662"/>
      <c r="GO506" s="662"/>
      <c r="GP506" s="662"/>
      <c r="GQ506" s="662"/>
      <c r="GR506" s="662"/>
      <c r="GS506" s="662"/>
      <c r="GT506" s="662"/>
      <c r="GU506" s="662"/>
      <c r="GV506" s="662"/>
      <c r="GW506" s="662"/>
      <c r="GX506" s="662"/>
      <c r="GY506" s="662"/>
      <c r="GZ506" s="662"/>
      <c r="HA506" s="662"/>
      <c r="HB506" s="662"/>
      <c r="HC506" s="662"/>
      <c r="HD506" s="662"/>
      <c r="HE506" s="662"/>
      <c r="HF506" s="662"/>
      <c r="HG506" s="662"/>
      <c r="HH506" s="662"/>
      <c r="HI506" s="662"/>
      <c r="HJ506" s="662"/>
      <c r="HK506" s="662"/>
      <c r="HL506" s="662"/>
      <c r="HM506" s="662"/>
      <c r="HN506" s="662"/>
      <c r="HO506" s="662"/>
      <c r="HP506" s="662"/>
      <c r="HQ506" s="662"/>
      <c r="HR506" s="662"/>
      <c r="HS506" s="662"/>
      <c r="HT506" s="662"/>
      <c r="HU506" s="662"/>
      <c r="HV506" s="662"/>
      <c r="HW506" s="662"/>
      <c r="HX506" s="662"/>
      <c r="HY506" s="662"/>
      <c r="HZ506" s="662"/>
      <c r="IA506" s="662"/>
      <c r="IB506" s="662"/>
      <c r="IC506" s="662"/>
      <c r="ID506" s="662"/>
      <c r="IE506" s="662"/>
      <c r="IF506" s="662"/>
      <c r="IG506" s="662"/>
      <c r="IH506" s="662"/>
      <c r="II506" s="662"/>
      <c r="IJ506" s="662"/>
      <c r="IK506" s="662"/>
      <c r="IL506" s="662"/>
      <c r="IM506" s="662"/>
      <c r="IN506" s="662"/>
      <c r="IO506" s="662"/>
      <c r="IP506" s="662"/>
      <c r="IQ506" s="662"/>
      <c r="IR506" s="662"/>
      <c r="IS506" s="662"/>
      <c r="IT506" s="662"/>
      <c r="IU506" s="662"/>
      <c r="IV506" s="662"/>
      <c r="IW506" s="662"/>
      <c r="IX506" s="662"/>
    </row>
    <row r="507" spans="1:258" s="719" customFormat="1" x14ac:dyDescent="0.2">
      <c r="A507" s="716"/>
      <c r="B507" s="717"/>
      <c r="C507" s="1420"/>
      <c r="D507" s="718"/>
      <c r="E507" s="1421"/>
      <c r="F507" s="1421"/>
      <c r="G507" s="1422" t="str">
        <f t="shared" si="175"/>
        <v>J2</v>
      </c>
      <c r="H507" s="1423">
        <f t="shared" si="175"/>
        <v>1.25</v>
      </c>
      <c r="I507" s="1424" t="s">
        <v>424</v>
      </c>
      <c r="J507" s="1424">
        <f>J491</f>
        <v>1.35</v>
      </c>
      <c r="K507" s="1424" t="s">
        <v>424</v>
      </c>
      <c r="L507" s="1424">
        <v>6</v>
      </c>
      <c r="M507" s="1424"/>
      <c r="N507" s="1424"/>
      <c r="O507" s="1424"/>
      <c r="P507" s="1424"/>
      <c r="Q507" s="1403" t="s">
        <v>696</v>
      </c>
      <c r="R507" s="1404">
        <f t="shared" si="173"/>
        <v>10.125</v>
      </c>
      <c r="S507" s="1426"/>
      <c r="T507" s="1427"/>
      <c r="U507" s="662"/>
      <c r="V507" s="685"/>
      <c r="W507" s="662"/>
      <c r="X507" s="662"/>
      <c r="Y507" s="662"/>
      <c r="Z507" s="662"/>
      <c r="AA507" s="662"/>
      <c r="AB507" s="662"/>
      <c r="AC507" s="662"/>
      <c r="AD507" s="662"/>
      <c r="AE507" s="662"/>
      <c r="AF507" s="662"/>
      <c r="AG507" s="662"/>
      <c r="AH507" s="662"/>
      <c r="AI507" s="662"/>
      <c r="AJ507" s="662"/>
      <c r="AK507" s="662"/>
      <c r="AL507" s="662"/>
      <c r="AM507" s="662"/>
      <c r="AN507" s="662"/>
      <c r="AO507" s="662"/>
      <c r="AP507" s="662"/>
      <c r="AQ507" s="662"/>
      <c r="AR507" s="662"/>
      <c r="AS507" s="662"/>
      <c r="AT507" s="662"/>
      <c r="AU507" s="662"/>
      <c r="AV507" s="662"/>
      <c r="AW507" s="662"/>
      <c r="AX507" s="662"/>
      <c r="AY507" s="662"/>
      <c r="AZ507" s="662"/>
      <c r="BA507" s="662"/>
      <c r="BB507" s="662"/>
      <c r="BC507" s="662"/>
      <c r="BD507" s="662"/>
      <c r="BE507" s="662"/>
      <c r="BF507" s="662"/>
      <c r="BG507" s="662"/>
      <c r="BH507" s="662"/>
      <c r="BI507" s="662"/>
      <c r="BJ507" s="662"/>
      <c r="BK507" s="662"/>
      <c r="BL507" s="662"/>
      <c r="BM507" s="662"/>
      <c r="BN507" s="662"/>
      <c r="BO507" s="662"/>
      <c r="BP507" s="662"/>
      <c r="BQ507" s="662"/>
      <c r="BR507" s="662"/>
      <c r="BS507" s="662"/>
      <c r="BT507" s="662"/>
      <c r="BU507" s="662"/>
      <c r="BV507" s="662"/>
      <c r="BW507" s="662"/>
      <c r="BX507" s="662"/>
      <c r="BY507" s="662"/>
      <c r="BZ507" s="662"/>
      <c r="CA507" s="662"/>
      <c r="CB507" s="662"/>
      <c r="CC507" s="662"/>
      <c r="CD507" s="662"/>
      <c r="CE507" s="662"/>
      <c r="CF507" s="662"/>
      <c r="CG507" s="662"/>
      <c r="CH507" s="662"/>
      <c r="CI507" s="662"/>
      <c r="CJ507" s="662"/>
      <c r="CK507" s="662"/>
      <c r="CL507" s="662"/>
      <c r="CM507" s="662"/>
      <c r="CN507" s="662"/>
      <c r="CO507" s="662"/>
      <c r="CP507" s="662"/>
      <c r="CQ507" s="662"/>
      <c r="CR507" s="662"/>
      <c r="CS507" s="662"/>
      <c r="CT507" s="662"/>
      <c r="CU507" s="662"/>
      <c r="CV507" s="662"/>
      <c r="CW507" s="662"/>
      <c r="CX507" s="662"/>
      <c r="CY507" s="662"/>
      <c r="CZ507" s="662"/>
      <c r="DA507" s="662"/>
      <c r="DB507" s="662"/>
      <c r="DC507" s="662"/>
      <c r="DD507" s="662"/>
      <c r="DE507" s="662"/>
      <c r="DF507" s="662"/>
      <c r="DG507" s="662"/>
      <c r="DH507" s="662"/>
      <c r="DI507" s="662"/>
      <c r="DJ507" s="662"/>
      <c r="DK507" s="662"/>
      <c r="DL507" s="662"/>
      <c r="DM507" s="662"/>
      <c r="DN507" s="662"/>
      <c r="DO507" s="662"/>
      <c r="DP507" s="662"/>
      <c r="DQ507" s="662"/>
      <c r="DR507" s="662"/>
      <c r="DS507" s="662"/>
      <c r="DT507" s="662"/>
      <c r="DU507" s="662"/>
      <c r="DV507" s="662"/>
      <c r="DW507" s="662"/>
      <c r="DX507" s="662"/>
      <c r="DY507" s="662"/>
      <c r="DZ507" s="662"/>
      <c r="EA507" s="662"/>
      <c r="EB507" s="662"/>
      <c r="EC507" s="662"/>
      <c r="ED507" s="662"/>
      <c r="EE507" s="662"/>
      <c r="EF507" s="662"/>
      <c r="EG507" s="662"/>
      <c r="EH507" s="662"/>
      <c r="EI507" s="662"/>
      <c r="EJ507" s="662"/>
      <c r="EK507" s="662"/>
      <c r="EL507" s="662"/>
      <c r="EM507" s="662"/>
      <c r="EN507" s="662"/>
      <c r="EO507" s="662"/>
      <c r="EP507" s="662"/>
      <c r="EQ507" s="662"/>
      <c r="ER507" s="662"/>
      <c r="ES507" s="662"/>
      <c r="ET507" s="662"/>
      <c r="EU507" s="662"/>
      <c r="EV507" s="662"/>
      <c r="EW507" s="662"/>
      <c r="EX507" s="662"/>
      <c r="EY507" s="662"/>
      <c r="EZ507" s="662"/>
      <c r="FA507" s="662"/>
      <c r="FB507" s="662"/>
      <c r="FC507" s="662"/>
      <c r="FD507" s="662"/>
      <c r="FE507" s="662"/>
      <c r="FF507" s="662"/>
      <c r="FG507" s="662"/>
      <c r="FH507" s="662"/>
      <c r="FI507" s="662"/>
      <c r="FJ507" s="662"/>
      <c r="FK507" s="662"/>
      <c r="FL507" s="662"/>
      <c r="FM507" s="662"/>
      <c r="FN507" s="662"/>
      <c r="FO507" s="662"/>
      <c r="FP507" s="662"/>
      <c r="FQ507" s="662"/>
      <c r="FR507" s="662"/>
      <c r="FS507" s="662"/>
      <c r="FT507" s="662"/>
      <c r="FU507" s="662"/>
      <c r="FV507" s="662"/>
      <c r="FW507" s="662"/>
      <c r="FX507" s="662"/>
      <c r="FY507" s="662"/>
      <c r="FZ507" s="662"/>
      <c r="GA507" s="662"/>
      <c r="GB507" s="662"/>
      <c r="GC507" s="662"/>
      <c r="GD507" s="662"/>
      <c r="GE507" s="662"/>
      <c r="GF507" s="662"/>
      <c r="GG507" s="662"/>
      <c r="GH507" s="662"/>
      <c r="GI507" s="662"/>
      <c r="GJ507" s="662"/>
      <c r="GK507" s="662"/>
      <c r="GL507" s="662"/>
      <c r="GM507" s="662"/>
      <c r="GN507" s="662"/>
      <c r="GO507" s="662"/>
      <c r="GP507" s="662"/>
      <c r="GQ507" s="662"/>
      <c r="GR507" s="662"/>
      <c r="GS507" s="662"/>
      <c r="GT507" s="662"/>
      <c r="GU507" s="662"/>
      <c r="GV507" s="662"/>
      <c r="GW507" s="662"/>
      <c r="GX507" s="662"/>
      <c r="GY507" s="662"/>
      <c r="GZ507" s="662"/>
      <c r="HA507" s="662"/>
      <c r="HB507" s="662"/>
      <c r="HC507" s="662"/>
      <c r="HD507" s="662"/>
      <c r="HE507" s="662"/>
      <c r="HF507" s="662"/>
      <c r="HG507" s="662"/>
      <c r="HH507" s="662"/>
      <c r="HI507" s="662"/>
      <c r="HJ507" s="662"/>
      <c r="HK507" s="662"/>
      <c r="HL507" s="662"/>
      <c r="HM507" s="662"/>
      <c r="HN507" s="662"/>
      <c r="HO507" s="662"/>
      <c r="HP507" s="662"/>
      <c r="HQ507" s="662"/>
      <c r="HR507" s="662"/>
      <c r="HS507" s="662"/>
      <c r="HT507" s="662"/>
      <c r="HU507" s="662"/>
      <c r="HV507" s="662"/>
      <c r="HW507" s="662"/>
      <c r="HX507" s="662"/>
      <c r="HY507" s="662"/>
      <c r="HZ507" s="662"/>
      <c r="IA507" s="662"/>
      <c r="IB507" s="662"/>
      <c r="IC507" s="662"/>
      <c r="ID507" s="662"/>
      <c r="IE507" s="662"/>
      <c r="IF507" s="662"/>
      <c r="IG507" s="662"/>
      <c r="IH507" s="662"/>
      <c r="II507" s="662"/>
      <c r="IJ507" s="662"/>
      <c r="IK507" s="662"/>
      <c r="IL507" s="662"/>
      <c r="IM507" s="662"/>
      <c r="IN507" s="662"/>
      <c r="IO507" s="662"/>
      <c r="IP507" s="662"/>
      <c r="IQ507" s="662"/>
      <c r="IR507" s="662"/>
      <c r="IS507" s="662"/>
      <c r="IT507" s="662"/>
      <c r="IU507" s="662"/>
      <c r="IV507" s="662"/>
      <c r="IW507" s="662"/>
      <c r="IX507" s="662"/>
    </row>
    <row r="508" spans="1:258" s="719" customFormat="1" x14ac:dyDescent="0.2">
      <c r="A508" s="716"/>
      <c r="B508" s="717"/>
      <c r="C508" s="1420"/>
      <c r="D508" s="718"/>
      <c r="E508" s="1421"/>
      <c r="F508" s="1421"/>
      <c r="G508" s="1422" t="str">
        <f t="shared" si="175"/>
        <v>J3</v>
      </c>
      <c r="H508" s="1423">
        <f t="shared" si="175"/>
        <v>0.7</v>
      </c>
      <c r="I508" s="1424" t="s">
        <v>424</v>
      </c>
      <c r="J508" s="1424">
        <f>J492</f>
        <v>1.35</v>
      </c>
      <c r="K508" s="1424" t="s">
        <v>424</v>
      </c>
      <c r="L508" s="1424"/>
      <c r="M508" s="1424"/>
      <c r="N508" s="1424"/>
      <c r="O508" s="1424"/>
      <c r="P508" s="1424"/>
      <c r="Q508" s="1403" t="s">
        <v>696</v>
      </c>
      <c r="R508" s="1404">
        <f t="shared" si="173"/>
        <v>0</v>
      </c>
      <c r="S508" s="1426"/>
      <c r="T508" s="1427"/>
      <c r="U508" s="662"/>
      <c r="V508" s="685"/>
      <c r="W508" s="662"/>
      <c r="X508" s="662"/>
      <c r="Y508" s="662"/>
      <c r="Z508" s="662"/>
      <c r="AA508" s="662"/>
      <c r="AB508" s="662"/>
      <c r="AC508" s="662"/>
      <c r="AD508" s="662"/>
      <c r="AE508" s="662"/>
      <c r="AF508" s="662"/>
      <c r="AG508" s="662"/>
      <c r="AH508" s="662"/>
      <c r="AI508" s="662"/>
      <c r="AJ508" s="662"/>
      <c r="AK508" s="662"/>
      <c r="AL508" s="662"/>
      <c r="AM508" s="662"/>
      <c r="AN508" s="662"/>
      <c r="AO508" s="662"/>
      <c r="AP508" s="662"/>
      <c r="AQ508" s="662"/>
      <c r="AR508" s="662"/>
      <c r="AS508" s="662"/>
      <c r="AT508" s="662"/>
      <c r="AU508" s="662"/>
      <c r="AV508" s="662"/>
      <c r="AW508" s="662"/>
      <c r="AX508" s="662"/>
      <c r="AY508" s="662"/>
      <c r="AZ508" s="662"/>
      <c r="BA508" s="662"/>
      <c r="BB508" s="662"/>
      <c r="BC508" s="662"/>
      <c r="BD508" s="662"/>
      <c r="BE508" s="662"/>
      <c r="BF508" s="662"/>
      <c r="BG508" s="662"/>
      <c r="BH508" s="662"/>
      <c r="BI508" s="662"/>
      <c r="BJ508" s="662"/>
      <c r="BK508" s="662"/>
      <c r="BL508" s="662"/>
      <c r="BM508" s="662"/>
      <c r="BN508" s="662"/>
      <c r="BO508" s="662"/>
      <c r="BP508" s="662"/>
      <c r="BQ508" s="662"/>
      <c r="BR508" s="662"/>
      <c r="BS508" s="662"/>
      <c r="BT508" s="662"/>
      <c r="BU508" s="662"/>
      <c r="BV508" s="662"/>
      <c r="BW508" s="662"/>
      <c r="BX508" s="662"/>
      <c r="BY508" s="662"/>
      <c r="BZ508" s="662"/>
      <c r="CA508" s="662"/>
      <c r="CB508" s="662"/>
      <c r="CC508" s="662"/>
      <c r="CD508" s="662"/>
      <c r="CE508" s="662"/>
      <c r="CF508" s="662"/>
      <c r="CG508" s="662"/>
      <c r="CH508" s="662"/>
      <c r="CI508" s="662"/>
      <c r="CJ508" s="662"/>
      <c r="CK508" s="662"/>
      <c r="CL508" s="662"/>
      <c r="CM508" s="662"/>
      <c r="CN508" s="662"/>
      <c r="CO508" s="662"/>
      <c r="CP508" s="662"/>
      <c r="CQ508" s="662"/>
      <c r="CR508" s="662"/>
      <c r="CS508" s="662"/>
      <c r="CT508" s="662"/>
      <c r="CU508" s="662"/>
      <c r="CV508" s="662"/>
      <c r="CW508" s="662"/>
      <c r="CX508" s="662"/>
      <c r="CY508" s="662"/>
      <c r="CZ508" s="662"/>
      <c r="DA508" s="662"/>
      <c r="DB508" s="662"/>
      <c r="DC508" s="662"/>
      <c r="DD508" s="662"/>
      <c r="DE508" s="662"/>
      <c r="DF508" s="662"/>
      <c r="DG508" s="662"/>
      <c r="DH508" s="662"/>
      <c r="DI508" s="662"/>
      <c r="DJ508" s="662"/>
      <c r="DK508" s="662"/>
      <c r="DL508" s="662"/>
      <c r="DM508" s="662"/>
      <c r="DN508" s="662"/>
      <c r="DO508" s="662"/>
      <c r="DP508" s="662"/>
      <c r="DQ508" s="662"/>
      <c r="DR508" s="662"/>
      <c r="DS508" s="662"/>
      <c r="DT508" s="662"/>
      <c r="DU508" s="662"/>
      <c r="DV508" s="662"/>
      <c r="DW508" s="662"/>
      <c r="DX508" s="662"/>
      <c r="DY508" s="662"/>
      <c r="DZ508" s="662"/>
      <c r="EA508" s="662"/>
      <c r="EB508" s="662"/>
      <c r="EC508" s="662"/>
      <c r="ED508" s="662"/>
      <c r="EE508" s="662"/>
      <c r="EF508" s="662"/>
      <c r="EG508" s="662"/>
      <c r="EH508" s="662"/>
      <c r="EI508" s="662"/>
      <c r="EJ508" s="662"/>
      <c r="EK508" s="662"/>
      <c r="EL508" s="662"/>
      <c r="EM508" s="662"/>
      <c r="EN508" s="662"/>
      <c r="EO508" s="662"/>
      <c r="EP508" s="662"/>
      <c r="EQ508" s="662"/>
      <c r="ER508" s="662"/>
      <c r="ES508" s="662"/>
      <c r="ET508" s="662"/>
      <c r="EU508" s="662"/>
      <c r="EV508" s="662"/>
      <c r="EW508" s="662"/>
      <c r="EX508" s="662"/>
      <c r="EY508" s="662"/>
      <c r="EZ508" s="662"/>
      <c r="FA508" s="662"/>
      <c r="FB508" s="662"/>
      <c r="FC508" s="662"/>
      <c r="FD508" s="662"/>
      <c r="FE508" s="662"/>
      <c r="FF508" s="662"/>
      <c r="FG508" s="662"/>
      <c r="FH508" s="662"/>
      <c r="FI508" s="662"/>
      <c r="FJ508" s="662"/>
      <c r="FK508" s="662"/>
      <c r="FL508" s="662"/>
      <c r="FM508" s="662"/>
      <c r="FN508" s="662"/>
      <c r="FO508" s="662"/>
      <c r="FP508" s="662"/>
      <c r="FQ508" s="662"/>
      <c r="FR508" s="662"/>
      <c r="FS508" s="662"/>
      <c r="FT508" s="662"/>
      <c r="FU508" s="662"/>
      <c r="FV508" s="662"/>
      <c r="FW508" s="662"/>
      <c r="FX508" s="662"/>
      <c r="FY508" s="662"/>
      <c r="FZ508" s="662"/>
      <c r="GA508" s="662"/>
      <c r="GB508" s="662"/>
      <c r="GC508" s="662"/>
      <c r="GD508" s="662"/>
      <c r="GE508" s="662"/>
      <c r="GF508" s="662"/>
      <c r="GG508" s="662"/>
      <c r="GH508" s="662"/>
      <c r="GI508" s="662"/>
      <c r="GJ508" s="662"/>
      <c r="GK508" s="662"/>
      <c r="GL508" s="662"/>
      <c r="GM508" s="662"/>
      <c r="GN508" s="662"/>
      <c r="GO508" s="662"/>
      <c r="GP508" s="662"/>
      <c r="GQ508" s="662"/>
      <c r="GR508" s="662"/>
      <c r="GS508" s="662"/>
      <c r="GT508" s="662"/>
      <c r="GU508" s="662"/>
      <c r="GV508" s="662"/>
      <c r="GW508" s="662"/>
      <c r="GX508" s="662"/>
      <c r="GY508" s="662"/>
      <c r="GZ508" s="662"/>
      <c r="HA508" s="662"/>
      <c r="HB508" s="662"/>
      <c r="HC508" s="662"/>
      <c r="HD508" s="662"/>
      <c r="HE508" s="662"/>
      <c r="HF508" s="662"/>
      <c r="HG508" s="662"/>
      <c r="HH508" s="662"/>
      <c r="HI508" s="662"/>
      <c r="HJ508" s="662"/>
      <c r="HK508" s="662"/>
      <c r="HL508" s="662"/>
      <c r="HM508" s="662"/>
      <c r="HN508" s="662"/>
      <c r="HO508" s="662"/>
      <c r="HP508" s="662"/>
      <c r="HQ508" s="662"/>
      <c r="HR508" s="662"/>
      <c r="HS508" s="662"/>
      <c r="HT508" s="662"/>
      <c r="HU508" s="662"/>
      <c r="HV508" s="662"/>
      <c r="HW508" s="662"/>
      <c r="HX508" s="662"/>
      <c r="HY508" s="662"/>
      <c r="HZ508" s="662"/>
      <c r="IA508" s="662"/>
      <c r="IB508" s="662"/>
      <c r="IC508" s="662"/>
      <c r="ID508" s="662"/>
      <c r="IE508" s="662"/>
      <c r="IF508" s="662"/>
      <c r="IG508" s="662"/>
      <c r="IH508" s="662"/>
      <c r="II508" s="662"/>
      <c r="IJ508" s="662"/>
      <c r="IK508" s="662"/>
      <c r="IL508" s="662"/>
      <c r="IM508" s="662"/>
      <c r="IN508" s="662"/>
      <c r="IO508" s="662"/>
      <c r="IP508" s="662"/>
      <c r="IQ508" s="662"/>
      <c r="IR508" s="662"/>
      <c r="IS508" s="662"/>
      <c r="IT508" s="662"/>
      <c r="IU508" s="662"/>
      <c r="IV508" s="662"/>
      <c r="IW508" s="662"/>
      <c r="IX508" s="662"/>
    </row>
    <row r="509" spans="1:258" s="719" customFormat="1" x14ac:dyDescent="0.2">
      <c r="A509" s="716"/>
      <c r="B509" s="717"/>
      <c r="C509" s="1420"/>
      <c r="D509" s="718"/>
      <c r="E509" s="1421"/>
      <c r="F509" s="1421"/>
      <c r="G509" s="1422" t="str">
        <f t="shared" si="175"/>
        <v>BV 1</v>
      </c>
      <c r="H509" s="1423">
        <f t="shared" si="175"/>
        <v>1.85</v>
      </c>
      <c r="I509" s="1424" t="s">
        <v>424</v>
      </c>
      <c r="J509" s="1424">
        <f>J493</f>
        <v>0.55000000000000004</v>
      </c>
      <c r="K509" s="1424" t="s">
        <v>424</v>
      </c>
      <c r="L509" s="1424"/>
      <c r="M509" s="1424"/>
      <c r="N509" s="1424"/>
      <c r="O509" s="1424"/>
      <c r="P509" s="1424"/>
      <c r="Q509" s="1403" t="s">
        <v>696</v>
      </c>
      <c r="R509" s="1404">
        <f t="shared" si="173"/>
        <v>0</v>
      </c>
      <c r="S509" s="1426"/>
      <c r="T509" s="1427"/>
      <c r="U509" s="662"/>
      <c r="V509" s="685"/>
      <c r="W509" s="662"/>
      <c r="X509" s="662"/>
      <c r="Y509" s="662"/>
      <c r="Z509" s="662"/>
      <c r="AA509" s="662"/>
      <c r="AB509" s="662"/>
      <c r="AC509" s="662"/>
      <c r="AD509" s="662"/>
      <c r="AE509" s="662"/>
      <c r="AF509" s="662"/>
      <c r="AG509" s="662"/>
      <c r="AH509" s="662"/>
      <c r="AI509" s="662"/>
      <c r="AJ509" s="662"/>
      <c r="AK509" s="662"/>
      <c r="AL509" s="662"/>
      <c r="AM509" s="662"/>
      <c r="AN509" s="662"/>
      <c r="AO509" s="662"/>
      <c r="AP509" s="662"/>
      <c r="AQ509" s="662"/>
      <c r="AR509" s="662"/>
      <c r="AS509" s="662"/>
      <c r="AT509" s="662"/>
      <c r="AU509" s="662"/>
      <c r="AV509" s="662"/>
      <c r="AW509" s="662"/>
      <c r="AX509" s="662"/>
      <c r="AY509" s="662"/>
      <c r="AZ509" s="662"/>
      <c r="BA509" s="662"/>
      <c r="BB509" s="662"/>
      <c r="BC509" s="662"/>
      <c r="BD509" s="662"/>
      <c r="BE509" s="662"/>
      <c r="BF509" s="662"/>
      <c r="BG509" s="662"/>
      <c r="BH509" s="662"/>
      <c r="BI509" s="662"/>
      <c r="BJ509" s="662"/>
      <c r="BK509" s="662"/>
      <c r="BL509" s="662"/>
      <c r="BM509" s="662"/>
      <c r="BN509" s="662"/>
      <c r="BO509" s="662"/>
      <c r="BP509" s="662"/>
      <c r="BQ509" s="662"/>
      <c r="BR509" s="662"/>
      <c r="BS509" s="662"/>
      <c r="BT509" s="662"/>
      <c r="BU509" s="662"/>
      <c r="BV509" s="662"/>
      <c r="BW509" s="662"/>
      <c r="BX509" s="662"/>
      <c r="BY509" s="662"/>
      <c r="BZ509" s="662"/>
      <c r="CA509" s="662"/>
      <c r="CB509" s="662"/>
      <c r="CC509" s="662"/>
      <c r="CD509" s="662"/>
      <c r="CE509" s="662"/>
      <c r="CF509" s="662"/>
      <c r="CG509" s="662"/>
      <c r="CH509" s="662"/>
      <c r="CI509" s="662"/>
      <c r="CJ509" s="662"/>
      <c r="CK509" s="662"/>
      <c r="CL509" s="662"/>
      <c r="CM509" s="662"/>
      <c r="CN509" s="662"/>
      <c r="CO509" s="662"/>
      <c r="CP509" s="662"/>
      <c r="CQ509" s="662"/>
      <c r="CR509" s="662"/>
      <c r="CS509" s="662"/>
      <c r="CT509" s="662"/>
      <c r="CU509" s="662"/>
      <c r="CV509" s="662"/>
      <c r="CW509" s="662"/>
      <c r="CX509" s="662"/>
      <c r="CY509" s="662"/>
      <c r="CZ509" s="662"/>
      <c r="DA509" s="662"/>
      <c r="DB509" s="662"/>
      <c r="DC509" s="662"/>
      <c r="DD509" s="662"/>
      <c r="DE509" s="662"/>
      <c r="DF509" s="662"/>
      <c r="DG509" s="662"/>
      <c r="DH509" s="662"/>
      <c r="DI509" s="662"/>
      <c r="DJ509" s="662"/>
      <c r="DK509" s="662"/>
      <c r="DL509" s="662"/>
      <c r="DM509" s="662"/>
      <c r="DN509" s="662"/>
      <c r="DO509" s="662"/>
      <c r="DP509" s="662"/>
      <c r="DQ509" s="662"/>
      <c r="DR509" s="662"/>
      <c r="DS509" s="662"/>
      <c r="DT509" s="662"/>
      <c r="DU509" s="662"/>
      <c r="DV509" s="662"/>
      <c r="DW509" s="662"/>
      <c r="DX509" s="662"/>
      <c r="DY509" s="662"/>
      <c r="DZ509" s="662"/>
      <c r="EA509" s="662"/>
      <c r="EB509" s="662"/>
      <c r="EC509" s="662"/>
      <c r="ED509" s="662"/>
      <c r="EE509" s="662"/>
      <c r="EF509" s="662"/>
      <c r="EG509" s="662"/>
      <c r="EH509" s="662"/>
      <c r="EI509" s="662"/>
      <c r="EJ509" s="662"/>
      <c r="EK509" s="662"/>
      <c r="EL509" s="662"/>
      <c r="EM509" s="662"/>
      <c r="EN509" s="662"/>
      <c r="EO509" s="662"/>
      <c r="EP509" s="662"/>
      <c r="EQ509" s="662"/>
      <c r="ER509" s="662"/>
      <c r="ES509" s="662"/>
      <c r="ET509" s="662"/>
      <c r="EU509" s="662"/>
      <c r="EV509" s="662"/>
      <c r="EW509" s="662"/>
      <c r="EX509" s="662"/>
      <c r="EY509" s="662"/>
      <c r="EZ509" s="662"/>
      <c r="FA509" s="662"/>
      <c r="FB509" s="662"/>
      <c r="FC509" s="662"/>
      <c r="FD509" s="662"/>
      <c r="FE509" s="662"/>
      <c r="FF509" s="662"/>
      <c r="FG509" s="662"/>
      <c r="FH509" s="662"/>
      <c r="FI509" s="662"/>
      <c r="FJ509" s="662"/>
      <c r="FK509" s="662"/>
      <c r="FL509" s="662"/>
      <c r="FM509" s="662"/>
      <c r="FN509" s="662"/>
      <c r="FO509" s="662"/>
      <c r="FP509" s="662"/>
      <c r="FQ509" s="662"/>
      <c r="FR509" s="662"/>
      <c r="FS509" s="662"/>
      <c r="FT509" s="662"/>
      <c r="FU509" s="662"/>
      <c r="FV509" s="662"/>
      <c r="FW509" s="662"/>
      <c r="FX509" s="662"/>
      <c r="FY509" s="662"/>
      <c r="FZ509" s="662"/>
      <c r="GA509" s="662"/>
      <c r="GB509" s="662"/>
      <c r="GC509" s="662"/>
      <c r="GD509" s="662"/>
      <c r="GE509" s="662"/>
      <c r="GF509" s="662"/>
      <c r="GG509" s="662"/>
      <c r="GH509" s="662"/>
      <c r="GI509" s="662"/>
      <c r="GJ509" s="662"/>
      <c r="GK509" s="662"/>
      <c r="GL509" s="662"/>
      <c r="GM509" s="662"/>
      <c r="GN509" s="662"/>
      <c r="GO509" s="662"/>
      <c r="GP509" s="662"/>
      <c r="GQ509" s="662"/>
      <c r="GR509" s="662"/>
      <c r="GS509" s="662"/>
      <c r="GT509" s="662"/>
      <c r="GU509" s="662"/>
      <c r="GV509" s="662"/>
      <c r="GW509" s="662"/>
      <c r="GX509" s="662"/>
      <c r="GY509" s="662"/>
      <c r="GZ509" s="662"/>
      <c r="HA509" s="662"/>
      <c r="HB509" s="662"/>
      <c r="HC509" s="662"/>
      <c r="HD509" s="662"/>
      <c r="HE509" s="662"/>
      <c r="HF509" s="662"/>
      <c r="HG509" s="662"/>
      <c r="HH509" s="662"/>
      <c r="HI509" s="662"/>
      <c r="HJ509" s="662"/>
      <c r="HK509" s="662"/>
      <c r="HL509" s="662"/>
      <c r="HM509" s="662"/>
      <c r="HN509" s="662"/>
      <c r="HO509" s="662"/>
      <c r="HP509" s="662"/>
      <c r="HQ509" s="662"/>
      <c r="HR509" s="662"/>
      <c r="HS509" s="662"/>
      <c r="HT509" s="662"/>
      <c r="HU509" s="662"/>
      <c r="HV509" s="662"/>
      <c r="HW509" s="662"/>
      <c r="HX509" s="662"/>
      <c r="HY509" s="662"/>
      <c r="HZ509" s="662"/>
      <c r="IA509" s="662"/>
      <c r="IB509" s="662"/>
      <c r="IC509" s="662"/>
      <c r="ID509" s="662"/>
      <c r="IE509" s="662"/>
      <c r="IF509" s="662"/>
      <c r="IG509" s="662"/>
      <c r="IH509" s="662"/>
      <c r="II509" s="662"/>
      <c r="IJ509" s="662"/>
      <c r="IK509" s="662"/>
      <c r="IL509" s="662"/>
      <c r="IM509" s="662"/>
      <c r="IN509" s="662"/>
      <c r="IO509" s="662"/>
      <c r="IP509" s="662"/>
      <c r="IQ509" s="662"/>
      <c r="IR509" s="662"/>
      <c r="IS509" s="662"/>
      <c r="IT509" s="662"/>
      <c r="IU509" s="662"/>
      <c r="IV509" s="662"/>
      <c r="IW509" s="662"/>
      <c r="IX509" s="662"/>
    </row>
    <row r="510" spans="1:258" s="719" customFormat="1" x14ac:dyDescent="0.2">
      <c r="A510" s="716"/>
      <c r="B510" s="717"/>
      <c r="C510" s="1420"/>
      <c r="D510" s="718"/>
      <c r="E510" s="1421"/>
      <c r="F510" s="1421"/>
      <c r="G510" s="1422" t="str">
        <f t="shared" si="175"/>
        <v>BV 2</v>
      </c>
      <c r="H510" s="1423">
        <f t="shared" si="175"/>
        <v>0.65</v>
      </c>
      <c r="I510" s="1424" t="s">
        <v>424</v>
      </c>
      <c r="J510" s="1424">
        <f>J494</f>
        <v>0.55000000000000004</v>
      </c>
      <c r="K510" s="1424" t="s">
        <v>424</v>
      </c>
      <c r="L510" s="1424">
        <v>1</v>
      </c>
      <c r="M510" s="1424"/>
      <c r="N510" s="1424"/>
      <c r="O510" s="1424"/>
      <c r="P510" s="1424"/>
      <c r="Q510" s="1403" t="s">
        <v>696</v>
      </c>
      <c r="R510" s="1404">
        <f t="shared" si="173"/>
        <v>0.35750000000000004</v>
      </c>
      <c r="S510" s="1426"/>
      <c r="T510" s="1427"/>
      <c r="U510" s="662"/>
      <c r="V510" s="685"/>
      <c r="W510" s="662"/>
      <c r="X510" s="662"/>
      <c r="Y510" s="662"/>
      <c r="Z510" s="662"/>
      <c r="AA510" s="662"/>
      <c r="AB510" s="662"/>
      <c r="AC510" s="662"/>
      <c r="AD510" s="662"/>
      <c r="AE510" s="662"/>
      <c r="AF510" s="662"/>
      <c r="AG510" s="662"/>
      <c r="AH510" s="662"/>
      <c r="AI510" s="662"/>
      <c r="AJ510" s="662"/>
      <c r="AK510" s="662"/>
      <c r="AL510" s="662"/>
      <c r="AM510" s="662"/>
      <c r="AN510" s="662"/>
      <c r="AO510" s="662"/>
      <c r="AP510" s="662"/>
      <c r="AQ510" s="662"/>
      <c r="AR510" s="662"/>
      <c r="AS510" s="662"/>
      <c r="AT510" s="662"/>
      <c r="AU510" s="662"/>
      <c r="AV510" s="662"/>
      <c r="AW510" s="662"/>
      <c r="AX510" s="662"/>
      <c r="AY510" s="662"/>
      <c r="AZ510" s="662"/>
      <c r="BA510" s="662"/>
      <c r="BB510" s="662"/>
      <c r="BC510" s="662"/>
      <c r="BD510" s="662"/>
      <c r="BE510" s="662"/>
      <c r="BF510" s="662"/>
      <c r="BG510" s="662"/>
      <c r="BH510" s="662"/>
      <c r="BI510" s="662"/>
      <c r="BJ510" s="662"/>
      <c r="BK510" s="662"/>
      <c r="BL510" s="662"/>
      <c r="BM510" s="662"/>
      <c r="BN510" s="662"/>
      <c r="BO510" s="662"/>
      <c r="BP510" s="662"/>
      <c r="BQ510" s="662"/>
      <c r="BR510" s="662"/>
      <c r="BS510" s="662"/>
      <c r="BT510" s="662"/>
      <c r="BU510" s="662"/>
      <c r="BV510" s="662"/>
      <c r="BW510" s="662"/>
      <c r="BX510" s="662"/>
      <c r="BY510" s="662"/>
      <c r="BZ510" s="662"/>
      <c r="CA510" s="662"/>
      <c r="CB510" s="662"/>
      <c r="CC510" s="662"/>
      <c r="CD510" s="662"/>
      <c r="CE510" s="662"/>
      <c r="CF510" s="662"/>
      <c r="CG510" s="662"/>
      <c r="CH510" s="662"/>
      <c r="CI510" s="662"/>
      <c r="CJ510" s="662"/>
      <c r="CK510" s="662"/>
      <c r="CL510" s="662"/>
      <c r="CM510" s="662"/>
      <c r="CN510" s="662"/>
      <c r="CO510" s="662"/>
      <c r="CP510" s="662"/>
      <c r="CQ510" s="662"/>
      <c r="CR510" s="662"/>
      <c r="CS510" s="662"/>
      <c r="CT510" s="662"/>
      <c r="CU510" s="662"/>
      <c r="CV510" s="662"/>
      <c r="CW510" s="662"/>
      <c r="CX510" s="662"/>
      <c r="CY510" s="662"/>
      <c r="CZ510" s="662"/>
      <c r="DA510" s="662"/>
      <c r="DB510" s="662"/>
      <c r="DC510" s="662"/>
      <c r="DD510" s="662"/>
      <c r="DE510" s="662"/>
      <c r="DF510" s="662"/>
      <c r="DG510" s="662"/>
      <c r="DH510" s="662"/>
      <c r="DI510" s="662"/>
      <c r="DJ510" s="662"/>
      <c r="DK510" s="662"/>
      <c r="DL510" s="662"/>
      <c r="DM510" s="662"/>
      <c r="DN510" s="662"/>
      <c r="DO510" s="662"/>
      <c r="DP510" s="662"/>
      <c r="DQ510" s="662"/>
      <c r="DR510" s="662"/>
      <c r="DS510" s="662"/>
      <c r="DT510" s="662"/>
      <c r="DU510" s="662"/>
      <c r="DV510" s="662"/>
      <c r="DW510" s="662"/>
      <c r="DX510" s="662"/>
      <c r="DY510" s="662"/>
      <c r="DZ510" s="662"/>
      <c r="EA510" s="662"/>
      <c r="EB510" s="662"/>
      <c r="EC510" s="662"/>
      <c r="ED510" s="662"/>
      <c r="EE510" s="662"/>
      <c r="EF510" s="662"/>
      <c r="EG510" s="662"/>
      <c r="EH510" s="662"/>
      <c r="EI510" s="662"/>
      <c r="EJ510" s="662"/>
      <c r="EK510" s="662"/>
      <c r="EL510" s="662"/>
      <c r="EM510" s="662"/>
      <c r="EN510" s="662"/>
      <c r="EO510" s="662"/>
      <c r="EP510" s="662"/>
      <c r="EQ510" s="662"/>
      <c r="ER510" s="662"/>
      <c r="ES510" s="662"/>
      <c r="ET510" s="662"/>
      <c r="EU510" s="662"/>
      <c r="EV510" s="662"/>
      <c r="EW510" s="662"/>
      <c r="EX510" s="662"/>
      <c r="EY510" s="662"/>
      <c r="EZ510" s="662"/>
      <c r="FA510" s="662"/>
      <c r="FB510" s="662"/>
      <c r="FC510" s="662"/>
      <c r="FD510" s="662"/>
      <c r="FE510" s="662"/>
      <c r="FF510" s="662"/>
      <c r="FG510" s="662"/>
      <c r="FH510" s="662"/>
      <c r="FI510" s="662"/>
      <c r="FJ510" s="662"/>
      <c r="FK510" s="662"/>
      <c r="FL510" s="662"/>
      <c r="FM510" s="662"/>
      <c r="FN510" s="662"/>
      <c r="FO510" s="662"/>
      <c r="FP510" s="662"/>
      <c r="FQ510" s="662"/>
      <c r="FR510" s="662"/>
      <c r="FS510" s="662"/>
      <c r="FT510" s="662"/>
      <c r="FU510" s="662"/>
      <c r="FV510" s="662"/>
      <c r="FW510" s="662"/>
      <c r="FX510" s="662"/>
      <c r="FY510" s="662"/>
      <c r="FZ510" s="662"/>
      <c r="GA510" s="662"/>
      <c r="GB510" s="662"/>
      <c r="GC510" s="662"/>
      <c r="GD510" s="662"/>
      <c r="GE510" s="662"/>
      <c r="GF510" s="662"/>
      <c r="GG510" s="662"/>
      <c r="GH510" s="662"/>
      <c r="GI510" s="662"/>
      <c r="GJ510" s="662"/>
      <c r="GK510" s="662"/>
      <c r="GL510" s="662"/>
      <c r="GM510" s="662"/>
      <c r="GN510" s="662"/>
      <c r="GO510" s="662"/>
      <c r="GP510" s="662"/>
      <c r="GQ510" s="662"/>
      <c r="GR510" s="662"/>
      <c r="GS510" s="662"/>
      <c r="GT510" s="662"/>
      <c r="GU510" s="662"/>
      <c r="GV510" s="662"/>
      <c r="GW510" s="662"/>
      <c r="GX510" s="662"/>
      <c r="GY510" s="662"/>
      <c r="GZ510" s="662"/>
      <c r="HA510" s="662"/>
      <c r="HB510" s="662"/>
      <c r="HC510" s="662"/>
      <c r="HD510" s="662"/>
      <c r="HE510" s="662"/>
      <c r="HF510" s="662"/>
      <c r="HG510" s="662"/>
      <c r="HH510" s="662"/>
      <c r="HI510" s="662"/>
      <c r="HJ510" s="662"/>
      <c r="HK510" s="662"/>
      <c r="HL510" s="662"/>
      <c r="HM510" s="662"/>
      <c r="HN510" s="662"/>
      <c r="HO510" s="662"/>
      <c r="HP510" s="662"/>
      <c r="HQ510" s="662"/>
      <c r="HR510" s="662"/>
      <c r="HS510" s="662"/>
      <c r="HT510" s="662"/>
      <c r="HU510" s="662"/>
      <c r="HV510" s="662"/>
      <c r="HW510" s="662"/>
      <c r="HX510" s="662"/>
      <c r="HY510" s="662"/>
      <c r="HZ510" s="662"/>
      <c r="IA510" s="662"/>
      <c r="IB510" s="662"/>
      <c r="IC510" s="662"/>
      <c r="ID510" s="662"/>
      <c r="IE510" s="662"/>
      <c r="IF510" s="662"/>
      <c r="IG510" s="662"/>
      <c r="IH510" s="662"/>
      <c r="II510" s="662"/>
      <c r="IJ510" s="662"/>
      <c r="IK510" s="662"/>
      <c r="IL510" s="662"/>
      <c r="IM510" s="662"/>
      <c r="IN510" s="662"/>
      <c r="IO510" s="662"/>
      <c r="IP510" s="662"/>
      <c r="IQ510" s="662"/>
      <c r="IR510" s="662"/>
      <c r="IS510" s="662"/>
      <c r="IT510" s="662"/>
      <c r="IU510" s="662"/>
      <c r="IV510" s="662"/>
      <c r="IW510" s="662"/>
      <c r="IX510" s="662"/>
    </row>
    <row r="511" spans="1:258" s="719" customFormat="1" x14ac:dyDescent="0.2">
      <c r="A511" s="716"/>
      <c r="B511" s="717"/>
      <c r="C511" s="1420"/>
      <c r="D511" s="718"/>
      <c r="E511" s="1421"/>
      <c r="F511" s="1421"/>
      <c r="G511" s="1422"/>
      <c r="H511" s="1423"/>
      <c r="I511" s="1424"/>
      <c r="J511" s="1424"/>
      <c r="K511" s="1424"/>
      <c r="L511" s="1424"/>
      <c r="M511" s="1424"/>
      <c r="N511" s="1424"/>
      <c r="O511" s="1424"/>
      <c r="P511" s="1424"/>
      <c r="Q511" s="1424"/>
      <c r="R511" s="1425">
        <f>SUM(R502:R510)</f>
        <v>47.862500000000004</v>
      </c>
      <c r="S511" s="1426"/>
      <c r="T511" s="1427"/>
      <c r="U511" s="662"/>
      <c r="V511" s="685"/>
      <c r="W511" s="662"/>
      <c r="X511" s="662"/>
      <c r="Y511" s="662"/>
      <c r="Z511" s="662"/>
      <c r="AA511" s="662"/>
      <c r="AB511" s="662"/>
      <c r="AC511" s="662"/>
      <c r="AD511" s="662"/>
      <c r="AE511" s="662"/>
      <c r="AF511" s="662"/>
      <c r="AG511" s="662"/>
      <c r="AH511" s="662"/>
      <c r="AI511" s="662"/>
      <c r="AJ511" s="662"/>
      <c r="AK511" s="662"/>
      <c r="AL511" s="662"/>
      <c r="AM511" s="662"/>
      <c r="AN511" s="662"/>
      <c r="AO511" s="662"/>
      <c r="AP511" s="662"/>
      <c r="AQ511" s="662"/>
      <c r="AR511" s="662"/>
      <c r="AS511" s="662"/>
      <c r="AT511" s="662"/>
      <c r="AU511" s="662"/>
      <c r="AV511" s="662"/>
      <c r="AW511" s="662"/>
      <c r="AX511" s="662"/>
      <c r="AY511" s="662"/>
      <c r="AZ511" s="662"/>
      <c r="BA511" s="662"/>
      <c r="BB511" s="662"/>
      <c r="BC511" s="662"/>
      <c r="BD511" s="662"/>
      <c r="BE511" s="662"/>
      <c r="BF511" s="662"/>
      <c r="BG511" s="662"/>
      <c r="BH511" s="662"/>
      <c r="BI511" s="662"/>
      <c r="BJ511" s="662"/>
      <c r="BK511" s="662"/>
      <c r="BL511" s="662"/>
      <c r="BM511" s="662"/>
      <c r="BN511" s="662"/>
      <c r="BO511" s="662"/>
      <c r="BP511" s="662"/>
      <c r="BQ511" s="662"/>
      <c r="BR511" s="662"/>
      <c r="BS511" s="662"/>
      <c r="BT511" s="662"/>
      <c r="BU511" s="662"/>
      <c r="BV511" s="662"/>
      <c r="BW511" s="662"/>
      <c r="BX511" s="662"/>
      <c r="BY511" s="662"/>
      <c r="BZ511" s="662"/>
      <c r="CA511" s="662"/>
      <c r="CB511" s="662"/>
      <c r="CC511" s="662"/>
      <c r="CD511" s="662"/>
      <c r="CE511" s="662"/>
      <c r="CF511" s="662"/>
      <c r="CG511" s="662"/>
      <c r="CH511" s="662"/>
      <c r="CI511" s="662"/>
      <c r="CJ511" s="662"/>
      <c r="CK511" s="662"/>
      <c r="CL511" s="662"/>
      <c r="CM511" s="662"/>
      <c r="CN511" s="662"/>
      <c r="CO511" s="662"/>
      <c r="CP511" s="662"/>
      <c r="CQ511" s="662"/>
      <c r="CR511" s="662"/>
      <c r="CS511" s="662"/>
      <c r="CT511" s="662"/>
      <c r="CU511" s="662"/>
      <c r="CV511" s="662"/>
      <c r="CW511" s="662"/>
      <c r="CX511" s="662"/>
      <c r="CY511" s="662"/>
      <c r="CZ511" s="662"/>
      <c r="DA511" s="662"/>
      <c r="DB511" s="662"/>
      <c r="DC511" s="662"/>
      <c r="DD511" s="662"/>
      <c r="DE511" s="662"/>
      <c r="DF511" s="662"/>
      <c r="DG511" s="662"/>
      <c r="DH511" s="662"/>
      <c r="DI511" s="662"/>
      <c r="DJ511" s="662"/>
      <c r="DK511" s="662"/>
      <c r="DL511" s="662"/>
      <c r="DM511" s="662"/>
      <c r="DN511" s="662"/>
      <c r="DO511" s="662"/>
      <c r="DP511" s="662"/>
      <c r="DQ511" s="662"/>
      <c r="DR511" s="662"/>
      <c r="DS511" s="662"/>
      <c r="DT511" s="662"/>
      <c r="DU511" s="662"/>
      <c r="DV511" s="662"/>
      <c r="DW511" s="662"/>
      <c r="DX511" s="662"/>
      <c r="DY511" s="662"/>
      <c r="DZ511" s="662"/>
      <c r="EA511" s="662"/>
      <c r="EB511" s="662"/>
      <c r="EC511" s="662"/>
      <c r="ED511" s="662"/>
      <c r="EE511" s="662"/>
      <c r="EF511" s="662"/>
      <c r="EG511" s="662"/>
      <c r="EH511" s="662"/>
      <c r="EI511" s="662"/>
      <c r="EJ511" s="662"/>
      <c r="EK511" s="662"/>
      <c r="EL511" s="662"/>
      <c r="EM511" s="662"/>
      <c r="EN511" s="662"/>
      <c r="EO511" s="662"/>
      <c r="EP511" s="662"/>
      <c r="EQ511" s="662"/>
      <c r="ER511" s="662"/>
      <c r="ES511" s="662"/>
      <c r="ET511" s="662"/>
      <c r="EU511" s="662"/>
      <c r="EV511" s="662"/>
      <c r="EW511" s="662"/>
      <c r="EX511" s="662"/>
      <c r="EY511" s="662"/>
      <c r="EZ511" s="662"/>
      <c r="FA511" s="662"/>
      <c r="FB511" s="662"/>
      <c r="FC511" s="662"/>
      <c r="FD511" s="662"/>
      <c r="FE511" s="662"/>
      <c r="FF511" s="662"/>
      <c r="FG511" s="662"/>
      <c r="FH511" s="662"/>
      <c r="FI511" s="662"/>
      <c r="FJ511" s="662"/>
      <c r="FK511" s="662"/>
      <c r="FL511" s="662"/>
      <c r="FM511" s="662"/>
      <c r="FN511" s="662"/>
      <c r="FO511" s="662"/>
      <c r="FP511" s="662"/>
      <c r="FQ511" s="662"/>
      <c r="FR511" s="662"/>
      <c r="FS511" s="662"/>
      <c r="FT511" s="662"/>
      <c r="FU511" s="662"/>
      <c r="FV511" s="662"/>
      <c r="FW511" s="662"/>
      <c r="FX511" s="662"/>
      <c r="FY511" s="662"/>
      <c r="FZ511" s="662"/>
      <c r="GA511" s="662"/>
      <c r="GB511" s="662"/>
      <c r="GC511" s="662"/>
      <c r="GD511" s="662"/>
      <c r="GE511" s="662"/>
      <c r="GF511" s="662"/>
      <c r="GG511" s="662"/>
      <c r="GH511" s="662"/>
      <c r="GI511" s="662"/>
      <c r="GJ511" s="662"/>
      <c r="GK511" s="662"/>
      <c r="GL511" s="662"/>
      <c r="GM511" s="662"/>
      <c r="GN511" s="662"/>
      <c r="GO511" s="662"/>
      <c r="GP511" s="662"/>
      <c r="GQ511" s="662"/>
      <c r="GR511" s="662"/>
      <c r="GS511" s="662"/>
      <c r="GT511" s="662"/>
      <c r="GU511" s="662"/>
      <c r="GV511" s="662"/>
      <c r="GW511" s="662"/>
      <c r="GX511" s="662"/>
      <c r="GY511" s="662"/>
      <c r="GZ511" s="662"/>
      <c r="HA511" s="662"/>
      <c r="HB511" s="662"/>
      <c r="HC511" s="662"/>
      <c r="HD511" s="662"/>
      <c r="HE511" s="662"/>
      <c r="HF511" s="662"/>
      <c r="HG511" s="662"/>
      <c r="HH511" s="662"/>
      <c r="HI511" s="662"/>
      <c r="HJ511" s="662"/>
      <c r="HK511" s="662"/>
      <c r="HL511" s="662"/>
      <c r="HM511" s="662"/>
      <c r="HN511" s="662"/>
      <c r="HO511" s="662"/>
      <c r="HP511" s="662"/>
      <c r="HQ511" s="662"/>
      <c r="HR511" s="662"/>
      <c r="HS511" s="662"/>
      <c r="HT511" s="662"/>
      <c r="HU511" s="662"/>
      <c r="HV511" s="662"/>
      <c r="HW511" s="662"/>
      <c r="HX511" s="662"/>
      <c r="HY511" s="662"/>
      <c r="HZ511" s="662"/>
      <c r="IA511" s="662"/>
      <c r="IB511" s="662"/>
      <c r="IC511" s="662"/>
      <c r="ID511" s="662"/>
      <c r="IE511" s="662"/>
      <c r="IF511" s="662"/>
      <c r="IG511" s="662"/>
      <c r="IH511" s="662"/>
      <c r="II511" s="662"/>
      <c r="IJ511" s="662"/>
      <c r="IK511" s="662"/>
      <c r="IL511" s="662"/>
      <c r="IM511" s="662"/>
      <c r="IN511" s="662"/>
      <c r="IO511" s="662"/>
      <c r="IP511" s="662"/>
      <c r="IQ511" s="662"/>
      <c r="IR511" s="662"/>
      <c r="IS511" s="662"/>
      <c r="IT511" s="662"/>
      <c r="IU511" s="662"/>
      <c r="IV511" s="662"/>
      <c r="IW511" s="662"/>
      <c r="IX511" s="662"/>
    </row>
    <row r="512" spans="1:258" s="203" customFormat="1" x14ac:dyDescent="0.2">
      <c r="A512" s="669"/>
      <c r="B512" s="670"/>
      <c r="C512" s="1412"/>
      <c r="D512" s="672"/>
      <c r="E512" s="1413"/>
      <c r="F512" s="1413"/>
      <c r="G512" s="1414"/>
      <c r="H512" s="1428">
        <f>R500</f>
        <v>686</v>
      </c>
      <c r="I512" s="1416" t="s">
        <v>805</v>
      </c>
      <c r="J512" s="1429">
        <f>R511</f>
        <v>47.862500000000004</v>
      </c>
      <c r="K512" s="1416"/>
      <c r="L512" s="1416"/>
      <c r="M512" s="1416"/>
      <c r="N512" s="1416"/>
      <c r="O512" s="1416"/>
      <c r="P512" s="1416"/>
      <c r="Q512" s="1416" t="s">
        <v>696</v>
      </c>
      <c r="R512" s="1417">
        <f>H512-J512</f>
        <v>638.13750000000005</v>
      </c>
      <c r="S512" s="1418">
        <f>R512</f>
        <v>638.13750000000005</v>
      </c>
      <c r="T512" s="1419" t="s">
        <v>338</v>
      </c>
      <c r="U512" s="205"/>
      <c r="V512" s="721"/>
      <c r="W512" s="205"/>
      <c r="X512" s="205"/>
      <c r="Y512" s="205"/>
      <c r="Z512" s="205"/>
      <c r="AA512" s="205"/>
      <c r="AB512" s="205"/>
      <c r="AC512" s="205"/>
      <c r="AD512" s="205"/>
      <c r="AE512" s="205"/>
      <c r="AF512" s="205"/>
      <c r="AG512" s="205"/>
      <c r="AH512" s="205"/>
      <c r="AI512" s="205"/>
      <c r="AJ512" s="205"/>
      <c r="AK512" s="205"/>
      <c r="AL512" s="205"/>
      <c r="AM512" s="205"/>
      <c r="AN512" s="205"/>
      <c r="AO512" s="205"/>
      <c r="AP512" s="205"/>
      <c r="AQ512" s="205"/>
      <c r="AR512" s="205"/>
      <c r="AS512" s="205"/>
      <c r="AT512" s="205"/>
      <c r="AU512" s="205"/>
      <c r="AV512" s="205"/>
      <c r="AW512" s="205"/>
      <c r="AX512" s="205"/>
      <c r="AY512" s="205"/>
      <c r="AZ512" s="205"/>
      <c r="BA512" s="205"/>
      <c r="BB512" s="205"/>
      <c r="BC512" s="205"/>
      <c r="BD512" s="205"/>
      <c r="BE512" s="205"/>
      <c r="BF512" s="205"/>
      <c r="BG512" s="205"/>
      <c r="BH512" s="205"/>
      <c r="BI512" s="205"/>
      <c r="BJ512" s="205"/>
      <c r="BK512" s="205"/>
      <c r="BL512" s="205"/>
      <c r="BM512" s="205"/>
      <c r="BN512" s="205"/>
      <c r="BO512" s="205"/>
      <c r="BP512" s="205"/>
      <c r="BQ512" s="205"/>
      <c r="BR512" s="205"/>
      <c r="BS512" s="205"/>
      <c r="BT512" s="205"/>
      <c r="BU512" s="205"/>
      <c r="BV512" s="205"/>
      <c r="BW512" s="205"/>
      <c r="BX512" s="205"/>
      <c r="BY512" s="205"/>
      <c r="BZ512" s="205"/>
      <c r="CA512" s="205"/>
      <c r="CB512" s="205"/>
      <c r="CC512" s="205"/>
      <c r="CD512" s="205"/>
      <c r="CE512" s="205"/>
      <c r="CF512" s="205"/>
      <c r="CG512" s="205"/>
      <c r="CH512" s="205"/>
      <c r="CI512" s="205"/>
      <c r="CJ512" s="205"/>
      <c r="CK512" s="205"/>
      <c r="CL512" s="205"/>
      <c r="CM512" s="205"/>
      <c r="CN512" s="205"/>
      <c r="CO512" s="205"/>
      <c r="CP512" s="205"/>
      <c r="CQ512" s="205"/>
      <c r="CR512" s="205"/>
      <c r="CS512" s="205"/>
      <c r="CT512" s="205"/>
      <c r="CU512" s="205"/>
      <c r="CV512" s="205"/>
      <c r="CW512" s="205"/>
      <c r="CX512" s="205"/>
      <c r="CY512" s="205"/>
      <c r="CZ512" s="205"/>
      <c r="DA512" s="205"/>
      <c r="DB512" s="205"/>
      <c r="DC512" s="205"/>
      <c r="DD512" s="205"/>
      <c r="DE512" s="205"/>
      <c r="DF512" s="205"/>
      <c r="DG512" s="205"/>
      <c r="DH512" s="205"/>
      <c r="DI512" s="205"/>
      <c r="DJ512" s="205"/>
      <c r="DK512" s="205"/>
      <c r="DL512" s="205"/>
      <c r="DM512" s="205"/>
      <c r="DN512" s="205"/>
      <c r="DO512" s="205"/>
      <c r="DP512" s="205"/>
      <c r="DQ512" s="205"/>
      <c r="DR512" s="205"/>
      <c r="DS512" s="205"/>
      <c r="DT512" s="205"/>
      <c r="DU512" s="205"/>
      <c r="DV512" s="205"/>
      <c r="DW512" s="205"/>
      <c r="DX512" s="205"/>
      <c r="DY512" s="205"/>
      <c r="DZ512" s="205"/>
      <c r="EA512" s="205"/>
      <c r="EB512" s="205"/>
      <c r="EC512" s="205"/>
      <c r="ED512" s="205"/>
      <c r="EE512" s="205"/>
      <c r="EF512" s="205"/>
      <c r="EG512" s="205"/>
      <c r="EH512" s="205"/>
      <c r="EI512" s="205"/>
      <c r="EJ512" s="205"/>
      <c r="EK512" s="205"/>
      <c r="EL512" s="205"/>
      <c r="EM512" s="205"/>
      <c r="EN512" s="205"/>
      <c r="EO512" s="205"/>
      <c r="EP512" s="205"/>
      <c r="EQ512" s="205"/>
      <c r="ER512" s="205"/>
      <c r="ES512" s="205"/>
      <c r="ET512" s="205"/>
      <c r="EU512" s="205"/>
      <c r="EV512" s="205"/>
      <c r="EW512" s="205"/>
      <c r="EX512" s="205"/>
      <c r="EY512" s="205"/>
      <c r="EZ512" s="205"/>
      <c r="FA512" s="205"/>
      <c r="FB512" s="205"/>
      <c r="FC512" s="205"/>
      <c r="FD512" s="205"/>
      <c r="FE512" s="205"/>
      <c r="FF512" s="205"/>
      <c r="FG512" s="205"/>
      <c r="FH512" s="205"/>
      <c r="FI512" s="205"/>
      <c r="FJ512" s="205"/>
      <c r="FK512" s="205"/>
      <c r="FL512" s="205"/>
      <c r="FM512" s="205"/>
      <c r="FN512" s="205"/>
      <c r="FO512" s="205"/>
      <c r="FP512" s="205"/>
      <c r="FQ512" s="205"/>
      <c r="FR512" s="205"/>
      <c r="FS512" s="205"/>
      <c r="FT512" s="205"/>
      <c r="FU512" s="205"/>
      <c r="FV512" s="205"/>
      <c r="FW512" s="205"/>
      <c r="FX512" s="205"/>
      <c r="FY512" s="205"/>
      <c r="FZ512" s="205"/>
      <c r="GA512" s="205"/>
      <c r="GB512" s="205"/>
      <c r="GC512" s="205"/>
      <c r="GD512" s="205"/>
      <c r="GE512" s="205"/>
      <c r="GF512" s="205"/>
      <c r="GG512" s="205"/>
      <c r="GH512" s="205"/>
      <c r="GI512" s="205"/>
      <c r="GJ512" s="205"/>
      <c r="GK512" s="205"/>
      <c r="GL512" s="205"/>
      <c r="GM512" s="205"/>
      <c r="GN512" s="205"/>
      <c r="GO512" s="205"/>
      <c r="GP512" s="205"/>
      <c r="GQ512" s="205"/>
      <c r="GR512" s="205"/>
      <c r="GS512" s="205"/>
      <c r="GT512" s="205"/>
      <c r="GU512" s="205"/>
      <c r="GV512" s="205"/>
      <c r="GW512" s="205"/>
      <c r="GX512" s="205"/>
      <c r="GY512" s="205"/>
      <c r="GZ512" s="205"/>
      <c r="HA512" s="205"/>
      <c r="HB512" s="205"/>
      <c r="HC512" s="205"/>
      <c r="HD512" s="205"/>
      <c r="HE512" s="205"/>
      <c r="HF512" s="205"/>
      <c r="HG512" s="205"/>
      <c r="HH512" s="205"/>
      <c r="HI512" s="205"/>
      <c r="HJ512" s="205"/>
      <c r="HK512" s="205"/>
      <c r="HL512" s="205"/>
      <c r="HM512" s="205"/>
      <c r="HN512" s="205"/>
      <c r="HO512" s="205"/>
      <c r="HP512" s="205"/>
      <c r="HQ512" s="205"/>
      <c r="HR512" s="205"/>
      <c r="HS512" s="205"/>
      <c r="HT512" s="205"/>
      <c r="HU512" s="205"/>
      <c r="HV512" s="205"/>
      <c r="HW512" s="205"/>
      <c r="HX512" s="205"/>
      <c r="HY512" s="205"/>
      <c r="HZ512" s="205"/>
      <c r="IA512" s="205"/>
      <c r="IB512" s="205"/>
      <c r="IC512" s="205"/>
      <c r="ID512" s="205"/>
      <c r="IE512" s="205"/>
      <c r="IF512" s="205"/>
      <c r="IG512" s="205"/>
      <c r="IH512" s="205"/>
      <c r="II512" s="205"/>
      <c r="IJ512" s="205"/>
      <c r="IK512" s="205"/>
      <c r="IL512" s="205"/>
      <c r="IM512" s="205"/>
      <c r="IN512" s="205"/>
      <c r="IO512" s="205"/>
      <c r="IP512" s="205"/>
      <c r="IQ512" s="205"/>
      <c r="IR512" s="205"/>
      <c r="IS512" s="205"/>
      <c r="IT512" s="205"/>
      <c r="IU512" s="205"/>
      <c r="IV512" s="205"/>
      <c r="IW512" s="205"/>
      <c r="IX512" s="205"/>
    </row>
    <row r="513" spans="1:258" s="203" customFormat="1" x14ac:dyDescent="0.2">
      <c r="A513" s="669"/>
      <c r="B513" s="670"/>
      <c r="C513" s="1412"/>
      <c r="D513" s="672"/>
      <c r="E513" s="1413"/>
      <c r="F513" s="1413"/>
      <c r="G513" s="1414"/>
      <c r="H513" s="1415"/>
      <c r="I513" s="1416"/>
      <c r="J513" s="1416"/>
      <c r="K513" s="1416"/>
      <c r="L513" s="1416"/>
      <c r="M513" s="1416"/>
      <c r="N513" s="1416"/>
      <c r="O513" s="1416"/>
      <c r="P513" s="1416"/>
      <c r="Q513" s="1416"/>
      <c r="R513" s="1417"/>
      <c r="S513" s="1418"/>
      <c r="T513" s="1419"/>
      <c r="U513" s="205"/>
      <c r="V513" s="68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  <c r="BK513" s="205"/>
      <c r="BL513" s="205"/>
      <c r="BM513" s="205"/>
      <c r="BN513" s="205"/>
      <c r="BO513" s="205"/>
      <c r="BP513" s="205"/>
      <c r="BQ513" s="205"/>
      <c r="BR513" s="205"/>
      <c r="BS513" s="205"/>
      <c r="BT513" s="205"/>
      <c r="BU513" s="205"/>
      <c r="BV513" s="205"/>
      <c r="BW513" s="205"/>
      <c r="BX513" s="205"/>
      <c r="BY513" s="205"/>
      <c r="BZ513" s="205"/>
      <c r="CA513" s="205"/>
      <c r="CB513" s="205"/>
      <c r="CC513" s="205"/>
      <c r="CD513" s="205"/>
      <c r="CE513" s="205"/>
      <c r="CF513" s="205"/>
      <c r="CG513" s="205"/>
      <c r="CH513" s="205"/>
      <c r="CI513" s="205"/>
      <c r="CJ513" s="205"/>
      <c r="CK513" s="205"/>
      <c r="CL513" s="205"/>
      <c r="CM513" s="205"/>
      <c r="CN513" s="205"/>
      <c r="CO513" s="205"/>
      <c r="CP513" s="205"/>
      <c r="CQ513" s="205"/>
      <c r="CR513" s="205"/>
      <c r="CS513" s="205"/>
      <c r="CT513" s="205"/>
      <c r="CU513" s="205"/>
      <c r="CV513" s="205"/>
      <c r="CW513" s="205"/>
      <c r="CX513" s="205"/>
      <c r="CY513" s="205"/>
      <c r="CZ513" s="205"/>
      <c r="DA513" s="205"/>
      <c r="DB513" s="205"/>
      <c r="DC513" s="205"/>
      <c r="DD513" s="205"/>
      <c r="DE513" s="205"/>
      <c r="DF513" s="205"/>
      <c r="DG513" s="205"/>
      <c r="DH513" s="205"/>
      <c r="DI513" s="205"/>
      <c r="DJ513" s="205"/>
      <c r="DK513" s="205"/>
      <c r="DL513" s="205"/>
      <c r="DM513" s="205"/>
      <c r="DN513" s="205"/>
      <c r="DO513" s="205"/>
      <c r="DP513" s="205"/>
      <c r="DQ513" s="205"/>
      <c r="DR513" s="205"/>
      <c r="DS513" s="205"/>
      <c r="DT513" s="205"/>
      <c r="DU513" s="205"/>
      <c r="DV513" s="205"/>
      <c r="DW513" s="205"/>
      <c r="DX513" s="205"/>
      <c r="DY513" s="205"/>
      <c r="DZ513" s="205"/>
      <c r="EA513" s="205"/>
      <c r="EB513" s="205"/>
      <c r="EC513" s="205"/>
      <c r="ED513" s="205"/>
      <c r="EE513" s="205"/>
      <c r="EF513" s="205"/>
      <c r="EG513" s="205"/>
      <c r="EH513" s="205"/>
      <c r="EI513" s="205"/>
      <c r="EJ513" s="205"/>
      <c r="EK513" s="205"/>
      <c r="EL513" s="205"/>
      <c r="EM513" s="205"/>
      <c r="EN513" s="205"/>
      <c r="EO513" s="205"/>
      <c r="EP513" s="205"/>
      <c r="EQ513" s="205"/>
      <c r="ER513" s="205"/>
      <c r="ES513" s="205"/>
      <c r="ET513" s="205"/>
      <c r="EU513" s="205"/>
      <c r="EV513" s="205"/>
      <c r="EW513" s="205"/>
      <c r="EX513" s="205"/>
      <c r="EY513" s="205"/>
      <c r="EZ513" s="205"/>
      <c r="FA513" s="205"/>
      <c r="FB513" s="205"/>
      <c r="FC513" s="205"/>
      <c r="FD513" s="205"/>
      <c r="FE513" s="205"/>
      <c r="FF513" s="205"/>
      <c r="FG513" s="205"/>
      <c r="FH513" s="205"/>
      <c r="FI513" s="205"/>
      <c r="FJ513" s="205"/>
      <c r="FK513" s="205"/>
      <c r="FL513" s="205"/>
      <c r="FM513" s="205"/>
      <c r="FN513" s="205"/>
      <c r="FO513" s="205"/>
      <c r="FP513" s="205"/>
      <c r="FQ513" s="205"/>
      <c r="FR513" s="205"/>
      <c r="FS513" s="205"/>
      <c r="FT513" s="205"/>
      <c r="FU513" s="205"/>
      <c r="FV513" s="205"/>
      <c r="FW513" s="205"/>
      <c r="FX513" s="205"/>
      <c r="FY513" s="205"/>
      <c r="FZ513" s="205"/>
      <c r="GA513" s="205"/>
      <c r="GB513" s="205"/>
      <c r="GC513" s="205"/>
      <c r="GD513" s="205"/>
      <c r="GE513" s="205"/>
      <c r="GF513" s="205"/>
      <c r="GG513" s="205"/>
      <c r="GH513" s="205"/>
      <c r="GI513" s="205"/>
      <c r="GJ513" s="205"/>
      <c r="GK513" s="205"/>
      <c r="GL513" s="205"/>
      <c r="GM513" s="205"/>
      <c r="GN513" s="205"/>
      <c r="GO513" s="205"/>
      <c r="GP513" s="205"/>
      <c r="GQ513" s="205"/>
      <c r="GR513" s="205"/>
      <c r="GS513" s="205"/>
      <c r="GT513" s="205"/>
      <c r="GU513" s="205"/>
      <c r="GV513" s="205"/>
      <c r="GW513" s="205"/>
      <c r="GX513" s="205"/>
      <c r="GY513" s="205"/>
      <c r="GZ513" s="205"/>
      <c r="HA513" s="205"/>
      <c r="HB513" s="205"/>
      <c r="HC513" s="205"/>
      <c r="HD513" s="205"/>
      <c r="HE513" s="205"/>
      <c r="HF513" s="205"/>
      <c r="HG513" s="205"/>
      <c r="HH513" s="205"/>
      <c r="HI513" s="205"/>
      <c r="HJ513" s="205"/>
      <c r="HK513" s="205"/>
      <c r="HL513" s="205"/>
      <c r="HM513" s="205"/>
      <c r="HN513" s="205"/>
      <c r="HO513" s="205"/>
      <c r="HP513" s="205"/>
      <c r="HQ513" s="205"/>
      <c r="HR513" s="205"/>
      <c r="HS513" s="205"/>
      <c r="HT513" s="205"/>
      <c r="HU513" s="205"/>
      <c r="HV513" s="205"/>
      <c r="HW513" s="205"/>
      <c r="HX513" s="205"/>
      <c r="HY513" s="205"/>
      <c r="HZ513" s="205"/>
      <c r="IA513" s="205"/>
      <c r="IB513" s="205"/>
      <c r="IC513" s="205"/>
      <c r="ID513" s="205"/>
      <c r="IE513" s="205"/>
      <c r="IF513" s="205"/>
      <c r="IG513" s="205"/>
      <c r="IH513" s="205"/>
      <c r="II513" s="205"/>
      <c r="IJ513" s="205"/>
      <c r="IK513" s="205"/>
      <c r="IL513" s="205"/>
      <c r="IM513" s="205"/>
      <c r="IN513" s="205"/>
      <c r="IO513" s="205"/>
      <c r="IP513" s="205"/>
      <c r="IQ513" s="205"/>
      <c r="IR513" s="205"/>
      <c r="IS513" s="205"/>
      <c r="IT513" s="205"/>
      <c r="IU513" s="205"/>
      <c r="IV513" s="205"/>
      <c r="IW513" s="205"/>
      <c r="IX513" s="205"/>
    </row>
    <row r="514" spans="1:258" s="203" customFormat="1" x14ac:dyDescent="0.2">
      <c r="A514" s="669"/>
      <c r="B514" s="670">
        <f>RAB!B167</f>
        <v>5</v>
      </c>
      <c r="C514" s="686" t="e">
        <f>RAB!D167</f>
        <v>#REF!</v>
      </c>
      <c r="D514" s="672"/>
      <c r="E514" s="1413"/>
      <c r="F514" s="1413"/>
      <c r="G514" s="1414"/>
      <c r="H514" s="1415"/>
      <c r="I514" s="1416"/>
      <c r="J514" s="1416"/>
      <c r="K514" s="1416"/>
      <c r="L514" s="1416"/>
      <c r="M514" s="1416"/>
      <c r="N514" s="1416"/>
      <c r="O514" s="1416"/>
      <c r="P514" s="1416"/>
      <c r="Q514" s="1416"/>
      <c r="R514" s="1417"/>
      <c r="S514" s="1418"/>
      <c r="T514" s="1419"/>
      <c r="U514" s="205"/>
      <c r="V514" s="685"/>
      <c r="W514" s="205"/>
      <c r="X514" s="205"/>
      <c r="Y514" s="205"/>
      <c r="Z514" s="205"/>
      <c r="AA514" s="205"/>
      <c r="AB514" s="205"/>
      <c r="AC514" s="205"/>
      <c r="AD514" s="205"/>
      <c r="AE514" s="205"/>
      <c r="AF514" s="205"/>
      <c r="AG514" s="205"/>
      <c r="AH514" s="205"/>
      <c r="AI514" s="205"/>
      <c r="AJ514" s="205"/>
      <c r="AK514" s="205"/>
      <c r="AL514" s="205"/>
      <c r="AM514" s="205"/>
      <c r="AN514" s="205"/>
      <c r="AO514" s="205"/>
      <c r="AP514" s="205"/>
      <c r="AQ514" s="205"/>
      <c r="AR514" s="205"/>
      <c r="AS514" s="205"/>
      <c r="AT514" s="205"/>
      <c r="AU514" s="205"/>
      <c r="AV514" s="205"/>
      <c r="AW514" s="205"/>
      <c r="AX514" s="205"/>
      <c r="AY514" s="205"/>
      <c r="AZ514" s="205"/>
      <c r="BA514" s="205"/>
      <c r="BB514" s="205"/>
      <c r="BC514" s="205"/>
      <c r="BD514" s="205"/>
      <c r="BE514" s="205"/>
      <c r="BF514" s="205"/>
      <c r="BG514" s="205"/>
      <c r="BH514" s="205"/>
      <c r="BI514" s="205"/>
      <c r="BJ514" s="205"/>
      <c r="BK514" s="205"/>
      <c r="BL514" s="205"/>
      <c r="BM514" s="205"/>
      <c r="BN514" s="205"/>
      <c r="BO514" s="205"/>
      <c r="BP514" s="205"/>
      <c r="BQ514" s="205"/>
      <c r="BR514" s="205"/>
      <c r="BS514" s="205"/>
      <c r="BT514" s="205"/>
      <c r="BU514" s="205"/>
      <c r="BV514" s="205"/>
      <c r="BW514" s="205"/>
      <c r="BX514" s="205"/>
      <c r="BY514" s="205"/>
      <c r="BZ514" s="205"/>
      <c r="CA514" s="205"/>
      <c r="CB514" s="205"/>
      <c r="CC514" s="205"/>
      <c r="CD514" s="205"/>
      <c r="CE514" s="205"/>
      <c r="CF514" s="205"/>
      <c r="CG514" s="205"/>
      <c r="CH514" s="205"/>
      <c r="CI514" s="205"/>
      <c r="CJ514" s="205"/>
      <c r="CK514" s="205"/>
      <c r="CL514" s="205"/>
      <c r="CM514" s="205"/>
      <c r="CN514" s="205"/>
      <c r="CO514" s="205"/>
      <c r="CP514" s="205"/>
      <c r="CQ514" s="205"/>
      <c r="CR514" s="205"/>
      <c r="CS514" s="205"/>
      <c r="CT514" s="205"/>
      <c r="CU514" s="205"/>
      <c r="CV514" s="205"/>
      <c r="CW514" s="205"/>
      <c r="CX514" s="205"/>
      <c r="CY514" s="205"/>
      <c r="CZ514" s="205"/>
      <c r="DA514" s="205"/>
      <c r="DB514" s="205"/>
      <c r="DC514" s="205"/>
      <c r="DD514" s="205"/>
      <c r="DE514" s="205"/>
      <c r="DF514" s="205"/>
      <c r="DG514" s="205"/>
      <c r="DH514" s="205"/>
      <c r="DI514" s="205"/>
      <c r="DJ514" s="205"/>
      <c r="DK514" s="205"/>
      <c r="DL514" s="205"/>
      <c r="DM514" s="205"/>
      <c r="DN514" s="205"/>
      <c r="DO514" s="205"/>
      <c r="DP514" s="205"/>
      <c r="DQ514" s="205"/>
      <c r="DR514" s="205"/>
      <c r="DS514" s="205"/>
      <c r="DT514" s="205"/>
      <c r="DU514" s="205"/>
      <c r="DV514" s="205"/>
      <c r="DW514" s="205"/>
      <c r="DX514" s="205"/>
      <c r="DY514" s="205"/>
      <c r="DZ514" s="205"/>
      <c r="EA514" s="205"/>
      <c r="EB514" s="205"/>
      <c r="EC514" s="205"/>
      <c r="ED514" s="205"/>
      <c r="EE514" s="205"/>
      <c r="EF514" s="205"/>
      <c r="EG514" s="205"/>
      <c r="EH514" s="205"/>
      <c r="EI514" s="205"/>
      <c r="EJ514" s="205"/>
      <c r="EK514" s="205"/>
      <c r="EL514" s="205"/>
      <c r="EM514" s="205"/>
      <c r="EN514" s="205"/>
      <c r="EO514" s="205"/>
      <c r="EP514" s="205"/>
      <c r="EQ514" s="205"/>
      <c r="ER514" s="205"/>
      <c r="ES514" s="205"/>
      <c r="ET514" s="205"/>
      <c r="EU514" s="205"/>
      <c r="EV514" s="205"/>
      <c r="EW514" s="205"/>
      <c r="EX514" s="205"/>
      <c r="EY514" s="205"/>
      <c r="EZ514" s="205"/>
      <c r="FA514" s="205"/>
      <c r="FB514" s="205"/>
      <c r="FC514" s="205"/>
      <c r="FD514" s="205"/>
      <c r="FE514" s="205"/>
      <c r="FF514" s="205"/>
      <c r="FG514" s="205"/>
      <c r="FH514" s="205"/>
      <c r="FI514" s="205"/>
      <c r="FJ514" s="205"/>
      <c r="FK514" s="205"/>
      <c r="FL514" s="205"/>
      <c r="FM514" s="205"/>
      <c r="FN514" s="205"/>
      <c r="FO514" s="205"/>
      <c r="FP514" s="205"/>
      <c r="FQ514" s="205"/>
      <c r="FR514" s="205"/>
      <c r="FS514" s="205"/>
      <c r="FT514" s="205"/>
      <c r="FU514" s="205"/>
      <c r="FV514" s="205"/>
      <c r="FW514" s="205"/>
      <c r="FX514" s="205"/>
      <c r="FY514" s="205"/>
      <c r="FZ514" s="205"/>
      <c r="GA514" s="205"/>
      <c r="GB514" s="205"/>
      <c r="GC514" s="205"/>
      <c r="GD514" s="205"/>
      <c r="GE514" s="205"/>
      <c r="GF514" s="205"/>
      <c r="GG514" s="205"/>
      <c r="GH514" s="205"/>
      <c r="GI514" s="205"/>
      <c r="GJ514" s="205"/>
      <c r="GK514" s="205"/>
      <c r="GL514" s="205"/>
      <c r="GM514" s="205"/>
      <c r="GN514" s="205"/>
      <c r="GO514" s="205"/>
      <c r="GP514" s="205"/>
      <c r="GQ514" s="205"/>
      <c r="GR514" s="205"/>
      <c r="GS514" s="205"/>
      <c r="GT514" s="205"/>
      <c r="GU514" s="205"/>
      <c r="GV514" s="205"/>
      <c r="GW514" s="205"/>
      <c r="GX514" s="205"/>
      <c r="GY514" s="205"/>
      <c r="GZ514" s="205"/>
      <c r="HA514" s="205"/>
      <c r="HB514" s="205"/>
      <c r="HC514" s="205"/>
      <c r="HD514" s="205"/>
      <c r="HE514" s="205"/>
      <c r="HF514" s="205"/>
      <c r="HG514" s="205"/>
      <c r="HH514" s="205"/>
      <c r="HI514" s="205"/>
      <c r="HJ514" s="205"/>
      <c r="HK514" s="205"/>
      <c r="HL514" s="205"/>
      <c r="HM514" s="205"/>
      <c r="HN514" s="205"/>
      <c r="HO514" s="205"/>
      <c r="HP514" s="205"/>
      <c r="HQ514" s="205"/>
      <c r="HR514" s="205"/>
      <c r="HS514" s="205"/>
      <c r="HT514" s="205"/>
      <c r="HU514" s="205"/>
      <c r="HV514" s="205"/>
      <c r="HW514" s="205"/>
      <c r="HX514" s="205"/>
      <c r="HY514" s="205"/>
      <c r="HZ514" s="205"/>
      <c r="IA514" s="205"/>
      <c r="IB514" s="205"/>
      <c r="IC514" s="205"/>
      <c r="ID514" s="205"/>
      <c r="IE514" s="205"/>
      <c r="IF514" s="205"/>
      <c r="IG514" s="205"/>
      <c r="IH514" s="205"/>
      <c r="II514" s="205"/>
      <c r="IJ514" s="205"/>
      <c r="IK514" s="205"/>
      <c r="IL514" s="205"/>
      <c r="IM514" s="205"/>
      <c r="IN514" s="205"/>
      <c r="IO514" s="205"/>
      <c r="IP514" s="205"/>
      <c r="IQ514" s="205"/>
      <c r="IR514" s="205"/>
      <c r="IS514" s="205"/>
      <c r="IT514" s="205"/>
      <c r="IU514" s="205"/>
      <c r="IV514" s="205"/>
      <c r="IW514" s="205"/>
      <c r="IX514" s="205"/>
    </row>
    <row r="515" spans="1:258" s="203" customFormat="1" x14ac:dyDescent="0.2">
      <c r="A515" s="669"/>
      <c r="B515" s="670"/>
      <c r="C515" s="686"/>
      <c r="D515" s="672"/>
      <c r="E515" s="673"/>
      <c r="F515" s="673"/>
      <c r="G515" s="674"/>
      <c r="H515" s="675">
        <f>15+8+1.5+10+10</f>
        <v>44.5</v>
      </c>
      <c r="I515" s="676" t="s">
        <v>424</v>
      </c>
      <c r="J515" s="676">
        <v>3.5</v>
      </c>
      <c r="K515" s="676"/>
      <c r="L515" s="676"/>
      <c r="M515" s="676"/>
      <c r="N515" s="676"/>
      <c r="O515" s="676"/>
      <c r="P515" s="676"/>
      <c r="Q515" s="676" t="s">
        <v>696</v>
      </c>
      <c r="R515" s="677">
        <f>H515*J515</f>
        <v>155.75</v>
      </c>
      <c r="S515" s="678"/>
      <c r="T515" s="684"/>
      <c r="U515" s="205"/>
      <c r="V515" s="685"/>
      <c r="W515" s="205"/>
      <c r="X515" s="205"/>
      <c r="Y515" s="205"/>
      <c r="Z515" s="205"/>
      <c r="AA515" s="205"/>
      <c r="AB515" s="205"/>
      <c r="AC515" s="205"/>
      <c r="AD515" s="205"/>
      <c r="AE515" s="205"/>
      <c r="AF515" s="205"/>
      <c r="AG515" s="205"/>
      <c r="AH515" s="205"/>
      <c r="AI515" s="205"/>
      <c r="AJ515" s="205"/>
      <c r="AK515" s="205"/>
      <c r="AL515" s="205"/>
      <c r="AM515" s="205"/>
      <c r="AN515" s="205"/>
      <c r="AO515" s="205"/>
      <c r="AP515" s="205"/>
      <c r="AQ515" s="205"/>
      <c r="AR515" s="205"/>
      <c r="AS515" s="205"/>
      <c r="AT515" s="205"/>
      <c r="AU515" s="205"/>
      <c r="AV515" s="205"/>
      <c r="AW515" s="205"/>
      <c r="AX515" s="205"/>
      <c r="AY515" s="205"/>
      <c r="AZ515" s="205"/>
      <c r="BA515" s="205"/>
      <c r="BB515" s="205"/>
      <c r="BC515" s="205"/>
      <c r="BD515" s="205"/>
      <c r="BE515" s="205"/>
      <c r="BF515" s="205"/>
      <c r="BG515" s="205"/>
      <c r="BH515" s="205"/>
      <c r="BI515" s="205"/>
      <c r="BJ515" s="205"/>
      <c r="BK515" s="205"/>
      <c r="BL515" s="205"/>
      <c r="BM515" s="205"/>
      <c r="BN515" s="205"/>
      <c r="BO515" s="205"/>
      <c r="BP515" s="205"/>
      <c r="BQ515" s="205"/>
      <c r="BR515" s="205"/>
      <c r="BS515" s="205"/>
      <c r="BT515" s="205"/>
      <c r="BU515" s="205"/>
      <c r="BV515" s="205"/>
      <c r="BW515" s="205"/>
      <c r="BX515" s="205"/>
      <c r="BY515" s="205"/>
      <c r="BZ515" s="205"/>
      <c r="CA515" s="205"/>
      <c r="CB515" s="205"/>
      <c r="CC515" s="205"/>
      <c r="CD515" s="205"/>
      <c r="CE515" s="205"/>
      <c r="CF515" s="205"/>
      <c r="CG515" s="205"/>
      <c r="CH515" s="205"/>
      <c r="CI515" s="205"/>
      <c r="CJ515" s="205"/>
      <c r="CK515" s="205"/>
      <c r="CL515" s="205"/>
      <c r="CM515" s="205"/>
      <c r="CN515" s="205"/>
      <c r="CO515" s="205"/>
      <c r="CP515" s="205"/>
      <c r="CQ515" s="205"/>
      <c r="CR515" s="205"/>
      <c r="CS515" s="205"/>
      <c r="CT515" s="205"/>
      <c r="CU515" s="205"/>
      <c r="CV515" s="205"/>
      <c r="CW515" s="205"/>
      <c r="CX515" s="205"/>
      <c r="CY515" s="205"/>
      <c r="CZ515" s="205"/>
      <c r="DA515" s="205"/>
      <c r="DB515" s="205"/>
      <c r="DC515" s="205"/>
      <c r="DD515" s="205"/>
      <c r="DE515" s="205"/>
      <c r="DF515" s="205"/>
      <c r="DG515" s="205"/>
      <c r="DH515" s="205"/>
      <c r="DI515" s="205"/>
      <c r="DJ515" s="205"/>
      <c r="DK515" s="205"/>
      <c r="DL515" s="205"/>
      <c r="DM515" s="205"/>
      <c r="DN515" s="205"/>
      <c r="DO515" s="205"/>
      <c r="DP515" s="205"/>
      <c r="DQ515" s="205"/>
      <c r="DR515" s="205"/>
      <c r="DS515" s="205"/>
      <c r="DT515" s="205"/>
      <c r="DU515" s="205"/>
      <c r="DV515" s="205"/>
      <c r="DW515" s="205"/>
      <c r="DX515" s="205"/>
      <c r="DY515" s="205"/>
      <c r="DZ515" s="205"/>
      <c r="EA515" s="205"/>
      <c r="EB515" s="205"/>
      <c r="EC515" s="205"/>
      <c r="ED515" s="205"/>
      <c r="EE515" s="205"/>
      <c r="EF515" s="205"/>
      <c r="EG515" s="205"/>
      <c r="EH515" s="205"/>
      <c r="EI515" s="205"/>
      <c r="EJ515" s="205"/>
      <c r="EK515" s="205"/>
      <c r="EL515" s="205"/>
      <c r="EM515" s="205"/>
      <c r="EN515" s="205"/>
      <c r="EO515" s="205"/>
      <c r="EP515" s="205"/>
      <c r="EQ515" s="205"/>
      <c r="ER515" s="205"/>
      <c r="ES515" s="205"/>
      <c r="ET515" s="205"/>
      <c r="EU515" s="205"/>
      <c r="EV515" s="205"/>
      <c r="EW515" s="205"/>
      <c r="EX515" s="205"/>
      <c r="EY515" s="205"/>
      <c r="EZ515" s="205"/>
      <c r="FA515" s="205"/>
      <c r="FB515" s="205"/>
      <c r="FC515" s="205"/>
      <c r="FD515" s="205"/>
      <c r="FE515" s="205"/>
      <c r="FF515" s="205"/>
      <c r="FG515" s="205"/>
      <c r="FH515" s="205"/>
      <c r="FI515" s="205"/>
      <c r="FJ515" s="205"/>
      <c r="FK515" s="205"/>
      <c r="FL515" s="205"/>
      <c r="FM515" s="205"/>
      <c r="FN515" s="205"/>
      <c r="FO515" s="205"/>
      <c r="FP515" s="205"/>
      <c r="FQ515" s="205"/>
      <c r="FR515" s="205"/>
      <c r="FS515" s="205"/>
      <c r="FT515" s="205"/>
      <c r="FU515" s="205"/>
      <c r="FV515" s="205"/>
      <c r="FW515" s="205"/>
      <c r="FX515" s="205"/>
      <c r="FY515" s="205"/>
      <c r="FZ515" s="205"/>
      <c r="GA515" s="205"/>
      <c r="GB515" s="205"/>
      <c r="GC515" s="205"/>
      <c r="GD515" s="205"/>
      <c r="GE515" s="205"/>
      <c r="GF515" s="205"/>
      <c r="GG515" s="205"/>
      <c r="GH515" s="205"/>
      <c r="GI515" s="205"/>
      <c r="GJ515" s="205"/>
      <c r="GK515" s="205"/>
      <c r="GL515" s="205"/>
      <c r="GM515" s="205"/>
      <c r="GN515" s="205"/>
      <c r="GO515" s="205"/>
      <c r="GP515" s="205"/>
      <c r="GQ515" s="205"/>
      <c r="GR515" s="205"/>
      <c r="GS515" s="205"/>
      <c r="GT515" s="205"/>
      <c r="GU515" s="205"/>
      <c r="GV515" s="205"/>
      <c r="GW515" s="205"/>
      <c r="GX515" s="205"/>
      <c r="GY515" s="205"/>
      <c r="GZ515" s="205"/>
      <c r="HA515" s="205"/>
      <c r="HB515" s="205"/>
      <c r="HC515" s="205"/>
      <c r="HD515" s="205"/>
      <c r="HE515" s="205"/>
      <c r="HF515" s="205"/>
      <c r="HG515" s="205"/>
      <c r="HH515" s="205"/>
      <c r="HI515" s="205"/>
      <c r="HJ515" s="205"/>
      <c r="HK515" s="205"/>
      <c r="HL515" s="205"/>
      <c r="HM515" s="205"/>
      <c r="HN515" s="205"/>
      <c r="HO515" s="205"/>
      <c r="HP515" s="205"/>
      <c r="HQ515" s="205"/>
      <c r="HR515" s="205"/>
      <c r="HS515" s="205"/>
      <c r="HT515" s="205"/>
      <c r="HU515" s="205"/>
      <c r="HV515" s="205"/>
      <c r="HW515" s="205"/>
      <c r="HX515" s="205"/>
      <c r="HY515" s="205"/>
      <c r="HZ515" s="205"/>
      <c r="IA515" s="205"/>
      <c r="IB515" s="205"/>
      <c r="IC515" s="205"/>
      <c r="ID515" s="205"/>
      <c r="IE515" s="205"/>
      <c r="IF515" s="205"/>
      <c r="IG515" s="205"/>
      <c r="IH515" s="205"/>
      <c r="II515" s="205"/>
      <c r="IJ515" s="205"/>
      <c r="IK515" s="205"/>
      <c r="IL515" s="205"/>
      <c r="IM515" s="205"/>
      <c r="IN515" s="205"/>
      <c r="IO515" s="205"/>
      <c r="IP515" s="205"/>
      <c r="IQ515" s="205"/>
      <c r="IR515" s="205"/>
      <c r="IS515" s="205"/>
      <c r="IT515" s="205"/>
      <c r="IU515" s="205"/>
      <c r="IV515" s="205"/>
      <c r="IW515" s="205"/>
      <c r="IX515" s="205"/>
    </row>
    <row r="516" spans="1:258" s="719" customFormat="1" x14ac:dyDescent="0.2">
      <c r="A516" s="716"/>
      <c r="B516" s="717"/>
      <c r="C516" s="1420"/>
      <c r="D516" s="718"/>
      <c r="E516" s="1421"/>
      <c r="F516" s="1400" t="s">
        <v>1647</v>
      </c>
      <c r="G516" s="1422"/>
      <c r="H516" s="1423"/>
      <c r="I516" s="1424"/>
      <c r="J516" s="1424"/>
      <c r="K516" s="1424"/>
      <c r="L516" s="1424"/>
      <c r="M516" s="1424"/>
      <c r="N516" s="1424"/>
      <c r="O516" s="1424"/>
      <c r="P516" s="1424"/>
      <c r="Q516" s="1424"/>
      <c r="R516" s="1425"/>
      <c r="S516" s="1426"/>
      <c r="T516" s="1427"/>
      <c r="U516" s="662"/>
      <c r="V516" s="685"/>
      <c r="W516" s="662"/>
      <c r="X516" s="662"/>
      <c r="Y516" s="662"/>
      <c r="Z516" s="662"/>
      <c r="AA516" s="662"/>
      <c r="AB516" s="662"/>
      <c r="AC516" s="662"/>
      <c r="AD516" s="662"/>
      <c r="AE516" s="662"/>
      <c r="AF516" s="662"/>
      <c r="AG516" s="662"/>
      <c r="AH516" s="662"/>
      <c r="AI516" s="662"/>
      <c r="AJ516" s="662"/>
      <c r="AK516" s="662"/>
      <c r="AL516" s="662"/>
      <c r="AM516" s="662"/>
      <c r="AN516" s="662"/>
      <c r="AO516" s="662"/>
      <c r="AP516" s="662"/>
      <c r="AQ516" s="662"/>
      <c r="AR516" s="662"/>
      <c r="AS516" s="662"/>
      <c r="AT516" s="662"/>
      <c r="AU516" s="662"/>
      <c r="AV516" s="662"/>
      <c r="AW516" s="662"/>
      <c r="AX516" s="662"/>
      <c r="AY516" s="662"/>
      <c r="AZ516" s="662"/>
      <c r="BA516" s="662"/>
      <c r="BB516" s="662"/>
      <c r="BC516" s="662"/>
      <c r="BD516" s="662"/>
      <c r="BE516" s="662"/>
      <c r="BF516" s="662"/>
      <c r="BG516" s="662"/>
      <c r="BH516" s="662"/>
      <c r="BI516" s="662"/>
      <c r="BJ516" s="662"/>
      <c r="BK516" s="662"/>
      <c r="BL516" s="662"/>
      <c r="BM516" s="662"/>
      <c r="BN516" s="662"/>
      <c r="BO516" s="662"/>
      <c r="BP516" s="662"/>
      <c r="BQ516" s="662"/>
      <c r="BR516" s="662"/>
      <c r="BS516" s="662"/>
      <c r="BT516" s="662"/>
      <c r="BU516" s="662"/>
      <c r="BV516" s="662"/>
      <c r="BW516" s="662"/>
      <c r="BX516" s="662"/>
      <c r="BY516" s="662"/>
      <c r="BZ516" s="662"/>
      <c r="CA516" s="662"/>
      <c r="CB516" s="662"/>
      <c r="CC516" s="662"/>
      <c r="CD516" s="662"/>
      <c r="CE516" s="662"/>
      <c r="CF516" s="662"/>
      <c r="CG516" s="662"/>
      <c r="CH516" s="662"/>
      <c r="CI516" s="662"/>
      <c r="CJ516" s="662"/>
      <c r="CK516" s="662"/>
      <c r="CL516" s="662"/>
      <c r="CM516" s="662"/>
      <c r="CN516" s="662"/>
      <c r="CO516" s="662"/>
      <c r="CP516" s="662"/>
      <c r="CQ516" s="662"/>
      <c r="CR516" s="662"/>
      <c r="CS516" s="662"/>
      <c r="CT516" s="662"/>
      <c r="CU516" s="662"/>
      <c r="CV516" s="662"/>
      <c r="CW516" s="662"/>
      <c r="CX516" s="662"/>
      <c r="CY516" s="662"/>
      <c r="CZ516" s="662"/>
      <c r="DA516" s="662"/>
      <c r="DB516" s="662"/>
      <c r="DC516" s="662"/>
      <c r="DD516" s="662"/>
      <c r="DE516" s="662"/>
      <c r="DF516" s="662"/>
      <c r="DG516" s="662"/>
      <c r="DH516" s="662"/>
      <c r="DI516" s="662"/>
      <c r="DJ516" s="662"/>
      <c r="DK516" s="662"/>
      <c r="DL516" s="662"/>
      <c r="DM516" s="662"/>
      <c r="DN516" s="662"/>
      <c r="DO516" s="662"/>
      <c r="DP516" s="662"/>
      <c r="DQ516" s="662"/>
      <c r="DR516" s="662"/>
      <c r="DS516" s="662"/>
      <c r="DT516" s="662"/>
      <c r="DU516" s="662"/>
      <c r="DV516" s="662"/>
      <c r="DW516" s="662"/>
      <c r="DX516" s="662"/>
      <c r="DY516" s="662"/>
      <c r="DZ516" s="662"/>
      <c r="EA516" s="662"/>
      <c r="EB516" s="662"/>
      <c r="EC516" s="662"/>
      <c r="ED516" s="662"/>
      <c r="EE516" s="662"/>
      <c r="EF516" s="662"/>
      <c r="EG516" s="662"/>
      <c r="EH516" s="662"/>
      <c r="EI516" s="662"/>
      <c r="EJ516" s="662"/>
      <c r="EK516" s="662"/>
      <c r="EL516" s="662"/>
      <c r="EM516" s="662"/>
      <c r="EN516" s="662"/>
      <c r="EO516" s="662"/>
      <c r="EP516" s="662"/>
      <c r="EQ516" s="662"/>
      <c r="ER516" s="662"/>
      <c r="ES516" s="662"/>
      <c r="ET516" s="662"/>
      <c r="EU516" s="662"/>
      <c r="EV516" s="662"/>
      <c r="EW516" s="662"/>
      <c r="EX516" s="662"/>
      <c r="EY516" s="662"/>
      <c r="EZ516" s="662"/>
      <c r="FA516" s="662"/>
      <c r="FB516" s="662"/>
      <c r="FC516" s="662"/>
      <c r="FD516" s="662"/>
      <c r="FE516" s="662"/>
      <c r="FF516" s="662"/>
      <c r="FG516" s="662"/>
      <c r="FH516" s="662"/>
      <c r="FI516" s="662"/>
      <c r="FJ516" s="662"/>
      <c r="FK516" s="662"/>
      <c r="FL516" s="662"/>
      <c r="FM516" s="662"/>
      <c r="FN516" s="662"/>
      <c r="FO516" s="662"/>
      <c r="FP516" s="662"/>
      <c r="FQ516" s="662"/>
      <c r="FR516" s="662"/>
      <c r="FS516" s="662"/>
      <c r="FT516" s="662"/>
      <c r="FU516" s="662"/>
      <c r="FV516" s="662"/>
      <c r="FW516" s="662"/>
      <c r="FX516" s="662"/>
      <c r="FY516" s="662"/>
      <c r="FZ516" s="662"/>
      <c r="GA516" s="662"/>
      <c r="GB516" s="662"/>
      <c r="GC516" s="662"/>
      <c r="GD516" s="662"/>
      <c r="GE516" s="662"/>
      <c r="GF516" s="662"/>
      <c r="GG516" s="662"/>
      <c r="GH516" s="662"/>
      <c r="GI516" s="662"/>
      <c r="GJ516" s="662"/>
      <c r="GK516" s="662"/>
      <c r="GL516" s="662"/>
      <c r="GM516" s="662"/>
      <c r="GN516" s="662"/>
      <c r="GO516" s="662"/>
      <c r="GP516" s="662"/>
      <c r="GQ516" s="662"/>
      <c r="GR516" s="662"/>
      <c r="GS516" s="662"/>
      <c r="GT516" s="662"/>
      <c r="GU516" s="662"/>
      <c r="GV516" s="662"/>
      <c r="GW516" s="662"/>
      <c r="GX516" s="662"/>
      <c r="GY516" s="662"/>
      <c r="GZ516" s="662"/>
      <c r="HA516" s="662"/>
      <c r="HB516" s="662"/>
      <c r="HC516" s="662"/>
      <c r="HD516" s="662"/>
      <c r="HE516" s="662"/>
      <c r="HF516" s="662"/>
      <c r="HG516" s="662"/>
      <c r="HH516" s="662"/>
      <c r="HI516" s="662"/>
      <c r="HJ516" s="662"/>
      <c r="HK516" s="662"/>
      <c r="HL516" s="662"/>
      <c r="HM516" s="662"/>
      <c r="HN516" s="662"/>
      <c r="HO516" s="662"/>
      <c r="HP516" s="662"/>
      <c r="HQ516" s="662"/>
      <c r="HR516" s="662"/>
      <c r="HS516" s="662"/>
      <c r="HT516" s="662"/>
      <c r="HU516" s="662"/>
      <c r="HV516" s="662"/>
      <c r="HW516" s="662"/>
      <c r="HX516" s="662"/>
      <c r="HY516" s="662"/>
      <c r="HZ516" s="662"/>
      <c r="IA516" s="662"/>
      <c r="IB516" s="662"/>
      <c r="IC516" s="662"/>
      <c r="ID516" s="662"/>
      <c r="IE516" s="662"/>
      <c r="IF516" s="662"/>
      <c r="IG516" s="662"/>
      <c r="IH516" s="662"/>
      <c r="II516" s="662"/>
      <c r="IJ516" s="662"/>
      <c r="IK516" s="662"/>
      <c r="IL516" s="662"/>
      <c r="IM516" s="662"/>
      <c r="IN516" s="662"/>
      <c r="IO516" s="662"/>
      <c r="IP516" s="662"/>
      <c r="IQ516" s="662"/>
      <c r="IR516" s="662"/>
      <c r="IS516" s="662"/>
      <c r="IT516" s="662"/>
      <c r="IU516" s="662"/>
      <c r="IV516" s="662"/>
      <c r="IW516" s="662"/>
      <c r="IX516" s="662"/>
    </row>
    <row r="517" spans="1:258" s="719" customFormat="1" x14ac:dyDescent="0.2">
      <c r="A517" s="716"/>
      <c r="B517" s="717"/>
      <c r="C517" s="1420"/>
      <c r="D517" s="718"/>
      <c r="E517" s="1421"/>
      <c r="F517" s="1421"/>
      <c r="G517" s="1422" t="str">
        <f t="shared" ref="G517:H524" si="176">G487</f>
        <v>PT</v>
      </c>
      <c r="H517" s="1423">
        <f t="shared" si="176"/>
        <v>1.8</v>
      </c>
      <c r="I517" s="1424" t="s">
        <v>424</v>
      </c>
      <c r="J517" s="1424">
        <f>J487</f>
        <v>2.4</v>
      </c>
      <c r="K517" s="1424" t="s">
        <v>424</v>
      </c>
      <c r="L517" s="1424">
        <v>1</v>
      </c>
      <c r="M517" s="1424"/>
      <c r="N517" s="1424"/>
      <c r="O517" s="1424"/>
      <c r="P517" s="1424"/>
      <c r="Q517" s="1403" t="s">
        <v>696</v>
      </c>
      <c r="R517" s="1404">
        <f t="shared" ref="R517:R524" si="177">H517*J517*L517</f>
        <v>4.32</v>
      </c>
      <c r="S517" s="1426"/>
      <c r="T517" s="1427"/>
      <c r="U517" s="662"/>
      <c r="V517" s="685"/>
      <c r="W517" s="662"/>
      <c r="X517" s="662"/>
      <c r="Y517" s="662"/>
      <c r="Z517" s="662"/>
      <c r="AA517" s="662"/>
      <c r="AB517" s="662"/>
      <c r="AC517" s="662"/>
      <c r="AD517" s="662"/>
      <c r="AE517" s="662"/>
      <c r="AF517" s="662"/>
      <c r="AG517" s="662"/>
      <c r="AH517" s="662"/>
      <c r="AI517" s="662"/>
      <c r="AJ517" s="662"/>
      <c r="AK517" s="662"/>
      <c r="AL517" s="662"/>
      <c r="AM517" s="662"/>
      <c r="AN517" s="662"/>
      <c r="AO517" s="662"/>
      <c r="AP517" s="662"/>
      <c r="AQ517" s="662"/>
      <c r="AR517" s="662"/>
      <c r="AS517" s="662"/>
      <c r="AT517" s="662"/>
      <c r="AU517" s="662"/>
      <c r="AV517" s="662"/>
      <c r="AW517" s="662"/>
      <c r="AX517" s="662"/>
      <c r="AY517" s="662"/>
      <c r="AZ517" s="662"/>
      <c r="BA517" s="662"/>
      <c r="BB517" s="662"/>
      <c r="BC517" s="662"/>
      <c r="BD517" s="662"/>
      <c r="BE517" s="662"/>
      <c r="BF517" s="662"/>
      <c r="BG517" s="662"/>
      <c r="BH517" s="662"/>
      <c r="BI517" s="662"/>
      <c r="BJ517" s="662"/>
      <c r="BK517" s="662"/>
      <c r="BL517" s="662"/>
      <c r="BM517" s="662"/>
      <c r="BN517" s="662"/>
      <c r="BO517" s="662"/>
      <c r="BP517" s="662"/>
      <c r="BQ517" s="662"/>
      <c r="BR517" s="662"/>
      <c r="BS517" s="662"/>
      <c r="BT517" s="662"/>
      <c r="BU517" s="662"/>
      <c r="BV517" s="662"/>
      <c r="BW517" s="662"/>
      <c r="BX517" s="662"/>
      <c r="BY517" s="662"/>
      <c r="BZ517" s="662"/>
      <c r="CA517" s="662"/>
      <c r="CB517" s="662"/>
      <c r="CC517" s="662"/>
      <c r="CD517" s="662"/>
      <c r="CE517" s="662"/>
      <c r="CF517" s="662"/>
      <c r="CG517" s="662"/>
      <c r="CH517" s="662"/>
      <c r="CI517" s="662"/>
      <c r="CJ517" s="662"/>
      <c r="CK517" s="662"/>
      <c r="CL517" s="662"/>
      <c r="CM517" s="662"/>
      <c r="CN517" s="662"/>
      <c r="CO517" s="662"/>
      <c r="CP517" s="662"/>
      <c r="CQ517" s="662"/>
      <c r="CR517" s="662"/>
      <c r="CS517" s="662"/>
      <c r="CT517" s="662"/>
      <c r="CU517" s="662"/>
      <c r="CV517" s="662"/>
      <c r="CW517" s="662"/>
      <c r="CX517" s="662"/>
      <c r="CY517" s="662"/>
      <c r="CZ517" s="662"/>
      <c r="DA517" s="662"/>
      <c r="DB517" s="662"/>
      <c r="DC517" s="662"/>
      <c r="DD517" s="662"/>
      <c r="DE517" s="662"/>
      <c r="DF517" s="662"/>
      <c r="DG517" s="662"/>
      <c r="DH517" s="662"/>
      <c r="DI517" s="662"/>
      <c r="DJ517" s="662"/>
      <c r="DK517" s="662"/>
      <c r="DL517" s="662"/>
      <c r="DM517" s="662"/>
      <c r="DN517" s="662"/>
      <c r="DO517" s="662"/>
      <c r="DP517" s="662"/>
      <c r="DQ517" s="662"/>
      <c r="DR517" s="662"/>
      <c r="DS517" s="662"/>
      <c r="DT517" s="662"/>
      <c r="DU517" s="662"/>
      <c r="DV517" s="662"/>
      <c r="DW517" s="662"/>
      <c r="DX517" s="662"/>
      <c r="DY517" s="662"/>
      <c r="DZ517" s="662"/>
      <c r="EA517" s="662"/>
      <c r="EB517" s="662"/>
      <c r="EC517" s="662"/>
      <c r="ED517" s="662"/>
      <c r="EE517" s="662"/>
      <c r="EF517" s="662"/>
      <c r="EG517" s="662"/>
      <c r="EH517" s="662"/>
      <c r="EI517" s="662"/>
      <c r="EJ517" s="662"/>
      <c r="EK517" s="662"/>
      <c r="EL517" s="662"/>
      <c r="EM517" s="662"/>
      <c r="EN517" s="662"/>
      <c r="EO517" s="662"/>
      <c r="EP517" s="662"/>
      <c r="EQ517" s="662"/>
      <c r="ER517" s="662"/>
      <c r="ES517" s="662"/>
      <c r="ET517" s="662"/>
      <c r="EU517" s="662"/>
      <c r="EV517" s="662"/>
      <c r="EW517" s="662"/>
      <c r="EX517" s="662"/>
      <c r="EY517" s="662"/>
      <c r="EZ517" s="662"/>
      <c r="FA517" s="662"/>
      <c r="FB517" s="662"/>
      <c r="FC517" s="662"/>
      <c r="FD517" s="662"/>
      <c r="FE517" s="662"/>
      <c r="FF517" s="662"/>
      <c r="FG517" s="662"/>
      <c r="FH517" s="662"/>
      <c r="FI517" s="662"/>
      <c r="FJ517" s="662"/>
      <c r="FK517" s="662"/>
      <c r="FL517" s="662"/>
      <c r="FM517" s="662"/>
      <c r="FN517" s="662"/>
      <c r="FO517" s="662"/>
      <c r="FP517" s="662"/>
      <c r="FQ517" s="662"/>
      <c r="FR517" s="662"/>
      <c r="FS517" s="662"/>
      <c r="FT517" s="662"/>
      <c r="FU517" s="662"/>
      <c r="FV517" s="662"/>
      <c r="FW517" s="662"/>
      <c r="FX517" s="662"/>
      <c r="FY517" s="662"/>
      <c r="FZ517" s="662"/>
      <c r="GA517" s="662"/>
      <c r="GB517" s="662"/>
      <c r="GC517" s="662"/>
      <c r="GD517" s="662"/>
      <c r="GE517" s="662"/>
      <c r="GF517" s="662"/>
      <c r="GG517" s="662"/>
      <c r="GH517" s="662"/>
      <c r="GI517" s="662"/>
      <c r="GJ517" s="662"/>
      <c r="GK517" s="662"/>
      <c r="GL517" s="662"/>
      <c r="GM517" s="662"/>
      <c r="GN517" s="662"/>
      <c r="GO517" s="662"/>
      <c r="GP517" s="662"/>
      <c r="GQ517" s="662"/>
      <c r="GR517" s="662"/>
      <c r="GS517" s="662"/>
      <c r="GT517" s="662"/>
      <c r="GU517" s="662"/>
      <c r="GV517" s="662"/>
      <c r="GW517" s="662"/>
      <c r="GX517" s="662"/>
      <c r="GY517" s="662"/>
      <c r="GZ517" s="662"/>
      <c r="HA517" s="662"/>
      <c r="HB517" s="662"/>
      <c r="HC517" s="662"/>
      <c r="HD517" s="662"/>
      <c r="HE517" s="662"/>
      <c r="HF517" s="662"/>
      <c r="HG517" s="662"/>
      <c r="HH517" s="662"/>
      <c r="HI517" s="662"/>
      <c r="HJ517" s="662"/>
      <c r="HK517" s="662"/>
      <c r="HL517" s="662"/>
      <c r="HM517" s="662"/>
      <c r="HN517" s="662"/>
      <c r="HO517" s="662"/>
      <c r="HP517" s="662"/>
      <c r="HQ517" s="662"/>
      <c r="HR517" s="662"/>
      <c r="HS517" s="662"/>
      <c r="HT517" s="662"/>
      <c r="HU517" s="662"/>
      <c r="HV517" s="662"/>
      <c r="HW517" s="662"/>
      <c r="HX517" s="662"/>
      <c r="HY517" s="662"/>
      <c r="HZ517" s="662"/>
      <c r="IA517" s="662"/>
      <c r="IB517" s="662"/>
      <c r="IC517" s="662"/>
      <c r="ID517" s="662"/>
      <c r="IE517" s="662"/>
      <c r="IF517" s="662"/>
      <c r="IG517" s="662"/>
      <c r="IH517" s="662"/>
      <c r="II517" s="662"/>
      <c r="IJ517" s="662"/>
      <c r="IK517" s="662"/>
      <c r="IL517" s="662"/>
      <c r="IM517" s="662"/>
      <c r="IN517" s="662"/>
      <c r="IO517" s="662"/>
      <c r="IP517" s="662"/>
      <c r="IQ517" s="662"/>
      <c r="IR517" s="662"/>
      <c r="IS517" s="662"/>
      <c r="IT517" s="662"/>
      <c r="IU517" s="662"/>
      <c r="IV517" s="662"/>
      <c r="IW517" s="662"/>
      <c r="IX517" s="662"/>
    </row>
    <row r="518" spans="1:258" s="719" customFormat="1" x14ac:dyDescent="0.2">
      <c r="A518" s="716"/>
      <c r="B518" s="717"/>
      <c r="C518" s="1420"/>
      <c r="D518" s="718"/>
      <c r="E518" s="1421"/>
      <c r="F518" s="1421"/>
      <c r="G518" s="1422" t="str">
        <f t="shared" si="176"/>
        <v>P1</v>
      </c>
      <c r="H518" s="1423">
        <f t="shared" si="176"/>
        <v>1.5</v>
      </c>
      <c r="I518" s="1424" t="s">
        <v>424</v>
      </c>
      <c r="J518" s="1424">
        <f t="shared" ref="J518:J524" si="178">J488</f>
        <v>2.1</v>
      </c>
      <c r="K518" s="1424" t="s">
        <v>424</v>
      </c>
      <c r="L518" s="1424">
        <v>1</v>
      </c>
      <c r="M518" s="1424"/>
      <c r="N518" s="1424"/>
      <c r="O518" s="1424"/>
      <c r="P518" s="1424"/>
      <c r="Q518" s="1403" t="s">
        <v>696</v>
      </c>
      <c r="R518" s="1404">
        <f t="shared" si="177"/>
        <v>3.1500000000000004</v>
      </c>
      <c r="S518" s="1426"/>
      <c r="T518" s="1427"/>
      <c r="U518" s="662"/>
      <c r="V518" s="685"/>
      <c r="W518" s="662"/>
      <c r="X518" s="662"/>
      <c r="Y518" s="662"/>
      <c r="Z518" s="662"/>
      <c r="AA518" s="662"/>
      <c r="AB518" s="662"/>
      <c r="AC518" s="662"/>
      <c r="AD518" s="662"/>
      <c r="AE518" s="662"/>
      <c r="AF518" s="662"/>
      <c r="AG518" s="662"/>
      <c r="AH518" s="662"/>
      <c r="AI518" s="662"/>
      <c r="AJ518" s="662"/>
      <c r="AK518" s="662"/>
      <c r="AL518" s="662"/>
      <c r="AM518" s="662"/>
      <c r="AN518" s="662"/>
      <c r="AO518" s="662"/>
      <c r="AP518" s="662"/>
      <c r="AQ518" s="662"/>
      <c r="AR518" s="662"/>
      <c r="AS518" s="662"/>
      <c r="AT518" s="662"/>
      <c r="AU518" s="662"/>
      <c r="AV518" s="662"/>
      <c r="AW518" s="662"/>
      <c r="AX518" s="662"/>
      <c r="AY518" s="662"/>
      <c r="AZ518" s="662"/>
      <c r="BA518" s="662"/>
      <c r="BB518" s="662"/>
      <c r="BC518" s="662"/>
      <c r="BD518" s="662"/>
      <c r="BE518" s="662"/>
      <c r="BF518" s="662"/>
      <c r="BG518" s="662"/>
      <c r="BH518" s="662"/>
      <c r="BI518" s="662"/>
      <c r="BJ518" s="662"/>
      <c r="BK518" s="662"/>
      <c r="BL518" s="662"/>
      <c r="BM518" s="662"/>
      <c r="BN518" s="662"/>
      <c r="BO518" s="662"/>
      <c r="BP518" s="662"/>
      <c r="BQ518" s="662"/>
      <c r="BR518" s="662"/>
      <c r="BS518" s="662"/>
      <c r="BT518" s="662"/>
      <c r="BU518" s="662"/>
      <c r="BV518" s="662"/>
      <c r="BW518" s="662"/>
      <c r="BX518" s="662"/>
      <c r="BY518" s="662"/>
      <c r="BZ518" s="662"/>
      <c r="CA518" s="662"/>
      <c r="CB518" s="662"/>
      <c r="CC518" s="662"/>
      <c r="CD518" s="662"/>
      <c r="CE518" s="662"/>
      <c r="CF518" s="662"/>
      <c r="CG518" s="662"/>
      <c r="CH518" s="662"/>
      <c r="CI518" s="662"/>
      <c r="CJ518" s="662"/>
      <c r="CK518" s="662"/>
      <c r="CL518" s="662"/>
      <c r="CM518" s="662"/>
      <c r="CN518" s="662"/>
      <c r="CO518" s="662"/>
      <c r="CP518" s="662"/>
      <c r="CQ518" s="662"/>
      <c r="CR518" s="662"/>
      <c r="CS518" s="662"/>
      <c r="CT518" s="662"/>
      <c r="CU518" s="662"/>
      <c r="CV518" s="662"/>
      <c r="CW518" s="662"/>
      <c r="CX518" s="662"/>
      <c r="CY518" s="662"/>
      <c r="CZ518" s="662"/>
      <c r="DA518" s="662"/>
      <c r="DB518" s="662"/>
      <c r="DC518" s="662"/>
      <c r="DD518" s="662"/>
      <c r="DE518" s="662"/>
      <c r="DF518" s="662"/>
      <c r="DG518" s="662"/>
      <c r="DH518" s="662"/>
      <c r="DI518" s="662"/>
      <c r="DJ518" s="662"/>
      <c r="DK518" s="662"/>
      <c r="DL518" s="662"/>
      <c r="DM518" s="662"/>
      <c r="DN518" s="662"/>
      <c r="DO518" s="662"/>
      <c r="DP518" s="662"/>
      <c r="DQ518" s="662"/>
      <c r="DR518" s="662"/>
      <c r="DS518" s="662"/>
      <c r="DT518" s="662"/>
      <c r="DU518" s="662"/>
      <c r="DV518" s="662"/>
      <c r="DW518" s="662"/>
      <c r="DX518" s="662"/>
      <c r="DY518" s="662"/>
      <c r="DZ518" s="662"/>
      <c r="EA518" s="662"/>
      <c r="EB518" s="662"/>
      <c r="EC518" s="662"/>
      <c r="ED518" s="662"/>
      <c r="EE518" s="662"/>
      <c r="EF518" s="662"/>
      <c r="EG518" s="662"/>
      <c r="EH518" s="662"/>
      <c r="EI518" s="662"/>
      <c r="EJ518" s="662"/>
      <c r="EK518" s="662"/>
      <c r="EL518" s="662"/>
      <c r="EM518" s="662"/>
      <c r="EN518" s="662"/>
      <c r="EO518" s="662"/>
      <c r="EP518" s="662"/>
      <c r="EQ518" s="662"/>
      <c r="ER518" s="662"/>
      <c r="ES518" s="662"/>
      <c r="ET518" s="662"/>
      <c r="EU518" s="662"/>
      <c r="EV518" s="662"/>
      <c r="EW518" s="662"/>
      <c r="EX518" s="662"/>
      <c r="EY518" s="662"/>
      <c r="EZ518" s="662"/>
      <c r="FA518" s="662"/>
      <c r="FB518" s="662"/>
      <c r="FC518" s="662"/>
      <c r="FD518" s="662"/>
      <c r="FE518" s="662"/>
      <c r="FF518" s="662"/>
      <c r="FG518" s="662"/>
      <c r="FH518" s="662"/>
      <c r="FI518" s="662"/>
      <c r="FJ518" s="662"/>
      <c r="FK518" s="662"/>
      <c r="FL518" s="662"/>
      <c r="FM518" s="662"/>
      <c r="FN518" s="662"/>
      <c r="FO518" s="662"/>
      <c r="FP518" s="662"/>
      <c r="FQ518" s="662"/>
      <c r="FR518" s="662"/>
      <c r="FS518" s="662"/>
      <c r="FT518" s="662"/>
      <c r="FU518" s="662"/>
      <c r="FV518" s="662"/>
      <c r="FW518" s="662"/>
      <c r="FX518" s="662"/>
      <c r="FY518" s="662"/>
      <c r="FZ518" s="662"/>
      <c r="GA518" s="662"/>
      <c r="GB518" s="662"/>
      <c r="GC518" s="662"/>
      <c r="GD518" s="662"/>
      <c r="GE518" s="662"/>
      <c r="GF518" s="662"/>
      <c r="GG518" s="662"/>
      <c r="GH518" s="662"/>
      <c r="GI518" s="662"/>
      <c r="GJ518" s="662"/>
      <c r="GK518" s="662"/>
      <c r="GL518" s="662"/>
      <c r="GM518" s="662"/>
      <c r="GN518" s="662"/>
      <c r="GO518" s="662"/>
      <c r="GP518" s="662"/>
      <c r="GQ518" s="662"/>
      <c r="GR518" s="662"/>
      <c r="GS518" s="662"/>
      <c r="GT518" s="662"/>
      <c r="GU518" s="662"/>
      <c r="GV518" s="662"/>
      <c r="GW518" s="662"/>
      <c r="GX518" s="662"/>
      <c r="GY518" s="662"/>
      <c r="GZ518" s="662"/>
      <c r="HA518" s="662"/>
      <c r="HB518" s="662"/>
      <c r="HC518" s="662"/>
      <c r="HD518" s="662"/>
      <c r="HE518" s="662"/>
      <c r="HF518" s="662"/>
      <c r="HG518" s="662"/>
      <c r="HH518" s="662"/>
      <c r="HI518" s="662"/>
      <c r="HJ518" s="662"/>
      <c r="HK518" s="662"/>
      <c r="HL518" s="662"/>
      <c r="HM518" s="662"/>
      <c r="HN518" s="662"/>
      <c r="HO518" s="662"/>
      <c r="HP518" s="662"/>
      <c r="HQ518" s="662"/>
      <c r="HR518" s="662"/>
      <c r="HS518" s="662"/>
      <c r="HT518" s="662"/>
      <c r="HU518" s="662"/>
      <c r="HV518" s="662"/>
      <c r="HW518" s="662"/>
      <c r="HX518" s="662"/>
      <c r="HY518" s="662"/>
      <c r="HZ518" s="662"/>
      <c r="IA518" s="662"/>
      <c r="IB518" s="662"/>
      <c r="IC518" s="662"/>
      <c r="ID518" s="662"/>
      <c r="IE518" s="662"/>
      <c r="IF518" s="662"/>
      <c r="IG518" s="662"/>
      <c r="IH518" s="662"/>
      <c r="II518" s="662"/>
      <c r="IJ518" s="662"/>
      <c r="IK518" s="662"/>
      <c r="IL518" s="662"/>
      <c r="IM518" s="662"/>
      <c r="IN518" s="662"/>
      <c r="IO518" s="662"/>
      <c r="IP518" s="662"/>
      <c r="IQ518" s="662"/>
      <c r="IR518" s="662"/>
      <c r="IS518" s="662"/>
      <c r="IT518" s="662"/>
      <c r="IU518" s="662"/>
      <c r="IV518" s="662"/>
      <c r="IW518" s="662"/>
      <c r="IX518" s="662"/>
    </row>
    <row r="519" spans="1:258" s="719" customFormat="1" x14ac:dyDescent="0.2">
      <c r="A519" s="716"/>
      <c r="B519" s="717"/>
      <c r="C519" s="1420"/>
      <c r="D519" s="718"/>
      <c r="E519" s="1421"/>
      <c r="F519" s="1421"/>
      <c r="G519" s="1422" t="str">
        <f t="shared" si="176"/>
        <v>P2</v>
      </c>
      <c r="H519" s="1423">
        <f t="shared" si="176"/>
        <v>1.5</v>
      </c>
      <c r="I519" s="1424" t="s">
        <v>424</v>
      </c>
      <c r="J519" s="1424">
        <f t="shared" si="178"/>
        <v>2.1</v>
      </c>
      <c r="K519" s="1424" t="s">
        <v>424</v>
      </c>
      <c r="L519" s="1424"/>
      <c r="M519" s="1424"/>
      <c r="N519" s="1424"/>
      <c r="O519" s="1424"/>
      <c r="P519" s="1424"/>
      <c r="Q519" s="1403" t="s">
        <v>696</v>
      </c>
      <c r="R519" s="1404">
        <f t="shared" si="177"/>
        <v>0</v>
      </c>
      <c r="S519" s="1426"/>
      <c r="T519" s="1427"/>
      <c r="U519" s="662"/>
      <c r="V519" s="685"/>
      <c r="W519" s="662"/>
      <c r="X519" s="662"/>
      <c r="Y519" s="662"/>
      <c r="Z519" s="662"/>
      <c r="AA519" s="662"/>
      <c r="AB519" s="662"/>
      <c r="AC519" s="662"/>
      <c r="AD519" s="662"/>
      <c r="AE519" s="662"/>
      <c r="AF519" s="662"/>
      <c r="AG519" s="662"/>
      <c r="AH519" s="662"/>
      <c r="AI519" s="662"/>
      <c r="AJ519" s="662"/>
      <c r="AK519" s="662"/>
      <c r="AL519" s="662"/>
      <c r="AM519" s="662"/>
      <c r="AN519" s="662"/>
      <c r="AO519" s="662"/>
      <c r="AP519" s="662"/>
      <c r="AQ519" s="662"/>
      <c r="AR519" s="662"/>
      <c r="AS519" s="662"/>
      <c r="AT519" s="662"/>
      <c r="AU519" s="662"/>
      <c r="AV519" s="662"/>
      <c r="AW519" s="662"/>
      <c r="AX519" s="662"/>
      <c r="AY519" s="662"/>
      <c r="AZ519" s="662"/>
      <c r="BA519" s="662"/>
      <c r="BB519" s="662"/>
      <c r="BC519" s="662"/>
      <c r="BD519" s="662"/>
      <c r="BE519" s="662"/>
      <c r="BF519" s="662"/>
      <c r="BG519" s="662"/>
      <c r="BH519" s="662"/>
      <c r="BI519" s="662"/>
      <c r="BJ519" s="662"/>
      <c r="BK519" s="662"/>
      <c r="BL519" s="662"/>
      <c r="BM519" s="662"/>
      <c r="BN519" s="662"/>
      <c r="BO519" s="662"/>
      <c r="BP519" s="662"/>
      <c r="BQ519" s="662"/>
      <c r="BR519" s="662"/>
      <c r="BS519" s="662"/>
      <c r="BT519" s="662"/>
      <c r="BU519" s="662"/>
      <c r="BV519" s="662"/>
      <c r="BW519" s="662"/>
      <c r="BX519" s="662"/>
      <c r="BY519" s="662"/>
      <c r="BZ519" s="662"/>
      <c r="CA519" s="662"/>
      <c r="CB519" s="662"/>
      <c r="CC519" s="662"/>
      <c r="CD519" s="662"/>
      <c r="CE519" s="662"/>
      <c r="CF519" s="662"/>
      <c r="CG519" s="662"/>
      <c r="CH519" s="662"/>
      <c r="CI519" s="662"/>
      <c r="CJ519" s="662"/>
      <c r="CK519" s="662"/>
      <c r="CL519" s="662"/>
      <c r="CM519" s="662"/>
      <c r="CN519" s="662"/>
      <c r="CO519" s="662"/>
      <c r="CP519" s="662"/>
      <c r="CQ519" s="662"/>
      <c r="CR519" s="662"/>
      <c r="CS519" s="662"/>
      <c r="CT519" s="662"/>
      <c r="CU519" s="662"/>
      <c r="CV519" s="662"/>
      <c r="CW519" s="662"/>
      <c r="CX519" s="662"/>
      <c r="CY519" s="662"/>
      <c r="CZ519" s="662"/>
      <c r="DA519" s="662"/>
      <c r="DB519" s="662"/>
      <c r="DC519" s="662"/>
      <c r="DD519" s="662"/>
      <c r="DE519" s="662"/>
      <c r="DF519" s="662"/>
      <c r="DG519" s="662"/>
      <c r="DH519" s="662"/>
      <c r="DI519" s="662"/>
      <c r="DJ519" s="662"/>
      <c r="DK519" s="662"/>
      <c r="DL519" s="662"/>
      <c r="DM519" s="662"/>
      <c r="DN519" s="662"/>
      <c r="DO519" s="662"/>
      <c r="DP519" s="662"/>
      <c r="DQ519" s="662"/>
      <c r="DR519" s="662"/>
      <c r="DS519" s="662"/>
      <c r="DT519" s="662"/>
      <c r="DU519" s="662"/>
      <c r="DV519" s="662"/>
      <c r="DW519" s="662"/>
      <c r="DX519" s="662"/>
      <c r="DY519" s="662"/>
      <c r="DZ519" s="662"/>
      <c r="EA519" s="662"/>
      <c r="EB519" s="662"/>
      <c r="EC519" s="662"/>
      <c r="ED519" s="662"/>
      <c r="EE519" s="662"/>
      <c r="EF519" s="662"/>
      <c r="EG519" s="662"/>
      <c r="EH519" s="662"/>
      <c r="EI519" s="662"/>
      <c r="EJ519" s="662"/>
      <c r="EK519" s="662"/>
      <c r="EL519" s="662"/>
      <c r="EM519" s="662"/>
      <c r="EN519" s="662"/>
      <c r="EO519" s="662"/>
      <c r="EP519" s="662"/>
      <c r="EQ519" s="662"/>
      <c r="ER519" s="662"/>
      <c r="ES519" s="662"/>
      <c r="ET519" s="662"/>
      <c r="EU519" s="662"/>
      <c r="EV519" s="662"/>
      <c r="EW519" s="662"/>
      <c r="EX519" s="662"/>
      <c r="EY519" s="662"/>
      <c r="EZ519" s="662"/>
      <c r="FA519" s="662"/>
      <c r="FB519" s="662"/>
      <c r="FC519" s="662"/>
      <c r="FD519" s="662"/>
      <c r="FE519" s="662"/>
      <c r="FF519" s="662"/>
      <c r="FG519" s="662"/>
      <c r="FH519" s="662"/>
      <c r="FI519" s="662"/>
      <c r="FJ519" s="662"/>
      <c r="FK519" s="662"/>
      <c r="FL519" s="662"/>
      <c r="FM519" s="662"/>
      <c r="FN519" s="662"/>
      <c r="FO519" s="662"/>
      <c r="FP519" s="662"/>
      <c r="FQ519" s="662"/>
      <c r="FR519" s="662"/>
      <c r="FS519" s="662"/>
      <c r="FT519" s="662"/>
      <c r="FU519" s="662"/>
      <c r="FV519" s="662"/>
      <c r="FW519" s="662"/>
      <c r="FX519" s="662"/>
      <c r="FY519" s="662"/>
      <c r="FZ519" s="662"/>
      <c r="GA519" s="662"/>
      <c r="GB519" s="662"/>
      <c r="GC519" s="662"/>
      <c r="GD519" s="662"/>
      <c r="GE519" s="662"/>
      <c r="GF519" s="662"/>
      <c r="GG519" s="662"/>
      <c r="GH519" s="662"/>
      <c r="GI519" s="662"/>
      <c r="GJ519" s="662"/>
      <c r="GK519" s="662"/>
      <c r="GL519" s="662"/>
      <c r="GM519" s="662"/>
      <c r="GN519" s="662"/>
      <c r="GO519" s="662"/>
      <c r="GP519" s="662"/>
      <c r="GQ519" s="662"/>
      <c r="GR519" s="662"/>
      <c r="GS519" s="662"/>
      <c r="GT519" s="662"/>
      <c r="GU519" s="662"/>
      <c r="GV519" s="662"/>
      <c r="GW519" s="662"/>
      <c r="GX519" s="662"/>
      <c r="GY519" s="662"/>
      <c r="GZ519" s="662"/>
      <c r="HA519" s="662"/>
      <c r="HB519" s="662"/>
      <c r="HC519" s="662"/>
      <c r="HD519" s="662"/>
      <c r="HE519" s="662"/>
      <c r="HF519" s="662"/>
      <c r="HG519" s="662"/>
      <c r="HH519" s="662"/>
      <c r="HI519" s="662"/>
      <c r="HJ519" s="662"/>
      <c r="HK519" s="662"/>
      <c r="HL519" s="662"/>
      <c r="HM519" s="662"/>
      <c r="HN519" s="662"/>
      <c r="HO519" s="662"/>
      <c r="HP519" s="662"/>
      <c r="HQ519" s="662"/>
      <c r="HR519" s="662"/>
      <c r="HS519" s="662"/>
      <c r="HT519" s="662"/>
      <c r="HU519" s="662"/>
      <c r="HV519" s="662"/>
      <c r="HW519" s="662"/>
      <c r="HX519" s="662"/>
      <c r="HY519" s="662"/>
      <c r="HZ519" s="662"/>
      <c r="IA519" s="662"/>
      <c r="IB519" s="662"/>
      <c r="IC519" s="662"/>
      <c r="ID519" s="662"/>
      <c r="IE519" s="662"/>
      <c r="IF519" s="662"/>
      <c r="IG519" s="662"/>
      <c r="IH519" s="662"/>
      <c r="II519" s="662"/>
      <c r="IJ519" s="662"/>
      <c r="IK519" s="662"/>
      <c r="IL519" s="662"/>
      <c r="IM519" s="662"/>
      <c r="IN519" s="662"/>
      <c r="IO519" s="662"/>
      <c r="IP519" s="662"/>
      <c r="IQ519" s="662"/>
      <c r="IR519" s="662"/>
      <c r="IS519" s="662"/>
      <c r="IT519" s="662"/>
      <c r="IU519" s="662"/>
      <c r="IV519" s="662"/>
      <c r="IW519" s="662"/>
      <c r="IX519" s="662"/>
    </row>
    <row r="520" spans="1:258" s="719" customFormat="1" x14ac:dyDescent="0.2">
      <c r="A520" s="716"/>
      <c r="B520" s="717"/>
      <c r="C520" s="1420"/>
      <c r="D520" s="718"/>
      <c r="E520" s="1421"/>
      <c r="F520" s="1421"/>
      <c r="G520" s="1422" t="str">
        <f t="shared" si="176"/>
        <v>J1</v>
      </c>
      <c r="H520" s="1423">
        <f t="shared" si="176"/>
        <v>1.95</v>
      </c>
      <c r="I520" s="1424" t="s">
        <v>424</v>
      </c>
      <c r="J520" s="1424">
        <f t="shared" si="178"/>
        <v>2.4500000000000002</v>
      </c>
      <c r="K520" s="1424" t="s">
        <v>424</v>
      </c>
      <c r="L520" s="1424"/>
      <c r="M520" s="1424"/>
      <c r="N520" s="1424"/>
      <c r="O520" s="1424"/>
      <c r="P520" s="1424"/>
      <c r="Q520" s="1403" t="s">
        <v>696</v>
      </c>
      <c r="R520" s="1404">
        <f t="shared" si="177"/>
        <v>0</v>
      </c>
      <c r="S520" s="1426"/>
      <c r="T520" s="1427"/>
      <c r="U520" s="662"/>
      <c r="V520" s="685"/>
      <c r="W520" s="662"/>
      <c r="X520" s="662"/>
      <c r="Y520" s="662"/>
      <c r="Z520" s="662"/>
      <c r="AA520" s="662"/>
      <c r="AB520" s="662"/>
      <c r="AC520" s="662"/>
      <c r="AD520" s="662"/>
      <c r="AE520" s="662"/>
      <c r="AF520" s="662"/>
      <c r="AG520" s="662"/>
      <c r="AH520" s="662"/>
      <c r="AI520" s="662"/>
      <c r="AJ520" s="662"/>
      <c r="AK520" s="662"/>
      <c r="AL520" s="662"/>
      <c r="AM520" s="662"/>
      <c r="AN520" s="662"/>
      <c r="AO520" s="662"/>
      <c r="AP520" s="662"/>
      <c r="AQ520" s="662"/>
      <c r="AR520" s="662"/>
      <c r="AS520" s="662"/>
      <c r="AT520" s="662"/>
      <c r="AU520" s="662"/>
      <c r="AV520" s="662"/>
      <c r="AW520" s="662"/>
      <c r="AX520" s="662"/>
      <c r="AY520" s="662"/>
      <c r="AZ520" s="662"/>
      <c r="BA520" s="662"/>
      <c r="BB520" s="662"/>
      <c r="BC520" s="662"/>
      <c r="BD520" s="662"/>
      <c r="BE520" s="662"/>
      <c r="BF520" s="662"/>
      <c r="BG520" s="662"/>
      <c r="BH520" s="662"/>
      <c r="BI520" s="662"/>
      <c r="BJ520" s="662"/>
      <c r="BK520" s="662"/>
      <c r="BL520" s="662"/>
      <c r="BM520" s="662"/>
      <c r="BN520" s="662"/>
      <c r="BO520" s="662"/>
      <c r="BP520" s="662"/>
      <c r="BQ520" s="662"/>
      <c r="BR520" s="662"/>
      <c r="BS520" s="662"/>
      <c r="BT520" s="662"/>
      <c r="BU520" s="662"/>
      <c r="BV520" s="662"/>
      <c r="BW520" s="662"/>
      <c r="BX520" s="662"/>
      <c r="BY520" s="662"/>
      <c r="BZ520" s="662"/>
      <c r="CA520" s="662"/>
      <c r="CB520" s="662"/>
      <c r="CC520" s="662"/>
      <c r="CD520" s="662"/>
      <c r="CE520" s="662"/>
      <c r="CF520" s="662"/>
      <c r="CG520" s="662"/>
      <c r="CH520" s="662"/>
      <c r="CI520" s="662"/>
      <c r="CJ520" s="662"/>
      <c r="CK520" s="662"/>
      <c r="CL520" s="662"/>
      <c r="CM520" s="662"/>
      <c r="CN520" s="662"/>
      <c r="CO520" s="662"/>
      <c r="CP520" s="662"/>
      <c r="CQ520" s="662"/>
      <c r="CR520" s="662"/>
      <c r="CS520" s="662"/>
      <c r="CT520" s="662"/>
      <c r="CU520" s="662"/>
      <c r="CV520" s="662"/>
      <c r="CW520" s="662"/>
      <c r="CX520" s="662"/>
      <c r="CY520" s="662"/>
      <c r="CZ520" s="662"/>
      <c r="DA520" s="662"/>
      <c r="DB520" s="662"/>
      <c r="DC520" s="662"/>
      <c r="DD520" s="662"/>
      <c r="DE520" s="662"/>
      <c r="DF520" s="662"/>
      <c r="DG520" s="662"/>
      <c r="DH520" s="662"/>
      <c r="DI520" s="662"/>
      <c r="DJ520" s="662"/>
      <c r="DK520" s="662"/>
      <c r="DL520" s="662"/>
      <c r="DM520" s="662"/>
      <c r="DN520" s="662"/>
      <c r="DO520" s="662"/>
      <c r="DP520" s="662"/>
      <c r="DQ520" s="662"/>
      <c r="DR520" s="662"/>
      <c r="DS520" s="662"/>
      <c r="DT520" s="662"/>
      <c r="DU520" s="662"/>
      <c r="DV520" s="662"/>
      <c r="DW520" s="662"/>
      <c r="DX520" s="662"/>
      <c r="DY520" s="662"/>
      <c r="DZ520" s="662"/>
      <c r="EA520" s="662"/>
      <c r="EB520" s="662"/>
      <c r="EC520" s="662"/>
      <c r="ED520" s="662"/>
      <c r="EE520" s="662"/>
      <c r="EF520" s="662"/>
      <c r="EG520" s="662"/>
      <c r="EH520" s="662"/>
      <c r="EI520" s="662"/>
      <c r="EJ520" s="662"/>
      <c r="EK520" s="662"/>
      <c r="EL520" s="662"/>
      <c r="EM520" s="662"/>
      <c r="EN520" s="662"/>
      <c r="EO520" s="662"/>
      <c r="EP520" s="662"/>
      <c r="EQ520" s="662"/>
      <c r="ER520" s="662"/>
      <c r="ES520" s="662"/>
      <c r="ET520" s="662"/>
      <c r="EU520" s="662"/>
      <c r="EV520" s="662"/>
      <c r="EW520" s="662"/>
      <c r="EX520" s="662"/>
      <c r="EY520" s="662"/>
      <c r="EZ520" s="662"/>
      <c r="FA520" s="662"/>
      <c r="FB520" s="662"/>
      <c r="FC520" s="662"/>
      <c r="FD520" s="662"/>
      <c r="FE520" s="662"/>
      <c r="FF520" s="662"/>
      <c r="FG520" s="662"/>
      <c r="FH520" s="662"/>
      <c r="FI520" s="662"/>
      <c r="FJ520" s="662"/>
      <c r="FK520" s="662"/>
      <c r="FL520" s="662"/>
      <c r="FM520" s="662"/>
      <c r="FN520" s="662"/>
      <c r="FO520" s="662"/>
      <c r="FP520" s="662"/>
      <c r="FQ520" s="662"/>
      <c r="FR520" s="662"/>
      <c r="FS520" s="662"/>
      <c r="FT520" s="662"/>
      <c r="FU520" s="662"/>
      <c r="FV520" s="662"/>
      <c r="FW520" s="662"/>
      <c r="FX520" s="662"/>
      <c r="FY520" s="662"/>
      <c r="FZ520" s="662"/>
      <c r="GA520" s="662"/>
      <c r="GB520" s="662"/>
      <c r="GC520" s="662"/>
      <c r="GD520" s="662"/>
      <c r="GE520" s="662"/>
      <c r="GF520" s="662"/>
      <c r="GG520" s="662"/>
      <c r="GH520" s="662"/>
      <c r="GI520" s="662"/>
      <c r="GJ520" s="662"/>
      <c r="GK520" s="662"/>
      <c r="GL520" s="662"/>
      <c r="GM520" s="662"/>
      <c r="GN520" s="662"/>
      <c r="GO520" s="662"/>
      <c r="GP520" s="662"/>
      <c r="GQ520" s="662"/>
      <c r="GR520" s="662"/>
      <c r="GS520" s="662"/>
      <c r="GT520" s="662"/>
      <c r="GU520" s="662"/>
      <c r="GV520" s="662"/>
      <c r="GW520" s="662"/>
      <c r="GX520" s="662"/>
      <c r="GY520" s="662"/>
      <c r="GZ520" s="662"/>
      <c r="HA520" s="662"/>
      <c r="HB520" s="662"/>
      <c r="HC520" s="662"/>
      <c r="HD520" s="662"/>
      <c r="HE520" s="662"/>
      <c r="HF520" s="662"/>
      <c r="HG520" s="662"/>
      <c r="HH520" s="662"/>
      <c r="HI520" s="662"/>
      <c r="HJ520" s="662"/>
      <c r="HK520" s="662"/>
      <c r="HL520" s="662"/>
      <c r="HM520" s="662"/>
      <c r="HN520" s="662"/>
      <c r="HO520" s="662"/>
      <c r="HP520" s="662"/>
      <c r="HQ520" s="662"/>
      <c r="HR520" s="662"/>
      <c r="HS520" s="662"/>
      <c r="HT520" s="662"/>
      <c r="HU520" s="662"/>
      <c r="HV520" s="662"/>
      <c r="HW520" s="662"/>
      <c r="HX520" s="662"/>
      <c r="HY520" s="662"/>
      <c r="HZ520" s="662"/>
      <c r="IA520" s="662"/>
      <c r="IB520" s="662"/>
      <c r="IC520" s="662"/>
      <c r="ID520" s="662"/>
      <c r="IE520" s="662"/>
      <c r="IF520" s="662"/>
      <c r="IG520" s="662"/>
      <c r="IH520" s="662"/>
      <c r="II520" s="662"/>
      <c r="IJ520" s="662"/>
      <c r="IK520" s="662"/>
      <c r="IL520" s="662"/>
      <c r="IM520" s="662"/>
      <c r="IN520" s="662"/>
      <c r="IO520" s="662"/>
      <c r="IP520" s="662"/>
      <c r="IQ520" s="662"/>
      <c r="IR520" s="662"/>
      <c r="IS520" s="662"/>
      <c r="IT520" s="662"/>
      <c r="IU520" s="662"/>
      <c r="IV520" s="662"/>
      <c r="IW520" s="662"/>
      <c r="IX520" s="662"/>
    </row>
    <row r="521" spans="1:258" s="719" customFormat="1" x14ac:dyDescent="0.2">
      <c r="A521" s="716"/>
      <c r="B521" s="717"/>
      <c r="C521" s="1420"/>
      <c r="D521" s="718"/>
      <c r="E521" s="1421"/>
      <c r="F521" s="1421"/>
      <c r="G521" s="1422" t="str">
        <f t="shared" si="176"/>
        <v>J2</v>
      </c>
      <c r="H521" s="1423">
        <f t="shared" si="176"/>
        <v>1.25</v>
      </c>
      <c r="I521" s="1424" t="s">
        <v>424</v>
      </c>
      <c r="J521" s="1424">
        <f t="shared" si="178"/>
        <v>1.35</v>
      </c>
      <c r="K521" s="1424" t="s">
        <v>424</v>
      </c>
      <c r="L521" s="1424">
        <v>6</v>
      </c>
      <c r="M521" s="1424"/>
      <c r="N521" s="1424"/>
      <c r="O521" s="1424"/>
      <c r="P521" s="1424"/>
      <c r="Q521" s="1403" t="s">
        <v>696</v>
      </c>
      <c r="R521" s="1404">
        <f t="shared" si="177"/>
        <v>10.125</v>
      </c>
      <c r="S521" s="1426"/>
      <c r="T521" s="1427"/>
      <c r="U521" s="662"/>
      <c r="V521" s="685"/>
      <c r="W521" s="662"/>
      <c r="X521" s="662"/>
      <c r="Y521" s="662"/>
      <c r="Z521" s="662"/>
      <c r="AA521" s="662"/>
      <c r="AB521" s="662"/>
      <c r="AC521" s="662"/>
      <c r="AD521" s="662"/>
      <c r="AE521" s="662"/>
      <c r="AF521" s="662"/>
      <c r="AG521" s="662"/>
      <c r="AH521" s="662"/>
      <c r="AI521" s="662"/>
      <c r="AJ521" s="662"/>
      <c r="AK521" s="662"/>
      <c r="AL521" s="662"/>
      <c r="AM521" s="662"/>
      <c r="AN521" s="662"/>
      <c r="AO521" s="662"/>
      <c r="AP521" s="662"/>
      <c r="AQ521" s="662"/>
      <c r="AR521" s="662"/>
      <c r="AS521" s="662"/>
      <c r="AT521" s="662"/>
      <c r="AU521" s="662"/>
      <c r="AV521" s="662"/>
      <c r="AW521" s="662"/>
      <c r="AX521" s="662"/>
      <c r="AY521" s="662"/>
      <c r="AZ521" s="662"/>
      <c r="BA521" s="662"/>
      <c r="BB521" s="662"/>
      <c r="BC521" s="662"/>
      <c r="BD521" s="662"/>
      <c r="BE521" s="662"/>
      <c r="BF521" s="662"/>
      <c r="BG521" s="662"/>
      <c r="BH521" s="662"/>
      <c r="BI521" s="662"/>
      <c r="BJ521" s="662"/>
      <c r="BK521" s="662"/>
      <c r="BL521" s="662"/>
      <c r="BM521" s="662"/>
      <c r="BN521" s="662"/>
      <c r="BO521" s="662"/>
      <c r="BP521" s="662"/>
      <c r="BQ521" s="662"/>
      <c r="BR521" s="662"/>
      <c r="BS521" s="662"/>
      <c r="BT521" s="662"/>
      <c r="BU521" s="662"/>
      <c r="BV521" s="662"/>
      <c r="BW521" s="662"/>
      <c r="BX521" s="662"/>
      <c r="BY521" s="662"/>
      <c r="BZ521" s="662"/>
      <c r="CA521" s="662"/>
      <c r="CB521" s="662"/>
      <c r="CC521" s="662"/>
      <c r="CD521" s="662"/>
      <c r="CE521" s="662"/>
      <c r="CF521" s="662"/>
      <c r="CG521" s="662"/>
      <c r="CH521" s="662"/>
      <c r="CI521" s="662"/>
      <c r="CJ521" s="662"/>
      <c r="CK521" s="662"/>
      <c r="CL521" s="662"/>
      <c r="CM521" s="662"/>
      <c r="CN521" s="662"/>
      <c r="CO521" s="662"/>
      <c r="CP521" s="662"/>
      <c r="CQ521" s="662"/>
      <c r="CR521" s="662"/>
      <c r="CS521" s="662"/>
      <c r="CT521" s="662"/>
      <c r="CU521" s="662"/>
      <c r="CV521" s="662"/>
      <c r="CW521" s="662"/>
      <c r="CX521" s="662"/>
      <c r="CY521" s="662"/>
      <c r="CZ521" s="662"/>
      <c r="DA521" s="662"/>
      <c r="DB521" s="662"/>
      <c r="DC521" s="662"/>
      <c r="DD521" s="662"/>
      <c r="DE521" s="662"/>
      <c r="DF521" s="662"/>
      <c r="DG521" s="662"/>
      <c r="DH521" s="662"/>
      <c r="DI521" s="662"/>
      <c r="DJ521" s="662"/>
      <c r="DK521" s="662"/>
      <c r="DL521" s="662"/>
      <c r="DM521" s="662"/>
      <c r="DN521" s="662"/>
      <c r="DO521" s="662"/>
      <c r="DP521" s="662"/>
      <c r="DQ521" s="662"/>
      <c r="DR521" s="662"/>
      <c r="DS521" s="662"/>
      <c r="DT521" s="662"/>
      <c r="DU521" s="662"/>
      <c r="DV521" s="662"/>
      <c r="DW521" s="662"/>
      <c r="DX521" s="662"/>
      <c r="DY521" s="662"/>
      <c r="DZ521" s="662"/>
      <c r="EA521" s="662"/>
      <c r="EB521" s="662"/>
      <c r="EC521" s="662"/>
      <c r="ED521" s="662"/>
      <c r="EE521" s="662"/>
      <c r="EF521" s="662"/>
      <c r="EG521" s="662"/>
      <c r="EH521" s="662"/>
      <c r="EI521" s="662"/>
      <c r="EJ521" s="662"/>
      <c r="EK521" s="662"/>
      <c r="EL521" s="662"/>
      <c r="EM521" s="662"/>
      <c r="EN521" s="662"/>
      <c r="EO521" s="662"/>
      <c r="EP521" s="662"/>
      <c r="EQ521" s="662"/>
      <c r="ER521" s="662"/>
      <c r="ES521" s="662"/>
      <c r="ET521" s="662"/>
      <c r="EU521" s="662"/>
      <c r="EV521" s="662"/>
      <c r="EW521" s="662"/>
      <c r="EX521" s="662"/>
      <c r="EY521" s="662"/>
      <c r="EZ521" s="662"/>
      <c r="FA521" s="662"/>
      <c r="FB521" s="662"/>
      <c r="FC521" s="662"/>
      <c r="FD521" s="662"/>
      <c r="FE521" s="662"/>
      <c r="FF521" s="662"/>
      <c r="FG521" s="662"/>
      <c r="FH521" s="662"/>
      <c r="FI521" s="662"/>
      <c r="FJ521" s="662"/>
      <c r="FK521" s="662"/>
      <c r="FL521" s="662"/>
      <c r="FM521" s="662"/>
      <c r="FN521" s="662"/>
      <c r="FO521" s="662"/>
      <c r="FP521" s="662"/>
      <c r="FQ521" s="662"/>
      <c r="FR521" s="662"/>
      <c r="FS521" s="662"/>
      <c r="FT521" s="662"/>
      <c r="FU521" s="662"/>
      <c r="FV521" s="662"/>
      <c r="FW521" s="662"/>
      <c r="FX521" s="662"/>
      <c r="FY521" s="662"/>
      <c r="FZ521" s="662"/>
      <c r="GA521" s="662"/>
      <c r="GB521" s="662"/>
      <c r="GC521" s="662"/>
      <c r="GD521" s="662"/>
      <c r="GE521" s="662"/>
      <c r="GF521" s="662"/>
      <c r="GG521" s="662"/>
      <c r="GH521" s="662"/>
      <c r="GI521" s="662"/>
      <c r="GJ521" s="662"/>
      <c r="GK521" s="662"/>
      <c r="GL521" s="662"/>
      <c r="GM521" s="662"/>
      <c r="GN521" s="662"/>
      <c r="GO521" s="662"/>
      <c r="GP521" s="662"/>
      <c r="GQ521" s="662"/>
      <c r="GR521" s="662"/>
      <c r="GS521" s="662"/>
      <c r="GT521" s="662"/>
      <c r="GU521" s="662"/>
      <c r="GV521" s="662"/>
      <c r="GW521" s="662"/>
      <c r="GX521" s="662"/>
      <c r="GY521" s="662"/>
      <c r="GZ521" s="662"/>
      <c r="HA521" s="662"/>
      <c r="HB521" s="662"/>
      <c r="HC521" s="662"/>
      <c r="HD521" s="662"/>
      <c r="HE521" s="662"/>
      <c r="HF521" s="662"/>
      <c r="HG521" s="662"/>
      <c r="HH521" s="662"/>
      <c r="HI521" s="662"/>
      <c r="HJ521" s="662"/>
      <c r="HK521" s="662"/>
      <c r="HL521" s="662"/>
      <c r="HM521" s="662"/>
      <c r="HN521" s="662"/>
      <c r="HO521" s="662"/>
      <c r="HP521" s="662"/>
      <c r="HQ521" s="662"/>
      <c r="HR521" s="662"/>
      <c r="HS521" s="662"/>
      <c r="HT521" s="662"/>
      <c r="HU521" s="662"/>
      <c r="HV521" s="662"/>
      <c r="HW521" s="662"/>
      <c r="HX521" s="662"/>
      <c r="HY521" s="662"/>
      <c r="HZ521" s="662"/>
      <c r="IA521" s="662"/>
      <c r="IB521" s="662"/>
      <c r="IC521" s="662"/>
      <c r="ID521" s="662"/>
      <c r="IE521" s="662"/>
      <c r="IF521" s="662"/>
      <c r="IG521" s="662"/>
      <c r="IH521" s="662"/>
      <c r="II521" s="662"/>
      <c r="IJ521" s="662"/>
      <c r="IK521" s="662"/>
      <c r="IL521" s="662"/>
      <c r="IM521" s="662"/>
      <c r="IN521" s="662"/>
      <c r="IO521" s="662"/>
      <c r="IP521" s="662"/>
      <c r="IQ521" s="662"/>
      <c r="IR521" s="662"/>
      <c r="IS521" s="662"/>
      <c r="IT521" s="662"/>
      <c r="IU521" s="662"/>
      <c r="IV521" s="662"/>
      <c r="IW521" s="662"/>
      <c r="IX521" s="662"/>
    </row>
    <row r="522" spans="1:258" s="719" customFormat="1" x14ac:dyDescent="0.2">
      <c r="A522" s="716"/>
      <c r="B522" s="717"/>
      <c r="C522" s="1420"/>
      <c r="D522" s="718"/>
      <c r="E522" s="1421"/>
      <c r="F522" s="1421"/>
      <c r="G522" s="1422" t="str">
        <f t="shared" si="176"/>
        <v>J3</v>
      </c>
      <c r="H522" s="1423">
        <f t="shared" si="176"/>
        <v>0.7</v>
      </c>
      <c r="I522" s="1424" t="s">
        <v>424</v>
      </c>
      <c r="J522" s="1424">
        <f t="shared" si="178"/>
        <v>1.35</v>
      </c>
      <c r="K522" s="1424" t="s">
        <v>424</v>
      </c>
      <c r="L522" s="1424"/>
      <c r="M522" s="1424"/>
      <c r="N522" s="1424"/>
      <c r="O522" s="1424"/>
      <c r="P522" s="1424"/>
      <c r="Q522" s="1403" t="s">
        <v>696</v>
      </c>
      <c r="R522" s="1404">
        <f t="shared" si="177"/>
        <v>0</v>
      </c>
      <c r="S522" s="1426"/>
      <c r="T522" s="1427"/>
      <c r="U522" s="662"/>
      <c r="V522" s="685"/>
      <c r="W522" s="662"/>
      <c r="X522" s="662"/>
      <c r="Y522" s="662"/>
      <c r="Z522" s="662"/>
      <c r="AA522" s="662"/>
      <c r="AB522" s="662"/>
      <c r="AC522" s="662"/>
      <c r="AD522" s="662"/>
      <c r="AE522" s="662"/>
      <c r="AF522" s="662"/>
      <c r="AG522" s="662"/>
      <c r="AH522" s="662"/>
      <c r="AI522" s="662"/>
      <c r="AJ522" s="662"/>
      <c r="AK522" s="662"/>
      <c r="AL522" s="662"/>
      <c r="AM522" s="662"/>
      <c r="AN522" s="662"/>
      <c r="AO522" s="662"/>
      <c r="AP522" s="662"/>
      <c r="AQ522" s="662"/>
      <c r="AR522" s="662"/>
      <c r="AS522" s="662"/>
      <c r="AT522" s="662"/>
      <c r="AU522" s="662"/>
      <c r="AV522" s="662"/>
      <c r="AW522" s="662"/>
      <c r="AX522" s="662"/>
      <c r="AY522" s="662"/>
      <c r="AZ522" s="662"/>
      <c r="BA522" s="662"/>
      <c r="BB522" s="662"/>
      <c r="BC522" s="662"/>
      <c r="BD522" s="662"/>
      <c r="BE522" s="662"/>
      <c r="BF522" s="662"/>
      <c r="BG522" s="662"/>
      <c r="BH522" s="662"/>
      <c r="BI522" s="662"/>
      <c r="BJ522" s="662"/>
      <c r="BK522" s="662"/>
      <c r="BL522" s="662"/>
      <c r="BM522" s="662"/>
      <c r="BN522" s="662"/>
      <c r="BO522" s="662"/>
      <c r="BP522" s="662"/>
      <c r="BQ522" s="662"/>
      <c r="BR522" s="662"/>
      <c r="BS522" s="662"/>
      <c r="BT522" s="662"/>
      <c r="BU522" s="662"/>
      <c r="BV522" s="662"/>
      <c r="BW522" s="662"/>
      <c r="BX522" s="662"/>
      <c r="BY522" s="662"/>
      <c r="BZ522" s="662"/>
      <c r="CA522" s="662"/>
      <c r="CB522" s="662"/>
      <c r="CC522" s="662"/>
      <c r="CD522" s="662"/>
      <c r="CE522" s="662"/>
      <c r="CF522" s="662"/>
      <c r="CG522" s="662"/>
      <c r="CH522" s="662"/>
      <c r="CI522" s="662"/>
      <c r="CJ522" s="662"/>
      <c r="CK522" s="662"/>
      <c r="CL522" s="662"/>
      <c r="CM522" s="662"/>
      <c r="CN522" s="662"/>
      <c r="CO522" s="662"/>
      <c r="CP522" s="662"/>
      <c r="CQ522" s="662"/>
      <c r="CR522" s="662"/>
      <c r="CS522" s="662"/>
      <c r="CT522" s="662"/>
      <c r="CU522" s="662"/>
      <c r="CV522" s="662"/>
      <c r="CW522" s="662"/>
      <c r="CX522" s="662"/>
      <c r="CY522" s="662"/>
      <c r="CZ522" s="662"/>
      <c r="DA522" s="662"/>
      <c r="DB522" s="662"/>
      <c r="DC522" s="662"/>
      <c r="DD522" s="662"/>
      <c r="DE522" s="662"/>
      <c r="DF522" s="662"/>
      <c r="DG522" s="662"/>
      <c r="DH522" s="662"/>
      <c r="DI522" s="662"/>
      <c r="DJ522" s="662"/>
      <c r="DK522" s="662"/>
      <c r="DL522" s="662"/>
      <c r="DM522" s="662"/>
      <c r="DN522" s="662"/>
      <c r="DO522" s="662"/>
      <c r="DP522" s="662"/>
      <c r="DQ522" s="662"/>
      <c r="DR522" s="662"/>
      <c r="DS522" s="662"/>
      <c r="DT522" s="662"/>
      <c r="DU522" s="662"/>
      <c r="DV522" s="662"/>
      <c r="DW522" s="662"/>
      <c r="DX522" s="662"/>
      <c r="DY522" s="662"/>
      <c r="DZ522" s="662"/>
      <c r="EA522" s="662"/>
      <c r="EB522" s="662"/>
      <c r="EC522" s="662"/>
      <c r="ED522" s="662"/>
      <c r="EE522" s="662"/>
      <c r="EF522" s="662"/>
      <c r="EG522" s="662"/>
      <c r="EH522" s="662"/>
      <c r="EI522" s="662"/>
      <c r="EJ522" s="662"/>
      <c r="EK522" s="662"/>
      <c r="EL522" s="662"/>
      <c r="EM522" s="662"/>
      <c r="EN522" s="662"/>
      <c r="EO522" s="662"/>
      <c r="EP522" s="662"/>
      <c r="EQ522" s="662"/>
      <c r="ER522" s="662"/>
      <c r="ES522" s="662"/>
      <c r="ET522" s="662"/>
      <c r="EU522" s="662"/>
      <c r="EV522" s="662"/>
      <c r="EW522" s="662"/>
      <c r="EX522" s="662"/>
      <c r="EY522" s="662"/>
      <c r="EZ522" s="662"/>
      <c r="FA522" s="662"/>
      <c r="FB522" s="662"/>
      <c r="FC522" s="662"/>
      <c r="FD522" s="662"/>
      <c r="FE522" s="662"/>
      <c r="FF522" s="662"/>
      <c r="FG522" s="662"/>
      <c r="FH522" s="662"/>
      <c r="FI522" s="662"/>
      <c r="FJ522" s="662"/>
      <c r="FK522" s="662"/>
      <c r="FL522" s="662"/>
      <c r="FM522" s="662"/>
      <c r="FN522" s="662"/>
      <c r="FO522" s="662"/>
      <c r="FP522" s="662"/>
      <c r="FQ522" s="662"/>
      <c r="FR522" s="662"/>
      <c r="FS522" s="662"/>
      <c r="FT522" s="662"/>
      <c r="FU522" s="662"/>
      <c r="FV522" s="662"/>
      <c r="FW522" s="662"/>
      <c r="FX522" s="662"/>
      <c r="FY522" s="662"/>
      <c r="FZ522" s="662"/>
      <c r="GA522" s="662"/>
      <c r="GB522" s="662"/>
      <c r="GC522" s="662"/>
      <c r="GD522" s="662"/>
      <c r="GE522" s="662"/>
      <c r="GF522" s="662"/>
      <c r="GG522" s="662"/>
      <c r="GH522" s="662"/>
      <c r="GI522" s="662"/>
      <c r="GJ522" s="662"/>
      <c r="GK522" s="662"/>
      <c r="GL522" s="662"/>
      <c r="GM522" s="662"/>
      <c r="GN522" s="662"/>
      <c r="GO522" s="662"/>
      <c r="GP522" s="662"/>
      <c r="GQ522" s="662"/>
      <c r="GR522" s="662"/>
      <c r="GS522" s="662"/>
      <c r="GT522" s="662"/>
      <c r="GU522" s="662"/>
      <c r="GV522" s="662"/>
      <c r="GW522" s="662"/>
      <c r="GX522" s="662"/>
      <c r="GY522" s="662"/>
      <c r="GZ522" s="662"/>
      <c r="HA522" s="662"/>
      <c r="HB522" s="662"/>
      <c r="HC522" s="662"/>
      <c r="HD522" s="662"/>
      <c r="HE522" s="662"/>
      <c r="HF522" s="662"/>
      <c r="HG522" s="662"/>
      <c r="HH522" s="662"/>
      <c r="HI522" s="662"/>
      <c r="HJ522" s="662"/>
      <c r="HK522" s="662"/>
      <c r="HL522" s="662"/>
      <c r="HM522" s="662"/>
      <c r="HN522" s="662"/>
      <c r="HO522" s="662"/>
      <c r="HP522" s="662"/>
      <c r="HQ522" s="662"/>
      <c r="HR522" s="662"/>
      <c r="HS522" s="662"/>
      <c r="HT522" s="662"/>
      <c r="HU522" s="662"/>
      <c r="HV522" s="662"/>
      <c r="HW522" s="662"/>
      <c r="HX522" s="662"/>
      <c r="HY522" s="662"/>
      <c r="HZ522" s="662"/>
      <c r="IA522" s="662"/>
      <c r="IB522" s="662"/>
      <c r="IC522" s="662"/>
      <c r="ID522" s="662"/>
      <c r="IE522" s="662"/>
      <c r="IF522" s="662"/>
      <c r="IG522" s="662"/>
      <c r="IH522" s="662"/>
      <c r="II522" s="662"/>
      <c r="IJ522" s="662"/>
      <c r="IK522" s="662"/>
      <c r="IL522" s="662"/>
      <c r="IM522" s="662"/>
      <c r="IN522" s="662"/>
      <c r="IO522" s="662"/>
      <c r="IP522" s="662"/>
      <c r="IQ522" s="662"/>
      <c r="IR522" s="662"/>
      <c r="IS522" s="662"/>
      <c r="IT522" s="662"/>
      <c r="IU522" s="662"/>
      <c r="IV522" s="662"/>
      <c r="IW522" s="662"/>
      <c r="IX522" s="662"/>
    </row>
    <row r="523" spans="1:258" s="719" customFormat="1" x14ac:dyDescent="0.2">
      <c r="A523" s="716"/>
      <c r="B523" s="717"/>
      <c r="C523" s="1420"/>
      <c r="D523" s="718"/>
      <c r="E523" s="1421"/>
      <c r="F523" s="1421"/>
      <c r="G523" s="1422" t="str">
        <f t="shared" si="176"/>
        <v>BV 1</v>
      </c>
      <c r="H523" s="1423">
        <f t="shared" si="176"/>
        <v>1.85</v>
      </c>
      <c r="I523" s="1424" t="s">
        <v>424</v>
      </c>
      <c r="J523" s="1424">
        <f t="shared" si="178"/>
        <v>0.55000000000000004</v>
      </c>
      <c r="K523" s="1424" t="s">
        <v>424</v>
      </c>
      <c r="L523" s="1424"/>
      <c r="M523" s="1424"/>
      <c r="N523" s="1424"/>
      <c r="O523" s="1424"/>
      <c r="P523" s="1424"/>
      <c r="Q523" s="1403" t="s">
        <v>696</v>
      </c>
      <c r="R523" s="1404">
        <f t="shared" si="177"/>
        <v>0</v>
      </c>
      <c r="S523" s="1426"/>
      <c r="T523" s="1427"/>
      <c r="U523" s="662"/>
      <c r="V523" s="685"/>
      <c r="W523" s="662"/>
      <c r="X523" s="662"/>
      <c r="Y523" s="662"/>
      <c r="Z523" s="662"/>
      <c r="AA523" s="662"/>
      <c r="AB523" s="662"/>
      <c r="AC523" s="662"/>
      <c r="AD523" s="662"/>
      <c r="AE523" s="662"/>
      <c r="AF523" s="662"/>
      <c r="AG523" s="662"/>
      <c r="AH523" s="662"/>
      <c r="AI523" s="662"/>
      <c r="AJ523" s="662"/>
      <c r="AK523" s="662"/>
      <c r="AL523" s="662"/>
      <c r="AM523" s="662"/>
      <c r="AN523" s="662"/>
      <c r="AO523" s="662"/>
      <c r="AP523" s="662"/>
      <c r="AQ523" s="662"/>
      <c r="AR523" s="662"/>
      <c r="AS523" s="662"/>
      <c r="AT523" s="662"/>
      <c r="AU523" s="662"/>
      <c r="AV523" s="662"/>
      <c r="AW523" s="662"/>
      <c r="AX523" s="662"/>
      <c r="AY523" s="662"/>
      <c r="AZ523" s="662"/>
      <c r="BA523" s="662"/>
      <c r="BB523" s="662"/>
      <c r="BC523" s="662"/>
      <c r="BD523" s="662"/>
      <c r="BE523" s="662"/>
      <c r="BF523" s="662"/>
      <c r="BG523" s="662"/>
      <c r="BH523" s="662"/>
      <c r="BI523" s="662"/>
      <c r="BJ523" s="662"/>
      <c r="BK523" s="662"/>
      <c r="BL523" s="662"/>
      <c r="BM523" s="662"/>
      <c r="BN523" s="662"/>
      <c r="BO523" s="662"/>
      <c r="BP523" s="662"/>
      <c r="BQ523" s="662"/>
      <c r="BR523" s="662"/>
      <c r="BS523" s="662"/>
      <c r="BT523" s="662"/>
      <c r="BU523" s="662"/>
      <c r="BV523" s="662"/>
      <c r="BW523" s="662"/>
      <c r="BX523" s="662"/>
      <c r="BY523" s="662"/>
      <c r="BZ523" s="662"/>
      <c r="CA523" s="662"/>
      <c r="CB523" s="662"/>
      <c r="CC523" s="662"/>
      <c r="CD523" s="662"/>
      <c r="CE523" s="662"/>
      <c r="CF523" s="662"/>
      <c r="CG523" s="662"/>
      <c r="CH523" s="662"/>
      <c r="CI523" s="662"/>
      <c r="CJ523" s="662"/>
      <c r="CK523" s="662"/>
      <c r="CL523" s="662"/>
      <c r="CM523" s="662"/>
      <c r="CN523" s="662"/>
      <c r="CO523" s="662"/>
      <c r="CP523" s="662"/>
      <c r="CQ523" s="662"/>
      <c r="CR523" s="662"/>
      <c r="CS523" s="662"/>
      <c r="CT523" s="662"/>
      <c r="CU523" s="662"/>
      <c r="CV523" s="662"/>
      <c r="CW523" s="662"/>
      <c r="CX523" s="662"/>
      <c r="CY523" s="662"/>
      <c r="CZ523" s="662"/>
      <c r="DA523" s="662"/>
      <c r="DB523" s="662"/>
      <c r="DC523" s="662"/>
      <c r="DD523" s="662"/>
      <c r="DE523" s="662"/>
      <c r="DF523" s="662"/>
      <c r="DG523" s="662"/>
      <c r="DH523" s="662"/>
      <c r="DI523" s="662"/>
      <c r="DJ523" s="662"/>
      <c r="DK523" s="662"/>
      <c r="DL523" s="662"/>
      <c r="DM523" s="662"/>
      <c r="DN523" s="662"/>
      <c r="DO523" s="662"/>
      <c r="DP523" s="662"/>
      <c r="DQ523" s="662"/>
      <c r="DR523" s="662"/>
      <c r="DS523" s="662"/>
      <c r="DT523" s="662"/>
      <c r="DU523" s="662"/>
      <c r="DV523" s="662"/>
      <c r="DW523" s="662"/>
      <c r="DX523" s="662"/>
      <c r="DY523" s="662"/>
      <c r="DZ523" s="662"/>
      <c r="EA523" s="662"/>
      <c r="EB523" s="662"/>
      <c r="EC523" s="662"/>
      <c r="ED523" s="662"/>
      <c r="EE523" s="662"/>
      <c r="EF523" s="662"/>
      <c r="EG523" s="662"/>
      <c r="EH523" s="662"/>
      <c r="EI523" s="662"/>
      <c r="EJ523" s="662"/>
      <c r="EK523" s="662"/>
      <c r="EL523" s="662"/>
      <c r="EM523" s="662"/>
      <c r="EN523" s="662"/>
      <c r="EO523" s="662"/>
      <c r="EP523" s="662"/>
      <c r="EQ523" s="662"/>
      <c r="ER523" s="662"/>
      <c r="ES523" s="662"/>
      <c r="ET523" s="662"/>
      <c r="EU523" s="662"/>
      <c r="EV523" s="662"/>
      <c r="EW523" s="662"/>
      <c r="EX523" s="662"/>
      <c r="EY523" s="662"/>
      <c r="EZ523" s="662"/>
      <c r="FA523" s="662"/>
      <c r="FB523" s="662"/>
      <c r="FC523" s="662"/>
      <c r="FD523" s="662"/>
      <c r="FE523" s="662"/>
      <c r="FF523" s="662"/>
      <c r="FG523" s="662"/>
      <c r="FH523" s="662"/>
      <c r="FI523" s="662"/>
      <c r="FJ523" s="662"/>
      <c r="FK523" s="662"/>
      <c r="FL523" s="662"/>
      <c r="FM523" s="662"/>
      <c r="FN523" s="662"/>
      <c r="FO523" s="662"/>
      <c r="FP523" s="662"/>
      <c r="FQ523" s="662"/>
      <c r="FR523" s="662"/>
      <c r="FS523" s="662"/>
      <c r="FT523" s="662"/>
      <c r="FU523" s="662"/>
      <c r="FV523" s="662"/>
      <c r="FW523" s="662"/>
      <c r="FX523" s="662"/>
      <c r="FY523" s="662"/>
      <c r="FZ523" s="662"/>
      <c r="GA523" s="662"/>
      <c r="GB523" s="662"/>
      <c r="GC523" s="662"/>
      <c r="GD523" s="662"/>
      <c r="GE523" s="662"/>
      <c r="GF523" s="662"/>
      <c r="GG523" s="662"/>
      <c r="GH523" s="662"/>
      <c r="GI523" s="662"/>
      <c r="GJ523" s="662"/>
      <c r="GK523" s="662"/>
      <c r="GL523" s="662"/>
      <c r="GM523" s="662"/>
      <c r="GN523" s="662"/>
      <c r="GO523" s="662"/>
      <c r="GP523" s="662"/>
      <c r="GQ523" s="662"/>
      <c r="GR523" s="662"/>
      <c r="GS523" s="662"/>
      <c r="GT523" s="662"/>
      <c r="GU523" s="662"/>
      <c r="GV523" s="662"/>
      <c r="GW523" s="662"/>
      <c r="GX523" s="662"/>
      <c r="GY523" s="662"/>
      <c r="GZ523" s="662"/>
      <c r="HA523" s="662"/>
      <c r="HB523" s="662"/>
      <c r="HC523" s="662"/>
      <c r="HD523" s="662"/>
      <c r="HE523" s="662"/>
      <c r="HF523" s="662"/>
      <c r="HG523" s="662"/>
      <c r="HH523" s="662"/>
      <c r="HI523" s="662"/>
      <c r="HJ523" s="662"/>
      <c r="HK523" s="662"/>
      <c r="HL523" s="662"/>
      <c r="HM523" s="662"/>
      <c r="HN523" s="662"/>
      <c r="HO523" s="662"/>
      <c r="HP523" s="662"/>
      <c r="HQ523" s="662"/>
      <c r="HR523" s="662"/>
      <c r="HS523" s="662"/>
      <c r="HT523" s="662"/>
      <c r="HU523" s="662"/>
      <c r="HV523" s="662"/>
      <c r="HW523" s="662"/>
      <c r="HX523" s="662"/>
      <c r="HY523" s="662"/>
      <c r="HZ523" s="662"/>
      <c r="IA523" s="662"/>
      <c r="IB523" s="662"/>
      <c r="IC523" s="662"/>
      <c r="ID523" s="662"/>
      <c r="IE523" s="662"/>
      <c r="IF523" s="662"/>
      <c r="IG523" s="662"/>
      <c r="IH523" s="662"/>
      <c r="II523" s="662"/>
      <c r="IJ523" s="662"/>
      <c r="IK523" s="662"/>
      <c r="IL523" s="662"/>
      <c r="IM523" s="662"/>
      <c r="IN523" s="662"/>
      <c r="IO523" s="662"/>
      <c r="IP523" s="662"/>
      <c r="IQ523" s="662"/>
      <c r="IR523" s="662"/>
      <c r="IS523" s="662"/>
      <c r="IT523" s="662"/>
      <c r="IU523" s="662"/>
      <c r="IV523" s="662"/>
      <c r="IW523" s="662"/>
      <c r="IX523" s="662"/>
    </row>
    <row r="524" spans="1:258" s="719" customFormat="1" x14ac:dyDescent="0.2">
      <c r="A524" s="716"/>
      <c r="B524" s="717"/>
      <c r="C524" s="1420"/>
      <c r="D524" s="718"/>
      <c r="E524" s="1421"/>
      <c r="F524" s="1421"/>
      <c r="G524" s="1422" t="str">
        <f t="shared" si="176"/>
        <v>BV 2</v>
      </c>
      <c r="H524" s="1423">
        <f t="shared" si="176"/>
        <v>0.65</v>
      </c>
      <c r="I524" s="1424" t="s">
        <v>424</v>
      </c>
      <c r="J524" s="1424">
        <f t="shared" si="178"/>
        <v>0.55000000000000004</v>
      </c>
      <c r="K524" s="1424" t="s">
        <v>424</v>
      </c>
      <c r="L524" s="1424">
        <v>3</v>
      </c>
      <c r="M524" s="1424"/>
      <c r="N524" s="1424"/>
      <c r="O524" s="1424"/>
      <c r="P524" s="1424"/>
      <c r="Q524" s="1403" t="s">
        <v>696</v>
      </c>
      <c r="R524" s="1404">
        <f t="shared" si="177"/>
        <v>1.0725000000000002</v>
      </c>
      <c r="S524" s="1426"/>
      <c r="T524" s="1427"/>
      <c r="U524" s="662"/>
      <c r="V524" s="685"/>
      <c r="W524" s="662"/>
      <c r="X524" s="662"/>
      <c r="Y524" s="662"/>
      <c r="Z524" s="662"/>
      <c r="AA524" s="662"/>
      <c r="AB524" s="662"/>
      <c r="AC524" s="662"/>
      <c r="AD524" s="662"/>
      <c r="AE524" s="662"/>
      <c r="AF524" s="662"/>
      <c r="AG524" s="662"/>
      <c r="AH524" s="662"/>
      <c r="AI524" s="662"/>
      <c r="AJ524" s="662"/>
      <c r="AK524" s="662"/>
      <c r="AL524" s="662"/>
      <c r="AM524" s="662"/>
      <c r="AN524" s="662"/>
      <c r="AO524" s="662"/>
      <c r="AP524" s="662"/>
      <c r="AQ524" s="662"/>
      <c r="AR524" s="662"/>
      <c r="AS524" s="662"/>
      <c r="AT524" s="662"/>
      <c r="AU524" s="662"/>
      <c r="AV524" s="662"/>
      <c r="AW524" s="662"/>
      <c r="AX524" s="662"/>
      <c r="AY524" s="662"/>
      <c r="AZ524" s="662"/>
      <c r="BA524" s="662"/>
      <c r="BB524" s="662"/>
      <c r="BC524" s="662"/>
      <c r="BD524" s="662"/>
      <c r="BE524" s="662"/>
      <c r="BF524" s="662"/>
      <c r="BG524" s="662"/>
      <c r="BH524" s="662"/>
      <c r="BI524" s="662"/>
      <c r="BJ524" s="662"/>
      <c r="BK524" s="662"/>
      <c r="BL524" s="662"/>
      <c r="BM524" s="662"/>
      <c r="BN524" s="662"/>
      <c r="BO524" s="662"/>
      <c r="BP524" s="662"/>
      <c r="BQ524" s="662"/>
      <c r="BR524" s="662"/>
      <c r="BS524" s="662"/>
      <c r="BT524" s="662"/>
      <c r="BU524" s="662"/>
      <c r="BV524" s="662"/>
      <c r="BW524" s="662"/>
      <c r="BX524" s="662"/>
      <c r="BY524" s="662"/>
      <c r="BZ524" s="662"/>
      <c r="CA524" s="662"/>
      <c r="CB524" s="662"/>
      <c r="CC524" s="662"/>
      <c r="CD524" s="662"/>
      <c r="CE524" s="662"/>
      <c r="CF524" s="662"/>
      <c r="CG524" s="662"/>
      <c r="CH524" s="662"/>
      <c r="CI524" s="662"/>
      <c r="CJ524" s="662"/>
      <c r="CK524" s="662"/>
      <c r="CL524" s="662"/>
      <c r="CM524" s="662"/>
      <c r="CN524" s="662"/>
      <c r="CO524" s="662"/>
      <c r="CP524" s="662"/>
      <c r="CQ524" s="662"/>
      <c r="CR524" s="662"/>
      <c r="CS524" s="662"/>
      <c r="CT524" s="662"/>
      <c r="CU524" s="662"/>
      <c r="CV524" s="662"/>
      <c r="CW524" s="662"/>
      <c r="CX524" s="662"/>
      <c r="CY524" s="662"/>
      <c r="CZ524" s="662"/>
      <c r="DA524" s="662"/>
      <c r="DB524" s="662"/>
      <c r="DC524" s="662"/>
      <c r="DD524" s="662"/>
      <c r="DE524" s="662"/>
      <c r="DF524" s="662"/>
      <c r="DG524" s="662"/>
      <c r="DH524" s="662"/>
      <c r="DI524" s="662"/>
      <c r="DJ524" s="662"/>
      <c r="DK524" s="662"/>
      <c r="DL524" s="662"/>
      <c r="DM524" s="662"/>
      <c r="DN524" s="662"/>
      <c r="DO524" s="662"/>
      <c r="DP524" s="662"/>
      <c r="DQ524" s="662"/>
      <c r="DR524" s="662"/>
      <c r="DS524" s="662"/>
      <c r="DT524" s="662"/>
      <c r="DU524" s="662"/>
      <c r="DV524" s="662"/>
      <c r="DW524" s="662"/>
      <c r="DX524" s="662"/>
      <c r="DY524" s="662"/>
      <c r="DZ524" s="662"/>
      <c r="EA524" s="662"/>
      <c r="EB524" s="662"/>
      <c r="EC524" s="662"/>
      <c r="ED524" s="662"/>
      <c r="EE524" s="662"/>
      <c r="EF524" s="662"/>
      <c r="EG524" s="662"/>
      <c r="EH524" s="662"/>
      <c r="EI524" s="662"/>
      <c r="EJ524" s="662"/>
      <c r="EK524" s="662"/>
      <c r="EL524" s="662"/>
      <c r="EM524" s="662"/>
      <c r="EN524" s="662"/>
      <c r="EO524" s="662"/>
      <c r="EP524" s="662"/>
      <c r="EQ524" s="662"/>
      <c r="ER524" s="662"/>
      <c r="ES524" s="662"/>
      <c r="ET524" s="662"/>
      <c r="EU524" s="662"/>
      <c r="EV524" s="662"/>
      <c r="EW524" s="662"/>
      <c r="EX524" s="662"/>
      <c r="EY524" s="662"/>
      <c r="EZ524" s="662"/>
      <c r="FA524" s="662"/>
      <c r="FB524" s="662"/>
      <c r="FC524" s="662"/>
      <c r="FD524" s="662"/>
      <c r="FE524" s="662"/>
      <c r="FF524" s="662"/>
      <c r="FG524" s="662"/>
      <c r="FH524" s="662"/>
      <c r="FI524" s="662"/>
      <c r="FJ524" s="662"/>
      <c r="FK524" s="662"/>
      <c r="FL524" s="662"/>
      <c r="FM524" s="662"/>
      <c r="FN524" s="662"/>
      <c r="FO524" s="662"/>
      <c r="FP524" s="662"/>
      <c r="FQ524" s="662"/>
      <c r="FR524" s="662"/>
      <c r="FS524" s="662"/>
      <c r="FT524" s="662"/>
      <c r="FU524" s="662"/>
      <c r="FV524" s="662"/>
      <c r="FW524" s="662"/>
      <c r="FX524" s="662"/>
      <c r="FY524" s="662"/>
      <c r="FZ524" s="662"/>
      <c r="GA524" s="662"/>
      <c r="GB524" s="662"/>
      <c r="GC524" s="662"/>
      <c r="GD524" s="662"/>
      <c r="GE524" s="662"/>
      <c r="GF524" s="662"/>
      <c r="GG524" s="662"/>
      <c r="GH524" s="662"/>
      <c r="GI524" s="662"/>
      <c r="GJ524" s="662"/>
      <c r="GK524" s="662"/>
      <c r="GL524" s="662"/>
      <c r="GM524" s="662"/>
      <c r="GN524" s="662"/>
      <c r="GO524" s="662"/>
      <c r="GP524" s="662"/>
      <c r="GQ524" s="662"/>
      <c r="GR524" s="662"/>
      <c r="GS524" s="662"/>
      <c r="GT524" s="662"/>
      <c r="GU524" s="662"/>
      <c r="GV524" s="662"/>
      <c r="GW524" s="662"/>
      <c r="GX524" s="662"/>
      <c r="GY524" s="662"/>
      <c r="GZ524" s="662"/>
      <c r="HA524" s="662"/>
      <c r="HB524" s="662"/>
      <c r="HC524" s="662"/>
      <c r="HD524" s="662"/>
      <c r="HE524" s="662"/>
      <c r="HF524" s="662"/>
      <c r="HG524" s="662"/>
      <c r="HH524" s="662"/>
      <c r="HI524" s="662"/>
      <c r="HJ524" s="662"/>
      <c r="HK524" s="662"/>
      <c r="HL524" s="662"/>
      <c r="HM524" s="662"/>
      <c r="HN524" s="662"/>
      <c r="HO524" s="662"/>
      <c r="HP524" s="662"/>
      <c r="HQ524" s="662"/>
      <c r="HR524" s="662"/>
      <c r="HS524" s="662"/>
      <c r="HT524" s="662"/>
      <c r="HU524" s="662"/>
      <c r="HV524" s="662"/>
      <c r="HW524" s="662"/>
      <c r="HX524" s="662"/>
      <c r="HY524" s="662"/>
      <c r="HZ524" s="662"/>
      <c r="IA524" s="662"/>
      <c r="IB524" s="662"/>
      <c r="IC524" s="662"/>
      <c r="ID524" s="662"/>
      <c r="IE524" s="662"/>
      <c r="IF524" s="662"/>
      <c r="IG524" s="662"/>
      <c r="IH524" s="662"/>
      <c r="II524" s="662"/>
      <c r="IJ524" s="662"/>
      <c r="IK524" s="662"/>
      <c r="IL524" s="662"/>
      <c r="IM524" s="662"/>
      <c r="IN524" s="662"/>
      <c r="IO524" s="662"/>
      <c r="IP524" s="662"/>
      <c r="IQ524" s="662"/>
      <c r="IR524" s="662"/>
      <c r="IS524" s="662"/>
      <c r="IT524" s="662"/>
      <c r="IU524" s="662"/>
      <c r="IV524" s="662"/>
      <c r="IW524" s="662"/>
      <c r="IX524" s="662"/>
    </row>
    <row r="525" spans="1:258" s="719" customFormat="1" x14ac:dyDescent="0.2">
      <c r="A525" s="716"/>
      <c r="B525" s="717"/>
      <c r="C525" s="1420"/>
      <c r="D525" s="718"/>
      <c r="E525" s="1421"/>
      <c r="F525" s="1421"/>
      <c r="G525" s="1422"/>
      <c r="H525" s="1423"/>
      <c r="I525" s="1424"/>
      <c r="J525" s="1424"/>
      <c r="K525" s="1424"/>
      <c r="L525" s="1424"/>
      <c r="M525" s="1424"/>
      <c r="N525" s="1424"/>
      <c r="O525" s="1424"/>
      <c r="P525" s="1424"/>
      <c r="Q525" s="1424"/>
      <c r="R525" s="1425">
        <f>SUM(R517:R524)</f>
        <v>18.6675</v>
      </c>
      <c r="S525" s="1426"/>
      <c r="T525" s="1427"/>
      <c r="U525" s="662"/>
      <c r="V525" s="685"/>
      <c r="W525" s="662"/>
      <c r="X525" s="662"/>
      <c r="Y525" s="662"/>
      <c r="Z525" s="662"/>
      <c r="AA525" s="662"/>
      <c r="AB525" s="662"/>
      <c r="AC525" s="662"/>
      <c r="AD525" s="662"/>
      <c r="AE525" s="662"/>
      <c r="AF525" s="662"/>
      <c r="AG525" s="662"/>
      <c r="AH525" s="662"/>
      <c r="AI525" s="662"/>
      <c r="AJ525" s="662"/>
      <c r="AK525" s="662"/>
      <c r="AL525" s="662"/>
      <c r="AM525" s="662"/>
      <c r="AN525" s="662"/>
      <c r="AO525" s="662"/>
      <c r="AP525" s="662"/>
      <c r="AQ525" s="662"/>
      <c r="AR525" s="662"/>
      <c r="AS525" s="662"/>
      <c r="AT525" s="662"/>
      <c r="AU525" s="662"/>
      <c r="AV525" s="662"/>
      <c r="AW525" s="662"/>
      <c r="AX525" s="662"/>
      <c r="AY525" s="662"/>
      <c r="AZ525" s="662"/>
      <c r="BA525" s="662"/>
      <c r="BB525" s="662"/>
      <c r="BC525" s="662"/>
      <c r="BD525" s="662"/>
      <c r="BE525" s="662"/>
      <c r="BF525" s="662"/>
      <c r="BG525" s="662"/>
      <c r="BH525" s="662"/>
      <c r="BI525" s="662"/>
      <c r="BJ525" s="662"/>
      <c r="BK525" s="662"/>
      <c r="BL525" s="662"/>
      <c r="BM525" s="662"/>
      <c r="BN525" s="662"/>
      <c r="BO525" s="662"/>
      <c r="BP525" s="662"/>
      <c r="BQ525" s="662"/>
      <c r="BR525" s="662"/>
      <c r="BS525" s="662"/>
      <c r="BT525" s="662"/>
      <c r="BU525" s="662"/>
      <c r="BV525" s="662"/>
      <c r="BW525" s="662"/>
      <c r="BX525" s="662"/>
      <c r="BY525" s="662"/>
      <c r="BZ525" s="662"/>
      <c r="CA525" s="662"/>
      <c r="CB525" s="662"/>
      <c r="CC525" s="662"/>
      <c r="CD525" s="662"/>
      <c r="CE525" s="662"/>
      <c r="CF525" s="662"/>
      <c r="CG525" s="662"/>
      <c r="CH525" s="662"/>
      <c r="CI525" s="662"/>
      <c r="CJ525" s="662"/>
      <c r="CK525" s="662"/>
      <c r="CL525" s="662"/>
      <c r="CM525" s="662"/>
      <c r="CN525" s="662"/>
      <c r="CO525" s="662"/>
      <c r="CP525" s="662"/>
      <c r="CQ525" s="662"/>
      <c r="CR525" s="662"/>
      <c r="CS525" s="662"/>
      <c r="CT525" s="662"/>
      <c r="CU525" s="662"/>
      <c r="CV525" s="662"/>
      <c r="CW525" s="662"/>
      <c r="CX525" s="662"/>
      <c r="CY525" s="662"/>
      <c r="CZ525" s="662"/>
      <c r="DA525" s="662"/>
      <c r="DB525" s="662"/>
      <c r="DC525" s="662"/>
      <c r="DD525" s="662"/>
      <c r="DE525" s="662"/>
      <c r="DF525" s="662"/>
      <c r="DG525" s="662"/>
      <c r="DH525" s="662"/>
      <c r="DI525" s="662"/>
      <c r="DJ525" s="662"/>
      <c r="DK525" s="662"/>
      <c r="DL525" s="662"/>
      <c r="DM525" s="662"/>
      <c r="DN525" s="662"/>
      <c r="DO525" s="662"/>
      <c r="DP525" s="662"/>
      <c r="DQ525" s="662"/>
      <c r="DR525" s="662"/>
      <c r="DS525" s="662"/>
      <c r="DT525" s="662"/>
      <c r="DU525" s="662"/>
      <c r="DV525" s="662"/>
      <c r="DW525" s="662"/>
      <c r="DX525" s="662"/>
      <c r="DY525" s="662"/>
      <c r="DZ525" s="662"/>
      <c r="EA525" s="662"/>
      <c r="EB525" s="662"/>
      <c r="EC525" s="662"/>
      <c r="ED525" s="662"/>
      <c r="EE525" s="662"/>
      <c r="EF525" s="662"/>
      <c r="EG525" s="662"/>
      <c r="EH525" s="662"/>
      <c r="EI525" s="662"/>
      <c r="EJ525" s="662"/>
      <c r="EK525" s="662"/>
      <c r="EL525" s="662"/>
      <c r="EM525" s="662"/>
      <c r="EN525" s="662"/>
      <c r="EO525" s="662"/>
      <c r="EP525" s="662"/>
      <c r="EQ525" s="662"/>
      <c r="ER525" s="662"/>
      <c r="ES525" s="662"/>
      <c r="ET525" s="662"/>
      <c r="EU525" s="662"/>
      <c r="EV525" s="662"/>
      <c r="EW525" s="662"/>
      <c r="EX525" s="662"/>
      <c r="EY525" s="662"/>
      <c r="EZ525" s="662"/>
      <c r="FA525" s="662"/>
      <c r="FB525" s="662"/>
      <c r="FC525" s="662"/>
      <c r="FD525" s="662"/>
      <c r="FE525" s="662"/>
      <c r="FF525" s="662"/>
      <c r="FG525" s="662"/>
      <c r="FH525" s="662"/>
      <c r="FI525" s="662"/>
      <c r="FJ525" s="662"/>
      <c r="FK525" s="662"/>
      <c r="FL525" s="662"/>
      <c r="FM525" s="662"/>
      <c r="FN525" s="662"/>
      <c r="FO525" s="662"/>
      <c r="FP525" s="662"/>
      <c r="FQ525" s="662"/>
      <c r="FR525" s="662"/>
      <c r="FS525" s="662"/>
      <c r="FT525" s="662"/>
      <c r="FU525" s="662"/>
      <c r="FV525" s="662"/>
      <c r="FW525" s="662"/>
      <c r="FX525" s="662"/>
      <c r="FY525" s="662"/>
      <c r="FZ525" s="662"/>
      <c r="GA525" s="662"/>
      <c r="GB525" s="662"/>
      <c r="GC525" s="662"/>
      <c r="GD525" s="662"/>
      <c r="GE525" s="662"/>
      <c r="GF525" s="662"/>
      <c r="GG525" s="662"/>
      <c r="GH525" s="662"/>
      <c r="GI525" s="662"/>
      <c r="GJ525" s="662"/>
      <c r="GK525" s="662"/>
      <c r="GL525" s="662"/>
      <c r="GM525" s="662"/>
      <c r="GN525" s="662"/>
      <c r="GO525" s="662"/>
      <c r="GP525" s="662"/>
      <c r="GQ525" s="662"/>
      <c r="GR525" s="662"/>
      <c r="GS525" s="662"/>
      <c r="GT525" s="662"/>
      <c r="GU525" s="662"/>
      <c r="GV525" s="662"/>
      <c r="GW525" s="662"/>
      <c r="GX525" s="662"/>
      <c r="GY525" s="662"/>
      <c r="GZ525" s="662"/>
      <c r="HA525" s="662"/>
      <c r="HB525" s="662"/>
      <c r="HC525" s="662"/>
      <c r="HD525" s="662"/>
      <c r="HE525" s="662"/>
      <c r="HF525" s="662"/>
      <c r="HG525" s="662"/>
      <c r="HH525" s="662"/>
      <c r="HI525" s="662"/>
      <c r="HJ525" s="662"/>
      <c r="HK525" s="662"/>
      <c r="HL525" s="662"/>
      <c r="HM525" s="662"/>
      <c r="HN525" s="662"/>
      <c r="HO525" s="662"/>
      <c r="HP525" s="662"/>
      <c r="HQ525" s="662"/>
      <c r="HR525" s="662"/>
      <c r="HS525" s="662"/>
      <c r="HT525" s="662"/>
      <c r="HU525" s="662"/>
      <c r="HV525" s="662"/>
      <c r="HW525" s="662"/>
      <c r="HX525" s="662"/>
      <c r="HY525" s="662"/>
      <c r="HZ525" s="662"/>
      <c r="IA525" s="662"/>
      <c r="IB525" s="662"/>
      <c r="IC525" s="662"/>
      <c r="ID525" s="662"/>
      <c r="IE525" s="662"/>
      <c r="IF525" s="662"/>
      <c r="IG525" s="662"/>
      <c r="IH525" s="662"/>
      <c r="II525" s="662"/>
      <c r="IJ525" s="662"/>
      <c r="IK525" s="662"/>
      <c r="IL525" s="662"/>
      <c r="IM525" s="662"/>
      <c r="IN525" s="662"/>
      <c r="IO525" s="662"/>
      <c r="IP525" s="662"/>
      <c r="IQ525" s="662"/>
      <c r="IR525" s="662"/>
      <c r="IS525" s="662"/>
      <c r="IT525" s="662"/>
      <c r="IU525" s="662"/>
      <c r="IV525" s="662"/>
      <c r="IW525" s="662"/>
      <c r="IX525" s="662"/>
    </row>
    <row r="526" spans="1:258" s="203" customFormat="1" x14ac:dyDescent="0.2">
      <c r="A526" s="669"/>
      <c r="B526" s="670"/>
      <c r="C526" s="1412"/>
      <c r="D526" s="672"/>
      <c r="E526" s="1413"/>
      <c r="F526" s="1413"/>
      <c r="G526" s="1414"/>
      <c r="H526" s="1428">
        <f>R515</f>
        <v>155.75</v>
      </c>
      <c r="I526" s="1416" t="s">
        <v>805</v>
      </c>
      <c r="J526" s="1429">
        <f>R525</f>
        <v>18.6675</v>
      </c>
      <c r="K526" s="1416"/>
      <c r="L526" s="1416"/>
      <c r="M526" s="1416"/>
      <c r="N526" s="1416"/>
      <c r="O526" s="1416"/>
      <c r="P526" s="1416"/>
      <c r="Q526" s="1416" t="s">
        <v>696</v>
      </c>
      <c r="R526" s="1417">
        <f>H526-J526</f>
        <v>137.08250000000001</v>
      </c>
      <c r="S526" s="1418">
        <f>R526</f>
        <v>137.08250000000001</v>
      </c>
      <c r="T526" s="1419" t="s">
        <v>338</v>
      </c>
      <c r="U526" s="205"/>
      <c r="V526" s="685"/>
      <c r="W526" s="205"/>
      <c r="X526" s="205"/>
      <c r="Y526" s="205"/>
      <c r="Z526" s="205"/>
      <c r="AA526" s="205"/>
      <c r="AB526" s="205"/>
      <c r="AC526" s="205"/>
      <c r="AD526" s="205"/>
      <c r="AE526" s="205"/>
      <c r="AF526" s="205"/>
      <c r="AG526" s="205"/>
      <c r="AH526" s="205"/>
      <c r="AI526" s="205"/>
      <c r="AJ526" s="205"/>
      <c r="AK526" s="205"/>
      <c r="AL526" s="205"/>
      <c r="AM526" s="205"/>
      <c r="AN526" s="205"/>
      <c r="AO526" s="205"/>
      <c r="AP526" s="205"/>
      <c r="AQ526" s="205"/>
      <c r="AR526" s="205"/>
      <c r="AS526" s="205"/>
      <c r="AT526" s="205"/>
      <c r="AU526" s="205"/>
      <c r="AV526" s="205"/>
      <c r="AW526" s="205"/>
      <c r="AX526" s="205"/>
      <c r="AY526" s="205"/>
      <c r="AZ526" s="205"/>
      <c r="BA526" s="205"/>
      <c r="BB526" s="205"/>
      <c r="BC526" s="205"/>
      <c r="BD526" s="205"/>
      <c r="BE526" s="205"/>
      <c r="BF526" s="205"/>
      <c r="BG526" s="205"/>
      <c r="BH526" s="205"/>
      <c r="BI526" s="205"/>
      <c r="BJ526" s="205"/>
      <c r="BK526" s="205"/>
      <c r="BL526" s="205"/>
      <c r="BM526" s="205"/>
      <c r="BN526" s="205"/>
      <c r="BO526" s="205"/>
      <c r="BP526" s="205"/>
      <c r="BQ526" s="205"/>
      <c r="BR526" s="205"/>
      <c r="BS526" s="205"/>
      <c r="BT526" s="205"/>
      <c r="BU526" s="205"/>
      <c r="BV526" s="205"/>
      <c r="BW526" s="205"/>
      <c r="BX526" s="205"/>
      <c r="BY526" s="205"/>
      <c r="BZ526" s="205"/>
      <c r="CA526" s="205"/>
      <c r="CB526" s="205"/>
      <c r="CC526" s="205"/>
      <c r="CD526" s="205"/>
      <c r="CE526" s="205"/>
      <c r="CF526" s="205"/>
      <c r="CG526" s="205"/>
      <c r="CH526" s="205"/>
      <c r="CI526" s="205"/>
      <c r="CJ526" s="205"/>
      <c r="CK526" s="205"/>
      <c r="CL526" s="205"/>
      <c r="CM526" s="205"/>
      <c r="CN526" s="205"/>
      <c r="CO526" s="205"/>
      <c r="CP526" s="205"/>
      <c r="CQ526" s="205"/>
      <c r="CR526" s="205"/>
      <c r="CS526" s="205"/>
      <c r="CT526" s="205"/>
      <c r="CU526" s="205"/>
      <c r="CV526" s="205"/>
      <c r="CW526" s="205"/>
      <c r="CX526" s="205"/>
      <c r="CY526" s="205"/>
      <c r="CZ526" s="205"/>
      <c r="DA526" s="205"/>
      <c r="DB526" s="205"/>
      <c r="DC526" s="205"/>
      <c r="DD526" s="205"/>
      <c r="DE526" s="205"/>
      <c r="DF526" s="205"/>
      <c r="DG526" s="205"/>
      <c r="DH526" s="205"/>
      <c r="DI526" s="205"/>
      <c r="DJ526" s="205"/>
      <c r="DK526" s="205"/>
      <c r="DL526" s="205"/>
      <c r="DM526" s="205"/>
      <c r="DN526" s="205"/>
      <c r="DO526" s="205"/>
      <c r="DP526" s="205"/>
      <c r="DQ526" s="205"/>
      <c r="DR526" s="205"/>
      <c r="DS526" s="205"/>
      <c r="DT526" s="205"/>
      <c r="DU526" s="205"/>
      <c r="DV526" s="205"/>
      <c r="DW526" s="205"/>
      <c r="DX526" s="205"/>
      <c r="DY526" s="205"/>
      <c r="DZ526" s="205"/>
      <c r="EA526" s="205"/>
      <c r="EB526" s="205"/>
      <c r="EC526" s="205"/>
      <c r="ED526" s="205"/>
      <c r="EE526" s="205"/>
      <c r="EF526" s="205"/>
      <c r="EG526" s="205"/>
      <c r="EH526" s="205"/>
      <c r="EI526" s="205"/>
      <c r="EJ526" s="205"/>
      <c r="EK526" s="205"/>
      <c r="EL526" s="205"/>
      <c r="EM526" s="205"/>
      <c r="EN526" s="205"/>
      <c r="EO526" s="205"/>
      <c r="EP526" s="205"/>
      <c r="EQ526" s="205"/>
      <c r="ER526" s="205"/>
      <c r="ES526" s="205"/>
      <c r="ET526" s="205"/>
      <c r="EU526" s="205"/>
      <c r="EV526" s="205"/>
      <c r="EW526" s="205"/>
      <c r="EX526" s="205"/>
      <c r="EY526" s="205"/>
      <c r="EZ526" s="205"/>
      <c r="FA526" s="205"/>
      <c r="FB526" s="205"/>
      <c r="FC526" s="205"/>
      <c r="FD526" s="205"/>
      <c r="FE526" s="205"/>
      <c r="FF526" s="205"/>
      <c r="FG526" s="205"/>
      <c r="FH526" s="205"/>
      <c r="FI526" s="205"/>
      <c r="FJ526" s="205"/>
      <c r="FK526" s="205"/>
      <c r="FL526" s="205"/>
      <c r="FM526" s="205"/>
      <c r="FN526" s="205"/>
      <c r="FO526" s="205"/>
      <c r="FP526" s="205"/>
      <c r="FQ526" s="205"/>
      <c r="FR526" s="205"/>
      <c r="FS526" s="205"/>
      <c r="FT526" s="205"/>
      <c r="FU526" s="205"/>
      <c r="FV526" s="205"/>
      <c r="FW526" s="205"/>
      <c r="FX526" s="205"/>
      <c r="FY526" s="205"/>
      <c r="FZ526" s="205"/>
      <c r="GA526" s="205"/>
      <c r="GB526" s="205"/>
      <c r="GC526" s="205"/>
      <c r="GD526" s="205"/>
      <c r="GE526" s="205"/>
      <c r="GF526" s="205"/>
      <c r="GG526" s="205"/>
      <c r="GH526" s="205"/>
      <c r="GI526" s="205"/>
      <c r="GJ526" s="205"/>
      <c r="GK526" s="205"/>
      <c r="GL526" s="205"/>
      <c r="GM526" s="205"/>
      <c r="GN526" s="205"/>
      <c r="GO526" s="205"/>
      <c r="GP526" s="205"/>
      <c r="GQ526" s="205"/>
      <c r="GR526" s="205"/>
      <c r="GS526" s="205"/>
      <c r="GT526" s="205"/>
      <c r="GU526" s="205"/>
      <c r="GV526" s="205"/>
      <c r="GW526" s="205"/>
      <c r="GX526" s="205"/>
      <c r="GY526" s="205"/>
      <c r="GZ526" s="205"/>
      <c r="HA526" s="205"/>
      <c r="HB526" s="205"/>
      <c r="HC526" s="205"/>
      <c r="HD526" s="205"/>
      <c r="HE526" s="205"/>
      <c r="HF526" s="205"/>
      <c r="HG526" s="205"/>
      <c r="HH526" s="205"/>
      <c r="HI526" s="205"/>
      <c r="HJ526" s="205"/>
      <c r="HK526" s="205"/>
      <c r="HL526" s="205"/>
      <c r="HM526" s="205"/>
      <c r="HN526" s="205"/>
      <c r="HO526" s="205"/>
      <c r="HP526" s="205"/>
      <c r="HQ526" s="205"/>
      <c r="HR526" s="205"/>
      <c r="HS526" s="205"/>
      <c r="HT526" s="205"/>
      <c r="HU526" s="205"/>
      <c r="HV526" s="205"/>
      <c r="HW526" s="205"/>
      <c r="HX526" s="205"/>
      <c r="HY526" s="205"/>
      <c r="HZ526" s="205"/>
      <c r="IA526" s="205"/>
      <c r="IB526" s="205"/>
      <c r="IC526" s="205"/>
      <c r="ID526" s="205"/>
      <c r="IE526" s="205"/>
      <c r="IF526" s="205"/>
      <c r="IG526" s="205"/>
      <c r="IH526" s="205"/>
      <c r="II526" s="205"/>
      <c r="IJ526" s="205"/>
      <c r="IK526" s="205"/>
      <c r="IL526" s="205"/>
      <c r="IM526" s="205"/>
      <c r="IN526" s="205"/>
      <c r="IO526" s="205"/>
      <c r="IP526" s="205"/>
      <c r="IQ526" s="205"/>
      <c r="IR526" s="205"/>
      <c r="IS526" s="205"/>
      <c r="IT526" s="205"/>
      <c r="IU526" s="205"/>
      <c r="IV526" s="205"/>
      <c r="IW526" s="205"/>
      <c r="IX526" s="205"/>
    </row>
    <row r="527" spans="1:258" s="203" customFormat="1" x14ac:dyDescent="0.2">
      <c r="A527" s="669"/>
      <c r="B527" s="670"/>
      <c r="C527" s="1412"/>
      <c r="D527" s="672"/>
      <c r="E527" s="1413"/>
      <c r="F527" s="1413"/>
      <c r="G527" s="1414"/>
      <c r="H527" s="1415"/>
      <c r="I527" s="1416"/>
      <c r="J527" s="1416"/>
      <c r="K527" s="1416"/>
      <c r="L527" s="1416"/>
      <c r="M527" s="1416"/>
      <c r="N527" s="1416"/>
      <c r="O527" s="1416"/>
      <c r="P527" s="1416"/>
      <c r="Q527" s="1416"/>
      <c r="R527" s="1417"/>
      <c r="S527" s="1418"/>
      <c r="T527" s="1419"/>
      <c r="U527" s="205"/>
      <c r="V527" s="68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5"/>
      <c r="AR527" s="205"/>
      <c r="AS527" s="205"/>
      <c r="AT527" s="205"/>
      <c r="AU527" s="205"/>
      <c r="AV527" s="205"/>
      <c r="AW527" s="205"/>
      <c r="AX527" s="205"/>
      <c r="AY527" s="205"/>
      <c r="AZ527" s="205"/>
      <c r="BA527" s="205"/>
      <c r="BB527" s="205"/>
      <c r="BC527" s="205"/>
      <c r="BD527" s="205"/>
      <c r="BE527" s="205"/>
      <c r="BF527" s="205"/>
      <c r="BG527" s="205"/>
      <c r="BH527" s="205"/>
      <c r="BI527" s="205"/>
      <c r="BJ527" s="205"/>
      <c r="BK527" s="205"/>
      <c r="BL527" s="205"/>
      <c r="BM527" s="205"/>
      <c r="BN527" s="205"/>
      <c r="BO527" s="205"/>
      <c r="BP527" s="205"/>
      <c r="BQ527" s="205"/>
      <c r="BR527" s="205"/>
      <c r="BS527" s="205"/>
      <c r="BT527" s="205"/>
      <c r="BU527" s="205"/>
      <c r="BV527" s="205"/>
      <c r="BW527" s="205"/>
      <c r="BX527" s="205"/>
      <c r="BY527" s="205"/>
      <c r="BZ527" s="205"/>
      <c r="CA527" s="205"/>
      <c r="CB527" s="205"/>
      <c r="CC527" s="205"/>
      <c r="CD527" s="205"/>
      <c r="CE527" s="205"/>
      <c r="CF527" s="205"/>
      <c r="CG527" s="205"/>
      <c r="CH527" s="205"/>
      <c r="CI527" s="205"/>
      <c r="CJ527" s="205"/>
      <c r="CK527" s="205"/>
      <c r="CL527" s="205"/>
      <c r="CM527" s="205"/>
      <c r="CN527" s="205"/>
      <c r="CO527" s="205"/>
      <c r="CP527" s="205"/>
      <c r="CQ527" s="205"/>
      <c r="CR527" s="205"/>
      <c r="CS527" s="205"/>
      <c r="CT527" s="205"/>
      <c r="CU527" s="205"/>
      <c r="CV527" s="205"/>
      <c r="CW527" s="205"/>
      <c r="CX527" s="205"/>
      <c r="CY527" s="205"/>
      <c r="CZ527" s="205"/>
      <c r="DA527" s="205"/>
      <c r="DB527" s="205"/>
      <c r="DC527" s="205"/>
      <c r="DD527" s="205"/>
      <c r="DE527" s="205"/>
      <c r="DF527" s="205"/>
      <c r="DG527" s="205"/>
      <c r="DH527" s="205"/>
      <c r="DI527" s="205"/>
      <c r="DJ527" s="205"/>
      <c r="DK527" s="205"/>
      <c r="DL527" s="205"/>
      <c r="DM527" s="205"/>
      <c r="DN527" s="205"/>
      <c r="DO527" s="205"/>
      <c r="DP527" s="205"/>
      <c r="DQ527" s="205"/>
      <c r="DR527" s="205"/>
      <c r="DS527" s="205"/>
      <c r="DT527" s="205"/>
      <c r="DU527" s="205"/>
      <c r="DV527" s="205"/>
      <c r="DW527" s="205"/>
      <c r="DX527" s="205"/>
      <c r="DY527" s="205"/>
      <c r="DZ527" s="205"/>
      <c r="EA527" s="205"/>
      <c r="EB527" s="205"/>
      <c r="EC527" s="205"/>
      <c r="ED527" s="205"/>
      <c r="EE527" s="205"/>
      <c r="EF527" s="205"/>
      <c r="EG527" s="205"/>
      <c r="EH527" s="205"/>
      <c r="EI527" s="205"/>
      <c r="EJ527" s="205"/>
      <c r="EK527" s="205"/>
      <c r="EL527" s="205"/>
      <c r="EM527" s="205"/>
      <c r="EN527" s="205"/>
      <c r="EO527" s="205"/>
      <c r="EP527" s="205"/>
      <c r="EQ527" s="205"/>
      <c r="ER527" s="205"/>
      <c r="ES527" s="205"/>
      <c r="ET527" s="205"/>
      <c r="EU527" s="205"/>
      <c r="EV527" s="205"/>
      <c r="EW527" s="205"/>
      <c r="EX527" s="205"/>
      <c r="EY527" s="205"/>
      <c r="EZ527" s="205"/>
      <c r="FA527" s="205"/>
      <c r="FB527" s="205"/>
      <c r="FC527" s="205"/>
      <c r="FD527" s="205"/>
      <c r="FE527" s="205"/>
      <c r="FF527" s="205"/>
      <c r="FG527" s="205"/>
      <c r="FH527" s="205"/>
      <c r="FI527" s="205"/>
      <c r="FJ527" s="205"/>
      <c r="FK527" s="205"/>
      <c r="FL527" s="205"/>
      <c r="FM527" s="205"/>
      <c r="FN527" s="205"/>
      <c r="FO527" s="205"/>
      <c r="FP527" s="205"/>
      <c r="FQ527" s="205"/>
      <c r="FR527" s="205"/>
      <c r="FS527" s="205"/>
      <c r="FT527" s="205"/>
      <c r="FU527" s="205"/>
      <c r="FV527" s="205"/>
      <c r="FW527" s="205"/>
      <c r="FX527" s="205"/>
      <c r="FY527" s="205"/>
      <c r="FZ527" s="205"/>
      <c r="GA527" s="205"/>
      <c r="GB527" s="205"/>
      <c r="GC527" s="205"/>
      <c r="GD527" s="205"/>
      <c r="GE527" s="205"/>
      <c r="GF527" s="205"/>
      <c r="GG527" s="205"/>
      <c r="GH527" s="205"/>
      <c r="GI527" s="205"/>
      <c r="GJ527" s="205"/>
      <c r="GK527" s="205"/>
      <c r="GL527" s="205"/>
      <c r="GM527" s="205"/>
      <c r="GN527" s="205"/>
      <c r="GO527" s="205"/>
      <c r="GP527" s="205"/>
      <c r="GQ527" s="205"/>
      <c r="GR527" s="205"/>
      <c r="GS527" s="205"/>
      <c r="GT527" s="205"/>
      <c r="GU527" s="205"/>
      <c r="GV527" s="205"/>
      <c r="GW527" s="205"/>
      <c r="GX527" s="205"/>
      <c r="GY527" s="205"/>
      <c r="GZ527" s="205"/>
      <c r="HA527" s="205"/>
      <c r="HB527" s="205"/>
      <c r="HC527" s="205"/>
      <c r="HD527" s="205"/>
      <c r="HE527" s="205"/>
      <c r="HF527" s="205"/>
      <c r="HG527" s="205"/>
      <c r="HH527" s="205"/>
      <c r="HI527" s="205"/>
      <c r="HJ527" s="205"/>
      <c r="HK527" s="205"/>
      <c r="HL527" s="205"/>
      <c r="HM527" s="205"/>
      <c r="HN527" s="205"/>
      <c r="HO527" s="205"/>
      <c r="HP527" s="205"/>
      <c r="HQ527" s="205"/>
      <c r="HR527" s="205"/>
      <c r="HS527" s="205"/>
      <c r="HT527" s="205"/>
      <c r="HU527" s="205"/>
      <c r="HV527" s="205"/>
      <c r="HW527" s="205"/>
      <c r="HX527" s="205"/>
      <c r="HY527" s="205"/>
      <c r="HZ527" s="205"/>
      <c r="IA527" s="205"/>
      <c r="IB527" s="205"/>
      <c r="IC527" s="205"/>
      <c r="ID527" s="205"/>
      <c r="IE527" s="205"/>
      <c r="IF527" s="205"/>
      <c r="IG527" s="205"/>
      <c r="IH527" s="205"/>
      <c r="II527" s="205"/>
      <c r="IJ527" s="205"/>
      <c r="IK527" s="205"/>
      <c r="IL527" s="205"/>
      <c r="IM527" s="205"/>
      <c r="IN527" s="205"/>
      <c r="IO527" s="205"/>
      <c r="IP527" s="205"/>
      <c r="IQ527" s="205"/>
      <c r="IR527" s="205"/>
      <c r="IS527" s="205"/>
      <c r="IT527" s="205"/>
      <c r="IU527" s="205"/>
      <c r="IV527" s="205"/>
      <c r="IW527" s="205"/>
      <c r="IX527" s="205"/>
    </row>
    <row r="528" spans="1:258" s="203" customFormat="1" x14ac:dyDescent="0.2">
      <c r="A528" s="669"/>
      <c r="B528" s="670"/>
      <c r="C528" s="686"/>
      <c r="D528" s="672"/>
      <c r="E528" s="673"/>
      <c r="F528" s="673"/>
      <c r="G528" s="674"/>
      <c r="H528" s="675"/>
      <c r="I528" s="676"/>
      <c r="J528" s="676"/>
      <c r="K528" s="676"/>
      <c r="L528" s="676"/>
      <c r="M528" s="676"/>
      <c r="N528" s="676"/>
      <c r="O528" s="676"/>
      <c r="P528" s="676"/>
      <c r="Q528" s="676"/>
      <c r="R528" s="677"/>
      <c r="S528" s="678"/>
      <c r="T528" s="684"/>
      <c r="U528" s="205"/>
      <c r="V528" s="685"/>
      <c r="W528" s="205"/>
      <c r="X528" s="205"/>
      <c r="Y528" s="205"/>
      <c r="Z528" s="205"/>
      <c r="AA528" s="205"/>
      <c r="AB528" s="205"/>
      <c r="AC528" s="205"/>
      <c r="AD528" s="205"/>
      <c r="AE528" s="205"/>
      <c r="AF528" s="205"/>
      <c r="AG528" s="205"/>
      <c r="AH528" s="205"/>
      <c r="AI528" s="205"/>
      <c r="AJ528" s="205"/>
      <c r="AK528" s="205"/>
      <c r="AL528" s="205"/>
      <c r="AM528" s="205"/>
      <c r="AN528" s="205"/>
      <c r="AO528" s="205"/>
      <c r="AP528" s="205"/>
      <c r="AQ528" s="205"/>
      <c r="AR528" s="205"/>
      <c r="AS528" s="205"/>
      <c r="AT528" s="205"/>
      <c r="AU528" s="205"/>
      <c r="AV528" s="205"/>
      <c r="AW528" s="205"/>
      <c r="AX528" s="205"/>
      <c r="AY528" s="205"/>
      <c r="AZ528" s="205"/>
      <c r="BA528" s="205"/>
      <c r="BB528" s="205"/>
      <c r="BC528" s="205"/>
      <c r="BD528" s="205"/>
      <c r="BE528" s="205"/>
      <c r="BF528" s="205"/>
      <c r="BG528" s="205"/>
      <c r="BH528" s="205"/>
      <c r="BI528" s="205"/>
      <c r="BJ528" s="205"/>
      <c r="BK528" s="205"/>
      <c r="BL528" s="205"/>
      <c r="BM528" s="205"/>
      <c r="BN528" s="205"/>
      <c r="BO528" s="205"/>
      <c r="BP528" s="205"/>
      <c r="BQ528" s="205"/>
      <c r="BR528" s="205"/>
      <c r="BS528" s="205"/>
      <c r="BT528" s="205"/>
      <c r="BU528" s="205"/>
      <c r="BV528" s="205"/>
      <c r="BW528" s="205"/>
      <c r="BX528" s="205"/>
      <c r="BY528" s="205"/>
      <c r="BZ528" s="205"/>
      <c r="CA528" s="205"/>
      <c r="CB528" s="205"/>
      <c r="CC528" s="205"/>
      <c r="CD528" s="205"/>
      <c r="CE528" s="205"/>
      <c r="CF528" s="205"/>
      <c r="CG528" s="205"/>
      <c r="CH528" s="205"/>
      <c r="CI528" s="205"/>
      <c r="CJ528" s="205"/>
      <c r="CK528" s="205"/>
      <c r="CL528" s="205"/>
      <c r="CM528" s="205"/>
      <c r="CN528" s="205"/>
      <c r="CO528" s="205"/>
      <c r="CP528" s="205"/>
      <c r="CQ528" s="205"/>
      <c r="CR528" s="205"/>
      <c r="CS528" s="205"/>
      <c r="CT528" s="205"/>
      <c r="CU528" s="205"/>
      <c r="CV528" s="205"/>
      <c r="CW528" s="205"/>
      <c r="CX528" s="205"/>
      <c r="CY528" s="205"/>
      <c r="CZ528" s="205"/>
      <c r="DA528" s="205"/>
      <c r="DB528" s="205"/>
      <c r="DC528" s="205"/>
      <c r="DD528" s="205"/>
      <c r="DE528" s="205"/>
      <c r="DF528" s="205"/>
      <c r="DG528" s="205"/>
      <c r="DH528" s="205"/>
      <c r="DI528" s="205"/>
      <c r="DJ528" s="205"/>
      <c r="DK528" s="205"/>
      <c r="DL528" s="205"/>
      <c r="DM528" s="205"/>
      <c r="DN528" s="205"/>
      <c r="DO528" s="205"/>
      <c r="DP528" s="205"/>
      <c r="DQ528" s="205"/>
      <c r="DR528" s="205"/>
      <c r="DS528" s="205"/>
      <c r="DT528" s="205"/>
      <c r="DU528" s="205"/>
      <c r="DV528" s="205"/>
      <c r="DW528" s="205"/>
      <c r="DX528" s="205"/>
      <c r="DY528" s="205"/>
      <c r="DZ528" s="205"/>
      <c r="EA528" s="205"/>
      <c r="EB528" s="205"/>
      <c r="EC528" s="205"/>
      <c r="ED528" s="205"/>
      <c r="EE528" s="205"/>
      <c r="EF528" s="205"/>
      <c r="EG528" s="205"/>
      <c r="EH528" s="205"/>
      <c r="EI528" s="205"/>
      <c r="EJ528" s="205"/>
      <c r="EK528" s="205"/>
      <c r="EL528" s="205"/>
      <c r="EM528" s="205"/>
      <c r="EN528" s="205"/>
      <c r="EO528" s="205"/>
      <c r="EP528" s="205"/>
      <c r="EQ528" s="205"/>
      <c r="ER528" s="205"/>
      <c r="ES528" s="205"/>
      <c r="ET528" s="205"/>
      <c r="EU528" s="205"/>
      <c r="EV528" s="205"/>
      <c r="EW528" s="205"/>
      <c r="EX528" s="205"/>
      <c r="EY528" s="205"/>
      <c r="EZ528" s="205"/>
      <c r="FA528" s="205"/>
      <c r="FB528" s="205"/>
      <c r="FC528" s="205"/>
      <c r="FD528" s="205"/>
      <c r="FE528" s="205"/>
      <c r="FF528" s="205"/>
      <c r="FG528" s="205"/>
      <c r="FH528" s="205"/>
      <c r="FI528" s="205"/>
      <c r="FJ528" s="205"/>
      <c r="FK528" s="205"/>
      <c r="FL528" s="205"/>
      <c r="FM528" s="205"/>
      <c r="FN528" s="205"/>
      <c r="FO528" s="205"/>
      <c r="FP528" s="205"/>
      <c r="FQ528" s="205"/>
      <c r="FR528" s="205"/>
      <c r="FS528" s="205"/>
      <c r="FT528" s="205"/>
      <c r="FU528" s="205"/>
      <c r="FV528" s="205"/>
      <c r="FW528" s="205"/>
      <c r="FX528" s="205"/>
      <c r="FY528" s="205"/>
      <c r="FZ528" s="205"/>
      <c r="GA528" s="205"/>
      <c r="GB528" s="205"/>
      <c r="GC528" s="205"/>
      <c r="GD528" s="205"/>
      <c r="GE528" s="205"/>
      <c r="GF528" s="205"/>
      <c r="GG528" s="205"/>
      <c r="GH528" s="205"/>
      <c r="GI528" s="205"/>
      <c r="GJ528" s="205"/>
      <c r="GK528" s="205"/>
      <c r="GL528" s="205"/>
      <c r="GM528" s="205"/>
      <c r="GN528" s="205"/>
      <c r="GO528" s="205"/>
      <c r="GP528" s="205"/>
      <c r="GQ528" s="205"/>
      <c r="GR528" s="205"/>
      <c r="GS528" s="205"/>
      <c r="GT528" s="205"/>
      <c r="GU528" s="205"/>
      <c r="GV528" s="205"/>
      <c r="GW528" s="205"/>
      <c r="GX528" s="205"/>
      <c r="GY528" s="205"/>
      <c r="GZ528" s="205"/>
      <c r="HA528" s="205"/>
      <c r="HB528" s="205"/>
      <c r="HC528" s="205"/>
      <c r="HD528" s="205"/>
      <c r="HE528" s="205"/>
      <c r="HF528" s="205"/>
      <c r="HG528" s="205"/>
      <c r="HH528" s="205"/>
      <c r="HI528" s="205"/>
      <c r="HJ528" s="205"/>
      <c r="HK528" s="205"/>
      <c r="HL528" s="205"/>
      <c r="HM528" s="205"/>
      <c r="HN528" s="205"/>
      <c r="HO528" s="205"/>
      <c r="HP528" s="205"/>
      <c r="HQ528" s="205"/>
      <c r="HR528" s="205"/>
      <c r="HS528" s="205"/>
      <c r="HT528" s="205"/>
      <c r="HU528" s="205"/>
      <c r="HV528" s="205"/>
      <c r="HW528" s="205"/>
      <c r="HX528" s="205"/>
      <c r="HY528" s="205"/>
      <c r="HZ528" s="205"/>
      <c r="IA528" s="205"/>
      <c r="IB528" s="205"/>
      <c r="IC528" s="205"/>
      <c r="ID528" s="205"/>
      <c r="IE528" s="205"/>
      <c r="IF528" s="205"/>
      <c r="IG528" s="205"/>
      <c r="IH528" s="205"/>
      <c r="II528" s="205"/>
      <c r="IJ528" s="205"/>
      <c r="IK528" s="205"/>
      <c r="IL528" s="205"/>
      <c r="IM528" s="205"/>
      <c r="IN528" s="205"/>
      <c r="IO528" s="205"/>
      <c r="IP528" s="205"/>
      <c r="IQ528" s="205"/>
      <c r="IR528" s="205"/>
      <c r="IS528" s="205"/>
      <c r="IT528" s="205"/>
      <c r="IU528" s="205"/>
      <c r="IV528" s="205"/>
      <c r="IW528" s="205"/>
      <c r="IX528" s="205"/>
    </row>
    <row r="529" spans="1:258" s="203" customFormat="1" x14ac:dyDescent="0.2">
      <c r="A529" s="669"/>
      <c r="B529" s="681" t="str">
        <f>RAB!B170</f>
        <v>XI</v>
      </c>
      <c r="C529" s="682" t="str">
        <f>RAB!D170</f>
        <v>PEKERJAAN SANITASI</v>
      </c>
      <c r="D529" s="672"/>
      <c r="E529" s="673"/>
      <c r="F529" s="673"/>
      <c r="G529" s="674"/>
      <c r="H529" s="675"/>
      <c r="I529" s="676"/>
      <c r="J529" s="676"/>
      <c r="K529" s="676"/>
      <c r="L529" s="676"/>
      <c r="M529" s="676"/>
      <c r="N529" s="676"/>
      <c r="O529" s="676"/>
      <c r="P529" s="676"/>
      <c r="Q529" s="676"/>
      <c r="R529" s="677"/>
      <c r="S529" s="678"/>
      <c r="T529" s="684"/>
      <c r="U529" s="205"/>
      <c r="V529" s="685"/>
      <c r="W529" s="205"/>
      <c r="X529" s="205"/>
      <c r="Y529" s="205"/>
      <c r="Z529" s="205"/>
      <c r="AA529" s="205"/>
      <c r="AB529" s="205"/>
      <c r="AC529" s="205"/>
      <c r="AD529" s="205"/>
      <c r="AE529" s="205"/>
      <c r="AF529" s="205"/>
      <c r="AG529" s="205"/>
      <c r="AH529" s="205"/>
      <c r="AI529" s="205"/>
      <c r="AJ529" s="205"/>
      <c r="AK529" s="205"/>
      <c r="AL529" s="205"/>
      <c r="AM529" s="205"/>
      <c r="AN529" s="205"/>
      <c r="AO529" s="205"/>
      <c r="AP529" s="205"/>
      <c r="AQ529" s="205"/>
      <c r="AR529" s="205"/>
      <c r="AS529" s="205"/>
      <c r="AT529" s="205"/>
      <c r="AU529" s="205"/>
      <c r="AV529" s="205"/>
      <c r="AW529" s="205"/>
      <c r="AX529" s="205"/>
      <c r="AY529" s="205"/>
      <c r="AZ529" s="205"/>
      <c r="BA529" s="205"/>
      <c r="BB529" s="205"/>
      <c r="BC529" s="205"/>
      <c r="BD529" s="205"/>
      <c r="BE529" s="205"/>
      <c r="BF529" s="205"/>
      <c r="BG529" s="205"/>
      <c r="BH529" s="205"/>
      <c r="BI529" s="205"/>
      <c r="BJ529" s="205"/>
      <c r="BK529" s="205"/>
      <c r="BL529" s="205"/>
      <c r="BM529" s="205"/>
      <c r="BN529" s="205"/>
      <c r="BO529" s="205"/>
      <c r="BP529" s="205"/>
      <c r="BQ529" s="205"/>
      <c r="BR529" s="205"/>
      <c r="BS529" s="205"/>
      <c r="BT529" s="205"/>
      <c r="BU529" s="205"/>
      <c r="BV529" s="205"/>
      <c r="BW529" s="205"/>
      <c r="BX529" s="205"/>
      <c r="BY529" s="205"/>
      <c r="BZ529" s="205"/>
      <c r="CA529" s="205"/>
      <c r="CB529" s="205"/>
      <c r="CC529" s="205"/>
      <c r="CD529" s="205"/>
      <c r="CE529" s="205"/>
      <c r="CF529" s="205"/>
      <c r="CG529" s="205"/>
      <c r="CH529" s="205"/>
      <c r="CI529" s="205"/>
      <c r="CJ529" s="205"/>
      <c r="CK529" s="205"/>
      <c r="CL529" s="205"/>
      <c r="CM529" s="205"/>
      <c r="CN529" s="205"/>
      <c r="CO529" s="205"/>
      <c r="CP529" s="205"/>
      <c r="CQ529" s="205"/>
      <c r="CR529" s="205"/>
      <c r="CS529" s="205"/>
      <c r="CT529" s="205"/>
      <c r="CU529" s="205"/>
      <c r="CV529" s="205"/>
      <c r="CW529" s="205"/>
      <c r="CX529" s="205"/>
      <c r="CY529" s="205"/>
      <c r="CZ529" s="205"/>
      <c r="DA529" s="205"/>
      <c r="DB529" s="205"/>
      <c r="DC529" s="205"/>
      <c r="DD529" s="205"/>
      <c r="DE529" s="205"/>
      <c r="DF529" s="205"/>
      <c r="DG529" s="205"/>
      <c r="DH529" s="205"/>
      <c r="DI529" s="205"/>
      <c r="DJ529" s="205"/>
      <c r="DK529" s="205"/>
      <c r="DL529" s="205"/>
      <c r="DM529" s="205"/>
      <c r="DN529" s="205"/>
      <c r="DO529" s="205"/>
      <c r="DP529" s="205"/>
      <c r="DQ529" s="205"/>
      <c r="DR529" s="205"/>
      <c r="DS529" s="205"/>
      <c r="DT529" s="205"/>
      <c r="DU529" s="205"/>
      <c r="DV529" s="205"/>
      <c r="DW529" s="205"/>
      <c r="DX529" s="205"/>
      <c r="DY529" s="205"/>
      <c r="DZ529" s="205"/>
      <c r="EA529" s="205"/>
      <c r="EB529" s="205"/>
      <c r="EC529" s="205"/>
      <c r="ED529" s="205"/>
      <c r="EE529" s="205"/>
      <c r="EF529" s="205"/>
      <c r="EG529" s="205"/>
      <c r="EH529" s="205"/>
      <c r="EI529" s="205"/>
      <c r="EJ529" s="205"/>
      <c r="EK529" s="205"/>
      <c r="EL529" s="205"/>
      <c r="EM529" s="205"/>
      <c r="EN529" s="205"/>
      <c r="EO529" s="205"/>
      <c r="EP529" s="205"/>
      <c r="EQ529" s="205"/>
      <c r="ER529" s="205"/>
      <c r="ES529" s="205"/>
      <c r="ET529" s="205"/>
      <c r="EU529" s="205"/>
      <c r="EV529" s="205"/>
      <c r="EW529" s="205"/>
      <c r="EX529" s="205"/>
      <c r="EY529" s="205"/>
      <c r="EZ529" s="205"/>
      <c r="FA529" s="205"/>
      <c r="FB529" s="205"/>
      <c r="FC529" s="205"/>
      <c r="FD529" s="205"/>
      <c r="FE529" s="205"/>
      <c r="FF529" s="205"/>
      <c r="FG529" s="205"/>
      <c r="FH529" s="205"/>
      <c r="FI529" s="205"/>
      <c r="FJ529" s="205"/>
      <c r="FK529" s="205"/>
      <c r="FL529" s="205"/>
      <c r="FM529" s="205"/>
      <c r="FN529" s="205"/>
      <c r="FO529" s="205"/>
      <c r="FP529" s="205"/>
      <c r="FQ529" s="205"/>
      <c r="FR529" s="205"/>
      <c r="FS529" s="205"/>
      <c r="FT529" s="205"/>
      <c r="FU529" s="205"/>
      <c r="FV529" s="205"/>
      <c r="FW529" s="205"/>
      <c r="FX529" s="205"/>
      <c r="FY529" s="205"/>
      <c r="FZ529" s="205"/>
      <c r="GA529" s="205"/>
      <c r="GB529" s="205"/>
      <c r="GC529" s="205"/>
      <c r="GD529" s="205"/>
      <c r="GE529" s="205"/>
      <c r="GF529" s="205"/>
      <c r="GG529" s="205"/>
      <c r="GH529" s="205"/>
      <c r="GI529" s="205"/>
      <c r="GJ529" s="205"/>
      <c r="GK529" s="205"/>
      <c r="GL529" s="205"/>
      <c r="GM529" s="205"/>
      <c r="GN529" s="205"/>
      <c r="GO529" s="205"/>
      <c r="GP529" s="205"/>
      <c r="GQ529" s="205"/>
      <c r="GR529" s="205"/>
      <c r="GS529" s="205"/>
      <c r="GT529" s="205"/>
      <c r="GU529" s="205"/>
      <c r="GV529" s="205"/>
      <c r="GW529" s="205"/>
      <c r="GX529" s="205"/>
      <c r="GY529" s="205"/>
      <c r="GZ529" s="205"/>
      <c r="HA529" s="205"/>
      <c r="HB529" s="205"/>
      <c r="HC529" s="205"/>
      <c r="HD529" s="205"/>
      <c r="HE529" s="205"/>
      <c r="HF529" s="205"/>
      <c r="HG529" s="205"/>
      <c r="HH529" s="205"/>
      <c r="HI529" s="205"/>
      <c r="HJ529" s="205"/>
      <c r="HK529" s="205"/>
      <c r="HL529" s="205"/>
      <c r="HM529" s="205"/>
      <c r="HN529" s="205"/>
      <c r="HO529" s="205"/>
      <c r="HP529" s="205"/>
      <c r="HQ529" s="205"/>
      <c r="HR529" s="205"/>
      <c r="HS529" s="205"/>
      <c r="HT529" s="205"/>
      <c r="HU529" s="205"/>
      <c r="HV529" s="205"/>
      <c r="HW529" s="205"/>
      <c r="HX529" s="205"/>
      <c r="HY529" s="205"/>
      <c r="HZ529" s="205"/>
      <c r="IA529" s="205"/>
      <c r="IB529" s="205"/>
      <c r="IC529" s="205"/>
      <c r="ID529" s="205"/>
      <c r="IE529" s="205"/>
      <c r="IF529" s="205"/>
      <c r="IG529" s="205"/>
      <c r="IH529" s="205"/>
      <c r="II529" s="205"/>
      <c r="IJ529" s="205"/>
      <c r="IK529" s="205"/>
      <c r="IL529" s="205"/>
      <c r="IM529" s="205"/>
      <c r="IN529" s="205"/>
      <c r="IO529" s="205"/>
      <c r="IP529" s="205"/>
      <c r="IQ529" s="205"/>
      <c r="IR529" s="205"/>
      <c r="IS529" s="205"/>
      <c r="IT529" s="205"/>
      <c r="IU529" s="205"/>
      <c r="IV529" s="205"/>
      <c r="IW529" s="205"/>
      <c r="IX529" s="205"/>
    </row>
    <row r="530" spans="1:258" s="203" customFormat="1" x14ac:dyDescent="0.2">
      <c r="A530" s="669"/>
      <c r="B530" s="670">
        <f>RAB!B171</f>
        <v>1</v>
      </c>
      <c r="C530" s="686" t="str">
        <f>RAB!D171</f>
        <v>Memasang kloset duduk/monoblok dan aksesoris</v>
      </c>
      <c r="D530" s="672"/>
      <c r="E530" s="673"/>
      <c r="F530" s="673"/>
      <c r="G530" s="674"/>
      <c r="H530" s="675">
        <v>2</v>
      </c>
      <c r="I530" s="676"/>
      <c r="J530" s="676"/>
      <c r="K530" s="676"/>
      <c r="L530" s="676"/>
      <c r="M530" s="676"/>
      <c r="N530" s="676"/>
      <c r="O530" s="676"/>
      <c r="P530" s="676"/>
      <c r="Q530" s="676" t="s">
        <v>696</v>
      </c>
      <c r="R530" s="677">
        <f>H530</f>
        <v>2</v>
      </c>
      <c r="S530" s="678">
        <f>R530</f>
        <v>2</v>
      </c>
      <c r="T530" s="684" t="s">
        <v>268</v>
      </c>
      <c r="U530" s="205"/>
      <c r="V530" s="68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205"/>
      <c r="BN530" s="205"/>
      <c r="BO530" s="205"/>
      <c r="BP530" s="205"/>
      <c r="BQ530" s="205"/>
      <c r="BR530" s="205"/>
      <c r="BS530" s="205"/>
      <c r="BT530" s="205"/>
      <c r="BU530" s="205"/>
      <c r="BV530" s="205"/>
      <c r="BW530" s="205"/>
      <c r="BX530" s="205"/>
      <c r="BY530" s="205"/>
      <c r="BZ530" s="205"/>
      <c r="CA530" s="205"/>
      <c r="CB530" s="205"/>
      <c r="CC530" s="205"/>
      <c r="CD530" s="205"/>
      <c r="CE530" s="205"/>
      <c r="CF530" s="205"/>
      <c r="CG530" s="205"/>
      <c r="CH530" s="205"/>
      <c r="CI530" s="205"/>
      <c r="CJ530" s="205"/>
      <c r="CK530" s="205"/>
      <c r="CL530" s="205"/>
      <c r="CM530" s="205"/>
      <c r="CN530" s="205"/>
      <c r="CO530" s="205"/>
      <c r="CP530" s="205"/>
      <c r="CQ530" s="205"/>
      <c r="CR530" s="205"/>
      <c r="CS530" s="205"/>
      <c r="CT530" s="205"/>
      <c r="CU530" s="205"/>
      <c r="CV530" s="205"/>
      <c r="CW530" s="205"/>
      <c r="CX530" s="205"/>
      <c r="CY530" s="205"/>
      <c r="CZ530" s="205"/>
      <c r="DA530" s="205"/>
      <c r="DB530" s="205"/>
      <c r="DC530" s="205"/>
      <c r="DD530" s="205"/>
      <c r="DE530" s="205"/>
      <c r="DF530" s="205"/>
      <c r="DG530" s="205"/>
      <c r="DH530" s="205"/>
      <c r="DI530" s="205"/>
      <c r="DJ530" s="205"/>
      <c r="DK530" s="205"/>
      <c r="DL530" s="205"/>
      <c r="DM530" s="205"/>
      <c r="DN530" s="205"/>
      <c r="DO530" s="205"/>
      <c r="DP530" s="205"/>
      <c r="DQ530" s="205"/>
      <c r="DR530" s="205"/>
      <c r="DS530" s="205"/>
      <c r="DT530" s="205"/>
      <c r="DU530" s="205"/>
      <c r="DV530" s="205"/>
      <c r="DW530" s="205"/>
      <c r="DX530" s="205"/>
      <c r="DY530" s="205"/>
      <c r="DZ530" s="205"/>
      <c r="EA530" s="205"/>
      <c r="EB530" s="205"/>
      <c r="EC530" s="205"/>
      <c r="ED530" s="205"/>
      <c r="EE530" s="205"/>
      <c r="EF530" s="205"/>
      <c r="EG530" s="205"/>
      <c r="EH530" s="205"/>
      <c r="EI530" s="205"/>
      <c r="EJ530" s="205"/>
      <c r="EK530" s="205"/>
      <c r="EL530" s="205"/>
      <c r="EM530" s="205"/>
      <c r="EN530" s="205"/>
      <c r="EO530" s="205"/>
      <c r="EP530" s="205"/>
      <c r="EQ530" s="205"/>
      <c r="ER530" s="205"/>
      <c r="ES530" s="205"/>
      <c r="ET530" s="205"/>
      <c r="EU530" s="205"/>
      <c r="EV530" s="205"/>
      <c r="EW530" s="205"/>
      <c r="EX530" s="205"/>
      <c r="EY530" s="205"/>
      <c r="EZ530" s="205"/>
      <c r="FA530" s="205"/>
      <c r="FB530" s="205"/>
      <c r="FC530" s="205"/>
      <c r="FD530" s="205"/>
      <c r="FE530" s="205"/>
      <c r="FF530" s="205"/>
      <c r="FG530" s="205"/>
      <c r="FH530" s="205"/>
      <c r="FI530" s="205"/>
      <c r="FJ530" s="205"/>
      <c r="FK530" s="205"/>
      <c r="FL530" s="205"/>
      <c r="FM530" s="205"/>
      <c r="FN530" s="205"/>
      <c r="FO530" s="205"/>
      <c r="FP530" s="205"/>
      <c r="FQ530" s="205"/>
      <c r="FR530" s="205"/>
      <c r="FS530" s="205"/>
      <c r="FT530" s="205"/>
      <c r="FU530" s="205"/>
      <c r="FV530" s="205"/>
      <c r="FW530" s="205"/>
      <c r="FX530" s="205"/>
      <c r="FY530" s="205"/>
      <c r="FZ530" s="205"/>
      <c r="GA530" s="205"/>
      <c r="GB530" s="205"/>
      <c r="GC530" s="205"/>
      <c r="GD530" s="205"/>
      <c r="GE530" s="205"/>
      <c r="GF530" s="205"/>
      <c r="GG530" s="205"/>
      <c r="GH530" s="205"/>
      <c r="GI530" s="205"/>
      <c r="GJ530" s="205"/>
      <c r="GK530" s="205"/>
      <c r="GL530" s="205"/>
      <c r="GM530" s="205"/>
      <c r="GN530" s="205"/>
      <c r="GO530" s="205"/>
      <c r="GP530" s="205"/>
      <c r="GQ530" s="205"/>
      <c r="GR530" s="205"/>
      <c r="GS530" s="205"/>
      <c r="GT530" s="205"/>
      <c r="GU530" s="205"/>
      <c r="GV530" s="205"/>
      <c r="GW530" s="205"/>
      <c r="GX530" s="205"/>
      <c r="GY530" s="205"/>
      <c r="GZ530" s="205"/>
      <c r="HA530" s="205"/>
      <c r="HB530" s="205"/>
      <c r="HC530" s="205"/>
      <c r="HD530" s="205"/>
      <c r="HE530" s="205"/>
      <c r="HF530" s="205"/>
      <c r="HG530" s="205"/>
      <c r="HH530" s="205"/>
      <c r="HI530" s="205"/>
      <c r="HJ530" s="205"/>
      <c r="HK530" s="205"/>
      <c r="HL530" s="205"/>
      <c r="HM530" s="205"/>
      <c r="HN530" s="205"/>
      <c r="HO530" s="205"/>
      <c r="HP530" s="205"/>
      <c r="HQ530" s="205"/>
      <c r="HR530" s="205"/>
      <c r="HS530" s="205"/>
      <c r="HT530" s="205"/>
      <c r="HU530" s="205"/>
      <c r="HV530" s="205"/>
      <c r="HW530" s="205"/>
      <c r="HX530" s="205"/>
      <c r="HY530" s="205"/>
      <c r="HZ530" s="205"/>
      <c r="IA530" s="205"/>
      <c r="IB530" s="205"/>
      <c r="IC530" s="205"/>
      <c r="ID530" s="205"/>
      <c r="IE530" s="205"/>
      <c r="IF530" s="205"/>
      <c r="IG530" s="205"/>
      <c r="IH530" s="205"/>
      <c r="II530" s="205"/>
      <c r="IJ530" s="205"/>
      <c r="IK530" s="205"/>
      <c r="IL530" s="205"/>
      <c r="IM530" s="205"/>
      <c r="IN530" s="205"/>
      <c r="IO530" s="205"/>
      <c r="IP530" s="205"/>
      <c r="IQ530" s="205"/>
      <c r="IR530" s="205"/>
      <c r="IS530" s="205"/>
      <c r="IT530" s="205"/>
      <c r="IU530" s="205"/>
      <c r="IV530" s="205"/>
      <c r="IW530" s="205"/>
      <c r="IX530" s="205"/>
    </row>
    <row r="531" spans="1:258" s="203" customFormat="1" x14ac:dyDescent="0.2">
      <c r="A531" s="669"/>
      <c r="B531" s="670">
        <f>RAB!B172</f>
        <v>2</v>
      </c>
      <c r="C531" s="686" t="str">
        <f>RAB!D172</f>
        <v xml:space="preserve">Memasang kloset jongklok porselin </v>
      </c>
      <c r="D531" s="672"/>
      <c r="E531" s="673"/>
      <c r="F531" s="673"/>
      <c r="G531" s="674"/>
      <c r="H531" s="675">
        <v>6</v>
      </c>
      <c r="I531" s="676"/>
      <c r="J531" s="676"/>
      <c r="K531" s="676"/>
      <c r="L531" s="676"/>
      <c r="M531" s="676"/>
      <c r="N531" s="676"/>
      <c r="O531" s="676"/>
      <c r="P531" s="676"/>
      <c r="Q531" s="676" t="s">
        <v>696</v>
      </c>
      <c r="R531" s="677">
        <f t="shared" ref="R531:R538" si="179">H531</f>
        <v>6</v>
      </c>
      <c r="S531" s="678">
        <f t="shared" ref="S531:S538" si="180">R531</f>
        <v>6</v>
      </c>
      <c r="T531" s="684" t="s">
        <v>268</v>
      </c>
      <c r="U531" s="205"/>
      <c r="V531" s="685"/>
      <c r="W531" s="205"/>
      <c r="X531" s="205"/>
      <c r="Y531" s="205"/>
      <c r="Z531" s="205"/>
      <c r="AA531" s="205"/>
      <c r="AB531" s="205"/>
      <c r="AC531" s="205"/>
      <c r="AD531" s="205"/>
      <c r="AE531" s="205"/>
      <c r="AF531" s="205"/>
      <c r="AG531" s="205"/>
      <c r="AH531" s="205"/>
      <c r="AI531" s="205"/>
      <c r="AJ531" s="205"/>
      <c r="AK531" s="205"/>
      <c r="AL531" s="205"/>
      <c r="AM531" s="205"/>
      <c r="AN531" s="205"/>
      <c r="AO531" s="205"/>
      <c r="AP531" s="205"/>
      <c r="AQ531" s="205"/>
      <c r="AR531" s="205"/>
      <c r="AS531" s="205"/>
      <c r="AT531" s="205"/>
      <c r="AU531" s="205"/>
      <c r="AV531" s="205"/>
      <c r="AW531" s="205"/>
      <c r="AX531" s="205"/>
      <c r="AY531" s="205"/>
      <c r="AZ531" s="205"/>
      <c r="BA531" s="205"/>
      <c r="BB531" s="205"/>
      <c r="BC531" s="205"/>
      <c r="BD531" s="205"/>
      <c r="BE531" s="205"/>
      <c r="BF531" s="205"/>
      <c r="BG531" s="205"/>
      <c r="BH531" s="205"/>
      <c r="BI531" s="205"/>
      <c r="BJ531" s="205"/>
      <c r="BK531" s="205"/>
      <c r="BL531" s="205"/>
      <c r="BM531" s="205"/>
      <c r="BN531" s="205"/>
      <c r="BO531" s="205"/>
      <c r="BP531" s="205"/>
      <c r="BQ531" s="205"/>
      <c r="BR531" s="205"/>
      <c r="BS531" s="205"/>
      <c r="BT531" s="205"/>
      <c r="BU531" s="205"/>
      <c r="BV531" s="205"/>
      <c r="BW531" s="205"/>
      <c r="BX531" s="205"/>
      <c r="BY531" s="205"/>
      <c r="BZ531" s="205"/>
      <c r="CA531" s="205"/>
      <c r="CB531" s="205"/>
      <c r="CC531" s="205"/>
      <c r="CD531" s="205"/>
      <c r="CE531" s="205"/>
      <c r="CF531" s="205"/>
      <c r="CG531" s="205"/>
      <c r="CH531" s="205"/>
      <c r="CI531" s="205"/>
      <c r="CJ531" s="205"/>
      <c r="CK531" s="205"/>
      <c r="CL531" s="205"/>
      <c r="CM531" s="205"/>
      <c r="CN531" s="205"/>
      <c r="CO531" s="205"/>
      <c r="CP531" s="205"/>
      <c r="CQ531" s="205"/>
      <c r="CR531" s="205"/>
      <c r="CS531" s="205"/>
      <c r="CT531" s="205"/>
      <c r="CU531" s="205"/>
      <c r="CV531" s="205"/>
      <c r="CW531" s="205"/>
      <c r="CX531" s="205"/>
      <c r="CY531" s="205"/>
      <c r="CZ531" s="205"/>
      <c r="DA531" s="205"/>
      <c r="DB531" s="205"/>
      <c r="DC531" s="205"/>
      <c r="DD531" s="205"/>
      <c r="DE531" s="205"/>
      <c r="DF531" s="205"/>
      <c r="DG531" s="205"/>
      <c r="DH531" s="205"/>
      <c r="DI531" s="205"/>
      <c r="DJ531" s="205"/>
      <c r="DK531" s="205"/>
      <c r="DL531" s="205"/>
      <c r="DM531" s="205"/>
      <c r="DN531" s="205"/>
      <c r="DO531" s="205"/>
      <c r="DP531" s="205"/>
      <c r="DQ531" s="205"/>
      <c r="DR531" s="205"/>
      <c r="DS531" s="205"/>
      <c r="DT531" s="205"/>
      <c r="DU531" s="205"/>
      <c r="DV531" s="205"/>
      <c r="DW531" s="205"/>
      <c r="DX531" s="205"/>
      <c r="DY531" s="205"/>
      <c r="DZ531" s="205"/>
      <c r="EA531" s="205"/>
      <c r="EB531" s="205"/>
      <c r="EC531" s="205"/>
      <c r="ED531" s="205"/>
      <c r="EE531" s="205"/>
      <c r="EF531" s="205"/>
      <c r="EG531" s="205"/>
      <c r="EH531" s="205"/>
      <c r="EI531" s="205"/>
      <c r="EJ531" s="205"/>
      <c r="EK531" s="205"/>
      <c r="EL531" s="205"/>
      <c r="EM531" s="205"/>
      <c r="EN531" s="205"/>
      <c r="EO531" s="205"/>
      <c r="EP531" s="205"/>
      <c r="EQ531" s="205"/>
      <c r="ER531" s="205"/>
      <c r="ES531" s="205"/>
      <c r="ET531" s="205"/>
      <c r="EU531" s="205"/>
      <c r="EV531" s="205"/>
      <c r="EW531" s="205"/>
      <c r="EX531" s="205"/>
      <c r="EY531" s="205"/>
      <c r="EZ531" s="205"/>
      <c r="FA531" s="205"/>
      <c r="FB531" s="205"/>
      <c r="FC531" s="205"/>
      <c r="FD531" s="205"/>
      <c r="FE531" s="205"/>
      <c r="FF531" s="205"/>
      <c r="FG531" s="205"/>
      <c r="FH531" s="205"/>
      <c r="FI531" s="205"/>
      <c r="FJ531" s="205"/>
      <c r="FK531" s="205"/>
      <c r="FL531" s="205"/>
      <c r="FM531" s="205"/>
      <c r="FN531" s="205"/>
      <c r="FO531" s="205"/>
      <c r="FP531" s="205"/>
      <c r="FQ531" s="205"/>
      <c r="FR531" s="205"/>
      <c r="FS531" s="205"/>
      <c r="FT531" s="205"/>
      <c r="FU531" s="205"/>
      <c r="FV531" s="205"/>
      <c r="FW531" s="205"/>
      <c r="FX531" s="205"/>
      <c r="FY531" s="205"/>
      <c r="FZ531" s="205"/>
      <c r="GA531" s="205"/>
      <c r="GB531" s="205"/>
      <c r="GC531" s="205"/>
      <c r="GD531" s="205"/>
      <c r="GE531" s="205"/>
      <c r="GF531" s="205"/>
      <c r="GG531" s="205"/>
      <c r="GH531" s="205"/>
      <c r="GI531" s="205"/>
      <c r="GJ531" s="205"/>
      <c r="GK531" s="205"/>
      <c r="GL531" s="205"/>
      <c r="GM531" s="205"/>
      <c r="GN531" s="205"/>
      <c r="GO531" s="205"/>
      <c r="GP531" s="205"/>
      <c r="GQ531" s="205"/>
      <c r="GR531" s="205"/>
      <c r="GS531" s="205"/>
      <c r="GT531" s="205"/>
      <c r="GU531" s="205"/>
      <c r="GV531" s="205"/>
      <c r="GW531" s="205"/>
      <c r="GX531" s="205"/>
      <c r="GY531" s="205"/>
      <c r="GZ531" s="205"/>
      <c r="HA531" s="205"/>
      <c r="HB531" s="205"/>
      <c r="HC531" s="205"/>
      <c r="HD531" s="205"/>
      <c r="HE531" s="205"/>
      <c r="HF531" s="205"/>
      <c r="HG531" s="205"/>
      <c r="HH531" s="205"/>
      <c r="HI531" s="205"/>
      <c r="HJ531" s="205"/>
      <c r="HK531" s="205"/>
      <c r="HL531" s="205"/>
      <c r="HM531" s="205"/>
      <c r="HN531" s="205"/>
      <c r="HO531" s="205"/>
      <c r="HP531" s="205"/>
      <c r="HQ531" s="205"/>
      <c r="HR531" s="205"/>
      <c r="HS531" s="205"/>
      <c r="HT531" s="205"/>
      <c r="HU531" s="205"/>
      <c r="HV531" s="205"/>
      <c r="HW531" s="205"/>
      <c r="HX531" s="205"/>
      <c r="HY531" s="205"/>
      <c r="HZ531" s="205"/>
      <c r="IA531" s="205"/>
      <c r="IB531" s="205"/>
      <c r="IC531" s="205"/>
      <c r="ID531" s="205"/>
      <c r="IE531" s="205"/>
      <c r="IF531" s="205"/>
      <c r="IG531" s="205"/>
      <c r="IH531" s="205"/>
      <c r="II531" s="205"/>
      <c r="IJ531" s="205"/>
      <c r="IK531" s="205"/>
      <c r="IL531" s="205"/>
      <c r="IM531" s="205"/>
      <c r="IN531" s="205"/>
      <c r="IO531" s="205"/>
      <c r="IP531" s="205"/>
      <c r="IQ531" s="205"/>
      <c r="IR531" s="205"/>
      <c r="IS531" s="205"/>
      <c r="IT531" s="205"/>
      <c r="IU531" s="205"/>
      <c r="IV531" s="205"/>
      <c r="IW531" s="205"/>
      <c r="IX531" s="205"/>
    </row>
    <row r="532" spans="1:258" s="203" customFormat="1" x14ac:dyDescent="0.2">
      <c r="A532" s="669"/>
      <c r="B532" s="670">
        <f>RAB!B173</f>
        <v>3</v>
      </c>
      <c r="C532" s="686" t="str">
        <f>RAB!D173</f>
        <v>Memasang wastafel lengkap sifon stainless</v>
      </c>
      <c r="D532" s="672"/>
      <c r="E532" s="673"/>
      <c r="F532" s="673"/>
      <c r="G532" s="674"/>
      <c r="H532" s="675">
        <v>2</v>
      </c>
      <c r="I532" s="676"/>
      <c r="J532" s="676"/>
      <c r="K532" s="676"/>
      <c r="L532" s="676"/>
      <c r="M532" s="676"/>
      <c r="N532" s="676"/>
      <c r="O532" s="676"/>
      <c r="P532" s="676"/>
      <c r="Q532" s="676" t="s">
        <v>696</v>
      </c>
      <c r="R532" s="677">
        <f t="shared" si="179"/>
        <v>2</v>
      </c>
      <c r="S532" s="678">
        <f t="shared" si="180"/>
        <v>2</v>
      </c>
      <c r="T532" s="684" t="s">
        <v>268</v>
      </c>
      <c r="U532" s="205"/>
      <c r="V532" s="685"/>
      <c r="W532" s="205"/>
      <c r="X532" s="205"/>
      <c r="Y532" s="205"/>
      <c r="Z532" s="205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205"/>
      <c r="BN532" s="205"/>
      <c r="BO532" s="205"/>
      <c r="BP532" s="205"/>
      <c r="BQ532" s="205"/>
      <c r="BR532" s="205"/>
      <c r="BS532" s="205"/>
      <c r="BT532" s="205"/>
      <c r="BU532" s="205"/>
      <c r="BV532" s="205"/>
      <c r="BW532" s="205"/>
      <c r="BX532" s="205"/>
      <c r="BY532" s="205"/>
      <c r="BZ532" s="205"/>
      <c r="CA532" s="205"/>
      <c r="CB532" s="205"/>
      <c r="CC532" s="205"/>
      <c r="CD532" s="205"/>
      <c r="CE532" s="205"/>
      <c r="CF532" s="205"/>
      <c r="CG532" s="205"/>
      <c r="CH532" s="205"/>
      <c r="CI532" s="205"/>
      <c r="CJ532" s="205"/>
      <c r="CK532" s="205"/>
      <c r="CL532" s="205"/>
      <c r="CM532" s="205"/>
      <c r="CN532" s="205"/>
      <c r="CO532" s="205"/>
      <c r="CP532" s="205"/>
      <c r="CQ532" s="205"/>
      <c r="CR532" s="205"/>
      <c r="CS532" s="205"/>
      <c r="CT532" s="205"/>
      <c r="CU532" s="205"/>
      <c r="CV532" s="205"/>
      <c r="CW532" s="205"/>
      <c r="CX532" s="205"/>
      <c r="CY532" s="205"/>
      <c r="CZ532" s="205"/>
      <c r="DA532" s="205"/>
      <c r="DB532" s="205"/>
      <c r="DC532" s="205"/>
      <c r="DD532" s="205"/>
      <c r="DE532" s="205"/>
      <c r="DF532" s="205"/>
      <c r="DG532" s="205"/>
      <c r="DH532" s="205"/>
      <c r="DI532" s="205"/>
      <c r="DJ532" s="205"/>
      <c r="DK532" s="205"/>
      <c r="DL532" s="205"/>
      <c r="DM532" s="205"/>
      <c r="DN532" s="205"/>
      <c r="DO532" s="205"/>
      <c r="DP532" s="205"/>
      <c r="DQ532" s="205"/>
      <c r="DR532" s="205"/>
      <c r="DS532" s="205"/>
      <c r="DT532" s="205"/>
      <c r="DU532" s="205"/>
      <c r="DV532" s="205"/>
      <c r="DW532" s="205"/>
      <c r="DX532" s="205"/>
      <c r="DY532" s="205"/>
      <c r="DZ532" s="205"/>
      <c r="EA532" s="205"/>
      <c r="EB532" s="205"/>
      <c r="EC532" s="205"/>
      <c r="ED532" s="205"/>
      <c r="EE532" s="205"/>
      <c r="EF532" s="205"/>
      <c r="EG532" s="205"/>
      <c r="EH532" s="205"/>
      <c r="EI532" s="205"/>
      <c r="EJ532" s="205"/>
      <c r="EK532" s="205"/>
      <c r="EL532" s="205"/>
      <c r="EM532" s="205"/>
      <c r="EN532" s="205"/>
      <c r="EO532" s="205"/>
      <c r="EP532" s="205"/>
      <c r="EQ532" s="205"/>
      <c r="ER532" s="205"/>
      <c r="ES532" s="205"/>
      <c r="ET532" s="205"/>
      <c r="EU532" s="205"/>
      <c r="EV532" s="205"/>
      <c r="EW532" s="205"/>
      <c r="EX532" s="205"/>
      <c r="EY532" s="205"/>
      <c r="EZ532" s="205"/>
      <c r="FA532" s="205"/>
      <c r="FB532" s="205"/>
      <c r="FC532" s="205"/>
      <c r="FD532" s="205"/>
      <c r="FE532" s="205"/>
      <c r="FF532" s="205"/>
      <c r="FG532" s="205"/>
      <c r="FH532" s="205"/>
      <c r="FI532" s="205"/>
      <c r="FJ532" s="205"/>
      <c r="FK532" s="205"/>
      <c r="FL532" s="205"/>
      <c r="FM532" s="205"/>
      <c r="FN532" s="205"/>
      <c r="FO532" s="205"/>
      <c r="FP532" s="205"/>
      <c r="FQ532" s="205"/>
      <c r="FR532" s="205"/>
      <c r="FS532" s="205"/>
      <c r="FT532" s="205"/>
      <c r="FU532" s="205"/>
      <c r="FV532" s="205"/>
      <c r="FW532" s="205"/>
      <c r="FX532" s="205"/>
      <c r="FY532" s="205"/>
      <c r="FZ532" s="205"/>
      <c r="GA532" s="205"/>
      <c r="GB532" s="205"/>
      <c r="GC532" s="205"/>
      <c r="GD532" s="205"/>
      <c r="GE532" s="205"/>
      <c r="GF532" s="205"/>
      <c r="GG532" s="205"/>
      <c r="GH532" s="205"/>
      <c r="GI532" s="205"/>
      <c r="GJ532" s="205"/>
      <c r="GK532" s="205"/>
      <c r="GL532" s="205"/>
      <c r="GM532" s="205"/>
      <c r="GN532" s="205"/>
      <c r="GO532" s="205"/>
      <c r="GP532" s="205"/>
      <c r="GQ532" s="205"/>
      <c r="GR532" s="205"/>
      <c r="GS532" s="205"/>
      <c r="GT532" s="205"/>
      <c r="GU532" s="205"/>
      <c r="GV532" s="205"/>
      <c r="GW532" s="205"/>
      <c r="GX532" s="205"/>
      <c r="GY532" s="205"/>
      <c r="GZ532" s="205"/>
      <c r="HA532" s="205"/>
      <c r="HB532" s="205"/>
      <c r="HC532" s="205"/>
      <c r="HD532" s="205"/>
      <c r="HE532" s="205"/>
      <c r="HF532" s="205"/>
      <c r="HG532" s="205"/>
      <c r="HH532" s="205"/>
      <c r="HI532" s="205"/>
      <c r="HJ532" s="205"/>
      <c r="HK532" s="205"/>
      <c r="HL532" s="205"/>
      <c r="HM532" s="205"/>
      <c r="HN532" s="205"/>
      <c r="HO532" s="205"/>
      <c r="HP532" s="205"/>
      <c r="HQ532" s="205"/>
      <c r="HR532" s="205"/>
      <c r="HS532" s="205"/>
      <c r="HT532" s="205"/>
      <c r="HU532" s="205"/>
      <c r="HV532" s="205"/>
      <c r="HW532" s="205"/>
      <c r="HX532" s="205"/>
      <c r="HY532" s="205"/>
      <c r="HZ532" s="205"/>
      <c r="IA532" s="205"/>
      <c r="IB532" s="205"/>
      <c r="IC532" s="205"/>
      <c r="ID532" s="205"/>
      <c r="IE532" s="205"/>
      <c r="IF532" s="205"/>
      <c r="IG532" s="205"/>
      <c r="IH532" s="205"/>
      <c r="II532" s="205"/>
      <c r="IJ532" s="205"/>
      <c r="IK532" s="205"/>
      <c r="IL532" s="205"/>
      <c r="IM532" s="205"/>
      <c r="IN532" s="205"/>
      <c r="IO532" s="205"/>
      <c r="IP532" s="205"/>
      <c r="IQ532" s="205"/>
      <c r="IR532" s="205"/>
      <c r="IS532" s="205"/>
      <c r="IT532" s="205"/>
      <c r="IU532" s="205"/>
      <c r="IV532" s="205"/>
      <c r="IW532" s="205"/>
      <c r="IX532" s="205"/>
    </row>
    <row r="533" spans="1:258" s="203" customFormat="1" x14ac:dyDescent="0.2">
      <c r="A533" s="669"/>
      <c r="B533" s="670">
        <f>RAB!B174</f>
        <v>4</v>
      </c>
      <c r="C533" s="686" t="str">
        <f>RAB!D174</f>
        <v>Memasang pipa PVC tipe AW diameter 3/4"</v>
      </c>
      <c r="D533" s="672"/>
      <c r="E533" s="673"/>
      <c r="F533" s="673"/>
      <c r="G533" s="674"/>
      <c r="H533" s="675">
        <f>10+17+(1.5*5)+17+3+5+8</f>
        <v>67.5</v>
      </c>
      <c r="I533" s="676"/>
      <c r="J533" s="676"/>
      <c r="K533" s="676"/>
      <c r="L533" s="676"/>
      <c r="M533" s="676"/>
      <c r="N533" s="676"/>
      <c r="O533" s="676"/>
      <c r="P533" s="676"/>
      <c r="Q533" s="676" t="s">
        <v>696</v>
      </c>
      <c r="R533" s="677">
        <f t="shared" si="179"/>
        <v>67.5</v>
      </c>
      <c r="S533" s="678">
        <f t="shared" si="180"/>
        <v>67.5</v>
      </c>
      <c r="T533" s="684" t="s">
        <v>247</v>
      </c>
      <c r="U533" s="205"/>
      <c r="V533" s="685"/>
      <c r="W533" s="205"/>
      <c r="X533" s="205"/>
      <c r="Y533" s="205"/>
      <c r="Z533" s="205"/>
      <c r="AA533" s="205"/>
      <c r="AB533" s="205"/>
      <c r="AC533" s="205"/>
      <c r="AD533" s="205"/>
      <c r="AE533" s="205"/>
      <c r="AF533" s="205"/>
      <c r="AG533" s="205"/>
      <c r="AH533" s="205"/>
      <c r="AI533" s="205"/>
      <c r="AJ533" s="205"/>
      <c r="AK533" s="205"/>
      <c r="AL533" s="205"/>
      <c r="AM533" s="205"/>
      <c r="AN533" s="205"/>
      <c r="AO533" s="205"/>
      <c r="AP533" s="205"/>
      <c r="AQ533" s="205"/>
      <c r="AR533" s="205"/>
      <c r="AS533" s="205"/>
      <c r="AT533" s="205"/>
      <c r="AU533" s="205"/>
      <c r="AV533" s="205"/>
      <c r="AW533" s="205"/>
      <c r="AX533" s="205"/>
      <c r="AY533" s="205"/>
      <c r="AZ533" s="205"/>
      <c r="BA533" s="205"/>
      <c r="BB533" s="205"/>
      <c r="BC533" s="205"/>
      <c r="BD533" s="205"/>
      <c r="BE533" s="205"/>
      <c r="BF533" s="205"/>
      <c r="BG533" s="205"/>
      <c r="BH533" s="205"/>
      <c r="BI533" s="205"/>
      <c r="BJ533" s="205"/>
      <c r="BK533" s="205"/>
      <c r="BL533" s="205"/>
      <c r="BM533" s="205"/>
      <c r="BN533" s="205"/>
      <c r="BO533" s="205"/>
      <c r="BP533" s="205"/>
      <c r="BQ533" s="205"/>
      <c r="BR533" s="205"/>
      <c r="BS533" s="205"/>
      <c r="BT533" s="205"/>
      <c r="BU533" s="205"/>
      <c r="BV533" s="205"/>
      <c r="BW533" s="205"/>
      <c r="BX533" s="205"/>
      <c r="BY533" s="205"/>
      <c r="BZ533" s="205"/>
      <c r="CA533" s="205"/>
      <c r="CB533" s="205"/>
      <c r="CC533" s="205"/>
      <c r="CD533" s="205"/>
      <c r="CE533" s="205"/>
      <c r="CF533" s="205"/>
      <c r="CG533" s="205"/>
      <c r="CH533" s="205"/>
      <c r="CI533" s="205"/>
      <c r="CJ533" s="205"/>
      <c r="CK533" s="205"/>
      <c r="CL533" s="205"/>
      <c r="CM533" s="205"/>
      <c r="CN533" s="205"/>
      <c r="CO533" s="205"/>
      <c r="CP533" s="205"/>
      <c r="CQ533" s="205"/>
      <c r="CR533" s="205"/>
      <c r="CS533" s="205"/>
      <c r="CT533" s="205"/>
      <c r="CU533" s="205"/>
      <c r="CV533" s="205"/>
      <c r="CW533" s="205"/>
      <c r="CX533" s="205"/>
      <c r="CY533" s="205"/>
      <c r="CZ533" s="205"/>
      <c r="DA533" s="205"/>
      <c r="DB533" s="205"/>
      <c r="DC533" s="205"/>
      <c r="DD533" s="205"/>
      <c r="DE533" s="205"/>
      <c r="DF533" s="205"/>
      <c r="DG533" s="205"/>
      <c r="DH533" s="205"/>
      <c r="DI533" s="205"/>
      <c r="DJ533" s="205"/>
      <c r="DK533" s="205"/>
      <c r="DL533" s="205"/>
      <c r="DM533" s="205"/>
      <c r="DN533" s="205"/>
      <c r="DO533" s="205"/>
      <c r="DP533" s="205"/>
      <c r="DQ533" s="205"/>
      <c r="DR533" s="205"/>
      <c r="DS533" s="205"/>
      <c r="DT533" s="205"/>
      <c r="DU533" s="205"/>
      <c r="DV533" s="205"/>
      <c r="DW533" s="205"/>
      <c r="DX533" s="205"/>
      <c r="DY533" s="205"/>
      <c r="DZ533" s="205"/>
      <c r="EA533" s="205"/>
      <c r="EB533" s="205"/>
      <c r="EC533" s="205"/>
      <c r="ED533" s="205"/>
      <c r="EE533" s="205"/>
      <c r="EF533" s="205"/>
      <c r="EG533" s="205"/>
      <c r="EH533" s="205"/>
      <c r="EI533" s="205"/>
      <c r="EJ533" s="205"/>
      <c r="EK533" s="205"/>
      <c r="EL533" s="205"/>
      <c r="EM533" s="205"/>
      <c r="EN533" s="205"/>
      <c r="EO533" s="205"/>
      <c r="EP533" s="205"/>
      <c r="EQ533" s="205"/>
      <c r="ER533" s="205"/>
      <c r="ES533" s="205"/>
      <c r="ET533" s="205"/>
      <c r="EU533" s="205"/>
      <c r="EV533" s="205"/>
      <c r="EW533" s="205"/>
      <c r="EX533" s="205"/>
      <c r="EY533" s="205"/>
      <c r="EZ533" s="205"/>
      <c r="FA533" s="205"/>
      <c r="FB533" s="205"/>
      <c r="FC533" s="205"/>
      <c r="FD533" s="205"/>
      <c r="FE533" s="205"/>
      <c r="FF533" s="205"/>
      <c r="FG533" s="205"/>
      <c r="FH533" s="205"/>
      <c r="FI533" s="205"/>
      <c r="FJ533" s="205"/>
      <c r="FK533" s="205"/>
      <c r="FL533" s="205"/>
      <c r="FM533" s="205"/>
      <c r="FN533" s="205"/>
      <c r="FO533" s="205"/>
      <c r="FP533" s="205"/>
      <c r="FQ533" s="205"/>
      <c r="FR533" s="205"/>
      <c r="FS533" s="205"/>
      <c r="FT533" s="205"/>
      <c r="FU533" s="205"/>
      <c r="FV533" s="205"/>
      <c r="FW533" s="205"/>
      <c r="FX533" s="205"/>
      <c r="FY533" s="205"/>
      <c r="FZ533" s="205"/>
      <c r="GA533" s="205"/>
      <c r="GB533" s="205"/>
      <c r="GC533" s="205"/>
      <c r="GD533" s="205"/>
      <c r="GE533" s="205"/>
      <c r="GF533" s="205"/>
      <c r="GG533" s="205"/>
      <c r="GH533" s="205"/>
      <c r="GI533" s="205"/>
      <c r="GJ533" s="205"/>
      <c r="GK533" s="205"/>
      <c r="GL533" s="205"/>
      <c r="GM533" s="205"/>
      <c r="GN533" s="205"/>
      <c r="GO533" s="205"/>
      <c r="GP533" s="205"/>
      <c r="GQ533" s="205"/>
      <c r="GR533" s="205"/>
      <c r="GS533" s="205"/>
      <c r="GT533" s="205"/>
      <c r="GU533" s="205"/>
      <c r="GV533" s="205"/>
      <c r="GW533" s="205"/>
      <c r="GX533" s="205"/>
      <c r="GY533" s="205"/>
      <c r="GZ533" s="205"/>
      <c r="HA533" s="205"/>
      <c r="HB533" s="205"/>
      <c r="HC533" s="205"/>
      <c r="HD533" s="205"/>
      <c r="HE533" s="205"/>
      <c r="HF533" s="205"/>
      <c r="HG533" s="205"/>
      <c r="HH533" s="205"/>
      <c r="HI533" s="205"/>
      <c r="HJ533" s="205"/>
      <c r="HK533" s="205"/>
      <c r="HL533" s="205"/>
      <c r="HM533" s="205"/>
      <c r="HN533" s="205"/>
      <c r="HO533" s="205"/>
      <c r="HP533" s="205"/>
      <c r="HQ533" s="205"/>
      <c r="HR533" s="205"/>
      <c r="HS533" s="205"/>
      <c r="HT533" s="205"/>
      <c r="HU533" s="205"/>
      <c r="HV533" s="205"/>
      <c r="HW533" s="205"/>
      <c r="HX533" s="205"/>
      <c r="HY533" s="205"/>
      <c r="HZ533" s="205"/>
      <c r="IA533" s="205"/>
      <c r="IB533" s="205"/>
      <c r="IC533" s="205"/>
      <c r="ID533" s="205"/>
      <c r="IE533" s="205"/>
      <c r="IF533" s="205"/>
      <c r="IG533" s="205"/>
      <c r="IH533" s="205"/>
      <c r="II533" s="205"/>
      <c r="IJ533" s="205"/>
      <c r="IK533" s="205"/>
      <c r="IL533" s="205"/>
      <c r="IM533" s="205"/>
      <c r="IN533" s="205"/>
      <c r="IO533" s="205"/>
      <c r="IP533" s="205"/>
      <c r="IQ533" s="205"/>
      <c r="IR533" s="205"/>
      <c r="IS533" s="205"/>
      <c r="IT533" s="205"/>
      <c r="IU533" s="205"/>
      <c r="IV533" s="205"/>
      <c r="IW533" s="205"/>
      <c r="IX533" s="205"/>
    </row>
    <row r="534" spans="1:258" s="203" customFormat="1" x14ac:dyDescent="0.2">
      <c r="A534" s="669"/>
      <c r="B534" s="670">
        <f>RAB!B175</f>
        <v>5</v>
      </c>
      <c r="C534" s="686" t="str">
        <f>RAB!D175</f>
        <v>Memasang pipa PVC tipe AW diameter 3"</v>
      </c>
      <c r="D534" s="672"/>
      <c r="E534" s="673"/>
      <c r="F534" s="673"/>
      <c r="G534" s="674"/>
      <c r="H534" s="675">
        <f>6+20+24+(4*3)+(2*4)</f>
        <v>70</v>
      </c>
      <c r="I534" s="676"/>
      <c r="J534" s="676"/>
      <c r="K534" s="676"/>
      <c r="L534" s="676"/>
      <c r="M534" s="676"/>
      <c r="N534" s="676"/>
      <c r="O534" s="676"/>
      <c r="P534" s="676"/>
      <c r="Q534" s="676" t="s">
        <v>696</v>
      </c>
      <c r="R534" s="677">
        <f t="shared" si="179"/>
        <v>70</v>
      </c>
      <c r="S534" s="678">
        <f t="shared" si="180"/>
        <v>70</v>
      </c>
      <c r="T534" s="684" t="s">
        <v>247</v>
      </c>
      <c r="U534" s="205"/>
      <c r="V534" s="685"/>
      <c r="W534" s="205"/>
      <c r="X534" s="205"/>
      <c r="Y534" s="205"/>
      <c r="Z534" s="205"/>
      <c r="AA534" s="205"/>
      <c r="AB534" s="205"/>
      <c r="AC534" s="205"/>
      <c r="AD534" s="205"/>
      <c r="AE534" s="205"/>
      <c r="AF534" s="205"/>
      <c r="AG534" s="205"/>
      <c r="AH534" s="205"/>
      <c r="AI534" s="205"/>
      <c r="AJ534" s="205"/>
      <c r="AK534" s="205"/>
      <c r="AL534" s="205"/>
      <c r="AM534" s="205"/>
      <c r="AN534" s="205"/>
      <c r="AO534" s="205"/>
      <c r="AP534" s="205"/>
      <c r="AQ534" s="205"/>
      <c r="AR534" s="205"/>
      <c r="AS534" s="205"/>
      <c r="AT534" s="205"/>
      <c r="AU534" s="205"/>
      <c r="AV534" s="205"/>
      <c r="AW534" s="205"/>
      <c r="AX534" s="205"/>
      <c r="AY534" s="205"/>
      <c r="AZ534" s="205"/>
      <c r="BA534" s="205"/>
      <c r="BB534" s="205"/>
      <c r="BC534" s="205"/>
      <c r="BD534" s="205"/>
      <c r="BE534" s="205"/>
      <c r="BF534" s="205"/>
      <c r="BG534" s="205"/>
      <c r="BH534" s="205"/>
      <c r="BI534" s="205"/>
      <c r="BJ534" s="205"/>
      <c r="BK534" s="205"/>
      <c r="BL534" s="205"/>
      <c r="BM534" s="205"/>
      <c r="BN534" s="205"/>
      <c r="BO534" s="205"/>
      <c r="BP534" s="205"/>
      <c r="BQ534" s="205"/>
      <c r="BR534" s="205"/>
      <c r="BS534" s="205"/>
      <c r="BT534" s="205"/>
      <c r="BU534" s="205"/>
      <c r="BV534" s="205"/>
      <c r="BW534" s="205"/>
      <c r="BX534" s="205"/>
      <c r="BY534" s="205"/>
      <c r="BZ534" s="205"/>
      <c r="CA534" s="205"/>
      <c r="CB534" s="205"/>
      <c r="CC534" s="205"/>
      <c r="CD534" s="205"/>
      <c r="CE534" s="205"/>
      <c r="CF534" s="205"/>
      <c r="CG534" s="205"/>
      <c r="CH534" s="205"/>
      <c r="CI534" s="205"/>
      <c r="CJ534" s="205"/>
      <c r="CK534" s="205"/>
      <c r="CL534" s="205"/>
      <c r="CM534" s="205"/>
      <c r="CN534" s="205"/>
      <c r="CO534" s="205"/>
      <c r="CP534" s="205"/>
      <c r="CQ534" s="205"/>
      <c r="CR534" s="205"/>
      <c r="CS534" s="205"/>
      <c r="CT534" s="205"/>
      <c r="CU534" s="205"/>
      <c r="CV534" s="205"/>
      <c r="CW534" s="205"/>
      <c r="CX534" s="205"/>
      <c r="CY534" s="205"/>
      <c r="CZ534" s="205"/>
      <c r="DA534" s="205"/>
      <c r="DB534" s="205"/>
      <c r="DC534" s="205"/>
      <c r="DD534" s="205"/>
      <c r="DE534" s="205"/>
      <c r="DF534" s="205"/>
      <c r="DG534" s="205"/>
      <c r="DH534" s="205"/>
      <c r="DI534" s="205"/>
      <c r="DJ534" s="205"/>
      <c r="DK534" s="205"/>
      <c r="DL534" s="205"/>
      <c r="DM534" s="205"/>
      <c r="DN534" s="205"/>
      <c r="DO534" s="205"/>
      <c r="DP534" s="205"/>
      <c r="DQ534" s="205"/>
      <c r="DR534" s="205"/>
      <c r="DS534" s="205"/>
      <c r="DT534" s="205"/>
      <c r="DU534" s="205"/>
      <c r="DV534" s="205"/>
      <c r="DW534" s="205"/>
      <c r="DX534" s="205"/>
      <c r="DY534" s="205"/>
      <c r="DZ534" s="205"/>
      <c r="EA534" s="205"/>
      <c r="EB534" s="205"/>
      <c r="EC534" s="205"/>
      <c r="ED534" s="205"/>
      <c r="EE534" s="205"/>
      <c r="EF534" s="205"/>
      <c r="EG534" s="205"/>
      <c r="EH534" s="205"/>
      <c r="EI534" s="205"/>
      <c r="EJ534" s="205"/>
      <c r="EK534" s="205"/>
      <c r="EL534" s="205"/>
      <c r="EM534" s="205"/>
      <c r="EN534" s="205"/>
      <c r="EO534" s="205"/>
      <c r="EP534" s="205"/>
      <c r="EQ534" s="205"/>
      <c r="ER534" s="205"/>
      <c r="ES534" s="205"/>
      <c r="ET534" s="205"/>
      <c r="EU534" s="205"/>
      <c r="EV534" s="205"/>
      <c r="EW534" s="205"/>
      <c r="EX534" s="205"/>
      <c r="EY534" s="205"/>
      <c r="EZ534" s="205"/>
      <c r="FA534" s="205"/>
      <c r="FB534" s="205"/>
      <c r="FC534" s="205"/>
      <c r="FD534" s="205"/>
      <c r="FE534" s="205"/>
      <c r="FF534" s="205"/>
      <c r="FG534" s="205"/>
      <c r="FH534" s="205"/>
      <c r="FI534" s="205"/>
      <c r="FJ534" s="205"/>
      <c r="FK534" s="205"/>
      <c r="FL534" s="205"/>
      <c r="FM534" s="205"/>
      <c r="FN534" s="205"/>
      <c r="FO534" s="205"/>
      <c r="FP534" s="205"/>
      <c r="FQ534" s="205"/>
      <c r="FR534" s="205"/>
      <c r="FS534" s="205"/>
      <c r="FT534" s="205"/>
      <c r="FU534" s="205"/>
      <c r="FV534" s="205"/>
      <c r="FW534" s="205"/>
      <c r="FX534" s="205"/>
      <c r="FY534" s="205"/>
      <c r="FZ534" s="205"/>
      <c r="GA534" s="205"/>
      <c r="GB534" s="205"/>
      <c r="GC534" s="205"/>
      <c r="GD534" s="205"/>
      <c r="GE534" s="205"/>
      <c r="GF534" s="205"/>
      <c r="GG534" s="205"/>
      <c r="GH534" s="205"/>
      <c r="GI534" s="205"/>
      <c r="GJ534" s="205"/>
      <c r="GK534" s="205"/>
      <c r="GL534" s="205"/>
      <c r="GM534" s="205"/>
      <c r="GN534" s="205"/>
      <c r="GO534" s="205"/>
      <c r="GP534" s="205"/>
      <c r="GQ534" s="205"/>
      <c r="GR534" s="205"/>
      <c r="GS534" s="205"/>
      <c r="GT534" s="205"/>
      <c r="GU534" s="205"/>
      <c r="GV534" s="205"/>
      <c r="GW534" s="205"/>
      <c r="GX534" s="205"/>
      <c r="GY534" s="205"/>
      <c r="GZ534" s="205"/>
      <c r="HA534" s="205"/>
      <c r="HB534" s="205"/>
      <c r="HC534" s="205"/>
      <c r="HD534" s="205"/>
      <c r="HE534" s="205"/>
      <c r="HF534" s="205"/>
      <c r="HG534" s="205"/>
      <c r="HH534" s="205"/>
      <c r="HI534" s="205"/>
      <c r="HJ534" s="205"/>
      <c r="HK534" s="205"/>
      <c r="HL534" s="205"/>
      <c r="HM534" s="205"/>
      <c r="HN534" s="205"/>
      <c r="HO534" s="205"/>
      <c r="HP534" s="205"/>
      <c r="HQ534" s="205"/>
      <c r="HR534" s="205"/>
      <c r="HS534" s="205"/>
      <c r="HT534" s="205"/>
      <c r="HU534" s="205"/>
      <c r="HV534" s="205"/>
      <c r="HW534" s="205"/>
      <c r="HX534" s="205"/>
      <c r="HY534" s="205"/>
      <c r="HZ534" s="205"/>
      <c r="IA534" s="205"/>
      <c r="IB534" s="205"/>
      <c r="IC534" s="205"/>
      <c r="ID534" s="205"/>
      <c r="IE534" s="205"/>
      <c r="IF534" s="205"/>
      <c r="IG534" s="205"/>
      <c r="IH534" s="205"/>
      <c r="II534" s="205"/>
      <c r="IJ534" s="205"/>
      <c r="IK534" s="205"/>
      <c r="IL534" s="205"/>
      <c r="IM534" s="205"/>
      <c r="IN534" s="205"/>
      <c r="IO534" s="205"/>
      <c r="IP534" s="205"/>
      <c r="IQ534" s="205"/>
      <c r="IR534" s="205"/>
      <c r="IS534" s="205"/>
      <c r="IT534" s="205"/>
      <c r="IU534" s="205"/>
      <c r="IV534" s="205"/>
      <c r="IW534" s="205"/>
      <c r="IX534" s="205"/>
    </row>
    <row r="535" spans="1:258" s="203" customFormat="1" x14ac:dyDescent="0.2">
      <c r="A535" s="669"/>
      <c r="B535" s="670">
        <f>RAB!B176</f>
        <v>6</v>
      </c>
      <c r="C535" s="686" t="str">
        <f>RAB!D176</f>
        <v>Memasang pipa PVC tipe D diameter 3"</v>
      </c>
      <c r="D535" s="672"/>
      <c r="E535" s="673"/>
      <c r="F535" s="673"/>
      <c r="G535" s="674"/>
      <c r="H535" s="675">
        <f>(5*4)+15+13</f>
        <v>48</v>
      </c>
      <c r="I535" s="676"/>
      <c r="J535" s="676"/>
      <c r="K535" s="676"/>
      <c r="L535" s="676"/>
      <c r="M535" s="676"/>
      <c r="N535" s="676"/>
      <c r="O535" s="676"/>
      <c r="P535" s="676"/>
      <c r="Q535" s="676" t="s">
        <v>696</v>
      </c>
      <c r="R535" s="677">
        <f t="shared" si="179"/>
        <v>48</v>
      </c>
      <c r="S535" s="678">
        <f t="shared" si="180"/>
        <v>48</v>
      </c>
      <c r="T535" s="684" t="s">
        <v>247</v>
      </c>
      <c r="U535" s="205"/>
      <c r="V535" s="685"/>
      <c r="W535" s="205"/>
      <c r="X535" s="205"/>
      <c r="Y535" s="205"/>
      <c r="Z535" s="205"/>
      <c r="AA535" s="205"/>
      <c r="AB535" s="205"/>
      <c r="AC535" s="205"/>
      <c r="AD535" s="205"/>
      <c r="AE535" s="205"/>
      <c r="AF535" s="205"/>
      <c r="AG535" s="205"/>
      <c r="AH535" s="205"/>
      <c r="AI535" s="205"/>
      <c r="AJ535" s="205"/>
      <c r="AK535" s="205"/>
      <c r="AL535" s="205"/>
      <c r="AM535" s="205"/>
      <c r="AN535" s="205"/>
      <c r="AO535" s="205"/>
      <c r="AP535" s="205"/>
      <c r="AQ535" s="205"/>
      <c r="AR535" s="205"/>
      <c r="AS535" s="205"/>
      <c r="AT535" s="205"/>
      <c r="AU535" s="205"/>
      <c r="AV535" s="205"/>
      <c r="AW535" s="205"/>
      <c r="AX535" s="205"/>
      <c r="AY535" s="205"/>
      <c r="AZ535" s="205"/>
      <c r="BA535" s="205"/>
      <c r="BB535" s="205"/>
      <c r="BC535" s="205"/>
      <c r="BD535" s="205"/>
      <c r="BE535" s="205"/>
      <c r="BF535" s="205"/>
      <c r="BG535" s="205"/>
      <c r="BH535" s="205"/>
      <c r="BI535" s="205"/>
      <c r="BJ535" s="205"/>
      <c r="BK535" s="205"/>
      <c r="BL535" s="205"/>
      <c r="BM535" s="205"/>
      <c r="BN535" s="205"/>
      <c r="BO535" s="205"/>
      <c r="BP535" s="205"/>
      <c r="BQ535" s="205"/>
      <c r="BR535" s="205"/>
      <c r="BS535" s="205"/>
      <c r="BT535" s="205"/>
      <c r="BU535" s="205"/>
      <c r="BV535" s="205"/>
      <c r="BW535" s="205"/>
      <c r="BX535" s="205"/>
      <c r="BY535" s="205"/>
      <c r="BZ535" s="205"/>
      <c r="CA535" s="205"/>
      <c r="CB535" s="205"/>
      <c r="CC535" s="205"/>
      <c r="CD535" s="205"/>
      <c r="CE535" s="205"/>
      <c r="CF535" s="205"/>
      <c r="CG535" s="205"/>
      <c r="CH535" s="205"/>
      <c r="CI535" s="205"/>
      <c r="CJ535" s="205"/>
      <c r="CK535" s="205"/>
      <c r="CL535" s="205"/>
      <c r="CM535" s="205"/>
      <c r="CN535" s="205"/>
      <c r="CO535" s="205"/>
      <c r="CP535" s="205"/>
      <c r="CQ535" s="205"/>
      <c r="CR535" s="205"/>
      <c r="CS535" s="205"/>
      <c r="CT535" s="205"/>
      <c r="CU535" s="205"/>
      <c r="CV535" s="205"/>
      <c r="CW535" s="205"/>
      <c r="CX535" s="205"/>
      <c r="CY535" s="205"/>
      <c r="CZ535" s="205"/>
      <c r="DA535" s="205"/>
      <c r="DB535" s="205"/>
      <c r="DC535" s="205"/>
      <c r="DD535" s="205"/>
      <c r="DE535" s="205"/>
      <c r="DF535" s="205"/>
      <c r="DG535" s="205"/>
      <c r="DH535" s="205"/>
      <c r="DI535" s="205"/>
      <c r="DJ535" s="205"/>
      <c r="DK535" s="205"/>
      <c r="DL535" s="205"/>
      <c r="DM535" s="205"/>
      <c r="DN535" s="205"/>
      <c r="DO535" s="205"/>
      <c r="DP535" s="205"/>
      <c r="DQ535" s="205"/>
      <c r="DR535" s="205"/>
      <c r="DS535" s="205"/>
      <c r="DT535" s="205"/>
      <c r="DU535" s="205"/>
      <c r="DV535" s="205"/>
      <c r="DW535" s="205"/>
      <c r="DX535" s="205"/>
      <c r="DY535" s="205"/>
      <c r="DZ535" s="205"/>
      <c r="EA535" s="205"/>
      <c r="EB535" s="205"/>
      <c r="EC535" s="205"/>
      <c r="ED535" s="205"/>
      <c r="EE535" s="205"/>
      <c r="EF535" s="205"/>
      <c r="EG535" s="205"/>
      <c r="EH535" s="205"/>
      <c r="EI535" s="205"/>
      <c r="EJ535" s="205"/>
      <c r="EK535" s="205"/>
      <c r="EL535" s="205"/>
      <c r="EM535" s="205"/>
      <c r="EN535" s="205"/>
      <c r="EO535" s="205"/>
      <c r="EP535" s="205"/>
      <c r="EQ535" s="205"/>
      <c r="ER535" s="205"/>
      <c r="ES535" s="205"/>
      <c r="ET535" s="205"/>
      <c r="EU535" s="205"/>
      <c r="EV535" s="205"/>
      <c r="EW535" s="205"/>
      <c r="EX535" s="205"/>
      <c r="EY535" s="205"/>
      <c r="EZ535" s="205"/>
      <c r="FA535" s="205"/>
      <c r="FB535" s="205"/>
      <c r="FC535" s="205"/>
      <c r="FD535" s="205"/>
      <c r="FE535" s="205"/>
      <c r="FF535" s="205"/>
      <c r="FG535" s="205"/>
      <c r="FH535" s="205"/>
      <c r="FI535" s="205"/>
      <c r="FJ535" s="205"/>
      <c r="FK535" s="205"/>
      <c r="FL535" s="205"/>
      <c r="FM535" s="205"/>
      <c r="FN535" s="205"/>
      <c r="FO535" s="205"/>
      <c r="FP535" s="205"/>
      <c r="FQ535" s="205"/>
      <c r="FR535" s="205"/>
      <c r="FS535" s="205"/>
      <c r="FT535" s="205"/>
      <c r="FU535" s="205"/>
      <c r="FV535" s="205"/>
      <c r="FW535" s="205"/>
      <c r="FX535" s="205"/>
      <c r="FY535" s="205"/>
      <c r="FZ535" s="205"/>
      <c r="GA535" s="205"/>
      <c r="GB535" s="205"/>
      <c r="GC535" s="205"/>
      <c r="GD535" s="205"/>
      <c r="GE535" s="205"/>
      <c r="GF535" s="205"/>
      <c r="GG535" s="205"/>
      <c r="GH535" s="205"/>
      <c r="GI535" s="205"/>
      <c r="GJ535" s="205"/>
      <c r="GK535" s="205"/>
      <c r="GL535" s="205"/>
      <c r="GM535" s="205"/>
      <c r="GN535" s="205"/>
      <c r="GO535" s="205"/>
      <c r="GP535" s="205"/>
      <c r="GQ535" s="205"/>
      <c r="GR535" s="205"/>
      <c r="GS535" s="205"/>
      <c r="GT535" s="205"/>
      <c r="GU535" s="205"/>
      <c r="GV535" s="205"/>
      <c r="GW535" s="205"/>
      <c r="GX535" s="205"/>
      <c r="GY535" s="205"/>
      <c r="GZ535" s="205"/>
      <c r="HA535" s="205"/>
      <c r="HB535" s="205"/>
      <c r="HC535" s="205"/>
      <c r="HD535" s="205"/>
      <c r="HE535" s="205"/>
      <c r="HF535" s="205"/>
      <c r="HG535" s="205"/>
      <c r="HH535" s="205"/>
      <c r="HI535" s="205"/>
      <c r="HJ535" s="205"/>
      <c r="HK535" s="205"/>
      <c r="HL535" s="205"/>
      <c r="HM535" s="205"/>
      <c r="HN535" s="205"/>
      <c r="HO535" s="205"/>
      <c r="HP535" s="205"/>
      <c r="HQ535" s="205"/>
      <c r="HR535" s="205"/>
      <c r="HS535" s="205"/>
      <c r="HT535" s="205"/>
      <c r="HU535" s="205"/>
      <c r="HV535" s="205"/>
      <c r="HW535" s="205"/>
      <c r="HX535" s="205"/>
      <c r="HY535" s="205"/>
      <c r="HZ535" s="205"/>
      <c r="IA535" s="205"/>
      <c r="IB535" s="205"/>
      <c r="IC535" s="205"/>
      <c r="ID535" s="205"/>
      <c r="IE535" s="205"/>
      <c r="IF535" s="205"/>
      <c r="IG535" s="205"/>
      <c r="IH535" s="205"/>
      <c r="II535" s="205"/>
      <c r="IJ535" s="205"/>
      <c r="IK535" s="205"/>
      <c r="IL535" s="205"/>
      <c r="IM535" s="205"/>
      <c r="IN535" s="205"/>
      <c r="IO535" s="205"/>
      <c r="IP535" s="205"/>
      <c r="IQ535" s="205"/>
      <c r="IR535" s="205"/>
      <c r="IS535" s="205"/>
      <c r="IT535" s="205"/>
      <c r="IU535" s="205"/>
      <c r="IV535" s="205"/>
      <c r="IW535" s="205"/>
      <c r="IX535" s="205"/>
    </row>
    <row r="536" spans="1:258" s="203" customFormat="1" x14ac:dyDescent="0.2">
      <c r="A536" s="669"/>
      <c r="B536" s="670">
        <f>RAB!B177</f>
        <v>7</v>
      </c>
      <c r="C536" s="686" t="str">
        <f>RAB!D177</f>
        <v>Memasang pipa PVC tipe AW diameter 4"</v>
      </c>
      <c r="D536" s="672"/>
      <c r="E536" s="673"/>
      <c r="F536" s="673"/>
      <c r="G536" s="674"/>
      <c r="H536" s="675">
        <f>23+10+(4*6)</f>
        <v>57</v>
      </c>
      <c r="I536" s="676"/>
      <c r="J536" s="676"/>
      <c r="K536" s="676"/>
      <c r="L536" s="676"/>
      <c r="M536" s="676"/>
      <c r="N536" s="676"/>
      <c r="O536" s="676"/>
      <c r="P536" s="676"/>
      <c r="Q536" s="676" t="s">
        <v>696</v>
      </c>
      <c r="R536" s="677">
        <f t="shared" si="179"/>
        <v>57</v>
      </c>
      <c r="S536" s="678">
        <f t="shared" si="180"/>
        <v>57</v>
      </c>
      <c r="T536" s="684" t="s">
        <v>247</v>
      </c>
      <c r="U536" s="205"/>
      <c r="V536" s="685"/>
      <c r="W536" s="205"/>
      <c r="X536" s="205"/>
      <c r="Y536" s="205"/>
      <c r="Z536" s="205"/>
      <c r="AA536" s="205"/>
      <c r="AB536" s="205"/>
      <c r="AC536" s="205"/>
      <c r="AD536" s="205"/>
      <c r="AE536" s="205"/>
      <c r="AF536" s="205"/>
      <c r="AG536" s="205"/>
      <c r="AH536" s="205"/>
      <c r="AI536" s="205"/>
      <c r="AJ536" s="205"/>
      <c r="AK536" s="205"/>
      <c r="AL536" s="205"/>
      <c r="AM536" s="205"/>
      <c r="AN536" s="205"/>
      <c r="AO536" s="205"/>
      <c r="AP536" s="205"/>
      <c r="AQ536" s="205"/>
      <c r="AR536" s="205"/>
      <c r="AS536" s="205"/>
      <c r="AT536" s="205"/>
      <c r="AU536" s="205"/>
      <c r="AV536" s="205"/>
      <c r="AW536" s="205"/>
      <c r="AX536" s="205"/>
      <c r="AY536" s="205"/>
      <c r="AZ536" s="205"/>
      <c r="BA536" s="205"/>
      <c r="BB536" s="205"/>
      <c r="BC536" s="205"/>
      <c r="BD536" s="205"/>
      <c r="BE536" s="205"/>
      <c r="BF536" s="205"/>
      <c r="BG536" s="205"/>
      <c r="BH536" s="205"/>
      <c r="BI536" s="205"/>
      <c r="BJ536" s="205"/>
      <c r="BK536" s="205"/>
      <c r="BL536" s="205"/>
      <c r="BM536" s="205"/>
      <c r="BN536" s="205"/>
      <c r="BO536" s="205"/>
      <c r="BP536" s="205"/>
      <c r="BQ536" s="205"/>
      <c r="BR536" s="205"/>
      <c r="BS536" s="205"/>
      <c r="BT536" s="205"/>
      <c r="BU536" s="205"/>
      <c r="BV536" s="205"/>
      <c r="BW536" s="205"/>
      <c r="BX536" s="205"/>
      <c r="BY536" s="205"/>
      <c r="BZ536" s="205"/>
      <c r="CA536" s="205"/>
      <c r="CB536" s="205"/>
      <c r="CC536" s="205"/>
      <c r="CD536" s="205"/>
      <c r="CE536" s="205"/>
      <c r="CF536" s="205"/>
      <c r="CG536" s="205"/>
      <c r="CH536" s="205"/>
      <c r="CI536" s="205"/>
      <c r="CJ536" s="205"/>
      <c r="CK536" s="205"/>
      <c r="CL536" s="205"/>
      <c r="CM536" s="205"/>
      <c r="CN536" s="205"/>
      <c r="CO536" s="205"/>
      <c r="CP536" s="205"/>
      <c r="CQ536" s="205"/>
      <c r="CR536" s="205"/>
      <c r="CS536" s="205"/>
      <c r="CT536" s="205"/>
      <c r="CU536" s="205"/>
      <c r="CV536" s="205"/>
      <c r="CW536" s="205"/>
      <c r="CX536" s="205"/>
      <c r="CY536" s="205"/>
      <c r="CZ536" s="205"/>
      <c r="DA536" s="205"/>
      <c r="DB536" s="205"/>
      <c r="DC536" s="205"/>
      <c r="DD536" s="205"/>
      <c r="DE536" s="205"/>
      <c r="DF536" s="205"/>
      <c r="DG536" s="205"/>
      <c r="DH536" s="205"/>
      <c r="DI536" s="205"/>
      <c r="DJ536" s="205"/>
      <c r="DK536" s="205"/>
      <c r="DL536" s="205"/>
      <c r="DM536" s="205"/>
      <c r="DN536" s="205"/>
      <c r="DO536" s="205"/>
      <c r="DP536" s="205"/>
      <c r="DQ536" s="205"/>
      <c r="DR536" s="205"/>
      <c r="DS536" s="205"/>
      <c r="DT536" s="205"/>
      <c r="DU536" s="205"/>
      <c r="DV536" s="205"/>
      <c r="DW536" s="205"/>
      <c r="DX536" s="205"/>
      <c r="DY536" s="205"/>
      <c r="DZ536" s="205"/>
      <c r="EA536" s="205"/>
      <c r="EB536" s="205"/>
      <c r="EC536" s="205"/>
      <c r="ED536" s="205"/>
      <c r="EE536" s="205"/>
      <c r="EF536" s="205"/>
      <c r="EG536" s="205"/>
      <c r="EH536" s="205"/>
      <c r="EI536" s="205"/>
      <c r="EJ536" s="205"/>
      <c r="EK536" s="205"/>
      <c r="EL536" s="205"/>
      <c r="EM536" s="205"/>
      <c r="EN536" s="205"/>
      <c r="EO536" s="205"/>
      <c r="EP536" s="205"/>
      <c r="EQ536" s="205"/>
      <c r="ER536" s="205"/>
      <c r="ES536" s="205"/>
      <c r="ET536" s="205"/>
      <c r="EU536" s="205"/>
      <c r="EV536" s="205"/>
      <c r="EW536" s="205"/>
      <c r="EX536" s="205"/>
      <c r="EY536" s="205"/>
      <c r="EZ536" s="205"/>
      <c r="FA536" s="205"/>
      <c r="FB536" s="205"/>
      <c r="FC536" s="205"/>
      <c r="FD536" s="205"/>
      <c r="FE536" s="205"/>
      <c r="FF536" s="205"/>
      <c r="FG536" s="205"/>
      <c r="FH536" s="205"/>
      <c r="FI536" s="205"/>
      <c r="FJ536" s="205"/>
      <c r="FK536" s="205"/>
      <c r="FL536" s="205"/>
      <c r="FM536" s="205"/>
      <c r="FN536" s="205"/>
      <c r="FO536" s="205"/>
      <c r="FP536" s="205"/>
      <c r="FQ536" s="205"/>
      <c r="FR536" s="205"/>
      <c r="FS536" s="205"/>
      <c r="FT536" s="205"/>
      <c r="FU536" s="205"/>
      <c r="FV536" s="205"/>
      <c r="FW536" s="205"/>
      <c r="FX536" s="205"/>
      <c r="FY536" s="205"/>
      <c r="FZ536" s="205"/>
      <c r="GA536" s="205"/>
      <c r="GB536" s="205"/>
      <c r="GC536" s="205"/>
      <c r="GD536" s="205"/>
      <c r="GE536" s="205"/>
      <c r="GF536" s="205"/>
      <c r="GG536" s="205"/>
      <c r="GH536" s="205"/>
      <c r="GI536" s="205"/>
      <c r="GJ536" s="205"/>
      <c r="GK536" s="205"/>
      <c r="GL536" s="205"/>
      <c r="GM536" s="205"/>
      <c r="GN536" s="205"/>
      <c r="GO536" s="205"/>
      <c r="GP536" s="205"/>
      <c r="GQ536" s="205"/>
      <c r="GR536" s="205"/>
      <c r="GS536" s="205"/>
      <c r="GT536" s="205"/>
      <c r="GU536" s="205"/>
      <c r="GV536" s="205"/>
      <c r="GW536" s="205"/>
      <c r="GX536" s="205"/>
      <c r="GY536" s="205"/>
      <c r="GZ536" s="205"/>
      <c r="HA536" s="205"/>
      <c r="HB536" s="205"/>
      <c r="HC536" s="205"/>
      <c r="HD536" s="205"/>
      <c r="HE536" s="205"/>
      <c r="HF536" s="205"/>
      <c r="HG536" s="205"/>
      <c r="HH536" s="205"/>
      <c r="HI536" s="205"/>
      <c r="HJ536" s="205"/>
      <c r="HK536" s="205"/>
      <c r="HL536" s="205"/>
      <c r="HM536" s="205"/>
      <c r="HN536" s="205"/>
      <c r="HO536" s="205"/>
      <c r="HP536" s="205"/>
      <c r="HQ536" s="205"/>
      <c r="HR536" s="205"/>
      <c r="HS536" s="205"/>
      <c r="HT536" s="205"/>
      <c r="HU536" s="205"/>
      <c r="HV536" s="205"/>
      <c r="HW536" s="205"/>
      <c r="HX536" s="205"/>
      <c r="HY536" s="205"/>
      <c r="HZ536" s="205"/>
      <c r="IA536" s="205"/>
      <c r="IB536" s="205"/>
      <c r="IC536" s="205"/>
      <c r="ID536" s="205"/>
      <c r="IE536" s="205"/>
      <c r="IF536" s="205"/>
      <c r="IG536" s="205"/>
      <c r="IH536" s="205"/>
      <c r="II536" s="205"/>
      <c r="IJ536" s="205"/>
      <c r="IK536" s="205"/>
      <c r="IL536" s="205"/>
      <c r="IM536" s="205"/>
      <c r="IN536" s="205"/>
      <c r="IO536" s="205"/>
      <c r="IP536" s="205"/>
      <c r="IQ536" s="205"/>
      <c r="IR536" s="205"/>
      <c r="IS536" s="205"/>
      <c r="IT536" s="205"/>
      <c r="IU536" s="205"/>
      <c r="IV536" s="205"/>
      <c r="IW536" s="205"/>
      <c r="IX536" s="205"/>
    </row>
    <row r="537" spans="1:258" s="203" customFormat="1" x14ac:dyDescent="0.2">
      <c r="A537" s="669"/>
      <c r="B537" s="670">
        <f>RAB!B178</f>
        <v>8</v>
      </c>
      <c r="C537" s="686" t="str">
        <f>RAB!D178</f>
        <v>Memasang floor drain stainless</v>
      </c>
      <c r="D537" s="672"/>
      <c r="E537" s="673"/>
      <c r="F537" s="673"/>
      <c r="G537" s="674"/>
      <c r="H537" s="675">
        <v>12</v>
      </c>
      <c r="I537" s="676"/>
      <c r="J537" s="676"/>
      <c r="K537" s="676"/>
      <c r="L537" s="676"/>
      <c r="M537" s="676"/>
      <c r="N537" s="676"/>
      <c r="O537" s="676"/>
      <c r="P537" s="676"/>
      <c r="Q537" s="676" t="s">
        <v>696</v>
      </c>
      <c r="R537" s="677">
        <f t="shared" si="179"/>
        <v>12</v>
      </c>
      <c r="S537" s="678">
        <f t="shared" si="180"/>
        <v>12</v>
      </c>
      <c r="T537" s="684" t="s">
        <v>268</v>
      </c>
      <c r="U537" s="205"/>
      <c r="V537" s="685"/>
      <c r="W537" s="205"/>
      <c r="X537" s="205"/>
      <c r="Y537" s="205"/>
      <c r="Z537" s="205"/>
      <c r="AA537" s="205"/>
      <c r="AB537" s="205"/>
      <c r="AC537" s="205"/>
      <c r="AD537" s="205"/>
      <c r="AE537" s="205"/>
      <c r="AF537" s="205"/>
      <c r="AG537" s="205"/>
      <c r="AH537" s="205"/>
      <c r="AI537" s="205"/>
      <c r="AJ537" s="205"/>
      <c r="AK537" s="205"/>
      <c r="AL537" s="205"/>
      <c r="AM537" s="205"/>
      <c r="AN537" s="205"/>
      <c r="AO537" s="205"/>
      <c r="AP537" s="205"/>
      <c r="AQ537" s="205"/>
      <c r="AR537" s="205"/>
      <c r="AS537" s="205"/>
      <c r="AT537" s="205"/>
      <c r="AU537" s="205"/>
      <c r="AV537" s="205"/>
      <c r="AW537" s="205"/>
      <c r="AX537" s="205"/>
      <c r="AY537" s="205"/>
      <c r="AZ537" s="205"/>
      <c r="BA537" s="205"/>
      <c r="BB537" s="205"/>
      <c r="BC537" s="205"/>
      <c r="BD537" s="205"/>
      <c r="BE537" s="205"/>
      <c r="BF537" s="205"/>
      <c r="BG537" s="205"/>
      <c r="BH537" s="205"/>
      <c r="BI537" s="205"/>
      <c r="BJ537" s="205"/>
      <c r="BK537" s="205"/>
      <c r="BL537" s="205"/>
      <c r="BM537" s="205"/>
      <c r="BN537" s="205"/>
      <c r="BO537" s="205"/>
      <c r="BP537" s="205"/>
      <c r="BQ537" s="205"/>
      <c r="BR537" s="205"/>
      <c r="BS537" s="205"/>
      <c r="BT537" s="205"/>
      <c r="BU537" s="205"/>
      <c r="BV537" s="205"/>
      <c r="BW537" s="205"/>
      <c r="BX537" s="205"/>
      <c r="BY537" s="205"/>
      <c r="BZ537" s="205"/>
      <c r="CA537" s="205"/>
      <c r="CB537" s="205"/>
      <c r="CC537" s="205"/>
      <c r="CD537" s="205"/>
      <c r="CE537" s="205"/>
      <c r="CF537" s="205"/>
      <c r="CG537" s="205"/>
      <c r="CH537" s="205"/>
      <c r="CI537" s="205"/>
      <c r="CJ537" s="205"/>
      <c r="CK537" s="205"/>
      <c r="CL537" s="205"/>
      <c r="CM537" s="205"/>
      <c r="CN537" s="205"/>
      <c r="CO537" s="205"/>
      <c r="CP537" s="205"/>
      <c r="CQ537" s="205"/>
      <c r="CR537" s="205"/>
      <c r="CS537" s="205"/>
      <c r="CT537" s="205"/>
      <c r="CU537" s="205"/>
      <c r="CV537" s="205"/>
      <c r="CW537" s="205"/>
      <c r="CX537" s="205"/>
      <c r="CY537" s="205"/>
      <c r="CZ537" s="205"/>
      <c r="DA537" s="205"/>
      <c r="DB537" s="205"/>
      <c r="DC537" s="205"/>
      <c r="DD537" s="205"/>
      <c r="DE537" s="205"/>
      <c r="DF537" s="205"/>
      <c r="DG537" s="205"/>
      <c r="DH537" s="205"/>
      <c r="DI537" s="205"/>
      <c r="DJ537" s="205"/>
      <c r="DK537" s="205"/>
      <c r="DL537" s="205"/>
      <c r="DM537" s="205"/>
      <c r="DN537" s="205"/>
      <c r="DO537" s="205"/>
      <c r="DP537" s="205"/>
      <c r="DQ537" s="205"/>
      <c r="DR537" s="205"/>
      <c r="DS537" s="205"/>
      <c r="DT537" s="205"/>
      <c r="DU537" s="205"/>
      <c r="DV537" s="205"/>
      <c r="DW537" s="205"/>
      <c r="DX537" s="205"/>
      <c r="DY537" s="205"/>
      <c r="DZ537" s="205"/>
      <c r="EA537" s="205"/>
      <c r="EB537" s="205"/>
      <c r="EC537" s="205"/>
      <c r="ED537" s="205"/>
      <c r="EE537" s="205"/>
      <c r="EF537" s="205"/>
      <c r="EG537" s="205"/>
      <c r="EH537" s="205"/>
      <c r="EI537" s="205"/>
      <c r="EJ537" s="205"/>
      <c r="EK537" s="205"/>
      <c r="EL537" s="205"/>
      <c r="EM537" s="205"/>
      <c r="EN537" s="205"/>
      <c r="EO537" s="205"/>
      <c r="EP537" s="205"/>
      <c r="EQ537" s="205"/>
      <c r="ER537" s="205"/>
      <c r="ES537" s="205"/>
      <c r="ET537" s="205"/>
      <c r="EU537" s="205"/>
      <c r="EV537" s="205"/>
      <c r="EW537" s="205"/>
      <c r="EX537" s="205"/>
      <c r="EY537" s="205"/>
      <c r="EZ537" s="205"/>
      <c r="FA537" s="205"/>
      <c r="FB537" s="205"/>
      <c r="FC537" s="205"/>
      <c r="FD537" s="205"/>
      <c r="FE537" s="205"/>
      <c r="FF537" s="205"/>
      <c r="FG537" s="205"/>
      <c r="FH537" s="205"/>
      <c r="FI537" s="205"/>
      <c r="FJ537" s="205"/>
      <c r="FK537" s="205"/>
      <c r="FL537" s="205"/>
      <c r="FM537" s="205"/>
      <c r="FN537" s="205"/>
      <c r="FO537" s="205"/>
      <c r="FP537" s="205"/>
      <c r="FQ537" s="205"/>
      <c r="FR537" s="205"/>
      <c r="FS537" s="205"/>
      <c r="FT537" s="205"/>
      <c r="FU537" s="205"/>
      <c r="FV537" s="205"/>
      <c r="FW537" s="205"/>
      <c r="FX537" s="205"/>
      <c r="FY537" s="205"/>
      <c r="FZ537" s="205"/>
      <c r="GA537" s="205"/>
      <c r="GB537" s="205"/>
      <c r="GC537" s="205"/>
      <c r="GD537" s="205"/>
      <c r="GE537" s="205"/>
      <c r="GF537" s="205"/>
      <c r="GG537" s="205"/>
      <c r="GH537" s="205"/>
      <c r="GI537" s="205"/>
      <c r="GJ537" s="205"/>
      <c r="GK537" s="205"/>
      <c r="GL537" s="205"/>
      <c r="GM537" s="205"/>
      <c r="GN537" s="205"/>
      <c r="GO537" s="205"/>
      <c r="GP537" s="205"/>
      <c r="GQ537" s="205"/>
      <c r="GR537" s="205"/>
      <c r="GS537" s="205"/>
      <c r="GT537" s="205"/>
      <c r="GU537" s="205"/>
      <c r="GV537" s="205"/>
      <c r="GW537" s="205"/>
      <c r="GX537" s="205"/>
      <c r="GY537" s="205"/>
      <c r="GZ537" s="205"/>
      <c r="HA537" s="205"/>
      <c r="HB537" s="205"/>
      <c r="HC537" s="205"/>
      <c r="HD537" s="205"/>
      <c r="HE537" s="205"/>
      <c r="HF537" s="205"/>
      <c r="HG537" s="205"/>
      <c r="HH537" s="205"/>
      <c r="HI537" s="205"/>
      <c r="HJ537" s="205"/>
      <c r="HK537" s="205"/>
      <c r="HL537" s="205"/>
      <c r="HM537" s="205"/>
      <c r="HN537" s="205"/>
      <c r="HO537" s="205"/>
      <c r="HP537" s="205"/>
      <c r="HQ537" s="205"/>
      <c r="HR537" s="205"/>
      <c r="HS537" s="205"/>
      <c r="HT537" s="205"/>
      <c r="HU537" s="205"/>
      <c r="HV537" s="205"/>
      <c r="HW537" s="205"/>
      <c r="HX537" s="205"/>
      <c r="HY537" s="205"/>
      <c r="HZ537" s="205"/>
      <c r="IA537" s="205"/>
      <c r="IB537" s="205"/>
      <c r="IC537" s="205"/>
      <c r="ID537" s="205"/>
      <c r="IE537" s="205"/>
      <c r="IF537" s="205"/>
      <c r="IG537" s="205"/>
      <c r="IH537" s="205"/>
      <c r="II537" s="205"/>
      <c r="IJ537" s="205"/>
      <c r="IK537" s="205"/>
      <c r="IL537" s="205"/>
      <c r="IM537" s="205"/>
      <c r="IN537" s="205"/>
      <c r="IO537" s="205"/>
      <c r="IP537" s="205"/>
      <c r="IQ537" s="205"/>
      <c r="IR537" s="205"/>
      <c r="IS537" s="205"/>
      <c r="IT537" s="205"/>
      <c r="IU537" s="205"/>
      <c r="IV537" s="205"/>
      <c r="IW537" s="205"/>
      <c r="IX537" s="205"/>
    </row>
    <row r="538" spans="1:258" s="203" customFormat="1" x14ac:dyDescent="0.2">
      <c r="A538" s="669"/>
      <c r="B538" s="670">
        <f>RAB!B179</f>
        <v>9</v>
      </c>
      <c r="C538" s="686" t="str">
        <f>RAB!D179</f>
        <v>Memasang kran diameter 1/2", onda stainless</v>
      </c>
      <c r="D538" s="672"/>
      <c r="E538" s="673"/>
      <c r="F538" s="673"/>
      <c r="G538" s="674"/>
      <c r="H538" s="675">
        <v>11</v>
      </c>
      <c r="I538" s="676"/>
      <c r="J538" s="676"/>
      <c r="K538" s="676"/>
      <c r="L538" s="676"/>
      <c r="M538" s="676"/>
      <c r="N538" s="676"/>
      <c r="O538" s="676"/>
      <c r="P538" s="676"/>
      <c r="Q538" s="676" t="s">
        <v>696</v>
      </c>
      <c r="R538" s="677">
        <f t="shared" si="179"/>
        <v>11</v>
      </c>
      <c r="S538" s="678">
        <f t="shared" si="180"/>
        <v>11</v>
      </c>
      <c r="T538" s="684" t="s">
        <v>268</v>
      </c>
      <c r="U538" s="205"/>
      <c r="V538" s="685"/>
      <c r="W538" s="205"/>
      <c r="X538" s="205"/>
      <c r="Y538" s="205"/>
      <c r="Z538" s="205"/>
      <c r="AA538" s="205"/>
      <c r="AB538" s="205"/>
      <c r="AC538" s="205"/>
      <c r="AD538" s="205"/>
      <c r="AE538" s="205"/>
      <c r="AF538" s="205"/>
      <c r="AG538" s="205"/>
      <c r="AH538" s="205"/>
      <c r="AI538" s="205"/>
      <c r="AJ538" s="205"/>
      <c r="AK538" s="205"/>
      <c r="AL538" s="205"/>
      <c r="AM538" s="205"/>
      <c r="AN538" s="205"/>
      <c r="AO538" s="205"/>
      <c r="AP538" s="205"/>
      <c r="AQ538" s="205"/>
      <c r="AR538" s="205"/>
      <c r="AS538" s="205"/>
      <c r="AT538" s="205"/>
      <c r="AU538" s="205"/>
      <c r="AV538" s="205"/>
      <c r="AW538" s="205"/>
      <c r="AX538" s="205"/>
      <c r="AY538" s="205"/>
      <c r="AZ538" s="205"/>
      <c r="BA538" s="205"/>
      <c r="BB538" s="205"/>
      <c r="BC538" s="205"/>
      <c r="BD538" s="205"/>
      <c r="BE538" s="205"/>
      <c r="BF538" s="205"/>
      <c r="BG538" s="205"/>
      <c r="BH538" s="205"/>
      <c r="BI538" s="205"/>
      <c r="BJ538" s="205"/>
      <c r="BK538" s="205"/>
      <c r="BL538" s="205"/>
      <c r="BM538" s="205"/>
      <c r="BN538" s="205"/>
      <c r="BO538" s="205"/>
      <c r="BP538" s="205"/>
      <c r="BQ538" s="205"/>
      <c r="BR538" s="205"/>
      <c r="BS538" s="205"/>
      <c r="BT538" s="205"/>
      <c r="BU538" s="205"/>
      <c r="BV538" s="205"/>
      <c r="BW538" s="205"/>
      <c r="BX538" s="205"/>
      <c r="BY538" s="205"/>
      <c r="BZ538" s="205"/>
      <c r="CA538" s="205"/>
      <c r="CB538" s="205"/>
      <c r="CC538" s="205"/>
      <c r="CD538" s="205"/>
      <c r="CE538" s="205"/>
      <c r="CF538" s="205"/>
      <c r="CG538" s="205"/>
      <c r="CH538" s="205"/>
      <c r="CI538" s="205"/>
      <c r="CJ538" s="205"/>
      <c r="CK538" s="205"/>
      <c r="CL538" s="205"/>
      <c r="CM538" s="205"/>
      <c r="CN538" s="205"/>
      <c r="CO538" s="205"/>
      <c r="CP538" s="205"/>
      <c r="CQ538" s="205"/>
      <c r="CR538" s="205"/>
      <c r="CS538" s="205"/>
      <c r="CT538" s="205"/>
      <c r="CU538" s="205"/>
      <c r="CV538" s="205"/>
      <c r="CW538" s="205"/>
      <c r="CX538" s="205"/>
      <c r="CY538" s="205"/>
      <c r="CZ538" s="205"/>
      <c r="DA538" s="205"/>
      <c r="DB538" s="205"/>
      <c r="DC538" s="205"/>
      <c r="DD538" s="205"/>
      <c r="DE538" s="205"/>
      <c r="DF538" s="205"/>
      <c r="DG538" s="205"/>
      <c r="DH538" s="205"/>
      <c r="DI538" s="205"/>
      <c r="DJ538" s="205"/>
      <c r="DK538" s="205"/>
      <c r="DL538" s="205"/>
      <c r="DM538" s="205"/>
      <c r="DN538" s="205"/>
      <c r="DO538" s="205"/>
      <c r="DP538" s="205"/>
      <c r="DQ538" s="205"/>
      <c r="DR538" s="205"/>
      <c r="DS538" s="205"/>
      <c r="DT538" s="205"/>
      <c r="DU538" s="205"/>
      <c r="DV538" s="205"/>
      <c r="DW538" s="205"/>
      <c r="DX538" s="205"/>
      <c r="DY538" s="205"/>
      <c r="DZ538" s="205"/>
      <c r="EA538" s="205"/>
      <c r="EB538" s="205"/>
      <c r="EC538" s="205"/>
      <c r="ED538" s="205"/>
      <c r="EE538" s="205"/>
      <c r="EF538" s="205"/>
      <c r="EG538" s="205"/>
      <c r="EH538" s="205"/>
      <c r="EI538" s="205"/>
      <c r="EJ538" s="205"/>
      <c r="EK538" s="205"/>
      <c r="EL538" s="205"/>
      <c r="EM538" s="205"/>
      <c r="EN538" s="205"/>
      <c r="EO538" s="205"/>
      <c r="EP538" s="205"/>
      <c r="EQ538" s="205"/>
      <c r="ER538" s="205"/>
      <c r="ES538" s="205"/>
      <c r="ET538" s="205"/>
      <c r="EU538" s="205"/>
      <c r="EV538" s="205"/>
      <c r="EW538" s="205"/>
      <c r="EX538" s="205"/>
      <c r="EY538" s="205"/>
      <c r="EZ538" s="205"/>
      <c r="FA538" s="205"/>
      <c r="FB538" s="205"/>
      <c r="FC538" s="205"/>
      <c r="FD538" s="205"/>
      <c r="FE538" s="205"/>
      <c r="FF538" s="205"/>
      <c r="FG538" s="205"/>
      <c r="FH538" s="205"/>
      <c r="FI538" s="205"/>
      <c r="FJ538" s="205"/>
      <c r="FK538" s="205"/>
      <c r="FL538" s="205"/>
      <c r="FM538" s="205"/>
      <c r="FN538" s="205"/>
      <c r="FO538" s="205"/>
      <c r="FP538" s="205"/>
      <c r="FQ538" s="205"/>
      <c r="FR538" s="205"/>
      <c r="FS538" s="205"/>
      <c r="FT538" s="205"/>
      <c r="FU538" s="205"/>
      <c r="FV538" s="205"/>
      <c r="FW538" s="205"/>
      <c r="FX538" s="205"/>
      <c r="FY538" s="205"/>
      <c r="FZ538" s="205"/>
      <c r="GA538" s="205"/>
      <c r="GB538" s="205"/>
      <c r="GC538" s="205"/>
      <c r="GD538" s="205"/>
      <c r="GE538" s="205"/>
      <c r="GF538" s="205"/>
      <c r="GG538" s="205"/>
      <c r="GH538" s="205"/>
      <c r="GI538" s="205"/>
      <c r="GJ538" s="205"/>
      <c r="GK538" s="205"/>
      <c r="GL538" s="205"/>
      <c r="GM538" s="205"/>
      <c r="GN538" s="205"/>
      <c r="GO538" s="205"/>
      <c r="GP538" s="205"/>
      <c r="GQ538" s="205"/>
      <c r="GR538" s="205"/>
      <c r="GS538" s="205"/>
      <c r="GT538" s="205"/>
      <c r="GU538" s="205"/>
      <c r="GV538" s="205"/>
      <c r="GW538" s="205"/>
      <c r="GX538" s="205"/>
      <c r="GY538" s="205"/>
      <c r="GZ538" s="205"/>
      <c r="HA538" s="205"/>
      <c r="HB538" s="205"/>
      <c r="HC538" s="205"/>
      <c r="HD538" s="205"/>
      <c r="HE538" s="205"/>
      <c r="HF538" s="205"/>
      <c r="HG538" s="205"/>
      <c r="HH538" s="205"/>
      <c r="HI538" s="205"/>
      <c r="HJ538" s="205"/>
      <c r="HK538" s="205"/>
      <c r="HL538" s="205"/>
      <c r="HM538" s="205"/>
      <c r="HN538" s="205"/>
      <c r="HO538" s="205"/>
      <c r="HP538" s="205"/>
      <c r="HQ538" s="205"/>
      <c r="HR538" s="205"/>
      <c r="HS538" s="205"/>
      <c r="HT538" s="205"/>
      <c r="HU538" s="205"/>
      <c r="HV538" s="205"/>
      <c r="HW538" s="205"/>
      <c r="HX538" s="205"/>
      <c r="HY538" s="205"/>
      <c r="HZ538" s="205"/>
      <c r="IA538" s="205"/>
      <c r="IB538" s="205"/>
      <c r="IC538" s="205"/>
      <c r="ID538" s="205"/>
      <c r="IE538" s="205"/>
      <c r="IF538" s="205"/>
      <c r="IG538" s="205"/>
      <c r="IH538" s="205"/>
      <c r="II538" s="205"/>
      <c r="IJ538" s="205"/>
      <c r="IK538" s="205"/>
      <c r="IL538" s="205"/>
      <c r="IM538" s="205"/>
      <c r="IN538" s="205"/>
      <c r="IO538" s="205"/>
      <c r="IP538" s="205"/>
      <c r="IQ538" s="205"/>
      <c r="IR538" s="205"/>
      <c r="IS538" s="205"/>
      <c r="IT538" s="205"/>
      <c r="IU538" s="205"/>
      <c r="IV538" s="205"/>
      <c r="IW538" s="205"/>
      <c r="IX538" s="205"/>
    </row>
    <row r="539" spans="1:258" s="203" customFormat="1" x14ac:dyDescent="0.2">
      <c r="A539" s="669"/>
      <c r="B539" s="670"/>
      <c r="C539" s="686"/>
      <c r="D539" s="672"/>
      <c r="E539" s="673"/>
      <c r="F539" s="673"/>
      <c r="G539" s="674"/>
      <c r="H539" s="675"/>
      <c r="I539" s="676"/>
      <c r="J539" s="676"/>
      <c r="K539" s="676"/>
      <c r="L539" s="676"/>
      <c r="M539" s="676"/>
      <c r="N539" s="676"/>
      <c r="O539" s="676"/>
      <c r="P539" s="676"/>
      <c r="Q539" s="676"/>
      <c r="R539" s="677"/>
      <c r="S539" s="678"/>
      <c r="T539" s="684"/>
      <c r="U539" s="205"/>
      <c r="V539" s="685"/>
      <c r="W539" s="205"/>
      <c r="X539" s="205"/>
      <c r="Y539" s="205"/>
      <c r="Z539" s="205"/>
      <c r="AA539" s="205"/>
      <c r="AB539" s="205"/>
      <c r="AC539" s="205"/>
      <c r="AD539" s="205"/>
      <c r="AE539" s="205"/>
      <c r="AF539" s="205"/>
      <c r="AG539" s="205"/>
      <c r="AH539" s="205"/>
      <c r="AI539" s="205"/>
      <c r="AJ539" s="205"/>
      <c r="AK539" s="205"/>
      <c r="AL539" s="205"/>
      <c r="AM539" s="205"/>
      <c r="AN539" s="205"/>
      <c r="AO539" s="205"/>
      <c r="AP539" s="205"/>
      <c r="AQ539" s="205"/>
      <c r="AR539" s="205"/>
      <c r="AS539" s="205"/>
      <c r="AT539" s="205"/>
      <c r="AU539" s="205"/>
      <c r="AV539" s="205"/>
      <c r="AW539" s="205"/>
      <c r="AX539" s="205"/>
      <c r="AY539" s="205"/>
      <c r="AZ539" s="205"/>
      <c r="BA539" s="205"/>
      <c r="BB539" s="205"/>
      <c r="BC539" s="205"/>
      <c r="BD539" s="205"/>
      <c r="BE539" s="205"/>
      <c r="BF539" s="205"/>
      <c r="BG539" s="205"/>
      <c r="BH539" s="205"/>
      <c r="BI539" s="205"/>
      <c r="BJ539" s="205"/>
      <c r="BK539" s="205"/>
      <c r="BL539" s="205"/>
      <c r="BM539" s="205"/>
      <c r="BN539" s="205"/>
      <c r="BO539" s="205"/>
      <c r="BP539" s="205"/>
      <c r="BQ539" s="205"/>
      <c r="BR539" s="205"/>
      <c r="BS539" s="205"/>
      <c r="BT539" s="205"/>
      <c r="BU539" s="205"/>
      <c r="BV539" s="205"/>
      <c r="BW539" s="205"/>
      <c r="BX539" s="205"/>
      <c r="BY539" s="205"/>
      <c r="BZ539" s="205"/>
      <c r="CA539" s="205"/>
      <c r="CB539" s="205"/>
      <c r="CC539" s="205"/>
      <c r="CD539" s="205"/>
      <c r="CE539" s="205"/>
      <c r="CF539" s="205"/>
      <c r="CG539" s="205"/>
      <c r="CH539" s="205"/>
      <c r="CI539" s="205"/>
      <c r="CJ539" s="205"/>
      <c r="CK539" s="205"/>
      <c r="CL539" s="205"/>
      <c r="CM539" s="205"/>
      <c r="CN539" s="205"/>
      <c r="CO539" s="205"/>
      <c r="CP539" s="205"/>
      <c r="CQ539" s="205"/>
      <c r="CR539" s="205"/>
      <c r="CS539" s="205"/>
      <c r="CT539" s="205"/>
      <c r="CU539" s="205"/>
      <c r="CV539" s="205"/>
      <c r="CW539" s="205"/>
      <c r="CX539" s="205"/>
      <c r="CY539" s="205"/>
      <c r="CZ539" s="205"/>
      <c r="DA539" s="205"/>
      <c r="DB539" s="205"/>
      <c r="DC539" s="205"/>
      <c r="DD539" s="205"/>
      <c r="DE539" s="205"/>
      <c r="DF539" s="205"/>
      <c r="DG539" s="205"/>
      <c r="DH539" s="205"/>
      <c r="DI539" s="205"/>
      <c r="DJ539" s="205"/>
      <c r="DK539" s="205"/>
      <c r="DL539" s="205"/>
      <c r="DM539" s="205"/>
      <c r="DN539" s="205"/>
      <c r="DO539" s="205"/>
      <c r="DP539" s="205"/>
      <c r="DQ539" s="205"/>
      <c r="DR539" s="205"/>
      <c r="DS539" s="205"/>
      <c r="DT539" s="205"/>
      <c r="DU539" s="205"/>
      <c r="DV539" s="205"/>
      <c r="DW539" s="205"/>
      <c r="DX539" s="205"/>
      <c r="DY539" s="205"/>
      <c r="DZ539" s="205"/>
      <c r="EA539" s="205"/>
      <c r="EB539" s="205"/>
      <c r="EC539" s="205"/>
      <c r="ED539" s="205"/>
      <c r="EE539" s="205"/>
      <c r="EF539" s="205"/>
      <c r="EG539" s="205"/>
      <c r="EH539" s="205"/>
      <c r="EI539" s="205"/>
      <c r="EJ539" s="205"/>
      <c r="EK539" s="205"/>
      <c r="EL539" s="205"/>
      <c r="EM539" s="205"/>
      <c r="EN539" s="205"/>
      <c r="EO539" s="205"/>
      <c r="EP539" s="205"/>
      <c r="EQ539" s="205"/>
      <c r="ER539" s="205"/>
      <c r="ES539" s="205"/>
      <c r="ET539" s="205"/>
      <c r="EU539" s="205"/>
      <c r="EV539" s="205"/>
      <c r="EW539" s="205"/>
      <c r="EX539" s="205"/>
      <c r="EY539" s="205"/>
      <c r="EZ539" s="205"/>
      <c r="FA539" s="205"/>
      <c r="FB539" s="205"/>
      <c r="FC539" s="205"/>
      <c r="FD539" s="205"/>
      <c r="FE539" s="205"/>
      <c r="FF539" s="205"/>
      <c r="FG539" s="205"/>
      <c r="FH539" s="205"/>
      <c r="FI539" s="205"/>
      <c r="FJ539" s="205"/>
      <c r="FK539" s="205"/>
      <c r="FL539" s="205"/>
      <c r="FM539" s="205"/>
      <c r="FN539" s="205"/>
      <c r="FO539" s="205"/>
      <c r="FP539" s="205"/>
      <c r="FQ539" s="205"/>
      <c r="FR539" s="205"/>
      <c r="FS539" s="205"/>
      <c r="FT539" s="205"/>
      <c r="FU539" s="205"/>
      <c r="FV539" s="205"/>
      <c r="FW539" s="205"/>
      <c r="FX539" s="205"/>
      <c r="FY539" s="205"/>
      <c r="FZ539" s="205"/>
      <c r="GA539" s="205"/>
      <c r="GB539" s="205"/>
      <c r="GC539" s="205"/>
      <c r="GD539" s="205"/>
      <c r="GE539" s="205"/>
      <c r="GF539" s="205"/>
      <c r="GG539" s="205"/>
      <c r="GH539" s="205"/>
      <c r="GI539" s="205"/>
      <c r="GJ539" s="205"/>
      <c r="GK539" s="205"/>
      <c r="GL539" s="205"/>
      <c r="GM539" s="205"/>
      <c r="GN539" s="205"/>
      <c r="GO539" s="205"/>
      <c r="GP539" s="205"/>
      <c r="GQ539" s="205"/>
      <c r="GR539" s="205"/>
      <c r="GS539" s="205"/>
      <c r="GT539" s="205"/>
      <c r="GU539" s="205"/>
      <c r="GV539" s="205"/>
      <c r="GW539" s="205"/>
      <c r="GX539" s="205"/>
      <c r="GY539" s="205"/>
      <c r="GZ539" s="205"/>
      <c r="HA539" s="205"/>
      <c r="HB539" s="205"/>
      <c r="HC539" s="205"/>
      <c r="HD539" s="205"/>
      <c r="HE539" s="205"/>
      <c r="HF539" s="205"/>
      <c r="HG539" s="205"/>
      <c r="HH539" s="205"/>
      <c r="HI539" s="205"/>
      <c r="HJ539" s="205"/>
      <c r="HK539" s="205"/>
      <c r="HL539" s="205"/>
      <c r="HM539" s="205"/>
      <c r="HN539" s="205"/>
      <c r="HO539" s="205"/>
      <c r="HP539" s="205"/>
      <c r="HQ539" s="205"/>
      <c r="HR539" s="205"/>
      <c r="HS539" s="205"/>
      <c r="HT539" s="205"/>
      <c r="HU539" s="205"/>
      <c r="HV539" s="205"/>
      <c r="HW539" s="205"/>
      <c r="HX539" s="205"/>
      <c r="HY539" s="205"/>
      <c r="HZ539" s="205"/>
      <c r="IA539" s="205"/>
      <c r="IB539" s="205"/>
      <c r="IC539" s="205"/>
      <c r="ID539" s="205"/>
      <c r="IE539" s="205"/>
      <c r="IF539" s="205"/>
      <c r="IG539" s="205"/>
      <c r="IH539" s="205"/>
      <c r="II539" s="205"/>
      <c r="IJ539" s="205"/>
      <c r="IK539" s="205"/>
      <c r="IL539" s="205"/>
      <c r="IM539" s="205"/>
      <c r="IN539" s="205"/>
      <c r="IO539" s="205"/>
      <c r="IP539" s="205"/>
      <c r="IQ539" s="205"/>
      <c r="IR539" s="205"/>
      <c r="IS539" s="205"/>
      <c r="IT539" s="205"/>
      <c r="IU539" s="205"/>
      <c r="IV539" s="205"/>
      <c r="IW539" s="205"/>
      <c r="IX539" s="205"/>
    </row>
    <row r="540" spans="1:258" s="203" customFormat="1" x14ac:dyDescent="0.2">
      <c r="A540" s="669"/>
      <c r="B540" s="670"/>
      <c r="C540" s="686"/>
      <c r="D540" s="672"/>
      <c r="E540" s="673"/>
      <c r="F540" s="673"/>
      <c r="G540" s="674"/>
      <c r="H540" s="675"/>
      <c r="I540" s="676"/>
      <c r="J540" s="676"/>
      <c r="K540" s="676"/>
      <c r="L540" s="676"/>
      <c r="M540" s="676"/>
      <c r="N540" s="676"/>
      <c r="O540" s="676"/>
      <c r="P540" s="676"/>
      <c r="Q540" s="676"/>
      <c r="R540" s="677"/>
      <c r="S540" s="678"/>
      <c r="T540" s="684"/>
      <c r="U540" s="205"/>
      <c r="V540" s="685"/>
      <c r="W540" s="205"/>
      <c r="X540" s="205"/>
      <c r="Y540" s="205"/>
      <c r="Z540" s="205"/>
      <c r="AA540" s="205"/>
      <c r="AB540" s="205"/>
      <c r="AC540" s="205"/>
      <c r="AD540" s="205"/>
      <c r="AE540" s="205"/>
      <c r="AF540" s="205"/>
      <c r="AG540" s="205"/>
      <c r="AH540" s="205"/>
      <c r="AI540" s="205"/>
      <c r="AJ540" s="205"/>
      <c r="AK540" s="205"/>
      <c r="AL540" s="205"/>
      <c r="AM540" s="205"/>
      <c r="AN540" s="205"/>
      <c r="AO540" s="205"/>
      <c r="AP540" s="205"/>
      <c r="AQ540" s="205"/>
      <c r="AR540" s="205"/>
      <c r="AS540" s="205"/>
      <c r="AT540" s="205"/>
      <c r="AU540" s="205"/>
      <c r="AV540" s="205"/>
      <c r="AW540" s="205"/>
      <c r="AX540" s="205"/>
      <c r="AY540" s="205"/>
      <c r="AZ540" s="205"/>
      <c r="BA540" s="205"/>
      <c r="BB540" s="205"/>
      <c r="BC540" s="205"/>
      <c r="BD540" s="205"/>
      <c r="BE540" s="205"/>
      <c r="BF540" s="205"/>
      <c r="BG540" s="205"/>
      <c r="BH540" s="205"/>
      <c r="BI540" s="205"/>
      <c r="BJ540" s="205"/>
      <c r="BK540" s="205"/>
      <c r="BL540" s="205"/>
      <c r="BM540" s="205"/>
      <c r="BN540" s="205"/>
      <c r="BO540" s="205"/>
      <c r="BP540" s="205"/>
      <c r="BQ540" s="205"/>
      <c r="BR540" s="205"/>
      <c r="BS540" s="205"/>
      <c r="BT540" s="205"/>
      <c r="BU540" s="205"/>
      <c r="BV540" s="205"/>
      <c r="BW540" s="205"/>
      <c r="BX540" s="205"/>
      <c r="BY540" s="205"/>
      <c r="BZ540" s="205"/>
      <c r="CA540" s="205"/>
      <c r="CB540" s="205"/>
      <c r="CC540" s="205"/>
      <c r="CD540" s="205"/>
      <c r="CE540" s="205"/>
      <c r="CF540" s="205"/>
      <c r="CG540" s="205"/>
      <c r="CH540" s="205"/>
      <c r="CI540" s="205"/>
      <c r="CJ540" s="205"/>
      <c r="CK540" s="205"/>
      <c r="CL540" s="205"/>
      <c r="CM540" s="205"/>
      <c r="CN540" s="205"/>
      <c r="CO540" s="205"/>
      <c r="CP540" s="205"/>
      <c r="CQ540" s="205"/>
      <c r="CR540" s="205"/>
      <c r="CS540" s="205"/>
      <c r="CT540" s="205"/>
      <c r="CU540" s="205"/>
      <c r="CV540" s="205"/>
      <c r="CW540" s="205"/>
      <c r="CX540" s="205"/>
      <c r="CY540" s="205"/>
      <c r="CZ540" s="205"/>
      <c r="DA540" s="205"/>
      <c r="DB540" s="205"/>
      <c r="DC540" s="205"/>
      <c r="DD540" s="205"/>
      <c r="DE540" s="205"/>
      <c r="DF540" s="205"/>
      <c r="DG540" s="205"/>
      <c r="DH540" s="205"/>
      <c r="DI540" s="205"/>
      <c r="DJ540" s="205"/>
      <c r="DK540" s="205"/>
      <c r="DL540" s="205"/>
      <c r="DM540" s="205"/>
      <c r="DN540" s="205"/>
      <c r="DO540" s="205"/>
      <c r="DP540" s="205"/>
      <c r="DQ540" s="205"/>
      <c r="DR540" s="205"/>
      <c r="DS540" s="205"/>
      <c r="DT540" s="205"/>
      <c r="DU540" s="205"/>
      <c r="DV540" s="205"/>
      <c r="DW540" s="205"/>
      <c r="DX540" s="205"/>
      <c r="DY540" s="205"/>
      <c r="DZ540" s="205"/>
      <c r="EA540" s="205"/>
      <c r="EB540" s="205"/>
      <c r="EC540" s="205"/>
      <c r="ED540" s="205"/>
      <c r="EE540" s="205"/>
      <c r="EF540" s="205"/>
      <c r="EG540" s="205"/>
      <c r="EH540" s="205"/>
      <c r="EI540" s="205"/>
      <c r="EJ540" s="205"/>
      <c r="EK540" s="205"/>
      <c r="EL540" s="205"/>
      <c r="EM540" s="205"/>
      <c r="EN540" s="205"/>
      <c r="EO540" s="205"/>
      <c r="EP540" s="205"/>
      <c r="EQ540" s="205"/>
      <c r="ER540" s="205"/>
      <c r="ES540" s="205"/>
      <c r="ET540" s="205"/>
      <c r="EU540" s="205"/>
      <c r="EV540" s="205"/>
      <c r="EW540" s="205"/>
      <c r="EX540" s="205"/>
      <c r="EY540" s="205"/>
      <c r="EZ540" s="205"/>
      <c r="FA540" s="205"/>
      <c r="FB540" s="205"/>
      <c r="FC540" s="205"/>
      <c r="FD540" s="205"/>
      <c r="FE540" s="205"/>
      <c r="FF540" s="205"/>
      <c r="FG540" s="205"/>
      <c r="FH540" s="205"/>
      <c r="FI540" s="205"/>
      <c r="FJ540" s="205"/>
      <c r="FK540" s="205"/>
      <c r="FL540" s="205"/>
      <c r="FM540" s="205"/>
      <c r="FN540" s="205"/>
      <c r="FO540" s="205"/>
      <c r="FP540" s="205"/>
      <c r="FQ540" s="205"/>
      <c r="FR540" s="205"/>
      <c r="FS540" s="205"/>
      <c r="FT540" s="205"/>
      <c r="FU540" s="205"/>
      <c r="FV540" s="205"/>
      <c r="FW540" s="205"/>
      <c r="FX540" s="205"/>
      <c r="FY540" s="205"/>
      <c r="FZ540" s="205"/>
      <c r="GA540" s="205"/>
      <c r="GB540" s="205"/>
      <c r="GC540" s="205"/>
      <c r="GD540" s="205"/>
      <c r="GE540" s="205"/>
      <c r="GF540" s="205"/>
      <c r="GG540" s="205"/>
      <c r="GH540" s="205"/>
      <c r="GI540" s="205"/>
      <c r="GJ540" s="205"/>
      <c r="GK540" s="205"/>
      <c r="GL540" s="205"/>
      <c r="GM540" s="205"/>
      <c r="GN540" s="205"/>
      <c r="GO540" s="205"/>
      <c r="GP540" s="205"/>
      <c r="GQ540" s="205"/>
      <c r="GR540" s="205"/>
      <c r="GS540" s="205"/>
      <c r="GT540" s="205"/>
      <c r="GU540" s="205"/>
      <c r="GV540" s="205"/>
      <c r="GW540" s="205"/>
      <c r="GX540" s="205"/>
      <c r="GY540" s="205"/>
      <c r="GZ540" s="205"/>
      <c r="HA540" s="205"/>
      <c r="HB540" s="205"/>
      <c r="HC540" s="205"/>
      <c r="HD540" s="205"/>
      <c r="HE540" s="205"/>
      <c r="HF540" s="205"/>
      <c r="HG540" s="205"/>
      <c r="HH540" s="205"/>
      <c r="HI540" s="205"/>
      <c r="HJ540" s="205"/>
      <c r="HK540" s="205"/>
      <c r="HL540" s="205"/>
      <c r="HM540" s="205"/>
      <c r="HN540" s="205"/>
      <c r="HO540" s="205"/>
      <c r="HP540" s="205"/>
      <c r="HQ540" s="205"/>
      <c r="HR540" s="205"/>
      <c r="HS540" s="205"/>
      <c r="HT540" s="205"/>
      <c r="HU540" s="205"/>
      <c r="HV540" s="205"/>
      <c r="HW540" s="205"/>
      <c r="HX540" s="205"/>
      <c r="HY540" s="205"/>
      <c r="HZ540" s="205"/>
      <c r="IA540" s="205"/>
      <c r="IB540" s="205"/>
      <c r="IC540" s="205"/>
      <c r="ID540" s="205"/>
      <c r="IE540" s="205"/>
      <c r="IF540" s="205"/>
      <c r="IG540" s="205"/>
      <c r="IH540" s="205"/>
      <c r="II540" s="205"/>
      <c r="IJ540" s="205"/>
      <c r="IK540" s="205"/>
      <c r="IL540" s="205"/>
      <c r="IM540" s="205"/>
      <c r="IN540" s="205"/>
      <c r="IO540" s="205"/>
      <c r="IP540" s="205"/>
      <c r="IQ540" s="205"/>
      <c r="IR540" s="205"/>
      <c r="IS540" s="205"/>
      <c r="IT540" s="205"/>
      <c r="IU540" s="205"/>
      <c r="IV540" s="205"/>
      <c r="IW540" s="205"/>
      <c r="IX540" s="205"/>
    </row>
    <row r="541" spans="1:258" s="203" customFormat="1" x14ac:dyDescent="0.2">
      <c r="A541" s="669"/>
      <c r="B541" s="681" t="str">
        <f>RAB!B182</f>
        <v>XII</v>
      </c>
      <c r="C541" s="682" t="str">
        <f>RAB!D182</f>
        <v>PEKERJAAN LAIN-LAIN</v>
      </c>
      <c r="D541" s="672"/>
      <c r="E541" s="673"/>
      <c r="F541" s="673"/>
      <c r="G541" s="674"/>
      <c r="H541" s="675"/>
      <c r="I541" s="676"/>
      <c r="J541" s="676"/>
      <c r="K541" s="676"/>
      <c r="L541" s="676"/>
      <c r="M541" s="676"/>
      <c r="N541" s="676"/>
      <c r="O541" s="676"/>
      <c r="P541" s="676"/>
      <c r="Q541" s="676"/>
      <c r="R541" s="677"/>
      <c r="S541" s="678"/>
      <c r="T541" s="684"/>
      <c r="U541" s="205"/>
      <c r="V541" s="685"/>
      <c r="W541" s="205"/>
      <c r="X541" s="205"/>
      <c r="Y541" s="205"/>
      <c r="Z541" s="205"/>
      <c r="AA541" s="205"/>
      <c r="AB541" s="205"/>
      <c r="AC541" s="205"/>
      <c r="AD541" s="205"/>
      <c r="AE541" s="205"/>
      <c r="AF541" s="205"/>
      <c r="AG541" s="205"/>
      <c r="AH541" s="205"/>
      <c r="AI541" s="205"/>
      <c r="AJ541" s="205"/>
      <c r="AK541" s="205"/>
      <c r="AL541" s="205"/>
      <c r="AM541" s="205"/>
      <c r="AN541" s="205"/>
      <c r="AO541" s="205"/>
      <c r="AP541" s="205"/>
      <c r="AQ541" s="205"/>
      <c r="AR541" s="205"/>
      <c r="AS541" s="205"/>
      <c r="AT541" s="205"/>
      <c r="AU541" s="205"/>
      <c r="AV541" s="205"/>
      <c r="AW541" s="205"/>
      <c r="AX541" s="205"/>
      <c r="AY541" s="205"/>
      <c r="AZ541" s="205"/>
      <c r="BA541" s="205"/>
      <c r="BB541" s="205"/>
      <c r="BC541" s="205"/>
      <c r="BD541" s="205"/>
      <c r="BE541" s="205"/>
      <c r="BF541" s="205"/>
      <c r="BG541" s="205"/>
      <c r="BH541" s="205"/>
      <c r="BI541" s="205"/>
      <c r="BJ541" s="205"/>
      <c r="BK541" s="205"/>
      <c r="BL541" s="205"/>
      <c r="BM541" s="205"/>
      <c r="BN541" s="205"/>
      <c r="BO541" s="205"/>
      <c r="BP541" s="205"/>
      <c r="BQ541" s="205"/>
      <c r="BR541" s="205"/>
      <c r="BS541" s="205"/>
      <c r="BT541" s="205"/>
      <c r="BU541" s="205"/>
      <c r="BV541" s="205"/>
      <c r="BW541" s="205"/>
      <c r="BX541" s="205"/>
      <c r="BY541" s="205"/>
      <c r="BZ541" s="205"/>
      <c r="CA541" s="205"/>
      <c r="CB541" s="205"/>
      <c r="CC541" s="205"/>
      <c r="CD541" s="205"/>
      <c r="CE541" s="205"/>
      <c r="CF541" s="205"/>
      <c r="CG541" s="205"/>
      <c r="CH541" s="205"/>
      <c r="CI541" s="205"/>
      <c r="CJ541" s="205"/>
      <c r="CK541" s="205"/>
      <c r="CL541" s="205"/>
      <c r="CM541" s="205"/>
      <c r="CN541" s="205"/>
      <c r="CO541" s="205"/>
      <c r="CP541" s="205"/>
      <c r="CQ541" s="205"/>
      <c r="CR541" s="205"/>
      <c r="CS541" s="205"/>
      <c r="CT541" s="205"/>
      <c r="CU541" s="205"/>
      <c r="CV541" s="205"/>
      <c r="CW541" s="205"/>
      <c r="CX541" s="205"/>
      <c r="CY541" s="205"/>
      <c r="CZ541" s="205"/>
      <c r="DA541" s="205"/>
      <c r="DB541" s="205"/>
      <c r="DC541" s="205"/>
      <c r="DD541" s="205"/>
      <c r="DE541" s="205"/>
      <c r="DF541" s="205"/>
      <c r="DG541" s="205"/>
      <c r="DH541" s="205"/>
      <c r="DI541" s="205"/>
      <c r="DJ541" s="205"/>
      <c r="DK541" s="205"/>
      <c r="DL541" s="205"/>
      <c r="DM541" s="205"/>
      <c r="DN541" s="205"/>
      <c r="DO541" s="205"/>
      <c r="DP541" s="205"/>
      <c r="DQ541" s="205"/>
      <c r="DR541" s="205"/>
      <c r="DS541" s="205"/>
      <c r="DT541" s="205"/>
      <c r="DU541" s="205"/>
      <c r="DV541" s="205"/>
      <c r="DW541" s="205"/>
      <c r="DX541" s="205"/>
      <c r="DY541" s="205"/>
      <c r="DZ541" s="205"/>
      <c r="EA541" s="205"/>
      <c r="EB541" s="205"/>
      <c r="EC541" s="205"/>
      <c r="ED541" s="205"/>
      <c r="EE541" s="205"/>
      <c r="EF541" s="205"/>
      <c r="EG541" s="205"/>
      <c r="EH541" s="205"/>
      <c r="EI541" s="205"/>
      <c r="EJ541" s="205"/>
      <c r="EK541" s="205"/>
      <c r="EL541" s="205"/>
      <c r="EM541" s="205"/>
      <c r="EN541" s="205"/>
      <c r="EO541" s="205"/>
      <c r="EP541" s="205"/>
      <c r="EQ541" s="205"/>
      <c r="ER541" s="205"/>
      <c r="ES541" s="205"/>
      <c r="ET541" s="205"/>
      <c r="EU541" s="205"/>
      <c r="EV541" s="205"/>
      <c r="EW541" s="205"/>
      <c r="EX541" s="205"/>
      <c r="EY541" s="205"/>
      <c r="EZ541" s="205"/>
      <c r="FA541" s="205"/>
      <c r="FB541" s="205"/>
      <c r="FC541" s="205"/>
      <c r="FD541" s="205"/>
      <c r="FE541" s="205"/>
      <c r="FF541" s="205"/>
      <c r="FG541" s="205"/>
      <c r="FH541" s="205"/>
      <c r="FI541" s="205"/>
      <c r="FJ541" s="205"/>
      <c r="FK541" s="205"/>
      <c r="FL541" s="205"/>
      <c r="FM541" s="205"/>
      <c r="FN541" s="205"/>
      <c r="FO541" s="205"/>
      <c r="FP541" s="205"/>
      <c r="FQ541" s="205"/>
      <c r="FR541" s="205"/>
      <c r="FS541" s="205"/>
      <c r="FT541" s="205"/>
      <c r="FU541" s="205"/>
      <c r="FV541" s="205"/>
      <c r="FW541" s="205"/>
      <c r="FX541" s="205"/>
      <c r="FY541" s="205"/>
      <c r="FZ541" s="205"/>
      <c r="GA541" s="205"/>
      <c r="GB541" s="205"/>
      <c r="GC541" s="205"/>
      <c r="GD541" s="205"/>
      <c r="GE541" s="205"/>
      <c r="GF541" s="205"/>
      <c r="GG541" s="205"/>
      <c r="GH541" s="205"/>
      <c r="GI541" s="205"/>
      <c r="GJ541" s="205"/>
      <c r="GK541" s="205"/>
      <c r="GL541" s="205"/>
      <c r="GM541" s="205"/>
      <c r="GN541" s="205"/>
      <c r="GO541" s="205"/>
      <c r="GP541" s="205"/>
      <c r="GQ541" s="205"/>
      <c r="GR541" s="205"/>
      <c r="GS541" s="205"/>
      <c r="GT541" s="205"/>
      <c r="GU541" s="205"/>
      <c r="GV541" s="205"/>
      <c r="GW541" s="205"/>
      <c r="GX541" s="205"/>
      <c r="GY541" s="205"/>
      <c r="GZ541" s="205"/>
      <c r="HA541" s="205"/>
      <c r="HB541" s="205"/>
      <c r="HC541" s="205"/>
      <c r="HD541" s="205"/>
      <c r="HE541" s="205"/>
      <c r="HF541" s="205"/>
      <c r="HG541" s="205"/>
      <c r="HH541" s="205"/>
      <c r="HI541" s="205"/>
      <c r="HJ541" s="205"/>
      <c r="HK541" s="205"/>
      <c r="HL541" s="205"/>
      <c r="HM541" s="205"/>
      <c r="HN541" s="205"/>
      <c r="HO541" s="205"/>
      <c r="HP541" s="205"/>
      <c r="HQ541" s="205"/>
      <c r="HR541" s="205"/>
      <c r="HS541" s="205"/>
      <c r="HT541" s="205"/>
      <c r="HU541" s="205"/>
      <c r="HV541" s="205"/>
      <c r="HW541" s="205"/>
      <c r="HX541" s="205"/>
      <c r="HY541" s="205"/>
      <c r="HZ541" s="205"/>
      <c r="IA541" s="205"/>
      <c r="IB541" s="205"/>
      <c r="IC541" s="205"/>
      <c r="ID541" s="205"/>
      <c r="IE541" s="205"/>
      <c r="IF541" s="205"/>
      <c r="IG541" s="205"/>
      <c r="IH541" s="205"/>
      <c r="II541" s="205"/>
      <c r="IJ541" s="205"/>
      <c r="IK541" s="205"/>
      <c r="IL541" s="205"/>
      <c r="IM541" s="205"/>
      <c r="IN541" s="205"/>
      <c r="IO541" s="205"/>
      <c r="IP541" s="205"/>
      <c r="IQ541" s="205"/>
      <c r="IR541" s="205"/>
      <c r="IS541" s="205"/>
      <c r="IT541" s="205"/>
      <c r="IU541" s="205"/>
      <c r="IV541" s="205"/>
      <c r="IW541" s="205"/>
      <c r="IX541" s="205"/>
    </row>
    <row r="542" spans="1:258" s="203" customFormat="1" x14ac:dyDescent="0.2">
      <c r="A542" s="669"/>
      <c r="B542" s="670">
        <f>RAB!B183</f>
        <v>1</v>
      </c>
      <c r="C542" s="686" t="e">
        <f>RAB!D183</f>
        <v>#REF!</v>
      </c>
      <c r="D542" s="672"/>
      <c r="E542" s="673"/>
      <c r="F542" s="673"/>
      <c r="G542" s="674"/>
      <c r="H542" s="675"/>
      <c r="I542" s="676"/>
      <c r="J542" s="676"/>
      <c r="K542" s="676"/>
      <c r="L542" s="676"/>
      <c r="M542" s="676"/>
      <c r="N542" s="676"/>
      <c r="O542" s="676"/>
      <c r="P542" s="676"/>
      <c r="Q542" s="676"/>
      <c r="R542" s="677"/>
      <c r="S542" s="678"/>
      <c r="T542" s="684"/>
      <c r="U542" s="205"/>
      <c r="V542" s="685"/>
      <c r="W542" s="205"/>
      <c r="X542" s="205"/>
      <c r="Y542" s="205"/>
      <c r="Z542" s="205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05"/>
      <c r="BN542" s="205"/>
      <c r="BO542" s="205"/>
      <c r="BP542" s="205"/>
      <c r="BQ542" s="205"/>
      <c r="BR542" s="205"/>
      <c r="BS542" s="205"/>
      <c r="BT542" s="205"/>
      <c r="BU542" s="205"/>
      <c r="BV542" s="205"/>
      <c r="BW542" s="205"/>
      <c r="BX542" s="205"/>
      <c r="BY542" s="205"/>
      <c r="BZ542" s="205"/>
      <c r="CA542" s="205"/>
      <c r="CB542" s="205"/>
      <c r="CC542" s="205"/>
      <c r="CD542" s="205"/>
      <c r="CE542" s="205"/>
      <c r="CF542" s="205"/>
      <c r="CG542" s="205"/>
      <c r="CH542" s="205"/>
      <c r="CI542" s="205"/>
      <c r="CJ542" s="205"/>
      <c r="CK542" s="205"/>
      <c r="CL542" s="205"/>
      <c r="CM542" s="205"/>
      <c r="CN542" s="205"/>
      <c r="CO542" s="205"/>
      <c r="CP542" s="205"/>
      <c r="CQ542" s="205"/>
      <c r="CR542" s="205"/>
      <c r="CS542" s="205"/>
      <c r="CT542" s="205"/>
      <c r="CU542" s="205"/>
      <c r="CV542" s="205"/>
      <c r="CW542" s="205"/>
      <c r="CX542" s="205"/>
      <c r="CY542" s="205"/>
      <c r="CZ542" s="205"/>
      <c r="DA542" s="205"/>
      <c r="DB542" s="205"/>
      <c r="DC542" s="205"/>
      <c r="DD542" s="205"/>
      <c r="DE542" s="205"/>
      <c r="DF542" s="205"/>
      <c r="DG542" s="205"/>
      <c r="DH542" s="205"/>
      <c r="DI542" s="205"/>
      <c r="DJ542" s="205"/>
      <c r="DK542" s="205"/>
      <c r="DL542" s="205"/>
      <c r="DM542" s="205"/>
      <c r="DN542" s="205"/>
      <c r="DO542" s="205"/>
      <c r="DP542" s="205"/>
      <c r="DQ542" s="205"/>
      <c r="DR542" s="205"/>
      <c r="DS542" s="205"/>
      <c r="DT542" s="205"/>
      <c r="DU542" s="205"/>
      <c r="DV542" s="205"/>
      <c r="DW542" s="205"/>
      <c r="DX542" s="205"/>
      <c r="DY542" s="205"/>
      <c r="DZ542" s="205"/>
      <c r="EA542" s="205"/>
      <c r="EB542" s="205"/>
      <c r="EC542" s="205"/>
      <c r="ED542" s="205"/>
      <c r="EE542" s="205"/>
      <c r="EF542" s="205"/>
      <c r="EG542" s="205"/>
      <c r="EH542" s="205"/>
      <c r="EI542" s="205"/>
      <c r="EJ542" s="205"/>
      <c r="EK542" s="205"/>
      <c r="EL542" s="205"/>
      <c r="EM542" s="205"/>
      <c r="EN542" s="205"/>
      <c r="EO542" s="205"/>
      <c r="EP542" s="205"/>
      <c r="EQ542" s="205"/>
      <c r="ER542" s="205"/>
      <c r="ES542" s="205"/>
      <c r="ET542" s="205"/>
      <c r="EU542" s="205"/>
      <c r="EV542" s="205"/>
      <c r="EW542" s="205"/>
      <c r="EX542" s="205"/>
      <c r="EY542" s="205"/>
      <c r="EZ542" s="205"/>
      <c r="FA542" s="205"/>
      <c r="FB542" s="205"/>
      <c r="FC542" s="205"/>
      <c r="FD542" s="205"/>
      <c r="FE542" s="205"/>
      <c r="FF542" s="205"/>
      <c r="FG542" s="205"/>
      <c r="FH542" s="205"/>
      <c r="FI542" s="205"/>
      <c r="FJ542" s="205"/>
      <c r="FK542" s="205"/>
      <c r="FL542" s="205"/>
      <c r="FM542" s="205"/>
      <c r="FN542" s="205"/>
      <c r="FO542" s="205"/>
      <c r="FP542" s="205"/>
      <c r="FQ542" s="205"/>
      <c r="FR542" s="205"/>
      <c r="FS542" s="205"/>
      <c r="FT542" s="205"/>
      <c r="FU542" s="205"/>
      <c r="FV542" s="205"/>
      <c r="FW542" s="205"/>
      <c r="FX542" s="205"/>
      <c r="FY542" s="205"/>
      <c r="FZ542" s="205"/>
      <c r="GA542" s="205"/>
      <c r="GB542" s="205"/>
      <c r="GC542" s="205"/>
      <c r="GD542" s="205"/>
      <c r="GE542" s="205"/>
      <c r="GF542" s="205"/>
      <c r="GG542" s="205"/>
      <c r="GH542" s="205"/>
      <c r="GI542" s="205"/>
      <c r="GJ542" s="205"/>
      <c r="GK542" s="205"/>
      <c r="GL542" s="205"/>
      <c r="GM542" s="205"/>
      <c r="GN542" s="205"/>
      <c r="GO542" s="205"/>
      <c r="GP542" s="205"/>
      <c r="GQ542" s="205"/>
      <c r="GR542" s="205"/>
      <c r="GS542" s="205"/>
      <c r="GT542" s="205"/>
      <c r="GU542" s="205"/>
      <c r="GV542" s="205"/>
      <c r="GW542" s="205"/>
      <c r="GX542" s="205"/>
      <c r="GY542" s="205"/>
      <c r="GZ542" s="205"/>
      <c r="HA542" s="205"/>
      <c r="HB542" s="205"/>
      <c r="HC542" s="205"/>
      <c r="HD542" s="205"/>
      <c r="HE542" s="205"/>
      <c r="HF542" s="205"/>
      <c r="HG542" s="205"/>
      <c r="HH542" s="205"/>
      <c r="HI542" s="205"/>
      <c r="HJ542" s="205"/>
      <c r="HK542" s="205"/>
      <c r="HL542" s="205"/>
      <c r="HM542" s="205"/>
      <c r="HN542" s="205"/>
      <c r="HO542" s="205"/>
      <c r="HP542" s="205"/>
      <c r="HQ542" s="205"/>
      <c r="HR542" s="205"/>
      <c r="HS542" s="205"/>
      <c r="HT542" s="205"/>
      <c r="HU542" s="205"/>
      <c r="HV542" s="205"/>
      <c r="HW542" s="205"/>
      <c r="HX542" s="205"/>
      <c r="HY542" s="205"/>
      <c r="HZ542" s="205"/>
      <c r="IA542" s="205"/>
      <c r="IB542" s="205"/>
      <c r="IC542" s="205"/>
      <c r="ID542" s="205"/>
      <c r="IE542" s="205"/>
      <c r="IF542" s="205"/>
      <c r="IG542" s="205"/>
      <c r="IH542" s="205"/>
      <c r="II542" s="205"/>
      <c r="IJ542" s="205"/>
      <c r="IK542" s="205"/>
      <c r="IL542" s="205"/>
      <c r="IM542" s="205"/>
      <c r="IN542" s="205"/>
      <c r="IO542" s="205"/>
      <c r="IP542" s="205"/>
      <c r="IQ542" s="205"/>
      <c r="IR542" s="205"/>
      <c r="IS542" s="205"/>
      <c r="IT542" s="205"/>
      <c r="IU542" s="205"/>
      <c r="IV542" s="205"/>
      <c r="IW542" s="205"/>
      <c r="IX542" s="205"/>
    </row>
    <row r="543" spans="1:258" s="203" customFormat="1" x14ac:dyDescent="0.2">
      <c r="A543" s="669"/>
      <c r="B543" s="670"/>
      <c r="C543" s="1412"/>
      <c r="D543" s="672"/>
      <c r="E543" s="1413"/>
      <c r="F543" s="1413"/>
      <c r="G543" s="1414" t="s">
        <v>1745</v>
      </c>
      <c r="H543" s="1415">
        <v>5</v>
      </c>
      <c r="I543" s="1416" t="s">
        <v>424</v>
      </c>
      <c r="J543" s="1416">
        <v>2.4</v>
      </c>
      <c r="K543" s="1416" t="s">
        <v>424</v>
      </c>
      <c r="L543" s="1416">
        <v>2</v>
      </c>
      <c r="M543" s="1416"/>
      <c r="N543" s="1416"/>
      <c r="O543" s="1416"/>
      <c r="P543" s="1416"/>
      <c r="Q543" s="1416" t="s">
        <v>696</v>
      </c>
      <c r="R543" s="1417">
        <f>H543*J543*L543</f>
        <v>24</v>
      </c>
      <c r="S543" s="1418"/>
      <c r="T543" s="1419"/>
      <c r="U543" s="205"/>
      <c r="V543" s="685"/>
      <c r="W543" s="205"/>
      <c r="X543" s="205"/>
      <c r="Y543" s="205"/>
      <c r="Z543" s="205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205"/>
      <c r="BN543" s="205"/>
      <c r="BO543" s="205"/>
      <c r="BP543" s="205"/>
      <c r="BQ543" s="205"/>
      <c r="BR543" s="205"/>
      <c r="BS543" s="205"/>
      <c r="BT543" s="205"/>
      <c r="BU543" s="205"/>
      <c r="BV543" s="205"/>
      <c r="BW543" s="205"/>
      <c r="BX543" s="205"/>
      <c r="BY543" s="205"/>
      <c r="BZ543" s="205"/>
      <c r="CA543" s="205"/>
      <c r="CB543" s="205"/>
      <c r="CC543" s="205"/>
      <c r="CD543" s="205"/>
      <c r="CE543" s="205"/>
      <c r="CF543" s="205"/>
      <c r="CG543" s="205"/>
      <c r="CH543" s="205"/>
      <c r="CI543" s="205"/>
      <c r="CJ543" s="205"/>
      <c r="CK543" s="205"/>
      <c r="CL543" s="205"/>
      <c r="CM543" s="205"/>
      <c r="CN543" s="205"/>
      <c r="CO543" s="205"/>
      <c r="CP543" s="205"/>
      <c r="CQ543" s="205"/>
      <c r="CR543" s="205"/>
      <c r="CS543" s="205"/>
      <c r="CT543" s="205"/>
      <c r="CU543" s="205"/>
      <c r="CV543" s="205"/>
      <c r="CW543" s="205"/>
      <c r="CX543" s="205"/>
      <c r="CY543" s="205"/>
      <c r="CZ543" s="205"/>
      <c r="DA543" s="205"/>
      <c r="DB543" s="205"/>
      <c r="DC543" s="205"/>
      <c r="DD543" s="205"/>
      <c r="DE543" s="205"/>
      <c r="DF543" s="205"/>
      <c r="DG543" s="205"/>
      <c r="DH543" s="205"/>
      <c r="DI543" s="205"/>
      <c r="DJ543" s="205"/>
      <c r="DK543" s="205"/>
      <c r="DL543" s="205"/>
      <c r="DM543" s="205"/>
      <c r="DN543" s="205"/>
      <c r="DO543" s="205"/>
      <c r="DP543" s="205"/>
      <c r="DQ543" s="205"/>
      <c r="DR543" s="205"/>
      <c r="DS543" s="205"/>
      <c r="DT543" s="205"/>
      <c r="DU543" s="205"/>
      <c r="DV543" s="205"/>
      <c r="DW543" s="205"/>
      <c r="DX543" s="205"/>
      <c r="DY543" s="205"/>
      <c r="DZ543" s="205"/>
      <c r="EA543" s="205"/>
      <c r="EB543" s="205"/>
      <c r="EC543" s="205"/>
      <c r="ED543" s="205"/>
      <c r="EE543" s="205"/>
      <c r="EF543" s="205"/>
      <c r="EG543" s="205"/>
      <c r="EH543" s="205"/>
      <c r="EI543" s="205"/>
      <c r="EJ543" s="205"/>
      <c r="EK543" s="205"/>
      <c r="EL543" s="205"/>
      <c r="EM543" s="205"/>
      <c r="EN543" s="205"/>
      <c r="EO543" s="205"/>
      <c r="EP543" s="205"/>
      <c r="EQ543" s="205"/>
      <c r="ER543" s="205"/>
      <c r="ES543" s="205"/>
      <c r="ET543" s="205"/>
      <c r="EU543" s="205"/>
      <c r="EV543" s="205"/>
      <c r="EW543" s="205"/>
      <c r="EX543" s="205"/>
      <c r="EY543" s="205"/>
      <c r="EZ543" s="205"/>
      <c r="FA543" s="205"/>
      <c r="FB543" s="205"/>
      <c r="FC543" s="205"/>
      <c r="FD543" s="205"/>
      <c r="FE543" s="205"/>
      <c r="FF543" s="205"/>
      <c r="FG543" s="205"/>
      <c r="FH543" s="205"/>
      <c r="FI543" s="205"/>
      <c r="FJ543" s="205"/>
      <c r="FK543" s="205"/>
      <c r="FL543" s="205"/>
      <c r="FM543" s="205"/>
      <c r="FN543" s="205"/>
      <c r="FO543" s="205"/>
      <c r="FP543" s="205"/>
      <c r="FQ543" s="205"/>
      <c r="FR543" s="205"/>
      <c r="FS543" s="205"/>
      <c r="FT543" s="205"/>
      <c r="FU543" s="205"/>
      <c r="FV543" s="205"/>
      <c r="FW543" s="205"/>
      <c r="FX543" s="205"/>
      <c r="FY543" s="205"/>
      <c r="FZ543" s="205"/>
      <c r="GA543" s="205"/>
      <c r="GB543" s="205"/>
      <c r="GC543" s="205"/>
      <c r="GD543" s="205"/>
      <c r="GE543" s="205"/>
      <c r="GF543" s="205"/>
      <c r="GG543" s="205"/>
      <c r="GH543" s="205"/>
      <c r="GI543" s="205"/>
      <c r="GJ543" s="205"/>
      <c r="GK543" s="205"/>
      <c r="GL543" s="205"/>
      <c r="GM543" s="205"/>
      <c r="GN543" s="205"/>
      <c r="GO543" s="205"/>
      <c r="GP543" s="205"/>
      <c r="GQ543" s="205"/>
      <c r="GR543" s="205"/>
      <c r="GS543" s="205"/>
      <c r="GT543" s="205"/>
      <c r="GU543" s="205"/>
      <c r="GV543" s="205"/>
      <c r="GW543" s="205"/>
      <c r="GX543" s="205"/>
      <c r="GY543" s="205"/>
      <c r="GZ543" s="205"/>
      <c r="HA543" s="205"/>
      <c r="HB543" s="205"/>
      <c r="HC543" s="205"/>
      <c r="HD543" s="205"/>
      <c r="HE543" s="205"/>
      <c r="HF543" s="205"/>
      <c r="HG543" s="205"/>
      <c r="HH543" s="205"/>
      <c r="HI543" s="205"/>
      <c r="HJ543" s="205"/>
      <c r="HK543" s="205"/>
      <c r="HL543" s="205"/>
      <c r="HM543" s="205"/>
      <c r="HN543" s="205"/>
      <c r="HO543" s="205"/>
      <c r="HP543" s="205"/>
      <c r="HQ543" s="205"/>
      <c r="HR543" s="205"/>
      <c r="HS543" s="205"/>
      <c r="HT543" s="205"/>
      <c r="HU543" s="205"/>
      <c r="HV543" s="205"/>
      <c r="HW543" s="205"/>
      <c r="HX543" s="205"/>
      <c r="HY543" s="205"/>
      <c r="HZ543" s="205"/>
      <c r="IA543" s="205"/>
      <c r="IB543" s="205"/>
      <c r="IC543" s="205"/>
      <c r="ID543" s="205"/>
      <c r="IE543" s="205"/>
      <c r="IF543" s="205"/>
      <c r="IG543" s="205"/>
      <c r="IH543" s="205"/>
      <c r="II543" s="205"/>
      <c r="IJ543" s="205"/>
      <c r="IK543" s="205"/>
      <c r="IL543" s="205"/>
      <c r="IM543" s="205"/>
      <c r="IN543" s="205"/>
      <c r="IO543" s="205"/>
      <c r="IP543" s="205"/>
      <c r="IQ543" s="205"/>
      <c r="IR543" s="205"/>
      <c r="IS543" s="205"/>
      <c r="IT543" s="205"/>
      <c r="IU543" s="205"/>
      <c r="IV543" s="205"/>
      <c r="IW543" s="205"/>
      <c r="IX543" s="205"/>
    </row>
    <row r="544" spans="1:258" s="203" customFormat="1" x14ac:dyDescent="0.2">
      <c r="A544" s="669"/>
      <c r="B544" s="670"/>
      <c r="C544" s="1412"/>
      <c r="D544" s="672"/>
      <c r="E544" s="1413"/>
      <c r="F544" s="1413"/>
      <c r="G544" s="1414" t="s">
        <v>1746</v>
      </c>
      <c r="H544" s="1415">
        <f>(30.5+1+1)-H543</f>
        <v>27.5</v>
      </c>
      <c r="I544" s="1416" t="s">
        <v>424</v>
      </c>
      <c r="J544" s="1416">
        <f>1.8+0.2+0.2</f>
        <v>2.2000000000000002</v>
      </c>
      <c r="K544" s="1416"/>
      <c r="L544" s="1416"/>
      <c r="M544" s="1416"/>
      <c r="N544" s="1416"/>
      <c r="O544" s="1416"/>
      <c r="P544" s="1416"/>
      <c r="Q544" s="1416" t="s">
        <v>696</v>
      </c>
      <c r="R544" s="1417">
        <f>H544*J544</f>
        <v>60.500000000000007</v>
      </c>
      <c r="S544" s="1418"/>
      <c r="T544" s="1419"/>
      <c r="U544" s="205"/>
      <c r="V544" s="685"/>
      <c r="W544" s="205"/>
      <c r="X544" s="205"/>
      <c r="Y544" s="205"/>
      <c r="Z544" s="205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205"/>
      <c r="BN544" s="205"/>
      <c r="BO544" s="205"/>
      <c r="BP544" s="205"/>
      <c r="BQ544" s="205"/>
      <c r="BR544" s="205"/>
      <c r="BS544" s="205"/>
      <c r="BT544" s="205"/>
      <c r="BU544" s="205"/>
      <c r="BV544" s="205"/>
      <c r="BW544" s="205"/>
      <c r="BX544" s="205"/>
      <c r="BY544" s="205"/>
      <c r="BZ544" s="205"/>
      <c r="CA544" s="205"/>
      <c r="CB544" s="205"/>
      <c r="CC544" s="205"/>
      <c r="CD544" s="205"/>
      <c r="CE544" s="205"/>
      <c r="CF544" s="205"/>
      <c r="CG544" s="205"/>
      <c r="CH544" s="205"/>
      <c r="CI544" s="205"/>
      <c r="CJ544" s="205"/>
      <c r="CK544" s="205"/>
      <c r="CL544" s="205"/>
      <c r="CM544" s="205"/>
      <c r="CN544" s="205"/>
      <c r="CO544" s="205"/>
      <c r="CP544" s="205"/>
      <c r="CQ544" s="205"/>
      <c r="CR544" s="205"/>
      <c r="CS544" s="205"/>
      <c r="CT544" s="205"/>
      <c r="CU544" s="205"/>
      <c r="CV544" s="205"/>
      <c r="CW544" s="205"/>
      <c r="CX544" s="205"/>
      <c r="CY544" s="205"/>
      <c r="CZ544" s="205"/>
      <c r="DA544" s="205"/>
      <c r="DB544" s="205"/>
      <c r="DC544" s="205"/>
      <c r="DD544" s="205"/>
      <c r="DE544" s="205"/>
      <c r="DF544" s="205"/>
      <c r="DG544" s="205"/>
      <c r="DH544" s="205"/>
      <c r="DI544" s="205"/>
      <c r="DJ544" s="205"/>
      <c r="DK544" s="205"/>
      <c r="DL544" s="205"/>
      <c r="DM544" s="205"/>
      <c r="DN544" s="205"/>
      <c r="DO544" s="205"/>
      <c r="DP544" s="205"/>
      <c r="DQ544" s="205"/>
      <c r="DR544" s="205"/>
      <c r="DS544" s="205"/>
      <c r="DT544" s="205"/>
      <c r="DU544" s="205"/>
      <c r="DV544" s="205"/>
      <c r="DW544" s="205"/>
      <c r="DX544" s="205"/>
      <c r="DY544" s="205"/>
      <c r="DZ544" s="205"/>
      <c r="EA544" s="205"/>
      <c r="EB544" s="205"/>
      <c r="EC544" s="205"/>
      <c r="ED544" s="205"/>
      <c r="EE544" s="205"/>
      <c r="EF544" s="205"/>
      <c r="EG544" s="205"/>
      <c r="EH544" s="205"/>
      <c r="EI544" s="205"/>
      <c r="EJ544" s="205"/>
      <c r="EK544" s="205"/>
      <c r="EL544" s="205"/>
      <c r="EM544" s="205"/>
      <c r="EN544" s="205"/>
      <c r="EO544" s="205"/>
      <c r="EP544" s="205"/>
      <c r="EQ544" s="205"/>
      <c r="ER544" s="205"/>
      <c r="ES544" s="205"/>
      <c r="ET544" s="205"/>
      <c r="EU544" s="205"/>
      <c r="EV544" s="205"/>
      <c r="EW544" s="205"/>
      <c r="EX544" s="205"/>
      <c r="EY544" s="205"/>
      <c r="EZ544" s="205"/>
      <c r="FA544" s="205"/>
      <c r="FB544" s="205"/>
      <c r="FC544" s="205"/>
      <c r="FD544" s="205"/>
      <c r="FE544" s="205"/>
      <c r="FF544" s="205"/>
      <c r="FG544" s="205"/>
      <c r="FH544" s="205"/>
      <c r="FI544" s="205"/>
      <c r="FJ544" s="205"/>
      <c r="FK544" s="205"/>
      <c r="FL544" s="205"/>
      <c r="FM544" s="205"/>
      <c r="FN544" s="205"/>
      <c r="FO544" s="205"/>
      <c r="FP544" s="205"/>
      <c r="FQ544" s="205"/>
      <c r="FR544" s="205"/>
      <c r="FS544" s="205"/>
      <c r="FT544" s="205"/>
      <c r="FU544" s="205"/>
      <c r="FV544" s="205"/>
      <c r="FW544" s="205"/>
      <c r="FX544" s="205"/>
      <c r="FY544" s="205"/>
      <c r="FZ544" s="205"/>
      <c r="GA544" s="205"/>
      <c r="GB544" s="205"/>
      <c r="GC544" s="205"/>
      <c r="GD544" s="205"/>
      <c r="GE544" s="205"/>
      <c r="GF544" s="205"/>
      <c r="GG544" s="205"/>
      <c r="GH544" s="205"/>
      <c r="GI544" s="205"/>
      <c r="GJ544" s="205"/>
      <c r="GK544" s="205"/>
      <c r="GL544" s="205"/>
      <c r="GM544" s="205"/>
      <c r="GN544" s="205"/>
      <c r="GO544" s="205"/>
      <c r="GP544" s="205"/>
      <c r="GQ544" s="205"/>
      <c r="GR544" s="205"/>
      <c r="GS544" s="205"/>
      <c r="GT544" s="205"/>
      <c r="GU544" s="205"/>
      <c r="GV544" s="205"/>
      <c r="GW544" s="205"/>
      <c r="GX544" s="205"/>
      <c r="GY544" s="205"/>
      <c r="GZ544" s="205"/>
      <c r="HA544" s="205"/>
      <c r="HB544" s="205"/>
      <c r="HC544" s="205"/>
      <c r="HD544" s="205"/>
      <c r="HE544" s="205"/>
      <c r="HF544" s="205"/>
      <c r="HG544" s="205"/>
      <c r="HH544" s="205"/>
      <c r="HI544" s="205"/>
      <c r="HJ544" s="205"/>
      <c r="HK544" s="205"/>
      <c r="HL544" s="205"/>
      <c r="HM544" s="205"/>
      <c r="HN544" s="205"/>
      <c r="HO544" s="205"/>
      <c r="HP544" s="205"/>
      <c r="HQ544" s="205"/>
      <c r="HR544" s="205"/>
      <c r="HS544" s="205"/>
      <c r="HT544" s="205"/>
      <c r="HU544" s="205"/>
      <c r="HV544" s="205"/>
      <c r="HW544" s="205"/>
      <c r="HX544" s="205"/>
      <c r="HY544" s="205"/>
      <c r="HZ544" s="205"/>
      <c r="IA544" s="205"/>
      <c r="IB544" s="205"/>
      <c r="IC544" s="205"/>
      <c r="ID544" s="205"/>
      <c r="IE544" s="205"/>
      <c r="IF544" s="205"/>
      <c r="IG544" s="205"/>
      <c r="IH544" s="205"/>
      <c r="II544" s="205"/>
      <c r="IJ544" s="205"/>
      <c r="IK544" s="205"/>
      <c r="IL544" s="205"/>
      <c r="IM544" s="205"/>
      <c r="IN544" s="205"/>
      <c r="IO544" s="205"/>
      <c r="IP544" s="205"/>
      <c r="IQ544" s="205"/>
      <c r="IR544" s="205"/>
      <c r="IS544" s="205"/>
      <c r="IT544" s="205"/>
      <c r="IU544" s="205"/>
      <c r="IV544" s="205"/>
      <c r="IW544" s="205"/>
      <c r="IX544" s="205"/>
    </row>
    <row r="545" spans="1:258" s="203" customFormat="1" x14ac:dyDescent="0.2">
      <c r="A545" s="669"/>
      <c r="B545" s="670"/>
      <c r="C545" s="1412"/>
      <c r="D545" s="672"/>
      <c r="E545" s="1413"/>
      <c r="F545" s="1413"/>
      <c r="G545" s="1414" t="s">
        <v>1747</v>
      </c>
      <c r="H545" s="1415">
        <f>5.2+2.55+2.55</f>
        <v>10.3</v>
      </c>
      <c r="I545" s="1416" t="s">
        <v>424</v>
      </c>
      <c r="J545" s="1416">
        <f>0.6+0.4</f>
        <v>1</v>
      </c>
      <c r="K545" s="1416" t="s">
        <v>424</v>
      </c>
      <c r="L545" s="1416">
        <v>2</v>
      </c>
      <c r="M545" s="1416"/>
      <c r="N545" s="1416"/>
      <c r="O545" s="1416"/>
      <c r="P545" s="1416"/>
      <c r="Q545" s="1416" t="s">
        <v>696</v>
      </c>
      <c r="R545" s="1417">
        <f t="shared" ref="R545" si="181">H545*J545*L545</f>
        <v>20.6</v>
      </c>
      <c r="S545" s="1418"/>
      <c r="T545" s="1419"/>
      <c r="U545" s="205"/>
      <c r="V545" s="685"/>
      <c r="W545" s="205"/>
      <c r="X545" s="205"/>
      <c r="Y545" s="205"/>
      <c r="Z545" s="205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205"/>
      <c r="BN545" s="205"/>
      <c r="BO545" s="205"/>
      <c r="BP545" s="205"/>
      <c r="BQ545" s="205"/>
      <c r="BR545" s="205"/>
      <c r="BS545" s="205"/>
      <c r="BT545" s="205"/>
      <c r="BU545" s="205"/>
      <c r="BV545" s="205"/>
      <c r="BW545" s="205"/>
      <c r="BX545" s="205"/>
      <c r="BY545" s="205"/>
      <c r="BZ545" s="205"/>
      <c r="CA545" s="205"/>
      <c r="CB545" s="205"/>
      <c r="CC545" s="205"/>
      <c r="CD545" s="205"/>
      <c r="CE545" s="205"/>
      <c r="CF545" s="205"/>
      <c r="CG545" s="205"/>
      <c r="CH545" s="205"/>
      <c r="CI545" s="205"/>
      <c r="CJ545" s="205"/>
      <c r="CK545" s="205"/>
      <c r="CL545" s="205"/>
      <c r="CM545" s="205"/>
      <c r="CN545" s="205"/>
      <c r="CO545" s="205"/>
      <c r="CP545" s="205"/>
      <c r="CQ545" s="205"/>
      <c r="CR545" s="205"/>
      <c r="CS545" s="205"/>
      <c r="CT545" s="205"/>
      <c r="CU545" s="205"/>
      <c r="CV545" s="205"/>
      <c r="CW545" s="205"/>
      <c r="CX545" s="205"/>
      <c r="CY545" s="205"/>
      <c r="CZ545" s="205"/>
      <c r="DA545" s="205"/>
      <c r="DB545" s="205"/>
      <c r="DC545" s="205"/>
      <c r="DD545" s="205"/>
      <c r="DE545" s="205"/>
      <c r="DF545" s="205"/>
      <c r="DG545" s="205"/>
      <c r="DH545" s="205"/>
      <c r="DI545" s="205"/>
      <c r="DJ545" s="205"/>
      <c r="DK545" s="205"/>
      <c r="DL545" s="205"/>
      <c r="DM545" s="205"/>
      <c r="DN545" s="205"/>
      <c r="DO545" s="205"/>
      <c r="DP545" s="205"/>
      <c r="DQ545" s="205"/>
      <c r="DR545" s="205"/>
      <c r="DS545" s="205"/>
      <c r="DT545" s="205"/>
      <c r="DU545" s="205"/>
      <c r="DV545" s="205"/>
      <c r="DW545" s="205"/>
      <c r="DX545" s="205"/>
      <c r="DY545" s="205"/>
      <c r="DZ545" s="205"/>
      <c r="EA545" s="205"/>
      <c r="EB545" s="205"/>
      <c r="EC545" s="205"/>
      <c r="ED545" s="205"/>
      <c r="EE545" s="205"/>
      <c r="EF545" s="205"/>
      <c r="EG545" s="205"/>
      <c r="EH545" s="205"/>
      <c r="EI545" s="205"/>
      <c r="EJ545" s="205"/>
      <c r="EK545" s="205"/>
      <c r="EL545" s="205"/>
      <c r="EM545" s="205"/>
      <c r="EN545" s="205"/>
      <c r="EO545" s="205"/>
      <c r="EP545" s="205"/>
      <c r="EQ545" s="205"/>
      <c r="ER545" s="205"/>
      <c r="ES545" s="205"/>
      <c r="ET545" s="205"/>
      <c r="EU545" s="205"/>
      <c r="EV545" s="205"/>
      <c r="EW545" s="205"/>
      <c r="EX545" s="205"/>
      <c r="EY545" s="205"/>
      <c r="EZ545" s="205"/>
      <c r="FA545" s="205"/>
      <c r="FB545" s="205"/>
      <c r="FC545" s="205"/>
      <c r="FD545" s="205"/>
      <c r="FE545" s="205"/>
      <c r="FF545" s="205"/>
      <c r="FG545" s="205"/>
      <c r="FH545" s="205"/>
      <c r="FI545" s="205"/>
      <c r="FJ545" s="205"/>
      <c r="FK545" s="205"/>
      <c r="FL545" s="205"/>
      <c r="FM545" s="205"/>
      <c r="FN545" s="205"/>
      <c r="FO545" s="205"/>
      <c r="FP545" s="205"/>
      <c r="FQ545" s="205"/>
      <c r="FR545" s="205"/>
      <c r="FS545" s="205"/>
      <c r="FT545" s="205"/>
      <c r="FU545" s="205"/>
      <c r="FV545" s="205"/>
      <c r="FW545" s="205"/>
      <c r="FX545" s="205"/>
      <c r="FY545" s="205"/>
      <c r="FZ545" s="205"/>
      <c r="GA545" s="205"/>
      <c r="GB545" s="205"/>
      <c r="GC545" s="205"/>
      <c r="GD545" s="205"/>
      <c r="GE545" s="205"/>
      <c r="GF545" s="205"/>
      <c r="GG545" s="205"/>
      <c r="GH545" s="205"/>
      <c r="GI545" s="205"/>
      <c r="GJ545" s="205"/>
      <c r="GK545" s="205"/>
      <c r="GL545" s="205"/>
      <c r="GM545" s="205"/>
      <c r="GN545" s="205"/>
      <c r="GO545" s="205"/>
      <c r="GP545" s="205"/>
      <c r="GQ545" s="205"/>
      <c r="GR545" s="205"/>
      <c r="GS545" s="205"/>
      <c r="GT545" s="205"/>
      <c r="GU545" s="205"/>
      <c r="GV545" s="205"/>
      <c r="GW545" s="205"/>
      <c r="GX545" s="205"/>
      <c r="GY545" s="205"/>
      <c r="GZ545" s="205"/>
      <c r="HA545" s="205"/>
      <c r="HB545" s="205"/>
      <c r="HC545" s="205"/>
      <c r="HD545" s="205"/>
      <c r="HE545" s="205"/>
      <c r="HF545" s="205"/>
      <c r="HG545" s="205"/>
      <c r="HH545" s="205"/>
      <c r="HI545" s="205"/>
      <c r="HJ545" s="205"/>
      <c r="HK545" s="205"/>
      <c r="HL545" s="205"/>
      <c r="HM545" s="205"/>
      <c r="HN545" s="205"/>
      <c r="HO545" s="205"/>
      <c r="HP545" s="205"/>
      <c r="HQ545" s="205"/>
      <c r="HR545" s="205"/>
      <c r="HS545" s="205"/>
      <c r="HT545" s="205"/>
      <c r="HU545" s="205"/>
      <c r="HV545" s="205"/>
      <c r="HW545" s="205"/>
      <c r="HX545" s="205"/>
      <c r="HY545" s="205"/>
      <c r="HZ545" s="205"/>
      <c r="IA545" s="205"/>
      <c r="IB545" s="205"/>
      <c r="IC545" s="205"/>
      <c r="ID545" s="205"/>
      <c r="IE545" s="205"/>
      <c r="IF545" s="205"/>
      <c r="IG545" s="205"/>
      <c r="IH545" s="205"/>
      <c r="II545" s="205"/>
      <c r="IJ545" s="205"/>
      <c r="IK545" s="205"/>
      <c r="IL545" s="205"/>
      <c r="IM545" s="205"/>
      <c r="IN545" s="205"/>
      <c r="IO545" s="205"/>
      <c r="IP545" s="205"/>
      <c r="IQ545" s="205"/>
      <c r="IR545" s="205"/>
      <c r="IS545" s="205"/>
      <c r="IT545" s="205"/>
      <c r="IU545" s="205"/>
      <c r="IV545" s="205"/>
      <c r="IW545" s="205"/>
      <c r="IX545" s="205"/>
    </row>
    <row r="546" spans="1:258" s="203" customFormat="1" x14ac:dyDescent="0.2">
      <c r="A546" s="669"/>
      <c r="B546" s="670"/>
      <c r="C546" s="1412"/>
      <c r="D546" s="672"/>
      <c r="E546" s="1413"/>
      <c r="F546" s="1413"/>
      <c r="G546" s="1414"/>
      <c r="H546" s="1415"/>
      <c r="I546" s="1416"/>
      <c r="J546" s="1416"/>
      <c r="K546" s="1416"/>
      <c r="L546" s="1416"/>
      <c r="M546" s="1416"/>
      <c r="N546" s="1416"/>
      <c r="O546" s="1416"/>
      <c r="P546" s="1416"/>
      <c r="Q546" s="1416"/>
      <c r="R546" s="1417">
        <f>SUM(R543:R545)</f>
        <v>105.1</v>
      </c>
      <c r="S546" s="1418">
        <f>R546</f>
        <v>105.1</v>
      </c>
      <c r="T546" s="1419" t="s">
        <v>338</v>
      </c>
      <c r="U546" s="205"/>
      <c r="V546" s="685"/>
      <c r="W546" s="205"/>
      <c r="X546" s="205"/>
      <c r="Y546" s="205"/>
      <c r="Z546" s="205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205"/>
      <c r="BN546" s="205"/>
      <c r="BO546" s="205"/>
      <c r="BP546" s="205"/>
      <c r="BQ546" s="205"/>
      <c r="BR546" s="205"/>
      <c r="BS546" s="205"/>
      <c r="BT546" s="205"/>
      <c r="BU546" s="205"/>
      <c r="BV546" s="205"/>
      <c r="BW546" s="205"/>
      <c r="BX546" s="205"/>
      <c r="BY546" s="205"/>
      <c r="BZ546" s="205"/>
      <c r="CA546" s="205"/>
      <c r="CB546" s="205"/>
      <c r="CC546" s="205"/>
      <c r="CD546" s="205"/>
      <c r="CE546" s="205"/>
      <c r="CF546" s="205"/>
      <c r="CG546" s="205"/>
      <c r="CH546" s="205"/>
      <c r="CI546" s="205"/>
      <c r="CJ546" s="205"/>
      <c r="CK546" s="205"/>
      <c r="CL546" s="205"/>
      <c r="CM546" s="205"/>
      <c r="CN546" s="205"/>
      <c r="CO546" s="205"/>
      <c r="CP546" s="205"/>
      <c r="CQ546" s="205"/>
      <c r="CR546" s="205"/>
      <c r="CS546" s="205"/>
      <c r="CT546" s="205"/>
      <c r="CU546" s="205"/>
      <c r="CV546" s="205"/>
      <c r="CW546" s="205"/>
      <c r="CX546" s="205"/>
      <c r="CY546" s="205"/>
      <c r="CZ546" s="205"/>
      <c r="DA546" s="205"/>
      <c r="DB546" s="205"/>
      <c r="DC546" s="205"/>
      <c r="DD546" s="205"/>
      <c r="DE546" s="205"/>
      <c r="DF546" s="205"/>
      <c r="DG546" s="205"/>
      <c r="DH546" s="205"/>
      <c r="DI546" s="205"/>
      <c r="DJ546" s="205"/>
      <c r="DK546" s="205"/>
      <c r="DL546" s="205"/>
      <c r="DM546" s="205"/>
      <c r="DN546" s="205"/>
      <c r="DO546" s="205"/>
      <c r="DP546" s="205"/>
      <c r="DQ546" s="205"/>
      <c r="DR546" s="205"/>
      <c r="DS546" s="205"/>
      <c r="DT546" s="205"/>
      <c r="DU546" s="205"/>
      <c r="DV546" s="205"/>
      <c r="DW546" s="205"/>
      <c r="DX546" s="205"/>
      <c r="DY546" s="205"/>
      <c r="DZ546" s="205"/>
      <c r="EA546" s="205"/>
      <c r="EB546" s="205"/>
      <c r="EC546" s="205"/>
      <c r="ED546" s="205"/>
      <c r="EE546" s="205"/>
      <c r="EF546" s="205"/>
      <c r="EG546" s="205"/>
      <c r="EH546" s="205"/>
      <c r="EI546" s="205"/>
      <c r="EJ546" s="205"/>
      <c r="EK546" s="205"/>
      <c r="EL546" s="205"/>
      <c r="EM546" s="205"/>
      <c r="EN546" s="205"/>
      <c r="EO546" s="205"/>
      <c r="EP546" s="205"/>
      <c r="EQ546" s="205"/>
      <c r="ER546" s="205"/>
      <c r="ES546" s="205"/>
      <c r="ET546" s="205"/>
      <c r="EU546" s="205"/>
      <c r="EV546" s="205"/>
      <c r="EW546" s="205"/>
      <c r="EX546" s="205"/>
      <c r="EY546" s="205"/>
      <c r="EZ546" s="205"/>
      <c r="FA546" s="205"/>
      <c r="FB546" s="205"/>
      <c r="FC546" s="205"/>
      <c r="FD546" s="205"/>
      <c r="FE546" s="205"/>
      <c r="FF546" s="205"/>
      <c r="FG546" s="205"/>
      <c r="FH546" s="205"/>
      <c r="FI546" s="205"/>
      <c r="FJ546" s="205"/>
      <c r="FK546" s="205"/>
      <c r="FL546" s="205"/>
      <c r="FM546" s="205"/>
      <c r="FN546" s="205"/>
      <c r="FO546" s="205"/>
      <c r="FP546" s="205"/>
      <c r="FQ546" s="205"/>
      <c r="FR546" s="205"/>
      <c r="FS546" s="205"/>
      <c r="FT546" s="205"/>
      <c r="FU546" s="205"/>
      <c r="FV546" s="205"/>
      <c r="FW546" s="205"/>
      <c r="FX546" s="205"/>
      <c r="FY546" s="205"/>
      <c r="FZ546" s="205"/>
      <c r="GA546" s="205"/>
      <c r="GB546" s="205"/>
      <c r="GC546" s="205"/>
      <c r="GD546" s="205"/>
      <c r="GE546" s="205"/>
      <c r="GF546" s="205"/>
      <c r="GG546" s="205"/>
      <c r="GH546" s="205"/>
      <c r="GI546" s="205"/>
      <c r="GJ546" s="205"/>
      <c r="GK546" s="205"/>
      <c r="GL546" s="205"/>
      <c r="GM546" s="205"/>
      <c r="GN546" s="205"/>
      <c r="GO546" s="205"/>
      <c r="GP546" s="205"/>
      <c r="GQ546" s="205"/>
      <c r="GR546" s="205"/>
      <c r="GS546" s="205"/>
      <c r="GT546" s="205"/>
      <c r="GU546" s="205"/>
      <c r="GV546" s="205"/>
      <c r="GW546" s="205"/>
      <c r="GX546" s="205"/>
      <c r="GY546" s="205"/>
      <c r="GZ546" s="205"/>
      <c r="HA546" s="205"/>
      <c r="HB546" s="205"/>
      <c r="HC546" s="205"/>
      <c r="HD546" s="205"/>
      <c r="HE546" s="205"/>
      <c r="HF546" s="205"/>
      <c r="HG546" s="205"/>
      <c r="HH546" s="205"/>
      <c r="HI546" s="205"/>
      <c r="HJ546" s="205"/>
      <c r="HK546" s="205"/>
      <c r="HL546" s="205"/>
      <c r="HM546" s="205"/>
      <c r="HN546" s="205"/>
      <c r="HO546" s="205"/>
      <c r="HP546" s="205"/>
      <c r="HQ546" s="205"/>
      <c r="HR546" s="205"/>
      <c r="HS546" s="205"/>
      <c r="HT546" s="205"/>
      <c r="HU546" s="205"/>
      <c r="HV546" s="205"/>
      <c r="HW546" s="205"/>
      <c r="HX546" s="205"/>
      <c r="HY546" s="205"/>
      <c r="HZ546" s="205"/>
      <c r="IA546" s="205"/>
      <c r="IB546" s="205"/>
      <c r="IC546" s="205"/>
      <c r="ID546" s="205"/>
      <c r="IE546" s="205"/>
      <c r="IF546" s="205"/>
      <c r="IG546" s="205"/>
      <c r="IH546" s="205"/>
      <c r="II546" s="205"/>
      <c r="IJ546" s="205"/>
      <c r="IK546" s="205"/>
      <c r="IL546" s="205"/>
      <c r="IM546" s="205"/>
      <c r="IN546" s="205"/>
      <c r="IO546" s="205"/>
      <c r="IP546" s="205"/>
      <c r="IQ546" s="205"/>
      <c r="IR546" s="205"/>
      <c r="IS546" s="205"/>
      <c r="IT546" s="205"/>
      <c r="IU546" s="205"/>
      <c r="IV546" s="205"/>
      <c r="IW546" s="205"/>
      <c r="IX546" s="205"/>
    </row>
    <row r="547" spans="1:258" s="203" customFormat="1" x14ac:dyDescent="0.2">
      <c r="A547" s="669"/>
      <c r="B547" s="670"/>
      <c r="C547" s="1412"/>
      <c r="D547" s="672"/>
      <c r="E547" s="1413"/>
      <c r="F547" s="1413"/>
      <c r="G547" s="1414"/>
      <c r="H547" s="1415"/>
      <c r="I547" s="1416"/>
      <c r="J547" s="1416"/>
      <c r="K547" s="1416"/>
      <c r="L547" s="1416"/>
      <c r="M547" s="1416"/>
      <c r="N547" s="1416"/>
      <c r="O547" s="1416"/>
      <c r="P547" s="1416"/>
      <c r="Q547" s="1416"/>
      <c r="R547" s="1417"/>
      <c r="S547" s="1418"/>
      <c r="T547" s="1419"/>
      <c r="U547" s="205"/>
      <c r="V547" s="685"/>
      <c r="W547" s="205"/>
      <c r="X547" s="205"/>
      <c r="Y547" s="205"/>
      <c r="Z547" s="205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  <c r="BK547" s="205"/>
      <c r="BL547" s="205"/>
      <c r="BM547" s="205"/>
      <c r="BN547" s="205"/>
      <c r="BO547" s="205"/>
      <c r="BP547" s="205"/>
      <c r="BQ547" s="205"/>
      <c r="BR547" s="205"/>
      <c r="BS547" s="205"/>
      <c r="BT547" s="205"/>
      <c r="BU547" s="205"/>
      <c r="BV547" s="205"/>
      <c r="BW547" s="205"/>
      <c r="BX547" s="205"/>
      <c r="BY547" s="205"/>
      <c r="BZ547" s="205"/>
      <c r="CA547" s="205"/>
      <c r="CB547" s="205"/>
      <c r="CC547" s="205"/>
      <c r="CD547" s="205"/>
      <c r="CE547" s="205"/>
      <c r="CF547" s="205"/>
      <c r="CG547" s="205"/>
      <c r="CH547" s="205"/>
      <c r="CI547" s="205"/>
      <c r="CJ547" s="205"/>
      <c r="CK547" s="205"/>
      <c r="CL547" s="205"/>
      <c r="CM547" s="205"/>
      <c r="CN547" s="205"/>
      <c r="CO547" s="205"/>
      <c r="CP547" s="205"/>
      <c r="CQ547" s="205"/>
      <c r="CR547" s="205"/>
      <c r="CS547" s="205"/>
      <c r="CT547" s="205"/>
      <c r="CU547" s="205"/>
      <c r="CV547" s="205"/>
      <c r="CW547" s="205"/>
      <c r="CX547" s="205"/>
      <c r="CY547" s="205"/>
      <c r="CZ547" s="205"/>
      <c r="DA547" s="205"/>
      <c r="DB547" s="205"/>
      <c r="DC547" s="205"/>
      <c r="DD547" s="205"/>
      <c r="DE547" s="205"/>
      <c r="DF547" s="205"/>
      <c r="DG547" s="205"/>
      <c r="DH547" s="205"/>
      <c r="DI547" s="205"/>
      <c r="DJ547" s="205"/>
      <c r="DK547" s="205"/>
      <c r="DL547" s="205"/>
      <c r="DM547" s="205"/>
      <c r="DN547" s="205"/>
      <c r="DO547" s="205"/>
      <c r="DP547" s="205"/>
      <c r="DQ547" s="205"/>
      <c r="DR547" s="205"/>
      <c r="DS547" s="205"/>
      <c r="DT547" s="205"/>
      <c r="DU547" s="205"/>
      <c r="DV547" s="205"/>
      <c r="DW547" s="205"/>
      <c r="DX547" s="205"/>
      <c r="DY547" s="205"/>
      <c r="DZ547" s="205"/>
      <c r="EA547" s="205"/>
      <c r="EB547" s="205"/>
      <c r="EC547" s="205"/>
      <c r="ED547" s="205"/>
      <c r="EE547" s="205"/>
      <c r="EF547" s="205"/>
      <c r="EG547" s="205"/>
      <c r="EH547" s="205"/>
      <c r="EI547" s="205"/>
      <c r="EJ547" s="205"/>
      <c r="EK547" s="205"/>
      <c r="EL547" s="205"/>
      <c r="EM547" s="205"/>
      <c r="EN547" s="205"/>
      <c r="EO547" s="205"/>
      <c r="EP547" s="205"/>
      <c r="EQ547" s="205"/>
      <c r="ER547" s="205"/>
      <c r="ES547" s="205"/>
      <c r="ET547" s="205"/>
      <c r="EU547" s="205"/>
      <c r="EV547" s="205"/>
      <c r="EW547" s="205"/>
      <c r="EX547" s="205"/>
      <c r="EY547" s="205"/>
      <c r="EZ547" s="205"/>
      <c r="FA547" s="205"/>
      <c r="FB547" s="205"/>
      <c r="FC547" s="205"/>
      <c r="FD547" s="205"/>
      <c r="FE547" s="205"/>
      <c r="FF547" s="205"/>
      <c r="FG547" s="205"/>
      <c r="FH547" s="205"/>
      <c r="FI547" s="205"/>
      <c r="FJ547" s="205"/>
      <c r="FK547" s="205"/>
      <c r="FL547" s="205"/>
      <c r="FM547" s="205"/>
      <c r="FN547" s="205"/>
      <c r="FO547" s="205"/>
      <c r="FP547" s="205"/>
      <c r="FQ547" s="205"/>
      <c r="FR547" s="205"/>
      <c r="FS547" s="205"/>
      <c r="FT547" s="205"/>
      <c r="FU547" s="205"/>
      <c r="FV547" s="205"/>
      <c r="FW547" s="205"/>
      <c r="FX547" s="205"/>
      <c r="FY547" s="205"/>
      <c r="FZ547" s="205"/>
      <c r="GA547" s="205"/>
      <c r="GB547" s="205"/>
      <c r="GC547" s="205"/>
      <c r="GD547" s="205"/>
      <c r="GE547" s="205"/>
      <c r="GF547" s="205"/>
      <c r="GG547" s="205"/>
      <c r="GH547" s="205"/>
      <c r="GI547" s="205"/>
      <c r="GJ547" s="205"/>
      <c r="GK547" s="205"/>
      <c r="GL547" s="205"/>
      <c r="GM547" s="205"/>
      <c r="GN547" s="205"/>
      <c r="GO547" s="205"/>
      <c r="GP547" s="205"/>
      <c r="GQ547" s="205"/>
      <c r="GR547" s="205"/>
      <c r="GS547" s="205"/>
      <c r="GT547" s="205"/>
      <c r="GU547" s="205"/>
      <c r="GV547" s="205"/>
      <c r="GW547" s="205"/>
      <c r="GX547" s="205"/>
      <c r="GY547" s="205"/>
      <c r="GZ547" s="205"/>
      <c r="HA547" s="205"/>
      <c r="HB547" s="205"/>
      <c r="HC547" s="205"/>
      <c r="HD547" s="205"/>
      <c r="HE547" s="205"/>
      <c r="HF547" s="205"/>
      <c r="HG547" s="205"/>
      <c r="HH547" s="205"/>
      <c r="HI547" s="205"/>
      <c r="HJ547" s="205"/>
      <c r="HK547" s="205"/>
      <c r="HL547" s="205"/>
      <c r="HM547" s="205"/>
      <c r="HN547" s="205"/>
      <c r="HO547" s="205"/>
      <c r="HP547" s="205"/>
      <c r="HQ547" s="205"/>
      <c r="HR547" s="205"/>
      <c r="HS547" s="205"/>
      <c r="HT547" s="205"/>
      <c r="HU547" s="205"/>
      <c r="HV547" s="205"/>
      <c r="HW547" s="205"/>
      <c r="HX547" s="205"/>
      <c r="HY547" s="205"/>
      <c r="HZ547" s="205"/>
      <c r="IA547" s="205"/>
      <c r="IB547" s="205"/>
      <c r="IC547" s="205"/>
      <c r="ID547" s="205"/>
      <c r="IE547" s="205"/>
      <c r="IF547" s="205"/>
      <c r="IG547" s="205"/>
      <c r="IH547" s="205"/>
      <c r="II547" s="205"/>
      <c r="IJ547" s="205"/>
      <c r="IK547" s="205"/>
      <c r="IL547" s="205"/>
      <c r="IM547" s="205"/>
      <c r="IN547" s="205"/>
      <c r="IO547" s="205"/>
      <c r="IP547" s="205"/>
      <c r="IQ547" s="205"/>
      <c r="IR547" s="205"/>
      <c r="IS547" s="205"/>
      <c r="IT547" s="205"/>
      <c r="IU547" s="205"/>
      <c r="IV547" s="205"/>
      <c r="IW547" s="205"/>
      <c r="IX547" s="205"/>
    </row>
    <row r="548" spans="1:258" s="203" customFormat="1" x14ac:dyDescent="0.2">
      <c r="A548" s="669"/>
      <c r="B548" s="670"/>
      <c r="C548" s="1412"/>
      <c r="D548" s="672"/>
      <c r="E548" s="1413"/>
      <c r="F548" s="1413"/>
      <c r="G548" s="1414"/>
      <c r="H548" s="1415"/>
      <c r="I548" s="1416"/>
      <c r="J548" s="1416"/>
      <c r="K548" s="1416"/>
      <c r="L548" s="1416"/>
      <c r="M548" s="1416"/>
      <c r="N548" s="1416"/>
      <c r="O548" s="1416"/>
      <c r="P548" s="1416"/>
      <c r="Q548" s="1416"/>
      <c r="R548" s="1417"/>
      <c r="S548" s="1418"/>
      <c r="T548" s="1419"/>
      <c r="U548" s="205"/>
      <c r="V548" s="685"/>
      <c r="W548" s="205"/>
      <c r="X548" s="205"/>
      <c r="Y548" s="205"/>
      <c r="Z548" s="205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205"/>
      <c r="BN548" s="205"/>
      <c r="BO548" s="205"/>
      <c r="BP548" s="205"/>
      <c r="BQ548" s="205"/>
      <c r="BR548" s="205"/>
      <c r="BS548" s="205"/>
      <c r="BT548" s="205"/>
      <c r="BU548" s="205"/>
      <c r="BV548" s="205"/>
      <c r="BW548" s="205"/>
      <c r="BX548" s="205"/>
      <c r="BY548" s="205"/>
      <c r="BZ548" s="205"/>
      <c r="CA548" s="205"/>
      <c r="CB548" s="205"/>
      <c r="CC548" s="205"/>
      <c r="CD548" s="205"/>
      <c r="CE548" s="205"/>
      <c r="CF548" s="205"/>
      <c r="CG548" s="205"/>
      <c r="CH548" s="205"/>
      <c r="CI548" s="205"/>
      <c r="CJ548" s="205"/>
      <c r="CK548" s="205"/>
      <c r="CL548" s="205"/>
      <c r="CM548" s="205"/>
      <c r="CN548" s="205"/>
      <c r="CO548" s="205"/>
      <c r="CP548" s="205"/>
      <c r="CQ548" s="205"/>
      <c r="CR548" s="205"/>
      <c r="CS548" s="205"/>
      <c r="CT548" s="205"/>
      <c r="CU548" s="205"/>
      <c r="CV548" s="205"/>
      <c r="CW548" s="205"/>
      <c r="CX548" s="205"/>
      <c r="CY548" s="205"/>
      <c r="CZ548" s="205"/>
      <c r="DA548" s="205"/>
      <c r="DB548" s="205"/>
      <c r="DC548" s="205"/>
      <c r="DD548" s="205"/>
      <c r="DE548" s="205"/>
      <c r="DF548" s="205"/>
      <c r="DG548" s="205"/>
      <c r="DH548" s="205"/>
      <c r="DI548" s="205"/>
      <c r="DJ548" s="205"/>
      <c r="DK548" s="205"/>
      <c r="DL548" s="205"/>
      <c r="DM548" s="205"/>
      <c r="DN548" s="205"/>
      <c r="DO548" s="205"/>
      <c r="DP548" s="205"/>
      <c r="DQ548" s="205"/>
      <c r="DR548" s="205"/>
      <c r="DS548" s="205"/>
      <c r="DT548" s="205"/>
      <c r="DU548" s="205"/>
      <c r="DV548" s="205"/>
      <c r="DW548" s="205"/>
      <c r="DX548" s="205"/>
      <c r="DY548" s="205"/>
      <c r="DZ548" s="205"/>
      <c r="EA548" s="205"/>
      <c r="EB548" s="205"/>
      <c r="EC548" s="205"/>
      <c r="ED548" s="205"/>
      <c r="EE548" s="205"/>
      <c r="EF548" s="205"/>
      <c r="EG548" s="205"/>
      <c r="EH548" s="205"/>
      <c r="EI548" s="205"/>
      <c r="EJ548" s="205"/>
      <c r="EK548" s="205"/>
      <c r="EL548" s="205"/>
      <c r="EM548" s="205"/>
      <c r="EN548" s="205"/>
      <c r="EO548" s="205"/>
      <c r="EP548" s="205"/>
      <c r="EQ548" s="205"/>
      <c r="ER548" s="205"/>
      <c r="ES548" s="205"/>
      <c r="ET548" s="205"/>
      <c r="EU548" s="205"/>
      <c r="EV548" s="205"/>
      <c r="EW548" s="205"/>
      <c r="EX548" s="205"/>
      <c r="EY548" s="205"/>
      <c r="EZ548" s="205"/>
      <c r="FA548" s="205"/>
      <c r="FB548" s="205"/>
      <c r="FC548" s="205"/>
      <c r="FD548" s="205"/>
      <c r="FE548" s="205"/>
      <c r="FF548" s="205"/>
      <c r="FG548" s="205"/>
      <c r="FH548" s="205"/>
      <c r="FI548" s="205"/>
      <c r="FJ548" s="205"/>
      <c r="FK548" s="205"/>
      <c r="FL548" s="205"/>
      <c r="FM548" s="205"/>
      <c r="FN548" s="205"/>
      <c r="FO548" s="205"/>
      <c r="FP548" s="205"/>
      <c r="FQ548" s="205"/>
      <c r="FR548" s="205"/>
      <c r="FS548" s="205"/>
      <c r="FT548" s="205"/>
      <c r="FU548" s="205"/>
      <c r="FV548" s="205"/>
      <c r="FW548" s="205"/>
      <c r="FX548" s="205"/>
      <c r="FY548" s="205"/>
      <c r="FZ548" s="205"/>
      <c r="GA548" s="205"/>
      <c r="GB548" s="205"/>
      <c r="GC548" s="205"/>
      <c r="GD548" s="205"/>
      <c r="GE548" s="205"/>
      <c r="GF548" s="205"/>
      <c r="GG548" s="205"/>
      <c r="GH548" s="205"/>
      <c r="GI548" s="205"/>
      <c r="GJ548" s="205"/>
      <c r="GK548" s="205"/>
      <c r="GL548" s="205"/>
      <c r="GM548" s="205"/>
      <c r="GN548" s="205"/>
      <c r="GO548" s="205"/>
      <c r="GP548" s="205"/>
      <c r="GQ548" s="205"/>
      <c r="GR548" s="205"/>
      <c r="GS548" s="205"/>
      <c r="GT548" s="205"/>
      <c r="GU548" s="205"/>
      <c r="GV548" s="205"/>
      <c r="GW548" s="205"/>
      <c r="GX548" s="205"/>
      <c r="GY548" s="205"/>
      <c r="GZ548" s="205"/>
      <c r="HA548" s="205"/>
      <c r="HB548" s="205"/>
      <c r="HC548" s="205"/>
      <c r="HD548" s="205"/>
      <c r="HE548" s="205"/>
      <c r="HF548" s="205"/>
      <c r="HG548" s="205"/>
      <c r="HH548" s="205"/>
      <c r="HI548" s="205"/>
      <c r="HJ548" s="205"/>
      <c r="HK548" s="205"/>
      <c r="HL548" s="205"/>
      <c r="HM548" s="205"/>
      <c r="HN548" s="205"/>
      <c r="HO548" s="205"/>
      <c r="HP548" s="205"/>
      <c r="HQ548" s="205"/>
      <c r="HR548" s="205"/>
      <c r="HS548" s="205"/>
      <c r="HT548" s="205"/>
      <c r="HU548" s="205"/>
      <c r="HV548" s="205"/>
      <c r="HW548" s="205"/>
      <c r="HX548" s="205"/>
      <c r="HY548" s="205"/>
      <c r="HZ548" s="205"/>
      <c r="IA548" s="205"/>
      <c r="IB548" s="205"/>
      <c r="IC548" s="205"/>
      <c r="ID548" s="205"/>
      <c r="IE548" s="205"/>
      <c r="IF548" s="205"/>
      <c r="IG548" s="205"/>
      <c r="IH548" s="205"/>
      <c r="II548" s="205"/>
      <c r="IJ548" s="205"/>
      <c r="IK548" s="205"/>
      <c r="IL548" s="205"/>
      <c r="IM548" s="205"/>
      <c r="IN548" s="205"/>
      <c r="IO548" s="205"/>
      <c r="IP548" s="205"/>
      <c r="IQ548" s="205"/>
      <c r="IR548" s="205"/>
      <c r="IS548" s="205"/>
      <c r="IT548" s="205"/>
      <c r="IU548" s="205"/>
      <c r="IV548" s="205"/>
      <c r="IW548" s="205"/>
      <c r="IX548" s="205"/>
    </row>
    <row r="549" spans="1:258" s="203" customFormat="1" x14ac:dyDescent="0.2">
      <c r="A549" s="669"/>
      <c r="B549" s="670">
        <f>RAB!B184</f>
        <v>2</v>
      </c>
      <c r="C549" s="686" t="str">
        <f>RAB!D184</f>
        <v>Pemasangan Reyling tangga "stainlees"</v>
      </c>
      <c r="D549" s="672"/>
      <c r="E549" s="673"/>
      <c r="F549" s="673"/>
      <c r="G549" s="674"/>
      <c r="H549" s="675"/>
      <c r="I549" s="676"/>
      <c r="J549" s="676"/>
      <c r="K549" s="676"/>
      <c r="L549" s="676"/>
      <c r="M549" s="676"/>
      <c r="N549" s="676"/>
      <c r="O549" s="676"/>
      <c r="P549" s="676"/>
      <c r="Q549" s="676"/>
      <c r="R549" s="677"/>
      <c r="S549" s="678"/>
      <c r="T549" s="684"/>
      <c r="U549" s="205"/>
      <c r="V549" s="685"/>
      <c r="W549" s="205"/>
      <c r="X549" s="205"/>
      <c r="Y549" s="205"/>
      <c r="Z549" s="205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205"/>
      <c r="BN549" s="205"/>
      <c r="BO549" s="205"/>
      <c r="BP549" s="205"/>
      <c r="BQ549" s="205"/>
      <c r="BR549" s="205"/>
      <c r="BS549" s="205"/>
      <c r="BT549" s="205"/>
      <c r="BU549" s="205"/>
      <c r="BV549" s="205"/>
      <c r="BW549" s="205"/>
      <c r="BX549" s="205"/>
      <c r="BY549" s="205"/>
      <c r="BZ549" s="205"/>
      <c r="CA549" s="205"/>
      <c r="CB549" s="205"/>
      <c r="CC549" s="205"/>
      <c r="CD549" s="205"/>
      <c r="CE549" s="205"/>
      <c r="CF549" s="205"/>
      <c r="CG549" s="205"/>
      <c r="CH549" s="205"/>
      <c r="CI549" s="205"/>
      <c r="CJ549" s="205"/>
      <c r="CK549" s="205"/>
      <c r="CL549" s="205"/>
      <c r="CM549" s="205"/>
      <c r="CN549" s="205"/>
      <c r="CO549" s="205"/>
      <c r="CP549" s="205"/>
      <c r="CQ549" s="205"/>
      <c r="CR549" s="205"/>
      <c r="CS549" s="205"/>
      <c r="CT549" s="205"/>
      <c r="CU549" s="205"/>
      <c r="CV549" s="205"/>
      <c r="CW549" s="205"/>
      <c r="CX549" s="205"/>
      <c r="CY549" s="205"/>
      <c r="CZ549" s="205"/>
      <c r="DA549" s="205"/>
      <c r="DB549" s="205"/>
      <c r="DC549" s="205"/>
      <c r="DD549" s="205"/>
      <c r="DE549" s="205"/>
      <c r="DF549" s="205"/>
      <c r="DG549" s="205"/>
      <c r="DH549" s="205"/>
      <c r="DI549" s="205"/>
      <c r="DJ549" s="205"/>
      <c r="DK549" s="205"/>
      <c r="DL549" s="205"/>
      <c r="DM549" s="205"/>
      <c r="DN549" s="205"/>
      <c r="DO549" s="205"/>
      <c r="DP549" s="205"/>
      <c r="DQ549" s="205"/>
      <c r="DR549" s="205"/>
      <c r="DS549" s="205"/>
      <c r="DT549" s="205"/>
      <c r="DU549" s="205"/>
      <c r="DV549" s="205"/>
      <c r="DW549" s="205"/>
      <c r="DX549" s="205"/>
      <c r="DY549" s="205"/>
      <c r="DZ549" s="205"/>
      <c r="EA549" s="205"/>
      <c r="EB549" s="205"/>
      <c r="EC549" s="205"/>
      <c r="ED549" s="205"/>
      <c r="EE549" s="205"/>
      <c r="EF549" s="205"/>
      <c r="EG549" s="205"/>
      <c r="EH549" s="205"/>
      <c r="EI549" s="205"/>
      <c r="EJ549" s="205"/>
      <c r="EK549" s="205"/>
      <c r="EL549" s="205"/>
      <c r="EM549" s="205"/>
      <c r="EN549" s="205"/>
      <c r="EO549" s="205"/>
      <c r="EP549" s="205"/>
      <c r="EQ549" s="205"/>
      <c r="ER549" s="205"/>
      <c r="ES549" s="205"/>
      <c r="ET549" s="205"/>
      <c r="EU549" s="205"/>
      <c r="EV549" s="205"/>
      <c r="EW549" s="205"/>
      <c r="EX549" s="205"/>
      <c r="EY549" s="205"/>
      <c r="EZ549" s="205"/>
      <c r="FA549" s="205"/>
      <c r="FB549" s="205"/>
      <c r="FC549" s="205"/>
      <c r="FD549" s="205"/>
      <c r="FE549" s="205"/>
      <c r="FF549" s="205"/>
      <c r="FG549" s="205"/>
      <c r="FH549" s="205"/>
      <c r="FI549" s="205"/>
      <c r="FJ549" s="205"/>
      <c r="FK549" s="205"/>
      <c r="FL549" s="205"/>
      <c r="FM549" s="205"/>
      <c r="FN549" s="205"/>
      <c r="FO549" s="205"/>
      <c r="FP549" s="205"/>
      <c r="FQ549" s="205"/>
      <c r="FR549" s="205"/>
      <c r="FS549" s="205"/>
      <c r="FT549" s="205"/>
      <c r="FU549" s="205"/>
      <c r="FV549" s="205"/>
      <c r="FW549" s="205"/>
      <c r="FX549" s="205"/>
      <c r="FY549" s="205"/>
      <c r="FZ549" s="205"/>
      <c r="GA549" s="205"/>
      <c r="GB549" s="205"/>
      <c r="GC549" s="205"/>
      <c r="GD549" s="205"/>
      <c r="GE549" s="205"/>
      <c r="GF549" s="205"/>
      <c r="GG549" s="205"/>
      <c r="GH549" s="205"/>
      <c r="GI549" s="205"/>
      <c r="GJ549" s="205"/>
      <c r="GK549" s="205"/>
      <c r="GL549" s="205"/>
      <c r="GM549" s="205"/>
      <c r="GN549" s="205"/>
      <c r="GO549" s="205"/>
      <c r="GP549" s="205"/>
      <c r="GQ549" s="205"/>
      <c r="GR549" s="205"/>
      <c r="GS549" s="205"/>
      <c r="GT549" s="205"/>
      <c r="GU549" s="205"/>
      <c r="GV549" s="205"/>
      <c r="GW549" s="205"/>
      <c r="GX549" s="205"/>
      <c r="GY549" s="205"/>
      <c r="GZ549" s="205"/>
      <c r="HA549" s="205"/>
      <c r="HB549" s="205"/>
      <c r="HC549" s="205"/>
      <c r="HD549" s="205"/>
      <c r="HE549" s="205"/>
      <c r="HF549" s="205"/>
      <c r="HG549" s="205"/>
      <c r="HH549" s="205"/>
      <c r="HI549" s="205"/>
      <c r="HJ549" s="205"/>
      <c r="HK549" s="205"/>
      <c r="HL549" s="205"/>
      <c r="HM549" s="205"/>
      <c r="HN549" s="205"/>
      <c r="HO549" s="205"/>
      <c r="HP549" s="205"/>
      <c r="HQ549" s="205"/>
      <c r="HR549" s="205"/>
      <c r="HS549" s="205"/>
      <c r="HT549" s="205"/>
      <c r="HU549" s="205"/>
      <c r="HV549" s="205"/>
      <c r="HW549" s="205"/>
      <c r="HX549" s="205"/>
      <c r="HY549" s="205"/>
      <c r="HZ549" s="205"/>
      <c r="IA549" s="205"/>
      <c r="IB549" s="205"/>
      <c r="IC549" s="205"/>
      <c r="ID549" s="205"/>
      <c r="IE549" s="205"/>
      <c r="IF549" s="205"/>
      <c r="IG549" s="205"/>
      <c r="IH549" s="205"/>
      <c r="II549" s="205"/>
      <c r="IJ549" s="205"/>
      <c r="IK549" s="205"/>
      <c r="IL549" s="205"/>
      <c r="IM549" s="205"/>
      <c r="IN549" s="205"/>
      <c r="IO549" s="205"/>
      <c r="IP549" s="205"/>
      <c r="IQ549" s="205"/>
      <c r="IR549" s="205"/>
      <c r="IS549" s="205"/>
      <c r="IT549" s="205"/>
      <c r="IU549" s="205"/>
      <c r="IV549" s="205"/>
      <c r="IW549" s="205"/>
      <c r="IX549" s="205"/>
    </row>
    <row r="550" spans="1:258" s="203" customFormat="1" x14ac:dyDescent="0.2">
      <c r="A550" s="669"/>
      <c r="B550" s="670">
        <f>RAB!B185</f>
        <v>3</v>
      </c>
      <c r="C550" s="686" t="str">
        <f>RAB!D185</f>
        <v>Pemasangan Logo Puskesmas bahan acrilik+lampu tinggi 60cm</v>
      </c>
      <c r="D550" s="672"/>
      <c r="E550" s="673"/>
      <c r="F550" s="673"/>
      <c r="G550" s="674"/>
      <c r="H550" s="675">
        <v>60</v>
      </c>
      <c r="I550" s="676"/>
      <c r="J550" s="676"/>
      <c r="K550" s="676"/>
      <c r="L550" s="676"/>
      <c r="M550" s="676"/>
      <c r="N550" s="676"/>
      <c r="O550" s="676"/>
      <c r="P550" s="676"/>
      <c r="Q550" s="676" t="s">
        <v>696</v>
      </c>
      <c r="R550" s="677">
        <f>H550</f>
        <v>60</v>
      </c>
      <c r="S550" s="678">
        <f>R550</f>
        <v>60</v>
      </c>
      <c r="T550" s="684" t="s">
        <v>253</v>
      </c>
      <c r="U550" s="205"/>
      <c r="V550" s="685"/>
      <c r="W550" s="205"/>
      <c r="X550" s="205"/>
      <c r="Y550" s="205"/>
      <c r="Z550" s="205"/>
      <c r="AA550" s="205"/>
      <c r="AB550" s="205"/>
      <c r="AC550" s="20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5"/>
      <c r="AR550" s="205"/>
      <c r="AS550" s="205"/>
      <c r="AT550" s="205"/>
      <c r="AU550" s="205"/>
      <c r="AV550" s="205"/>
      <c r="AW550" s="205"/>
      <c r="AX550" s="205"/>
      <c r="AY550" s="205"/>
      <c r="AZ550" s="205"/>
      <c r="BA550" s="205"/>
      <c r="BB550" s="205"/>
      <c r="BC550" s="205"/>
      <c r="BD550" s="205"/>
      <c r="BE550" s="205"/>
      <c r="BF550" s="205"/>
      <c r="BG550" s="205"/>
      <c r="BH550" s="205"/>
      <c r="BI550" s="205"/>
      <c r="BJ550" s="205"/>
      <c r="BK550" s="205"/>
      <c r="BL550" s="205"/>
      <c r="BM550" s="205"/>
      <c r="BN550" s="205"/>
      <c r="BO550" s="205"/>
      <c r="BP550" s="205"/>
      <c r="BQ550" s="205"/>
      <c r="BR550" s="205"/>
      <c r="BS550" s="205"/>
      <c r="BT550" s="205"/>
      <c r="BU550" s="205"/>
      <c r="BV550" s="205"/>
      <c r="BW550" s="205"/>
      <c r="BX550" s="205"/>
      <c r="BY550" s="205"/>
      <c r="BZ550" s="205"/>
      <c r="CA550" s="205"/>
      <c r="CB550" s="205"/>
      <c r="CC550" s="205"/>
      <c r="CD550" s="205"/>
      <c r="CE550" s="205"/>
      <c r="CF550" s="205"/>
      <c r="CG550" s="205"/>
      <c r="CH550" s="205"/>
      <c r="CI550" s="205"/>
      <c r="CJ550" s="205"/>
      <c r="CK550" s="205"/>
      <c r="CL550" s="205"/>
      <c r="CM550" s="205"/>
      <c r="CN550" s="205"/>
      <c r="CO550" s="205"/>
      <c r="CP550" s="205"/>
      <c r="CQ550" s="205"/>
      <c r="CR550" s="205"/>
      <c r="CS550" s="205"/>
      <c r="CT550" s="205"/>
      <c r="CU550" s="205"/>
      <c r="CV550" s="205"/>
      <c r="CW550" s="205"/>
      <c r="CX550" s="205"/>
      <c r="CY550" s="205"/>
      <c r="CZ550" s="205"/>
      <c r="DA550" s="205"/>
      <c r="DB550" s="205"/>
      <c r="DC550" s="205"/>
      <c r="DD550" s="205"/>
      <c r="DE550" s="205"/>
      <c r="DF550" s="205"/>
      <c r="DG550" s="205"/>
      <c r="DH550" s="205"/>
      <c r="DI550" s="205"/>
      <c r="DJ550" s="205"/>
      <c r="DK550" s="205"/>
      <c r="DL550" s="205"/>
      <c r="DM550" s="205"/>
      <c r="DN550" s="205"/>
      <c r="DO550" s="205"/>
      <c r="DP550" s="205"/>
      <c r="DQ550" s="205"/>
      <c r="DR550" s="205"/>
      <c r="DS550" s="205"/>
      <c r="DT550" s="205"/>
      <c r="DU550" s="205"/>
      <c r="DV550" s="205"/>
      <c r="DW550" s="205"/>
      <c r="DX550" s="205"/>
      <c r="DY550" s="205"/>
      <c r="DZ550" s="205"/>
      <c r="EA550" s="205"/>
      <c r="EB550" s="205"/>
      <c r="EC550" s="205"/>
      <c r="ED550" s="205"/>
      <c r="EE550" s="205"/>
      <c r="EF550" s="205"/>
      <c r="EG550" s="205"/>
      <c r="EH550" s="205"/>
      <c r="EI550" s="205"/>
      <c r="EJ550" s="205"/>
      <c r="EK550" s="205"/>
      <c r="EL550" s="205"/>
      <c r="EM550" s="205"/>
      <c r="EN550" s="205"/>
      <c r="EO550" s="205"/>
      <c r="EP550" s="205"/>
      <c r="EQ550" s="205"/>
      <c r="ER550" s="205"/>
      <c r="ES550" s="205"/>
      <c r="ET550" s="205"/>
      <c r="EU550" s="205"/>
      <c r="EV550" s="205"/>
      <c r="EW550" s="205"/>
      <c r="EX550" s="205"/>
      <c r="EY550" s="205"/>
      <c r="EZ550" s="205"/>
      <c r="FA550" s="205"/>
      <c r="FB550" s="205"/>
      <c r="FC550" s="205"/>
      <c r="FD550" s="205"/>
      <c r="FE550" s="205"/>
      <c r="FF550" s="205"/>
      <c r="FG550" s="205"/>
      <c r="FH550" s="205"/>
      <c r="FI550" s="205"/>
      <c r="FJ550" s="205"/>
      <c r="FK550" s="205"/>
      <c r="FL550" s="205"/>
      <c r="FM550" s="205"/>
      <c r="FN550" s="205"/>
      <c r="FO550" s="205"/>
      <c r="FP550" s="205"/>
      <c r="FQ550" s="205"/>
      <c r="FR550" s="205"/>
      <c r="FS550" s="205"/>
      <c r="FT550" s="205"/>
      <c r="FU550" s="205"/>
      <c r="FV550" s="205"/>
      <c r="FW550" s="205"/>
      <c r="FX550" s="205"/>
      <c r="FY550" s="205"/>
      <c r="FZ550" s="205"/>
      <c r="GA550" s="205"/>
      <c r="GB550" s="205"/>
      <c r="GC550" s="205"/>
      <c r="GD550" s="205"/>
      <c r="GE550" s="205"/>
      <c r="GF550" s="205"/>
      <c r="GG550" s="205"/>
      <c r="GH550" s="205"/>
      <c r="GI550" s="205"/>
      <c r="GJ550" s="205"/>
      <c r="GK550" s="205"/>
      <c r="GL550" s="205"/>
      <c r="GM550" s="205"/>
      <c r="GN550" s="205"/>
      <c r="GO550" s="205"/>
      <c r="GP550" s="205"/>
      <c r="GQ550" s="205"/>
      <c r="GR550" s="205"/>
      <c r="GS550" s="205"/>
      <c r="GT550" s="205"/>
      <c r="GU550" s="205"/>
      <c r="GV550" s="205"/>
      <c r="GW550" s="205"/>
      <c r="GX550" s="205"/>
      <c r="GY550" s="205"/>
      <c r="GZ550" s="205"/>
      <c r="HA550" s="205"/>
      <c r="HB550" s="205"/>
      <c r="HC550" s="205"/>
      <c r="HD550" s="205"/>
      <c r="HE550" s="205"/>
      <c r="HF550" s="205"/>
      <c r="HG550" s="205"/>
      <c r="HH550" s="205"/>
      <c r="HI550" s="205"/>
      <c r="HJ550" s="205"/>
      <c r="HK550" s="205"/>
      <c r="HL550" s="205"/>
      <c r="HM550" s="205"/>
      <c r="HN550" s="205"/>
      <c r="HO550" s="205"/>
      <c r="HP550" s="205"/>
      <c r="HQ550" s="205"/>
      <c r="HR550" s="205"/>
      <c r="HS550" s="205"/>
      <c r="HT550" s="205"/>
      <c r="HU550" s="205"/>
      <c r="HV550" s="205"/>
      <c r="HW550" s="205"/>
      <c r="HX550" s="205"/>
      <c r="HY550" s="205"/>
      <c r="HZ550" s="205"/>
      <c r="IA550" s="205"/>
      <c r="IB550" s="205"/>
      <c r="IC550" s="205"/>
      <c r="ID550" s="205"/>
      <c r="IE550" s="205"/>
      <c r="IF550" s="205"/>
      <c r="IG550" s="205"/>
      <c r="IH550" s="205"/>
      <c r="II550" s="205"/>
      <c r="IJ550" s="205"/>
      <c r="IK550" s="205"/>
      <c r="IL550" s="205"/>
      <c r="IM550" s="205"/>
      <c r="IN550" s="205"/>
      <c r="IO550" s="205"/>
      <c r="IP550" s="205"/>
      <c r="IQ550" s="205"/>
      <c r="IR550" s="205"/>
      <c r="IS550" s="205"/>
      <c r="IT550" s="205"/>
      <c r="IU550" s="205"/>
      <c r="IV550" s="205"/>
      <c r="IW550" s="205"/>
      <c r="IX550" s="205"/>
    </row>
    <row r="551" spans="1:258" s="203" customFormat="1" x14ac:dyDescent="0.2">
      <c r="A551" s="669"/>
      <c r="B551" s="670">
        <f>RAB!B186</f>
        <v>4</v>
      </c>
      <c r="C551" s="686" t="str">
        <f>RAB!D186</f>
        <v xml:space="preserve">Pemasangan Huruf acrilik+lampu "PUSKESMAS KERJO"t:30cm </v>
      </c>
      <c r="D551" s="672"/>
      <c r="E551" s="673"/>
      <c r="F551" s="673"/>
      <c r="G551" s="674"/>
      <c r="H551" s="1393">
        <v>30</v>
      </c>
      <c r="I551" s="1394" t="s">
        <v>424</v>
      </c>
      <c r="J551" s="1394">
        <v>14</v>
      </c>
      <c r="K551" s="1394"/>
      <c r="L551" s="1394"/>
      <c r="M551" s="1394"/>
      <c r="N551" s="1394"/>
      <c r="O551" s="1394"/>
      <c r="P551" s="1394"/>
      <c r="Q551" s="1394" t="s">
        <v>696</v>
      </c>
      <c r="R551" s="1395">
        <f>H551*J551</f>
        <v>420</v>
      </c>
      <c r="S551" s="1396">
        <f>R551</f>
        <v>420</v>
      </c>
      <c r="T551" s="1397" t="s">
        <v>253</v>
      </c>
      <c r="U551" s="205"/>
      <c r="V551" s="685"/>
      <c r="W551" s="205"/>
      <c r="X551" s="205"/>
      <c r="Y551" s="205"/>
      <c r="Z551" s="205"/>
      <c r="AA551" s="205"/>
      <c r="AB551" s="205"/>
      <c r="AC551" s="205"/>
      <c r="AD551" s="205"/>
      <c r="AE551" s="205"/>
      <c r="AF551" s="205"/>
      <c r="AG551" s="205"/>
      <c r="AH551" s="205"/>
      <c r="AI551" s="205"/>
      <c r="AJ551" s="205"/>
      <c r="AK551" s="205"/>
      <c r="AL551" s="205"/>
      <c r="AM551" s="205"/>
      <c r="AN551" s="205"/>
      <c r="AO551" s="205"/>
      <c r="AP551" s="205"/>
      <c r="AQ551" s="205"/>
      <c r="AR551" s="205"/>
      <c r="AS551" s="205"/>
      <c r="AT551" s="205"/>
      <c r="AU551" s="205"/>
      <c r="AV551" s="205"/>
      <c r="AW551" s="205"/>
      <c r="AX551" s="205"/>
      <c r="AY551" s="205"/>
      <c r="AZ551" s="205"/>
      <c r="BA551" s="205"/>
      <c r="BB551" s="205"/>
      <c r="BC551" s="205"/>
      <c r="BD551" s="205"/>
      <c r="BE551" s="205"/>
      <c r="BF551" s="205"/>
      <c r="BG551" s="205"/>
      <c r="BH551" s="205"/>
      <c r="BI551" s="205"/>
      <c r="BJ551" s="205"/>
      <c r="BK551" s="205"/>
      <c r="BL551" s="205"/>
      <c r="BM551" s="205"/>
      <c r="BN551" s="205"/>
      <c r="BO551" s="205"/>
      <c r="BP551" s="205"/>
      <c r="BQ551" s="205"/>
      <c r="BR551" s="205"/>
      <c r="BS551" s="205"/>
      <c r="BT551" s="205"/>
      <c r="BU551" s="205"/>
      <c r="BV551" s="205"/>
      <c r="BW551" s="205"/>
      <c r="BX551" s="205"/>
      <c r="BY551" s="205"/>
      <c r="BZ551" s="205"/>
      <c r="CA551" s="205"/>
      <c r="CB551" s="205"/>
      <c r="CC551" s="205"/>
      <c r="CD551" s="205"/>
      <c r="CE551" s="205"/>
      <c r="CF551" s="205"/>
      <c r="CG551" s="205"/>
      <c r="CH551" s="205"/>
      <c r="CI551" s="205"/>
      <c r="CJ551" s="205"/>
      <c r="CK551" s="205"/>
      <c r="CL551" s="205"/>
      <c r="CM551" s="205"/>
      <c r="CN551" s="205"/>
      <c r="CO551" s="205"/>
      <c r="CP551" s="205"/>
      <c r="CQ551" s="205"/>
      <c r="CR551" s="205"/>
      <c r="CS551" s="205"/>
      <c r="CT551" s="205"/>
      <c r="CU551" s="205"/>
      <c r="CV551" s="205"/>
      <c r="CW551" s="205"/>
      <c r="CX551" s="205"/>
      <c r="CY551" s="205"/>
      <c r="CZ551" s="205"/>
      <c r="DA551" s="205"/>
      <c r="DB551" s="205"/>
      <c r="DC551" s="205"/>
      <c r="DD551" s="205"/>
      <c r="DE551" s="205"/>
      <c r="DF551" s="205"/>
      <c r="DG551" s="205"/>
      <c r="DH551" s="205"/>
      <c r="DI551" s="205"/>
      <c r="DJ551" s="205"/>
      <c r="DK551" s="205"/>
      <c r="DL551" s="205"/>
      <c r="DM551" s="205"/>
      <c r="DN551" s="205"/>
      <c r="DO551" s="205"/>
      <c r="DP551" s="205"/>
      <c r="DQ551" s="205"/>
      <c r="DR551" s="205"/>
      <c r="DS551" s="205"/>
      <c r="DT551" s="205"/>
      <c r="DU551" s="205"/>
      <c r="DV551" s="205"/>
      <c r="DW551" s="205"/>
      <c r="DX551" s="205"/>
      <c r="DY551" s="205"/>
      <c r="DZ551" s="205"/>
      <c r="EA551" s="205"/>
      <c r="EB551" s="205"/>
      <c r="EC551" s="205"/>
      <c r="ED551" s="205"/>
      <c r="EE551" s="205"/>
      <c r="EF551" s="205"/>
      <c r="EG551" s="205"/>
      <c r="EH551" s="205"/>
      <c r="EI551" s="205"/>
      <c r="EJ551" s="205"/>
      <c r="EK551" s="205"/>
      <c r="EL551" s="205"/>
      <c r="EM551" s="205"/>
      <c r="EN551" s="205"/>
      <c r="EO551" s="205"/>
      <c r="EP551" s="205"/>
      <c r="EQ551" s="205"/>
      <c r="ER551" s="205"/>
      <c r="ES551" s="205"/>
      <c r="ET551" s="205"/>
      <c r="EU551" s="205"/>
      <c r="EV551" s="205"/>
      <c r="EW551" s="205"/>
      <c r="EX551" s="205"/>
      <c r="EY551" s="205"/>
      <c r="EZ551" s="205"/>
      <c r="FA551" s="205"/>
      <c r="FB551" s="205"/>
      <c r="FC551" s="205"/>
      <c r="FD551" s="205"/>
      <c r="FE551" s="205"/>
      <c r="FF551" s="205"/>
      <c r="FG551" s="205"/>
      <c r="FH551" s="205"/>
      <c r="FI551" s="205"/>
      <c r="FJ551" s="205"/>
      <c r="FK551" s="205"/>
      <c r="FL551" s="205"/>
      <c r="FM551" s="205"/>
      <c r="FN551" s="205"/>
      <c r="FO551" s="205"/>
      <c r="FP551" s="205"/>
      <c r="FQ551" s="205"/>
      <c r="FR551" s="205"/>
      <c r="FS551" s="205"/>
      <c r="FT551" s="205"/>
      <c r="FU551" s="205"/>
      <c r="FV551" s="205"/>
      <c r="FW551" s="205"/>
      <c r="FX551" s="205"/>
      <c r="FY551" s="205"/>
      <c r="FZ551" s="205"/>
      <c r="GA551" s="205"/>
      <c r="GB551" s="205"/>
      <c r="GC551" s="205"/>
      <c r="GD551" s="205"/>
      <c r="GE551" s="205"/>
      <c r="GF551" s="205"/>
      <c r="GG551" s="205"/>
      <c r="GH551" s="205"/>
      <c r="GI551" s="205"/>
      <c r="GJ551" s="205"/>
      <c r="GK551" s="205"/>
      <c r="GL551" s="205"/>
      <c r="GM551" s="205"/>
      <c r="GN551" s="205"/>
      <c r="GO551" s="205"/>
      <c r="GP551" s="205"/>
      <c r="GQ551" s="205"/>
      <c r="GR551" s="205"/>
      <c r="GS551" s="205"/>
      <c r="GT551" s="205"/>
      <c r="GU551" s="205"/>
      <c r="GV551" s="205"/>
      <c r="GW551" s="205"/>
      <c r="GX551" s="205"/>
      <c r="GY551" s="205"/>
      <c r="GZ551" s="205"/>
      <c r="HA551" s="205"/>
      <c r="HB551" s="205"/>
      <c r="HC551" s="205"/>
      <c r="HD551" s="205"/>
      <c r="HE551" s="205"/>
      <c r="HF551" s="205"/>
      <c r="HG551" s="205"/>
      <c r="HH551" s="205"/>
      <c r="HI551" s="205"/>
      <c r="HJ551" s="205"/>
      <c r="HK551" s="205"/>
      <c r="HL551" s="205"/>
      <c r="HM551" s="205"/>
      <c r="HN551" s="205"/>
      <c r="HO551" s="205"/>
      <c r="HP551" s="205"/>
      <c r="HQ551" s="205"/>
      <c r="HR551" s="205"/>
      <c r="HS551" s="205"/>
      <c r="HT551" s="205"/>
      <c r="HU551" s="205"/>
      <c r="HV551" s="205"/>
      <c r="HW551" s="205"/>
      <c r="HX551" s="205"/>
      <c r="HY551" s="205"/>
      <c r="HZ551" s="205"/>
      <c r="IA551" s="205"/>
      <c r="IB551" s="205"/>
      <c r="IC551" s="205"/>
      <c r="ID551" s="205"/>
      <c r="IE551" s="205"/>
      <c r="IF551" s="205"/>
      <c r="IG551" s="205"/>
      <c r="IH551" s="205"/>
      <c r="II551" s="205"/>
      <c r="IJ551" s="205"/>
      <c r="IK551" s="205"/>
      <c r="IL551" s="205"/>
      <c r="IM551" s="205"/>
      <c r="IN551" s="205"/>
      <c r="IO551" s="205"/>
      <c r="IP551" s="205"/>
      <c r="IQ551" s="205"/>
      <c r="IR551" s="205"/>
      <c r="IS551" s="205"/>
      <c r="IT551" s="205"/>
      <c r="IU551" s="205"/>
      <c r="IV551" s="205"/>
      <c r="IW551" s="205"/>
      <c r="IX551" s="205"/>
    </row>
    <row r="552" spans="1:258" s="203" customFormat="1" x14ac:dyDescent="0.2">
      <c r="A552" s="669"/>
      <c r="B552" s="670">
        <f>RAB!B187</f>
        <v>5</v>
      </c>
      <c r="C552" s="686" t="str">
        <f>RAB!D187</f>
        <v>Pemasangan Huruf acrilik+lampu "UGD UNIT GAWAT DARURAT"t:30cm</v>
      </c>
      <c r="D552" s="672"/>
      <c r="E552" s="673"/>
      <c r="F552" s="673"/>
      <c r="G552" s="674"/>
      <c r="H552" s="1393">
        <f>H551</f>
        <v>30</v>
      </c>
      <c r="I552" s="1394" t="s">
        <v>424</v>
      </c>
      <c r="J552" s="1394">
        <v>19</v>
      </c>
      <c r="K552" s="1394"/>
      <c r="L552" s="1394"/>
      <c r="M552" s="1394"/>
      <c r="N552" s="1394"/>
      <c r="O552" s="1394"/>
      <c r="P552" s="1394"/>
      <c r="Q552" s="1394" t="s">
        <v>696</v>
      </c>
      <c r="R552" s="1395">
        <f>H552*J552</f>
        <v>570</v>
      </c>
      <c r="S552" s="1396">
        <f>R552</f>
        <v>570</v>
      </c>
      <c r="T552" s="1397" t="s">
        <v>253</v>
      </c>
      <c r="U552" s="205"/>
      <c r="V552" s="685"/>
      <c r="W552" s="205"/>
      <c r="X552" s="205"/>
      <c r="Y552" s="205"/>
      <c r="Z552" s="205"/>
      <c r="AA552" s="205"/>
      <c r="AB552" s="205"/>
      <c r="AC552" s="205"/>
      <c r="AD552" s="205"/>
      <c r="AE552" s="205"/>
      <c r="AF552" s="205"/>
      <c r="AG552" s="205"/>
      <c r="AH552" s="205"/>
      <c r="AI552" s="205"/>
      <c r="AJ552" s="205"/>
      <c r="AK552" s="205"/>
      <c r="AL552" s="205"/>
      <c r="AM552" s="205"/>
      <c r="AN552" s="205"/>
      <c r="AO552" s="205"/>
      <c r="AP552" s="205"/>
      <c r="AQ552" s="205"/>
      <c r="AR552" s="205"/>
      <c r="AS552" s="205"/>
      <c r="AT552" s="205"/>
      <c r="AU552" s="205"/>
      <c r="AV552" s="205"/>
      <c r="AW552" s="205"/>
      <c r="AX552" s="205"/>
      <c r="AY552" s="205"/>
      <c r="AZ552" s="205"/>
      <c r="BA552" s="205"/>
      <c r="BB552" s="205"/>
      <c r="BC552" s="205"/>
      <c r="BD552" s="205"/>
      <c r="BE552" s="205"/>
      <c r="BF552" s="205"/>
      <c r="BG552" s="205"/>
      <c r="BH552" s="205"/>
      <c r="BI552" s="205"/>
      <c r="BJ552" s="205"/>
      <c r="BK552" s="205"/>
      <c r="BL552" s="205"/>
      <c r="BM552" s="205"/>
      <c r="BN552" s="205"/>
      <c r="BO552" s="205"/>
      <c r="BP552" s="205"/>
      <c r="BQ552" s="205"/>
      <c r="BR552" s="205"/>
      <c r="BS552" s="205"/>
      <c r="BT552" s="205"/>
      <c r="BU552" s="205"/>
      <c r="BV552" s="205"/>
      <c r="BW552" s="205"/>
      <c r="BX552" s="205"/>
      <c r="BY552" s="205"/>
      <c r="BZ552" s="205"/>
      <c r="CA552" s="205"/>
      <c r="CB552" s="205"/>
      <c r="CC552" s="205"/>
      <c r="CD552" s="205"/>
      <c r="CE552" s="205"/>
      <c r="CF552" s="205"/>
      <c r="CG552" s="205"/>
      <c r="CH552" s="205"/>
      <c r="CI552" s="205"/>
      <c r="CJ552" s="205"/>
      <c r="CK552" s="205"/>
      <c r="CL552" s="205"/>
      <c r="CM552" s="205"/>
      <c r="CN552" s="205"/>
      <c r="CO552" s="205"/>
      <c r="CP552" s="205"/>
      <c r="CQ552" s="205"/>
      <c r="CR552" s="205"/>
      <c r="CS552" s="205"/>
      <c r="CT552" s="205"/>
      <c r="CU552" s="205"/>
      <c r="CV552" s="205"/>
      <c r="CW552" s="205"/>
      <c r="CX552" s="205"/>
      <c r="CY552" s="205"/>
      <c r="CZ552" s="205"/>
      <c r="DA552" s="205"/>
      <c r="DB552" s="205"/>
      <c r="DC552" s="205"/>
      <c r="DD552" s="205"/>
      <c r="DE552" s="205"/>
      <c r="DF552" s="205"/>
      <c r="DG552" s="205"/>
      <c r="DH552" s="205"/>
      <c r="DI552" s="205"/>
      <c r="DJ552" s="205"/>
      <c r="DK552" s="205"/>
      <c r="DL552" s="205"/>
      <c r="DM552" s="205"/>
      <c r="DN552" s="205"/>
      <c r="DO552" s="205"/>
      <c r="DP552" s="205"/>
      <c r="DQ552" s="205"/>
      <c r="DR552" s="205"/>
      <c r="DS552" s="205"/>
      <c r="DT552" s="205"/>
      <c r="DU552" s="205"/>
      <c r="DV552" s="205"/>
      <c r="DW552" s="205"/>
      <c r="DX552" s="205"/>
      <c r="DY552" s="205"/>
      <c r="DZ552" s="205"/>
      <c r="EA552" s="205"/>
      <c r="EB552" s="205"/>
      <c r="EC552" s="205"/>
      <c r="ED552" s="205"/>
      <c r="EE552" s="205"/>
      <c r="EF552" s="205"/>
      <c r="EG552" s="205"/>
      <c r="EH552" s="205"/>
      <c r="EI552" s="205"/>
      <c r="EJ552" s="205"/>
      <c r="EK552" s="205"/>
      <c r="EL552" s="205"/>
      <c r="EM552" s="205"/>
      <c r="EN552" s="205"/>
      <c r="EO552" s="205"/>
      <c r="EP552" s="205"/>
      <c r="EQ552" s="205"/>
      <c r="ER552" s="205"/>
      <c r="ES552" s="205"/>
      <c r="ET552" s="205"/>
      <c r="EU552" s="205"/>
      <c r="EV552" s="205"/>
      <c r="EW552" s="205"/>
      <c r="EX552" s="205"/>
      <c r="EY552" s="205"/>
      <c r="EZ552" s="205"/>
      <c r="FA552" s="205"/>
      <c r="FB552" s="205"/>
      <c r="FC552" s="205"/>
      <c r="FD552" s="205"/>
      <c r="FE552" s="205"/>
      <c r="FF552" s="205"/>
      <c r="FG552" s="205"/>
      <c r="FH552" s="205"/>
      <c r="FI552" s="205"/>
      <c r="FJ552" s="205"/>
      <c r="FK552" s="205"/>
      <c r="FL552" s="205"/>
      <c r="FM552" s="205"/>
      <c r="FN552" s="205"/>
      <c r="FO552" s="205"/>
      <c r="FP552" s="205"/>
      <c r="FQ552" s="205"/>
      <c r="FR552" s="205"/>
      <c r="FS552" s="205"/>
      <c r="FT552" s="205"/>
      <c r="FU552" s="205"/>
      <c r="FV552" s="205"/>
      <c r="FW552" s="205"/>
      <c r="FX552" s="205"/>
      <c r="FY552" s="205"/>
      <c r="FZ552" s="205"/>
      <c r="GA552" s="205"/>
      <c r="GB552" s="205"/>
      <c r="GC552" s="205"/>
      <c r="GD552" s="205"/>
      <c r="GE552" s="205"/>
      <c r="GF552" s="205"/>
      <c r="GG552" s="205"/>
      <c r="GH552" s="205"/>
      <c r="GI552" s="205"/>
      <c r="GJ552" s="205"/>
      <c r="GK552" s="205"/>
      <c r="GL552" s="205"/>
      <c r="GM552" s="205"/>
      <c r="GN552" s="205"/>
      <c r="GO552" s="205"/>
      <c r="GP552" s="205"/>
      <c r="GQ552" s="205"/>
      <c r="GR552" s="205"/>
      <c r="GS552" s="205"/>
      <c r="GT552" s="205"/>
      <c r="GU552" s="205"/>
      <c r="GV552" s="205"/>
      <c r="GW552" s="205"/>
      <c r="GX552" s="205"/>
      <c r="GY552" s="205"/>
      <c r="GZ552" s="205"/>
      <c r="HA552" s="205"/>
      <c r="HB552" s="205"/>
      <c r="HC552" s="205"/>
      <c r="HD552" s="205"/>
      <c r="HE552" s="205"/>
      <c r="HF552" s="205"/>
      <c r="HG552" s="205"/>
      <c r="HH552" s="205"/>
      <c r="HI552" s="205"/>
      <c r="HJ552" s="205"/>
      <c r="HK552" s="205"/>
      <c r="HL552" s="205"/>
      <c r="HM552" s="205"/>
      <c r="HN552" s="205"/>
      <c r="HO552" s="205"/>
      <c r="HP552" s="205"/>
      <c r="HQ552" s="205"/>
      <c r="HR552" s="205"/>
      <c r="HS552" s="205"/>
      <c r="HT552" s="205"/>
      <c r="HU552" s="205"/>
      <c r="HV552" s="205"/>
      <c r="HW552" s="205"/>
      <c r="HX552" s="205"/>
      <c r="HY552" s="205"/>
      <c r="HZ552" s="205"/>
      <c r="IA552" s="205"/>
      <c r="IB552" s="205"/>
      <c r="IC552" s="205"/>
      <c r="ID552" s="205"/>
      <c r="IE552" s="205"/>
      <c r="IF552" s="205"/>
      <c r="IG552" s="205"/>
      <c r="IH552" s="205"/>
      <c r="II552" s="205"/>
      <c r="IJ552" s="205"/>
      <c r="IK552" s="205"/>
      <c r="IL552" s="205"/>
      <c r="IM552" s="205"/>
      <c r="IN552" s="205"/>
      <c r="IO552" s="205"/>
      <c r="IP552" s="205"/>
      <c r="IQ552" s="205"/>
      <c r="IR552" s="205"/>
      <c r="IS552" s="205"/>
      <c r="IT552" s="205"/>
      <c r="IU552" s="205"/>
      <c r="IV552" s="205"/>
      <c r="IW552" s="205"/>
      <c r="IX552" s="205"/>
    </row>
    <row r="553" spans="1:258" s="203" customFormat="1" x14ac:dyDescent="0.2">
      <c r="A553" s="669"/>
      <c r="B553" s="670">
        <f>RAB!B188</f>
        <v>6</v>
      </c>
      <c r="C553" s="686" t="str">
        <f>RAB!D188</f>
        <v>Pemasangan Huruf acrilik+lampu "UNIT PERSALINAN"t:30cm</v>
      </c>
      <c r="D553" s="672"/>
      <c r="E553" s="673"/>
      <c r="F553" s="673"/>
      <c r="G553" s="674"/>
      <c r="H553" s="1393">
        <f>H552</f>
        <v>30</v>
      </c>
      <c r="I553" s="1394" t="s">
        <v>424</v>
      </c>
      <c r="J553" s="1394">
        <v>14</v>
      </c>
      <c r="K553" s="1394"/>
      <c r="L553" s="1394"/>
      <c r="M553" s="1394"/>
      <c r="N553" s="1394"/>
      <c r="O553" s="1394"/>
      <c r="P553" s="1394"/>
      <c r="Q553" s="1394" t="s">
        <v>696</v>
      </c>
      <c r="R553" s="1395">
        <f>H553*J553</f>
        <v>420</v>
      </c>
      <c r="S553" s="1396">
        <f>R553</f>
        <v>420</v>
      </c>
      <c r="T553" s="1397" t="s">
        <v>253</v>
      </c>
      <c r="U553" s="205"/>
      <c r="V553" s="685"/>
      <c r="W553" s="205"/>
      <c r="X553" s="205"/>
      <c r="Y553" s="205"/>
      <c r="Z553" s="205"/>
      <c r="AA553" s="205"/>
      <c r="AB553" s="205"/>
      <c r="AC553" s="205"/>
      <c r="AD553" s="205"/>
      <c r="AE553" s="205"/>
      <c r="AF553" s="205"/>
      <c r="AG553" s="205"/>
      <c r="AH553" s="205"/>
      <c r="AI553" s="205"/>
      <c r="AJ553" s="205"/>
      <c r="AK553" s="205"/>
      <c r="AL553" s="205"/>
      <c r="AM553" s="205"/>
      <c r="AN553" s="205"/>
      <c r="AO553" s="205"/>
      <c r="AP553" s="205"/>
      <c r="AQ553" s="205"/>
      <c r="AR553" s="205"/>
      <c r="AS553" s="205"/>
      <c r="AT553" s="205"/>
      <c r="AU553" s="205"/>
      <c r="AV553" s="205"/>
      <c r="AW553" s="205"/>
      <c r="AX553" s="205"/>
      <c r="AY553" s="205"/>
      <c r="AZ553" s="205"/>
      <c r="BA553" s="205"/>
      <c r="BB553" s="205"/>
      <c r="BC553" s="205"/>
      <c r="BD553" s="205"/>
      <c r="BE553" s="205"/>
      <c r="BF553" s="205"/>
      <c r="BG553" s="205"/>
      <c r="BH553" s="205"/>
      <c r="BI553" s="205"/>
      <c r="BJ553" s="205"/>
      <c r="BK553" s="205"/>
      <c r="BL553" s="205"/>
      <c r="BM553" s="205"/>
      <c r="BN553" s="205"/>
      <c r="BO553" s="205"/>
      <c r="BP553" s="205"/>
      <c r="BQ553" s="205"/>
      <c r="BR553" s="205"/>
      <c r="BS553" s="205"/>
      <c r="BT553" s="205"/>
      <c r="BU553" s="205"/>
      <c r="BV553" s="205"/>
      <c r="BW553" s="205"/>
      <c r="BX553" s="205"/>
      <c r="BY553" s="205"/>
      <c r="BZ553" s="205"/>
      <c r="CA553" s="205"/>
      <c r="CB553" s="205"/>
      <c r="CC553" s="205"/>
      <c r="CD553" s="205"/>
      <c r="CE553" s="205"/>
      <c r="CF553" s="205"/>
      <c r="CG553" s="205"/>
      <c r="CH553" s="205"/>
      <c r="CI553" s="205"/>
      <c r="CJ553" s="205"/>
      <c r="CK553" s="205"/>
      <c r="CL553" s="205"/>
      <c r="CM553" s="205"/>
      <c r="CN553" s="205"/>
      <c r="CO553" s="205"/>
      <c r="CP553" s="205"/>
      <c r="CQ553" s="205"/>
      <c r="CR553" s="205"/>
      <c r="CS553" s="205"/>
      <c r="CT553" s="205"/>
      <c r="CU553" s="205"/>
      <c r="CV553" s="205"/>
      <c r="CW553" s="205"/>
      <c r="CX553" s="205"/>
      <c r="CY553" s="205"/>
      <c r="CZ553" s="205"/>
      <c r="DA553" s="205"/>
      <c r="DB553" s="205"/>
      <c r="DC553" s="205"/>
      <c r="DD553" s="205"/>
      <c r="DE553" s="205"/>
      <c r="DF553" s="205"/>
      <c r="DG553" s="205"/>
      <c r="DH553" s="205"/>
      <c r="DI553" s="205"/>
      <c r="DJ553" s="205"/>
      <c r="DK553" s="205"/>
      <c r="DL553" s="205"/>
      <c r="DM553" s="205"/>
      <c r="DN553" s="205"/>
      <c r="DO553" s="205"/>
      <c r="DP553" s="205"/>
      <c r="DQ553" s="205"/>
      <c r="DR553" s="205"/>
      <c r="DS553" s="205"/>
      <c r="DT553" s="205"/>
      <c r="DU553" s="205"/>
      <c r="DV553" s="205"/>
      <c r="DW553" s="205"/>
      <c r="DX553" s="205"/>
      <c r="DY553" s="205"/>
      <c r="DZ553" s="205"/>
      <c r="EA553" s="205"/>
      <c r="EB553" s="205"/>
      <c r="EC553" s="205"/>
      <c r="ED553" s="205"/>
      <c r="EE553" s="205"/>
      <c r="EF553" s="205"/>
      <c r="EG553" s="205"/>
      <c r="EH553" s="205"/>
      <c r="EI553" s="205"/>
      <c r="EJ553" s="205"/>
      <c r="EK553" s="205"/>
      <c r="EL553" s="205"/>
      <c r="EM553" s="205"/>
      <c r="EN553" s="205"/>
      <c r="EO553" s="205"/>
      <c r="EP553" s="205"/>
      <c r="EQ553" s="205"/>
      <c r="ER553" s="205"/>
      <c r="ES553" s="205"/>
      <c r="ET553" s="205"/>
      <c r="EU553" s="205"/>
      <c r="EV553" s="205"/>
      <c r="EW553" s="205"/>
      <c r="EX553" s="205"/>
      <c r="EY553" s="205"/>
      <c r="EZ553" s="205"/>
      <c r="FA553" s="205"/>
      <c r="FB553" s="205"/>
      <c r="FC553" s="205"/>
      <c r="FD553" s="205"/>
      <c r="FE553" s="205"/>
      <c r="FF553" s="205"/>
      <c r="FG553" s="205"/>
      <c r="FH553" s="205"/>
      <c r="FI553" s="205"/>
      <c r="FJ553" s="205"/>
      <c r="FK553" s="205"/>
      <c r="FL553" s="205"/>
      <c r="FM553" s="205"/>
      <c r="FN553" s="205"/>
      <c r="FO553" s="205"/>
      <c r="FP553" s="205"/>
      <c r="FQ553" s="205"/>
      <c r="FR553" s="205"/>
      <c r="FS553" s="205"/>
      <c r="FT553" s="205"/>
      <c r="FU553" s="205"/>
      <c r="FV553" s="205"/>
      <c r="FW553" s="205"/>
      <c r="FX553" s="205"/>
      <c r="FY553" s="205"/>
      <c r="FZ553" s="205"/>
      <c r="GA553" s="205"/>
      <c r="GB553" s="205"/>
      <c r="GC553" s="205"/>
      <c r="GD553" s="205"/>
      <c r="GE553" s="205"/>
      <c r="GF553" s="205"/>
      <c r="GG553" s="205"/>
      <c r="GH553" s="205"/>
      <c r="GI553" s="205"/>
      <c r="GJ553" s="205"/>
      <c r="GK553" s="205"/>
      <c r="GL553" s="205"/>
      <c r="GM553" s="205"/>
      <c r="GN553" s="205"/>
      <c r="GO553" s="205"/>
      <c r="GP553" s="205"/>
      <c r="GQ553" s="205"/>
      <c r="GR553" s="205"/>
      <c r="GS553" s="205"/>
      <c r="GT553" s="205"/>
      <c r="GU553" s="205"/>
      <c r="GV553" s="205"/>
      <c r="GW553" s="205"/>
      <c r="GX553" s="205"/>
      <c r="GY553" s="205"/>
      <c r="GZ553" s="205"/>
      <c r="HA553" s="205"/>
      <c r="HB553" s="205"/>
      <c r="HC553" s="205"/>
      <c r="HD553" s="205"/>
      <c r="HE553" s="205"/>
      <c r="HF553" s="205"/>
      <c r="HG553" s="205"/>
      <c r="HH553" s="205"/>
      <c r="HI553" s="205"/>
      <c r="HJ553" s="205"/>
      <c r="HK553" s="205"/>
      <c r="HL553" s="205"/>
      <c r="HM553" s="205"/>
      <c r="HN553" s="205"/>
      <c r="HO553" s="205"/>
      <c r="HP553" s="205"/>
      <c r="HQ553" s="205"/>
      <c r="HR553" s="205"/>
      <c r="HS553" s="205"/>
      <c r="HT553" s="205"/>
      <c r="HU553" s="205"/>
      <c r="HV553" s="205"/>
      <c r="HW553" s="205"/>
      <c r="HX553" s="205"/>
      <c r="HY553" s="205"/>
      <c r="HZ553" s="205"/>
      <c r="IA553" s="205"/>
      <c r="IB553" s="205"/>
      <c r="IC553" s="205"/>
      <c r="ID553" s="205"/>
      <c r="IE553" s="205"/>
      <c r="IF553" s="205"/>
      <c r="IG553" s="205"/>
      <c r="IH553" s="205"/>
      <c r="II553" s="205"/>
      <c r="IJ553" s="205"/>
      <c r="IK553" s="205"/>
      <c r="IL553" s="205"/>
      <c r="IM553" s="205"/>
      <c r="IN553" s="205"/>
      <c r="IO553" s="205"/>
      <c r="IP553" s="205"/>
      <c r="IQ553" s="205"/>
      <c r="IR553" s="205"/>
      <c r="IS553" s="205"/>
      <c r="IT553" s="205"/>
      <c r="IU553" s="205"/>
      <c r="IV553" s="205"/>
      <c r="IW553" s="205"/>
      <c r="IX553" s="205"/>
    </row>
    <row r="554" spans="1:258" s="203" customFormat="1" x14ac:dyDescent="0.2">
      <c r="A554" s="669"/>
      <c r="B554" s="670"/>
      <c r="C554" s="686"/>
      <c r="D554" s="672"/>
      <c r="E554" s="673"/>
      <c r="F554" s="673"/>
      <c r="G554" s="674"/>
      <c r="H554" s="675"/>
      <c r="I554" s="676"/>
      <c r="J554" s="676"/>
      <c r="K554" s="676"/>
      <c r="L554" s="676"/>
      <c r="M554" s="676"/>
      <c r="N554" s="676"/>
      <c r="O554" s="676"/>
      <c r="P554" s="676"/>
      <c r="Q554" s="676"/>
      <c r="R554" s="677"/>
      <c r="S554" s="678"/>
      <c r="T554" s="684"/>
      <c r="U554" s="205"/>
      <c r="V554" s="685"/>
      <c r="W554" s="205"/>
      <c r="X554" s="205"/>
      <c r="Y554" s="205"/>
      <c r="Z554" s="205"/>
      <c r="AA554" s="205"/>
      <c r="AB554" s="205"/>
      <c r="AC554" s="205"/>
      <c r="AD554" s="205"/>
      <c r="AE554" s="205"/>
      <c r="AF554" s="205"/>
      <c r="AG554" s="205"/>
      <c r="AH554" s="205"/>
      <c r="AI554" s="205"/>
      <c r="AJ554" s="205"/>
      <c r="AK554" s="205"/>
      <c r="AL554" s="205"/>
      <c r="AM554" s="205"/>
      <c r="AN554" s="205"/>
      <c r="AO554" s="205"/>
      <c r="AP554" s="205"/>
      <c r="AQ554" s="205"/>
      <c r="AR554" s="205"/>
      <c r="AS554" s="205"/>
      <c r="AT554" s="205"/>
      <c r="AU554" s="205"/>
      <c r="AV554" s="205"/>
      <c r="AW554" s="205"/>
      <c r="AX554" s="205"/>
      <c r="AY554" s="205"/>
      <c r="AZ554" s="205"/>
      <c r="BA554" s="205"/>
      <c r="BB554" s="205"/>
      <c r="BC554" s="205"/>
      <c r="BD554" s="205"/>
      <c r="BE554" s="205"/>
      <c r="BF554" s="205"/>
      <c r="BG554" s="205"/>
      <c r="BH554" s="205"/>
      <c r="BI554" s="205"/>
      <c r="BJ554" s="205"/>
      <c r="BK554" s="205"/>
      <c r="BL554" s="205"/>
      <c r="BM554" s="205"/>
      <c r="BN554" s="205"/>
      <c r="BO554" s="205"/>
      <c r="BP554" s="205"/>
      <c r="BQ554" s="205"/>
      <c r="BR554" s="205"/>
      <c r="BS554" s="205"/>
      <c r="BT554" s="205"/>
      <c r="BU554" s="205"/>
      <c r="BV554" s="205"/>
      <c r="BW554" s="205"/>
      <c r="BX554" s="205"/>
      <c r="BY554" s="205"/>
      <c r="BZ554" s="205"/>
      <c r="CA554" s="205"/>
      <c r="CB554" s="205"/>
      <c r="CC554" s="205"/>
      <c r="CD554" s="205"/>
      <c r="CE554" s="205"/>
      <c r="CF554" s="205"/>
      <c r="CG554" s="205"/>
      <c r="CH554" s="205"/>
      <c r="CI554" s="205"/>
      <c r="CJ554" s="205"/>
      <c r="CK554" s="205"/>
      <c r="CL554" s="205"/>
      <c r="CM554" s="205"/>
      <c r="CN554" s="205"/>
      <c r="CO554" s="205"/>
      <c r="CP554" s="205"/>
      <c r="CQ554" s="205"/>
      <c r="CR554" s="205"/>
      <c r="CS554" s="205"/>
      <c r="CT554" s="205"/>
      <c r="CU554" s="205"/>
      <c r="CV554" s="205"/>
      <c r="CW554" s="205"/>
      <c r="CX554" s="205"/>
      <c r="CY554" s="205"/>
      <c r="CZ554" s="205"/>
      <c r="DA554" s="205"/>
      <c r="DB554" s="205"/>
      <c r="DC554" s="205"/>
      <c r="DD554" s="205"/>
      <c r="DE554" s="205"/>
      <c r="DF554" s="205"/>
      <c r="DG554" s="205"/>
      <c r="DH554" s="205"/>
      <c r="DI554" s="205"/>
      <c r="DJ554" s="205"/>
      <c r="DK554" s="205"/>
      <c r="DL554" s="205"/>
      <c r="DM554" s="205"/>
      <c r="DN554" s="205"/>
      <c r="DO554" s="205"/>
      <c r="DP554" s="205"/>
      <c r="DQ554" s="205"/>
      <c r="DR554" s="205"/>
      <c r="DS554" s="205"/>
      <c r="DT554" s="205"/>
      <c r="DU554" s="205"/>
      <c r="DV554" s="205"/>
      <c r="DW554" s="205"/>
      <c r="DX554" s="205"/>
      <c r="DY554" s="205"/>
      <c r="DZ554" s="205"/>
      <c r="EA554" s="205"/>
      <c r="EB554" s="205"/>
      <c r="EC554" s="205"/>
      <c r="ED554" s="205"/>
      <c r="EE554" s="205"/>
      <c r="EF554" s="205"/>
      <c r="EG554" s="205"/>
      <c r="EH554" s="205"/>
      <c r="EI554" s="205"/>
      <c r="EJ554" s="205"/>
      <c r="EK554" s="205"/>
      <c r="EL554" s="205"/>
      <c r="EM554" s="205"/>
      <c r="EN554" s="205"/>
      <c r="EO554" s="205"/>
      <c r="EP554" s="205"/>
      <c r="EQ554" s="205"/>
      <c r="ER554" s="205"/>
      <c r="ES554" s="205"/>
      <c r="ET554" s="205"/>
      <c r="EU554" s="205"/>
      <c r="EV554" s="205"/>
      <c r="EW554" s="205"/>
      <c r="EX554" s="205"/>
      <c r="EY554" s="205"/>
      <c r="EZ554" s="205"/>
      <c r="FA554" s="205"/>
      <c r="FB554" s="205"/>
      <c r="FC554" s="205"/>
      <c r="FD554" s="205"/>
      <c r="FE554" s="205"/>
      <c r="FF554" s="205"/>
      <c r="FG554" s="205"/>
      <c r="FH554" s="205"/>
      <c r="FI554" s="205"/>
      <c r="FJ554" s="205"/>
      <c r="FK554" s="205"/>
      <c r="FL554" s="205"/>
      <c r="FM554" s="205"/>
      <c r="FN554" s="205"/>
      <c r="FO554" s="205"/>
      <c r="FP554" s="205"/>
      <c r="FQ554" s="205"/>
      <c r="FR554" s="205"/>
      <c r="FS554" s="205"/>
      <c r="FT554" s="205"/>
      <c r="FU554" s="205"/>
      <c r="FV554" s="205"/>
      <c r="FW554" s="205"/>
      <c r="FX554" s="205"/>
      <c r="FY554" s="205"/>
      <c r="FZ554" s="205"/>
      <c r="GA554" s="205"/>
      <c r="GB554" s="205"/>
      <c r="GC554" s="205"/>
      <c r="GD554" s="205"/>
      <c r="GE554" s="205"/>
      <c r="GF554" s="205"/>
      <c r="GG554" s="205"/>
      <c r="GH554" s="205"/>
      <c r="GI554" s="205"/>
      <c r="GJ554" s="205"/>
      <c r="GK554" s="205"/>
      <c r="GL554" s="205"/>
      <c r="GM554" s="205"/>
      <c r="GN554" s="205"/>
      <c r="GO554" s="205"/>
      <c r="GP554" s="205"/>
      <c r="GQ554" s="205"/>
      <c r="GR554" s="205"/>
      <c r="GS554" s="205"/>
      <c r="GT554" s="205"/>
      <c r="GU554" s="205"/>
      <c r="GV554" s="205"/>
      <c r="GW554" s="205"/>
      <c r="GX554" s="205"/>
      <c r="GY554" s="205"/>
      <c r="GZ554" s="205"/>
      <c r="HA554" s="205"/>
      <c r="HB554" s="205"/>
      <c r="HC554" s="205"/>
      <c r="HD554" s="205"/>
      <c r="HE554" s="205"/>
      <c r="HF554" s="205"/>
      <c r="HG554" s="205"/>
      <c r="HH554" s="205"/>
      <c r="HI554" s="205"/>
      <c r="HJ554" s="205"/>
      <c r="HK554" s="205"/>
      <c r="HL554" s="205"/>
      <c r="HM554" s="205"/>
      <c r="HN554" s="205"/>
      <c r="HO554" s="205"/>
      <c r="HP554" s="205"/>
      <c r="HQ554" s="205"/>
      <c r="HR554" s="205"/>
      <c r="HS554" s="205"/>
      <c r="HT554" s="205"/>
      <c r="HU554" s="205"/>
      <c r="HV554" s="205"/>
      <c r="HW554" s="205"/>
      <c r="HX554" s="205"/>
      <c r="HY554" s="205"/>
      <c r="HZ554" s="205"/>
      <c r="IA554" s="205"/>
      <c r="IB554" s="205"/>
      <c r="IC554" s="205"/>
      <c r="ID554" s="205"/>
      <c r="IE554" s="205"/>
      <c r="IF554" s="205"/>
      <c r="IG554" s="205"/>
      <c r="IH554" s="205"/>
      <c r="II554" s="205"/>
      <c r="IJ554" s="205"/>
      <c r="IK554" s="205"/>
      <c r="IL554" s="205"/>
      <c r="IM554" s="205"/>
      <c r="IN554" s="205"/>
      <c r="IO554" s="205"/>
      <c r="IP554" s="205"/>
      <c r="IQ554" s="205"/>
      <c r="IR554" s="205"/>
      <c r="IS554" s="205"/>
      <c r="IT554" s="205"/>
      <c r="IU554" s="205"/>
      <c r="IV554" s="205"/>
      <c r="IW554" s="205"/>
      <c r="IX554" s="205"/>
    </row>
    <row r="555" spans="1:258" s="203" customFormat="1" x14ac:dyDescent="0.2">
      <c r="A555" s="669"/>
      <c r="B555" s="670"/>
      <c r="C555" s="686"/>
      <c r="D555" s="672"/>
      <c r="E555" s="673"/>
      <c r="F555" s="673"/>
      <c r="G555" s="674"/>
      <c r="H555" s="675"/>
      <c r="I555" s="676"/>
      <c r="J555" s="676"/>
      <c r="K555" s="676"/>
      <c r="L555" s="676"/>
      <c r="M555" s="676"/>
      <c r="N555" s="676"/>
      <c r="O555" s="676"/>
      <c r="P555" s="676"/>
      <c r="Q555" s="676"/>
      <c r="R555" s="677"/>
      <c r="S555" s="678"/>
      <c r="T555" s="684"/>
      <c r="U555" s="205"/>
      <c r="V555" s="685"/>
      <c r="W555" s="205"/>
      <c r="X555" s="205"/>
      <c r="Y555" s="205"/>
      <c r="Z555" s="205"/>
      <c r="AA555" s="205"/>
      <c r="AB555" s="205"/>
      <c r="AC555" s="205"/>
      <c r="AD555" s="205"/>
      <c r="AE555" s="205"/>
      <c r="AF555" s="205"/>
      <c r="AG555" s="205"/>
      <c r="AH555" s="205"/>
      <c r="AI555" s="205"/>
      <c r="AJ555" s="205"/>
      <c r="AK555" s="205"/>
      <c r="AL555" s="205"/>
      <c r="AM555" s="205"/>
      <c r="AN555" s="205"/>
      <c r="AO555" s="205"/>
      <c r="AP555" s="205"/>
      <c r="AQ555" s="205"/>
      <c r="AR555" s="205"/>
      <c r="AS555" s="205"/>
      <c r="AT555" s="205"/>
      <c r="AU555" s="205"/>
      <c r="AV555" s="205"/>
      <c r="AW555" s="205"/>
      <c r="AX555" s="205"/>
      <c r="AY555" s="205"/>
      <c r="AZ555" s="205"/>
      <c r="BA555" s="205"/>
      <c r="BB555" s="205"/>
      <c r="BC555" s="205"/>
      <c r="BD555" s="205"/>
      <c r="BE555" s="205"/>
      <c r="BF555" s="205"/>
      <c r="BG555" s="205"/>
      <c r="BH555" s="205"/>
      <c r="BI555" s="205"/>
      <c r="BJ555" s="205"/>
      <c r="BK555" s="205"/>
      <c r="BL555" s="205"/>
      <c r="BM555" s="205"/>
      <c r="BN555" s="205"/>
      <c r="BO555" s="205"/>
      <c r="BP555" s="205"/>
      <c r="BQ555" s="205"/>
      <c r="BR555" s="205"/>
      <c r="BS555" s="205"/>
      <c r="BT555" s="205"/>
      <c r="BU555" s="205"/>
      <c r="BV555" s="205"/>
      <c r="BW555" s="205"/>
      <c r="BX555" s="205"/>
      <c r="BY555" s="205"/>
      <c r="BZ555" s="205"/>
      <c r="CA555" s="205"/>
      <c r="CB555" s="205"/>
      <c r="CC555" s="205"/>
      <c r="CD555" s="205"/>
      <c r="CE555" s="205"/>
      <c r="CF555" s="205"/>
      <c r="CG555" s="205"/>
      <c r="CH555" s="205"/>
      <c r="CI555" s="205"/>
      <c r="CJ555" s="205"/>
      <c r="CK555" s="205"/>
      <c r="CL555" s="205"/>
      <c r="CM555" s="205"/>
      <c r="CN555" s="205"/>
      <c r="CO555" s="205"/>
      <c r="CP555" s="205"/>
      <c r="CQ555" s="205"/>
      <c r="CR555" s="205"/>
      <c r="CS555" s="205"/>
      <c r="CT555" s="205"/>
      <c r="CU555" s="205"/>
      <c r="CV555" s="205"/>
      <c r="CW555" s="205"/>
      <c r="CX555" s="205"/>
      <c r="CY555" s="205"/>
      <c r="CZ555" s="205"/>
      <c r="DA555" s="205"/>
      <c r="DB555" s="205"/>
      <c r="DC555" s="205"/>
      <c r="DD555" s="205"/>
      <c r="DE555" s="205"/>
      <c r="DF555" s="205"/>
      <c r="DG555" s="205"/>
      <c r="DH555" s="205"/>
      <c r="DI555" s="205"/>
      <c r="DJ555" s="205"/>
      <c r="DK555" s="205"/>
      <c r="DL555" s="205"/>
      <c r="DM555" s="205"/>
      <c r="DN555" s="205"/>
      <c r="DO555" s="205"/>
      <c r="DP555" s="205"/>
      <c r="DQ555" s="205"/>
      <c r="DR555" s="205"/>
      <c r="DS555" s="205"/>
      <c r="DT555" s="205"/>
      <c r="DU555" s="205"/>
      <c r="DV555" s="205"/>
      <c r="DW555" s="205"/>
      <c r="DX555" s="205"/>
      <c r="DY555" s="205"/>
      <c r="DZ555" s="205"/>
      <c r="EA555" s="205"/>
      <c r="EB555" s="205"/>
      <c r="EC555" s="205"/>
      <c r="ED555" s="205"/>
      <c r="EE555" s="205"/>
      <c r="EF555" s="205"/>
      <c r="EG555" s="205"/>
      <c r="EH555" s="205"/>
      <c r="EI555" s="205"/>
      <c r="EJ555" s="205"/>
      <c r="EK555" s="205"/>
      <c r="EL555" s="205"/>
      <c r="EM555" s="205"/>
      <c r="EN555" s="205"/>
      <c r="EO555" s="205"/>
      <c r="EP555" s="205"/>
      <c r="EQ555" s="205"/>
      <c r="ER555" s="205"/>
      <c r="ES555" s="205"/>
      <c r="ET555" s="205"/>
      <c r="EU555" s="205"/>
      <c r="EV555" s="205"/>
      <c r="EW555" s="205"/>
      <c r="EX555" s="205"/>
      <c r="EY555" s="205"/>
      <c r="EZ555" s="205"/>
      <c r="FA555" s="205"/>
      <c r="FB555" s="205"/>
      <c r="FC555" s="205"/>
      <c r="FD555" s="205"/>
      <c r="FE555" s="205"/>
      <c r="FF555" s="205"/>
      <c r="FG555" s="205"/>
      <c r="FH555" s="205"/>
      <c r="FI555" s="205"/>
      <c r="FJ555" s="205"/>
      <c r="FK555" s="205"/>
      <c r="FL555" s="205"/>
      <c r="FM555" s="205"/>
      <c r="FN555" s="205"/>
      <c r="FO555" s="205"/>
      <c r="FP555" s="205"/>
      <c r="FQ555" s="205"/>
      <c r="FR555" s="205"/>
      <c r="FS555" s="205"/>
      <c r="FT555" s="205"/>
      <c r="FU555" s="205"/>
      <c r="FV555" s="205"/>
      <c r="FW555" s="205"/>
      <c r="FX555" s="205"/>
      <c r="FY555" s="205"/>
      <c r="FZ555" s="205"/>
      <c r="GA555" s="205"/>
      <c r="GB555" s="205"/>
      <c r="GC555" s="205"/>
      <c r="GD555" s="205"/>
      <c r="GE555" s="205"/>
      <c r="GF555" s="205"/>
      <c r="GG555" s="205"/>
      <c r="GH555" s="205"/>
      <c r="GI555" s="205"/>
      <c r="GJ555" s="205"/>
      <c r="GK555" s="205"/>
      <c r="GL555" s="205"/>
      <c r="GM555" s="205"/>
      <c r="GN555" s="205"/>
      <c r="GO555" s="205"/>
      <c r="GP555" s="205"/>
      <c r="GQ555" s="205"/>
      <c r="GR555" s="205"/>
      <c r="GS555" s="205"/>
      <c r="GT555" s="205"/>
      <c r="GU555" s="205"/>
      <c r="GV555" s="205"/>
      <c r="GW555" s="205"/>
      <c r="GX555" s="205"/>
      <c r="GY555" s="205"/>
      <c r="GZ555" s="205"/>
      <c r="HA555" s="205"/>
      <c r="HB555" s="205"/>
      <c r="HC555" s="205"/>
      <c r="HD555" s="205"/>
      <c r="HE555" s="205"/>
      <c r="HF555" s="205"/>
      <c r="HG555" s="205"/>
      <c r="HH555" s="205"/>
      <c r="HI555" s="205"/>
      <c r="HJ555" s="205"/>
      <c r="HK555" s="205"/>
      <c r="HL555" s="205"/>
      <c r="HM555" s="205"/>
      <c r="HN555" s="205"/>
      <c r="HO555" s="205"/>
      <c r="HP555" s="205"/>
      <c r="HQ555" s="205"/>
      <c r="HR555" s="205"/>
      <c r="HS555" s="205"/>
      <c r="HT555" s="205"/>
      <c r="HU555" s="205"/>
      <c r="HV555" s="205"/>
      <c r="HW555" s="205"/>
      <c r="HX555" s="205"/>
      <c r="HY555" s="205"/>
      <c r="HZ555" s="205"/>
      <c r="IA555" s="205"/>
      <c r="IB555" s="205"/>
      <c r="IC555" s="205"/>
      <c r="ID555" s="205"/>
      <c r="IE555" s="205"/>
      <c r="IF555" s="205"/>
      <c r="IG555" s="205"/>
      <c r="IH555" s="205"/>
      <c r="II555" s="205"/>
      <c r="IJ555" s="205"/>
      <c r="IK555" s="205"/>
      <c r="IL555" s="205"/>
      <c r="IM555" s="205"/>
      <c r="IN555" s="205"/>
      <c r="IO555" s="205"/>
      <c r="IP555" s="205"/>
      <c r="IQ555" s="205"/>
      <c r="IR555" s="205"/>
      <c r="IS555" s="205"/>
      <c r="IT555" s="205"/>
      <c r="IU555" s="205"/>
      <c r="IV555" s="205"/>
      <c r="IW555" s="205"/>
      <c r="IX555" s="205"/>
    </row>
    <row r="556" spans="1:258" s="196" customFormat="1" ht="15.75" thickBot="1" x14ac:dyDescent="0.25">
      <c r="A556" s="669"/>
      <c r="B556" s="695"/>
      <c r="C556" s="696"/>
      <c r="D556" s="697"/>
      <c r="E556" s="698"/>
      <c r="F556" s="698"/>
      <c r="G556" s="699"/>
      <c r="H556" s="700"/>
      <c r="I556" s="701"/>
      <c r="J556" s="701"/>
      <c r="K556" s="701"/>
      <c r="L556" s="701"/>
      <c r="M556" s="701"/>
      <c r="N556" s="701"/>
      <c r="O556" s="701"/>
      <c r="P556" s="701"/>
      <c r="Q556" s="701"/>
      <c r="R556" s="702"/>
      <c r="S556" s="703"/>
      <c r="T556" s="715"/>
      <c r="U556" s="205"/>
      <c r="V556" s="679"/>
      <c r="W556" s="205"/>
      <c r="X556" s="205"/>
      <c r="Y556" s="205"/>
      <c r="Z556" s="205"/>
      <c r="AA556" s="205"/>
      <c r="AB556" s="205"/>
      <c r="AC556" s="205"/>
      <c r="AD556" s="205"/>
      <c r="AE556" s="205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05"/>
      <c r="BN556" s="205"/>
      <c r="BO556" s="205"/>
      <c r="BP556" s="205"/>
      <c r="BQ556" s="205"/>
      <c r="BR556" s="205"/>
      <c r="BS556" s="205"/>
      <c r="BT556" s="205"/>
      <c r="BU556" s="205"/>
      <c r="BV556" s="205"/>
      <c r="BW556" s="205"/>
      <c r="BX556" s="205"/>
      <c r="BY556" s="205"/>
      <c r="BZ556" s="205"/>
      <c r="CA556" s="205"/>
      <c r="CB556" s="205"/>
      <c r="CC556" s="205"/>
      <c r="CD556" s="205"/>
      <c r="CE556" s="205"/>
      <c r="CF556" s="205"/>
      <c r="CG556" s="205"/>
      <c r="CH556" s="205"/>
      <c r="CI556" s="205"/>
      <c r="CJ556" s="205"/>
      <c r="CK556" s="205"/>
      <c r="CL556" s="205"/>
      <c r="CM556" s="205"/>
      <c r="CN556" s="205"/>
      <c r="CO556" s="205"/>
      <c r="CP556" s="205"/>
      <c r="CQ556" s="205"/>
      <c r="CR556" s="205"/>
      <c r="CS556" s="205"/>
      <c r="CT556" s="205"/>
      <c r="CU556" s="205"/>
      <c r="CV556" s="205"/>
      <c r="CW556" s="205"/>
      <c r="CX556" s="205"/>
      <c r="CY556" s="205"/>
      <c r="CZ556" s="205"/>
      <c r="DA556" s="205"/>
      <c r="DB556" s="205"/>
      <c r="DC556" s="205"/>
      <c r="DD556" s="205"/>
      <c r="DE556" s="205"/>
      <c r="DF556" s="205"/>
      <c r="DG556" s="205"/>
      <c r="DH556" s="205"/>
      <c r="DI556" s="205"/>
      <c r="DJ556" s="205"/>
      <c r="DK556" s="205"/>
      <c r="DL556" s="205"/>
      <c r="DM556" s="205"/>
      <c r="DN556" s="205"/>
      <c r="DO556" s="205"/>
      <c r="DP556" s="205"/>
      <c r="DQ556" s="205"/>
      <c r="DR556" s="205"/>
      <c r="DS556" s="205"/>
      <c r="DT556" s="205"/>
      <c r="DU556" s="205"/>
      <c r="DV556" s="205"/>
      <c r="DW556" s="205"/>
      <c r="DX556" s="205"/>
      <c r="DY556" s="205"/>
      <c r="DZ556" s="205"/>
      <c r="EA556" s="205"/>
      <c r="EB556" s="205"/>
      <c r="EC556" s="205"/>
      <c r="ED556" s="205"/>
      <c r="EE556" s="205"/>
      <c r="EF556" s="205"/>
      <c r="EG556" s="205"/>
      <c r="EH556" s="205"/>
      <c r="EI556" s="205"/>
      <c r="EJ556" s="205"/>
      <c r="EK556" s="205"/>
      <c r="EL556" s="205"/>
      <c r="EM556" s="205"/>
      <c r="EN556" s="205"/>
      <c r="EO556" s="205"/>
      <c r="EP556" s="205"/>
      <c r="EQ556" s="205"/>
      <c r="ER556" s="205"/>
      <c r="ES556" s="205"/>
      <c r="ET556" s="205"/>
      <c r="EU556" s="205"/>
      <c r="EV556" s="205"/>
      <c r="EW556" s="205"/>
      <c r="EX556" s="205"/>
      <c r="EY556" s="205"/>
      <c r="EZ556" s="205"/>
      <c r="FA556" s="205"/>
      <c r="FB556" s="205"/>
      <c r="FC556" s="205"/>
      <c r="FD556" s="205"/>
      <c r="FE556" s="205"/>
      <c r="FF556" s="205"/>
      <c r="FG556" s="205"/>
      <c r="FH556" s="205"/>
      <c r="FI556" s="205"/>
      <c r="FJ556" s="205"/>
      <c r="FK556" s="205"/>
      <c r="FL556" s="205"/>
      <c r="FM556" s="205"/>
      <c r="FN556" s="205"/>
      <c r="FO556" s="205"/>
      <c r="FP556" s="205"/>
      <c r="FQ556" s="205"/>
      <c r="FR556" s="205"/>
      <c r="FS556" s="205"/>
      <c r="FT556" s="205"/>
      <c r="FU556" s="205"/>
      <c r="FV556" s="205"/>
      <c r="FW556" s="205"/>
      <c r="FX556" s="205"/>
      <c r="FY556" s="205"/>
      <c r="FZ556" s="205"/>
      <c r="GA556" s="205"/>
      <c r="GB556" s="205"/>
      <c r="GC556" s="205"/>
      <c r="GD556" s="205"/>
      <c r="GE556" s="205"/>
      <c r="GF556" s="205"/>
      <c r="GG556" s="205"/>
      <c r="GH556" s="205"/>
      <c r="GI556" s="205"/>
      <c r="GJ556" s="205"/>
      <c r="GK556" s="205"/>
      <c r="GL556" s="205"/>
      <c r="GM556" s="205"/>
      <c r="GN556" s="205"/>
      <c r="GO556" s="205"/>
      <c r="GP556" s="205"/>
      <c r="GQ556" s="205"/>
      <c r="GR556" s="205"/>
      <c r="GS556" s="205"/>
      <c r="GT556" s="205"/>
      <c r="GU556" s="205"/>
      <c r="GV556" s="205"/>
      <c r="GW556" s="205"/>
      <c r="GX556" s="205"/>
      <c r="GY556" s="205"/>
      <c r="GZ556" s="205"/>
      <c r="HA556" s="205"/>
      <c r="HB556" s="205"/>
      <c r="HC556" s="205"/>
      <c r="HD556" s="205"/>
      <c r="HE556" s="205"/>
      <c r="HF556" s="205"/>
      <c r="HG556" s="205"/>
      <c r="HH556" s="205"/>
      <c r="HI556" s="205"/>
      <c r="HJ556" s="205"/>
      <c r="HK556" s="205"/>
      <c r="HL556" s="205"/>
      <c r="HM556" s="205"/>
      <c r="HN556" s="205"/>
      <c r="HO556" s="205"/>
      <c r="HP556" s="205"/>
      <c r="HQ556" s="205"/>
      <c r="HR556" s="205"/>
      <c r="HS556" s="205"/>
      <c r="HT556" s="205"/>
      <c r="HU556" s="205"/>
      <c r="HV556" s="205"/>
      <c r="HW556" s="205"/>
      <c r="HX556" s="205"/>
      <c r="HY556" s="205"/>
      <c r="HZ556" s="205"/>
      <c r="IA556" s="205"/>
      <c r="IB556" s="205"/>
      <c r="IC556" s="205"/>
      <c r="ID556" s="205"/>
      <c r="IE556" s="205"/>
      <c r="IF556" s="205"/>
      <c r="IG556" s="205"/>
      <c r="IH556" s="205"/>
      <c r="II556" s="205"/>
      <c r="IJ556" s="205"/>
      <c r="IK556" s="205"/>
      <c r="IL556" s="205"/>
      <c r="IM556" s="205"/>
      <c r="IN556" s="205"/>
      <c r="IO556" s="205"/>
      <c r="IP556" s="205"/>
      <c r="IQ556" s="205"/>
      <c r="IR556" s="205"/>
      <c r="IS556" s="205"/>
      <c r="IT556" s="205"/>
      <c r="IU556" s="205"/>
      <c r="IV556" s="205"/>
      <c r="IW556" s="205"/>
      <c r="IX556" s="205"/>
    </row>
    <row r="557" spans="1:258" s="196" customFormat="1" ht="15" x14ac:dyDescent="0.2">
      <c r="A557" s="205"/>
      <c r="B557" s="704"/>
      <c r="C557" s="705"/>
      <c r="D557" s="706"/>
      <c r="E557" s="706"/>
      <c r="F557" s="706"/>
      <c r="G557" s="707"/>
      <c r="H557" s="694"/>
      <c r="I557" s="694"/>
      <c r="J557" s="694"/>
      <c r="K557" s="694"/>
      <c r="L557" s="694"/>
      <c r="M557" s="694"/>
      <c r="N557" s="694"/>
      <c r="O557" s="694"/>
      <c r="P557" s="694"/>
      <c r="Q557" s="694"/>
      <c r="R557" s="204"/>
      <c r="S557" s="708"/>
      <c r="T557" s="714"/>
      <c r="U557" s="205"/>
      <c r="V557" s="662"/>
      <c r="W557" s="205"/>
      <c r="X557" s="205"/>
      <c r="Y557" s="205"/>
      <c r="Z557" s="205"/>
      <c r="AA557" s="205"/>
      <c r="AB557" s="205"/>
      <c r="AC557" s="205"/>
      <c r="AD557" s="205"/>
      <c r="AE557" s="205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05"/>
      <c r="BN557" s="205"/>
      <c r="BO557" s="205"/>
      <c r="BP557" s="205"/>
      <c r="BQ557" s="205"/>
      <c r="BR557" s="205"/>
      <c r="BS557" s="205"/>
      <c r="BT557" s="205"/>
      <c r="BU557" s="205"/>
      <c r="BV557" s="205"/>
      <c r="BW557" s="205"/>
      <c r="BX557" s="205"/>
      <c r="BY557" s="205"/>
      <c r="BZ557" s="205"/>
      <c r="CA557" s="205"/>
      <c r="CB557" s="205"/>
      <c r="CC557" s="205"/>
      <c r="CD557" s="205"/>
      <c r="CE557" s="205"/>
      <c r="CF557" s="205"/>
      <c r="CG557" s="205"/>
      <c r="CH557" s="205"/>
      <c r="CI557" s="205"/>
      <c r="CJ557" s="205"/>
      <c r="CK557" s="205"/>
      <c r="CL557" s="205"/>
      <c r="CM557" s="205"/>
      <c r="CN557" s="205"/>
      <c r="CO557" s="205"/>
      <c r="CP557" s="205"/>
      <c r="CQ557" s="205"/>
      <c r="CR557" s="205"/>
      <c r="CS557" s="205"/>
      <c r="CT557" s="205"/>
      <c r="CU557" s="205"/>
      <c r="CV557" s="205"/>
      <c r="CW557" s="205"/>
      <c r="CX557" s="205"/>
      <c r="CY557" s="205"/>
      <c r="CZ557" s="205"/>
      <c r="DA557" s="205"/>
      <c r="DB557" s="205"/>
      <c r="DC557" s="205"/>
      <c r="DD557" s="205"/>
      <c r="DE557" s="205"/>
      <c r="DF557" s="205"/>
      <c r="DG557" s="205"/>
      <c r="DH557" s="205"/>
      <c r="DI557" s="205"/>
      <c r="DJ557" s="205"/>
      <c r="DK557" s="205"/>
      <c r="DL557" s="205"/>
      <c r="DM557" s="205"/>
      <c r="DN557" s="205"/>
      <c r="DO557" s="205"/>
      <c r="DP557" s="205"/>
      <c r="DQ557" s="205"/>
      <c r="DR557" s="205"/>
      <c r="DS557" s="205"/>
      <c r="DT557" s="205"/>
      <c r="DU557" s="205"/>
      <c r="DV557" s="205"/>
      <c r="DW557" s="205"/>
      <c r="DX557" s="205"/>
      <c r="DY557" s="205"/>
      <c r="DZ557" s="205"/>
      <c r="EA557" s="205"/>
      <c r="EB557" s="205"/>
      <c r="EC557" s="205"/>
      <c r="ED557" s="205"/>
      <c r="EE557" s="205"/>
      <c r="EF557" s="205"/>
      <c r="EG557" s="205"/>
      <c r="EH557" s="205"/>
      <c r="EI557" s="205"/>
      <c r="EJ557" s="205"/>
      <c r="EK557" s="205"/>
      <c r="EL557" s="205"/>
      <c r="EM557" s="205"/>
      <c r="EN557" s="205"/>
      <c r="EO557" s="205"/>
      <c r="EP557" s="205"/>
      <c r="EQ557" s="205"/>
      <c r="ER557" s="205"/>
      <c r="ES557" s="205"/>
      <c r="ET557" s="205"/>
      <c r="EU557" s="205"/>
      <c r="EV557" s="205"/>
      <c r="EW557" s="205"/>
      <c r="EX557" s="205"/>
      <c r="EY557" s="205"/>
      <c r="EZ557" s="205"/>
      <c r="FA557" s="205"/>
      <c r="FB557" s="205"/>
      <c r="FC557" s="205"/>
      <c r="FD557" s="205"/>
      <c r="FE557" s="205"/>
      <c r="FF557" s="205"/>
      <c r="FG557" s="205"/>
      <c r="FH557" s="205"/>
      <c r="FI557" s="205"/>
      <c r="FJ557" s="205"/>
      <c r="FK557" s="205"/>
      <c r="FL557" s="205"/>
      <c r="FM557" s="205"/>
      <c r="FN557" s="205"/>
      <c r="FO557" s="205"/>
      <c r="FP557" s="205"/>
      <c r="FQ557" s="205"/>
      <c r="FR557" s="205"/>
      <c r="FS557" s="205"/>
      <c r="FT557" s="205"/>
      <c r="FU557" s="205"/>
      <c r="FV557" s="205"/>
      <c r="FW557" s="205"/>
      <c r="FX557" s="205"/>
      <c r="FY557" s="205"/>
      <c r="FZ557" s="205"/>
      <c r="GA557" s="205"/>
      <c r="GB557" s="205"/>
      <c r="GC557" s="205"/>
      <c r="GD557" s="205"/>
      <c r="GE557" s="205"/>
      <c r="GF557" s="205"/>
      <c r="GG557" s="205"/>
      <c r="GH557" s="205"/>
      <c r="GI557" s="205"/>
      <c r="GJ557" s="205"/>
      <c r="GK557" s="205"/>
      <c r="GL557" s="205"/>
      <c r="GM557" s="205"/>
      <c r="GN557" s="205"/>
      <c r="GO557" s="205"/>
      <c r="GP557" s="205"/>
      <c r="GQ557" s="205"/>
      <c r="GR557" s="205"/>
      <c r="GS557" s="205"/>
      <c r="GT557" s="205"/>
      <c r="GU557" s="205"/>
      <c r="GV557" s="205"/>
      <c r="GW557" s="205"/>
      <c r="GX557" s="205"/>
      <c r="GY557" s="205"/>
      <c r="GZ557" s="205"/>
      <c r="HA557" s="205"/>
      <c r="HB557" s="205"/>
      <c r="HC557" s="205"/>
      <c r="HD557" s="205"/>
      <c r="HE557" s="205"/>
      <c r="HF557" s="205"/>
      <c r="HG557" s="205"/>
      <c r="HH557" s="205"/>
      <c r="HI557" s="205"/>
      <c r="HJ557" s="205"/>
      <c r="HK557" s="205"/>
      <c r="HL557" s="205"/>
      <c r="HM557" s="205"/>
      <c r="HN557" s="205"/>
      <c r="HO557" s="205"/>
      <c r="HP557" s="205"/>
      <c r="HQ557" s="205"/>
      <c r="HR557" s="205"/>
      <c r="HS557" s="205"/>
      <c r="HT557" s="205"/>
      <c r="HU557" s="205"/>
      <c r="HV557" s="205"/>
      <c r="HW557" s="205"/>
      <c r="HX557" s="205"/>
      <c r="HY557" s="205"/>
      <c r="HZ557" s="205"/>
      <c r="IA557" s="205"/>
      <c r="IB557" s="205"/>
      <c r="IC557" s="205"/>
      <c r="ID557" s="205"/>
      <c r="IE557" s="205"/>
      <c r="IF557" s="205"/>
      <c r="IG557" s="205"/>
      <c r="IH557" s="205"/>
      <c r="II557" s="205"/>
      <c r="IJ557" s="205"/>
      <c r="IK557" s="205"/>
      <c r="IL557" s="205"/>
      <c r="IM557" s="205"/>
      <c r="IN557" s="205"/>
      <c r="IO557" s="205"/>
      <c r="IP557" s="205"/>
      <c r="IQ557" s="205"/>
      <c r="IR557" s="205"/>
      <c r="IS557" s="205"/>
      <c r="IT557" s="205"/>
      <c r="IU557" s="205"/>
      <c r="IV557" s="205"/>
      <c r="IW557" s="205"/>
      <c r="IX557" s="205"/>
    </row>
    <row r="558" spans="1:258" s="196" customFormat="1" ht="18" x14ac:dyDescent="0.25">
      <c r="A558" s="205"/>
      <c r="B558" s="704"/>
      <c r="C558" s="709"/>
      <c r="D558" s="706"/>
      <c r="E558" s="710"/>
      <c r="F558" s="706"/>
      <c r="G558" s="711"/>
      <c r="H558" s="694"/>
      <c r="I558" s="712"/>
      <c r="J558" s="694"/>
      <c r="K558" s="713"/>
      <c r="L558" s="205"/>
      <c r="M558" s="694"/>
      <c r="N558" s="694"/>
      <c r="O558" s="694"/>
      <c r="P558" s="694"/>
      <c r="Q558" s="694"/>
      <c r="R558" s="204"/>
      <c r="S558" s="708"/>
      <c r="T558" s="714"/>
      <c r="U558" s="205"/>
      <c r="V558" s="662"/>
      <c r="W558" s="205"/>
      <c r="X558" s="205"/>
      <c r="Y558" s="205"/>
      <c r="Z558" s="205"/>
      <c r="AA558" s="205"/>
      <c r="AB558" s="205"/>
      <c r="AC558" s="205"/>
      <c r="AD558" s="205"/>
      <c r="AE558" s="205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05"/>
      <c r="BN558" s="205"/>
      <c r="BO558" s="205"/>
      <c r="BP558" s="205"/>
      <c r="BQ558" s="205"/>
      <c r="BR558" s="205"/>
      <c r="BS558" s="205"/>
      <c r="BT558" s="205"/>
      <c r="BU558" s="205"/>
      <c r="BV558" s="205"/>
      <c r="BW558" s="205"/>
      <c r="BX558" s="205"/>
      <c r="BY558" s="205"/>
      <c r="BZ558" s="205"/>
      <c r="CA558" s="205"/>
      <c r="CB558" s="205"/>
      <c r="CC558" s="205"/>
      <c r="CD558" s="205"/>
      <c r="CE558" s="205"/>
      <c r="CF558" s="205"/>
      <c r="CG558" s="205"/>
      <c r="CH558" s="205"/>
      <c r="CI558" s="205"/>
      <c r="CJ558" s="205"/>
      <c r="CK558" s="205"/>
      <c r="CL558" s="205"/>
      <c r="CM558" s="205"/>
      <c r="CN558" s="205"/>
      <c r="CO558" s="205"/>
      <c r="CP558" s="205"/>
      <c r="CQ558" s="205"/>
      <c r="CR558" s="205"/>
      <c r="CS558" s="205"/>
      <c r="CT558" s="205"/>
      <c r="CU558" s="205"/>
      <c r="CV558" s="205"/>
      <c r="CW558" s="205"/>
      <c r="CX558" s="205"/>
      <c r="CY558" s="205"/>
      <c r="CZ558" s="205"/>
      <c r="DA558" s="205"/>
      <c r="DB558" s="205"/>
      <c r="DC558" s="205"/>
      <c r="DD558" s="205"/>
      <c r="DE558" s="205"/>
      <c r="DF558" s="205"/>
      <c r="DG558" s="205"/>
      <c r="DH558" s="205"/>
      <c r="DI558" s="205"/>
      <c r="DJ558" s="205"/>
      <c r="DK558" s="205"/>
      <c r="DL558" s="205"/>
      <c r="DM558" s="205"/>
      <c r="DN558" s="205"/>
      <c r="DO558" s="205"/>
      <c r="DP558" s="205"/>
      <c r="DQ558" s="205"/>
      <c r="DR558" s="205"/>
      <c r="DS558" s="205"/>
      <c r="DT558" s="205"/>
      <c r="DU558" s="205"/>
      <c r="DV558" s="205"/>
      <c r="DW558" s="205"/>
      <c r="DX558" s="205"/>
      <c r="DY558" s="205"/>
      <c r="DZ558" s="205"/>
      <c r="EA558" s="205"/>
      <c r="EB558" s="205"/>
      <c r="EC558" s="205"/>
      <c r="ED558" s="205"/>
      <c r="EE558" s="205"/>
      <c r="EF558" s="205"/>
      <c r="EG558" s="205"/>
      <c r="EH558" s="205"/>
      <c r="EI558" s="205"/>
      <c r="EJ558" s="205"/>
      <c r="EK558" s="205"/>
      <c r="EL558" s="205"/>
      <c r="EM558" s="205"/>
      <c r="EN558" s="205"/>
      <c r="EO558" s="205"/>
      <c r="EP558" s="205"/>
      <c r="EQ558" s="205"/>
      <c r="ER558" s="205"/>
      <c r="ES558" s="205"/>
      <c r="ET558" s="205"/>
      <c r="EU558" s="205"/>
      <c r="EV558" s="205"/>
      <c r="EW558" s="205"/>
      <c r="EX558" s="205"/>
      <c r="EY558" s="205"/>
      <c r="EZ558" s="205"/>
      <c r="FA558" s="205"/>
      <c r="FB558" s="205"/>
      <c r="FC558" s="205"/>
      <c r="FD558" s="205"/>
      <c r="FE558" s="205"/>
      <c r="FF558" s="205"/>
      <c r="FG558" s="205"/>
      <c r="FH558" s="205"/>
      <c r="FI558" s="205"/>
      <c r="FJ558" s="205"/>
      <c r="FK558" s="205"/>
      <c r="FL558" s="205"/>
      <c r="FM558" s="205"/>
      <c r="FN558" s="205"/>
      <c r="FO558" s="205"/>
      <c r="FP558" s="205"/>
      <c r="FQ558" s="205"/>
      <c r="FR558" s="205"/>
      <c r="FS558" s="205"/>
      <c r="FT558" s="205"/>
      <c r="FU558" s="205"/>
      <c r="FV558" s="205"/>
      <c r="FW558" s="205"/>
      <c r="FX558" s="205"/>
      <c r="FY558" s="205"/>
      <c r="FZ558" s="205"/>
      <c r="GA558" s="205"/>
      <c r="GB558" s="205"/>
      <c r="GC558" s="205"/>
      <c r="GD558" s="205"/>
      <c r="GE558" s="205"/>
      <c r="GF558" s="205"/>
      <c r="GG558" s="205"/>
      <c r="GH558" s="205"/>
      <c r="GI558" s="205"/>
      <c r="GJ558" s="205"/>
      <c r="GK558" s="205"/>
      <c r="GL558" s="205"/>
      <c r="GM558" s="205"/>
      <c r="GN558" s="205"/>
      <c r="GO558" s="205"/>
      <c r="GP558" s="205"/>
      <c r="GQ558" s="205"/>
      <c r="GR558" s="205"/>
      <c r="GS558" s="205"/>
      <c r="GT558" s="205"/>
      <c r="GU558" s="205"/>
      <c r="GV558" s="205"/>
      <c r="GW558" s="205"/>
      <c r="GX558" s="205"/>
      <c r="GY558" s="205"/>
      <c r="GZ558" s="205"/>
      <c r="HA558" s="205"/>
      <c r="HB558" s="205"/>
      <c r="HC558" s="205"/>
      <c r="HD558" s="205"/>
      <c r="HE558" s="205"/>
      <c r="HF558" s="205"/>
      <c r="HG558" s="205"/>
      <c r="HH558" s="205"/>
      <c r="HI558" s="205"/>
      <c r="HJ558" s="205"/>
      <c r="HK558" s="205"/>
      <c r="HL558" s="205"/>
      <c r="HM558" s="205"/>
      <c r="HN558" s="205"/>
      <c r="HO558" s="205"/>
      <c r="HP558" s="205"/>
      <c r="HQ558" s="205"/>
      <c r="HR558" s="205"/>
      <c r="HS558" s="205"/>
      <c r="HT558" s="205"/>
      <c r="HU558" s="205"/>
      <c r="HV558" s="205"/>
      <c r="HW558" s="205"/>
      <c r="HX558" s="205"/>
      <c r="HY558" s="205"/>
      <c r="HZ558" s="205"/>
      <c r="IA558" s="205"/>
      <c r="IB558" s="205"/>
      <c r="IC558" s="205"/>
      <c r="ID558" s="205"/>
      <c r="IE558" s="205"/>
      <c r="IF558" s="205"/>
      <c r="IG558" s="205"/>
      <c r="IH558" s="205"/>
      <c r="II558" s="205"/>
      <c r="IJ558" s="205"/>
      <c r="IK558" s="205"/>
      <c r="IL558" s="205"/>
      <c r="IM558" s="205"/>
      <c r="IN558" s="205"/>
      <c r="IO558" s="205"/>
      <c r="IP558" s="205"/>
      <c r="IQ558" s="205"/>
      <c r="IR558" s="205"/>
      <c r="IS558" s="205"/>
      <c r="IT558" s="205"/>
      <c r="IU558" s="205"/>
      <c r="IV558" s="205"/>
      <c r="IW558" s="205"/>
      <c r="IX558" s="205"/>
    </row>
    <row r="559" spans="1:258" s="196" customFormat="1" ht="18" x14ac:dyDescent="0.25">
      <c r="A559" s="205"/>
      <c r="B559" s="704"/>
      <c r="C559" s="709"/>
      <c r="D559" s="706"/>
      <c r="E559" s="710"/>
      <c r="F559" s="706"/>
      <c r="G559" s="711"/>
      <c r="H559" s="694"/>
      <c r="I559" s="712"/>
      <c r="J559" s="694"/>
      <c r="K559" s="713"/>
      <c r="L559" s="205"/>
      <c r="M559" s="694"/>
      <c r="N559" s="694"/>
      <c r="O559" s="694"/>
      <c r="P559" s="694"/>
      <c r="Q559" s="694"/>
      <c r="R559" s="204"/>
      <c r="S559" s="708"/>
      <c r="T559" s="714"/>
      <c r="U559" s="205"/>
      <c r="V559" s="662"/>
      <c r="W559" s="205"/>
      <c r="X559" s="205"/>
      <c r="Y559" s="205"/>
      <c r="Z559" s="205"/>
      <c r="AA559" s="205"/>
      <c r="AB559" s="205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05"/>
      <c r="BN559" s="205"/>
      <c r="BO559" s="205"/>
      <c r="BP559" s="205"/>
      <c r="BQ559" s="205"/>
      <c r="BR559" s="205"/>
      <c r="BS559" s="205"/>
      <c r="BT559" s="205"/>
      <c r="BU559" s="205"/>
      <c r="BV559" s="205"/>
      <c r="BW559" s="205"/>
      <c r="BX559" s="205"/>
      <c r="BY559" s="205"/>
      <c r="BZ559" s="205"/>
      <c r="CA559" s="205"/>
      <c r="CB559" s="205"/>
      <c r="CC559" s="205"/>
      <c r="CD559" s="205"/>
      <c r="CE559" s="205"/>
      <c r="CF559" s="205"/>
      <c r="CG559" s="205"/>
      <c r="CH559" s="205"/>
      <c r="CI559" s="205"/>
      <c r="CJ559" s="205"/>
      <c r="CK559" s="205"/>
      <c r="CL559" s="205"/>
      <c r="CM559" s="205"/>
      <c r="CN559" s="205"/>
      <c r="CO559" s="205"/>
      <c r="CP559" s="205"/>
      <c r="CQ559" s="205"/>
      <c r="CR559" s="205"/>
      <c r="CS559" s="205"/>
      <c r="CT559" s="205"/>
      <c r="CU559" s="205"/>
      <c r="CV559" s="205"/>
      <c r="CW559" s="205"/>
      <c r="CX559" s="205"/>
      <c r="CY559" s="205"/>
      <c r="CZ559" s="205"/>
      <c r="DA559" s="205"/>
      <c r="DB559" s="205"/>
      <c r="DC559" s="205"/>
      <c r="DD559" s="205"/>
      <c r="DE559" s="205"/>
      <c r="DF559" s="205"/>
      <c r="DG559" s="205"/>
      <c r="DH559" s="205"/>
      <c r="DI559" s="205"/>
      <c r="DJ559" s="205"/>
      <c r="DK559" s="205"/>
      <c r="DL559" s="205"/>
      <c r="DM559" s="205"/>
      <c r="DN559" s="205"/>
      <c r="DO559" s="205"/>
      <c r="DP559" s="205"/>
      <c r="DQ559" s="205"/>
      <c r="DR559" s="205"/>
      <c r="DS559" s="205"/>
      <c r="DT559" s="205"/>
      <c r="DU559" s="205"/>
      <c r="DV559" s="205"/>
      <c r="DW559" s="205"/>
      <c r="DX559" s="205"/>
      <c r="DY559" s="205"/>
      <c r="DZ559" s="205"/>
      <c r="EA559" s="205"/>
      <c r="EB559" s="205"/>
      <c r="EC559" s="205"/>
      <c r="ED559" s="205"/>
      <c r="EE559" s="205"/>
      <c r="EF559" s="205"/>
      <c r="EG559" s="205"/>
      <c r="EH559" s="205"/>
      <c r="EI559" s="205"/>
      <c r="EJ559" s="205"/>
      <c r="EK559" s="205"/>
      <c r="EL559" s="205"/>
      <c r="EM559" s="205"/>
      <c r="EN559" s="205"/>
      <c r="EO559" s="205"/>
      <c r="EP559" s="205"/>
      <c r="EQ559" s="205"/>
      <c r="ER559" s="205"/>
      <c r="ES559" s="205"/>
      <c r="ET559" s="205"/>
      <c r="EU559" s="205"/>
      <c r="EV559" s="205"/>
      <c r="EW559" s="205"/>
      <c r="EX559" s="205"/>
      <c r="EY559" s="205"/>
      <c r="EZ559" s="205"/>
      <c r="FA559" s="205"/>
      <c r="FB559" s="205"/>
      <c r="FC559" s="205"/>
      <c r="FD559" s="205"/>
      <c r="FE559" s="205"/>
      <c r="FF559" s="205"/>
      <c r="FG559" s="205"/>
      <c r="FH559" s="205"/>
      <c r="FI559" s="205"/>
      <c r="FJ559" s="205"/>
      <c r="FK559" s="205"/>
      <c r="FL559" s="205"/>
      <c r="FM559" s="205"/>
      <c r="FN559" s="205"/>
      <c r="FO559" s="205"/>
      <c r="FP559" s="205"/>
      <c r="FQ559" s="205"/>
      <c r="FR559" s="205"/>
      <c r="FS559" s="205"/>
      <c r="FT559" s="205"/>
      <c r="FU559" s="205"/>
      <c r="FV559" s="205"/>
      <c r="FW559" s="205"/>
      <c r="FX559" s="205"/>
      <c r="FY559" s="205"/>
      <c r="FZ559" s="205"/>
      <c r="GA559" s="205"/>
      <c r="GB559" s="205"/>
      <c r="GC559" s="205"/>
      <c r="GD559" s="205"/>
      <c r="GE559" s="205"/>
      <c r="GF559" s="205"/>
      <c r="GG559" s="205"/>
      <c r="GH559" s="205"/>
      <c r="GI559" s="205"/>
      <c r="GJ559" s="205"/>
      <c r="GK559" s="205"/>
      <c r="GL559" s="205"/>
      <c r="GM559" s="205"/>
      <c r="GN559" s="205"/>
      <c r="GO559" s="205"/>
      <c r="GP559" s="205"/>
      <c r="GQ559" s="205"/>
      <c r="GR559" s="205"/>
      <c r="GS559" s="205"/>
      <c r="GT559" s="205"/>
      <c r="GU559" s="205"/>
      <c r="GV559" s="205"/>
      <c r="GW559" s="205"/>
      <c r="GX559" s="205"/>
      <c r="GY559" s="205"/>
      <c r="GZ559" s="205"/>
      <c r="HA559" s="205"/>
      <c r="HB559" s="205"/>
      <c r="HC559" s="205"/>
      <c r="HD559" s="205"/>
      <c r="HE559" s="205"/>
      <c r="HF559" s="205"/>
      <c r="HG559" s="205"/>
      <c r="HH559" s="205"/>
      <c r="HI559" s="205"/>
      <c r="HJ559" s="205"/>
      <c r="HK559" s="205"/>
      <c r="HL559" s="205"/>
      <c r="HM559" s="205"/>
      <c r="HN559" s="205"/>
      <c r="HO559" s="205"/>
      <c r="HP559" s="205"/>
      <c r="HQ559" s="205"/>
      <c r="HR559" s="205"/>
      <c r="HS559" s="205"/>
      <c r="HT559" s="205"/>
      <c r="HU559" s="205"/>
      <c r="HV559" s="205"/>
      <c r="HW559" s="205"/>
      <c r="HX559" s="205"/>
      <c r="HY559" s="205"/>
      <c r="HZ559" s="205"/>
      <c r="IA559" s="205"/>
      <c r="IB559" s="205"/>
      <c r="IC559" s="205"/>
      <c r="ID559" s="205"/>
      <c r="IE559" s="205"/>
      <c r="IF559" s="205"/>
      <c r="IG559" s="205"/>
      <c r="IH559" s="205"/>
      <c r="II559" s="205"/>
      <c r="IJ559" s="205"/>
      <c r="IK559" s="205"/>
      <c r="IL559" s="205"/>
      <c r="IM559" s="205"/>
      <c r="IN559" s="205"/>
      <c r="IO559" s="205"/>
      <c r="IP559" s="205"/>
      <c r="IQ559" s="205"/>
      <c r="IR559" s="205"/>
      <c r="IS559" s="205"/>
      <c r="IT559" s="205"/>
      <c r="IU559" s="205"/>
      <c r="IV559" s="205"/>
      <c r="IW559" s="205"/>
      <c r="IX559" s="205"/>
    </row>
    <row r="560" spans="1:258" s="196" customFormat="1" ht="18" x14ac:dyDescent="0.25">
      <c r="A560" s="205"/>
      <c r="B560" s="704"/>
      <c r="C560" s="709"/>
      <c r="D560" s="706"/>
      <c r="E560" s="710"/>
      <c r="F560" s="706"/>
      <c r="G560" s="711"/>
      <c r="H560" s="694"/>
      <c r="I560" s="712"/>
      <c r="J560" s="694"/>
      <c r="K560" s="713"/>
      <c r="L560" s="205"/>
      <c r="M560" s="694"/>
      <c r="N560" s="694"/>
      <c r="O560" s="694"/>
      <c r="P560" s="694"/>
      <c r="Q560" s="694"/>
      <c r="R560" s="204"/>
      <c r="S560" s="708"/>
      <c r="T560" s="714"/>
      <c r="U560" s="205"/>
      <c r="V560" s="662"/>
      <c r="W560" s="205"/>
      <c r="X560" s="205"/>
      <c r="Y560" s="205"/>
      <c r="Z560" s="205"/>
      <c r="AA560" s="205"/>
      <c r="AB560" s="205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05"/>
      <c r="BN560" s="205"/>
      <c r="BO560" s="205"/>
      <c r="BP560" s="205"/>
      <c r="BQ560" s="205"/>
      <c r="BR560" s="205"/>
      <c r="BS560" s="205"/>
      <c r="BT560" s="205"/>
      <c r="BU560" s="205"/>
      <c r="BV560" s="205"/>
      <c r="BW560" s="205"/>
      <c r="BX560" s="205"/>
      <c r="BY560" s="205"/>
      <c r="BZ560" s="205"/>
      <c r="CA560" s="205"/>
      <c r="CB560" s="205"/>
      <c r="CC560" s="205"/>
      <c r="CD560" s="205"/>
      <c r="CE560" s="205"/>
      <c r="CF560" s="205"/>
      <c r="CG560" s="205"/>
      <c r="CH560" s="205"/>
      <c r="CI560" s="205"/>
      <c r="CJ560" s="205"/>
      <c r="CK560" s="205"/>
      <c r="CL560" s="205"/>
      <c r="CM560" s="205"/>
      <c r="CN560" s="205"/>
      <c r="CO560" s="205"/>
      <c r="CP560" s="205"/>
      <c r="CQ560" s="205"/>
      <c r="CR560" s="205"/>
      <c r="CS560" s="205"/>
      <c r="CT560" s="205"/>
      <c r="CU560" s="205"/>
      <c r="CV560" s="205"/>
      <c r="CW560" s="205"/>
      <c r="CX560" s="205"/>
      <c r="CY560" s="205"/>
      <c r="CZ560" s="205"/>
      <c r="DA560" s="205"/>
      <c r="DB560" s="205"/>
      <c r="DC560" s="205"/>
      <c r="DD560" s="205"/>
      <c r="DE560" s="205"/>
      <c r="DF560" s="205"/>
      <c r="DG560" s="205"/>
      <c r="DH560" s="205"/>
      <c r="DI560" s="205"/>
      <c r="DJ560" s="205"/>
      <c r="DK560" s="205"/>
      <c r="DL560" s="205"/>
      <c r="DM560" s="205"/>
      <c r="DN560" s="205"/>
      <c r="DO560" s="205"/>
      <c r="DP560" s="205"/>
      <c r="DQ560" s="205"/>
      <c r="DR560" s="205"/>
      <c r="DS560" s="205"/>
      <c r="DT560" s="205"/>
      <c r="DU560" s="205"/>
      <c r="DV560" s="205"/>
      <c r="DW560" s="205"/>
      <c r="DX560" s="205"/>
      <c r="DY560" s="205"/>
      <c r="DZ560" s="205"/>
      <c r="EA560" s="205"/>
      <c r="EB560" s="205"/>
      <c r="EC560" s="205"/>
      <c r="ED560" s="205"/>
      <c r="EE560" s="205"/>
      <c r="EF560" s="205"/>
      <c r="EG560" s="205"/>
      <c r="EH560" s="205"/>
      <c r="EI560" s="205"/>
      <c r="EJ560" s="205"/>
      <c r="EK560" s="205"/>
      <c r="EL560" s="205"/>
      <c r="EM560" s="205"/>
      <c r="EN560" s="205"/>
      <c r="EO560" s="205"/>
      <c r="EP560" s="205"/>
      <c r="EQ560" s="205"/>
      <c r="ER560" s="205"/>
      <c r="ES560" s="205"/>
      <c r="ET560" s="205"/>
      <c r="EU560" s="205"/>
      <c r="EV560" s="205"/>
      <c r="EW560" s="205"/>
      <c r="EX560" s="205"/>
      <c r="EY560" s="205"/>
      <c r="EZ560" s="205"/>
      <c r="FA560" s="205"/>
      <c r="FB560" s="205"/>
      <c r="FC560" s="205"/>
      <c r="FD560" s="205"/>
      <c r="FE560" s="205"/>
      <c r="FF560" s="205"/>
      <c r="FG560" s="205"/>
      <c r="FH560" s="205"/>
      <c r="FI560" s="205"/>
      <c r="FJ560" s="205"/>
      <c r="FK560" s="205"/>
      <c r="FL560" s="205"/>
      <c r="FM560" s="205"/>
      <c r="FN560" s="205"/>
      <c r="FO560" s="205"/>
      <c r="FP560" s="205"/>
      <c r="FQ560" s="205"/>
      <c r="FR560" s="205"/>
      <c r="FS560" s="205"/>
      <c r="FT560" s="205"/>
      <c r="FU560" s="205"/>
      <c r="FV560" s="205"/>
      <c r="FW560" s="205"/>
      <c r="FX560" s="205"/>
      <c r="FY560" s="205"/>
      <c r="FZ560" s="205"/>
      <c r="GA560" s="205"/>
      <c r="GB560" s="205"/>
      <c r="GC560" s="205"/>
      <c r="GD560" s="205"/>
      <c r="GE560" s="205"/>
      <c r="GF560" s="205"/>
      <c r="GG560" s="205"/>
      <c r="GH560" s="205"/>
      <c r="GI560" s="205"/>
      <c r="GJ560" s="205"/>
      <c r="GK560" s="205"/>
      <c r="GL560" s="205"/>
      <c r="GM560" s="205"/>
      <c r="GN560" s="205"/>
      <c r="GO560" s="205"/>
      <c r="GP560" s="205"/>
      <c r="GQ560" s="205"/>
      <c r="GR560" s="205"/>
      <c r="GS560" s="205"/>
      <c r="GT560" s="205"/>
      <c r="GU560" s="205"/>
      <c r="GV560" s="205"/>
      <c r="GW560" s="205"/>
      <c r="GX560" s="205"/>
      <c r="GY560" s="205"/>
      <c r="GZ560" s="205"/>
      <c r="HA560" s="205"/>
      <c r="HB560" s="205"/>
      <c r="HC560" s="205"/>
      <c r="HD560" s="205"/>
      <c r="HE560" s="205"/>
      <c r="HF560" s="205"/>
      <c r="HG560" s="205"/>
      <c r="HH560" s="205"/>
      <c r="HI560" s="205"/>
      <c r="HJ560" s="205"/>
      <c r="HK560" s="205"/>
      <c r="HL560" s="205"/>
      <c r="HM560" s="205"/>
      <c r="HN560" s="205"/>
      <c r="HO560" s="205"/>
      <c r="HP560" s="205"/>
      <c r="HQ560" s="205"/>
      <c r="HR560" s="205"/>
      <c r="HS560" s="205"/>
      <c r="HT560" s="205"/>
      <c r="HU560" s="205"/>
      <c r="HV560" s="205"/>
      <c r="HW560" s="205"/>
      <c r="HX560" s="205"/>
      <c r="HY560" s="205"/>
      <c r="HZ560" s="205"/>
      <c r="IA560" s="205"/>
      <c r="IB560" s="205"/>
      <c r="IC560" s="205"/>
      <c r="ID560" s="205"/>
      <c r="IE560" s="205"/>
      <c r="IF560" s="205"/>
      <c r="IG560" s="205"/>
      <c r="IH560" s="205"/>
      <c r="II560" s="205"/>
      <c r="IJ560" s="205"/>
      <c r="IK560" s="205"/>
      <c r="IL560" s="205"/>
      <c r="IM560" s="205"/>
      <c r="IN560" s="205"/>
      <c r="IO560" s="205"/>
      <c r="IP560" s="205"/>
      <c r="IQ560" s="205"/>
      <c r="IR560" s="205"/>
      <c r="IS560" s="205"/>
      <c r="IT560" s="205"/>
      <c r="IU560" s="205"/>
      <c r="IV560" s="205"/>
      <c r="IW560" s="205"/>
      <c r="IX560" s="205"/>
    </row>
    <row r="561" spans="1:258" s="196" customFormat="1" ht="18" x14ac:dyDescent="0.25">
      <c r="A561" s="205"/>
      <c r="B561" s="704"/>
      <c r="C561" s="709"/>
      <c r="D561" s="706"/>
      <c r="E561" s="710"/>
      <c r="F561" s="706"/>
      <c r="G561" s="711"/>
      <c r="H561" s="694"/>
      <c r="I561" s="712"/>
      <c r="J561" s="694"/>
      <c r="K561" s="694"/>
      <c r="L561" s="205"/>
      <c r="M561" s="694"/>
      <c r="N561" s="694"/>
      <c r="O561" s="694"/>
      <c r="P561" s="694"/>
      <c r="Q561" s="694"/>
      <c r="R561" s="204"/>
      <c r="S561" s="708"/>
      <c r="T561" s="714"/>
      <c r="U561" s="205"/>
      <c r="V561" s="662"/>
      <c r="W561" s="205"/>
      <c r="X561" s="205"/>
      <c r="Y561" s="205"/>
      <c r="Z561" s="205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05"/>
      <c r="BN561" s="205"/>
      <c r="BO561" s="205"/>
      <c r="BP561" s="205"/>
      <c r="BQ561" s="205"/>
      <c r="BR561" s="205"/>
      <c r="BS561" s="205"/>
      <c r="BT561" s="205"/>
      <c r="BU561" s="205"/>
      <c r="BV561" s="205"/>
      <c r="BW561" s="205"/>
      <c r="BX561" s="205"/>
      <c r="BY561" s="205"/>
      <c r="BZ561" s="205"/>
      <c r="CA561" s="205"/>
      <c r="CB561" s="205"/>
      <c r="CC561" s="205"/>
      <c r="CD561" s="205"/>
      <c r="CE561" s="205"/>
      <c r="CF561" s="205"/>
      <c r="CG561" s="205"/>
      <c r="CH561" s="205"/>
      <c r="CI561" s="205"/>
      <c r="CJ561" s="205"/>
      <c r="CK561" s="205"/>
      <c r="CL561" s="205"/>
      <c r="CM561" s="205"/>
      <c r="CN561" s="205"/>
      <c r="CO561" s="205"/>
      <c r="CP561" s="205"/>
      <c r="CQ561" s="205"/>
      <c r="CR561" s="205"/>
      <c r="CS561" s="205"/>
      <c r="CT561" s="205"/>
      <c r="CU561" s="205"/>
      <c r="CV561" s="205"/>
      <c r="CW561" s="205"/>
      <c r="CX561" s="205"/>
      <c r="CY561" s="205"/>
      <c r="CZ561" s="205"/>
      <c r="DA561" s="205"/>
      <c r="DB561" s="205"/>
      <c r="DC561" s="205"/>
      <c r="DD561" s="205"/>
      <c r="DE561" s="205"/>
      <c r="DF561" s="205"/>
      <c r="DG561" s="205"/>
      <c r="DH561" s="205"/>
      <c r="DI561" s="205"/>
      <c r="DJ561" s="205"/>
      <c r="DK561" s="205"/>
      <c r="DL561" s="205"/>
      <c r="DM561" s="205"/>
      <c r="DN561" s="205"/>
      <c r="DO561" s="205"/>
      <c r="DP561" s="205"/>
      <c r="DQ561" s="205"/>
      <c r="DR561" s="205"/>
      <c r="DS561" s="205"/>
      <c r="DT561" s="205"/>
      <c r="DU561" s="205"/>
      <c r="DV561" s="205"/>
      <c r="DW561" s="205"/>
      <c r="DX561" s="205"/>
      <c r="DY561" s="205"/>
      <c r="DZ561" s="205"/>
      <c r="EA561" s="205"/>
      <c r="EB561" s="205"/>
      <c r="EC561" s="205"/>
      <c r="ED561" s="205"/>
      <c r="EE561" s="205"/>
      <c r="EF561" s="205"/>
      <c r="EG561" s="205"/>
      <c r="EH561" s="205"/>
      <c r="EI561" s="205"/>
      <c r="EJ561" s="205"/>
      <c r="EK561" s="205"/>
      <c r="EL561" s="205"/>
      <c r="EM561" s="205"/>
      <c r="EN561" s="205"/>
      <c r="EO561" s="205"/>
      <c r="EP561" s="205"/>
      <c r="EQ561" s="205"/>
      <c r="ER561" s="205"/>
      <c r="ES561" s="205"/>
      <c r="ET561" s="205"/>
      <c r="EU561" s="205"/>
      <c r="EV561" s="205"/>
      <c r="EW561" s="205"/>
      <c r="EX561" s="205"/>
      <c r="EY561" s="205"/>
      <c r="EZ561" s="205"/>
      <c r="FA561" s="205"/>
      <c r="FB561" s="205"/>
      <c r="FC561" s="205"/>
      <c r="FD561" s="205"/>
      <c r="FE561" s="205"/>
      <c r="FF561" s="205"/>
      <c r="FG561" s="205"/>
      <c r="FH561" s="205"/>
      <c r="FI561" s="205"/>
      <c r="FJ561" s="205"/>
      <c r="FK561" s="205"/>
      <c r="FL561" s="205"/>
      <c r="FM561" s="205"/>
      <c r="FN561" s="205"/>
      <c r="FO561" s="205"/>
      <c r="FP561" s="205"/>
      <c r="FQ561" s="205"/>
      <c r="FR561" s="205"/>
      <c r="FS561" s="205"/>
      <c r="FT561" s="205"/>
      <c r="FU561" s="205"/>
      <c r="FV561" s="205"/>
      <c r="FW561" s="205"/>
      <c r="FX561" s="205"/>
      <c r="FY561" s="205"/>
      <c r="FZ561" s="205"/>
      <c r="GA561" s="205"/>
      <c r="GB561" s="205"/>
      <c r="GC561" s="205"/>
      <c r="GD561" s="205"/>
      <c r="GE561" s="205"/>
      <c r="GF561" s="205"/>
      <c r="GG561" s="205"/>
      <c r="GH561" s="205"/>
      <c r="GI561" s="205"/>
      <c r="GJ561" s="205"/>
      <c r="GK561" s="205"/>
      <c r="GL561" s="205"/>
      <c r="GM561" s="205"/>
      <c r="GN561" s="205"/>
      <c r="GO561" s="205"/>
      <c r="GP561" s="205"/>
      <c r="GQ561" s="205"/>
      <c r="GR561" s="205"/>
      <c r="GS561" s="205"/>
      <c r="GT561" s="205"/>
      <c r="GU561" s="205"/>
      <c r="GV561" s="205"/>
      <c r="GW561" s="205"/>
      <c r="GX561" s="205"/>
      <c r="GY561" s="205"/>
      <c r="GZ561" s="205"/>
      <c r="HA561" s="205"/>
      <c r="HB561" s="205"/>
      <c r="HC561" s="205"/>
      <c r="HD561" s="205"/>
      <c r="HE561" s="205"/>
      <c r="HF561" s="205"/>
      <c r="HG561" s="205"/>
      <c r="HH561" s="205"/>
      <c r="HI561" s="205"/>
      <c r="HJ561" s="205"/>
      <c r="HK561" s="205"/>
      <c r="HL561" s="205"/>
      <c r="HM561" s="205"/>
      <c r="HN561" s="205"/>
      <c r="HO561" s="205"/>
      <c r="HP561" s="205"/>
      <c r="HQ561" s="205"/>
      <c r="HR561" s="205"/>
      <c r="HS561" s="205"/>
      <c r="HT561" s="205"/>
      <c r="HU561" s="205"/>
      <c r="HV561" s="205"/>
      <c r="HW561" s="205"/>
      <c r="HX561" s="205"/>
      <c r="HY561" s="205"/>
      <c r="HZ561" s="205"/>
      <c r="IA561" s="205"/>
      <c r="IB561" s="205"/>
      <c r="IC561" s="205"/>
      <c r="ID561" s="205"/>
      <c r="IE561" s="205"/>
      <c r="IF561" s="205"/>
      <c r="IG561" s="205"/>
      <c r="IH561" s="205"/>
      <c r="II561" s="205"/>
      <c r="IJ561" s="205"/>
      <c r="IK561" s="205"/>
      <c r="IL561" s="205"/>
      <c r="IM561" s="205"/>
      <c r="IN561" s="205"/>
      <c r="IO561" s="205"/>
      <c r="IP561" s="205"/>
      <c r="IQ561" s="205"/>
      <c r="IR561" s="205"/>
      <c r="IS561" s="205"/>
      <c r="IT561" s="205"/>
      <c r="IU561" s="205"/>
      <c r="IV561" s="205"/>
      <c r="IW561" s="205"/>
      <c r="IX561" s="205"/>
    </row>
    <row r="562" spans="1:258" s="196" customFormat="1" ht="18" x14ac:dyDescent="0.25">
      <c r="A562" s="205"/>
      <c r="B562" s="704"/>
      <c r="C562" s="709"/>
      <c r="D562" s="706"/>
      <c r="E562" s="710"/>
      <c r="F562" s="706"/>
      <c r="G562" s="711"/>
      <c r="H562" s="694"/>
      <c r="I562" s="712"/>
      <c r="J562" s="694"/>
      <c r="K562" s="694"/>
      <c r="L562" s="205"/>
      <c r="M562" s="694"/>
      <c r="N562" s="694"/>
      <c r="O562" s="694"/>
      <c r="P562" s="694"/>
      <c r="Q562" s="694"/>
      <c r="R562" s="204"/>
      <c r="S562" s="708"/>
      <c r="T562" s="714"/>
      <c r="U562" s="205"/>
      <c r="V562" s="662"/>
      <c r="W562" s="205"/>
      <c r="X562" s="205"/>
      <c r="Y562" s="205"/>
      <c r="Z562" s="205"/>
      <c r="AA562" s="205"/>
      <c r="AB562" s="205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05"/>
      <c r="BN562" s="205"/>
      <c r="BO562" s="205"/>
      <c r="BP562" s="205"/>
      <c r="BQ562" s="205"/>
      <c r="BR562" s="205"/>
      <c r="BS562" s="205"/>
      <c r="BT562" s="205"/>
      <c r="BU562" s="205"/>
      <c r="BV562" s="205"/>
      <c r="BW562" s="205"/>
      <c r="BX562" s="205"/>
      <c r="BY562" s="205"/>
      <c r="BZ562" s="205"/>
      <c r="CA562" s="205"/>
      <c r="CB562" s="205"/>
      <c r="CC562" s="205"/>
      <c r="CD562" s="205"/>
      <c r="CE562" s="205"/>
      <c r="CF562" s="205"/>
      <c r="CG562" s="205"/>
      <c r="CH562" s="205"/>
      <c r="CI562" s="205"/>
      <c r="CJ562" s="205"/>
      <c r="CK562" s="205"/>
      <c r="CL562" s="205"/>
      <c r="CM562" s="205"/>
      <c r="CN562" s="205"/>
      <c r="CO562" s="205"/>
      <c r="CP562" s="205"/>
      <c r="CQ562" s="205"/>
      <c r="CR562" s="205"/>
      <c r="CS562" s="205"/>
      <c r="CT562" s="205"/>
      <c r="CU562" s="205"/>
      <c r="CV562" s="205"/>
      <c r="CW562" s="205"/>
      <c r="CX562" s="205"/>
      <c r="CY562" s="205"/>
      <c r="CZ562" s="205"/>
      <c r="DA562" s="205"/>
      <c r="DB562" s="205"/>
      <c r="DC562" s="205"/>
      <c r="DD562" s="205"/>
      <c r="DE562" s="205"/>
      <c r="DF562" s="205"/>
      <c r="DG562" s="205"/>
      <c r="DH562" s="205"/>
      <c r="DI562" s="205"/>
      <c r="DJ562" s="205"/>
      <c r="DK562" s="205"/>
      <c r="DL562" s="205"/>
      <c r="DM562" s="205"/>
      <c r="DN562" s="205"/>
      <c r="DO562" s="205"/>
      <c r="DP562" s="205"/>
      <c r="DQ562" s="205"/>
      <c r="DR562" s="205"/>
      <c r="DS562" s="205"/>
      <c r="DT562" s="205"/>
      <c r="DU562" s="205"/>
      <c r="DV562" s="205"/>
      <c r="DW562" s="205"/>
      <c r="DX562" s="205"/>
      <c r="DY562" s="205"/>
      <c r="DZ562" s="205"/>
      <c r="EA562" s="205"/>
      <c r="EB562" s="205"/>
      <c r="EC562" s="205"/>
      <c r="ED562" s="205"/>
      <c r="EE562" s="205"/>
      <c r="EF562" s="205"/>
      <c r="EG562" s="205"/>
      <c r="EH562" s="205"/>
      <c r="EI562" s="205"/>
      <c r="EJ562" s="205"/>
      <c r="EK562" s="205"/>
      <c r="EL562" s="205"/>
      <c r="EM562" s="205"/>
      <c r="EN562" s="205"/>
      <c r="EO562" s="205"/>
      <c r="EP562" s="205"/>
      <c r="EQ562" s="205"/>
      <c r="ER562" s="205"/>
      <c r="ES562" s="205"/>
      <c r="ET562" s="205"/>
      <c r="EU562" s="205"/>
      <c r="EV562" s="205"/>
      <c r="EW562" s="205"/>
      <c r="EX562" s="205"/>
      <c r="EY562" s="205"/>
      <c r="EZ562" s="205"/>
      <c r="FA562" s="205"/>
      <c r="FB562" s="205"/>
      <c r="FC562" s="205"/>
      <c r="FD562" s="205"/>
      <c r="FE562" s="205"/>
      <c r="FF562" s="205"/>
      <c r="FG562" s="205"/>
      <c r="FH562" s="205"/>
      <c r="FI562" s="205"/>
      <c r="FJ562" s="205"/>
      <c r="FK562" s="205"/>
      <c r="FL562" s="205"/>
      <c r="FM562" s="205"/>
      <c r="FN562" s="205"/>
      <c r="FO562" s="205"/>
      <c r="FP562" s="205"/>
      <c r="FQ562" s="205"/>
      <c r="FR562" s="205"/>
      <c r="FS562" s="205"/>
      <c r="FT562" s="205"/>
      <c r="FU562" s="205"/>
      <c r="FV562" s="205"/>
      <c r="FW562" s="205"/>
      <c r="FX562" s="205"/>
      <c r="FY562" s="205"/>
      <c r="FZ562" s="205"/>
      <c r="GA562" s="205"/>
      <c r="GB562" s="205"/>
      <c r="GC562" s="205"/>
      <c r="GD562" s="205"/>
      <c r="GE562" s="205"/>
      <c r="GF562" s="205"/>
      <c r="GG562" s="205"/>
      <c r="GH562" s="205"/>
      <c r="GI562" s="205"/>
      <c r="GJ562" s="205"/>
      <c r="GK562" s="205"/>
      <c r="GL562" s="205"/>
      <c r="GM562" s="205"/>
      <c r="GN562" s="205"/>
      <c r="GO562" s="205"/>
      <c r="GP562" s="205"/>
      <c r="GQ562" s="205"/>
      <c r="GR562" s="205"/>
      <c r="GS562" s="205"/>
      <c r="GT562" s="205"/>
      <c r="GU562" s="205"/>
      <c r="GV562" s="205"/>
      <c r="GW562" s="205"/>
      <c r="GX562" s="205"/>
      <c r="GY562" s="205"/>
      <c r="GZ562" s="205"/>
      <c r="HA562" s="205"/>
      <c r="HB562" s="205"/>
      <c r="HC562" s="205"/>
      <c r="HD562" s="205"/>
      <c r="HE562" s="205"/>
      <c r="HF562" s="205"/>
      <c r="HG562" s="205"/>
      <c r="HH562" s="205"/>
      <c r="HI562" s="205"/>
      <c r="HJ562" s="205"/>
      <c r="HK562" s="205"/>
      <c r="HL562" s="205"/>
      <c r="HM562" s="205"/>
      <c r="HN562" s="205"/>
      <c r="HO562" s="205"/>
      <c r="HP562" s="205"/>
      <c r="HQ562" s="205"/>
      <c r="HR562" s="205"/>
      <c r="HS562" s="205"/>
      <c r="HT562" s="205"/>
      <c r="HU562" s="205"/>
      <c r="HV562" s="205"/>
      <c r="HW562" s="205"/>
      <c r="HX562" s="205"/>
      <c r="HY562" s="205"/>
      <c r="HZ562" s="205"/>
      <c r="IA562" s="205"/>
      <c r="IB562" s="205"/>
      <c r="IC562" s="205"/>
      <c r="ID562" s="205"/>
      <c r="IE562" s="205"/>
      <c r="IF562" s="205"/>
      <c r="IG562" s="205"/>
      <c r="IH562" s="205"/>
      <c r="II562" s="205"/>
      <c r="IJ562" s="205"/>
      <c r="IK562" s="205"/>
      <c r="IL562" s="205"/>
      <c r="IM562" s="205"/>
      <c r="IN562" s="205"/>
      <c r="IO562" s="205"/>
      <c r="IP562" s="205"/>
      <c r="IQ562" s="205"/>
      <c r="IR562" s="205"/>
      <c r="IS562" s="205"/>
      <c r="IT562" s="205"/>
      <c r="IU562" s="205"/>
      <c r="IV562" s="205"/>
      <c r="IW562" s="205"/>
      <c r="IX562" s="205"/>
    </row>
    <row r="563" spans="1:258" s="196" customFormat="1" ht="18" x14ac:dyDescent="0.25">
      <c r="A563" s="205"/>
      <c r="B563" s="704"/>
      <c r="C563" s="709"/>
      <c r="D563" s="706"/>
      <c r="E563" s="710"/>
      <c r="F563" s="706"/>
      <c r="G563" s="711"/>
      <c r="H563" s="694"/>
      <c r="I563" s="712"/>
      <c r="J563" s="694"/>
      <c r="K563" s="694"/>
      <c r="L563" s="205"/>
      <c r="M563" s="694"/>
      <c r="N563" s="694"/>
      <c r="O563" s="694"/>
      <c r="P563" s="694"/>
      <c r="Q563" s="694"/>
      <c r="R563" s="204"/>
      <c r="S563" s="708"/>
      <c r="T563" s="714"/>
      <c r="U563" s="205"/>
      <c r="V563" s="662"/>
      <c r="W563" s="205"/>
      <c r="X563" s="205"/>
      <c r="Y563" s="205"/>
      <c r="Z563" s="205"/>
      <c r="AA563" s="205"/>
      <c r="AB563" s="205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205"/>
      <c r="BN563" s="205"/>
      <c r="BO563" s="205"/>
      <c r="BP563" s="205"/>
      <c r="BQ563" s="205"/>
      <c r="BR563" s="205"/>
      <c r="BS563" s="205"/>
      <c r="BT563" s="205"/>
      <c r="BU563" s="205"/>
      <c r="BV563" s="205"/>
      <c r="BW563" s="205"/>
      <c r="BX563" s="205"/>
      <c r="BY563" s="205"/>
      <c r="BZ563" s="205"/>
      <c r="CA563" s="205"/>
      <c r="CB563" s="205"/>
      <c r="CC563" s="205"/>
      <c r="CD563" s="205"/>
      <c r="CE563" s="205"/>
      <c r="CF563" s="205"/>
      <c r="CG563" s="205"/>
      <c r="CH563" s="205"/>
      <c r="CI563" s="205"/>
      <c r="CJ563" s="205"/>
      <c r="CK563" s="205"/>
      <c r="CL563" s="205"/>
      <c r="CM563" s="205"/>
      <c r="CN563" s="205"/>
      <c r="CO563" s="205"/>
      <c r="CP563" s="205"/>
      <c r="CQ563" s="205"/>
      <c r="CR563" s="205"/>
      <c r="CS563" s="205"/>
      <c r="CT563" s="205"/>
      <c r="CU563" s="205"/>
      <c r="CV563" s="205"/>
      <c r="CW563" s="205"/>
      <c r="CX563" s="205"/>
      <c r="CY563" s="205"/>
      <c r="CZ563" s="205"/>
      <c r="DA563" s="205"/>
      <c r="DB563" s="205"/>
      <c r="DC563" s="205"/>
      <c r="DD563" s="205"/>
      <c r="DE563" s="205"/>
      <c r="DF563" s="205"/>
      <c r="DG563" s="205"/>
      <c r="DH563" s="205"/>
      <c r="DI563" s="205"/>
      <c r="DJ563" s="205"/>
      <c r="DK563" s="205"/>
      <c r="DL563" s="205"/>
      <c r="DM563" s="205"/>
      <c r="DN563" s="205"/>
      <c r="DO563" s="205"/>
      <c r="DP563" s="205"/>
      <c r="DQ563" s="205"/>
      <c r="DR563" s="205"/>
      <c r="DS563" s="205"/>
      <c r="DT563" s="205"/>
      <c r="DU563" s="205"/>
      <c r="DV563" s="205"/>
      <c r="DW563" s="205"/>
      <c r="DX563" s="205"/>
      <c r="DY563" s="205"/>
      <c r="DZ563" s="205"/>
      <c r="EA563" s="205"/>
      <c r="EB563" s="205"/>
      <c r="EC563" s="205"/>
      <c r="ED563" s="205"/>
      <c r="EE563" s="205"/>
      <c r="EF563" s="205"/>
      <c r="EG563" s="205"/>
      <c r="EH563" s="205"/>
      <c r="EI563" s="205"/>
      <c r="EJ563" s="205"/>
      <c r="EK563" s="205"/>
      <c r="EL563" s="205"/>
      <c r="EM563" s="205"/>
      <c r="EN563" s="205"/>
      <c r="EO563" s="205"/>
      <c r="EP563" s="205"/>
      <c r="EQ563" s="205"/>
      <c r="ER563" s="205"/>
      <c r="ES563" s="205"/>
      <c r="ET563" s="205"/>
      <c r="EU563" s="205"/>
      <c r="EV563" s="205"/>
      <c r="EW563" s="205"/>
      <c r="EX563" s="205"/>
      <c r="EY563" s="205"/>
      <c r="EZ563" s="205"/>
      <c r="FA563" s="205"/>
      <c r="FB563" s="205"/>
      <c r="FC563" s="205"/>
      <c r="FD563" s="205"/>
      <c r="FE563" s="205"/>
      <c r="FF563" s="205"/>
      <c r="FG563" s="205"/>
      <c r="FH563" s="205"/>
      <c r="FI563" s="205"/>
      <c r="FJ563" s="205"/>
      <c r="FK563" s="205"/>
      <c r="FL563" s="205"/>
      <c r="FM563" s="205"/>
      <c r="FN563" s="205"/>
      <c r="FO563" s="205"/>
      <c r="FP563" s="205"/>
      <c r="FQ563" s="205"/>
      <c r="FR563" s="205"/>
      <c r="FS563" s="205"/>
      <c r="FT563" s="205"/>
      <c r="FU563" s="205"/>
      <c r="FV563" s="205"/>
      <c r="FW563" s="205"/>
      <c r="FX563" s="205"/>
      <c r="FY563" s="205"/>
      <c r="FZ563" s="205"/>
      <c r="GA563" s="205"/>
      <c r="GB563" s="205"/>
      <c r="GC563" s="205"/>
      <c r="GD563" s="205"/>
      <c r="GE563" s="205"/>
      <c r="GF563" s="205"/>
      <c r="GG563" s="205"/>
      <c r="GH563" s="205"/>
      <c r="GI563" s="205"/>
      <c r="GJ563" s="205"/>
      <c r="GK563" s="205"/>
      <c r="GL563" s="205"/>
      <c r="GM563" s="205"/>
      <c r="GN563" s="205"/>
      <c r="GO563" s="205"/>
      <c r="GP563" s="205"/>
      <c r="GQ563" s="205"/>
      <c r="GR563" s="205"/>
      <c r="GS563" s="205"/>
      <c r="GT563" s="205"/>
      <c r="GU563" s="205"/>
      <c r="GV563" s="205"/>
      <c r="GW563" s="205"/>
      <c r="GX563" s="205"/>
      <c r="GY563" s="205"/>
      <c r="GZ563" s="205"/>
      <c r="HA563" s="205"/>
      <c r="HB563" s="205"/>
      <c r="HC563" s="205"/>
      <c r="HD563" s="205"/>
      <c r="HE563" s="205"/>
      <c r="HF563" s="205"/>
      <c r="HG563" s="205"/>
      <c r="HH563" s="205"/>
      <c r="HI563" s="205"/>
      <c r="HJ563" s="205"/>
      <c r="HK563" s="205"/>
      <c r="HL563" s="205"/>
      <c r="HM563" s="205"/>
      <c r="HN563" s="205"/>
      <c r="HO563" s="205"/>
      <c r="HP563" s="205"/>
      <c r="HQ563" s="205"/>
      <c r="HR563" s="205"/>
      <c r="HS563" s="205"/>
      <c r="HT563" s="205"/>
      <c r="HU563" s="205"/>
      <c r="HV563" s="205"/>
      <c r="HW563" s="205"/>
      <c r="HX563" s="205"/>
      <c r="HY563" s="205"/>
      <c r="HZ563" s="205"/>
      <c r="IA563" s="205"/>
      <c r="IB563" s="205"/>
      <c r="IC563" s="205"/>
      <c r="ID563" s="205"/>
      <c r="IE563" s="205"/>
      <c r="IF563" s="205"/>
      <c r="IG563" s="205"/>
      <c r="IH563" s="205"/>
      <c r="II563" s="205"/>
      <c r="IJ563" s="205"/>
      <c r="IK563" s="205"/>
      <c r="IL563" s="205"/>
      <c r="IM563" s="205"/>
      <c r="IN563" s="205"/>
      <c r="IO563" s="205"/>
      <c r="IP563" s="205"/>
      <c r="IQ563" s="205"/>
      <c r="IR563" s="205"/>
      <c r="IS563" s="205"/>
      <c r="IT563" s="205"/>
      <c r="IU563" s="205"/>
      <c r="IV563" s="205"/>
      <c r="IW563" s="205"/>
      <c r="IX563" s="205"/>
    </row>
    <row r="564" spans="1:258" s="196" customFormat="1" ht="18" x14ac:dyDescent="0.25">
      <c r="A564" s="205"/>
      <c r="B564" s="704"/>
      <c r="C564" s="709"/>
      <c r="D564" s="706"/>
      <c r="E564" s="710"/>
      <c r="F564" s="706"/>
      <c r="G564" s="711"/>
      <c r="H564" s="694"/>
      <c r="I564" s="712"/>
      <c r="J564" s="694"/>
      <c r="K564" s="694"/>
      <c r="L564" s="205"/>
      <c r="M564" s="694"/>
      <c r="N564" s="694"/>
      <c r="O564" s="694"/>
      <c r="P564" s="694"/>
      <c r="Q564" s="694"/>
      <c r="R564" s="204"/>
      <c r="S564" s="708"/>
      <c r="T564" s="714"/>
      <c r="U564" s="205"/>
      <c r="V564" s="662"/>
      <c r="W564" s="205"/>
      <c r="X564" s="205"/>
      <c r="Y564" s="205"/>
      <c r="Z564" s="205"/>
      <c r="AA564" s="205"/>
      <c r="AB564" s="205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205"/>
      <c r="BN564" s="205"/>
      <c r="BO564" s="205"/>
      <c r="BP564" s="205"/>
      <c r="BQ564" s="205"/>
      <c r="BR564" s="205"/>
      <c r="BS564" s="205"/>
      <c r="BT564" s="205"/>
      <c r="BU564" s="205"/>
      <c r="BV564" s="205"/>
      <c r="BW564" s="205"/>
      <c r="BX564" s="205"/>
      <c r="BY564" s="205"/>
      <c r="BZ564" s="205"/>
      <c r="CA564" s="205"/>
      <c r="CB564" s="205"/>
      <c r="CC564" s="205"/>
      <c r="CD564" s="205"/>
      <c r="CE564" s="205"/>
      <c r="CF564" s="205"/>
      <c r="CG564" s="205"/>
      <c r="CH564" s="205"/>
      <c r="CI564" s="205"/>
      <c r="CJ564" s="205"/>
      <c r="CK564" s="205"/>
      <c r="CL564" s="205"/>
      <c r="CM564" s="205"/>
      <c r="CN564" s="205"/>
      <c r="CO564" s="205"/>
      <c r="CP564" s="205"/>
      <c r="CQ564" s="205"/>
      <c r="CR564" s="205"/>
      <c r="CS564" s="205"/>
      <c r="CT564" s="205"/>
      <c r="CU564" s="205"/>
      <c r="CV564" s="205"/>
      <c r="CW564" s="205"/>
      <c r="CX564" s="205"/>
      <c r="CY564" s="205"/>
      <c r="CZ564" s="205"/>
      <c r="DA564" s="205"/>
      <c r="DB564" s="205"/>
      <c r="DC564" s="205"/>
      <c r="DD564" s="205"/>
      <c r="DE564" s="205"/>
      <c r="DF564" s="205"/>
      <c r="DG564" s="205"/>
      <c r="DH564" s="205"/>
      <c r="DI564" s="205"/>
      <c r="DJ564" s="205"/>
      <c r="DK564" s="205"/>
      <c r="DL564" s="205"/>
      <c r="DM564" s="205"/>
      <c r="DN564" s="205"/>
      <c r="DO564" s="205"/>
      <c r="DP564" s="205"/>
      <c r="DQ564" s="205"/>
      <c r="DR564" s="205"/>
      <c r="DS564" s="205"/>
      <c r="DT564" s="205"/>
      <c r="DU564" s="205"/>
      <c r="DV564" s="205"/>
      <c r="DW564" s="205"/>
      <c r="DX564" s="205"/>
      <c r="DY564" s="205"/>
      <c r="DZ564" s="205"/>
      <c r="EA564" s="205"/>
      <c r="EB564" s="205"/>
      <c r="EC564" s="205"/>
      <c r="ED564" s="205"/>
      <c r="EE564" s="205"/>
      <c r="EF564" s="205"/>
      <c r="EG564" s="205"/>
      <c r="EH564" s="205"/>
      <c r="EI564" s="205"/>
      <c r="EJ564" s="205"/>
      <c r="EK564" s="205"/>
      <c r="EL564" s="205"/>
      <c r="EM564" s="205"/>
      <c r="EN564" s="205"/>
      <c r="EO564" s="205"/>
      <c r="EP564" s="205"/>
      <c r="EQ564" s="205"/>
      <c r="ER564" s="205"/>
      <c r="ES564" s="205"/>
      <c r="ET564" s="205"/>
      <c r="EU564" s="205"/>
      <c r="EV564" s="205"/>
      <c r="EW564" s="205"/>
      <c r="EX564" s="205"/>
      <c r="EY564" s="205"/>
      <c r="EZ564" s="205"/>
      <c r="FA564" s="205"/>
      <c r="FB564" s="205"/>
      <c r="FC564" s="205"/>
      <c r="FD564" s="205"/>
      <c r="FE564" s="205"/>
      <c r="FF564" s="205"/>
      <c r="FG564" s="205"/>
      <c r="FH564" s="205"/>
      <c r="FI564" s="205"/>
      <c r="FJ564" s="205"/>
      <c r="FK564" s="205"/>
      <c r="FL564" s="205"/>
      <c r="FM564" s="205"/>
      <c r="FN564" s="205"/>
      <c r="FO564" s="205"/>
      <c r="FP564" s="205"/>
      <c r="FQ564" s="205"/>
      <c r="FR564" s="205"/>
      <c r="FS564" s="205"/>
      <c r="FT564" s="205"/>
      <c r="FU564" s="205"/>
      <c r="FV564" s="205"/>
      <c r="FW564" s="205"/>
      <c r="FX564" s="205"/>
      <c r="FY564" s="205"/>
      <c r="FZ564" s="205"/>
      <c r="GA564" s="205"/>
      <c r="GB564" s="205"/>
      <c r="GC564" s="205"/>
      <c r="GD564" s="205"/>
      <c r="GE564" s="205"/>
      <c r="GF564" s="205"/>
      <c r="GG564" s="205"/>
      <c r="GH564" s="205"/>
      <c r="GI564" s="205"/>
      <c r="GJ564" s="205"/>
      <c r="GK564" s="205"/>
      <c r="GL564" s="205"/>
      <c r="GM564" s="205"/>
      <c r="GN564" s="205"/>
      <c r="GO564" s="205"/>
      <c r="GP564" s="205"/>
      <c r="GQ564" s="205"/>
      <c r="GR564" s="205"/>
      <c r="GS564" s="205"/>
      <c r="GT564" s="205"/>
      <c r="GU564" s="205"/>
      <c r="GV564" s="205"/>
      <c r="GW564" s="205"/>
      <c r="GX564" s="205"/>
      <c r="GY564" s="205"/>
      <c r="GZ564" s="205"/>
      <c r="HA564" s="205"/>
      <c r="HB564" s="205"/>
      <c r="HC564" s="205"/>
      <c r="HD564" s="205"/>
      <c r="HE564" s="205"/>
      <c r="HF564" s="205"/>
      <c r="HG564" s="205"/>
      <c r="HH564" s="205"/>
      <c r="HI564" s="205"/>
      <c r="HJ564" s="205"/>
      <c r="HK564" s="205"/>
      <c r="HL564" s="205"/>
      <c r="HM564" s="205"/>
      <c r="HN564" s="205"/>
      <c r="HO564" s="205"/>
      <c r="HP564" s="205"/>
      <c r="HQ564" s="205"/>
      <c r="HR564" s="205"/>
      <c r="HS564" s="205"/>
      <c r="HT564" s="205"/>
      <c r="HU564" s="205"/>
      <c r="HV564" s="205"/>
      <c r="HW564" s="205"/>
      <c r="HX564" s="205"/>
      <c r="HY564" s="205"/>
      <c r="HZ564" s="205"/>
      <c r="IA564" s="205"/>
      <c r="IB564" s="205"/>
      <c r="IC564" s="205"/>
      <c r="ID564" s="205"/>
      <c r="IE564" s="205"/>
      <c r="IF564" s="205"/>
      <c r="IG564" s="205"/>
      <c r="IH564" s="205"/>
      <c r="II564" s="205"/>
      <c r="IJ564" s="205"/>
      <c r="IK564" s="205"/>
      <c r="IL564" s="205"/>
      <c r="IM564" s="205"/>
      <c r="IN564" s="205"/>
      <c r="IO564" s="205"/>
      <c r="IP564" s="205"/>
      <c r="IQ564" s="205"/>
      <c r="IR564" s="205"/>
      <c r="IS564" s="205"/>
      <c r="IT564" s="205"/>
      <c r="IU564" s="205"/>
      <c r="IV564" s="205"/>
      <c r="IW564" s="205"/>
      <c r="IX564" s="205"/>
    </row>
    <row r="565" spans="1:258" s="196" customFormat="1" ht="18" x14ac:dyDescent="0.25">
      <c r="A565" s="205"/>
      <c r="B565" s="704"/>
      <c r="C565" s="709"/>
      <c r="D565" s="706"/>
      <c r="E565" s="710"/>
      <c r="F565" s="704"/>
      <c r="G565" s="711"/>
      <c r="H565" s="694"/>
      <c r="I565" s="712"/>
      <c r="J565" s="694"/>
      <c r="K565" s="714"/>
      <c r="L565" s="205"/>
      <c r="M565" s="694"/>
      <c r="N565" s="694"/>
      <c r="O565" s="694"/>
      <c r="P565" s="694"/>
      <c r="Q565" s="694"/>
      <c r="R565" s="204"/>
      <c r="S565" s="708"/>
      <c r="T565" s="714"/>
      <c r="U565" s="205"/>
      <c r="V565" s="662"/>
      <c r="W565" s="205"/>
      <c r="X565" s="205"/>
      <c r="Y565" s="205"/>
      <c r="Z565" s="205"/>
      <c r="AA565" s="205"/>
      <c r="AB565" s="205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205"/>
      <c r="BN565" s="205"/>
      <c r="BO565" s="205"/>
      <c r="BP565" s="205"/>
      <c r="BQ565" s="205"/>
      <c r="BR565" s="205"/>
      <c r="BS565" s="205"/>
      <c r="BT565" s="205"/>
      <c r="BU565" s="205"/>
      <c r="BV565" s="205"/>
      <c r="BW565" s="205"/>
      <c r="BX565" s="205"/>
      <c r="BY565" s="205"/>
      <c r="BZ565" s="205"/>
      <c r="CA565" s="205"/>
      <c r="CB565" s="205"/>
      <c r="CC565" s="205"/>
      <c r="CD565" s="205"/>
      <c r="CE565" s="205"/>
      <c r="CF565" s="205"/>
      <c r="CG565" s="205"/>
      <c r="CH565" s="205"/>
      <c r="CI565" s="205"/>
      <c r="CJ565" s="205"/>
      <c r="CK565" s="205"/>
      <c r="CL565" s="205"/>
      <c r="CM565" s="205"/>
      <c r="CN565" s="205"/>
      <c r="CO565" s="205"/>
      <c r="CP565" s="205"/>
      <c r="CQ565" s="205"/>
      <c r="CR565" s="205"/>
      <c r="CS565" s="205"/>
      <c r="CT565" s="205"/>
      <c r="CU565" s="205"/>
      <c r="CV565" s="205"/>
      <c r="CW565" s="205"/>
      <c r="CX565" s="205"/>
      <c r="CY565" s="205"/>
      <c r="CZ565" s="205"/>
      <c r="DA565" s="205"/>
      <c r="DB565" s="205"/>
      <c r="DC565" s="205"/>
      <c r="DD565" s="205"/>
      <c r="DE565" s="205"/>
      <c r="DF565" s="205"/>
      <c r="DG565" s="205"/>
      <c r="DH565" s="205"/>
      <c r="DI565" s="205"/>
      <c r="DJ565" s="205"/>
      <c r="DK565" s="205"/>
      <c r="DL565" s="205"/>
      <c r="DM565" s="205"/>
      <c r="DN565" s="205"/>
      <c r="DO565" s="205"/>
      <c r="DP565" s="205"/>
      <c r="DQ565" s="205"/>
      <c r="DR565" s="205"/>
      <c r="DS565" s="205"/>
      <c r="DT565" s="205"/>
      <c r="DU565" s="205"/>
      <c r="DV565" s="205"/>
      <c r="DW565" s="205"/>
      <c r="DX565" s="205"/>
      <c r="DY565" s="205"/>
      <c r="DZ565" s="205"/>
      <c r="EA565" s="205"/>
      <c r="EB565" s="205"/>
      <c r="EC565" s="205"/>
      <c r="ED565" s="205"/>
      <c r="EE565" s="205"/>
      <c r="EF565" s="205"/>
      <c r="EG565" s="205"/>
      <c r="EH565" s="205"/>
      <c r="EI565" s="205"/>
      <c r="EJ565" s="205"/>
      <c r="EK565" s="205"/>
      <c r="EL565" s="205"/>
      <c r="EM565" s="205"/>
      <c r="EN565" s="205"/>
      <c r="EO565" s="205"/>
      <c r="EP565" s="205"/>
      <c r="EQ565" s="205"/>
      <c r="ER565" s="205"/>
      <c r="ES565" s="205"/>
      <c r="ET565" s="205"/>
      <c r="EU565" s="205"/>
      <c r="EV565" s="205"/>
      <c r="EW565" s="205"/>
      <c r="EX565" s="205"/>
      <c r="EY565" s="205"/>
      <c r="EZ565" s="205"/>
      <c r="FA565" s="205"/>
      <c r="FB565" s="205"/>
      <c r="FC565" s="205"/>
      <c r="FD565" s="205"/>
      <c r="FE565" s="205"/>
      <c r="FF565" s="205"/>
      <c r="FG565" s="205"/>
      <c r="FH565" s="205"/>
      <c r="FI565" s="205"/>
      <c r="FJ565" s="205"/>
      <c r="FK565" s="205"/>
      <c r="FL565" s="205"/>
      <c r="FM565" s="205"/>
      <c r="FN565" s="205"/>
      <c r="FO565" s="205"/>
      <c r="FP565" s="205"/>
      <c r="FQ565" s="205"/>
      <c r="FR565" s="205"/>
      <c r="FS565" s="205"/>
      <c r="FT565" s="205"/>
      <c r="FU565" s="205"/>
      <c r="FV565" s="205"/>
      <c r="FW565" s="205"/>
      <c r="FX565" s="205"/>
      <c r="FY565" s="205"/>
      <c r="FZ565" s="205"/>
      <c r="GA565" s="205"/>
      <c r="GB565" s="205"/>
      <c r="GC565" s="205"/>
      <c r="GD565" s="205"/>
      <c r="GE565" s="205"/>
      <c r="GF565" s="205"/>
      <c r="GG565" s="205"/>
      <c r="GH565" s="205"/>
      <c r="GI565" s="205"/>
      <c r="GJ565" s="205"/>
      <c r="GK565" s="205"/>
      <c r="GL565" s="205"/>
      <c r="GM565" s="205"/>
      <c r="GN565" s="205"/>
      <c r="GO565" s="205"/>
      <c r="GP565" s="205"/>
      <c r="GQ565" s="205"/>
      <c r="GR565" s="205"/>
      <c r="GS565" s="205"/>
      <c r="GT565" s="205"/>
      <c r="GU565" s="205"/>
      <c r="GV565" s="205"/>
      <c r="GW565" s="205"/>
      <c r="GX565" s="205"/>
      <c r="GY565" s="205"/>
      <c r="GZ565" s="205"/>
      <c r="HA565" s="205"/>
      <c r="HB565" s="205"/>
      <c r="HC565" s="205"/>
      <c r="HD565" s="205"/>
      <c r="HE565" s="205"/>
      <c r="HF565" s="205"/>
      <c r="HG565" s="205"/>
      <c r="HH565" s="205"/>
      <c r="HI565" s="205"/>
      <c r="HJ565" s="205"/>
      <c r="HK565" s="205"/>
      <c r="HL565" s="205"/>
      <c r="HM565" s="205"/>
      <c r="HN565" s="205"/>
      <c r="HO565" s="205"/>
      <c r="HP565" s="205"/>
      <c r="HQ565" s="205"/>
      <c r="HR565" s="205"/>
      <c r="HS565" s="205"/>
      <c r="HT565" s="205"/>
      <c r="HU565" s="205"/>
      <c r="HV565" s="205"/>
      <c r="HW565" s="205"/>
      <c r="HX565" s="205"/>
      <c r="HY565" s="205"/>
      <c r="HZ565" s="205"/>
      <c r="IA565" s="205"/>
      <c r="IB565" s="205"/>
      <c r="IC565" s="205"/>
      <c r="ID565" s="205"/>
      <c r="IE565" s="205"/>
      <c r="IF565" s="205"/>
      <c r="IG565" s="205"/>
      <c r="IH565" s="205"/>
      <c r="II565" s="205"/>
      <c r="IJ565" s="205"/>
      <c r="IK565" s="205"/>
      <c r="IL565" s="205"/>
      <c r="IM565" s="205"/>
      <c r="IN565" s="205"/>
      <c r="IO565" s="205"/>
      <c r="IP565" s="205"/>
      <c r="IQ565" s="205"/>
      <c r="IR565" s="205"/>
      <c r="IS565" s="205"/>
      <c r="IT565" s="205"/>
      <c r="IU565" s="205"/>
      <c r="IV565" s="205"/>
      <c r="IW565" s="205"/>
      <c r="IX565" s="205"/>
    </row>
    <row r="566" spans="1:258" s="196" customFormat="1" ht="18" x14ac:dyDescent="0.25">
      <c r="A566" s="205"/>
      <c r="B566" s="704"/>
      <c r="C566" s="709"/>
      <c r="D566" s="706"/>
      <c r="E566" s="710"/>
      <c r="F566" s="704"/>
      <c r="G566" s="711"/>
      <c r="H566" s="694"/>
      <c r="I566" s="712"/>
      <c r="J566" s="694"/>
      <c r="K566" s="694"/>
      <c r="L566" s="205"/>
      <c r="M566" s="694"/>
      <c r="N566" s="694"/>
      <c r="O566" s="694"/>
      <c r="P566" s="694"/>
      <c r="Q566" s="694"/>
      <c r="R566" s="204"/>
      <c r="S566" s="708"/>
      <c r="T566" s="714"/>
      <c r="U566" s="205"/>
      <c r="V566" s="662"/>
      <c r="W566" s="205"/>
      <c r="X566" s="205"/>
      <c r="Y566" s="205"/>
      <c r="Z566" s="205"/>
      <c r="AA566" s="205"/>
      <c r="AB566" s="205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205"/>
      <c r="BN566" s="205"/>
      <c r="BO566" s="205"/>
      <c r="BP566" s="205"/>
      <c r="BQ566" s="205"/>
      <c r="BR566" s="205"/>
      <c r="BS566" s="205"/>
      <c r="BT566" s="205"/>
      <c r="BU566" s="205"/>
      <c r="BV566" s="205"/>
      <c r="BW566" s="205"/>
      <c r="BX566" s="205"/>
      <c r="BY566" s="205"/>
      <c r="BZ566" s="205"/>
      <c r="CA566" s="205"/>
      <c r="CB566" s="205"/>
      <c r="CC566" s="205"/>
      <c r="CD566" s="205"/>
      <c r="CE566" s="205"/>
      <c r="CF566" s="205"/>
      <c r="CG566" s="205"/>
      <c r="CH566" s="205"/>
      <c r="CI566" s="205"/>
      <c r="CJ566" s="205"/>
      <c r="CK566" s="205"/>
      <c r="CL566" s="205"/>
      <c r="CM566" s="205"/>
      <c r="CN566" s="205"/>
      <c r="CO566" s="205"/>
      <c r="CP566" s="205"/>
      <c r="CQ566" s="205"/>
      <c r="CR566" s="205"/>
      <c r="CS566" s="205"/>
      <c r="CT566" s="205"/>
      <c r="CU566" s="205"/>
      <c r="CV566" s="205"/>
      <c r="CW566" s="205"/>
      <c r="CX566" s="205"/>
      <c r="CY566" s="205"/>
      <c r="CZ566" s="205"/>
      <c r="DA566" s="205"/>
      <c r="DB566" s="205"/>
      <c r="DC566" s="205"/>
      <c r="DD566" s="205"/>
      <c r="DE566" s="205"/>
      <c r="DF566" s="205"/>
      <c r="DG566" s="205"/>
      <c r="DH566" s="205"/>
      <c r="DI566" s="205"/>
      <c r="DJ566" s="205"/>
      <c r="DK566" s="205"/>
      <c r="DL566" s="205"/>
      <c r="DM566" s="205"/>
      <c r="DN566" s="205"/>
      <c r="DO566" s="205"/>
      <c r="DP566" s="205"/>
      <c r="DQ566" s="205"/>
      <c r="DR566" s="205"/>
      <c r="DS566" s="205"/>
      <c r="DT566" s="205"/>
      <c r="DU566" s="205"/>
      <c r="DV566" s="205"/>
      <c r="DW566" s="205"/>
      <c r="DX566" s="205"/>
      <c r="DY566" s="205"/>
      <c r="DZ566" s="205"/>
      <c r="EA566" s="205"/>
      <c r="EB566" s="205"/>
      <c r="EC566" s="205"/>
      <c r="ED566" s="205"/>
      <c r="EE566" s="205"/>
      <c r="EF566" s="205"/>
      <c r="EG566" s="205"/>
      <c r="EH566" s="205"/>
      <c r="EI566" s="205"/>
      <c r="EJ566" s="205"/>
      <c r="EK566" s="205"/>
      <c r="EL566" s="205"/>
      <c r="EM566" s="205"/>
      <c r="EN566" s="205"/>
      <c r="EO566" s="205"/>
      <c r="EP566" s="205"/>
      <c r="EQ566" s="205"/>
      <c r="ER566" s="205"/>
      <c r="ES566" s="205"/>
      <c r="ET566" s="205"/>
      <c r="EU566" s="205"/>
      <c r="EV566" s="205"/>
      <c r="EW566" s="205"/>
      <c r="EX566" s="205"/>
      <c r="EY566" s="205"/>
      <c r="EZ566" s="205"/>
      <c r="FA566" s="205"/>
      <c r="FB566" s="205"/>
      <c r="FC566" s="205"/>
      <c r="FD566" s="205"/>
      <c r="FE566" s="205"/>
      <c r="FF566" s="205"/>
      <c r="FG566" s="205"/>
      <c r="FH566" s="205"/>
      <c r="FI566" s="205"/>
      <c r="FJ566" s="205"/>
      <c r="FK566" s="205"/>
      <c r="FL566" s="205"/>
      <c r="FM566" s="205"/>
      <c r="FN566" s="205"/>
      <c r="FO566" s="205"/>
      <c r="FP566" s="205"/>
      <c r="FQ566" s="205"/>
      <c r="FR566" s="205"/>
      <c r="FS566" s="205"/>
      <c r="FT566" s="205"/>
      <c r="FU566" s="205"/>
      <c r="FV566" s="205"/>
      <c r="FW566" s="205"/>
      <c r="FX566" s="205"/>
      <c r="FY566" s="205"/>
      <c r="FZ566" s="205"/>
      <c r="GA566" s="205"/>
      <c r="GB566" s="205"/>
      <c r="GC566" s="205"/>
      <c r="GD566" s="205"/>
      <c r="GE566" s="205"/>
      <c r="GF566" s="205"/>
      <c r="GG566" s="205"/>
      <c r="GH566" s="205"/>
      <c r="GI566" s="205"/>
      <c r="GJ566" s="205"/>
      <c r="GK566" s="205"/>
      <c r="GL566" s="205"/>
      <c r="GM566" s="205"/>
      <c r="GN566" s="205"/>
      <c r="GO566" s="205"/>
      <c r="GP566" s="205"/>
      <c r="GQ566" s="205"/>
      <c r="GR566" s="205"/>
      <c r="GS566" s="205"/>
      <c r="GT566" s="205"/>
      <c r="GU566" s="205"/>
      <c r="GV566" s="205"/>
      <c r="GW566" s="205"/>
      <c r="GX566" s="205"/>
      <c r="GY566" s="205"/>
      <c r="GZ566" s="205"/>
      <c r="HA566" s="205"/>
      <c r="HB566" s="205"/>
      <c r="HC566" s="205"/>
      <c r="HD566" s="205"/>
      <c r="HE566" s="205"/>
      <c r="HF566" s="205"/>
      <c r="HG566" s="205"/>
      <c r="HH566" s="205"/>
      <c r="HI566" s="205"/>
      <c r="HJ566" s="205"/>
      <c r="HK566" s="205"/>
      <c r="HL566" s="205"/>
      <c r="HM566" s="205"/>
      <c r="HN566" s="205"/>
      <c r="HO566" s="205"/>
      <c r="HP566" s="205"/>
      <c r="HQ566" s="205"/>
      <c r="HR566" s="205"/>
      <c r="HS566" s="205"/>
      <c r="HT566" s="205"/>
      <c r="HU566" s="205"/>
      <c r="HV566" s="205"/>
      <c r="HW566" s="205"/>
      <c r="HX566" s="205"/>
      <c r="HY566" s="205"/>
      <c r="HZ566" s="205"/>
      <c r="IA566" s="205"/>
      <c r="IB566" s="205"/>
      <c r="IC566" s="205"/>
      <c r="ID566" s="205"/>
      <c r="IE566" s="205"/>
      <c r="IF566" s="205"/>
      <c r="IG566" s="205"/>
      <c r="IH566" s="205"/>
      <c r="II566" s="205"/>
      <c r="IJ566" s="205"/>
      <c r="IK566" s="205"/>
      <c r="IL566" s="205"/>
      <c r="IM566" s="205"/>
      <c r="IN566" s="205"/>
      <c r="IO566" s="205"/>
      <c r="IP566" s="205"/>
      <c r="IQ566" s="205"/>
      <c r="IR566" s="205"/>
      <c r="IS566" s="205"/>
      <c r="IT566" s="205"/>
      <c r="IU566" s="205"/>
      <c r="IV566" s="205"/>
      <c r="IW566" s="205"/>
      <c r="IX566" s="205"/>
    </row>
    <row r="567" spans="1:258" s="196" customFormat="1" ht="18" x14ac:dyDescent="0.25">
      <c r="A567" s="205"/>
      <c r="B567" s="704"/>
      <c r="C567" s="709"/>
      <c r="D567" s="706"/>
      <c r="E567" s="706"/>
      <c r="F567" s="706"/>
      <c r="G567" s="711"/>
      <c r="H567" s="694"/>
      <c r="I567" s="694"/>
      <c r="J567" s="694"/>
      <c r="K567" s="694"/>
      <c r="L567" s="694"/>
      <c r="M567" s="694"/>
      <c r="N567" s="694"/>
      <c r="O567" s="694"/>
      <c r="P567" s="694"/>
      <c r="Q567" s="694"/>
      <c r="R567" s="204"/>
      <c r="S567" s="708"/>
      <c r="T567" s="714"/>
      <c r="U567" s="205"/>
      <c r="V567" s="662"/>
      <c r="W567" s="205"/>
      <c r="X567" s="205"/>
      <c r="Y567" s="205"/>
      <c r="Z567" s="205"/>
      <c r="AA567" s="205"/>
      <c r="AB567" s="205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205"/>
      <c r="BN567" s="205"/>
      <c r="BO567" s="205"/>
      <c r="BP567" s="205"/>
      <c r="BQ567" s="205"/>
      <c r="BR567" s="205"/>
      <c r="BS567" s="205"/>
      <c r="BT567" s="205"/>
      <c r="BU567" s="205"/>
      <c r="BV567" s="205"/>
      <c r="BW567" s="205"/>
      <c r="BX567" s="205"/>
      <c r="BY567" s="205"/>
      <c r="BZ567" s="205"/>
      <c r="CA567" s="205"/>
      <c r="CB567" s="205"/>
      <c r="CC567" s="205"/>
      <c r="CD567" s="205"/>
      <c r="CE567" s="205"/>
      <c r="CF567" s="205"/>
      <c r="CG567" s="205"/>
      <c r="CH567" s="205"/>
      <c r="CI567" s="205"/>
      <c r="CJ567" s="205"/>
      <c r="CK567" s="205"/>
      <c r="CL567" s="205"/>
      <c r="CM567" s="205"/>
      <c r="CN567" s="205"/>
      <c r="CO567" s="205"/>
      <c r="CP567" s="205"/>
      <c r="CQ567" s="205"/>
      <c r="CR567" s="205"/>
      <c r="CS567" s="205"/>
      <c r="CT567" s="205"/>
      <c r="CU567" s="205"/>
      <c r="CV567" s="205"/>
      <c r="CW567" s="205"/>
      <c r="CX567" s="205"/>
      <c r="CY567" s="205"/>
      <c r="CZ567" s="205"/>
      <c r="DA567" s="205"/>
      <c r="DB567" s="205"/>
      <c r="DC567" s="205"/>
      <c r="DD567" s="205"/>
      <c r="DE567" s="205"/>
      <c r="DF567" s="205"/>
      <c r="DG567" s="205"/>
      <c r="DH567" s="205"/>
      <c r="DI567" s="205"/>
      <c r="DJ567" s="205"/>
      <c r="DK567" s="205"/>
      <c r="DL567" s="205"/>
      <c r="DM567" s="205"/>
      <c r="DN567" s="205"/>
      <c r="DO567" s="205"/>
      <c r="DP567" s="205"/>
      <c r="DQ567" s="205"/>
      <c r="DR567" s="205"/>
      <c r="DS567" s="205"/>
      <c r="DT567" s="205"/>
      <c r="DU567" s="205"/>
      <c r="DV567" s="205"/>
      <c r="DW567" s="205"/>
      <c r="DX567" s="205"/>
      <c r="DY567" s="205"/>
      <c r="DZ567" s="205"/>
      <c r="EA567" s="205"/>
      <c r="EB567" s="205"/>
      <c r="EC567" s="205"/>
      <c r="ED567" s="205"/>
      <c r="EE567" s="205"/>
      <c r="EF567" s="205"/>
      <c r="EG567" s="205"/>
      <c r="EH567" s="205"/>
      <c r="EI567" s="205"/>
      <c r="EJ567" s="205"/>
      <c r="EK567" s="205"/>
      <c r="EL567" s="205"/>
      <c r="EM567" s="205"/>
      <c r="EN567" s="205"/>
      <c r="EO567" s="205"/>
      <c r="EP567" s="205"/>
      <c r="EQ567" s="205"/>
      <c r="ER567" s="205"/>
      <c r="ES567" s="205"/>
      <c r="ET567" s="205"/>
      <c r="EU567" s="205"/>
      <c r="EV567" s="205"/>
      <c r="EW567" s="205"/>
      <c r="EX567" s="205"/>
      <c r="EY567" s="205"/>
      <c r="EZ567" s="205"/>
      <c r="FA567" s="205"/>
      <c r="FB567" s="205"/>
      <c r="FC567" s="205"/>
      <c r="FD567" s="205"/>
      <c r="FE567" s="205"/>
      <c r="FF567" s="205"/>
      <c r="FG567" s="205"/>
      <c r="FH567" s="205"/>
      <c r="FI567" s="205"/>
      <c r="FJ567" s="205"/>
      <c r="FK567" s="205"/>
      <c r="FL567" s="205"/>
      <c r="FM567" s="205"/>
      <c r="FN567" s="205"/>
      <c r="FO567" s="205"/>
      <c r="FP567" s="205"/>
      <c r="FQ567" s="205"/>
      <c r="FR567" s="205"/>
      <c r="FS567" s="205"/>
      <c r="FT567" s="205"/>
      <c r="FU567" s="205"/>
      <c r="FV567" s="205"/>
      <c r="FW567" s="205"/>
      <c r="FX567" s="205"/>
      <c r="FY567" s="205"/>
      <c r="FZ567" s="205"/>
      <c r="GA567" s="205"/>
      <c r="GB567" s="205"/>
      <c r="GC567" s="205"/>
      <c r="GD567" s="205"/>
      <c r="GE567" s="205"/>
      <c r="GF567" s="205"/>
      <c r="GG567" s="205"/>
      <c r="GH567" s="205"/>
      <c r="GI567" s="205"/>
      <c r="GJ567" s="205"/>
      <c r="GK567" s="205"/>
      <c r="GL567" s="205"/>
      <c r="GM567" s="205"/>
      <c r="GN567" s="205"/>
      <c r="GO567" s="205"/>
      <c r="GP567" s="205"/>
      <c r="GQ567" s="205"/>
      <c r="GR567" s="205"/>
      <c r="GS567" s="205"/>
      <c r="GT567" s="205"/>
      <c r="GU567" s="205"/>
      <c r="GV567" s="205"/>
      <c r="GW567" s="205"/>
      <c r="GX567" s="205"/>
      <c r="GY567" s="205"/>
      <c r="GZ567" s="205"/>
      <c r="HA567" s="205"/>
      <c r="HB567" s="205"/>
      <c r="HC567" s="205"/>
      <c r="HD567" s="205"/>
      <c r="HE567" s="205"/>
      <c r="HF567" s="205"/>
      <c r="HG567" s="205"/>
      <c r="HH567" s="205"/>
      <c r="HI567" s="205"/>
      <c r="HJ567" s="205"/>
      <c r="HK567" s="205"/>
      <c r="HL567" s="205"/>
      <c r="HM567" s="205"/>
      <c r="HN567" s="205"/>
      <c r="HO567" s="205"/>
      <c r="HP567" s="205"/>
      <c r="HQ567" s="205"/>
      <c r="HR567" s="205"/>
      <c r="HS567" s="205"/>
      <c r="HT567" s="205"/>
      <c r="HU567" s="205"/>
      <c r="HV567" s="205"/>
      <c r="HW567" s="205"/>
      <c r="HX567" s="205"/>
      <c r="HY567" s="205"/>
      <c r="HZ567" s="205"/>
      <c r="IA567" s="205"/>
      <c r="IB567" s="205"/>
      <c r="IC567" s="205"/>
      <c r="ID567" s="205"/>
      <c r="IE567" s="205"/>
      <c r="IF567" s="205"/>
      <c r="IG567" s="205"/>
      <c r="IH567" s="205"/>
      <c r="II567" s="205"/>
      <c r="IJ567" s="205"/>
      <c r="IK567" s="205"/>
      <c r="IL567" s="205"/>
      <c r="IM567" s="205"/>
      <c r="IN567" s="205"/>
      <c r="IO567" s="205"/>
      <c r="IP567" s="205"/>
      <c r="IQ567" s="205"/>
      <c r="IR567" s="205"/>
      <c r="IS567" s="205"/>
      <c r="IT567" s="205"/>
      <c r="IU567" s="205"/>
      <c r="IV567" s="205"/>
      <c r="IW567" s="205"/>
      <c r="IX567" s="205"/>
    </row>
    <row r="568" spans="1:258" s="196" customFormat="1" ht="18" x14ac:dyDescent="0.25">
      <c r="A568" s="205"/>
      <c r="B568" s="704"/>
      <c r="C568" s="709"/>
      <c r="D568" s="706"/>
      <c r="E568" s="706"/>
      <c r="F568" s="706"/>
      <c r="G568" s="711"/>
      <c r="H568" s="694"/>
      <c r="I568" s="694"/>
      <c r="J568" s="694"/>
      <c r="K568" s="694"/>
      <c r="L568" s="694"/>
      <c r="M568" s="694"/>
      <c r="N568" s="694"/>
      <c r="O568" s="694"/>
      <c r="P568" s="694"/>
      <c r="Q568" s="694"/>
      <c r="R568" s="204"/>
      <c r="S568" s="708"/>
      <c r="T568" s="714"/>
      <c r="U568" s="205"/>
      <c r="V568" s="662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05"/>
      <c r="BN568" s="205"/>
      <c r="BO568" s="205"/>
      <c r="BP568" s="205"/>
      <c r="BQ568" s="205"/>
      <c r="BR568" s="205"/>
      <c r="BS568" s="205"/>
      <c r="BT568" s="205"/>
      <c r="BU568" s="205"/>
      <c r="BV568" s="205"/>
      <c r="BW568" s="205"/>
      <c r="BX568" s="205"/>
      <c r="BY568" s="205"/>
      <c r="BZ568" s="205"/>
      <c r="CA568" s="205"/>
      <c r="CB568" s="205"/>
      <c r="CC568" s="205"/>
      <c r="CD568" s="205"/>
      <c r="CE568" s="205"/>
      <c r="CF568" s="205"/>
      <c r="CG568" s="205"/>
      <c r="CH568" s="205"/>
      <c r="CI568" s="205"/>
      <c r="CJ568" s="205"/>
      <c r="CK568" s="205"/>
      <c r="CL568" s="205"/>
      <c r="CM568" s="205"/>
      <c r="CN568" s="205"/>
      <c r="CO568" s="205"/>
      <c r="CP568" s="205"/>
      <c r="CQ568" s="205"/>
      <c r="CR568" s="205"/>
      <c r="CS568" s="205"/>
      <c r="CT568" s="205"/>
      <c r="CU568" s="205"/>
      <c r="CV568" s="205"/>
      <c r="CW568" s="205"/>
      <c r="CX568" s="205"/>
      <c r="CY568" s="205"/>
      <c r="CZ568" s="205"/>
      <c r="DA568" s="205"/>
      <c r="DB568" s="205"/>
      <c r="DC568" s="205"/>
      <c r="DD568" s="205"/>
      <c r="DE568" s="205"/>
      <c r="DF568" s="205"/>
      <c r="DG568" s="205"/>
      <c r="DH568" s="205"/>
      <c r="DI568" s="205"/>
      <c r="DJ568" s="205"/>
      <c r="DK568" s="205"/>
      <c r="DL568" s="205"/>
      <c r="DM568" s="205"/>
      <c r="DN568" s="205"/>
      <c r="DO568" s="205"/>
      <c r="DP568" s="205"/>
      <c r="DQ568" s="205"/>
      <c r="DR568" s="205"/>
      <c r="DS568" s="205"/>
      <c r="DT568" s="205"/>
      <c r="DU568" s="205"/>
      <c r="DV568" s="205"/>
      <c r="DW568" s="205"/>
      <c r="DX568" s="205"/>
      <c r="DY568" s="205"/>
      <c r="DZ568" s="205"/>
      <c r="EA568" s="205"/>
      <c r="EB568" s="205"/>
      <c r="EC568" s="205"/>
      <c r="ED568" s="205"/>
      <c r="EE568" s="205"/>
      <c r="EF568" s="205"/>
      <c r="EG568" s="205"/>
      <c r="EH568" s="205"/>
      <c r="EI568" s="205"/>
      <c r="EJ568" s="205"/>
      <c r="EK568" s="205"/>
      <c r="EL568" s="205"/>
      <c r="EM568" s="205"/>
      <c r="EN568" s="205"/>
      <c r="EO568" s="205"/>
      <c r="EP568" s="205"/>
      <c r="EQ568" s="205"/>
      <c r="ER568" s="205"/>
      <c r="ES568" s="205"/>
      <c r="ET568" s="205"/>
      <c r="EU568" s="205"/>
      <c r="EV568" s="205"/>
      <c r="EW568" s="205"/>
      <c r="EX568" s="205"/>
      <c r="EY568" s="205"/>
      <c r="EZ568" s="205"/>
      <c r="FA568" s="205"/>
      <c r="FB568" s="205"/>
      <c r="FC568" s="205"/>
      <c r="FD568" s="205"/>
      <c r="FE568" s="205"/>
      <c r="FF568" s="205"/>
      <c r="FG568" s="205"/>
      <c r="FH568" s="205"/>
      <c r="FI568" s="205"/>
      <c r="FJ568" s="205"/>
      <c r="FK568" s="205"/>
      <c r="FL568" s="205"/>
      <c r="FM568" s="205"/>
      <c r="FN568" s="205"/>
      <c r="FO568" s="205"/>
      <c r="FP568" s="205"/>
      <c r="FQ568" s="205"/>
      <c r="FR568" s="205"/>
      <c r="FS568" s="205"/>
      <c r="FT568" s="205"/>
      <c r="FU568" s="205"/>
      <c r="FV568" s="205"/>
      <c r="FW568" s="205"/>
      <c r="FX568" s="205"/>
      <c r="FY568" s="205"/>
      <c r="FZ568" s="205"/>
      <c r="GA568" s="205"/>
      <c r="GB568" s="205"/>
      <c r="GC568" s="205"/>
      <c r="GD568" s="205"/>
      <c r="GE568" s="205"/>
      <c r="GF568" s="205"/>
      <c r="GG568" s="205"/>
      <c r="GH568" s="205"/>
      <c r="GI568" s="205"/>
      <c r="GJ568" s="205"/>
      <c r="GK568" s="205"/>
      <c r="GL568" s="205"/>
      <c r="GM568" s="205"/>
      <c r="GN568" s="205"/>
      <c r="GO568" s="205"/>
      <c r="GP568" s="205"/>
      <c r="GQ568" s="205"/>
      <c r="GR568" s="205"/>
      <c r="GS568" s="205"/>
      <c r="GT568" s="205"/>
      <c r="GU568" s="205"/>
      <c r="GV568" s="205"/>
      <c r="GW568" s="205"/>
      <c r="GX568" s="205"/>
      <c r="GY568" s="205"/>
      <c r="GZ568" s="205"/>
      <c r="HA568" s="205"/>
      <c r="HB568" s="205"/>
      <c r="HC568" s="205"/>
      <c r="HD568" s="205"/>
      <c r="HE568" s="205"/>
      <c r="HF568" s="205"/>
      <c r="HG568" s="205"/>
      <c r="HH568" s="205"/>
      <c r="HI568" s="205"/>
      <c r="HJ568" s="205"/>
      <c r="HK568" s="205"/>
      <c r="HL568" s="205"/>
      <c r="HM568" s="205"/>
      <c r="HN568" s="205"/>
      <c r="HO568" s="205"/>
      <c r="HP568" s="205"/>
      <c r="HQ568" s="205"/>
      <c r="HR568" s="205"/>
      <c r="HS568" s="205"/>
      <c r="HT568" s="205"/>
      <c r="HU568" s="205"/>
      <c r="HV568" s="205"/>
      <c r="HW568" s="205"/>
      <c r="HX568" s="205"/>
      <c r="HY568" s="205"/>
      <c r="HZ568" s="205"/>
      <c r="IA568" s="205"/>
      <c r="IB568" s="205"/>
      <c r="IC568" s="205"/>
      <c r="ID568" s="205"/>
      <c r="IE568" s="205"/>
      <c r="IF568" s="205"/>
      <c r="IG568" s="205"/>
      <c r="IH568" s="205"/>
      <c r="II568" s="205"/>
      <c r="IJ568" s="205"/>
      <c r="IK568" s="205"/>
      <c r="IL568" s="205"/>
      <c r="IM568" s="205"/>
      <c r="IN568" s="205"/>
      <c r="IO568" s="205"/>
      <c r="IP568" s="205"/>
      <c r="IQ568" s="205"/>
      <c r="IR568" s="205"/>
      <c r="IS568" s="205"/>
      <c r="IT568" s="205"/>
      <c r="IU568" s="205"/>
      <c r="IV568" s="205"/>
      <c r="IW568" s="205"/>
      <c r="IX568" s="205"/>
    </row>
    <row r="569" spans="1:258" s="196" customFormat="1" ht="18" x14ac:dyDescent="0.25">
      <c r="A569" s="205"/>
      <c r="B569" s="704"/>
      <c r="C569" s="709"/>
      <c r="D569" s="706"/>
      <c r="E569" s="706"/>
      <c r="F569" s="706"/>
      <c r="G569" s="711"/>
      <c r="H569" s="694"/>
      <c r="I569" s="694"/>
      <c r="J569" s="694"/>
      <c r="K569" s="694"/>
      <c r="L569" s="694"/>
      <c r="M569" s="694"/>
      <c r="N569" s="694"/>
      <c r="O569" s="694"/>
      <c r="P569" s="694"/>
      <c r="Q569" s="694"/>
      <c r="R569" s="204"/>
      <c r="S569" s="708"/>
      <c r="T569" s="714"/>
      <c r="U569" s="205"/>
      <c r="V569" s="662"/>
      <c r="W569" s="205"/>
      <c r="X569" s="205"/>
      <c r="Y569" s="205"/>
      <c r="Z569" s="205"/>
      <c r="AA569" s="205"/>
      <c r="AB569" s="205"/>
      <c r="AC569" s="205"/>
      <c r="AD569" s="205"/>
      <c r="AE569" s="205"/>
      <c r="AF569" s="205"/>
      <c r="AG569" s="205"/>
      <c r="AH569" s="205"/>
      <c r="AI569" s="205"/>
      <c r="AJ569" s="205"/>
      <c r="AK569" s="205"/>
      <c r="AL569" s="205"/>
      <c r="AM569" s="205"/>
      <c r="AN569" s="205"/>
      <c r="AO569" s="205"/>
      <c r="AP569" s="205"/>
      <c r="AQ569" s="205"/>
      <c r="AR569" s="205"/>
      <c r="AS569" s="205"/>
      <c r="AT569" s="205"/>
      <c r="AU569" s="205"/>
      <c r="AV569" s="205"/>
      <c r="AW569" s="205"/>
      <c r="AX569" s="205"/>
      <c r="AY569" s="205"/>
      <c r="AZ569" s="205"/>
      <c r="BA569" s="205"/>
      <c r="BB569" s="205"/>
      <c r="BC569" s="205"/>
      <c r="BD569" s="205"/>
      <c r="BE569" s="205"/>
      <c r="BF569" s="205"/>
      <c r="BG569" s="205"/>
      <c r="BH569" s="205"/>
      <c r="BI569" s="205"/>
      <c r="BJ569" s="205"/>
      <c r="BK569" s="205"/>
      <c r="BL569" s="205"/>
      <c r="BM569" s="205"/>
      <c r="BN569" s="205"/>
      <c r="BO569" s="205"/>
      <c r="BP569" s="205"/>
      <c r="BQ569" s="205"/>
      <c r="BR569" s="205"/>
      <c r="BS569" s="205"/>
      <c r="BT569" s="205"/>
      <c r="BU569" s="205"/>
      <c r="BV569" s="205"/>
      <c r="BW569" s="205"/>
      <c r="BX569" s="205"/>
      <c r="BY569" s="205"/>
      <c r="BZ569" s="205"/>
      <c r="CA569" s="205"/>
      <c r="CB569" s="205"/>
      <c r="CC569" s="205"/>
      <c r="CD569" s="205"/>
      <c r="CE569" s="205"/>
      <c r="CF569" s="205"/>
      <c r="CG569" s="205"/>
      <c r="CH569" s="205"/>
      <c r="CI569" s="205"/>
      <c r="CJ569" s="205"/>
      <c r="CK569" s="205"/>
      <c r="CL569" s="205"/>
      <c r="CM569" s="205"/>
      <c r="CN569" s="205"/>
      <c r="CO569" s="205"/>
      <c r="CP569" s="205"/>
      <c r="CQ569" s="205"/>
      <c r="CR569" s="205"/>
      <c r="CS569" s="205"/>
      <c r="CT569" s="205"/>
      <c r="CU569" s="205"/>
      <c r="CV569" s="205"/>
      <c r="CW569" s="205"/>
      <c r="CX569" s="205"/>
      <c r="CY569" s="205"/>
      <c r="CZ569" s="205"/>
      <c r="DA569" s="205"/>
      <c r="DB569" s="205"/>
      <c r="DC569" s="205"/>
      <c r="DD569" s="205"/>
      <c r="DE569" s="205"/>
      <c r="DF569" s="205"/>
      <c r="DG569" s="205"/>
      <c r="DH569" s="205"/>
      <c r="DI569" s="205"/>
      <c r="DJ569" s="205"/>
      <c r="DK569" s="205"/>
      <c r="DL569" s="205"/>
      <c r="DM569" s="205"/>
      <c r="DN569" s="205"/>
      <c r="DO569" s="205"/>
      <c r="DP569" s="205"/>
      <c r="DQ569" s="205"/>
      <c r="DR569" s="205"/>
      <c r="DS569" s="205"/>
      <c r="DT569" s="205"/>
      <c r="DU569" s="205"/>
      <c r="DV569" s="205"/>
      <c r="DW569" s="205"/>
      <c r="DX569" s="205"/>
      <c r="DY569" s="205"/>
      <c r="DZ569" s="205"/>
      <c r="EA569" s="205"/>
      <c r="EB569" s="205"/>
      <c r="EC569" s="205"/>
      <c r="ED569" s="205"/>
      <c r="EE569" s="205"/>
      <c r="EF569" s="205"/>
      <c r="EG569" s="205"/>
      <c r="EH569" s="205"/>
      <c r="EI569" s="205"/>
      <c r="EJ569" s="205"/>
      <c r="EK569" s="205"/>
      <c r="EL569" s="205"/>
      <c r="EM569" s="205"/>
      <c r="EN569" s="205"/>
      <c r="EO569" s="205"/>
      <c r="EP569" s="205"/>
      <c r="EQ569" s="205"/>
      <c r="ER569" s="205"/>
      <c r="ES569" s="205"/>
      <c r="ET569" s="205"/>
      <c r="EU569" s="205"/>
      <c r="EV569" s="205"/>
      <c r="EW569" s="205"/>
      <c r="EX569" s="205"/>
      <c r="EY569" s="205"/>
      <c r="EZ569" s="205"/>
      <c r="FA569" s="205"/>
      <c r="FB569" s="205"/>
      <c r="FC569" s="205"/>
      <c r="FD569" s="205"/>
      <c r="FE569" s="205"/>
      <c r="FF569" s="205"/>
      <c r="FG569" s="205"/>
      <c r="FH569" s="205"/>
      <c r="FI569" s="205"/>
      <c r="FJ569" s="205"/>
      <c r="FK569" s="205"/>
      <c r="FL569" s="205"/>
      <c r="FM569" s="205"/>
      <c r="FN569" s="205"/>
      <c r="FO569" s="205"/>
      <c r="FP569" s="205"/>
      <c r="FQ569" s="205"/>
      <c r="FR569" s="205"/>
      <c r="FS569" s="205"/>
      <c r="FT569" s="205"/>
      <c r="FU569" s="205"/>
      <c r="FV569" s="205"/>
      <c r="FW569" s="205"/>
      <c r="FX569" s="205"/>
      <c r="FY569" s="205"/>
      <c r="FZ569" s="205"/>
      <c r="GA569" s="205"/>
      <c r="GB569" s="205"/>
      <c r="GC569" s="205"/>
      <c r="GD569" s="205"/>
      <c r="GE569" s="205"/>
      <c r="GF569" s="205"/>
      <c r="GG569" s="205"/>
      <c r="GH569" s="205"/>
      <c r="GI569" s="205"/>
      <c r="GJ569" s="205"/>
      <c r="GK569" s="205"/>
      <c r="GL569" s="205"/>
      <c r="GM569" s="205"/>
      <c r="GN569" s="205"/>
      <c r="GO569" s="205"/>
      <c r="GP569" s="205"/>
      <c r="GQ569" s="205"/>
      <c r="GR569" s="205"/>
      <c r="GS569" s="205"/>
      <c r="GT569" s="205"/>
      <c r="GU569" s="205"/>
      <c r="GV569" s="205"/>
      <c r="GW569" s="205"/>
      <c r="GX569" s="205"/>
      <c r="GY569" s="205"/>
      <c r="GZ569" s="205"/>
      <c r="HA569" s="205"/>
      <c r="HB569" s="205"/>
      <c r="HC569" s="205"/>
      <c r="HD569" s="205"/>
      <c r="HE569" s="205"/>
      <c r="HF569" s="205"/>
      <c r="HG569" s="205"/>
      <c r="HH569" s="205"/>
      <c r="HI569" s="205"/>
      <c r="HJ569" s="205"/>
      <c r="HK569" s="205"/>
      <c r="HL569" s="205"/>
      <c r="HM569" s="205"/>
      <c r="HN569" s="205"/>
      <c r="HO569" s="205"/>
      <c r="HP569" s="205"/>
      <c r="HQ569" s="205"/>
      <c r="HR569" s="205"/>
      <c r="HS569" s="205"/>
      <c r="HT569" s="205"/>
      <c r="HU569" s="205"/>
      <c r="HV569" s="205"/>
      <c r="HW569" s="205"/>
      <c r="HX569" s="205"/>
      <c r="HY569" s="205"/>
      <c r="HZ569" s="205"/>
      <c r="IA569" s="205"/>
      <c r="IB569" s="205"/>
      <c r="IC569" s="205"/>
      <c r="ID569" s="205"/>
      <c r="IE569" s="205"/>
      <c r="IF569" s="205"/>
      <c r="IG569" s="205"/>
      <c r="IH569" s="205"/>
      <c r="II569" s="205"/>
      <c r="IJ569" s="205"/>
      <c r="IK569" s="205"/>
      <c r="IL569" s="205"/>
      <c r="IM569" s="205"/>
      <c r="IN569" s="205"/>
      <c r="IO569" s="205"/>
      <c r="IP569" s="205"/>
      <c r="IQ569" s="205"/>
      <c r="IR569" s="205"/>
      <c r="IS569" s="205"/>
      <c r="IT569" s="205"/>
      <c r="IU569" s="205"/>
      <c r="IV569" s="205"/>
      <c r="IW569" s="205"/>
      <c r="IX569" s="205"/>
    </row>
    <row r="570" spans="1:258" s="196" customFormat="1" ht="18" x14ac:dyDescent="0.25">
      <c r="A570" s="205"/>
      <c r="B570" s="704"/>
      <c r="C570" s="709"/>
      <c r="D570" s="706"/>
      <c r="E570" s="706"/>
      <c r="F570" s="706"/>
      <c r="G570" s="711"/>
      <c r="H570" s="694"/>
      <c r="I570" s="694"/>
      <c r="J570" s="694"/>
      <c r="K570" s="694"/>
      <c r="L570" s="694"/>
      <c r="M570" s="694"/>
      <c r="N570" s="694"/>
      <c r="O570" s="694"/>
      <c r="P570" s="694"/>
      <c r="Q570" s="694"/>
      <c r="R570" s="204"/>
      <c r="S570" s="708"/>
      <c r="T570" s="714"/>
      <c r="U570" s="205"/>
      <c r="V570" s="662"/>
      <c r="W570" s="205"/>
      <c r="X570" s="205"/>
      <c r="Y570" s="205"/>
      <c r="Z570" s="205"/>
      <c r="AA570" s="205"/>
      <c r="AB570" s="205"/>
      <c r="AC570" s="205"/>
      <c r="AD570" s="205"/>
      <c r="AE570" s="205"/>
      <c r="AF570" s="205"/>
      <c r="AG570" s="205"/>
      <c r="AH570" s="205"/>
      <c r="AI570" s="205"/>
      <c r="AJ570" s="205"/>
      <c r="AK570" s="205"/>
      <c r="AL570" s="205"/>
      <c r="AM570" s="205"/>
      <c r="AN570" s="205"/>
      <c r="AO570" s="205"/>
      <c r="AP570" s="205"/>
      <c r="AQ570" s="205"/>
      <c r="AR570" s="205"/>
      <c r="AS570" s="205"/>
      <c r="AT570" s="205"/>
      <c r="AU570" s="205"/>
      <c r="AV570" s="205"/>
      <c r="AW570" s="205"/>
      <c r="AX570" s="205"/>
      <c r="AY570" s="205"/>
      <c r="AZ570" s="205"/>
      <c r="BA570" s="205"/>
      <c r="BB570" s="205"/>
      <c r="BC570" s="205"/>
      <c r="BD570" s="205"/>
      <c r="BE570" s="205"/>
      <c r="BF570" s="205"/>
      <c r="BG570" s="205"/>
      <c r="BH570" s="205"/>
      <c r="BI570" s="205"/>
      <c r="BJ570" s="205"/>
      <c r="BK570" s="205"/>
      <c r="BL570" s="205"/>
      <c r="BM570" s="205"/>
      <c r="BN570" s="205"/>
      <c r="BO570" s="205"/>
      <c r="BP570" s="205"/>
      <c r="BQ570" s="205"/>
      <c r="BR570" s="205"/>
      <c r="BS570" s="205"/>
      <c r="BT570" s="205"/>
      <c r="BU570" s="205"/>
      <c r="BV570" s="205"/>
      <c r="BW570" s="205"/>
      <c r="BX570" s="205"/>
      <c r="BY570" s="205"/>
      <c r="BZ570" s="205"/>
      <c r="CA570" s="205"/>
      <c r="CB570" s="205"/>
      <c r="CC570" s="205"/>
      <c r="CD570" s="205"/>
      <c r="CE570" s="205"/>
      <c r="CF570" s="205"/>
      <c r="CG570" s="205"/>
      <c r="CH570" s="205"/>
      <c r="CI570" s="205"/>
      <c r="CJ570" s="205"/>
      <c r="CK570" s="205"/>
      <c r="CL570" s="205"/>
      <c r="CM570" s="205"/>
      <c r="CN570" s="205"/>
      <c r="CO570" s="205"/>
      <c r="CP570" s="205"/>
      <c r="CQ570" s="205"/>
      <c r="CR570" s="205"/>
      <c r="CS570" s="205"/>
      <c r="CT570" s="205"/>
      <c r="CU570" s="205"/>
      <c r="CV570" s="205"/>
      <c r="CW570" s="205"/>
      <c r="CX570" s="205"/>
      <c r="CY570" s="205"/>
      <c r="CZ570" s="205"/>
      <c r="DA570" s="205"/>
      <c r="DB570" s="205"/>
      <c r="DC570" s="205"/>
      <c r="DD570" s="205"/>
      <c r="DE570" s="205"/>
      <c r="DF570" s="205"/>
      <c r="DG570" s="205"/>
      <c r="DH570" s="205"/>
      <c r="DI570" s="205"/>
      <c r="DJ570" s="205"/>
      <c r="DK570" s="205"/>
      <c r="DL570" s="205"/>
      <c r="DM570" s="205"/>
      <c r="DN570" s="205"/>
      <c r="DO570" s="205"/>
      <c r="DP570" s="205"/>
      <c r="DQ570" s="205"/>
      <c r="DR570" s="205"/>
      <c r="DS570" s="205"/>
      <c r="DT570" s="205"/>
      <c r="DU570" s="205"/>
      <c r="DV570" s="205"/>
      <c r="DW570" s="205"/>
      <c r="DX570" s="205"/>
      <c r="DY570" s="205"/>
      <c r="DZ570" s="205"/>
      <c r="EA570" s="205"/>
      <c r="EB570" s="205"/>
      <c r="EC570" s="205"/>
      <c r="ED570" s="205"/>
      <c r="EE570" s="205"/>
      <c r="EF570" s="205"/>
      <c r="EG570" s="205"/>
      <c r="EH570" s="205"/>
      <c r="EI570" s="205"/>
      <c r="EJ570" s="205"/>
      <c r="EK570" s="205"/>
      <c r="EL570" s="205"/>
      <c r="EM570" s="205"/>
      <c r="EN570" s="205"/>
      <c r="EO570" s="205"/>
      <c r="EP570" s="205"/>
      <c r="EQ570" s="205"/>
      <c r="ER570" s="205"/>
      <c r="ES570" s="205"/>
      <c r="ET570" s="205"/>
      <c r="EU570" s="205"/>
      <c r="EV570" s="205"/>
      <c r="EW570" s="205"/>
      <c r="EX570" s="205"/>
      <c r="EY570" s="205"/>
      <c r="EZ570" s="205"/>
      <c r="FA570" s="205"/>
      <c r="FB570" s="205"/>
      <c r="FC570" s="205"/>
      <c r="FD570" s="205"/>
      <c r="FE570" s="205"/>
      <c r="FF570" s="205"/>
      <c r="FG570" s="205"/>
      <c r="FH570" s="205"/>
      <c r="FI570" s="205"/>
      <c r="FJ570" s="205"/>
      <c r="FK570" s="205"/>
      <c r="FL570" s="205"/>
      <c r="FM570" s="205"/>
      <c r="FN570" s="205"/>
      <c r="FO570" s="205"/>
      <c r="FP570" s="205"/>
      <c r="FQ570" s="205"/>
      <c r="FR570" s="205"/>
      <c r="FS570" s="205"/>
      <c r="FT570" s="205"/>
      <c r="FU570" s="205"/>
      <c r="FV570" s="205"/>
      <c r="FW570" s="205"/>
      <c r="FX570" s="205"/>
      <c r="FY570" s="205"/>
      <c r="FZ570" s="205"/>
      <c r="GA570" s="205"/>
      <c r="GB570" s="205"/>
      <c r="GC570" s="205"/>
      <c r="GD570" s="205"/>
      <c r="GE570" s="205"/>
      <c r="GF570" s="205"/>
      <c r="GG570" s="205"/>
      <c r="GH570" s="205"/>
      <c r="GI570" s="205"/>
      <c r="GJ570" s="205"/>
      <c r="GK570" s="205"/>
      <c r="GL570" s="205"/>
      <c r="GM570" s="205"/>
      <c r="GN570" s="205"/>
      <c r="GO570" s="205"/>
      <c r="GP570" s="205"/>
      <c r="GQ570" s="205"/>
      <c r="GR570" s="205"/>
      <c r="GS570" s="205"/>
      <c r="GT570" s="205"/>
      <c r="GU570" s="205"/>
      <c r="GV570" s="205"/>
      <c r="GW570" s="205"/>
      <c r="GX570" s="205"/>
      <c r="GY570" s="205"/>
      <c r="GZ570" s="205"/>
      <c r="HA570" s="205"/>
      <c r="HB570" s="205"/>
      <c r="HC570" s="205"/>
      <c r="HD570" s="205"/>
      <c r="HE570" s="205"/>
      <c r="HF570" s="205"/>
      <c r="HG570" s="205"/>
      <c r="HH570" s="205"/>
      <c r="HI570" s="205"/>
      <c r="HJ570" s="205"/>
      <c r="HK570" s="205"/>
      <c r="HL570" s="205"/>
      <c r="HM570" s="205"/>
      <c r="HN570" s="205"/>
      <c r="HO570" s="205"/>
      <c r="HP570" s="205"/>
      <c r="HQ570" s="205"/>
      <c r="HR570" s="205"/>
      <c r="HS570" s="205"/>
      <c r="HT570" s="205"/>
      <c r="HU570" s="205"/>
      <c r="HV570" s="205"/>
      <c r="HW570" s="205"/>
      <c r="HX570" s="205"/>
      <c r="HY570" s="205"/>
      <c r="HZ570" s="205"/>
      <c r="IA570" s="205"/>
      <c r="IB570" s="205"/>
      <c r="IC570" s="205"/>
      <c r="ID570" s="205"/>
      <c r="IE570" s="205"/>
      <c r="IF570" s="205"/>
      <c r="IG570" s="205"/>
      <c r="IH570" s="205"/>
      <c r="II570" s="205"/>
      <c r="IJ570" s="205"/>
      <c r="IK570" s="205"/>
      <c r="IL570" s="205"/>
      <c r="IM570" s="205"/>
      <c r="IN570" s="205"/>
      <c r="IO570" s="205"/>
      <c r="IP570" s="205"/>
      <c r="IQ570" s="205"/>
      <c r="IR570" s="205"/>
      <c r="IS570" s="205"/>
      <c r="IT570" s="205"/>
      <c r="IU570" s="205"/>
      <c r="IV570" s="205"/>
      <c r="IW570" s="205"/>
      <c r="IX570" s="205"/>
    </row>
    <row r="571" spans="1:258" s="196" customFormat="1" ht="18" x14ac:dyDescent="0.25">
      <c r="A571" s="205"/>
      <c r="B571" s="704"/>
      <c r="C571" s="709"/>
      <c r="D571" s="706"/>
      <c r="E571" s="706"/>
      <c r="F571" s="706"/>
      <c r="G571" s="711"/>
      <c r="H571" s="694"/>
      <c r="I571" s="694"/>
      <c r="J571" s="694"/>
      <c r="K571" s="694"/>
      <c r="L571" s="694"/>
      <c r="M571" s="694"/>
      <c r="N571" s="694"/>
      <c r="O571" s="694"/>
      <c r="P571" s="694"/>
      <c r="Q571" s="694"/>
      <c r="R571" s="204"/>
      <c r="S571" s="708"/>
      <c r="T571" s="714"/>
      <c r="U571" s="205"/>
      <c r="V571" s="662"/>
      <c r="W571" s="205"/>
      <c r="X571" s="205"/>
      <c r="Y571" s="205"/>
      <c r="Z571" s="205"/>
      <c r="AA571" s="205"/>
      <c r="AB571" s="205"/>
      <c r="AC571" s="205"/>
      <c r="AD571" s="205"/>
      <c r="AE571" s="205"/>
      <c r="AF571" s="205"/>
      <c r="AG571" s="205"/>
      <c r="AH571" s="205"/>
      <c r="AI571" s="205"/>
      <c r="AJ571" s="205"/>
      <c r="AK571" s="205"/>
      <c r="AL571" s="205"/>
      <c r="AM571" s="205"/>
      <c r="AN571" s="205"/>
      <c r="AO571" s="205"/>
      <c r="AP571" s="205"/>
      <c r="AQ571" s="205"/>
      <c r="AR571" s="205"/>
      <c r="AS571" s="205"/>
      <c r="AT571" s="205"/>
      <c r="AU571" s="205"/>
      <c r="AV571" s="205"/>
      <c r="AW571" s="205"/>
      <c r="AX571" s="205"/>
      <c r="AY571" s="205"/>
      <c r="AZ571" s="205"/>
      <c r="BA571" s="205"/>
      <c r="BB571" s="205"/>
      <c r="BC571" s="205"/>
      <c r="BD571" s="205"/>
      <c r="BE571" s="205"/>
      <c r="BF571" s="205"/>
      <c r="BG571" s="205"/>
      <c r="BH571" s="205"/>
      <c r="BI571" s="205"/>
      <c r="BJ571" s="205"/>
      <c r="BK571" s="205"/>
      <c r="BL571" s="205"/>
      <c r="BM571" s="205"/>
      <c r="BN571" s="205"/>
      <c r="BO571" s="205"/>
      <c r="BP571" s="205"/>
      <c r="BQ571" s="205"/>
      <c r="BR571" s="205"/>
      <c r="BS571" s="205"/>
      <c r="BT571" s="205"/>
      <c r="BU571" s="205"/>
      <c r="BV571" s="205"/>
      <c r="BW571" s="205"/>
      <c r="BX571" s="205"/>
      <c r="BY571" s="205"/>
      <c r="BZ571" s="205"/>
      <c r="CA571" s="205"/>
      <c r="CB571" s="205"/>
      <c r="CC571" s="205"/>
      <c r="CD571" s="205"/>
      <c r="CE571" s="205"/>
      <c r="CF571" s="205"/>
      <c r="CG571" s="205"/>
      <c r="CH571" s="205"/>
      <c r="CI571" s="205"/>
      <c r="CJ571" s="205"/>
      <c r="CK571" s="205"/>
      <c r="CL571" s="205"/>
      <c r="CM571" s="205"/>
      <c r="CN571" s="205"/>
      <c r="CO571" s="205"/>
      <c r="CP571" s="205"/>
      <c r="CQ571" s="205"/>
      <c r="CR571" s="205"/>
      <c r="CS571" s="205"/>
      <c r="CT571" s="205"/>
      <c r="CU571" s="205"/>
      <c r="CV571" s="205"/>
      <c r="CW571" s="205"/>
      <c r="CX571" s="205"/>
      <c r="CY571" s="205"/>
      <c r="CZ571" s="205"/>
      <c r="DA571" s="205"/>
      <c r="DB571" s="205"/>
      <c r="DC571" s="205"/>
      <c r="DD571" s="205"/>
      <c r="DE571" s="205"/>
      <c r="DF571" s="205"/>
      <c r="DG571" s="205"/>
      <c r="DH571" s="205"/>
      <c r="DI571" s="205"/>
      <c r="DJ571" s="205"/>
      <c r="DK571" s="205"/>
      <c r="DL571" s="205"/>
      <c r="DM571" s="205"/>
      <c r="DN571" s="205"/>
      <c r="DO571" s="205"/>
      <c r="DP571" s="205"/>
      <c r="DQ571" s="205"/>
      <c r="DR571" s="205"/>
      <c r="DS571" s="205"/>
      <c r="DT571" s="205"/>
      <c r="DU571" s="205"/>
      <c r="DV571" s="205"/>
      <c r="DW571" s="205"/>
      <c r="DX571" s="205"/>
      <c r="DY571" s="205"/>
      <c r="DZ571" s="205"/>
      <c r="EA571" s="205"/>
      <c r="EB571" s="205"/>
      <c r="EC571" s="205"/>
      <c r="ED571" s="205"/>
      <c r="EE571" s="205"/>
      <c r="EF571" s="205"/>
      <c r="EG571" s="205"/>
      <c r="EH571" s="205"/>
      <c r="EI571" s="205"/>
      <c r="EJ571" s="205"/>
      <c r="EK571" s="205"/>
      <c r="EL571" s="205"/>
      <c r="EM571" s="205"/>
      <c r="EN571" s="205"/>
      <c r="EO571" s="205"/>
      <c r="EP571" s="205"/>
      <c r="EQ571" s="205"/>
      <c r="ER571" s="205"/>
      <c r="ES571" s="205"/>
      <c r="ET571" s="205"/>
      <c r="EU571" s="205"/>
      <c r="EV571" s="205"/>
      <c r="EW571" s="205"/>
      <c r="EX571" s="205"/>
      <c r="EY571" s="205"/>
      <c r="EZ571" s="205"/>
      <c r="FA571" s="205"/>
      <c r="FB571" s="205"/>
      <c r="FC571" s="205"/>
      <c r="FD571" s="205"/>
      <c r="FE571" s="205"/>
      <c r="FF571" s="205"/>
      <c r="FG571" s="205"/>
      <c r="FH571" s="205"/>
      <c r="FI571" s="205"/>
      <c r="FJ571" s="205"/>
      <c r="FK571" s="205"/>
      <c r="FL571" s="205"/>
      <c r="FM571" s="205"/>
      <c r="FN571" s="205"/>
      <c r="FO571" s="205"/>
      <c r="FP571" s="205"/>
      <c r="FQ571" s="205"/>
      <c r="FR571" s="205"/>
      <c r="FS571" s="205"/>
      <c r="FT571" s="205"/>
      <c r="FU571" s="205"/>
      <c r="FV571" s="205"/>
      <c r="FW571" s="205"/>
      <c r="FX571" s="205"/>
      <c r="FY571" s="205"/>
      <c r="FZ571" s="205"/>
      <c r="GA571" s="205"/>
      <c r="GB571" s="205"/>
      <c r="GC571" s="205"/>
      <c r="GD571" s="205"/>
      <c r="GE571" s="205"/>
      <c r="GF571" s="205"/>
      <c r="GG571" s="205"/>
      <c r="GH571" s="205"/>
      <c r="GI571" s="205"/>
      <c r="GJ571" s="205"/>
      <c r="GK571" s="205"/>
      <c r="GL571" s="205"/>
      <c r="GM571" s="205"/>
      <c r="GN571" s="205"/>
      <c r="GO571" s="205"/>
      <c r="GP571" s="205"/>
      <c r="GQ571" s="205"/>
      <c r="GR571" s="205"/>
      <c r="GS571" s="205"/>
      <c r="GT571" s="205"/>
      <c r="GU571" s="205"/>
      <c r="GV571" s="205"/>
      <c r="GW571" s="205"/>
      <c r="GX571" s="205"/>
      <c r="GY571" s="205"/>
      <c r="GZ571" s="205"/>
      <c r="HA571" s="205"/>
      <c r="HB571" s="205"/>
      <c r="HC571" s="205"/>
      <c r="HD571" s="205"/>
      <c r="HE571" s="205"/>
      <c r="HF571" s="205"/>
      <c r="HG571" s="205"/>
      <c r="HH571" s="205"/>
      <c r="HI571" s="205"/>
      <c r="HJ571" s="205"/>
      <c r="HK571" s="205"/>
      <c r="HL571" s="205"/>
      <c r="HM571" s="205"/>
      <c r="HN571" s="205"/>
      <c r="HO571" s="205"/>
      <c r="HP571" s="205"/>
      <c r="HQ571" s="205"/>
      <c r="HR571" s="205"/>
      <c r="HS571" s="205"/>
      <c r="HT571" s="205"/>
      <c r="HU571" s="205"/>
      <c r="HV571" s="205"/>
      <c r="HW571" s="205"/>
      <c r="HX571" s="205"/>
      <c r="HY571" s="205"/>
      <c r="HZ571" s="205"/>
      <c r="IA571" s="205"/>
      <c r="IB571" s="205"/>
      <c r="IC571" s="205"/>
      <c r="ID571" s="205"/>
      <c r="IE571" s="205"/>
      <c r="IF571" s="205"/>
      <c r="IG571" s="205"/>
      <c r="IH571" s="205"/>
      <c r="II571" s="205"/>
      <c r="IJ571" s="205"/>
      <c r="IK571" s="205"/>
      <c r="IL571" s="205"/>
      <c r="IM571" s="205"/>
      <c r="IN571" s="205"/>
      <c r="IO571" s="205"/>
      <c r="IP571" s="205"/>
      <c r="IQ571" s="205"/>
      <c r="IR571" s="205"/>
      <c r="IS571" s="205"/>
      <c r="IT571" s="205"/>
      <c r="IU571" s="205"/>
      <c r="IV571" s="205"/>
      <c r="IW571" s="205"/>
      <c r="IX571" s="205"/>
    </row>
    <row r="572" spans="1:258" s="196" customFormat="1" ht="18" x14ac:dyDescent="0.25">
      <c r="A572" s="205"/>
      <c r="B572" s="704"/>
      <c r="C572" s="709"/>
      <c r="D572" s="706"/>
      <c r="E572" s="706"/>
      <c r="F572" s="706"/>
      <c r="G572" s="711"/>
      <c r="H572" s="694"/>
      <c r="I572" s="694"/>
      <c r="J572" s="694"/>
      <c r="K572" s="694"/>
      <c r="L572" s="694"/>
      <c r="M572" s="694"/>
      <c r="N572" s="694"/>
      <c r="O572" s="694"/>
      <c r="P572" s="694"/>
      <c r="Q572" s="694"/>
      <c r="R572" s="204"/>
      <c r="S572" s="708"/>
      <c r="T572" s="714"/>
      <c r="U572" s="205"/>
      <c r="V572" s="662"/>
      <c r="W572" s="205"/>
      <c r="X572" s="205"/>
      <c r="Y572" s="205"/>
      <c r="Z572" s="205"/>
      <c r="AA572" s="205"/>
      <c r="AB572" s="205"/>
      <c r="AC572" s="205"/>
      <c r="AD572" s="205"/>
      <c r="AE572" s="205"/>
      <c r="AF572" s="205"/>
      <c r="AG572" s="205"/>
      <c r="AH572" s="205"/>
      <c r="AI572" s="205"/>
      <c r="AJ572" s="205"/>
      <c r="AK572" s="205"/>
      <c r="AL572" s="205"/>
      <c r="AM572" s="205"/>
      <c r="AN572" s="205"/>
      <c r="AO572" s="205"/>
      <c r="AP572" s="205"/>
      <c r="AQ572" s="205"/>
      <c r="AR572" s="205"/>
      <c r="AS572" s="205"/>
      <c r="AT572" s="205"/>
      <c r="AU572" s="205"/>
      <c r="AV572" s="205"/>
      <c r="AW572" s="205"/>
      <c r="AX572" s="205"/>
      <c r="AY572" s="205"/>
      <c r="AZ572" s="205"/>
      <c r="BA572" s="205"/>
      <c r="BB572" s="205"/>
      <c r="BC572" s="205"/>
      <c r="BD572" s="205"/>
      <c r="BE572" s="205"/>
      <c r="BF572" s="205"/>
      <c r="BG572" s="205"/>
      <c r="BH572" s="205"/>
      <c r="BI572" s="205"/>
      <c r="BJ572" s="205"/>
      <c r="BK572" s="205"/>
      <c r="BL572" s="205"/>
      <c r="BM572" s="205"/>
      <c r="BN572" s="205"/>
      <c r="BO572" s="205"/>
      <c r="BP572" s="205"/>
      <c r="BQ572" s="205"/>
      <c r="BR572" s="205"/>
      <c r="BS572" s="205"/>
      <c r="BT572" s="205"/>
      <c r="BU572" s="205"/>
      <c r="BV572" s="205"/>
      <c r="BW572" s="205"/>
      <c r="BX572" s="205"/>
      <c r="BY572" s="205"/>
      <c r="BZ572" s="205"/>
      <c r="CA572" s="205"/>
      <c r="CB572" s="205"/>
      <c r="CC572" s="205"/>
      <c r="CD572" s="205"/>
      <c r="CE572" s="205"/>
      <c r="CF572" s="205"/>
      <c r="CG572" s="205"/>
      <c r="CH572" s="205"/>
      <c r="CI572" s="205"/>
      <c r="CJ572" s="205"/>
      <c r="CK572" s="205"/>
      <c r="CL572" s="205"/>
      <c r="CM572" s="205"/>
      <c r="CN572" s="205"/>
      <c r="CO572" s="205"/>
      <c r="CP572" s="205"/>
      <c r="CQ572" s="205"/>
      <c r="CR572" s="205"/>
      <c r="CS572" s="205"/>
      <c r="CT572" s="205"/>
      <c r="CU572" s="205"/>
      <c r="CV572" s="205"/>
      <c r="CW572" s="205"/>
      <c r="CX572" s="205"/>
      <c r="CY572" s="205"/>
      <c r="CZ572" s="205"/>
      <c r="DA572" s="205"/>
      <c r="DB572" s="205"/>
      <c r="DC572" s="205"/>
      <c r="DD572" s="205"/>
      <c r="DE572" s="205"/>
      <c r="DF572" s="205"/>
      <c r="DG572" s="205"/>
      <c r="DH572" s="205"/>
      <c r="DI572" s="205"/>
      <c r="DJ572" s="205"/>
      <c r="DK572" s="205"/>
      <c r="DL572" s="205"/>
      <c r="DM572" s="205"/>
      <c r="DN572" s="205"/>
      <c r="DO572" s="205"/>
      <c r="DP572" s="205"/>
      <c r="DQ572" s="205"/>
      <c r="DR572" s="205"/>
      <c r="DS572" s="205"/>
      <c r="DT572" s="205"/>
      <c r="DU572" s="205"/>
      <c r="DV572" s="205"/>
      <c r="DW572" s="205"/>
      <c r="DX572" s="205"/>
      <c r="DY572" s="205"/>
      <c r="DZ572" s="205"/>
      <c r="EA572" s="205"/>
      <c r="EB572" s="205"/>
      <c r="EC572" s="205"/>
      <c r="ED572" s="205"/>
      <c r="EE572" s="205"/>
      <c r="EF572" s="205"/>
      <c r="EG572" s="205"/>
      <c r="EH572" s="205"/>
      <c r="EI572" s="205"/>
      <c r="EJ572" s="205"/>
      <c r="EK572" s="205"/>
      <c r="EL572" s="205"/>
      <c r="EM572" s="205"/>
      <c r="EN572" s="205"/>
      <c r="EO572" s="205"/>
      <c r="EP572" s="205"/>
      <c r="EQ572" s="205"/>
      <c r="ER572" s="205"/>
      <c r="ES572" s="205"/>
      <c r="ET572" s="205"/>
      <c r="EU572" s="205"/>
      <c r="EV572" s="205"/>
      <c r="EW572" s="205"/>
      <c r="EX572" s="205"/>
      <c r="EY572" s="205"/>
      <c r="EZ572" s="205"/>
      <c r="FA572" s="205"/>
      <c r="FB572" s="205"/>
      <c r="FC572" s="205"/>
      <c r="FD572" s="205"/>
      <c r="FE572" s="205"/>
      <c r="FF572" s="205"/>
      <c r="FG572" s="205"/>
      <c r="FH572" s="205"/>
      <c r="FI572" s="205"/>
      <c r="FJ572" s="205"/>
      <c r="FK572" s="205"/>
      <c r="FL572" s="205"/>
      <c r="FM572" s="205"/>
      <c r="FN572" s="205"/>
      <c r="FO572" s="205"/>
      <c r="FP572" s="205"/>
      <c r="FQ572" s="205"/>
      <c r="FR572" s="205"/>
      <c r="FS572" s="205"/>
      <c r="FT572" s="205"/>
      <c r="FU572" s="205"/>
      <c r="FV572" s="205"/>
      <c r="FW572" s="205"/>
      <c r="FX572" s="205"/>
      <c r="FY572" s="205"/>
      <c r="FZ572" s="205"/>
      <c r="GA572" s="205"/>
      <c r="GB572" s="205"/>
      <c r="GC572" s="205"/>
      <c r="GD572" s="205"/>
      <c r="GE572" s="205"/>
      <c r="GF572" s="205"/>
      <c r="GG572" s="205"/>
      <c r="GH572" s="205"/>
      <c r="GI572" s="205"/>
      <c r="GJ572" s="205"/>
      <c r="GK572" s="205"/>
      <c r="GL572" s="205"/>
      <c r="GM572" s="205"/>
      <c r="GN572" s="205"/>
      <c r="GO572" s="205"/>
      <c r="GP572" s="205"/>
      <c r="GQ572" s="205"/>
      <c r="GR572" s="205"/>
      <c r="GS572" s="205"/>
      <c r="GT572" s="205"/>
      <c r="GU572" s="205"/>
      <c r="GV572" s="205"/>
      <c r="GW572" s="205"/>
      <c r="GX572" s="205"/>
      <c r="GY572" s="205"/>
      <c r="GZ572" s="205"/>
      <c r="HA572" s="205"/>
      <c r="HB572" s="205"/>
      <c r="HC572" s="205"/>
      <c r="HD572" s="205"/>
      <c r="HE572" s="205"/>
      <c r="HF572" s="205"/>
      <c r="HG572" s="205"/>
      <c r="HH572" s="205"/>
      <c r="HI572" s="205"/>
      <c r="HJ572" s="205"/>
      <c r="HK572" s="205"/>
      <c r="HL572" s="205"/>
      <c r="HM572" s="205"/>
      <c r="HN572" s="205"/>
      <c r="HO572" s="205"/>
      <c r="HP572" s="205"/>
      <c r="HQ572" s="205"/>
      <c r="HR572" s="205"/>
      <c r="HS572" s="205"/>
      <c r="HT572" s="205"/>
      <c r="HU572" s="205"/>
      <c r="HV572" s="205"/>
      <c r="HW572" s="205"/>
      <c r="HX572" s="205"/>
      <c r="HY572" s="205"/>
      <c r="HZ572" s="205"/>
      <c r="IA572" s="205"/>
      <c r="IB572" s="205"/>
      <c r="IC572" s="205"/>
      <c r="ID572" s="205"/>
      <c r="IE572" s="205"/>
      <c r="IF572" s="205"/>
      <c r="IG572" s="205"/>
      <c r="IH572" s="205"/>
      <c r="II572" s="205"/>
      <c r="IJ572" s="205"/>
      <c r="IK572" s="205"/>
      <c r="IL572" s="205"/>
      <c r="IM572" s="205"/>
      <c r="IN572" s="205"/>
      <c r="IO572" s="205"/>
      <c r="IP572" s="205"/>
      <c r="IQ572" s="205"/>
      <c r="IR572" s="205"/>
      <c r="IS572" s="205"/>
      <c r="IT572" s="205"/>
      <c r="IU572" s="205"/>
      <c r="IV572" s="205"/>
      <c r="IW572" s="205"/>
      <c r="IX572" s="205"/>
    </row>
    <row r="573" spans="1:258" s="196" customFormat="1" ht="18" x14ac:dyDescent="0.25">
      <c r="A573" s="205"/>
      <c r="B573" s="704"/>
      <c r="C573" s="709"/>
      <c r="D573" s="706"/>
      <c r="E573" s="706"/>
      <c r="F573" s="706"/>
      <c r="G573" s="711"/>
      <c r="H573" s="694"/>
      <c r="I573" s="694"/>
      <c r="J573" s="694"/>
      <c r="K573" s="694"/>
      <c r="L573" s="694"/>
      <c r="M573" s="694"/>
      <c r="N573" s="694"/>
      <c r="O573" s="694"/>
      <c r="P573" s="694"/>
      <c r="Q573" s="694"/>
      <c r="R573" s="204"/>
      <c r="S573" s="708"/>
      <c r="T573" s="714"/>
      <c r="U573" s="205"/>
      <c r="V573" s="662"/>
      <c r="W573" s="205"/>
      <c r="X573" s="205"/>
      <c r="Y573" s="205"/>
      <c r="Z573" s="205"/>
      <c r="AA573" s="205"/>
      <c r="AB573" s="205"/>
      <c r="AC573" s="205"/>
      <c r="AD573" s="205"/>
      <c r="AE573" s="205"/>
      <c r="AF573" s="205"/>
      <c r="AG573" s="205"/>
      <c r="AH573" s="205"/>
      <c r="AI573" s="205"/>
      <c r="AJ573" s="205"/>
      <c r="AK573" s="205"/>
      <c r="AL573" s="205"/>
      <c r="AM573" s="205"/>
      <c r="AN573" s="205"/>
      <c r="AO573" s="205"/>
      <c r="AP573" s="205"/>
      <c r="AQ573" s="205"/>
      <c r="AR573" s="205"/>
      <c r="AS573" s="205"/>
      <c r="AT573" s="205"/>
      <c r="AU573" s="205"/>
      <c r="AV573" s="205"/>
      <c r="AW573" s="205"/>
      <c r="AX573" s="205"/>
      <c r="AY573" s="205"/>
      <c r="AZ573" s="205"/>
      <c r="BA573" s="205"/>
      <c r="BB573" s="205"/>
      <c r="BC573" s="205"/>
      <c r="BD573" s="205"/>
      <c r="BE573" s="205"/>
      <c r="BF573" s="205"/>
      <c r="BG573" s="205"/>
      <c r="BH573" s="205"/>
      <c r="BI573" s="205"/>
      <c r="BJ573" s="205"/>
      <c r="BK573" s="205"/>
      <c r="BL573" s="205"/>
      <c r="BM573" s="205"/>
      <c r="BN573" s="205"/>
      <c r="BO573" s="205"/>
      <c r="BP573" s="205"/>
      <c r="BQ573" s="205"/>
      <c r="BR573" s="205"/>
      <c r="BS573" s="205"/>
      <c r="BT573" s="205"/>
      <c r="BU573" s="205"/>
      <c r="BV573" s="205"/>
      <c r="BW573" s="205"/>
      <c r="BX573" s="205"/>
      <c r="BY573" s="205"/>
      <c r="BZ573" s="205"/>
      <c r="CA573" s="205"/>
      <c r="CB573" s="205"/>
      <c r="CC573" s="205"/>
      <c r="CD573" s="205"/>
      <c r="CE573" s="205"/>
      <c r="CF573" s="205"/>
      <c r="CG573" s="205"/>
      <c r="CH573" s="205"/>
      <c r="CI573" s="205"/>
      <c r="CJ573" s="205"/>
      <c r="CK573" s="205"/>
      <c r="CL573" s="205"/>
      <c r="CM573" s="205"/>
      <c r="CN573" s="205"/>
      <c r="CO573" s="205"/>
      <c r="CP573" s="205"/>
      <c r="CQ573" s="205"/>
      <c r="CR573" s="205"/>
      <c r="CS573" s="205"/>
      <c r="CT573" s="205"/>
      <c r="CU573" s="205"/>
      <c r="CV573" s="205"/>
      <c r="CW573" s="205"/>
      <c r="CX573" s="205"/>
      <c r="CY573" s="205"/>
      <c r="CZ573" s="205"/>
      <c r="DA573" s="205"/>
      <c r="DB573" s="205"/>
      <c r="DC573" s="205"/>
      <c r="DD573" s="205"/>
      <c r="DE573" s="205"/>
      <c r="DF573" s="205"/>
      <c r="DG573" s="205"/>
      <c r="DH573" s="205"/>
      <c r="DI573" s="205"/>
      <c r="DJ573" s="205"/>
      <c r="DK573" s="205"/>
      <c r="DL573" s="205"/>
      <c r="DM573" s="205"/>
      <c r="DN573" s="205"/>
      <c r="DO573" s="205"/>
      <c r="DP573" s="205"/>
      <c r="DQ573" s="205"/>
      <c r="DR573" s="205"/>
      <c r="DS573" s="205"/>
      <c r="DT573" s="205"/>
      <c r="DU573" s="205"/>
      <c r="DV573" s="205"/>
      <c r="DW573" s="205"/>
      <c r="DX573" s="205"/>
      <c r="DY573" s="205"/>
      <c r="DZ573" s="205"/>
      <c r="EA573" s="205"/>
      <c r="EB573" s="205"/>
      <c r="EC573" s="205"/>
      <c r="ED573" s="205"/>
      <c r="EE573" s="205"/>
      <c r="EF573" s="205"/>
      <c r="EG573" s="205"/>
      <c r="EH573" s="205"/>
      <c r="EI573" s="205"/>
      <c r="EJ573" s="205"/>
      <c r="EK573" s="205"/>
      <c r="EL573" s="205"/>
      <c r="EM573" s="205"/>
      <c r="EN573" s="205"/>
      <c r="EO573" s="205"/>
      <c r="EP573" s="205"/>
      <c r="EQ573" s="205"/>
      <c r="ER573" s="205"/>
      <c r="ES573" s="205"/>
      <c r="ET573" s="205"/>
      <c r="EU573" s="205"/>
      <c r="EV573" s="205"/>
      <c r="EW573" s="205"/>
      <c r="EX573" s="205"/>
      <c r="EY573" s="205"/>
      <c r="EZ573" s="205"/>
      <c r="FA573" s="205"/>
      <c r="FB573" s="205"/>
      <c r="FC573" s="205"/>
      <c r="FD573" s="205"/>
      <c r="FE573" s="205"/>
      <c r="FF573" s="205"/>
      <c r="FG573" s="205"/>
      <c r="FH573" s="205"/>
      <c r="FI573" s="205"/>
      <c r="FJ573" s="205"/>
      <c r="FK573" s="205"/>
      <c r="FL573" s="205"/>
      <c r="FM573" s="205"/>
      <c r="FN573" s="205"/>
      <c r="FO573" s="205"/>
      <c r="FP573" s="205"/>
      <c r="FQ573" s="205"/>
      <c r="FR573" s="205"/>
      <c r="FS573" s="205"/>
      <c r="FT573" s="205"/>
      <c r="FU573" s="205"/>
      <c r="FV573" s="205"/>
      <c r="FW573" s="205"/>
      <c r="FX573" s="205"/>
      <c r="FY573" s="205"/>
      <c r="FZ573" s="205"/>
      <c r="GA573" s="205"/>
      <c r="GB573" s="205"/>
      <c r="GC573" s="205"/>
      <c r="GD573" s="205"/>
      <c r="GE573" s="205"/>
      <c r="GF573" s="205"/>
      <c r="GG573" s="205"/>
      <c r="GH573" s="205"/>
      <c r="GI573" s="205"/>
      <c r="GJ573" s="205"/>
      <c r="GK573" s="205"/>
      <c r="GL573" s="205"/>
      <c r="GM573" s="205"/>
      <c r="GN573" s="205"/>
      <c r="GO573" s="205"/>
      <c r="GP573" s="205"/>
      <c r="GQ573" s="205"/>
      <c r="GR573" s="205"/>
      <c r="GS573" s="205"/>
      <c r="GT573" s="205"/>
      <c r="GU573" s="205"/>
      <c r="GV573" s="205"/>
      <c r="GW573" s="205"/>
      <c r="GX573" s="205"/>
      <c r="GY573" s="205"/>
      <c r="GZ573" s="205"/>
      <c r="HA573" s="205"/>
      <c r="HB573" s="205"/>
      <c r="HC573" s="205"/>
      <c r="HD573" s="205"/>
      <c r="HE573" s="205"/>
      <c r="HF573" s="205"/>
      <c r="HG573" s="205"/>
      <c r="HH573" s="205"/>
      <c r="HI573" s="205"/>
      <c r="HJ573" s="205"/>
      <c r="HK573" s="205"/>
      <c r="HL573" s="205"/>
      <c r="HM573" s="205"/>
      <c r="HN573" s="205"/>
      <c r="HO573" s="205"/>
      <c r="HP573" s="205"/>
      <c r="HQ573" s="205"/>
      <c r="HR573" s="205"/>
      <c r="HS573" s="205"/>
      <c r="HT573" s="205"/>
      <c r="HU573" s="205"/>
      <c r="HV573" s="205"/>
      <c r="HW573" s="205"/>
      <c r="HX573" s="205"/>
      <c r="HY573" s="205"/>
      <c r="HZ573" s="205"/>
      <c r="IA573" s="205"/>
      <c r="IB573" s="205"/>
      <c r="IC573" s="205"/>
      <c r="ID573" s="205"/>
      <c r="IE573" s="205"/>
      <c r="IF573" s="205"/>
      <c r="IG573" s="205"/>
      <c r="IH573" s="205"/>
      <c r="II573" s="205"/>
      <c r="IJ573" s="205"/>
      <c r="IK573" s="205"/>
      <c r="IL573" s="205"/>
      <c r="IM573" s="205"/>
      <c r="IN573" s="205"/>
      <c r="IO573" s="205"/>
      <c r="IP573" s="205"/>
      <c r="IQ573" s="205"/>
      <c r="IR573" s="205"/>
      <c r="IS573" s="205"/>
      <c r="IT573" s="205"/>
      <c r="IU573" s="205"/>
      <c r="IV573" s="205"/>
      <c r="IW573" s="205"/>
      <c r="IX573" s="205"/>
    </row>
    <row r="574" spans="1:258" s="196" customFormat="1" ht="18" x14ac:dyDescent="0.25">
      <c r="A574" s="205"/>
      <c r="B574" s="704"/>
      <c r="C574" s="709"/>
      <c r="D574" s="706"/>
      <c r="E574" s="706"/>
      <c r="F574" s="706"/>
      <c r="G574" s="711"/>
      <c r="H574" s="694"/>
      <c r="I574" s="694"/>
      <c r="J574" s="694"/>
      <c r="K574" s="694"/>
      <c r="L574" s="694"/>
      <c r="M574" s="694"/>
      <c r="N574" s="694"/>
      <c r="O574" s="694"/>
      <c r="P574" s="694"/>
      <c r="Q574" s="694"/>
      <c r="R574" s="204"/>
      <c r="S574" s="708"/>
      <c r="T574" s="714"/>
      <c r="U574" s="205"/>
      <c r="V574" s="662"/>
      <c r="W574" s="205"/>
      <c r="X574" s="205"/>
      <c r="Y574" s="205"/>
      <c r="Z574" s="205"/>
      <c r="AA574" s="205"/>
      <c r="AB574" s="205"/>
      <c r="AC574" s="205"/>
      <c r="AD574" s="205"/>
      <c r="AE574" s="205"/>
      <c r="AF574" s="205"/>
      <c r="AG574" s="205"/>
      <c r="AH574" s="205"/>
      <c r="AI574" s="205"/>
      <c r="AJ574" s="205"/>
      <c r="AK574" s="205"/>
      <c r="AL574" s="205"/>
      <c r="AM574" s="205"/>
      <c r="AN574" s="205"/>
      <c r="AO574" s="205"/>
      <c r="AP574" s="205"/>
      <c r="AQ574" s="205"/>
      <c r="AR574" s="205"/>
      <c r="AS574" s="205"/>
      <c r="AT574" s="205"/>
      <c r="AU574" s="205"/>
      <c r="AV574" s="205"/>
      <c r="AW574" s="205"/>
      <c r="AX574" s="205"/>
      <c r="AY574" s="205"/>
      <c r="AZ574" s="205"/>
      <c r="BA574" s="205"/>
      <c r="BB574" s="205"/>
      <c r="BC574" s="205"/>
      <c r="BD574" s="205"/>
      <c r="BE574" s="205"/>
      <c r="BF574" s="205"/>
      <c r="BG574" s="205"/>
      <c r="BH574" s="205"/>
      <c r="BI574" s="205"/>
      <c r="BJ574" s="205"/>
      <c r="BK574" s="205"/>
      <c r="BL574" s="205"/>
      <c r="BM574" s="205"/>
      <c r="BN574" s="205"/>
      <c r="BO574" s="205"/>
      <c r="BP574" s="205"/>
      <c r="BQ574" s="205"/>
      <c r="BR574" s="205"/>
      <c r="BS574" s="205"/>
      <c r="BT574" s="205"/>
      <c r="BU574" s="205"/>
      <c r="BV574" s="205"/>
      <c r="BW574" s="205"/>
      <c r="BX574" s="205"/>
      <c r="BY574" s="205"/>
      <c r="BZ574" s="205"/>
      <c r="CA574" s="205"/>
      <c r="CB574" s="205"/>
      <c r="CC574" s="205"/>
      <c r="CD574" s="205"/>
      <c r="CE574" s="205"/>
      <c r="CF574" s="205"/>
      <c r="CG574" s="205"/>
      <c r="CH574" s="205"/>
      <c r="CI574" s="205"/>
      <c r="CJ574" s="205"/>
      <c r="CK574" s="205"/>
      <c r="CL574" s="205"/>
      <c r="CM574" s="205"/>
      <c r="CN574" s="205"/>
      <c r="CO574" s="205"/>
      <c r="CP574" s="205"/>
      <c r="CQ574" s="205"/>
      <c r="CR574" s="205"/>
      <c r="CS574" s="205"/>
      <c r="CT574" s="205"/>
      <c r="CU574" s="205"/>
      <c r="CV574" s="205"/>
      <c r="CW574" s="205"/>
      <c r="CX574" s="205"/>
      <c r="CY574" s="205"/>
      <c r="CZ574" s="205"/>
      <c r="DA574" s="205"/>
      <c r="DB574" s="205"/>
      <c r="DC574" s="205"/>
      <c r="DD574" s="205"/>
      <c r="DE574" s="205"/>
      <c r="DF574" s="205"/>
      <c r="DG574" s="205"/>
      <c r="DH574" s="205"/>
      <c r="DI574" s="205"/>
      <c r="DJ574" s="205"/>
      <c r="DK574" s="205"/>
      <c r="DL574" s="205"/>
      <c r="DM574" s="205"/>
      <c r="DN574" s="205"/>
      <c r="DO574" s="205"/>
      <c r="DP574" s="205"/>
      <c r="DQ574" s="205"/>
      <c r="DR574" s="205"/>
      <c r="DS574" s="205"/>
      <c r="DT574" s="205"/>
      <c r="DU574" s="205"/>
      <c r="DV574" s="205"/>
      <c r="DW574" s="205"/>
      <c r="DX574" s="205"/>
      <c r="DY574" s="205"/>
      <c r="DZ574" s="205"/>
      <c r="EA574" s="205"/>
      <c r="EB574" s="205"/>
      <c r="EC574" s="205"/>
      <c r="ED574" s="205"/>
      <c r="EE574" s="205"/>
      <c r="EF574" s="205"/>
      <c r="EG574" s="205"/>
      <c r="EH574" s="205"/>
      <c r="EI574" s="205"/>
      <c r="EJ574" s="205"/>
      <c r="EK574" s="205"/>
      <c r="EL574" s="205"/>
      <c r="EM574" s="205"/>
      <c r="EN574" s="205"/>
      <c r="EO574" s="205"/>
      <c r="EP574" s="205"/>
      <c r="EQ574" s="205"/>
      <c r="ER574" s="205"/>
      <c r="ES574" s="205"/>
      <c r="ET574" s="205"/>
      <c r="EU574" s="205"/>
      <c r="EV574" s="205"/>
      <c r="EW574" s="205"/>
      <c r="EX574" s="205"/>
      <c r="EY574" s="205"/>
      <c r="EZ574" s="205"/>
      <c r="FA574" s="205"/>
      <c r="FB574" s="205"/>
      <c r="FC574" s="205"/>
      <c r="FD574" s="205"/>
      <c r="FE574" s="205"/>
      <c r="FF574" s="205"/>
      <c r="FG574" s="205"/>
      <c r="FH574" s="205"/>
      <c r="FI574" s="205"/>
      <c r="FJ574" s="205"/>
      <c r="FK574" s="205"/>
      <c r="FL574" s="205"/>
      <c r="FM574" s="205"/>
      <c r="FN574" s="205"/>
      <c r="FO574" s="205"/>
      <c r="FP574" s="205"/>
      <c r="FQ574" s="205"/>
      <c r="FR574" s="205"/>
      <c r="FS574" s="205"/>
      <c r="FT574" s="205"/>
      <c r="FU574" s="205"/>
      <c r="FV574" s="205"/>
      <c r="FW574" s="205"/>
      <c r="FX574" s="205"/>
      <c r="FY574" s="205"/>
      <c r="FZ574" s="205"/>
      <c r="GA574" s="205"/>
      <c r="GB574" s="205"/>
      <c r="GC574" s="205"/>
      <c r="GD574" s="205"/>
      <c r="GE574" s="205"/>
      <c r="GF574" s="205"/>
      <c r="GG574" s="205"/>
      <c r="GH574" s="205"/>
      <c r="GI574" s="205"/>
      <c r="GJ574" s="205"/>
      <c r="GK574" s="205"/>
      <c r="GL574" s="205"/>
      <c r="GM574" s="205"/>
      <c r="GN574" s="205"/>
      <c r="GO574" s="205"/>
      <c r="GP574" s="205"/>
      <c r="GQ574" s="205"/>
      <c r="GR574" s="205"/>
      <c r="GS574" s="205"/>
      <c r="GT574" s="205"/>
      <c r="GU574" s="205"/>
      <c r="GV574" s="205"/>
      <c r="GW574" s="205"/>
      <c r="GX574" s="205"/>
      <c r="GY574" s="205"/>
      <c r="GZ574" s="205"/>
      <c r="HA574" s="205"/>
      <c r="HB574" s="205"/>
      <c r="HC574" s="205"/>
      <c r="HD574" s="205"/>
      <c r="HE574" s="205"/>
      <c r="HF574" s="205"/>
      <c r="HG574" s="205"/>
      <c r="HH574" s="205"/>
      <c r="HI574" s="205"/>
      <c r="HJ574" s="205"/>
      <c r="HK574" s="205"/>
      <c r="HL574" s="205"/>
      <c r="HM574" s="205"/>
      <c r="HN574" s="205"/>
      <c r="HO574" s="205"/>
      <c r="HP574" s="205"/>
      <c r="HQ574" s="205"/>
      <c r="HR574" s="205"/>
      <c r="HS574" s="205"/>
      <c r="HT574" s="205"/>
      <c r="HU574" s="205"/>
      <c r="HV574" s="205"/>
      <c r="HW574" s="205"/>
      <c r="HX574" s="205"/>
      <c r="HY574" s="205"/>
      <c r="HZ574" s="205"/>
      <c r="IA574" s="205"/>
      <c r="IB574" s="205"/>
      <c r="IC574" s="205"/>
      <c r="ID574" s="205"/>
      <c r="IE574" s="205"/>
      <c r="IF574" s="205"/>
      <c r="IG574" s="205"/>
      <c r="IH574" s="205"/>
      <c r="II574" s="205"/>
      <c r="IJ574" s="205"/>
      <c r="IK574" s="205"/>
      <c r="IL574" s="205"/>
      <c r="IM574" s="205"/>
      <c r="IN574" s="205"/>
      <c r="IO574" s="205"/>
      <c r="IP574" s="205"/>
      <c r="IQ574" s="205"/>
      <c r="IR574" s="205"/>
      <c r="IS574" s="205"/>
      <c r="IT574" s="205"/>
      <c r="IU574" s="205"/>
      <c r="IV574" s="205"/>
      <c r="IW574" s="205"/>
      <c r="IX574" s="205"/>
    </row>
    <row r="575" spans="1:258" s="196" customFormat="1" ht="18" x14ac:dyDescent="0.25">
      <c r="A575" s="205"/>
      <c r="B575" s="704"/>
      <c r="C575" s="709"/>
      <c r="D575" s="706"/>
      <c r="E575" s="706"/>
      <c r="F575" s="706"/>
      <c r="G575" s="711"/>
      <c r="H575" s="694"/>
      <c r="I575" s="694"/>
      <c r="J575" s="694"/>
      <c r="K575" s="694"/>
      <c r="L575" s="694"/>
      <c r="M575" s="694"/>
      <c r="N575" s="694"/>
      <c r="O575" s="694"/>
      <c r="P575" s="694"/>
      <c r="Q575" s="694"/>
      <c r="R575" s="204"/>
      <c r="S575" s="708"/>
      <c r="T575" s="714"/>
      <c r="U575" s="205"/>
      <c r="V575" s="662"/>
      <c r="W575" s="205"/>
      <c r="X575" s="205"/>
      <c r="Y575" s="205"/>
      <c r="Z575" s="205"/>
      <c r="AA575" s="205"/>
      <c r="AB575" s="205"/>
      <c r="AC575" s="205"/>
      <c r="AD575" s="205"/>
      <c r="AE575" s="205"/>
      <c r="AF575" s="205"/>
      <c r="AG575" s="205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05"/>
      <c r="BN575" s="205"/>
      <c r="BO575" s="205"/>
      <c r="BP575" s="205"/>
      <c r="BQ575" s="205"/>
      <c r="BR575" s="205"/>
      <c r="BS575" s="205"/>
      <c r="BT575" s="205"/>
      <c r="BU575" s="205"/>
      <c r="BV575" s="205"/>
      <c r="BW575" s="205"/>
      <c r="BX575" s="205"/>
      <c r="BY575" s="205"/>
      <c r="BZ575" s="205"/>
      <c r="CA575" s="205"/>
      <c r="CB575" s="205"/>
      <c r="CC575" s="205"/>
      <c r="CD575" s="205"/>
      <c r="CE575" s="205"/>
      <c r="CF575" s="205"/>
      <c r="CG575" s="205"/>
      <c r="CH575" s="205"/>
      <c r="CI575" s="205"/>
      <c r="CJ575" s="205"/>
      <c r="CK575" s="205"/>
      <c r="CL575" s="205"/>
      <c r="CM575" s="205"/>
      <c r="CN575" s="205"/>
      <c r="CO575" s="205"/>
      <c r="CP575" s="205"/>
      <c r="CQ575" s="205"/>
      <c r="CR575" s="205"/>
      <c r="CS575" s="205"/>
      <c r="CT575" s="205"/>
      <c r="CU575" s="205"/>
      <c r="CV575" s="205"/>
      <c r="CW575" s="205"/>
      <c r="CX575" s="205"/>
      <c r="CY575" s="205"/>
      <c r="CZ575" s="205"/>
      <c r="DA575" s="205"/>
      <c r="DB575" s="205"/>
      <c r="DC575" s="205"/>
      <c r="DD575" s="205"/>
      <c r="DE575" s="205"/>
      <c r="DF575" s="205"/>
      <c r="DG575" s="205"/>
      <c r="DH575" s="205"/>
      <c r="DI575" s="205"/>
      <c r="DJ575" s="205"/>
      <c r="DK575" s="205"/>
      <c r="DL575" s="205"/>
      <c r="DM575" s="205"/>
      <c r="DN575" s="205"/>
      <c r="DO575" s="205"/>
      <c r="DP575" s="205"/>
      <c r="DQ575" s="205"/>
      <c r="DR575" s="205"/>
      <c r="DS575" s="205"/>
      <c r="DT575" s="205"/>
      <c r="DU575" s="205"/>
      <c r="DV575" s="205"/>
      <c r="DW575" s="205"/>
      <c r="DX575" s="205"/>
      <c r="DY575" s="205"/>
      <c r="DZ575" s="205"/>
      <c r="EA575" s="205"/>
      <c r="EB575" s="205"/>
      <c r="EC575" s="205"/>
      <c r="ED575" s="205"/>
      <c r="EE575" s="205"/>
      <c r="EF575" s="205"/>
      <c r="EG575" s="205"/>
      <c r="EH575" s="205"/>
      <c r="EI575" s="205"/>
      <c r="EJ575" s="205"/>
      <c r="EK575" s="205"/>
      <c r="EL575" s="205"/>
      <c r="EM575" s="205"/>
      <c r="EN575" s="205"/>
      <c r="EO575" s="205"/>
      <c r="EP575" s="205"/>
      <c r="EQ575" s="205"/>
      <c r="ER575" s="205"/>
      <c r="ES575" s="205"/>
      <c r="ET575" s="205"/>
      <c r="EU575" s="205"/>
      <c r="EV575" s="205"/>
      <c r="EW575" s="205"/>
      <c r="EX575" s="205"/>
      <c r="EY575" s="205"/>
      <c r="EZ575" s="205"/>
      <c r="FA575" s="205"/>
      <c r="FB575" s="205"/>
      <c r="FC575" s="205"/>
      <c r="FD575" s="205"/>
      <c r="FE575" s="205"/>
      <c r="FF575" s="205"/>
      <c r="FG575" s="205"/>
      <c r="FH575" s="205"/>
      <c r="FI575" s="205"/>
      <c r="FJ575" s="205"/>
      <c r="FK575" s="205"/>
      <c r="FL575" s="205"/>
      <c r="FM575" s="205"/>
      <c r="FN575" s="205"/>
      <c r="FO575" s="205"/>
      <c r="FP575" s="205"/>
      <c r="FQ575" s="205"/>
      <c r="FR575" s="205"/>
      <c r="FS575" s="205"/>
      <c r="FT575" s="205"/>
      <c r="FU575" s="205"/>
      <c r="FV575" s="205"/>
      <c r="FW575" s="205"/>
      <c r="FX575" s="205"/>
      <c r="FY575" s="205"/>
      <c r="FZ575" s="205"/>
      <c r="GA575" s="205"/>
      <c r="GB575" s="205"/>
      <c r="GC575" s="205"/>
      <c r="GD575" s="205"/>
      <c r="GE575" s="205"/>
      <c r="GF575" s="205"/>
      <c r="GG575" s="205"/>
      <c r="GH575" s="205"/>
      <c r="GI575" s="205"/>
      <c r="GJ575" s="205"/>
      <c r="GK575" s="205"/>
      <c r="GL575" s="205"/>
      <c r="GM575" s="205"/>
      <c r="GN575" s="205"/>
      <c r="GO575" s="205"/>
      <c r="GP575" s="205"/>
      <c r="GQ575" s="205"/>
      <c r="GR575" s="205"/>
      <c r="GS575" s="205"/>
      <c r="GT575" s="205"/>
      <c r="GU575" s="205"/>
      <c r="GV575" s="205"/>
      <c r="GW575" s="205"/>
      <c r="GX575" s="205"/>
      <c r="GY575" s="205"/>
      <c r="GZ575" s="205"/>
      <c r="HA575" s="205"/>
      <c r="HB575" s="205"/>
      <c r="HC575" s="205"/>
      <c r="HD575" s="205"/>
      <c r="HE575" s="205"/>
      <c r="HF575" s="205"/>
      <c r="HG575" s="205"/>
      <c r="HH575" s="205"/>
      <c r="HI575" s="205"/>
      <c r="HJ575" s="205"/>
      <c r="HK575" s="205"/>
      <c r="HL575" s="205"/>
      <c r="HM575" s="205"/>
      <c r="HN575" s="205"/>
      <c r="HO575" s="205"/>
      <c r="HP575" s="205"/>
      <c r="HQ575" s="205"/>
      <c r="HR575" s="205"/>
      <c r="HS575" s="205"/>
      <c r="HT575" s="205"/>
      <c r="HU575" s="205"/>
      <c r="HV575" s="205"/>
      <c r="HW575" s="205"/>
      <c r="HX575" s="205"/>
      <c r="HY575" s="205"/>
      <c r="HZ575" s="205"/>
      <c r="IA575" s="205"/>
      <c r="IB575" s="205"/>
      <c r="IC575" s="205"/>
      <c r="ID575" s="205"/>
      <c r="IE575" s="205"/>
      <c r="IF575" s="205"/>
      <c r="IG575" s="205"/>
      <c r="IH575" s="205"/>
      <c r="II575" s="205"/>
      <c r="IJ575" s="205"/>
      <c r="IK575" s="205"/>
      <c r="IL575" s="205"/>
      <c r="IM575" s="205"/>
      <c r="IN575" s="205"/>
      <c r="IO575" s="205"/>
      <c r="IP575" s="205"/>
      <c r="IQ575" s="205"/>
      <c r="IR575" s="205"/>
      <c r="IS575" s="205"/>
      <c r="IT575" s="205"/>
      <c r="IU575" s="205"/>
      <c r="IV575" s="205"/>
      <c r="IW575" s="205"/>
      <c r="IX575" s="205"/>
    </row>
    <row r="576" spans="1:258" s="196" customFormat="1" ht="18" x14ac:dyDescent="0.25">
      <c r="A576" s="205"/>
      <c r="B576" s="704"/>
      <c r="C576" s="709"/>
      <c r="D576" s="706"/>
      <c r="E576" s="706"/>
      <c r="F576" s="706"/>
      <c r="G576" s="711"/>
      <c r="H576" s="694"/>
      <c r="I576" s="694"/>
      <c r="J576" s="694"/>
      <c r="K576" s="694"/>
      <c r="L576" s="694"/>
      <c r="M576" s="694"/>
      <c r="N576" s="694"/>
      <c r="O576" s="694"/>
      <c r="P576" s="694"/>
      <c r="Q576" s="694"/>
      <c r="R576" s="204"/>
      <c r="S576" s="708"/>
      <c r="T576" s="714"/>
      <c r="U576" s="205"/>
      <c r="V576" s="662"/>
      <c r="W576" s="205"/>
      <c r="X576" s="205"/>
      <c r="Y576" s="205"/>
      <c r="Z576" s="205"/>
      <c r="AA576" s="205"/>
      <c r="AB576" s="205"/>
      <c r="AC576" s="205"/>
      <c r="AD576" s="205"/>
      <c r="AE576" s="205"/>
      <c r="AF576" s="205"/>
      <c r="AG576" s="205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205"/>
      <c r="BN576" s="205"/>
      <c r="BO576" s="205"/>
      <c r="BP576" s="205"/>
      <c r="BQ576" s="205"/>
      <c r="BR576" s="205"/>
      <c r="BS576" s="205"/>
      <c r="BT576" s="205"/>
      <c r="BU576" s="205"/>
      <c r="BV576" s="205"/>
      <c r="BW576" s="205"/>
      <c r="BX576" s="205"/>
      <c r="BY576" s="205"/>
      <c r="BZ576" s="205"/>
      <c r="CA576" s="205"/>
      <c r="CB576" s="205"/>
      <c r="CC576" s="205"/>
      <c r="CD576" s="205"/>
      <c r="CE576" s="205"/>
      <c r="CF576" s="205"/>
      <c r="CG576" s="205"/>
      <c r="CH576" s="205"/>
      <c r="CI576" s="205"/>
      <c r="CJ576" s="205"/>
      <c r="CK576" s="205"/>
      <c r="CL576" s="205"/>
      <c r="CM576" s="205"/>
      <c r="CN576" s="205"/>
      <c r="CO576" s="205"/>
      <c r="CP576" s="205"/>
      <c r="CQ576" s="205"/>
      <c r="CR576" s="205"/>
      <c r="CS576" s="205"/>
      <c r="CT576" s="205"/>
      <c r="CU576" s="205"/>
      <c r="CV576" s="205"/>
      <c r="CW576" s="205"/>
      <c r="CX576" s="205"/>
      <c r="CY576" s="205"/>
      <c r="CZ576" s="205"/>
      <c r="DA576" s="205"/>
      <c r="DB576" s="205"/>
      <c r="DC576" s="205"/>
      <c r="DD576" s="205"/>
      <c r="DE576" s="205"/>
      <c r="DF576" s="205"/>
      <c r="DG576" s="205"/>
      <c r="DH576" s="205"/>
      <c r="DI576" s="205"/>
      <c r="DJ576" s="205"/>
      <c r="DK576" s="205"/>
      <c r="DL576" s="205"/>
      <c r="DM576" s="205"/>
      <c r="DN576" s="205"/>
      <c r="DO576" s="205"/>
      <c r="DP576" s="205"/>
      <c r="DQ576" s="205"/>
      <c r="DR576" s="205"/>
      <c r="DS576" s="205"/>
      <c r="DT576" s="205"/>
      <c r="DU576" s="205"/>
      <c r="DV576" s="205"/>
      <c r="DW576" s="205"/>
      <c r="DX576" s="205"/>
      <c r="DY576" s="205"/>
      <c r="DZ576" s="205"/>
      <c r="EA576" s="205"/>
      <c r="EB576" s="205"/>
      <c r="EC576" s="205"/>
      <c r="ED576" s="205"/>
      <c r="EE576" s="205"/>
      <c r="EF576" s="205"/>
      <c r="EG576" s="205"/>
      <c r="EH576" s="205"/>
      <c r="EI576" s="205"/>
      <c r="EJ576" s="205"/>
      <c r="EK576" s="205"/>
      <c r="EL576" s="205"/>
      <c r="EM576" s="205"/>
      <c r="EN576" s="205"/>
      <c r="EO576" s="205"/>
      <c r="EP576" s="205"/>
      <c r="EQ576" s="205"/>
      <c r="ER576" s="205"/>
      <c r="ES576" s="205"/>
      <c r="ET576" s="205"/>
      <c r="EU576" s="205"/>
      <c r="EV576" s="205"/>
      <c r="EW576" s="205"/>
      <c r="EX576" s="205"/>
      <c r="EY576" s="205"/>
      <c r="EZ576" s="205"/>
      <c r="FA576" s="205"/>
      <c r="FB576" s="205"/>
      <c r="FC576" s="205"/>
      <c r="FD576" s="205"/>
      <c r="FE576" s="205"/>
      <c r="FF576" s="205"/>
      <c r="FG576" s="205"/>
      <c r="FH576" s="205"/>
      <c r="FI576" s="205"/>
      <c r="FJ576" s="205"/>
      <c r="FK576" s="205"/>
      <c r="FL576" s="205"/>
      <c r="FM576" s="205"/>
      <c r="FN576" s="205"/>
      <c r="FO576" s="205"/>
      <c r="FP576" s="205"/>
      <c r="FQ576" s="205"/>
      <c r="FR576" s="205"/>
      <c r="FS576" s="205"/>
      <c r="FT576" s="205"/>
      <c r="FU576" s="205"/>
      <c r="FV576" s="205"/>
      <c r="FW576" s="205"/>
      <c r="FX576" s="205"/>
      <c r="FY576" s="205"/>
      <c r="FZ576" s="205"/>
      <c r="GA576" s="205"/>
      <c r="GB576" s="205"/>
      <c r="GC576" s="205"/>
      <c r="GD576" s="205"/>
      <c r="GE576" s="205"/>
      <c r="GF576" s="205"/>
      <c r="GG576" s="205"/>
      <c r="GH576" s="205"/>
      <c r="GI576" s="205"/>
      <c r="GJ576" s="205"/>
      <c r="GK576" s="205"/>
      <c r="GL576" s="205"/>
      <c r="GM576" s="205"/>
      <c r="GN576" s="205"/>
      <c r="GO576" s="205"/>
      <c r="GP576" s="205"/>
      <c r="GQ576" s="205"/>
      <c r="GR576" s="205"/>
      <c r="GS576" s="205"/>
      <c r="GT576" s="205"/>
      <c r="GU576" s="205"/>
      <c r="GV576" s="205"/>
      <c r="GW576" s="205"/>
      <c r="GX576" s="205"/>
      <c r="GY576" s="205"/>
      <c r="GZ576" s="205"/>
      <c r="HA576" s="205"/>
      <c r="HB576" s="205"/>
      <c r="HC576" s="205"/>
      <c r="HD576" s="205"/>
      <c r="HE576" s="205"/>
      <c r="HF576" s="205"/>
      <c r="HG576" s="205"/>
      <c r="HH576" s="205"/>
      <c r="HI576" s="205"/>
      <c r="HJ576" s="205"/>
      <c r="HK576" s="205"/>
      <c r="HL576" s="205"/>
      <c r="HM576" s="205"/>
      <c r="HN576" s="205"/>
      <c r="HO576" s="205"/>
      <c r="HP576" s="205"/>
      <c r="HQ576" s="205"/>
      <c r="HR576" s="205"/>
      <c r="HS576" s="205"/>
      <c r="HT576" s="205"/>
      <c r="HU576" s="205"/>
      <c r="HV576" s="205"/>
      <c r="HW576" s="205"/>
      <c r="HX576" s="205"/>
      <c r="HY576" s="205"/>
      <c r="HZ576" s="205"/>
      <c r="IA576" s="205"/>
      <c r="IB576" s="205"/>
      <c r="IC576" s="205"/>
      <c r="ID576" s="205"/>
      <c r="IE576" s="205"/>
      <c r="IF576" s="205"/>
      <c r="IG576" s="205"/>
      <c r="IH576" s="205"/>
      <c r="II576" s="205"/>
      <c r="IJ576" s="205"/>
      <c r="IK576" s="205"/>
      <c r="IL576" s="205"/>
      <c r="IM576" s="205"/>
      <c r="IN576" s="205"/>
      <c r="IO576" s="205"/>
      <c r="IP576" s="205"/>
      <c r="IQ576" s="205"/>
      <c r="IR576" s="205"/>
      <c r="IS576" s="205"/>
      <c r="IT576" s="205"/>
      <c r="IU576" s="205"/>
      <c r="IV576" s="205"/>
      <c r="IW576" s="205"/>
      <c r="IX576" s="205"/>
    </row>
    <row r="577" spans="1:258" s="196" customFormat="1" ht="18" x14ac:dyDescent="0.25">
      <c r="A577" s="205"/>
      <c r="B577" s="704"/>
      <c r="C577" s="709"/>
      <c r="D577" s="706"/>
      <c r="E577" s="706"/>
      <c r="F577" s="706"/>
      <c r="G577" s="711"/>
      <c r="H577" s="694"/>
      <c r="I577" s="694"/>
      <c r="J577" s="694"/>
      <c r="K577" s="694"/>
      <c r="L577" s="694"/>
      <c r="M577" s="694"/>
      <c r="N577" s="694"/>
      <c r="O577" s="694"/>
      <c r="P577" s="694"/>
      <c r="Q577" s="694"/>
      <c r="R577" s="204"/>
      <c r="S577" s="708"/>
      <c r="T577" s="714"/>
      <c r="U577" s="205"/>
      <c r="V577" s="662"/>
      <c r="W577" s="205"/>
      <c r="X577" s="205"/>
      <c r="Y577" s="205"/>
      <c r="Z577" s="205"/>
      <c r="AA577" s="205"/>
      <c r="AB577" s="205"/>
      <c r="AC577" s="205"/>
      <c r="AD577" s="205"/>
      <c r="AE577" s="205"/>
      <c r="AF577" s="205"/>
      <c r="AG577" s="205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205"/>
      <c r="BN577" s="205"/>
      <c r="BO577" s="205"/>
      <c r="BP577" s="205"/>
      <c r="BQ577" s="205"/>
      <c r="BR577" s="205"/>
      <c r="BS577" s="205"/>
      <c r="BT577" s="205"/>
      <c r="BU577" s="205"/>
      <c r="BV577" s="205"/>
      <c r="BW577" s="205"/>
      <c r="BX577" s="205"/>
      <c r="BY577" s="205"/>
      <c r="BZ577" s="205"/>
      <c r="CA577" s="205"/>
      <c r="CB577" s="205"/>
      <c r="CC577" s="205"/>
      <c r="CD577" s="205"/>
      <c r="CE577" s="205"/>
      <c r="CF577" s="205"/>
      <c r="CG577" s="205"/>
      <c r="CH577" s="205"/>
      <c r="CI577" s="205"/>
      <c r="CJ577" s="205"/>
      <c r="CK577" s="205"/>
      <c r="CL577" s="205"/>
      <c r="CM577" s="205"/>
      <c r="CN577" s="205"/>
      <c r="CO577" s="205"/>
      <c r="CP577" s="205"/>
      <c r="CQ577" s="205"/>
      <c r="CR577" s="205"/>
      <c r="CS577" s="205"/>
      <c r="CT577" s="205"/>
      <c r="CU577" s="205"/>
      <c r="CV577" s="205"/>
      <c r="CW577" s="205"/>
      <c r="CX577" s="205"/>
      <c r="CY577" s="205"/>
      <c r="CZ577" s="205"/>
      <c r="DA577" s="205"/>
      <c r="DB577" s="205"/>
      <c r="DC577" s="205"/>
      <c r="DD577" s="205"/>
      <c r="DE577" s="205"/>
      <c r="DF577" s="205"/>
      <c r="DG577" s="205"/>
      <c r="DH577" s="205"/>
      <c r="DI577" s="205"/>
      <c r="DJ577" s="205"/>
      <c r="DK577" s="205"/>
      <c r="DL577" s="205"/>
      <c r="DM577" s="205"/>
      <c r="DN577" s="205"/>
      <c r="DO577" s="205"/>
      <c r="DP577" s="205"/>
      <c r="DQ577" s="205"/>
      <c r="DR577" s="205"/>
      <c r="DS577" s="205"/>
      <c r="DT577" s="205"/>
      <c r="DU577" s="205"/>
      <c r="DV577" s="205"/>
      <c r="DW577" s="205"/>
      <c r="DX577" s="205"/>
      <c r="DY577" s="205"/>
      <c r="DZ577" s="205"/>
      <c r="EA577" s="205"/>
      <c r="EB577" s="205"/>
      <c r="EC577" s="205"/>
      <c r="ED577" s="205"/>
      <c r="EE577" s="205"/>
      <c r="EF577" s="205"/>
      <c r="EG577" s="205"/>
      <c r="EH577" s="205"/>
      <c r="EI577" s="205"/>
      <c r="EJ577" s="205"/>
      <c r="EK577" s="205"/>
      <c r="EL577" s="205"/>
      <c r="EM577" s="205"/>
      <c r="EN577" s="205"/>
      <c r="EO577" s="205"/>
      <c r="EP577" s="205"/>
      <c r="EQ577" s="205"/>
      <c r="ER577" s="205"/>
      <c r="ES577" s="205"/>
      <c r="ET577" s="205"/>
      <c r="EU577" s="205"/>
      <c r="EV577" s="205"/>
      <c r="EW577" s="205"/>
      <c r="EX577" s="205"/>
      <c r="EY577" s="205"/>
      <c r="EZ577" s="205"/>
      <c r="FA577" s="205"/>
      <c r="FB577" s="205"/>
      <c r="FC577" s="205"/>
      <c r="FD577" s="205"/>
      <c r="FE577" s="205"/>
      <c r="FF577" s="205"/>
      <c r="FG577" s="205"/>
      <c r="FH577" s="205"/>
      <c r="FI577" s="205"/>
      <c r="FJ577" s="205"/>
      <c r="FK577" s="205"/>
      <c r="FL577" s="205"/>
      <c r="FM577" s="205"/>
      <c r="FN577" s="205"/>
      <c r="FO577" s="205"/>
      <c r="FP577" s="205"/>
      <c r="FQ577" s="205"/>
      <c r="FR577" s="205"/>
      <c r="FS577" s="205"/>
      <c r="FT577" s="205"/>
      <c r="FU577" s="205"/>
      <c r="FV577" s="205"/>
      <c r="FW577" s="205"/>
      <c r="FX577" s="205"/>
      <c r="FY577" s="205"/>
      <c r="FZ577" s="205"/>
      <c r="GA577" s="205"/>
      <c r="GB577" s="205"/>
      <c r="GC577" s="205"/>
      <c r="GD577" s="205"/>
      <c r="GE577" s="205"/>
      <c r="GF577" s="205"/>
      <c r="GG577" s="205"/>
      <c r="GH577" s="205"/>
      <c r="GI577" s="205"/>
      <c r="GJ577" s="205"/>
      <c r="GK577" s="205"/>
      <c r="GL577" s="205"/>
      <c r="GM577" s="205"/>
      <c r="GN577" s="205"/>
      <c r="GO577" s="205"/>
      <c r="GP577" s="205"/>
      <c r="GQ577" s="205"/>
      <c r="GR577" s="205"/>
      <c r="GS577" s="205"/>
      <c r="GT577" s="205"/>
      <c r="GU577" s="205"/>
      <c r="GV577" s="205"/>
      <c r="GW577" s="205"/>
      <c r="GX577" s="205"/>
      <c r="GY577" s="205"/>
      <c r="GZ577" s="205"/>
      <c r="HA577" s="205"/>
      <c r="HB577" s="205"/>
      <c r="HC577" s="205"/>
      <c r="HD577" s="205"/>
      <c r="HE577" s="205"/>
      <c r="HF577" s="205"/>
      <c r="HG577" s="205"/>
      <c r="HH577" s="205"/>
      <c r="HI577" s="205"/>
      <c r="HJ577" s="205"/>
      <c r="HK577" s="205"/>
      <c r="HL577" s="205"/>
      <c r="HM577" s="205"/>
      <c r="HN577" s="205"/>
      <c r="HO577" s="205"/>
      <c r="HP577" s="205"/>
      <c r="HQ577" s="205"/>
      <c r="HR577" s="205"/>
      <c r="HS577" s="205"/>
      <c r="HT577" s="205"/>
      <c r="HU577" s="205"/>
      <c r="HV577" s="205"/>
      <c r="HW577" s="205"/>
      <c r="HX577" s="205"/>
      <c r="HY577" s="205"/>
      <c r="HZ577" s="205"/>
      <c r="IA577" s="205"/>
      <c r="IB577" s="205"/>
      <c r="IC577" s="205"/>
      <c r="ID577" s="205"/>
      <c r="IE577" s="205"/>
      <c r="IF577" s="205"/>
      <c r="IG577" s="205"/>
      <c r="IH577" s="205"/>
      <c r="II577" s="205"/>
      <c r="IJ577" s="205"/>
      <c r="IK577" s="205"/>
      <c r="IL577" s="205"/>
      <c r="IM577" s="205"/>
      <c r="IN577" s="205"/>
      <c r="IO577" s="205"/>
      <c r="IP577" s="205"/>
      <c r="IQ577" s="205"/>
      <c r="IR577" s="205"/>
      <c r="IS577" s="205"/>
      <c r="IT577" s="205"/>
      <c r="IU577" s="205"/>
      <c r="IV577" s="205"/>
      <c r="IW577" s="205"/>
      <c r="IX577" s="205"/>
    </row>
    <row r="578" spans="1:258" s="196" customFormat="1" ht="18" x14ac:dyDescent="0.25">
      <c r="A578" s="205"/>
      <c r="B578" s="704"/>
      <c r="C578" s="709"/>
      <c r="D578" s="706"/>
      <c r="E578" s="706"/>
      <c r="F578" s="706"/>
      <c r="G578" s="711"/>
      <c r="H578" s="694"/>
      <c r="I578" s="694"/>
      <c r="J578" s="694"/>
      <c r="K578" s="694"/>
      <c r="L578" s="694"/>
      <c r="M578" s="694"/>
      <c r="N578" s="694"/>
      <c r="O578" s="694"/>
      <c r="P578" s="694"/>
      <c r="Q578" s="694"/>
      <c r="R578" s="204"/>
      <c r="S578" s="708"/>
      <c r="T578" s="714"/>
      <c r="U578" s="205"/>
      <c r="V578" s="662"/>
      <c r="W578" s="205"/>
      <c r="X578" s="205"/>
      <c r="Y578" s="205"/>
      <c r="Z578" s="205"/>
      <c r="AA578" s="205"/>
      <c r="AB578" s="205"/>
      <c r="AC578" s="205"/>
      <c r="AD578" s="205"/>
      <c r="AE578" s="205"/>
      <c r="AF578" s="205"/>
      <c r="AG578" s="205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205"/>
      <c r="BN578" s="205"/>
      <c r="BO578" s="205"/>
      <c r="BP578" s="205"/>
      <c r="BQ578" s="205"/>
      <c r="BR578" s="205"/>
      <c r="BS578" s="205"/>
      <c r="BT578" s="205"/>
      <c r="BU578" s="205"/>
      <c r="BV578" s="205"/>
      <c r="BW578" s="205"/>
      <c r="BX578" s="205"/>
      <c r="BY578" s="205"/>
      <c r="BZ578" s="205"/>
      <c r="CA578" s="205"/>
      <c r="CB578" s="205"/>
      <c r="CC578" s="205"/>
      <c r="CD578" s="205"/>
      <c r="CE578" s="205"/>
      <c r="CF578" s="205"/>
      <c r="CG578" s="205"/>
      <c r="CH578" s="205"/>
      <c r="CI578" s="205"/>
      <c r="CJ578" s="205"/>
      <c r="CK578" s="205"/>
      <c r="CL578" s="205"/>
      <c r="CM578" s="205"/>
      <c r="CN578" s="205"/>
      <c r="CO578" s="205"/>
      <c r="CP578" s="205"/>
      <c r="CQ578" s="205"/>
      <c r="CR578" s="205"/>
      <c r="CS578" s="205"/>
      <c r="CT578" s="205"/>
      <c r="CU578" s="205"/>
      <c r="CV578" s="205"/>
      <c r="CW578" s="205"/>
      <c r="CX578" s="205"/>
      <c r="CY578" s="205"/>
      <c r="CZ578" s="205"/>
      <c r="DA578" s="205"/>
      <c r="DB578" s="205"/>
      <c r="DC578" s="205"/>
      <c r="DD578" s="205"/>
      <c r="DE578" s="205"/>
      <c r="DF578" s="205"/>
      <c r="DG578" s="205"/>
      <c r="DH578" s="205"/>
      <c r="DI578" s="205"/>
      <c r="DJ578" s="205"/>
      <c r="DK578" s="205"/>
      <c r="DL578" s="205"/>
      <c r="DM578" s="205"/>
      <c r="DN578" s="205"/>
      <c r="DO578" s="205"/>
      <c r="DP578" s="205"/>
      <c r="DQ578" s="205"/>
      <c r="DR578" s="205"/>
      <c r="DS578" s="205"/>
      <c r="DT578" s="205"/>
      <c r="DU578" s="205"/>
      <c r="DV578" s="205"/>
      <c r="DW578" s="205"/>
      <c r="DX578" s="205"/>
      <c r="DY578" s="205"/>
      <c r="DZ578" s="205"/>
      <c r="EA578" s="205"/>
      <c r="EB578" s="205"/>
      <c r="EC578" s="205"/>
      <c r="ED578" s="205"/>
      <c r="EE578" s="205"/>
      <c r="EF578" s="205"/>
      <c r="EG578" s="205"/>
      <c r="EH578" s="205"/>
      <c r="EI578" s="205"/>
      <c r="EJ578" s="205"/>
      <c r="EK578" s="205"/>
      <c r="EL578" s="205"/>
      <c r="EM578" s="205"/>
      <c r="EN578" s="205"/>
      <c r="EO578" s="205"/>
      <c r="EP578" s="205"/>
      <c r="EQ578" s="205"/>
      <c r="ER578" s="205"/>
      <c r="ES578" s="205"/>
      <c r="ET578" s="205"/>
      <c r="EU578" s="205"/>
      <c r="EV578" s="205"/>
      <c r="EW578" s="205"/>
      <c r="EX578" s="205"/>
      <c r="EY578" s="205"/>
      <c r="EZ578" s="205"/>
      <c r="FA578" s="205"/>
      <c r="FB578" s="205"/>
      <c r="FC578" s="205"/>
      <c r="FD578" s="205"/>
      <c r="FE578" s="205"/>
      <c r="FF578" s="205"/>
      <c r="FG578" s="205"/>
      <c r="FH578" s="205"/>
      <c r="FI578" s="205"/>
      <c r="FJ578" s="205"/>
      <c r="FK578" s="205"/>
      <c r="FL578" s="205"/>
      <c r="FM578" s="205"/>
      <c r="FN578" s="205"/>
      <c r="FO578" s="205"/>
      <c r="FP578" s="205"/>
      <c r="FQ578" s="205"/>
      <c r="FR578" s="205"/>
      <c r="FS578" s="205"/>
      <c r="FT578" s="205"/>
      <c r="FU578" s="205"/>
      <c r="FV578" s="205"/>
      <c r="FW578" s="205"/>
      <c r="FX578" s="205"/>
      <c r="FY578" s="205"/>
      <c r="FZ578" s="205"/>
      <c r="GA578" s="205"/>
      <c r="GB578" s="205"/>
      <c r="GC578" s="205"/>
      <c r="GD578" s="205"/>
      <c r="GE578" s="205"/>
      <c r="GF578" s="205"/>
      <c r="GG578" s="205"/>
      <c r="GH578" s="205"/>
      <c r="GI578" s="205"/>
      <c r="GJ578" s="205"/>
      <c r="GK578" s="205"/>
      <c r="GL578" s="205"/>
      <c r="GM578" s="205"/>
      <c r="GN578" s="205"/>
      <c r="GO578" s="205"/>
      <c r="GP578" s="205"/>
      <c r="GQ578" s="205"/>
      <c r="GR578" s="205"/>
      <c r="GS578" s="205"/>
      <c r="GT578" s="205"/>
      <c r="GU578" s="205"/>
      <c r="GV578" s="205"/>
      <c r="GW578" s="205"/>
      <c r="GX578" s="205"/>
      <c r="GY578" s="205"/>
      <c r="GZ578" s="205"/>
      <c r="HA578" s="205"/>
      <c r="HB578" s="205"/>
      <c r="HC578" s="205"/>
      <c r="HD578" s="205"/>
      <c r="HE578" s="205"/>
      <c r="HF578" s="205"/>
      <c r="HG578" s="205"/>
      <c r="HH578" s="205"/>
      <c r="HI578" s="205"/>
      <c r="HJ578" s="205"/>
      <c r="HK578" s="205"/>
      <c r="HL578" s="205"/>
      <c r="HM578" s="205"/>
      <c r="HN578" s="205"/>
      <c r="HO578" s="205"/>
      <c r="HP578" s="205"/>
      <c r="HQ578" s="205"/>
      <c r="HR578" s="205"/>
      <c r="HS578" s="205"/>
      <c r="HT578" s="205"/>
      <c r="HU578" s="205"/>
      <c r="HV578" s="205"/>
      <c r="HW578" s="205"/>
      <c r="HX578" s="205"/>
      <c r="HY578" s="205"/>
      <c r="HZ578" s="205"/>
      <c r="IA578" s="205"/>
      <c r="IB578" s="205"/>
      <c r="IC578" s="205"/>
      <c r="ID578" s="205"/>
      <c r="IE578" s="205"/>
      <c r="IF578" s="205"/>
      <c r="IG578" s="205"/>
      <c r="IH578" s="205"/>
      <c r="II578" s="205"/>
      <c r="IJ578" s="205"/>
      <c r="IK578" s="205"/>
      <c r="IL578" s="205"/>
      <c r="IM578" s="205"/>
      <c r="IN578" s="205"/>
      <c r="IO578" s="205"/>
      <c r="IP578" s="205"/>
      <c r="IQ578" s="205"/>
      <c r="IR578" s="205"/>
      <c r="IS578" s="205"/>
      <c r="IT578" s="205"/>
      <c r="IU578" s="205"/>
      <c r="IV578" s="205"/>
      <c r="IW578" s="205"/>
      <c r="IX578" s="205"/>
    </row>
    <row r="579" spans="1:258" s="196" customFormat="1" ht="18" x14ac:dyDescent="0.25">
      <c r="A579" s="205"/>
      <c r="B579" s="704"/>
      <c r="C579" s="709"/>
      <c r="D579" s="706"/>
      <c r="E579" s="706"/>
      <c r="F579" s="706"/>
      <c r="G579" s="711"/>
      <c r="H579" s="694"/>
      <c r="I579" s="694"/>
      <c r="J579" s="694"/>
      <c r="K579" s="694"/>
      <c r="L579" s="694"/>
      <c r="M579" s="694"/>
      <c r="N579" s="694"/>
      <c r="O579" s="694"/>
      <c r="P579" s="694"/>
      <c r="Q579" s="694"/>
      <c r="R579" s="204"/>
      <c r="S579" s="708"/>
      <c r="T579" s="714"/>
      <c r="U579" s="205"/>
      <c r="V579" s="662"/>
      <c r="W579" s="205"/>
      <c r="X579" s="205"/>
      <c r="Y579" s="205"/>
      <c r="Z579" s="205"/>
      <c r="AA579" s="205"/>
      <c r="AB579" s="205"/>
      <c r="AC579" s="205"/>
      <c r="AD579" s="205"/>
      <c r="AE579" s="205"/>
      <c r="AF579" s="205"/>
      <c r="AG579" s="205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205"/>
      <c r="BN579" s="205"/>
      <c r="BO579" s="205"/>
      <c r="BP579" s="205"/>
      <c r="BQ579" s="205"/>
      <c r="BR579" s="205"/>
      <c r="BS579" s="205"/>
      <c r="BT579" s="205"/>
      <c r="BU579" s="205"/>
      <c r="BV579" s="205"/>
      <c r="BW579" s="205"/>
      <c r="BX579" s="205"/>
      <c r="BY579" s="205"/>
      <c r="BZ579" s="205"/>
      <c r="CA579" s="205"/>
      <c r="CB579" s="205"/>
      <c r="CC579" s="205"/>
      <c r="CD579" s="205"/>
      <c r="CE579" s="205"/>
      <c r="CF579" s="205"/>
      <c r="CG579" s="205"/>
      <c r="CH579" s="205"/>
      <c r="CI579" s="205"/>
      <c r="CJ579" s="205"/>
      <c r="CK579" s="205"/>
      <c r="CL579" s="205"/>
      <c r="CM579" s="205"/>
      <c r="CN579" s="205"/>
      <c r="CO579" s="205"/>
      <c r="CP579" s="205"/>
      <c r="CQ579" s="205"/>
      <c r="CR579" s="205"/>
      <c r="CS579" s="205"/>
      <c r="CT579" s="205"/>
      <c r="CU579" s="205"/>
      <c r="CV579" s="205"/>
      <c r="CW579" s="205"/>
      <c r="CX579" s="205"/>
      <c r="CY579" s="205"/>
      <c r="CZ579" s="205"/>
      <c r="DA579" s="205"/>
      <c r="DB579" s="205"/>
      <c r="DC579" s="205"/>
      <c r="DD579" s="205"/>
      <c r="DE579" s="205"/>
      <c r="DF579" s="205"/>
      <c r="DG579" s="205"/>
      <c r="DH579" s="205"/>
      <c r="DI579" s="205"/>
      <c r="DJ579" s="205"/>
      <c r="DK579" s="205"/>
      <c r="DL579" s="205"/>
      <c r="DM579" s="205"/>
      <c r="DN579" s="205"/>
      <c r="DO579" s="205"/>
      <c r="DP579" s="205"/>
      <c r="DQ579" s="205"/>
      <c r="DR579" s="205"/>
      <c r="DS579" s="205"/>
      <c r="DT579" s="205"/>
      <c r="DU579" s="205"/>
      <c r="DV579" s="205"/>
      <c r="DW579" s="205"/>
      <c r="DX579" s="205"/>
      <c r="DY579" s="205"/>
      <c r="DZ579" s="205"/>
      <c r="EA579" s="205"/>
      <c r="EB579" s="205"/>
      <c r="EC579" s="205"/>
      <c r="ED579" s="205"/>
      <c r="EE579" s="205"/>
      <c r="EF579" s="205"/>
      <c r="EG579" s="205"/>
      <c r="EH579" s="205"/>
      <c r="EI579" s="205"/>
      <c r="EJ579" s="205"/>
      <c r="EK579" s="205"/>
      <c r="EL579" s="205"/>
      <c r="EM579" s="205"/>
      <c r="EN579" s="205"/>
      <c r="EO579" s="205"/>
      <c r="EP579" s="205"/>
      <c r="EQ579" s="205"/>
      <c r="ER579" s="205"/>
      <c r="ES579" s="205"/>
      <c r="ET579" s="205"/>
      <c r="EU579" s="205"/>
      <c r="EV579" s="205"/>
      <c r="EW579" s="205"/>
      <c r="EX579" s="205"/>
      <c r="EY579" s="205"/>
      <c r="EZ579" s="205"/>
      <c r="FA579" s="205"/>
      <c r="FB579" s="205"/>
      <c r="FC579" s="205"/>
      <c r="FD579" s="205"/>
      <c r="FE579" s="205"/>
      <c r="FF579" s="205"/>
      <c r="FG579" s="205"/>
      <c r="FH579" s="205"/>
      <c r="FI579" s="205"/>
      <c r="FJ579" s="205"/>
      <c r="FK579" s="205"/>
      <c r="FL579" s="205"/>
      <c r="FM579" s="205"/>
      <c r="FN579" s="205"/>
      <c r="FO579" s="205"/>
      <c r="FP579" s="205"/>
      <c r="FQ579" s="205"/>
      <c r="FR579" s="205"/>
      <c r="FS579" s="205"/>
      <c r="FT579" s="205"/>
      <c r="FU579" s="205"/>
      <c r="FV579" s="205"/>
      <c r="FW579" s="205"/>
      <c r="FX579" s="205"/>
      <c r="FY579" s="205"/>
      <c r="FZ579" s="205"/>
      <c r="GA579" s="205"/>
      <c r="GB579" s="205"/>
      <c r="GC579" s="205"/>
      <c r="GD579" s="205"/>
      <c r="GE579" s="205"/>
      <c r="GF579" s="205"/>
      <c r="GG579" s="205"/>
      <c r="GH579" s="205"/>
      <c r="GI579" s="205"/>
      <c r="GJ579" s="205"/>
      <c r="GK579" s="205"/>
      <c r="GL579" s="205"/>
      <c r="GM579" s="205"/>
      <c r="GN579" s="205"/>
      <c r="GO579" s="205"/>
      <c r="GP579" s="205"/>
      <c r="GQ579" s="205"/>
      <c r="GR579" s="205"/>
      <c r="GS579" s="205"/>
      <c r="GT579" s="205"/>
      <c r="GU579" s="205"/>
      <c r="GV579" s="205"/>
      <c r="GW579" s="205"/>
      <c r="GX579" s="205"/>
      <c r="GY579" s="205"/>
      <c r="GZ579" s="205"/>
      <c r="HA579" s="205"/>
      <c r="HB579" s="205"/>
      <c r="HC579" s="205"/>
      <c r="HD579" s="205"/>
      <c r="HE579" s="205"/>
      <c r="HF579" s="205"/>
      <c r="HG579" s="205"/>
      <c r="HH579" s="205"/>
      <c r="HI579" s="205"/>
      <c r="HJ579" s="205"/>
      <c r="HK579" s="205"/>
      <c r="HL579" s="205"/>
      <c r="HM579" s="205"/>
      <c r="HN579" s="205"/>
      <c r="HO579" s="205"/>
      <c r="HP579" s="205"/>
      <c r="HQ579" s="205"/>
      <c r="HR579" s="205"/>
      <c r="HS579" s="205"/>
      <c r="HT579" s="205"/>
      <c r="HU579" s="205"/>
      <c r="HV579" s="205"/>
      <c r="HW579" s="205"/>
      <c r="HX579" s="205"/>
      <c r="HY579" s="205"/>
      <c r="HZ579" s="205"/>
      <c r="IA579" s="205"/>
      <c r="IB579" s="205"/>
      <c r="IC579" s="205"/>
      <c r="ID579" s="205"/>
      <c r="IE579" s="205"/>
      <c r="IF579" s="205"/>
      <c r="IG579" s="205"/>
      <c r="IH579" s="205"/>
      <c r="II579" s="205"/>
      <c r="IJ579" s="205"/>
      <c r="IK579" s="205"/>
      <c r="IL579" s="205"/>
      <c r="IM579" s="205"/>
      <c r="IN579" s="205"/>
      <c r="IO579" s="205"/>
      <c r="IP579" s="205"/>
      <c r="IQ579" s="205"/>
      <c r="IR579" s="205"/>
      <c r="IS579" s="205"/>
      <c r="IT579" s="205"/>
      <c r="IU579" s="205"/>
      <c r="IV579" s="205"/>
      <c r="IW579" s="205"/>
      <c r="IX579" s="205"/>
    </row>
    <row r="580" spans="1:258" s="196" customFormat="1" ht="18" x14ac:dyDescent="0.25">
      <c r="A580" s="205"/>
      <c r="B580" s="704"/>
      <c r="C580" s="709"/>
      <c r="D580" s="706"/>
      <c r="E580" s="706"/>
      <c r="F580" s="706"/>
      <c r="G580" s="711"/>
      <c r="H580" s="694"/>
      <c r="I580" s="694"/>
      <c r="J580" s="694"/>
      <c r="K580" s="694"/>
      <c r="L580" s="694"/>
      <c r="M580" s="694"/>
      <c r="N580" s="694"/>
      <c r="O580" s="694"/>
      <c r="P580" s="694"/>
      <c r="Q580" s="694"/>
      <c r="R580" s="204"/>
      <c r="S580" s="708"/>
      <c r="T580" s="714"/>
      <c r="U580" s="205"/>
      <c r="V580" s="662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5"/>
      <c r="BN580" s="205"/>
      <c r="BO580" s="205"/>
      <c r="BP580" s="205"/>
      <c r="BQ580" s="205"/>
      <c r="BR580" s="205"/>
      <c r="BS580" s="205"/>
      <c r="BT580" s="205"/>
      <c r="BU580" s="205"/>
      <c r="BV580" s="205"/>
      <c r="BW580" s="205"/>
      <c r="BX580" s="205"/>
      <c r="BY580" s="205"/>
      <c r="BZ580" s="205"/>
      <c r="CA580" s="205"/>
      <c r="CB580" s="205"/>
      <c r="CC580" s="205"/>
      <c r="CD580" s="205"/>
      <c r="CE580" s="205"/>
      <c r="CF580" s="205"/>
      <c r="CG580" s="205"/>
      <c r="CH580" s="205"/>
      <c r="CI580" s="205"/>
      <c r="CJ580" s="205"/>
      <c r="CK580" s="205"/>
      <c r="CL580" s="205"/>
      <c r="CM580" s="205"/>
      <c r="CN580" s="205"/>
      <c r="CO580" s="205"/>
      <c r="CP580" s="205"/>
      <c r="CQ580" s="205"/>
      <c r="CR580" s="205"/>
      <c r="CS580" s="205"/>
      <c r="CT580" s="205"/>
      <c r="CU580" s="205"/>
      <c r="CV580" s="205"/>
      <c r="CW580" s="205"/>
      <c r="CX580" s="205"/>
      <c r="CY580" s="205"/>
      <c r="CZ580" s="205"/>
      <c r="DA580" s="205"/>
      <c r="DB580" s="205"/>
      <c r="DC580" s="205"/>
      <c r="DD580" s="205"/>
      <c r="DE580" s="205"/>
      <c r="DF580" s="205"/>
      <c r="DG580" s="205"/>
      <c r="DH580" s="205"/>
      <c r="DI580" s="205"/>
      <c r="DJ580" s="205"/>
      <c r="DK580" s="205"/>
      <c r="DL580" s="205"/>
      <c r="DM580" s="205"/>
      <c r="DN580" s="205"/>
      <c r="DO580" s="205"/>
      <c r="DP580" s="205"/>
      <c r="DQ580" s="205"/>
      <c r="DR580" s="205"/>
      <c r="DS580" s="205"/>
      <c r="DT580" s="205"/>
      <c r="DU580" s="205"/>
      <c r="DV580" s="205"/>
      <c r="DW580" s="205"/>
      <c r="DX580" s="205"/>
      <c r="DY580" s="205"/>
      <c r="DZ580" s="205"/>
      <c r="EA580" s="205"/>
      <c r="EB580" s="205"/>
      <c r="EC580" s="205"/>
      <c r="ED580" s="205"/>
      <c r="EE580" s="205"/>
      <c r="EF580" s="205"/>
      <c r="EG580" s="205"/>
      <c r="EH580" s="205"/>
      <c r="EI580" s="205"/>
      <c r="EJ580" s="205"/>
      <c r="EK580" s="205"/>
      <c r="EL580" s="205"/>
      <c r="EM580" s="205"/>
      <c r="EN580" s="205"/>
      <c r="EO580" s="205"/>
      <c r="EP580" s="205"/>
      <c r="EQ580" s="205"/>
      <c r="ER580" s="205"/>
      <c r="ES580" s="205"/>
      <c r="ET580" s="205"/>
      <c r="EU580" s="205"/>
      <c r="EV580" s="205"/>
      <c r="EW580" s="205"/>
      <c r="EX580" s="205"/>
      <c r="EY580" s="205"/>
      <c r="EZ580" s="205"/>
      <c r="FA580" s="205"/>
      <c r="FB580" s="205"/>
      <c r="FC580" s="205"/>
      <c r="FD580" s="205"/>
      <c r="FE580" s="205"/>
      <c r="FF580" s="205"/>
      <c r="FG580" s="205"/>
      <c r="FH580" s="205"/>
      <c r="FI580" s="205"/>
      <c r="FJ580" s="205"/>
      <c r="FK580" s="205"/>
      <c r="FL580" s="205"/>
      <c r="FM580" s="205"/>
      <c r="FN580" s="205"/>
      <c r="FO580" s="205"/>
      <c r="FP580" s="205"/>
      <c r="FQ580" s="205"/>
      <c r="FR580" s="205"/>
      <c r="FS580" s="205"/>
      <c r="FT580" s="205"/>
      <c r="FU580" s="205"/>
      <c r="FV580" s="205"/>
      <c r="FW580" s="205"/>
      <c r="FX580" s="205"/>
      <c r="FY580" s="205"/>
      <c r="FZ580" s="205"/>
      <c r="GA580" s="205"/>
      <c r="GB580" s="205"/>
      <c r="GC580" s="205"/>
      <c r="GD580" s="205"/>
      <c r="GE580" s="205"/>
      <c r="GF580" s="205"/>
      <c r="GG580" s="205"/>
      <c r="GH580" s="205"/>
      <c r="GI580" s="205"/>
      <c r="GJ580" s="205"/>
      <c r="GK580" s="205"/>
      <c r="GL580" s="205"/>
      <c r="GM580" s="205"/>
      <c r="GN580" s="205"/>
      <c r="GO580" s="205"/>
      <c r="GP580" s="205"/>
      <c r="GQ580" s="205"/>
      <c r="GR580" s="205"/>
      <c r="GS580" s="205"/>
      <c r="GT580" s="205"/>
      <c r="GU580" s="205"/>
      <c r="GV580" s="205"/>
      <c r="GW580" s="205"/>
      <c r="GX580" s="205"/>
      <c r="GY580" s="205"/>
      <c r="GZ580" s="205"/>
      <c r="HA580" s="205"/>
      <c r="HB580" s="205"/>
      <c r="HC580" s="205"/>
      <c r="HD580" s="205"/>
      <c r="HE580" s="205"/>
      <c r="HF580" s="205"/>
      <c r="HG580" s="205"/>
      <c r="HH580" s="205"/>
      <c r="HI580" s="205"/>
      <c r="HJ580" s="205"/>
      <c r="HK580" s="205"/>
      <c r="HL580" s="205"/>
      <c r="HM580" s="205"/>
      <c r="HN580" s="205"/>
      <c r="HO580" s="205"/>
      <c r="HP580" s="205"/>
      <c r="HQ580" s="205"/>
      <c r="HR580" s="205"/>
      <c r="HS580" s="205"/>
      <c r="HT580" s="205"/>
      <c r="HU580" s="205"/>
      <c r="HV580" s="205"/>
      <c r="HW580" s="205"/>
      <c r="HX580" s="205"/>
      <c r="HY580" s="205"/>
      <c r="HZ580" s="205"/>
      <c r="IA580" s="205"/>
      <c r="IB580" s="205"/>
      <c r="IC580" s="205"/>
      <c r="ID580" s="205"/>
      <c r="IE580" s="205"/>
      <c r="IF580" s="205"/>
      <c r="IG580" s="205"/>
      <c r="IH580" s="205"/>
      <c r="II580" s="205"/>
      <c r="IJ580" s="205"/>
      <c r="IK580" s="205"/>
      <c r="IL580" s="205"/>
      <c r="IM580" s="205"/>
      <c r="IN580" s="205"/>
      <c r="IO580" s="205"/>
      <c r="IP580" s="205"/>
      <c r="IQ580" s="205"/>
      <c r="IR580" s="205"/>
      <c r="IS580" s="205"/>
      <c r="IT580" s="205"/>
      <c r="IU580" s="205"/>
      <c r="IV580" s="205"/>
      <c r="IW580" s="205"/>
      <c r="IX580" s="205"/>
    </row>
    <row r="581" spans="1:258" s="196" customFormat="1" ht="18" x14ac:dyDescent="0.25">
      <c r="A581" s="205"/>
      <c r="B581" s="704"/>
      <c r="C581" s="709"/>
      <c r="D581" s="706"/>
      <c r="E581" s="706"/>
      <c r="F581" s="706"/>
      <c r="G581" s="711"/>
      <c r="H581" s="694"/>
      <c r="I581" s="694"/>
      <c r="J581" s="694"/>
      <c r="K581" s="694"/>
      <c r="L581" s="694"/>
      <c r="M581" s="694"/>
      <c r="N581" s="694"/>
      <c r="O581" s="694"/>
      <c r="P581" s="694"/>
      <c r="Q581" s="694"/>
      <c r="R581" s="204"/>
      <c r="S581" s="708"/>
      <c r="T581" s="714"/>
      <c r="U581" s="205"/>
      <c r="V581" s="662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5"/>
      <c r="BN581" s="205"/>
      <c r="BO581" s="205"/>
      <c r="BP581" s="205"/>
      <c r="BQ581" s="205"/>
      <c r="BR581" s="205"/>
      <c r="BS581" s="205"/>
      <c r="BT581" s="205"/>
      <c r="BU581" s="205"/>
      <c r="BV581" s="205"/>
      <c r="BW581" s="205"/>
      <c r="BX581" s="205"/>
      <c r="BY581" s="205"/>
      <c r="BZ581" s="205"/>
      <c r="CA581" s="205"/>
      <c r="CB581" s="205"/>
      <c r="CC581" s="205"/>
      <c r="CD581" s="205"/>
      <c r="CE581" s="205"/>
      <c r="CF581" s="205"/>
      <c r="CG581" s="205"/>
      <c r="CH581" s="205"/>
      <c r="CI581" s="205"/>
      <c r="CJ581" s="205"/>
      <c r="CK581" s="205"/>
      <c r="CL581" s="205"/>
      <c r="CM581" s="205"/>
      <c r="CN581" s="205"/>
      <c r="CO581" s="205"/>
      <c r="CP581" s="205"/>
      <c r="CQ581" s="205"/>
      <c r="CR581" s="205"/>
      <c r="CS581" s="205"/>
      <c r="CT581" s="205"/>
      <c r="CU581" s="205"/>
      <c r="CV581" s="205"/>
      <c r="CW581" s="205"/>
      <c r="CX581" s="205"/>
      <c r="CY581" s="205"/>
      <c r="CZ581" s="205"/>
      <c r="DA581" s="205"/>
      <c r="DB581" s="205"/>
      <c r="DC581" s="205"/>
      <c r="DD581" s="205"/>
      <c r="DE581" s="205"/>
      <c r="DF581" s="205"/>
      <c r="DG581" s="205"/>
      <c r="DH581" s="205"/>
      <c r="DI581" s="205"/>
      <c r="DJ581" s="205"/>
      <c r="DK581" s="205"/>
      <c r="DL581" s="205"/>
      <c r="DM581" s="205"/>
      <c r="DN581" s="205"/>
      <c r="DO581" s="205"/>
      <c r="DP581" s="205"/>
      <c r="DQ581" s="205"/>
      <c r="DR581" s="205"/>
      <c r="DS581" s="205"/>
      <c r="DT581" s="205"/>
      <c r="DU581" s="205"/>
      <c r="DV581" s="205"/>
      <c r="DW581" s="205"/>
      <c r="DX581" s="205"/>
      <c r="DY581" s="205"/>
      <c r="DZ581" s="205"/>
      <c r="EA581" s="205"/>
      <c r="EB581" s="205"/>
      <c r="EC581" s="205"/>
      <c r="ED581" s="205"/>
      <c r="EE581" s="205"/>
      <c r="EF581" s="205"/>
      <c r="EG581" s="205"/>
      <c r="EH581" s="205"/>
      <c r="EI581" s="205"/>
      <c r="EJ581" s="205"/>
      <c r="EK581" s="205"/>
      <c r="EL581" s="205"/>
      <c r="EM581" s="205"/>
      <c r="EN581" s="205"/>
      <c r="EO581" s="205"/>
      <c r="EP581" s="205"/>
      <c r="EQ581" s="205"/>
      <c r="ER581" s="205"/>
      <c r="ES581" s="205"/>
      <c r="ET581" s="205"/>
      <c r="EU581" s="205"/>
      <c r="EV581" s="205"/>
      <c r="EW581" s="205"/>
      <c r="EX581" s="205"/>
      <c r="EY581" s="205"/>
      <c r="EZ581" s="205"/>
      <c r="FA581" s="205"/>
      <c r="FB581" s="205"/>
      <c r="FC581" s="205"/>
      <c r="FD581" s="205"/>
      <c r="FE581" s="205"/>
      <c r="FF581" s="205"/>
      <c r="FG581" s="205"/>
      <c r="FH581" s="205"/>
      <c r="FI581" s="205"/>
      <c r="FJ581" s="205"/>
      <c r="FK581" s="205"/>
      <c r="FL581" s="205"/>
      <c r="FM581" s="205"/>
      <c r="FN581" s="205"/>
      <c r="FO581" s="205"/>
      <c r="FP581" s="205"/>
      <c r="FQ581" s="205"/>
      <c r="FR581" s="205"/>
      <c r="FS581" s="205"/>
      <c r="FT581" s="205"/>
      <c r="FU581" s="205"/>
      <c r="FV581" s="205"/>
      <c r="FW581" s="205"/>
      <c r="FX581" s="205"/>
      <c r="FY581" s="205"/>
      <c r="FZ581" s="205"/>
      <c r="GA581" s="205"/>
      <c r="GB581" s="205"/>
      <c r="GC581" s="205"/>
      <c r="GD581" s="205"/>
      <c r="GE581" s="205"/>
      <c r="GF581" s="205"/>
      <c r="GG581" s="205"/>
      <c r="GH581" s="205"/>
      <c r="GI581" s="205"/>
      <c r="GJ581" s="205"/>
      <c r="GK581" s="205"/>
      <c r="GL581" s="205"/>
      <c r="GM581" s="205"/>
      <c r="GN581" s="205"/>
      <c r="GO581" s="205"/>
      <c r="GP581" s="205"/>
      <c r="GQ581" s="205"/>
      <c r="GR581" s="205"/>
      <c r="GS581" s="205"/>
      <c r="GT581" s="205"/>
      <c r="GU581" s="205"/>
      <c r="GV581" s="205"/>
      <c r="GW581" s="205"/>
      <c r="GX581" s="205"/>
      <c r="GY581" s="205"/>
      <c r="GZ581" s="205"/>
      <c r="HA581" s="205"/>
      <c r="HB581" s="205"/>
      <c r="HC581" s="205"/>
      <c r="HD581" s="205"/>
      <c r="HE581" s="205"/>
      <c r="HF581" s="205"/>
      <c r="HG581" s="205"/>
      <c r="HH581" s="205"/>
      <c r="HI581" s="205"/>
      <c r="HJ581" s="205"/>
      <c r="HK581" s="205"/>
      <c r="HL581" s="205"/>
      <c r="HM581" s="205"/>
      <c r="HN581" s="205"/>
      <c r="HO581" s="205"/>
      <c r="HP581" s="205"/>
      <c r="HQ581" s="205"/>
      <c r="HR581" s="205"/>
      <c r="HS581" s="205"/>
      <c r="HT581" s="205"/>
      <c r="HU581" s="205"/>
      <c r="HV581" s="205"/>
      <c r="HW581" s="205"/>
      <c r="HX581" s="205"/>
      <c r="HY581" s="205"/>
      <c r="HZ581" s="205"/>
      <c r="IA581" s="205"/>
      <c r="IB581" s="205"/>
      <c r="IC581" s="205"/>
      <c r="ID581" s="205"/>
      <c r="IE581" s="205"/>
      <c r="IF581" s="205"/>
      <c r="IG581" s="205"/>
      <c r="IH581" s="205"/>
      <c r="II581" s="205"/>
      <c r="IJ581" s="205"/>
      <c r="IK581" s="205"/>
      <c r="IL581" s="205"/>
      <c r="IM581" s="205"/>
      <c r="IN581" s="205"/>
      <c r="IO581" s="205"/>
      <c r="IP581" s="205"/>
      <c r="IQ581" s="205"/>
      <c r="IR581" s="205"/>
      <c r="IS581" s="205"/>
      <c r="IT581" s="205"/>
      <c r="IU581" s="205"/>
      <c r="IV581" s="205"/>
      <c r="IW581" s="205"/>
      <c r="IX581" s="205"/>
    </row>
    <row r="582" spans="1:258" s="196" customFormat="1" ht="18" x14ac:dyDescent="0.25">
      <c r="A582" s="205"/>
      <c r="B582" s="704"/>
      <c r="C582" s="709"/>
      <c r="D582" s="706"/>
      <c r="E582" s="706"/>
      <c r="F582" s="706"/>
      <c r="G582" s="711"/>
      <c r="H582" s="694"/>
      <c r="I582" s="694"/>
      <c r="J582" s="694"/>
      <c r="K582" s="694"/>
      <c r="L582" s="694"/>
      <c r="M582" s="694"/>
      <c r="N582" s="694"/>
      <c r="O582" s="694"/>
      <c r="P582" s="694"/>
      <c r="Q582" s="694"/>
      <c r="R582" s="204"/>
      <c r="S582" s="708"/>
      <c r="T582" s="714"/>
      <c r="U582" s="205"/>
      <c r="V582" s="662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5"/>
      <c r="BN582" s="205"/>
      <c r="BO582" s="205"/>
      <c r="BP582" s="205"/>
      <c r="BQ582" s="205"/>
      <c r="BR582" s="205"/>
      <c r="BS582" s="205"/>
      <c r="BT582" s="205"/>
      <c r="BU582" s="205"/>
      <c r="BV582" s="205"/>
      <c r="BW582" s="205"/>
      <c r="BX582" s="205"/>
      <c r="BY582" s="205"/>
      <c r="BZ582" s="205"/>
      <c r="CA582" s="205"/>
      <c r="CB582" s="205"/>
      <c r="CC582" s="205"/>
      <c r="CD582" s="205"/>
      <c r="CE582" s="205"/>
      <c r="CF582" s="205"/>
      <c r="CG582" s="205"/>
      <c r="CH582" s="205"/>
      <c r="CI582" s="205"/>
      <c r="CJ582" s="205"/>
      <c r="CK582" s="205"/>
      <c r="CL582" s="205"/>
      <c r="CM582" s="205"/>
      <c r="CN582" s="205"/>
      <c r="CO582" s="205"/>
      <c r="CP582" s="205"/>
      <c r="CQ582" s="205"/>
      <c r="CR582" s="205"/>
      <c r="CS582" s="205"/>
      <c r="CT582" s="205"/>
      <c r="CU582" s="205"/>
      <c r="CV582" s="205"/>
      <c r="CW582" s="205"/>
      <c r="CX582" s="205"/>
      <c r="CY582" s="205"/>
      <c r="CZ582" s="205"/>
      <c r="DA582" s="205"/>
      <c r="DB582" s="205"/>
      <c r="DC582" s="205"/>
      <c r="DD582" s="205"/>
      <c r="DE582" s="205"/>
      <c r="DF582" s="205"/>
      <c r="DG582" s="205"/>
      <c r="DH582" s="205"/>
      <c r="DI582" s="205"/>
      <c r="DJ582" s="205"/>
      <c r="DK582" s="205"/>
      <c r="DL582" s="205"/>
      <c r="DM582" s="205"/>
      <c r="DN582" s="205"/>
      <c r="DO582" s="205"/>
      <c r="DP582" s="205"/>
      <c r="DQ582" s="205"/>
      <c r="DR582" s="205"/>
      <c r="DS582" s="205"/>
      <c r="DT582" s="205"/>
      <c r="DU582" s="205"/>
      <c r="DV582" s="205"/>
      <c r="DW582" s="205"/>
      <c r="DX582" s="205"/>
      <c r="DY582" s="205"/>
      <c r="DZ582" s="205"/>
      <c r="EA582" s="205"/>
      <c r="EB582" s="205"/>
      <c r="EC582" s="205"/>
      <c r="ED582" s="205"/>
      <c r="EE582" s="205"/>
      <c r="EF582" s="205"/>
      <c r="EG582" s="205"/>
      <c r="EH582" s="205"/>
      <c r="EI582" s="205"/>
      <c r="EJ582" s="205"/>
      <c r="EK582" s="205"/>
      <c r="EL582" s="205"/>
      <c r="EM582" s="205"/>
      <c r="EN582" s="205"/>
      <c r="EO582" s="205"/>
      <c r="EP582" s="205"/>
      <c r="EQ582" s="205"/>
      <c r="ER582" s="205"/>
      <c r="ES582" s="205"/>
      <c r="ET582" s="205"/>
      <c r="EU582" s="205"/>
      <c r="EV582" s="205"/>
      <c r="EW582" s="205"/>
      <c r="EX582" s="205"/>
      <c r="EY582" s="205"/>
      <c r="EZ582" s="205"/>
      <c r="FA582" s="205"/>
      <c r="FB582" s="205"/>
      <c r="FC582" s="205"/>
      <c r="FD582" s="205"/>
      <c r="FE582" s="205"/>
      <c r="FF582" s="205"/>
      <c r="FG582" s="205"/>
      <c r="FH582" s="205"/>
      <c r="FI582" s="205"/>
      <c r="FJ582" s="205"/>
      <c r="FK582" s="205"/>
      <c r="FL582" s="205"/>
      <c r="FM582" s="205"/>
      <c r="FN582" s="205"/>
      <c r="FO582" s="205"/>
      <c r="FP582" s="205"/>
      <c r="FQ582" s="205"/>
      <c r="FR582" s="205"/>
      <c r="FS582" s="205"/>
      <c r="FT582" s="205"/>
      <c r="FU582" s="205"/>
      <c r="FV582" s="205"/>
      <c r="FW582" s="205"/>
      <c r="FX582" s="205"/>
      <c r="FY582" s="205"/>
      <c r="FZ582" s="205"/>
      <c r="GA582" s="205"/>
      <c r="GB582" s="205"/>
      <c r="GC582" s="205"/>
      <c r="GD582" s="205"/>
      <c r="GE582" s="205"/>
      <c r="GF582" s="205"/>
      <c r="GG582" s="205"/>
      <c r="GH582" s="205"/>
      <c r="GI582" s="205"/>
      <c r="GJ582" s="205"/>
      <c r="GK582" s="205"/>
      <c r="GL582" s="205"/>
      <c r="GM582" s="205"/>
      <c r="GN582" s="205"/>
      <c r="GO582" s="205"/>
      <c r="GP582" s="205"/>
      <c r="GQ582" s="205"/>
      <c r="GR582" s="205"/>
      <c r="GS582" s="205"/>
      <c r="GT582" s="205"/>
      <c r="GU582" s="205"/>
      <c r="GV582" s="205"/>
      <c r="GW582" s="205"/>
      <c r="GX582" s="205"/>
      <c r="GY582" s="205"/>
      <c r="GZ582" s="205"/>
      <c r="HA582" s="205"/>
      <c r="HB582" s="205"/>
      <c r="HC582" s="205"/>
      <c r="HD582" s="205"/>
      <c r="HE582" s="205"/>
      <c r="HF582" s="205"/>
      <c r="HG582" s="205"/>
      <c r="HH582" s="205"/>
      <c r="HI582" s="205"/>
      <c r="HJ582" s="205"/>
      <c r="HK582" s="205"/>
      <c r="HL582" s="205"/>
      <c r="HM582" s="205"/>
      <c r="HN582" s="205"/>
      <c r="HO582" s="205"/>
      <c r="HP582" s="205"/>
      <c r="HQ582" s="205"/>
      <c r="HR582" s="205"/>
      <c r="HS582" s="205"/>
      <c r="HT582" s="205"/>
      <c r="HU582" s="205"/>
      <c r="HV582" s="205"/>
      <c r="HW582" s="205"/>
      <c r="HX582" s="205"/>
      <c r="HY582" s="205"/>
      <c r="HZ582" s="205"/>
      <c r="IA582" s="205"/>
      <c r="IB582" s="205"/>
      <c r="IC582" s="205"/>
      <c r="ID582" s="205"/>
      <c r="IE582" s="205"/>
      <c r="IF582" s="205"/>
      <c r="IG582" s="205"/>
      <c r="IH582" s="205"/>
      <c r="II582" s="205"/>
      <c r="IJ582" s="205"/>
      <c r="IK582" s="205"/>
      <c r="IL582" s="205"/>
      <c r="IM582" s="205"/>
      <c r="IN582" s="205"/>
      <c r="IO582" s="205"/>
      <c r="IP582" s="205"/>
      <c r="IQ582" s="205"/>
      <c r="IR582" s="205"/>
      <c r="IS582" s="205"/>
      <c r="IT582" s="205"/>
      <c r="IU582" s="205"/>
      <c r="IV582" s="205"/>
      <c r="IW582" s="205"/>
      <c r="IX582" s="205"/>
    </row>
    <row r="583" spans="1:258" s="196" customFormat="1" ht="18" x14ac:dyDescent="0.25">
      <c r="A583" s="205"/>
      <c r="B583" s="704"/>
      <c r="C583" s="709"/>
      <c r="D583" s="706"/>
      <c r="E583" s="706"/>
      <c r="F583" s="706"/>
      <c r="G583" s="711"/>
      <c r="H583" s="694"/>
      <c r="I583" s="694"/>
      <c r="J583" s="694"/>
      <c r="K583" s="694"/>
      <c r="L583" s="694"/>
      <c r="M583" s="694"/>
      <c r="N583" s="694"/>
      <c r="O583" s="694"/>
      <c r="P583" s="694"/>
      <c r="Q583" s="694"/>
      <c r="R583" s="204"/>
      <c r="S583" s="708"/>
      <c r="T583" s="714"/>
      <c r="U583" s="205"/>
      <c r="V583" s="662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5"/>
      <c r="BN583" s="205"/>
      <c r="BO583" s="205"/>
      <c r="BP583" s="205"/>
      <c r="BQ583" s="205"/>
      <c r="BR583" s="205"/>
      <c r="BS583" s="205"/>
      <c r="BT583" s="205"/>
      <c r="BU583" s="205"/>
      <c r="BV583" s="205"/>
      <c r="BW583" s="205"/>
      <c r="BX583" s="205"/>
      <c r="BY583" s="205"/>
      <c r="BZ583" s="205"/>
      <c r="CA583" s="205"/>
      <c r="CB583" s="205"/>
      <c r="CC583" s="205"/>
      <c r="CD583" s="205"/>
      <c r="CE583" s="205"/>
      <c r="CF583" s="205"/>
      <c r="CG583" s="205"/>
      <c r="CH583" s="205"/>
      <c r="CI583" s="205"/>
      <c r="CJ583" s="205"/>
      <c r="CK583" s="205"/>
      <c r="CL583" s="205"/>
      <c r="CM583" s="205"/>
      <c r="CN583" s="205"/>
      <c r="CO583" s="205"/>
      <c r="CP583" s="205"/>
      <c r="CQ583" s="205"/>
      <c r="CR583" s="205"/>
      <c r="CS583" s="205"/>
      <c r="CT583" s="205"/>
      <c r="CU583" s="205"/>
      <c r="CV583" s="205"/>
      <c r="CW583" s="205"/>
      <c r="CX583" s="205"/>
      <c r="CY583" s="205"/>
      <c r="CZ583" s="205"/>
      <c r="DA583" s="205"/>
      <c r="DB583" s="205"/>
      <c r="DC583" s="205"/>
      <c r="DD583" s="205"/>
      <c r="DE583" s="205"/>
      <c r="DF583" s="205"/>
      <c r="DG583" s="205"/>
      <c r="DH583" s="205"/>
      <c r="DI583" s="205"/>
      <c r="DJ583" s="205"/>
      <c r="DK583" s="205"/>
      <c r="DL583" s="205"/>
      <c r="DM583" s="205"/>
      <c r="DN583" s="205"/>
      <c r="DO583" s="205"/>
      <c r="DP583" s="205"/>
      <c r="DQ583" s="205"/>
      <c r="DR583" s="205"/>
      <c r="DS583" s="205"/>
      <c r="DT583" s="205"/>
      <c r="DU583" s="205"/>
      <c r="DV583" s="205"/>
      <c r="DW583" s="205"/>
      <c r="DX583" s="205"/>
      <c r="DY583" s="205"/>
      <c r="DZ583" s="205"/>
      <c r="EA583" s="205"/>
      <c r="EB583" s="205"/>
      <c r="EC583" s="205"/>
      <c r="ED583" s="205"/>
      <c r="EE583" s="205"/>
      <c r="EF583" s="205"/>
      <c r="EG583" s="205"/>
      <c r="EH583" s="205"/>
      <c r="EI583" s="205"/>
      <c r="EJ583" s="205"/>
      <c r="EK583" s="205"/>
      <c r="EL583" s="205"/>
      <c r="EM583" s="205"/>
      <c r="EN583" s="205"/>
      <c r="EO583" s="205"/>
      <c r="EP583" s="205"/>
      <c r="EQ583" s="205"/>
      <c r="ER583" s="205"/>
      <c r="ES583" s="205"/>
      <c r="ET583" s="205"/>
      <c r="EU583" s="205"/>
      <c r="EV583" s="205"/>
      <c r="EW583" s="205"/>
      <c r="EX583" s="205"/>
      <c r="EY583" s="205"/>
      <c r="EZ583" s="205"/>
      <c r="FA583" s="205"/>
      <c r="FB583" s="205"/>
      <c r="FC583" s="205"/>
      <c r="FD583" s="205"/>
      <c r="FE583" s="205"/>
      <c r="FF583" s="205"/>
      <c r="FG583" s="205"/>
      <c r="FH583" s="205"/>
      <c r="FI583" s="205"/>
      <c r="FJ583" s="205"/>
      <c r="FK583" s="205"/>
      <c r="FL583" s="205"/>
      <c r="FM583" s="205"/>
      <c r="FN583" s="205"/>
      <c r="FO583" s="205"/>
      <c r="FP583" s="205"/>
      <c r="FQ583" s="205"/>
      <c r="FR583" s="205"/>
      <c r="FS583" s="205"/>
      <c r="FT583" s="205"/>
      <c r="FU583" s="205"/>
      <c r="FV583" s="205"/>
      <c r="FW583" s="205"/>
      <c r="FX583" s="205"/>
      <c r="FY583" s="205"/>
      <c r="FZ583" s="205"/>
      <c r="GA583" s="205"/>
      <c r="GB583" s="205"/>
      <c r="GC583" s="205"/>
      <c r="GD583" s="205"/>
      <c r="GE583" s="205"/>
      <c r="GF583" s="205"/>
      <c r="GG583" s="205"/>
      <c r="GH583" s="205"/>
      <c r="GI583" s="205"/>
      <c r="GJ583" s="205"/>
      <c r="GK583" s="205"/>
      <c r="GL583" s="205"/>
      <c r="GM583" s="205"/>
      <c r="GN583" s="205"/>
      <c r="GO583" s="205"/>
      <c r="GP583" s="205"/>
      <c r="GQ583" s="205"/>
      <c r="GR583" s="205"/>
      <c r="GS583" s="205"/>
      <c r="GT583" s="205"/>
      <c r="GU583" s="205"/>
      <c r="GV583" s="205"/>
      <c r="GW583" s="205"/>
      <c r="GX583" s="205"/>
      <c r="GY583" s="205"/>
      <c r="GZ583" s="205"/>
      <c r="HA583" s="205"/>
      <c r="HB583" s="205"/>
      <c r="HC583" s="205"/>
      <c r="HD583" s="205"/>
      <c r="HE583" s="205"/>
      <c r="HF583" s="205"/>
      <c r="HG583" s="205"/>
      <c r="HH583" s="205"/>
      <c r="HI583" s="205"/>
      <c r="HJ583" s="205"/>
      <c r="HK583" s="205"/>
      <c r="HL583" s="205"/>
      <c r="HM583" s="205"/>
      <c r="HN583" s="205"/>
      <c r="HO583" s="205"/>
      <c r="HP583" s="205"/>
      <c r="HQ583" s="205"/>
      <c r="HR583" s="205"/>
      <c r="HS583" s="205"/>
      <c r="HT583" s="205"/>
      <c r="HU583" s="205"/>
      <c r="HV583" s="205"/>
      <c r="HW583" s="205"/>
      <c r="HX583" s="205"/>
      <c r="HY583" s="205"/>
      <c r="HZ583" s="205"/>
      <c r="IA583" s="205"/>
      <c r="IB583" s="205"/>
      <c r="IC583" s="205"/>
      <c r="ID583" s="205"/>
      <c r="IE583" s="205"/>
      <c r="IF583" s="205"/>
      <c r="IG583" s="205"/>
      <c r="IH583" s="205"/>
      <c r="II583" s="205"/>
      <c r="IJ583" s="205"/>
      <c r="IK583" s="205"/>
      <c r="IL583" s="205"/>
      <c r="IM583" s="205"/>
      <c r="IN583" s="205"/>
      <c r="IO583" s="205"/>
      <c r="IP583" s="205"/>
      <c r="IQ583" s="205"/>
      <c r="IR583" s="205"/>
      <c r="IS583" s="205"/>
      <c r="IT583" s="205"/>
      <c r="IU583" s="205"/>
      <c r="IV583" s="205"/>
      <c r="IW583" s="205"/>
      <c r="IX583" s="205"/>
    </row>
    <row r="584" spans="1:258" s="196" customFormat="1" ht="18" x14ac:dyDescent="0.25">
      <c r="A584" s="205"/>
      <c r="B584" s="704"/>
      <c r="C584" s="709"/>
      <c r="D584" s="706"/>
      <c r="E584" s="706"/>
      <c r="F584" s="706"/>
      <c r="G584" s="711"/>
      <c r="H584" s="694"/>
      <c r="I584" s="694"/>
      <c r="J584" s="694"/>
      <c r="K584" s="694"/>
      <c r="L584" s="694"/>
      <c r="M584" s="694"/>
      <c r="N584" s="694"/>
      <c r="O584" s="694"/>
      <c r="P584" s="694"/>
      <c r="Q584" s="694"/>
      <c r="R584" s="204"/>
      <c r="S584" s="708"/>
      <c r="T584" s="714"/>
      <c r="U584" s="205"/>
      <c r="V584" s="662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5"/>
      <c r="BN584" s="205"/>
      <c r="BO584" s="205"/>
      <c r="BP584" s="205"/>
      <c r="BQ584" s="205"/>
      <c r="BR584" s="205"/>
      <c r="BS584" s="205"/>
      <c r="BT584" s="205"/>
      <c r="BU584" s="205"/>
      <c r="BV584" s="205"/>
      <c r="BW584" s="205"/>
      <c r="BX584" s="205"/>
      <c r="BY584" s="205"/>
      <c r="BZ584" s="205"/>
      <c r="CA584" s="205"/>
      <c r="CB584" s="205"/>
      <c r="CC584" s="205"/>
      <c r="CD584" s="205"/>
      <c r="CE584" s="205"/>
      <c r="CF584" s="205"/>
      <c r="CG584" s="205"/>
      <c r="CH584" s="205"/>
      <c r="CI584" s="205"/>
      <c r="CJ584" s="205"/>
      <c r="CK584" s="205"/>
      <c r="CL584" s="205"/>
      <c r="CM584" s="205"/>
      <c r="CN584" s="205"/>
      <c r="CO584" s="205"/>
      <c r="CP584" s="205"/>
      <c r="CQ584" s="205"/>
      <c r="CR584" s="205"/>
      <c r="CS584" s="205"/>
      <c r="CT584" s="205"/>
      <c r="CU584" s="205"/>
      <c r="CV584" s="205"/>
      <c r="CW584" s="205"/>
      <c r="CX584" s="205"/>
      <c r="CY584" s="205"/>
      <c r="CZ584" s="205"/>
      <c r="DA584" s="205"/>
      <c r="DB584" s="205"/>
      <c r="DC584" s="205"/>
      <c r="DD584" s="205"/>
      <c r="DE584" s="205"/>
      <c r="DF584" s="205"/>
      <c r="DG584" s="205"/>
      <c r="DH584" s="205"/>
      <c r="DI584" s="205"/>
      <c r="DJ584" s="205"/>
      <c r="DK584" s="205"/>
      <c r="DL584" s="205"/>
      <c r="DM584" s="205"/>
      <c r="DN584" s="205"/>
      <c r="DO584" s="205"/>
      <c r="DP584" s="205"/>
      <c r="DQ584" s="205"/>
      <c r="DR584" s="205"/>
      <c r="DS584" s="205"/>
      <c r="DT584" s="205"/>
      <c r="DU584" s="205"/>
      <c r="DV584" s="205"/>
      <c r="DW584" s="205"/>
      <c r="DX584" s="205"/>
      <c r="DY584" s="205"/>
      <c r="DZ584" s="205"/>
      <c r="EA584" s="205"/>
      <c r="EB584" s="205"/>
      <c r="EC584" s="205"/>
      <c r="ED584" s="205"/>
      <c r="EE584" s="205"/>
      <c r="EF584" s="205"/>
      <c r="EG584" s="205"/>
      <c r="EH584" s="205"/>
      <c r="EI584" s="205"/>
      <c r="EJ584" s="205"/>
      <c r="EK584" s="205"/>
      <c r="EL584" s="205"/>
      <c r="EM584" s="205"/>
      <c r="EN584" s="205"/>
      <c r="EO584" s="205"/>
      <c r="EP584" s="205"/>
      <c r="EQ584" s="205"/>
      <c r="ER584" s="205"/>
      <c r="ES584" s="205"/>
      <c r="ET584" s="205"/>
      <c r="EU584" s="205"/>
      <c r="EV584" s="205"/>
      <c r="EW584" s="205"/>
      <c r="EX584" s="205"/>
      <c r="EY584" s="205"/>
      <c r="EZ584" s="205"/>
      <c r="FA584" s="205"/>
      <c r="FB584" s="205"/>
      <c r="FC584" s="205"/>
      <c r="FD584" s="205"/>
      <c r="FE584" s="205"/>
      <c r="FF584" s="205"/>
      <c r="FG584" s="205"/>
      <c r="FH584" s="205"/>
      <c r="FI584" s="205"/>
      <c r="FJ584" s="205"/>
      <c r="FK584" s="205"/>
      <c r="FL584" s="205"/>
      <c r="FM584" s="205"/>
      <c r="FN584" s="205"/>
      <c r="FO584" s="205"/>
      <c r="FP584" s="205"/>
      <c r="FQ584" s="205"/>
      <c r="FR584" s="205"/>
      <c r="FS584" s="205"/>
      <c r="FT584" s="205"/>
      <c r="FU584" s="205"/>
      <c r="FV584" s="205"/>
      <c r="FW584" s="205"/>
      <c r="FX584" s="205"/>
      <c r="FY584" s="205"/>
      <c r="FZ584" s="205"/>
      <c r="GA584" s="205"/>
      <c r="GB584" s="205"/>
      <c r="GC584" s="205"/>
      <c r="GD584" s="205"/>
      <c r="GE584" s="205"/>
      <c r="GF584" s="205"/>
      <c r="GG584" s="205"/>
      <c r="GH584" s="205"/>
      <c r="GI584" s="205"/>
      <c r="GJ584" s="205"/>
      <c r="GK584" s="205"/>
      <c r="GL584" s="205"/>
      <c r="GM584" s="205"/>
      <c r="GN584" s="205"/>
      <c r="GO584" s="205"/>
      <c r="GP584" s="205"/>
      <c r="GQ584" s="205"/>
      <c r="GR584" s="205"/>
      <c r="GS584" s="205"/>
      <c r="GT584" s="205"/>
      <c r="GU584" s="205"/>
      <c r="GV584" s="205"/>
      <c r="GW584" s="205"/>
      <c r="GX584" s="205"/>
      <c r="GY584" s="205"/>
      <c r="GZ584" s="205"/>
      <c r="HA584" s="205"/>
      <c r="HB584" s="205"/>
      <c r="HC584" s="205"/>
      <c r="HD584" s="205"/>
      <c r="HE584" s="205"/>
      <c r="HF584" s="205"/>
      <c r="HG584" s="205"/>
      <c r="HH584" s="205"/>
      <c r="HI584" s="205"/>
      <c r="HJ584" s="205"/>
      <c r="HK584" s="205"/>
      <c r="HL584" s="205"/>
      <c r="HM584" s="205"/>
      <c r="HN584" s="205"/>
      <c r="HO584" s="205"/>
      <c r="HP584" s="205"/>
      <c r="HQ584" s="205"/>
      <c r="HR584" s="205"/>
      <c r="HS584" s="205"/>
      <c r="HT584" s="205"/>
      <c r="HU584" s="205"/>
      <c r="HV584" s="205"/>
      <c r="HW584" s="205"/>
      <c r="HX584" s="205"/>
      <c r="HY584" s="205"/>
      <c r="HZ584" s="205"/>
      <c r="IA584" s="205"/>
      <c r="IB584" s="205"/>
      <c r="IC584" s="205"/>
      <c r="ID584" s="205"/>
      <c r="IE584" s="205"/>
      <c r="IF584" s="205"/>
      <c r="IG584" s="205"/>
      <c r="IH584" s="205"/>
      <c r="II584" s="205"/>
      <c r="IJ584" s="205"/>
      <c r="IK584" s="205"/>
      <c r="IL584" s="205"/>
      <c r="IM584" s="205"/>
      <c r="IN584" s="205"/>
      <c r="IO584" s="205"/>
      <c r="IP584" s="205"/>
      <c r="IQ584" s="205"/>
      <c r="IR584" s="205"/>
      <c r="IS584" s="205"/>
      <c r="IT584" s="205"/>
      <c r="IU584" s="205"/>
      <c r="IV584" s="205"/>
      <c r="IW584" s="205"/>
      <c r="IX584" s="205"/>
    </row>
    <row r="585" spans="1:258" s="196" customFormat="1" ht="18" x14ac:dyDescent="0.25">
      <c r="A585" s="205"/>
      <c r="B585" s="704"/>
      <c r="C585" s="709"/>
      <c r="D585" s="706"/>
      <c r="E585" s="706"/>
      <c r="F585" s="706"/>
      <c r="G585" s="711"/>
      <c r="H585" s="694"/>
      <c r="I585" s="694"/>
      <c r="J585" s="694"/>
      <c r="K585" s="694"/>
      <c r="L585" s="694"/>
      <c r="M585" s="694"/>
      <c r="N585" s="694"/>
      <c r="O585" s="694"/>
      <c r="P585" s="694"/>
      <c r="Q585" s="694"/>
      <c r="R585" s="204"/>
      <c r="S585" s="708"/>
      <c r="T585" s="714"/>
      <c r="U585" s="205"/>
      <c r="V585" s="662"/>
      <c r="W585" s="205"/>
      <c r="X585" s="205"/>
      <c r="Y585" s="205"/>
      <c r="Z585" s="205"/>
      <c r="AA585" s="205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205"/>
      <c r="BN585" s="205"/>
      <c r="BO585" s="205"/>
      <c r="BP585" s="205"/>
      <c r="BQ585" s="205"/>
      <c r="BR585" s="205"/>
      <c r="BS585" s="205"/>
      <c r="BT585" s="205"/>
      <c r="BU585" s="205"/>
      <c r="BV585" s="205"/>
      <c r="BW585" s="205"/>
      <c r="BX585" s="205"/>
      <c r="BY585" s="205"/>
      <c r="BZ585" s="205"/>
      <c r="CA585" s="205"/>
      <c r="CB585" s="205"/>
      <c r="CC585" s="205"/>
      <c r="CD585" s="205"/>
      <c r="CE585" s="205"/>
      <c r="CF585" s="205"/>
      <c r="CG585" s="205"/>
      <c r="CH585" s="205"/>
      <c r="CI585" s="205"/>
      <c r="CJ585" s="205"/>
      <c r="CK585" s="205"/>
      <c r="CL585" s="205"/>
      <c r="CM585" s="205"/>
      <c r="CN585" s="205"/>
      <c r="CO585" s="205"/>
      <c r="CP585" s="205"/>
      <c r="CQ585" s="205"/>
      <c r="CR585" s="205"/>
      <c r="CS585" s="205"/>
      <c r="CT585" s="205"/>
      <c r="CU585" s="205"/>
      <c r="CV585" s="205"/>
      <c r="CW585" s="205"/>
      <c r="CX585" s="205"/>
      <c r="CY585" s="205"/>
      <c r="CZ585" s="205"/>
      <c r="DA585" s="205"/>
      <c r="DB585" s="205"/>
      <c r="DC585" s="205"/>
      <c r="DD585" s="205"/>
      <c r="DE585" s="205"/>
      <c r="DF585" s="205"/>
      <c r="DG585" s="205"/>
      <c r="DH585" s="205"/>
      <c r="DI585" s="205"/>
      <c r="DJ585" s="205"/>
      <c r="DK585" s="205"/>
      <c r="DL585" s="205"/>
      <c r="DM585" s="205"/>
      <c r="DN585" s="205"/>
      <c r="DO585" s="205"/>
      <c r="DP585" s="205"/>
      <c r="DQ585" s="205"/>
      <c r="DR585" s="205"/>
      <c r="DS585" s="205"/>
      <c r="DT585" s="205"/>
      <c r="DU585" s="205"/>
      <c r="DV585" s="205"/>
      <c r="DW585" s="205"/>
      <c r="DX585" s="205"/>
      <c r="DY585" s="205"/>
      <c r="DZ585" s="205"/>
      <c r="EA585" s="205"/>
      <c r="EB585" s="205"/>
      <c r="EC585" s="205"/>
      <c r="ED585" s="205"/>
      <c r="EE585" s="205"/>
      <c r="EF585" s="205"/>
      <c r="EG585" s="205"/>
      <c r="EH585" s="205"/>
      <c r="EI585" s="205"/>
      <c r="EJ585" s="205"/>
      <c r="EK585" s="205"/>
      <c r="EL585" s="205"/>
      <c r="EM585" s="205"/>
      <c r="EN585" s="205"/>
      <c r="EO585" s="205"/>
      <c r="EP585" s="205"/>
      <c r="EQ585" s="205"/>
      <c r="ER585" s="205"/>
      <c r="ES585" s="205"/>
      <c r="ET585" s="205"/>
      <c r="EU585" s="205"/>
      <c r="EV585" s="205"/>
      <c r="EW585" s="205"/>
      <c r="EX585" s="205"/>
      <c r="EY585" s="205"/>
      <c r="EZ585" s="205"/>
      <c r="FA585" s="205"/>
      <c r="FB585" s="205"/>
      <c r="FC585" s="205"/>
      <c r="FD585" s="205"/>
      <c r="FE585" s="205"/>
      <c r="FF585" s="205"/>
      <c r="FG585" s="205"/>
      <c r="FH585" s="205"/>
      <c r="FI585" s="205"/>
      <c r="FJ585" s="205"/>
      <c r="FK585" s="205"/>
      <c r="FL585" s="205"/>
      <c r="FM585" s="205"/>
      <c r="FN585" s="205"/>
      <c r="FO585" s="205"/>
      <c r="FP585" s="205"/>
      <c r="FQ585" s="205"/>
      <c r="FR585" s="205"/>
      <c r="FS585" s="205"/>
      <c r="FT585" s="205"/>
      <c r="FU585" s="205"/>
      <c r="FV585" s="205"/>
      <c r="FW585" s="205"/>
      <c r="FX585" s="205"/>
      <c r="FY585" s="205"/>
      <c r="FZ585" s="205"/>
      <c r="GA585" s="205"/>
      <c r="GB585" s="205"/>
      <c r="GC585" s="205"/>
      <c r="GD585" s="205"/>
      <c r="GE585" s="205"/>
      <c r="GF585" s="205"/>
      <c r="GG585" s="205"/>
      <c r="GH585" s="205"/>
      <c r="GI585" s="205"/>
      <c r="GJ585" s="205"/>
      <c r="GK585" s="205"/>
      <c r="GL585" s="205"/>
      <c r="GM585" s="205"/>
      <c r="GN585" s="205"/>
      <c r="GO585" s="205"/>
      <c r="GP585" s="205"/>
      <c r="GQ585" s="205"/>
      <c r="GR585" s="205"/>
      <c r="GS585" s="205"/>
      <c r="GT585" s="205"/>
      <c r="GU585" s="205"/>
      <c r="GV585" s="205"/>
      <c r="GW585" s="205"/>
      <c r="GX585" s="205"/>
      <c r="GY585" s="205"/>
      <c r="GZ585" s="205"/>
      <c r="HA585" s="205"/>
      <c r="HB585" s="205"/>
      <c r="HC585" s="205"/>
      <c r="HD585" s="205"/>
      <c r="HE585" s="205"/>
      <c r="HF585" s="205"/>
      <c r="HG585" s="205"/>
      <c r="HH585" s="205"/>
      <c r="HI585" s="205"/>
      <c r="HJ585" s="205"/>
      <c r="HK585" s="205"/>
      <c r="HL585" s="205"/>
      <c r="HM585" s="205"/>
      <c r="HN585" s="205"/>
      <c r="HO585" s="205"/>
      <c r="HP585" s="205"/>
      <c r="HQ585" s="205"/>
      <c r="HR585" s="205"/>
      <c r="HS585" s="205"/>
      <c r="HT585" s="205"/>
      <c r="HU585" s="205"/>
      <c r="HV585" s="205"/>
      <c r="HW585" s="205"/>
      <c r="HX585" s="205"/>
      <c r="HY585" s="205"/>
      <c r="HZ585" s="205"/>
      <c r="IA585" s="205"/>
      <c r="IB585" s="205"/>
      <c r="IC585" s="205"/>
      <c r="ID585" s="205"/>
      <c r="IE585" s="205"/>
      <c r="IF585" s="205"/>
      <c r="IG585" s="205"/>
      <c r="IH585" s="205"/>
      <c r="II585" s="205"/>
      <c r="IJ585" s="205"/>
      <c r="IK585" s="205"/>
      <c r="IL585" s="205"/>
      <c r="IM585" s="205"/>
      <c r="IN585" s="205"/>
      <c r="IO585" s="205"/>
      <c r="IP585" s="205"/>
      <c r="IQ585" s="205"/>
      <c r="IR585" s="205"/>
      <c r="IS585" s="205"/>
      <c r="IT585" s="205"/>
      <c r="IU585" s="205"/>
      <c r="IV585" s="205"/>
      <c r="IW585" s="205"/>
      <c r="IX585" s="205"/>
    </row>
    <row r="586" spans="1:258" s="196" customFormat="1" ht="18" x14ac:dyDescent="0.25">
      <c r="A586" s="205"/>
      <c r="B586" s="704"/>
      <c r="C586" s="709"/>
      <c r="D586" s="706"/>
      <c r="E586" s="706"/>
      <c r="F586" s="706"/>
      <c r="G586" s="711"/>
      <c r="H586" s="694"/>
      <c r="I586" s="694"/>
      <c r="J586" s="694"/>
      <c r="K586" s="694"/>
      <c r="L586" s="694"/>
      <c r="M586" s="694"/>
      <c r="N586" s="694"/>
      <c r="O586" s="694"/>
      <c r="P586" s="694"/>
      <c r="Q586" s="694"/>
      <c r="R586" s="204"/>
      <c r="S586" s="708"/>
      <c r="T586" s="714"/>
      <c r="U586" s="205"/>
      <c r="V586" s="662"/>
      <c r="W586" s="205"/>
      <c r="X586" s="205"/>
      <c r="Y586" s="205"/>
      <c r="Z586" s="205"/>
      <c r="AA586" s="205"/>
      <c r="AB586" s="205"/>
      <c r="AC586" s="205"/>
      <c r="AD586" s="205"/>
      <c r="AE586" s="205"/>
      <c r="AF586" s="205"/>
      <c r="AG586" s="205"/>
      <c r="AH586" s="205"/>
      <c r="AI586" s="205"/>
      <c r="AJ586" s="205"/>
      <c r="AK586" s="205"/>
      <c r="AL586" s="205"/>
      <c r="AM586" s="205"/>
      <c r="AN586" s="205"/>
      <c r="AO586" s="205"/>
      <c r="AP586" s="205"/>
      <c r="AQ586" s="205"/>
      <c r="AR586" s="205"/>
      <c r="AS586" s="205"/>
      <c r="AT586" s="205"/>
      <c r="AU586" s="205"/>
      <c r="AV586" s="205"/>
      <c r="AW586" s="205"/>
      <c r="AX586" s="205"/>
      <c r="AY586" s="205"/>
      <c r="AZ586" s="205"/>
      <c r="BA586" s="205"/>
      <c r="BB586" s="205"/>
      <c r="BC586" s="205"/>
      <c r="BD586" s="205"/>
      <c r="BE586" s="205"/>
      <c r="BF586" s="205"/>
      <c r="BG586" s="205"/>
      <c r="BH586" s="205"/>
      <c r="BI586" s="205"/>
      <c r="BJ586" s="205"/>
      <c r="BK586" s="205"/>
      <c r="BL586" s="205"/>
      <c r="BM586" s="205"/>
      <c r="BN586" s="205"/>
      <c r="BO586" s="205"/>
      <c r="BP586" s="205"/>
      <c r="BQ586" s="205"/>
      <c r="BR586" s="205"/>
      <c r="BS586" s="205"/>
      <c r="BT586" s="205"/>
      <c r="BU586" s="205"/>
      <c r="BV586" s="205"/>
      <c r="BW586" s="205"/>
      <c r="BX586" s="205"/>
      <c r="BY586" s="205"/>
      <c r="BZ586" s="205"/>
      <c r="CA586" s="205"/>
      <c r="CB586" s="205"/>
      <c r="CC586" s="205"/>
      <c r="CD586" s="205"/>
      <c r="CE586" s="205"/>
      <c r="CF586" s="205"/>
      <c r="CG586" s="205"/>
      <c r="CH586" s="205"/>
      <c r="CI586" s="205"/>
      <c r="CJ586" s="205"/>
      <c r="CK586" s="205"/>
      <c r="CL586" s="205"/>
      <c r="CM586" s="205"/>
      <c r="CN586" s="205"/>
      <c r="CO586" s="205"/>
      <c r="CP586" s="205"/>
      <c r="CQ586" s="205"/>
      <c r="CR586" s="205"/>
      <c r="CS586" s="205"/>
      <c r="CT586" s="205"/>
      <c r="CU586" s="205"/>
      <c r="CV586" s="205"/>
      <c r="CW586" s="205"/>
      <c r="CX586" s="205"/>
      <c r="CY586" s="205"/>
      <c r="CZ586" s="205"/>
      <c r="DA586" s="205"/>
      <c r="DB586" s="205"/>
      <c r="DC586" s="205"/>
      <c r="DD586" s="205"/>
      <c r="DE586" s="205"/>
      <c r="DF586" s="205"/>
      <c r="DG586" s="205"/>
      <c r="DH586" s="205"/>
      <c r="DI586" s="205"/>
      <c r="DJ586" s="205"/>
      <c r="DK586" s="205"/>
      <c r="DL586" s="205"/>
      <c r="DM586" s="205"/>
      <c r="DN586" s="205"/>
      <c r="DO586" s="205"/>
      <c r="DP586" s="205"/>
      <c r="DQ586" s="205"/>
      <c r="DR586" s="205"/>
      <c r="DS586" s="205"/>
      <c r="DT586" s="205"/>
      <c r="DU586" s="205"/>
      <c r="DV586" s="205"/>
      <c r="DW586" s="205"/>
      <c r="DX586" s="205"/>
      <c r="DY586" s="205"/>
      <c r="DZ586" s="205"/>
      <c r="EA586" s="205"/>
      <c r="EB586" s="205"/>
      <c r="EC586" s="205"/>
      <c r="ED586" s="205"/>
      <c r="EE586" s="205"/>
      <c r="EF586" s="205"/>
      <c r="EG586" s="205"/>
      <c r="EH586" s="205"/>
      <c r="EI586" s="205"/>
      <c r="EJ586" s="205"/>
      <c r="EK586" s="205"/>
      <c r="EL586" s="205"/>
      <c r="EM586" s="205"/>
      <c r="EN586" s="205"/>
      <c r="EO586" s="205"/>
      <c r="EP586" s="205"/>
      <c r="EQ586" s="205"/>
      <c r="ER586" s="205"/>
      <c r="ES586" s="205"/>
      <c r="ET586" s="205"/>
      <c r="EU586" s="205"/>
      <c r="EV586" s="205"/>
      <c r="EW586" s="205"/>
      <c r="EX586" s="205"/>
      <c r="EY586" s="205"/>
      <c r="EZ586" s="205"/>
      <c r="FA586" s="205"/>
      <c r="FB586" s="205"/>
      <c r="FC586" s="205"/>
      <c r="FD586" s="205"/>
      <c r="FE586" s="205"/>
      <c r="FF586" s="205"/>
      <c r="FG586" s="205"/>
      <c r="FH586" s="205"/>
      <c r="FI586" s="205"/>
      <c r="FJ586" s="205"/>
      <c r="FK586" s="205"/>
      <c r="FL586" s="205"/>
      <c r="FM586" s="205"/>
      <c r="FN586" s="205"/>
      <c r="FO586" s="205"/>
      <c r="FP586" s="205"/>
      <c r="FQ586" s="205"/>
      <c r="FR586" s="205"/>
      <c r="FS586" s="205"/>
      <c r="FT586" s="205"/>
      <c r="FU586" s="205"/>
      <c r="FV586" s="205"/>
      <c r="FW586" s="205"/>
      <c r="FX586" s="205"/>
      <c r="FY586" s="205"/>
      <c r="FZ586" s="205"/>
      <c r="GA586" s="205"/>
      <c r="GB586" s="205"/>
      <c r="GC586" s="205"/>
      <c r="GD586" s="205"/>
      <c r="GE586" s="205"/>
      <c r="GF586" s="205"/>
      <c r="GG586" s="205"/>
      <c r="GH586" s="205"/>
      <c r="GI586" s="205"/>
      <c r="GJ586" s="205"/>
      <c r="GK586" s="205"/>
      <c r="GL586" s="205"/>
      <c r="GM586" s="205"/>
      <c r="GN586" s="205"/>
      <c r="GO586" s="205"/>
      <c r="GP586" s="205"/>
      <c r="GQ586" s="205"/>
      <c r="GR586" s="205"/>
      <c r="GS586" s="205"/>
      <c r="GT586" s="205"/>
      <c r="GU586" s="205"/>
      <c r="GV586" s="205"/>
      <c r="GW586" s="205"/>
      <c r="GX586" s="205"/>
      <c r="GY586" s="205"/>
      <c r="GZ586" s="205"/>
      <c r="HA586" s="205"/>
      <c r="HB586" s="205"/>
      <c r="HC586" s="205"/>
      <c r="HD586" s="205"/>
      <c r="HE586" s="205"/>
      <c r="HF586" s="205"/>
      <c r="HG586" s="205"/>
      <c r="HH586" s="205"/>
      <c r="HI586" s="205"/>
      <c r="HJ586" s="205"/>
      <c r="HK586" s="205"/>
      <c r="HL586" s="205"/>
      <c r="HM586" s="205"/>
      <c r="HN586" s="205"/>
      <c r="HO586" s="205"/>
      <c r="HP586" s="205"/>
      <c r="HQ586" s="205"/>
      <c r="HR586" s="205"/>
      <c r="HS586" s="205"/>
      <c r="HT586" s="205"/>
      <c r="HU586" s="205"/>
      <c r="HV586" s="205"/>
      <c r="HW586" s="205"/>
      <c r="HX586" s="205"/>
      <c r="HY586" s="205"/>
      <c r="HZ586" s="205"/>
      <c r="IA586" s="205"/>
      <c r="IB586" s="205"/>
      <c r="IC586" s="205"/>
      <c r="ID586" s="205"/>
      <c r="IE586" s="205"/>
      <c r="IF586" s="205"/>
      <c r="IG586" s="205"/>
      <c r="IH586" s="205"/>
      <c r="II586" s="205"/>
      <c r="IJ586" s="205"/>
      <c r="IK586" s="205"/>
      <c r="IL586" s="205"/>
      <c r="IM586" s="205"/>
      <c r="IN586" s="205"/>
      <c r="IO586" s="205"/>
      <c r="IP586" s="205"/>
      <c r="IQ586" s="205"/>
      <c r="IR586" s="205"/>
      <c r="IS586" s="205"/>
      <c r="IT586" s="205"/>
      <c r="IU586" s="205"/>
      <c r="IV586" s="205"/>
      <c r="IW586" s="205"/>
      <c r="IX586" s="205"/>
    </row>
    <row r="587" spans="1:258" s="196" customFormat="1" ht="18" x14ac:dyDescent="0.25">
      <c r="A587" s="205"/>
      <c r="B587" s="704"/>
      <c r="C587" s="709"/>
      <c r="D587" s="706"/>
      <c r="E587" s="706"/>
      <c r="F587" s="706"/>
      <c r="G587" s="711"/>
      <c r="H587" s="694"/>
      <c r="I587" s="694"/>
      <c r="J587" s="694"/>
      <c r="K587" s="694"/>
      <c r="L587" s="694"/>
      <c r="M587" s="694"/>
      <c r="N587" s="694"/>
      <c r="O587" s="694"/>
      <c r="P587" s="694"/>
      <c r="Q587" s="694"/>
      <c r="R587" s="204"/>
      <c r="S587" s="708"/>
      <c r="T587" s="714"/>
      <c r="U587" s="205"/>
      <c r="V587" s="662"/>
      <c r="W587" s="205"/>
      <c r="X587" s="205"/>
      <c r="Y587" s="205"/>
      <c r="Z587" s="205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5"/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5"/>
      <c r="BB587" s="205"/>
      <c r="BC587" s="205"/>
      <c r="BD587" s="205"/>
      <c r="BE587" s="205"/>
      <c r="BF587" s="205"/>
      <c r="BG587" s="205"/>
      <c r="BH587" s="205"/>
      <c r="BI587" s="205"/>
      <c r="BJ587" s="205"/>
      <c r="BK587" s="205"/>
      <c r="BL587" s="205"/>
      <c r="BM587" s="205"/>
      <c r="BN587" s="205"/>
      <c r="BO587" s="205"/>
      <c r="BP587" s="205"/>
      <c r="BQ587" s="205"/>
      <c r="BR587" s="205"/>
      <c r="BS587" s="205"/>
      <c r="BT587" s="205"/>
      <c r="BU587" s="205"/>
      <c r="BV587" s="205"/>
      <c r="BW587" s="205"/>
      <c r="BX587" s="205"/>
      <c r="BY587" s="205"/>
      <c r="BZ587" s="205"/>
      <c r="CA587" s="205"/>
      <c r="CB587" s="205"/>
      <c r="CC587" s="205"/>
      <c r="CD587" s="205"/>
      <c r="CE587" s="205"/>
      <c r="CF587" s="205"/>
      <c r="CG587" s="205"/>
      <c r="CH587" s="205"/>
      <c r="CI587" s="205"/>
      <c r="CJ587" s="205"/>
      <c r="CK587" s="205"/>
      <c r="CL587" s="205"/>
      <c r="CM587" s="205"/>
      <c r="CN587" s="205"/>
      <c r="CO587" s="205"/>
      <c r="CP587" s="205"/>
      <c r="CQ587" s="205"/>
      <c r="CR587" s="205"/>
      <c r="CS587" s="205"/>
      <c r="CT587" s="205"/>
      <c r="CU587" s="205"/>
      <c r="CV587" s="205"/>
      <c r="CW587" s="205"/>
      <c r="CX587" s="205"/>
      <c r="CY587" s="205"/>
      <c r="CZ587" s="205"/>
      <c r="DA587" s="205"/>
      <c r="DB587" s="205"/>
      <c r="DC587" s="205"/>
      <c r="DD587" s="205"/>
      <c r="DE587" s="205"/>
      <c r="DF587" s="205"/>
      <c r="DG587" s="205"/>
      <c r="DH587" s="205"/>
      <c r="DI587" s="205"/>
      <c r="DJ587" s="205"/>
      <c r="DK587" s="205"/>
      <c r="DL587" s="205"/>
      <c r="DM587" s="205"/>
      <c r="DN587" s="205"/>
      <c r="DO587" s="205"/>
      <c r="DP587" s="205"/>
      <c r="DQ587" s="205"/>
      <c r="DR587" s="205"/>
      <c r="DS587" s="205"/>
      <c r="DT587" s="205"/>
      <c r="DU587" s="205"/>
      <c r="DV587" s="205"/>
      <c r="DW587" s="205"/>
      <c r="DX587" s="205"/>
      <c r="DY587" s="205"/>
      <c r="DZ587" s="205"/>
      <c r="EA587" s="205"/>
      <c r="EB587" s="205"/>
      <c r="EC587" s="205"/>
      <c r="ED587" s="205"/>
      <c r="EE587" s="205"/>
      <c r="EF587" s="205"/>
      <c r="EG587" s="205"/>
      <c r="EH587" s="205"/>
      <c r="EI587" s="205"/>
      <c r="EJ587" s="205"/>
      <c r="EK587" s="205"/>
      <c r="EL587" s="205"/>
      <c r="EM587" s="205"/>
      <c r="EN587" s="205"/>
      <c r="EO587" s="205"/>
      <c r="EP587" s="205"/>
      <c r="EQ587" s="205"/>
      <c r="ER587" s="205"/>
      <c r="ES587" s="205"/>
      <c r="ET587" s="205"/>
      <c r="EU587" s="205"/>
      <c r="EV587" s="205"/>
      <c r="EW587" s="205"/>
      <c r="EX587" s="205"/>
      <c r="EY587" s="205"/>
      <c r="EZ587" s="205"/>
      <c r="FA587" s="205"/>
      <c r="FB587" s="205"/>
      <c r="FC587" s="205"/>
      <c r="FD587" s="205"/>
      <c r="FE587" s="205"/>
      <c r="FF587" s="205"/>
      <c r="FG587" s="205"/>
      <c r="FH587" s="205"/>
      <c r="FI587" s="205"/>
      <c r="FJ587" s="205"/>
      <c r="FK587" s="205"/>
      <c r="FL587" s="205"/>
      <c r="FM587" s="205"/>
      <c r="FN587" s="205"/>
      <c r="FO587" s="205"/>
      <c r="FP587" s="205"/>
      <c r="FQ587" s="205"/>
      <c r="FR587" s="205"/>
      <c r="FS587" s="205"/>
      <c r="FT587" s="205"/>
      <c r="FU587" s="205"/>
      <c r="FV587" s="205"/>
      <c r="FW587" s="205"/>
      <c r="FX587" s="205"/>
      <c r="FY587" s="205"/>
      <c r="FZ587" s="205"/>
      <c r="GA587" s="205"/>
      <c r="GB587" s="205"/>
      <c r="GC587" s="205"/>
      <c r="GD587" s="205"/>
      <c r="GE587" s="205"/>
      <c r="GF587" s="205"/>
      <c r="GG587" s="205"/>
      <c r="GH587" s="205"/>
      <c r="GI587" s="205"/>
      <c r="GJ587" s="205"/>
      <c r="GK587" s="205"/>
      <c r="GL587" s="205"/>
      <c r="GM587" s="205"/>
      <c r="GN587" s="205"/>
      <c r="GO587" s="205"/>
      <c r="GP587" s="205"/>
      <c r="GQ587" s="205"/>
      <c r="GR587" s="205"/>
      <c r="GS587" s="205"/>
      <c r="GT587" s="205"/>
      <c r="GU587" s="205"/>
      <c r="GV587" s="205"/>
      <c r="GW587" s="205"/>
      <c r="GX587" s="205"/>
      <c r="GY587" s="205"/>
      <c r="GZ587" s="205"/>
      <c r="HA587" s="205"/>
      <c r="HB587" s="205"/>
      <c r="HC587" s="205"/>
      <c r="HD587" s="205"/>
      <c r="HE587" s="205"/>
      <c r="HF587" s="205"/>
      <c r="HG587" s="205"/>
      <c r="HH587" s="205"/>
      <c r="HI587" s="205"/>
      <c r="HJ587" s="205"/>
      <c r="HK587" s="205"/>
      <c r="HL587" s="205"/>
      <c r="HM587" s="205"/>
      <c r="HN587" s="205"/>
      <c r="HO587" s="205"/>
      <c r="HP587" s="205"/>
      <c r="HQ587" s="205"/>
      <c r="HR587" s="205"/>
      <c r="HS587" s="205"/>
      <c r="HT587" s="205"/>
      <c r="HU587" s="205"/>
      <c r="HV587" s="205"/>
      <c r="HW587" s="205"/>
      <c r="HX587" s="205"/>
      <c r="HY587" s="205"/>
      <c r="HZ587" s="205"/>
      <c r="IA587" s="205"/>
      <c r="IB587" s="205"/>
      <c r="IC587" s="205"/>
      <c r="ID587" s="205"/>
      <c r="IE587" s="205"/>
      <c r="IF587" s="205"/>
      <c r="IG587" s="205"/>
      <c r="IH587" s="205"/>
      <c r="II587" s="205"/>
      <c r="IJ587" s="205"/>
      <c r="IK587" s="205"/>
      <c r="IL587" s="205"/>
      <c r="IM587" s="205"/>
      <c r="IN587" s="205"/>
      <c r="IO587" s="205"/>
      <c r="IP587" s="205"/>
      <c r="IQ587" s="205"/>
      <c r="IR587" s="205"/>
      <c r="IS587" s="205"/>
      <c r="IT587" s="205"/>
      <c r="IU587" s="205"/>
      <c r="IV587" s="205"/>
      <c r="IW587" s="205"/>
      <c r="IX587" s="205"/>
    </row>
    <row r="588" spans="1:258" s="196" customFormat="1" ht="18" x14ac:dyDescent="0.25">
      <c r="A588" s="205"/>
      <c r="B588" s="704"/>
      <c r="C588" s="709"/>
      <c r="D588" s="706"/>
      <c r="E588" s="706"/>
      <c r="F588" s="706"/>
      <c r="G588" s="711"/>
      <c r="H588" s="694"/>
      <c r="I588" s="694"/>
      <c r="J588" s="694"/>
      <c r="K588" s="694"/>
      <c r="L588" s="694"/>
      <c r="M588" s="694"/>
      <c r="N588" s="694"/>
      <c r="O588" s="694"/>
      <c r="P588" s="694"/>
      <c r="Q588" s="694"/>
      <c r="R588" s="204"/>
      <c r="S588" s="708"/>
      <c r="T588" s="714"/>
      <c r="U588" s="205"/>
      <c r="V588" s="662"/>
      <c r="W588" s="205"/>
      <c r="X588" s="205"/>
      <c r="Y588" s="205"/>
      <c r="Z588" s="205"/>
      <c r="AA588" s="205"/>
      <c r="AB588" s="205"/>
      <c r="AC588" s="205"/>
      <c r="AD588" s="205"/>
      <c r="AE588" s="205"/>
      <c r="AF588" s="205"/>
      <c r="AG588" s="205"/>
      <c r="AH588" s="205"/>
      <c r="AI588" s="205"/>
      <c r="AJ588" s="205"/>
      <c r="AK588" s="205"/>
      <c r="AL588" s="205"/>
      <c r="AM588" s="205"/>
      <c r="AN588" s="205"/>
      <c r="AO588" s="205"/>
      <c r="AP588" s="205"/>
      <c r="AQ588" s="205"/>
      <c r="AR588" s="205"/>
      <c r="AS588" s="205"/>
      <c r="AT588" s="205"/>
      <c r="AU588" s="205"/>
      <c r="AV588" s="205"/>
      <c r="AW588" s="205"/>
      <c r="AX588" s="205"/>
      <c r="AY588" s="205"/>
      <c r="AZ588" s="205"/>
      <c r="BA588" s="205"/>
      <c r="BB588" s="205"/>
      <c r="BC588" s="205"/>
      <c r="BD588" s="205"/>
      <c r="BE588" s="205"/>
      <c r="BF588" s="205"/>
      <c r="BG588" s="205"/>
      <c r="BH588" s="205"/>
      <c r="BI588" s="205"/>
      <c r="BJ588" s="205"/>
      <c r="BK588" s="205"/>
      <c r="BL588" s="205"/>
      <c r="BM588" s="205"/>
      <c r="BN588" s="205"/>
      <c r="BO588" s="205"/>
      <c r="BP588" s="205"/>
      <c r="BQ588" s="205"/>
      <c r="BR588" s="205"/>
      <c r="BS588" s="205"/>
      <c r="BT588" s="205"/>
      <c r="BU588" s="205"/>
      <c r="BV588" s="205"/>
      <c r="BW588" s="205"/>
      <c r="BX588" s="205"/>
      <c r="BY588" s="205"/>
      <c r="BZ588" s="205"/>
      <c r="CA588" s="205"/>
      <c r="CB588" s="205"/>
      <c r="CC588" s="205"/>
      <c r="CD588" s="205"/>
      <c r="CE588" s="205"/>
      <c r="CF588" s="205"/>
      <c r="CG588" s="205"/>
      <c r="CH588" s="205"/>
      <c r="CI588" s="205"/>
      <c r="CJ588" s="205"/>
      <c r="CK588" s="205"/>
      <c r="CL588" s="205"/>
      <c r="CM588" s="205"/>
      <c r="CN588" s="205"/>
      <c r="CO588" s="205"/>
      <c r="CP588" s="205"/>
      <c r="CQ588" s="205"/>
      <c r="CR588" s="205"/>
      <c r="CS588" s="205"/>
      <c r="CT588" s="205"/>
      <c r="CU588" s="205"/>
      <c r="CV588" s="205"/>
      <c r="CW588" s="205"/>
      <c r="CX588" s="205"/>
      <c r="CY588" s="205"/>
      <c r="CZ588" s="205"/>
      <c r="DA588" s="205"/>
      <c r="DB588" s="205"/>
      <c r="DC588" s="205"/>
      <c r="DD588" s="205"/>
      <c r="DE588" s="205"/>
      <c r="DF588" s="205"/>
      <c r="DG588" s="205"/>
      <c r="DH588" s="205"/>
      <c r="DI588" s="205"/>
      <c r="DJ588" s="205"/>
      <c r="DK588" s="205"/>
      <c r="DL588" s="205"/>
      <c r="DM588" s="205"/>
      <c r="DN588" s="205"/>
      <c r="DO588" s="205"/>
      <c r="DP588" s="205"/>
      <c r="DQ588" s="205"/>
      <c r="DR588" s="205"/>
      <c r="DS588" s="205"/>
      <c r="DT588" s="205"/>
      <c r="DU588" s="205"/>
      <c r="DV588" s="205"/>
      <c r="DW588" s="205"/>
      <c r="DX588" s="205"/>
      <c r="DY588" s="205"/>
      <c r="DZ588" s="205"/>
      <c r="EA588" s="205"/>
      <c r="EB588" s="205"/>
      <c r="EC588" s="205"/>
      <c r="ED588" s="205"/>
      <c r="EE588" s="205"/>
      <c r="EF588" s="205"/>
      <c r="EG588" s="205"/>
      <c r="EH588" s="205"/>
      <c r="EI588" s="205"/>
      <c r="EJ588" s="205"/>
      <c r="EK588" s="205"/>
      <c r="EL588" s="205"/>
      <c r="EM588" s="205"/>
      <c r="EN588" s="205"/>
      <c r="EO588" s="205"/>
      <c r="EP588" s="205"/>
      <c r="EQ588" s="205"/>
      <c r="ER588" s="205"/>
      <c r="ES588" s="205"/>
      <c r="ET588" s="205"/>
      <c r="EU588" s="205"/>
      <c r="EV588" s="205"/>
      <c r="EW588" s="205"/>
      <c r="EX588" s="205"/>
      <c r="EY588" s="205"/>
      <c r="EZ588" s="205"/>
      <c r="FA588" s="205"/>
      <c r="FB588" s="205"/>
      <c r="FC588" s="205"/>
      <c r="FD588" s="205"/>
      <c r="FE588" s="205"/>
      <c r="FF588" s="205"/>
      <c r="FG588" s="205"/>
      <c r="FH588" s="205"/>
      <c r="FI588" s="205"/>
      <c r="FJ588" s="205"/>
      <c r="FK588" s="205"/>
      <c r="FL588" s="205"/>
      <c r="FM588" s="205"/>
      <c r="FN588" s="205"/>
      <c r="FO588" s="205"/>
      <c r="FP588" s="205"/>
      <c r="FQ588" s="205"/>
      <c r="FR588" s="205"/>
      <c r="FS588" s="205"/>
      <c r="FT588" s="205"/>
      <c r="FU588" s="205"/>
      <c r="FV588" s="205"/>
      <c r="FW588" s="205"/>
      <c r="FX588" s="205"/>
      <c r="FY588" s="205"/>
      <c r="FZ588" s="205"/>
      <c r="GA588" s="205"/>
      <c r="GB588" s="205"/>
      <c r="GC588" s="205"/>
      <c r="GD588" s="205"/>
      <c r="GE588" s="205"/>
      <c r="GF588" s="205"/>
      <c r="GG588" s="205"/>
      <c r="GH588" s="205"/>
      <c r="GI588" s="205"/>
      <c r="GJ588" s="205"/>
      <c r="GK588" s="205"/>
      <c r="GL588" s="205"/>
      <c r="GM588" s="205"/>
      <c r="GN588" s="205"/>
      <c r="GO588" s="205"/>
      <c r="GP588" s="205"/>
      <c r="GQ588" s="205"/>
      <c r="GR588" s="205"/>
      <c r="GS588" s="205"/>
      <c r="GT588" s="205"/>
      <c r="GU588" s="205"/>
      <c r="GV588" s="205"/>
      <c r="GW588" s="205"/>
      <c r="GX588" s="205"/>
      <c r="GY588" s="205"/>
      <c r="GZ588" s="205"/>
      <c r="HA588" s="205"/>
      <c r="HB588" s="205"/>
      <c r="HC588" s="205"/>
      <c r="HD588" s="205"/>
      <c r="HE588" s="205"/>
      <c r="HF588" s="205"/>
      <c r="HG588" s="205"/>
      <c r="HH588" s="205"/>
      <c r="HI588" s="205"/>
      <c r="HJ588" s="205"/>
      <c r="HK588" s="205"/>
      <c r="HL588" s="205"/>
      <c r="HM588" s="205"/>
      <c r="HN588" s="205"/>
      <c r="HO588" s="205"/>
      <c r="HP588" s="205"/>
      <c r="HQ588" s="205"/>
      <c r="HR588" s="205"/>
      <c r="HS588" s="205"/>
      <c r="HT588" s="205"/>
      <c r="HU588" s="205"/>
      <c r="HV588" s="205"/>
      <c r="HW588" s="205"/>
      <c r="HX588" s="205"/>
      <c r="HY588" s="205"/>
      <c r="HZ588" s="205"/>
      <c r="IA588" s="205"/>
      <c r="IB588" s="205"/>
      <c r="IC588" s="205"/>
      <c r="ID588" s="205"/>
      <c r="IE588" s="205"/>
      <c r="IF588" s="205"/>
      <c r="IG588" s="205"/>
      <c r="IH588" s="205"/>
      <c r="II588" s="205"/>
      <c r="IJ588" s="205"/>
      <c r="IK588" s="205"/>
      <c r="IL588" s="205"/>
      <c r="IM588" s="205"/>
      <c r="IN588" s="205"/>
      <c r="IO588" s="205"/>
      <c r="IP588" s="205"/>
      <c r="IQ588" s="205"/>
      <c r="IR588" s="205"/>
      <c r="IS588" s="205"/>
      <c r="IT588" s="205"/>
      <c r="IU588" s="205"/>
      <c r="IV588" s="205"/>
      <c r="IW588" s="205"/>
      <c r="IX588" s="205"/>
    </row>
    <row r="589" spans="1:258" s="196" customFormat="1" ht="18" x14ac:dyDescent="0.25">
      <c r="A589" s="205"/>
      <c r="B589" s="704"/>
      <c r="C589" s="709"/>
      <c r="D589" s="706"/>
      <c r="E589" s="706"/>
      <c r="F589" s="706"/>
      <c r="G589" s="711"/>
      <c r="H589" s="694"/>
      <c r="I589" s="694"/>
      <c r="J589" s="694"/>
      <c r="K589" s="694"/>
      <c r="L589" s="694"/>
      <c r="M589" s="694"/>
      <c r="N589" s="694"/>
      <c r="O589" s="694"/>
      <c r="P589" s="694"/>
      <c r="Q589" s="694"/>
      <c r="R589" s="204"/>
      <c r="S589" s="708"/>
      <c r="T589" s="714"/>
      <c r="U589" s="205"/>
      <c r="V589" s="662"/>
      <c r="W589" s="205"/>
      <c r="X589" s="205"/>
      <c r="Y589" s="205"/>
      <c r="Z589" s="205"/>
      <c r="AA589" s="205"/>
      <c r="AB589" s="205"/>
      <c r="AC589" s="205"/>
      <c r="AD589" s="205"/>
      <c r="AE589" s="205"/>
      <c r="AF589" s="205"/>
      <c r="AG589" s="205"/>
      <c r="AH589" s="205"/>
      <c r="AI589" s="205"/>
      <c r="AJ589" s="205"/>
      <c r="AK589" s="205"/>
      <c r="AL589" s="205"/>
      <c r="AM589" s="205"/>
      <c r="AN589" s="205"/>
      <c r="AO589" s="205"/>
      <c r="AP589" s="205"/>
      <c r="AQ589" s="205"/>
      <c r="AR589" s="205"/>
      <c r="AS589" s="205"/>
      <c r="AT589" s="205"/>
      <c r="AU589" s="205"/>
      <c r="AV589" s="205"/>
      <c r="AW589" s="205"/>
      <c r="AX589" s="205"/>
      <c r="AY589" s="205"/>
      <c r="AZ589" s="205"/>
      <c r="BA589" s="205"/>
      <c r="BB589" s="205"/>
      <c r="BC589" s="205"/>
      <c r="BD589" s="205"/>
      <c r="BE589" s="205"/>
      <c r="BF589" s="205"/>
      <c r="BG589" s="205"/>
      <c r="BH589" s="205"/>
      <c r="BI589" s="205"/>
      <c r="BJ589" s="205"/>
      <c r="BK589" s="205"/>
      <c r="BL589" s="205"/>
      <c r="BM589" s="205"/>
      <c r="BN589" s="205"/>
      <c r="BO589" s="205"/>
      <c r="BP589" s="205"/>
      <c r="BQ589" s="205"/>
      <c r="BR589" s="205"/>
      <c r="BS589" s="205"/>
      <c r="BT589" s="205"/>
      <c r="BU589" s="205"/>
      <c r="BV589" s="205"/>
      <c r="BW589" s="205"/>
      <c r="BX589" s="205"/>
      <c r="BY589" s="205"/>
      <c r="BZ589" s="205"/>
      <c r="CA589" s="205"/>
      <c r="CB589" s="205"/>
      <c r="CC589" s="205"/>
      <c r="CD589" s="205"/>
      <c r="CE589" s="205"/>
      <c r="CF589" s="205"/>
      <c r="CG589" s="205"/>
      <c r="CH589" s="205"/>
      <c r="CI589" s="205"/>
      <c r="CJ589" s="205"/>
      <c r="CK589" s="205"/>
      <c r="CL589" s="205"/>
      <c r="CM589" s="205"/>
      <c r="CN589" s="205"/>
      <c r="CO589" s="205"/>
      <c r="CP589" s="205"/>
      <c r="CQ589" s="205"/>
      <c r="CR589" s="205"/>
      <c r="CS589" s="205"/>
      <c r="CT589" s="205"/>
      <c r="CU589" s="205"/>
      <c r="CV589" s="205"/>
      <c r="CW589" s="205"/>
      <c r="CX589" s="205"/>
      <c r="CY589" s="205"/>
      <c r="CZ589" s="205"/>
      <c r="DA589" s="205"/>
      <c r="DB589" s="205"/>
      <c r="DC589" s="205"/>
      <c r="DD589" s="205"/>
      <c r="DE589" s="205"/>
      <c r="DF589" s="205"/>
      <c r="DG589" s="205"/>
      <c r="DH589" s="205"/>
      <c r="DI589" s="205"/>
      <c r="DJ589" s="205"/>
      <c r="DK589" s="205"/>
      <c r="DL589" s="205"/>
      <c r="DM589" s="205"/>
      <c r="DN589" s="205"/>
      <c r="DO589" s="205"/>
      <c r="DP589" s="205"/>
      <c r="DQ589" s="205"/>
      <c r="DR589" s="205"/>
      <c r="DS589" s="205"/>
      <c r="DT589" s="205"/>
      <c r="DU589" s="205"/>
      <c r="DV589" s="205"/>
      <c r="DW589" s="205"/>
      <c r="DX589" s="205"/>
      <c r="DY589" s="205"/>
      <c r="DZ589" s="205"/>
      <c r="EA589" s="205"/>
      <c r="EB589" s="205"/>
      <c r="EC589" s="205"/>
      <c r="ED589" s="205"/>
      <c r="EE589" s="205"/>
      <c r="EF589" s="205"/>
      <c r="EG589" s="205"/>
      <c r="EH589" s="205"/>
      <c r="EI589" s="205"/>
      <c r="EJ589" s="205"/>
      <c r="EK589" s="205"/>
      <c r="EL589" s="205"/>
      <c r="EM589" s="205"/>
      <c r="EN589" s="205"/>
      <c r="EO589" s="205"/>
      <c r="EP589" s="205"/>
      <c r="EQ589" s="205"/>
      <c r="ER589" s="205"/>
      <c r="ES589" s="205"/>
      <c r="ET589" s="205"/>
      <c r="EU589" s="205"/>
      <c r="EV589" s="205"/>
      <c r="EW589" s="205"/>
      <c r="EX589" s="205"/>
      <c r="EY589" s="205"/>
      <c r="EZ589" s="205"/>
      <c r="FA589" s="205"/>
      <c r="FB589" s="205"/>
      <c r="FC589" s="205"/>
      <c r="FD589" s="205"/>
      <c r="FE589" s="205"/>
      <c r="FF589" s="205"/>
      <c r="FG589" s="205"/>
      <c r="FH589" s="205"/>
      <c r="FI589" s="205"/>
      <c r="FJ589" s="205"/>
      <c r="FK589" s="205"/>
      <c r="FL589" s="205"/>
      <c r="FM589" s="205"/>
      <c r="FN589" s="205"/>
      <c r="FO589" s="205"/>
      <c r="FP589" s="205"/>
      <c r="FQ589" s="205"/>
      <c r="FR589" s="205"/>
      <c r="FS589" s="205"/>
      <c r="FT589" s="205"/>
      <c r="FU589" s="205"/>
      <c r="FV589" s="205"/>
      <c r="FW589" s="205"/>
      <c r="FX589" s="205"/>
      <c r="FY589" s="205"/>
      <c r="FZ589" s="205"/>
      <c r="GA589" s="205"/>
      <c r="GB589" s="205"/>
      <c r="GC589" s="205"/>
      <c r="GD589" s="205"/>
      <c r="GE589" s="205"/>
      <c r="GF589" s="205"/>
      <c r="GG589" s="205"/>
      <c r="GH589" s="205"/>
      <c r="GI589" s="205"/>
      <c r="GJ589" s="205"/>
      <c r="GK589" s="205"/>
      <c r="GL589" s="205"/>
      <c r="GM589" s="205"/>
      <c r="GN589" s="205"/>
      <c r="GO589" s="205"/>
      <c r="GP589" s="205"/>
      <c r="GQ589" s="205"/>
      <c r="GR589" s="205"/>
      <c r="GS589" s="205"/>
      <c r="GT589" s="205"/>
      <c r="GU589" s="205"/>
      <c r="GV589" s="205"/>
      <c r="GW589" s="205"/>
      <c r="GX589" s="205"/>
      <c r="GY589" s="205"/>
      <c r="GZ589" s="205"/>
      <c r="HA589" s="205"/>
      <c r="HB589" s="205"/>
      <c r="HC589" s="205"/>
      <c r="HD589" s="205"/>
      <c r="HE589" s="205"/>
      <c r="HF589" s="205"/>
      <c r="HG589" s="205"/>
      <c r="HH589" s="205"/>
      <c r="HI589" s="205"/>
      <c r="HJ589" s="205"/>
      <c r="HK589" s="205"/>
      <c r="HL589" s="205"/>
      <c r="HM589" s="205"/>
      <c r="HN589" s="205"/>
      <c r="HO589" s="205"/>
      <c r="HP589" s="205"/>
      <c r="HQ589" s="205"/>
      <c r="HR589" s="205"/>
      <c r="HS589" s="205"/>
      <c r="HT589" s="205"/>
      <c r="HU589" s="205"/>
      <c r="HV589" s="205"/>
      <c r="HW589" s="205"/>
      <c r="HX589" s="205"/>
      <c r="HY589" s="205"/>
      <c r="HZ589" s="205"/>
      <c r="IA589" s="205"/>
      <c r="IB589" s="205"/>
      <c r="IC589" s="205"/>
      <c r="ID589" s="205"/>
      <c r="IE589" s="205"/>
      <c r="IF589" s="205"/>
      <c r="IG589" s="205"/>
      <c r="IH589" s="205"/>
      <c r="II589" s="205"/>
      <c r="IJ589" s="205"/>
      <c r="IK589" s="205"/>
      <c r="IL589" s="205"/>
      <c r="IM589" s="205"/>
      <c r="IN589" s="205"/>
      <c r="IO589" s="205"/>
      <c r="IP589" s="205"/>
      <c r="IQ589" s="205"/>
      <c r="IR589" s="205"/>
      <c r="IS589" s="205"/>
      <c r="IT589" s="205"/>
      <c r="IU589" s="205"/>
      <c r="IV589" s="205"/>
      <c r="IW589" s="205"/>
      <c r="IX589" s="205"/>
    </row>
    <row r="590" spans="1:258" s="196" customFormat="1" ht="18" x14ac:dyDescent="0.25">
      <c r="A590" s="205"/>
      <c r="B590" s="704"/>
      <c r="C590" s="709"/>
      <c r="D590" s="706"/>
      <c r="E590" s="706"/>
      <c r="F590" s="706"/>
      <c r="G590" s="711"/>
      <c r="H590" s="694"/>
      <c r="I590" s="694"/>
      <c r="J590" s="694"/>
      <c r="K590" s="694"/>
      <c r="L590" s="694"/>
      <c r="M590" s="694"/>
      <c r="N590" s="694"/>
      <c r="O590" s="694"/>
      <c r="P590" s="694"/>
      <c r="Q590" s="694"/>
      <c r="R590" s="204"/>
      <c r="S590" s="708"/>
      <c r="T590" s="714"/>
      <c r="U590" s="205"/>
      <c r="V590" s="662"/>
      <c r="W590" s="205"/>
      <c r="X590" s="205"/>
      <c r="Y590" s="205"/>
      <c r="Z590" s="205"/>
      <c r="AA590" s="205"/>
      <c r="AB590" s="205"/>
      <c r="AC590" s="205"/>
      <c r="AD590" s="205"/>
      <c r="AE590" s="205"/>
      <c r="AF590" s="205"/>
      <c r="AG590" s="205"/>
      <c r="AH590" s="205"/>
      <c r="AI590" s="205"/>
      <c r="AJ590" s="205"/>
      <c r="AK590" s="205"/>
      <c r="AL590" s="205"/>
      <c r="AM590" s="205"/>
      <c r="AN590" s="205"/>
      <c r="AO590" s="205"/>
      <c r="AP590" s="205"/>
      <c r="AQ590" s="205"/>
      <c r="AR590" s="205"/>
      <c r="AS590" s="205"/>
      <c r="AT590" s="205"/>
      <c r="AU590" s="205"/>
      <c r="AV590" s="205"/>
      <c r="AW590" s="205"/>
      <c r="AX590" s="205"/>
      <c r="AY590" s="205"/>
      <c r="AZ590" s="205"/>
      <c r="BA590" s="205"/>
      <c r="BB590" s="205"/>
      <c r="BC590" s="205"/>
      <c r="BD590" s="205"/>
      <c r="BE590" s="205"/>
      <c r="BF590" s="205"/>
      <c r="BG590" s="205"/>
      <c r="BH590" s="205"/>
      <c r="BI590" s="205"/>
      <c r="BJ590" s="205"/>
      <c r="BK590" s="205"/>
      <c r="BL590" s="205"/>
      <c r="BM590" s="205"/>
      <c r="BN590" s="205"/>
      <c r="BO590" s="205"/>
      <c r="BP590" s="205"/>
      <c r="BQ590" s="205"/>
      <c r="BR590" s="205"/>
      <c r="BS590" s="205"/>
      <c r="BT590" s="205"/>
      <c r="BU590" s="205"/>
      <c r="BV590" s="205"/>
      <c r="BW590" s="205"/>
      <c r="BX590" s="205"/>
      <c r="BY590" s="205"/>
      <c r="BZ590" s="205"/>
      <c r="CA590" s="205"/>
      <c r="CB590" s="205"/>
      <c r="CC590" s="205"/>
      <c r="CD590" s="205"/>
      <c r="CE590" s="205"/>
      <c r="CF590" s="205"/>
      <c r="CG590" s="205"/>
      <c r="CH590" s="205"/>
      <c r="CI590" s="205"/>
      <c r="CJ590" s="205"/>
      <c r="CK590" s="205"/>
      <c r="CL590" s="205"/>
      <c r="CM590" s="205"/>
      <c r="CN590" s="205"/>
      <c r="CO590" s="205"/>
      <c r="CP590" s="205"/>
      <c r="CQ590" s="205"/>
      <c r="CR590" s="205"/>
      <c r="CS590" s="205"/>
      <c r="CT590" s="205"/>
      <c r="CU590" s="205"/>
      <c r="CV590" s="205"/>
      <c r="CW590" s="205"/>
      <c r="CX590" s="205"/>
      <c r="CY590" s="205"/>
      <c r="CZ590" s="205"/>
      <c r="DA590" s="205"/>
      <c r="DB590" s="205"/>
      <c r="DC590" s="205"/>
      <c r="DD590" s="205"/>
      <c r="DE590" s="205"/>
      <c r="DF590" s="205"/>
      <c r="DG590" s="205"/>
      <c r="DH590" s="205"/>
      <c r="DI590" s="205"/>
      <c r="DJ590" s="205"/>
      <c r="DK590" s="205"/>
      <c r="DL590" s="205"/>
      <c r="DM590" s="205"/>
      <c r="DN590" s="205"/>
      <c r="DO590" s="205"/>
      <c r="DP590" s="205"/>
      <c r="DQ590" s="205"/>
      <c r="DR590" s="205"/>
      <c r="DS590" s="205"/>
      <c r="DT590" s="205"/>
      <c r="DU590" s="205"/>
      <c r="DV590" s="205"/>
      <c r="DW590" s="205"/>
      <c r="DX590" s="205"/>
      <c r="DY590" s="205"/>
      <c r="DZ590" s="205"/>
      <c r="EA590" s="205"/>
      <c r="EB590" s="205"/>
      <c r="EC590" s="205"/>
      <c r="ED590" s="205"/>
      <c r="EE590" s="205"/>
      <c r="EF590" s="205"/>
      <c r="EG590" s="205"/>
      <c r="EH590" s="205"/>
      <c r="EI590" s="205"/>
      <c r="EJ590" s="205"/>
      <c r="EK590" s="205"/>
      <c r="EL590" s="205"/>
      <c r="EM590" s="205"/>
      <c r="EN590" s="205"/>
      <c r="EO590" s="205"/>
      <c r="EP590" s="205"/>
      <c r="EQ590" s="205"/>
      <c r="ER590" s="205"/>
      <c r="ES590" s="205"/>
      <c r="ET590" s="205"/>
      <c r="EU590" s="205"/>
      <c r="EV590" s="205"/>
      <c r="EW590" s="205"/>
      <c r="EX590" s="205"/>
      <c r="EY590" s="205"/>
      <c r="EZ590" s="205"/>
      <c r="FA590" s="205"/>
      <c r="FB590" s="205"/>
      <c r="FC590" s="205"/>
      <c r="FD590" s="205"/>
      <c r="FE590" s="205"/>
      <c r="FF590" s="205"/>
      <c r="FG590" s="205"/>
      <c r="FH590" s="205"/>
      <c r="FI590" s="205"/>
      <c r="FJ590" s="205"/>
      <c r="FK590" s="205"/>
      <c r="FL590" s="205"/>
      <c r="FM590" s="205"/>
      <c r="FN590" s="205"/>
      <c r="FO590" s="205"/>
      <c r="FP590" s="205"/>
      <c r="FQ590" s="205"/>
      <c r="FR590" s="205"/>
      <c r="FS590" s="205"/>
      <c r="FT590" s="205"/>
      <c r="FU590" s="205"/>
      <c r="FV590" s="205"/>
      <c r="FW590" s="205"/>
      <c r="FX590" s="205"/>
      <c r="FY590" s="205"/>
      <c r="FZ590" s="205"/>
      <c r="GA590" s="205"/>
      <c r="GB590" s="205"/>
      <c r="GC590" s="205"/>
      <c r="GD590" s="205"/>
      <c r="GE590" s="205"/>
      <c r="GF590" s="205"/>
      <c r="GG590" s="205"/>
      <c r="GH590" s="205"/>
      <c r="GI590" s="205"/>
      <c r="GJ590" s="205"/>
      <c r="GK590" s="205"/>
      <c r="GL590" s="205"/>
      <c r="GM590" s="205"/>
      <c r="GN590" s="205"/>
      <c r="GO590" s="205"/>
      <c r="GP590" s="205"/>
      <c r="GQ590" s="205"/>
      <c r="GR590" s="205"/>
      <c r="GS590" s="205"/>
      <c r="GT590" s="205"/>
      <c r="GU590" s="205"/>
      <c r="GV590" s="205"/>
      <c r="GW590" s="205"/>
      <c r="GX590" s="205"/>
      <c r="GY590" s="205"/>
      <c r="GZ590" s="205"/>
      <c r="HA590" s="205"/>
      <c r="HB590" s="205"/>
      <c r="HC590" s="205"/>
      <c r="HD590" s="205"/>
      <c r="HE590" s="205"/>
      <c r="HF590" s="205"/>
      <c r="HG590" s="205"/>
      <c r="HH590" s="205"/>
      <c r="HI590" s="205"/>
      <c r="HJ590" s="205"/>
      <c r="HK590" s="205"/>
      <c r="HL590" s="205"/>
      <c r="HM590" s="205"/>
      <c r="HN590" s="205"/>
      <c r="HO590" s="205"/>
      <c r="HP590" s="205"/>
      <c r="HQ590" s="205"/>
      <c r="HR590" s="205"/>
      <c r="HS590" s="205"/>
      <c r="HT590" s="205"/>
      <c r="HU590" s="205"/>
      <c r="HV590" s="205"/>
      <c r="HW590" s="205"/>
      <c r="HX590" s="205"/>
      <c r="HY590" s="205"/>
      <c r="HZ590" s="205"/>
      <c r="IA590" s="205"/>
      <c r="IB590" s="205"/>
      <c r="IC590" s="205"/>
      <c r="ID590" s="205"/>
      <c r="IE590" s="205"/>
      <c r="IF590" s="205"/>
      <c r="IG590" s="205"/>
      <c r="IH590" s="205"/>
      <c r="II590" s="205"/>
      <c r="IJ590" s="205"/>
      <c r="IK590" s="205"/>
      <c r="IL590" s="205"/>
      <c r="IM590" s="205"/>
      <c r="IN590" s="205"/>
      <c r="IO590" s="205"/>
      <c r="IP590" s="205"/>
      <c r="IQ590" s="205"/>
      <c r="IR590" s="205"/>
      <c r="IS590" s="205"/>
      <c r="IT590" s="205"/>
      <c r="IU590" s="205"/>
      <c r="IV590" s="205"/>
      <c r="IW590" s="205"/>
      <c r="IX590" s="205"/>
    </row>
    <row r="591" spans="1:258" s="196" customFormat="1" ht="18" x14ac:dyDescent="0.25">
      <c r="A591" s="205"/>
      <c r="B591" s="704"/>
      <c r="C591" s="709"/>
      <c r="D591" s="706"/>
      <c r="E591" s="706"/>
      <c r="F591" s="706"/>
      <c r="G591" s="711"/>
      <c r="H591" s="694"/>
      <c r="I591" s="694"/>
      <c r="J591" s="694"/>
      <c r="K591" s="694"/>
      <c r="L591" s="694"/>
      <c r="M591" s="694"/>
      <c r="N591" s="694"/>
      <c r="O591" s="694"/>
      <c r="P591" s="694"/>
      <c r="Q591" s="694"/>
      <c r="R591" s="204"/>
      <c r="S591" s="708"/>
      <c r="T591" s="714"/>
      <c r="U591" s="205"/>
      <c r="V591" s="662"/>
      <c r="W591" s="205"/>
      <c r="X591" s="205"/>
      <c r="Y591" s="205"/>
      <c r="Z591" s="205"/>
      <c r="AA591" s="205"/>
      <c r="AB591" s="205"/>
      <c r="AC591" s="205"/>
      <c r="AD591" s="205"/>
      <c r="AE591" s="205"/>
      <c r="AF591" s="205"/>
      <c r="AG591" s="205"/>
      <c r="AH591" s="205"/>
      <c r="AI591" s="205"/>
      <c r="AJ591" s="205"/>
      <c r="AK591" s="205"/>
      <c r="AL591" s="205"/>
      <c r="AM591" s="205"/>
      <c r="AN591" s="205"/>
      <c r="AO591" s="205"/>
      <c r="AP591" s="205"/>
      <c r="AQ591" s="205"/>
      <c r="AR591" s="205"/>
      <c r="AS591" s="205"/>
      <c r="AT591" s="205"/>
      <c r="AU591" s="205"/>
      <c r="AV591" s="205"/>
      <c r="AW591" s="205"/>
      <c r="AX591" s="205"/>
      <c r="AY591" s="205"/>
      <c r="AZ591" s="205"/>
      <c r="BA591" s="205"/>
      <c r="BB591" s="205"/>
      <c r="BC591" s="205"/>
      <c r="BD591" s="205"/>
      <c r="BE591" s="205"/>
      <c r="BF591" s="205"/>
      <c r="BG591" s="205"/>
      <c r="BH591" s="205"/>
      <c r="BI591" s="205"/>
      <c r="BJ591" s="205"/>
      <c r="BK591" s="205"/>
      <c r="BL591" s="205"/>
      <c r="BM591" s="205"/>
      <c r="BN591" s="205"/>
      <c r="BO591" s="205"/>
      <c r="BP591" s="205"/>
      <c r="BQ591" s="205"/>
      <c r="BR591" s="205"/>
      <c r="BS591" s="205"/>
      <c r="BT591" s="205"/>
      <c r="BU591" s="205"/>
      <c r="BV591" s="205"/>
      <c r="BW591" s="205"/>
      <c r="BX591" s="205"/>
      <c r="BY591" s="205"/>
      <c r="BZ591" s="205"/>
      <c r="CA591" s="205"/>
      <c r="CB591" s="205"/>
      <c r="CC591" s="205"/>
      <c r="CD591" s="205"/>
      <c r="CE591" s="205"/>
      <c r="CF591" s="205"/>
      <c r="CG591" s="205"/>
      <c r="CH591" s="205"/>
      <c r="CI591" s="205"/>
      <c r="CJ591" s="205"/>
      <c r="CK591" s="205"/>
      <c r="CL591" s="205"/>
      <c r="CM591" s="205"/>
      <c r="CN591" s="205"/>
      <c r="CO591" s="205"/>
      <c r="CP591" s="205"/>
      <c r="CQ591" s="205"/>
      <c r="CR591" s="205"/>
      <c r="CS591" s="205"/>
      <c r="CT591" s="205"/>
      <c r="CU591" s="205"/>
      <c r="CV591" s="205"/>
      <c r="CW591" s="205"/>
      <c r="CX591" s="205"/>
      <c r="CY591" s="205"/>
      <c r="CZ591" s="205"/>
      <c r="DA591" s="205"/>
      <c r="DB591" s="205"/>
      <c r="DC591" s="205"/>
      <c r="DD591" s="205"/>
      <c r="DE591" s="205"/>
      <c r="DF591" s="205"/>
      <c r="DG591" s="205"/>
      <c r="DH591" s="205"/>
      <c r="DI591" s="205"/>
      <c r="DJ591" s="205"/>
      <c r="DK591" s="205"/>
      <c r="DL591" s="205"/>
      <c r="DM591" s="205"/>
      <c r="DN591" s="205"/>
      <c r="DO591" s="205"/>
      <c r="DP591" s="205"/>
      <c r="DQ591" s="205"/>
      <c r="DR591" s="205"/>
      <c r="DS591" s="205"/>
      <c r="DT591" s="205"/>
      <c r="DU591" s="205"/>
      <c r="DV591" s="205"/>
      <c r="DW591" s="205"/>
      <c r="DX591" s="205"/>
      <c r="DY591" s="205"/>
      <c r="DZ591" s="205"/>
      <c r="EA591" s="205"/>
      <c r="EB591" s="205"/>
      <c r="EC591" s="205"/>
      <c r="ED591" s="205"/>
      <c r="EE591" s="205"/>
      <c r="EF591" s="205"/>
      <c r="EG591" s="205"/>
      <c r="EH591" s="205"/>
      <c r="EI591" s="205"/>
      <c r="EJ591" s="205"/>
      <c r="EK591" s="205"/>
      <c r="EL591" s="205"/>
      <c r="EM591" s="205"/>
      <c r="EN591" s="205"/>
      <c r="EO591" s="205"/>
      <c r="EP591" s="205"/>
      <c r="EQ591" s="205"/>
      <c r="ER591" s="205"/>
      <c r="ES591" s="205"/>
      <c r="ET591" s="205"/>
      <c r="EU591" s="205"/>
      <c r="EV591" s="205"/>
      <c r="EW591" s="205"/>
      <c r="EX591" s="205"/>
      <c r="EY591" s="205"/>
      <c r="EZ591" s="205"/>
      <c r="FA591" s="205"/>
      <c r="FB591" s="205"/>
      <c r="FC591" s="205"/>
      <c r="FD591" s="205"/>
      <c r="FE591" s="205"/>
      <c r="FF591" s="205"/>
      <c r="FG591" s="205"/>
      <c r="FH591" s="205"/>
      <c r="FI591" s="205"/>
      <c r="FJ591" s="205"/>
      <c r="FK591" s="205"/>
      <c r="FL591" s="205"/>
      <c r="FM591" s="205"/>
      <c r="FN591" s="205"/>
      <c r="FO591" s="205"/>
      <c r="FP591" s="205"/>
      <c r="FQ591" s="205"/>
      <c r="FR591" s="205"/>
      <c r="FS591" s="205"/>
      <c r="FT591" s="205"/>
      <c r="FU591" s="205"/>
      <c r="FV591" s="205"/>
      <c r="FW591" s="205"/>
      <c r="FX591" s="205"/>
      <c r="FY591" s="205"/>
      <c r="FZ591" s="205"/>
      <c r="GA591" s="205"/>
      <c r="GB591" s="205"/>
      <c r="GC591" s="205"/>
      <c r="GD591" s="205"/>
      <c r="GE591" s="205"/>
      <c r="GF591" s="205"/>
      <c r="GG591" s="205"/>
      <c r="GH591" s="205"/>
      <c r="GI591" s="205"/>
      <c r="GJ591" s="205"/>
      <c r="GK591" s="205"/>
      <c r="GL591" s="205"/>
      <c r="GM591" s="205"/>
      <c r="GN591" s="205"/>
      <c r="GO591" s="205"/>
      <c r="GP591" s="205"/>
      <c r="GQ591" s="205"/>
      <c r="GR591" s="205"/>
      <c r="GS591" s="205"/>
      <c r="GT591" s="205"/>
      <c r="GU591" s="205"/>
      <c r="GV591" s="205"/>
      <c r="GW591" s="205"/>
      <c r="GX591" s="205"/>
      <c r="GY591" s="205"/>
      <c r="GZ591" s="205"/>
      <c r="HA591" s="205"/>
      <c r="HB591" s="205"/>
      <c r="HC591" s="205"/>
      <c r="HD591" s="205"/>
      <c r="HE591" s="205"/>
      <c r="HF591" s="205"/>
      <c r="HG591" s="205"/>
      <c r="HH591" s="205"/>
      <c r="HI591" s="205"/>
      <c r="HJ591" s="205"/>
      <c r="HK591" s="205"/>
      <c r="HL591" s="205"/>
      <c r="HM591" s="205"/>
      <c r="HN591" s="205"/>
      <c r="HO591" s="205"/>
      <c r="HP591" s="205"/>
      <c r="HQ591" s="205"/>
      <c r="HR591" s="205"/>
      <c r="HS591" s="205"/>
      <c r="HT591" s="205"/>
      <c r="HU591" s="205"/>
      <c r="HV591" s="205"/>
      <c r="HW591" s="205"/>
      <c r="HX591" s="205"/>
      <c r="HY591" s="205"/>
      <c r="HZ591" s="205"/>
      <c r="IA591" s="205"/>
      <c r="IB591" s="205"/>
      <c r="IC591" s="205"/>
      <c r="ID591" s="205"/>
      <c r="IE591" s="205"/>
      <c r="IF591" s="205"/>
      <c r="IG591" s="205"/>
      <c r="IH591" s="205"/>
      <c r="II591" s="205"/>
      <c r="IJ591" s="205"/>
      <c r="IK591" s="205"/>
      <c r="IL591" s="205"/>
      <c r="IM591" s="205"/>
      <c r="IN591" s="205"/>
      <c r="IO591" s="205"/>
      <c r="IP591" s="205"/>
      <c r="IQ591" s="205"/>
      <c r="IR591" s="205"/>
      <c r="IS591" s="205"/>
      <c r="IT591" s="205"/>
      <c r="IU591" s="205"/>
      <c r="IV591" s="205"/>
      <c r="IW591" s="205"/>
      <c r="IX591" s="205"/>
    </row>
    <row r="592" spans="1:258" s="196" customFormat="1" ht="18" x14ac:dyDescent="0.25">
      <c r="A592" s="205"/>
      <c r="B592" s="704"/>
      <c r="C592" s="709"/>
      <c r="D592" s="706"/>
      <c r="E592" s="706"/>
      <c r="F592" s="706"/>
      <c r="G592" s="711"/>
      <c r="H592" s="694"/>
      <c r="I592" s="694"/>
      <c r="J592" s="694"/>
      <c r="K592" s="694"/>
      <c r="L592" s="694"/>
      <c r="M592" s="694"/>
      <c r="N592" s="694"/>
      <c r="O592" s="694"/>
      <c r="P592" s="694"/>
      <c r="Q592" s="694"/>
      <c r="R592" s="204"/>
      <c r="S592" s="708"/>
      <c r="T592" s="714"/>
      <c r="U592" s="205"/>
      <c r="V592" s="662"/>
      <c r="W592" s="205"/>
      <c r="X592" s="205"/>
      <c r="Y592" s="205"/>
      <c r="Z592" s="205"/>
      <c r="AA592" s="205"/>
      <c r="AB592" s="205"/>
      <c r="AC592" s="205"/>
      <c r="AD592" s="205"/>
      <c r="AE592" s="205"/>
      <c r="AF592" s="205"/>
      <c r="AG592" s="205"/>
      <c r="AH592" s="205"/>
      <c r="AI592" s="205"/>
      <c r="AJ592" s="205"/>
      <c r="AK592" s="205"/>
      <c r="AL592" s="205"/>
      <c r="AM592" s="205"/>
      <c r="AN592" s="205"/>
      <c r="AO592" s="205"/>
      <c r="AP592" s="205"/>
      <c r="AQ592" s="205"/>
      <c r="AR592" s="205"/>
      <c r="AS592" s="205"/>
      <c r="AT592" s="205"/>
      <c r="AU592" s="205"/>
      <c r="AV592" s="205"/>
      <c r="AW592" s="205"/>
      <c r="AX592" s="205"/>
      <c r="AY592" s="205"/>
      <c r="AZ592" s="205"/>
      <c r="BA592" s="205"/>
      <c r="BB592" s="205"/>
      <c r="BC592" s="205"/>
      <c r="BD592" s="205"/>
      <c r="BE592" s="205"/>
      <c r="BF592" s="205"/>
      <c r="BG592" s="205"/>
      <c r="BH592" s="205"/>
      <c r="BI592" s="205"/>
      <c r="BJ592" s="205"/>
      <c r="BK592" s="205"/>
      <c r="BL592" s="205"/>
      <c r="BM592" s="205"/>
      <c r="BN592" s="205"/>
      <c r="BO592" s="205"/>
      <c r="BP592" s="205"/>
      <c r="BQ592" s="205"/>
      <c r="BR592" s="205"/>
      <c r="BS592" s="205"/>
      <c r="BT592" s="205"/>
      <c r="BU592" s="205"/>
      <c r="BV592" s="205"/>
      <c r="BW592" s="205"/>
      <c r="BX592" s="205"/>
      <c r="BY592" s="205"/>
      <c r="BZ592" s="205"/>
      <c r="CA592" s="205"/>
      <c r="CB592" s="205"/>
      <c r="CC592" s="205"/>
      <c r="CD592" s="205"/>
      <c r="CE592" s="205"/>
      <c r="CF592" s="205"/>
      <c r="CG592" s="205"/>
      <c r="CH592" s="205"/>
      <c r="CI592" s="205"/>
      <c r="CJ592" s="205"/>
      <c r="CK592" s="205"/>
      <c r="CL592" s="205"/>
      <c r="CM592" s="205"/>
      <c r="CN592" s="205"/>
      <c r="CO592" s="205"/>
      <c r="CP592" s="205"/>
      <c r="CQ592" s="205"/>
      <c r="CR592" s="205"/>
      <c r="CS592" s="205"/>
      <c r="CT592" s="205"/>
      <c r="CU592" s="205"/>
      <c r="CV592" s="205"/>
      <c r="CW592" s="205"/>
      <c r="CX592" s="205"/>
      <c r="CY592" s="205"/>
      <c r="CZ592" s="205"/>
      <c r="DA592" s="205"/>
      <c r="DB592" s="205"/>
      <c r="DC592" s="205"/>
      <c r="DD592" s="205"/>
      <c r="DE592" s="205"/>
      <c r="DF592" s="205"/>
      <c r="DG592" s="205"/>
      <c r="DH592" s="205"/>
      <c r="DI592" s="205"/>
      <c r="DJ592" s="205"/>
      <c r="DK592" s="205"/>
      <c r="DL592" s="205"/>
      <c r="DM592" s="205"/>
      <c r="DN592" s="205"/>
      <c r="DO592" s="205"/>
      <c r="DP592" s="205"/>
      <c r="DQ592" s="205"/>
      <c r="DR592" s="205"/>
      <c r="DS592" s="205"/>
      <c r="DT592" s="205"/>
      <c r="DU592" s="205"/>
      <c r="DV592" s="205"/>
      <c r="DW592" s="205"/>
      <c r="DX592" s="205"/>
      <c r="DY592" s="205"/>
      <c r="DZ592" s="205"/>
      <c r="EA592" s="205"/>
      <c r="EB592" s="205"/>
      <c r="EC592" s="205"/>
      <c r="ED592" s="205"/>
      <c r="EE592" s="205"/>
      <c r="EF592" s="205"/>
      <c r="EG592" s="205"/>
      <c r="EH592" s="205"/>
      <c r="EI592" s="205"/>
      <c r="EJ592" s="205"/>
      <c r="EK592" s="205"/>
      <c r="EL592" s="205"/>
      <c r="EM592" s="205"/>
      <c r="EN592" s="205"/>
      <c r="EO592" s="205"/>
      <c r="EP592" s="205"/>
      <c r="EQ592" s="205"/>
      <c r="ER592" s="205"/>
      <c r="ES592" s="205"/>
      <c r="ET592" s="205"/>
      <c r="EU592" s="205"/>
      <c r="EV592" s="205"/>
      <c r="EW592" s="205"/>
      <c r="EX592" s="205"/>
      <c r="EY592" s="205"/>
      <c r="EZ592" s="205"/>
      <c r="FA592" s="205"/>
      <c r="FB592" s="205"/>
      <c r="FC592" s="205"/>
      <c r="FD592" s="205"/>
      <c r="FE592" s="205"/>
      <c r="FF592" s="205"/>
      <c r="FG592" s="205"/>
      <c r="FH592" s="205"/>
      <c r="FI592" s="205"/>
      <c r="FJ592" s="205"/>
      <c r="FK592" s="205"/>
      <c r="FL592" s="205"/>
      <c r="FM592" s="205"/>
      <c r="FN592" s="205"/>
      <c r="FO592" s="205"/>
      <c r="FP592" s="205"/>
      <c r="FQ592" s="205"/>
      <c r="FR592" s="205"/>
      <c r="FS592" s="205"/>
      <c r="FT592" s="205"/>
      <c r="FU592" s="205"/>
      <c r="FV592" s="205"/>
      <c r="FW592" s="205"/>
      <c r="FX592" s="205"/>
      <c r="FY592" s="205"/>
      <c r="FZ592" s="205"/>
      <c r="GA592" s="205"/>
      <c r="GB592" s="205"/>
      <c r="GC592" s="205"/>
      <c r="GD592" s="205"/>
      <c r="GE592" s="205"/>
      <c r="GF592" s="205"/>
      <c r="GG592" s="205"/>
      <c r="GH592" s="205"/>
      <c r="GI592" s="205"/>
      <c r="GJ592" s="205"/>
      <c r="GK592" s="205"/>
      <c r="GL592" s="205"/>
      <c r="GM592" s="205"/>
      <c r="GN592" s="205"/>
      <c r="GO592" s="205"/>
      <c r="GP592" s="205"/>
      <c r="GQ592" s="205"/>
      <c r="GR592" s="205"/>
      <c r="GS592" s="205"/>
      <c r="GT592" s="205"/>
      <c r="GU592" s="205"/>
      <c r="GV592" s="205"/>
      <c r="GW592" s="205"/>
      <c r="GX592" s="205"/>
      <c r="GY592" s="205"/>
      <c r="GZ592" s="205"/>
      <c r="HA592" s="205"/>
      <c r="HB592" s="205"/>
      <c r="HC592" s="205"/>
      <c r="HD592" s="205"/>
      <c r="HE592" s="205"/>
      <c r="HF592" s="205"/>
      <c r="HG592" s="205"/>
      <c r="HH592" s="205"/>
      <c r="HI592" s="205"/>
      <c r="HJ592" s="205"/>
      <c r="HK592" s="205"/>
      <c r="HL592" s="205"/>
      <c r="HM592" s="205"/>
      <c r="HN592" s="205"/>
      <c r="HO592" s="205"/>
      <c r="HP592" s="205"/>
      <c r="HQ592" s="205"/>
      <c r="HR592" s="205"/>
      <c r="HS592" s="205"/>
      <c r="HT592" s="205"/>
      <c r="HU592" s="205"/>
      <c r="HV592" s="205"/>
      <c r="HW592" s="205"/>
      <c r="HX592" s="205"/>
      <c r="HY592" s="205"/>
      <c r="HZ592" s="205"/>
      <c r="IA592" s="205"/>
      <c r="IB592" s="205"/>
      <c r="IC592" s="205"/>
      <c r="ID592" s="205"/>
      <c r="IE592" s="205"/>
      <c r="IF592" s="205"/>
      <c r="IG592" s="205"/>
      <c r="IH592" s="205"/>
      <c r="II592" s="205"/>
      <c r="IJ592" s="205"/>
      <c r="IK592" s="205"/>
      <c r="IL592" s="205"/>
      <c r="IM592" s="205"/>
      <c r="IN592" s="205"/>
      <c r="IO592" s="205"/>
      <c r="IP592" s="205"/>
      <c r="IQ592" s="205"/>
      <c r="IR592" s="205"/>
      <c r="IS592" s="205"/>
      <c r="IT592" s="205"/>
      <c r="IU592" s="205"/>
      <c r="IV592" s="205"/>
      <c r="IW592" s="205"/>
      <c r="IX592" s="205"/>
    </row>
    <row r="593" spans="1:258" s="196" customFormat="1" ht="18" x14ac:dyDescent="0.25">
      <c r="A593" s="205"/>
      <c r="B593" s="704"/>
      <c r="C593" s="709"/>
      <c r="D593" s="706"/>
      <c r="E593" s="706"/>
      <c r="F593" s="706"/>
      <c r="G593" s="711"/>
      <c r="H593" s="694"/>
      <c r="I593" s="694"/>
      <c r="J593" s="694"/>
      <c r="K593" s="694"/>
      <c r="L593" s="694"/>
      <c r="M593" s="694"/>
      <c r="N593" s="694"/>
      <c r="O593" s="694"/>
      <c r="P593" s="694"/>
      <c r="Q593" s="694"/>
      <c r="R593" s="204"/>
      <c r="S593" s="708"/>
      <c r="T593" s="714"/>
      <c r="U593" s="205"/>
      <c r="V593" s="662"/>
      <c r="W593" s="205"/>
      <c r="X593" s="205"/>
      <c r="Y593" s="205"/>
      <c r="Z593" s="205"/>
      <c r="AA593" s="205"/>
      <c r="AB593" s="205"/>
      <c r="AC593" s="205"/>
      <c r="AD593" s="205"/>
      <c r="AE593" s="205"/>
      <c r="AF593" s="205"/>
      <c r="AG593" s="205"/>
      <c r="AH593" s="205"/>
      <c r="AI593" s="205"/>
      <c r="AJ593" s="205"/>
      <c r="AK593" s="205"/>
      <c r="AL593" s="205"/>
      <c r="AM593" s="205"/>
      <c r="AN593" s="205"/>
      <c r="AO593" s="205"/>
      <c r="AP593" s="205"/>
      <c r="AQ593" s="205"/>
      <c r="AR593" s="205"/>
      <c r="AS593" s="205"/>
      <c r="AT593" s="205"/>
      <c r="AU593" s="205"/>
      <c r="AV593" s="205"/>
      <c r="AW593" s="205"/>
      <c r="AX593" s="205"/>
      <c r="AY593" s="205"/>
      <c r="AZ593" s="205"/>
      <c r="BA593" s="205"/>
      <c r="BB593" s="205"/>
      <c r="BC593" s="205"/>
      <c r="BD593" s="205"/>
      <c r="BE593" s="205"/>
      <c r="BF593" s="205"/>
      <c r="BG593" s="205"/>
      <c r="BH593" s="205"/>
      <c r="BI593" s="205"/>
      <c r="BJ593" s="205"/>
      <c r="BK593" s="205"/>
      <c r="BL593" s="205"/>
      <c r="BM593" s="205"/>
      <c r="BN593" s="205"/>
      <c r="BO593" s="205"/>
      <c r="BP593" s="205"/>
      <c r="BQ593" s="205"/>
      <c r="BR593" s="205"/>
      <c r="BS593" s="205"/>
      <c r="BT593" s="205"/>
      <c r="BU593" s="205"/>
      <c r="BV593" s="205"/>
      <c r="BW593" s="205"/>
      <c r="BX593" s="205"/>
      <c r="BY593" s="205"/>
      <c r="BZ593" s="205"/>
      <c r="CA593" s="205"/>
      <c r="CB593" s="205"/>
      <c r="CC593" s="205"/>
      <c r="CD593" s="205"/>
      <c r="CE593" s="205"/>
      <c r="CF593" s="205"/>
      <c r="CG593" s="205"/>
      <c r="CH593" s="205"/>
      <c r="CI593" s="205"/>
      <c r="CJ593" s="205"/>
      <c r="CK593" s="205"/>
      <c r="CL593" s="205"/>
      <c r="CM593" s="205"/>
      <c r="CN593" s="205"/>
      <c r="CO593" s="205"/>
      <c r="CP593" s="205"/>
      <c r="CQ593" s="205"/>
      <c r="CR593" s="205"/>
      <c r="CS593" s="205"/>
      <c r="CT593" s="205"/>
      <c r="CU593" s="205"/>
      <c r="CV593" s="205"/>
      <c r="CW593" s="205"/>
      <c r="CX593" s="205"/>
      <c r="CY593" s="205"/>
      <c r="CZ593" s="205"/>
      <c r="DA593" s="205"/>
      <c r="DB593" s="205"/>
      <c r="DC593" s="205"/>
      <c r="DD593" s="205"/>
      <c r="DE593" s="205"/>
      <c r="DF593" s="205"/>
      <c r="DG593" s="205"/>
      <c r="DH593" s="205"/>
      <c r="DI593" s="205"/>
      <c r="DJ593" s="205"/>
      <c r="DK593" s="205"/>
      <c r="DL593" s="205"/>
      <c r="DM593" s="205"/>
      <c r="DN593" s="205"/>
      <c r="DO593" s="205"/>
      <c r="DP593" s="205"/>
      <c r="DQ593" s="205"/>
      <c r="DR593" s="205"/>
      <c r="DS593" s="205"/>
      <c r="DT593" s="205"/>
      <c r="DU593" s="205"/>
      <c r="DV593" s="205"/>
      <c r="DW593" s="205"/>
      <c r="DX593" s="205"/>
      <c r="DY593" s="205"/>
      <c r="DZ593" s="205"/>
      <c r="EA593" s="205"/>
      <c r="EB593" s="205"/>
      <c r="EC593" s="205"/>
      <c r="ED593" s="205"/>
      <c r="EE593" s="205"/>
      <c r="EF593" s="205"/>
      <c r="EG593" s="205"/>
      <c r="EH593" s="205"/>
      <c r="EI593" s="205"/>
      <c r="EJ593" s="205"/>
      <c r="EK593" s="205"/>
      <c r="EL593" s="205"/>
      <c r="EM593" s="205"/>
      <c r="EN593" s="205"/>
      <c r="EO593" s="205"/>
      <c r="EP593" s="205"/>
      <c r="EQ593" s="205"/>
      <c r="ER593" s="205"/>
      <c r="ES593" s="205"/>
      <c r="ET593" s="205"/>
      <c r="EU593" s="205"/>
      <c r="EV593" s="205"/>
      <c r="EW593" s="205"/>
      <c r="EX593" s="205"/>
      <c r="EY593" s="205"/>
      <c r="EZ593" s="205"/>
      <c r="FA593" s="205"/>
      <c r="FB593" s="205"/>
      <c r="FC593" s="205"/>
      <c r="FD593" s="205"/>
      <c r="FE593" s="205"/>
      <c r="FF593" s="205"/>
      <c r="FG593" s="205"/>
      <c r="FH593" s="205"/>
      <c r="FI593" s="205"/>
      <c r="FJ593" s="205"/>
      <c r="FK593" s="205"/>
      <c r="FL593" s="205"/>
      <c r="FM593" s="205"/>
      <c r="FN593" s="205"/>
      <c r="FO593" s="205"/>
      <c r="FP593" s="205"/>
      <c r="FQ593" s="205"/>
      <c r="FR593" s="205"/>
      <c r="FS593" s="205"/>
      <c r="FT593" s="205"/>
      <c r="FU593" s="205"/>
      <c r="FV593" s="205"/>
      <c r="FW593" s="205"/>
      <c r="FX593" s="205"/>
      <c r="FY593" s="205"/>
      <c r="FZ593" s="205"/>
      <c r="GA593" s="205"/>
      <c r="GB593" s="205"/>
      <c r="GC593" s="205"/>
      <c r="GD593" s="205"/>
      <c r="GE593" s="205"/>
      <c r="GF593" s="205"/>
      <c r="GG593" s="205"/>
      <c r="GH593" s="205"/>
      <c r="GI593" s="205"/>
      <c r="GJ593" s="205"/>
      <c r="GK593" s="205"/>
      <c r="GL593" s="205"/>
      <c r="GM593" s="205"/>
      <c r="GN593" s="205"/>
      <c r="GO593" s="205"/>
      <c r="GP593" s="205"/>
      <c r="GQ593" s="205"/>
      <c r="GR593" s="205"/>
      <c r="GS593" s="205"/>
      <c r="GT593" s="205"/>
      <c r="GU593" s="205"/>
      <c r="GV593" s="205"/>
      <c r="GW593" s="205"/>
      <c r="GX593" s="205"/>
      <c r="GY593" s="205"/>
      <c r="GZ593" s="205"/>
      <c r="HA593" s="205"/>
      <c r="HB593" s="205"/>
      <c r="HC593" s="205"/>
      <c r="HD593" s="205"/>
      <c r="HE593" s="205"/>
      <c r="HF593" s="205"/>
      <c r="HG593" s="205"/>
      <c r="HH593" s="205"/>
      <c r="HI593" s="205"/>
      <c r="HJ593" s="205"/>
      <c r="HK593" s="205"/>
      <c r="HL593" s="205"/>
      <c r="HM593" s="205"/>
      <c r="HN593" s="205"/>
      <c r="HO593" s="205"/>
      <c r="HP593" s="205"/>
      <c r="HQ593" s="205"/>
      <c r="HR593" s="205"/>
      <c r="HS593" s="205"/>
      <c r="HT593" s="205"/>
      <c r="HU593" s="205"/>
      <c r="HV593" s="205"/>
      <c r="HW593" s="205"/>
      <c r="HX593" s="205"/>
      <c r="HY593" s="205"/>
      <c r="HZ593" s="205"/>
      <c r="IA593" s="205"/>
      <c r="IB593" s="205"/>
      <c r="IC593" s="205"/>
      <c r="ID593" s="205"/>
      <c r="IE593" s="205"/>
      <c r="IF593" s="205"/>
      <c r="IG593" s="205"/>
      <c r="IH593" s="205"/>
      <c r="II593" s="205"/>
      <c r="IJ593" s="205"/>
      <c r="IK593" s="205"/>
      <c r="IL593" s="205"/>
      <c r="IM593" s="205"/>
      <c r="IN593" s="205"/>
      <c r="IO593" s="205"/>
      <c r="IP593" s="205"/>
      <c r="IQ593" s="205"/>
      <c r="IR593" s="205"/>
      <c r="IS593" s="205"/>
      <c r="IT593" s="205"/>
      <c r="IU593" s="205"/>
      <c r="IV593" s="205"/>
      <c r="IW593" s="205"/>
      <c r="IX593" s="205"/>
    </row>
    <row r="594" spans="1:258" s="196" customFormat="1" ht="18" x14ac:dyDescent="0.25">
      <c r="A594" s="205"/>
      <c r="B594" s="704"/>
      <c r="C594" s="709"/>
      <c r="D594" s="706"/>
      <c r="E594" s="706"/>
      <c r="F594" s="706"/>
      <c r="G594" s="711"/>
      <c r="H594" s="694"/>
      <c r="I594" s="694"/>
      <c r="J594" s="694"/>
      <c r="K594" s="694"/>
      <c r="L594" s="694"/>
      <c r="M594" s="694"/>
      <c r="N594" s="694"/>
      <c r="O594" s="694"/>
      <c r="P594" s="694"/>
      <c r="Q594" s="694"/>
      <c r="R594" s="204"/>
      <c r="S594" s="708"/>
      <c r="T594" s="714"/>
      <c r="U594" s="205"/>
      <c r="V594" s="662"/>
      <c r="W594" s="205"/>
      <c r="X594" s="205"/>
      <c r="Y594" s="205"/>
      <c r="Z594" s="205"/>
      <c r="AA594" s="205"/>
      <c r="AB594" s="205"/>
      <c r="AC594" s="205"/>
      <c r="AD594" s="205"/>
      <c r="AE594" s="205"/>
      <c r="AF594" s="205"/>
      <c r="AG594" s="205"/>
      <c r="AH594" s="205"/>
      <c r="AI594" s="205"/>
      <c r="AJ594" s="205"/>
      <c r="AK594" s="205"/>
      <c r="AL594" s="205"/>
      <c r="AM594" s="205"/>
      <c r="AN594" s="205"/>
      <c r="AO594" s="205"/>
      <c r="AP594" s="205"/>
      <c r="AQ594" s="205"/>
      <c r="AR594" s="205"/>
      <c r="AS594" s="205"/>
      <c r="AT594" s="205"/>
      <c r="AU594" s="205"/>
      <c r="AV594" s="205"/>
      <c r="AW594" s="205"/>
      <c r="AX594" s="205"/>
      <c r="AY594" s="205"/>
      <c r="AZ594" s="205"/>
      <c r="BA594" s="205"/>
      <c r="BB594" s="205"/>
      <c r="BC594" s="205"/>
      <c r="BD594" s="205"/>
      <c r="BE594" s="205"/>
      <c r="BF594" s="205"/>
      <c r="BG594" s="205"/>
      <c r="BH594" s="205"/>
      <c r="BI594" s="205"/>
      <c r="BJ594" s="205"/>
      <c r="BK594" s="205"/>
      <c r="BL594" s="205"/>
      <c r="BM594" s="205"/>
      <c r="BN594" s="205"/>
      <c r="BO594" s="205"/>
      <c r="BP594" s="205"/>
      <c r="BQ594" s="205"/>
      <c r="BR594" s="205"/>
      <c r="BS594" s="205"/>
      <c r="BT594" s="205"/>
      <c r="BU594" s="205"/>
      <c r="BV594" s="205"/>
      <c r="BW594" s="205"/>
      <c r="BX594" s="205"/>
      <c r="BY594" s="205"/>
      <c r="BZ594" s="205"/>
      <c r="CA594" s="205"/>
      <c r="CB594" s="205"/>
      <c r="CC594" s="205"/>
      <c r="CD594" s="205"/>
      <c r="CE594" s="205"/>
      <c r="CF594" s="205"/>
      <c r="CG594" s="205"/>
      <c r="CH594" s="205"/>
      <c r="CI594" s="205"/>
      <c r="CJ594" s="205"/>
      <c r="CK594" s="205"/>
      <c r="CL594" s="205"/>
      <c r="CM594" s="205"/>
      <c r="CN594" s="205"/>
      <c r="CO594" s="205"/>
      <c r="CP594" s="205"/>
      <c r="CQ594" s="205"/>
      <c r="CR594" s="205"/>
      <c r="CS594" s="205"/>
      <c r="CT594" s="205"/>
      <c r="CU594" s="205"/>
      <c r="CV594" s="205"/>
      <c r="CW594" s="205"/>
      <c r="CX594" s="205"/>
      <c r="CY594" s="205"/>
      <c r="CZ594" s="205"/>
      <c r="DA594" s="205"/>
      <c r="DB594" s="205"/>
      <c r="DC594" s="205"/>
      <c r="DD594" s="205"/>
      <c r="DE594" s="205"/>
      <c r="DF594" s="205"/>
      <c r="DG594" s="205"/>
      <c r="DH594" s="205"/>
      <c r="DI594" s="205"/>
      <c r="DJ594" s="205"/>
      <c r="DK594" s="205"/>
      <c r="DL594" s="205"/>
      <c r="DM594" s="205"/>
      <c r="DN594" s="205"/>
      <c r="DO594" s="205"/>
      <c r="DP594" s="205"/>
      <c r="DQ594" s="205"/>
      <c r="DR594" s="205"/>
      <c r="DS594" s="205"/>
      <c r="DT594" s="205"/>
      <c r="DU594" s="205"/>
      <c r="DV594" s="205"/>
      <c r="DW594" s="205"/>
      <c r="DX594" s="205"/>
      <c r="DY594" s="205"/>
      <c r="DZ594" s="205"/>
      <c r="EA594" s="205"/>
      <c r="EB594" s="205"/>
      <c r="EC594" s="205"/>
      <c r="ED594" s="205"/>
      <c r="EE594" s="205"/>
      <c r="EF594" s="205"/>
      <c r="EG594" s="205"/>
      <c r="EH594" s="205"/>
      <c r="EI594" s="205"/>
      <c r="EJ594" s="205"/>
      <c r="EK594" s="205"/>
      <c r="EL594" s="205"/>
      <c r="EM594" s="205"/>
      <c r="EN594" s="205"/>
      <c r="EO594" s="205"/>
      <c r="EP594" s="205"/>
      <c r="EQ594" s="205"/>
      <c r="ER594" s="205"/>
      <c r="ES594" s="205"/>
      <c r="ET594" s="205"/>
      <c r="EU594" s="205"/>
      <c r="EV594" s="205"/>
      <c r="EW594" s="205"/>
      <c r="EX594" s="205"/>
      <c r="EY594" s="205"/>
      <c r="EZ594" s="205"/>
      <c r="FA594" s="205"/>
      <c r="FB594" s="205"/>
      <c r="FC594" s="205"/>
      <c r="FD594" s="205"/>
      <c r="FE594" s="205"/>
      <c r="FF594" s="205"/>
      <c r="FG594" s="205"/>
      <c r="FH594" s="205"/>
      <c r="FI594" s="205"/>
      <c r="FJ594" s="205"/>
      <c r="FK594" s="205"/>
      <c r="FL594" s="205"/>
      <c r="FM594" s="205"/>
      <c r="FN594" s="205"/>
      <c r="FO594" s="205"/>
      <c r="FP594" s="205"/>
      <c r="FQ594" s="205"/>
      <c r="FR594" s="205"/>
      <c r="FS594" s="205"/>
      <c r="FT594" s="205"/>
      <c r="FU594" s="205"/>
      <c r="FV594" s="205"/>
      <c r="FW594" s="205"/>
      <c r="FX594" s="205"/>
      <c r="FY594" s="205"/>
      <c r="FZ594" s="205"/>
      <c r="GA594" s="205"/>
      <c r="GB594" s="205"/>
      <c r="GC594" s="205"/>
      <c r="GD594" s="205"/>
      <c r="GE594" s="205"/>
      <c r="GF594" s="205"/>
      <c r="GG594" s="205"/>
      <c r="GH594" s="205"/>
      <c r="GI594" s="205"/>
      <c r="GJ594" s="205"/>
      <c r="GK594" s="205"/>
      <c r="GL594" s="205"/>
      <c r="GM594" s="205"/>
      <c r="GN594" s="205"/>
      <c r="GO594" s="205"/>
      <c r="GP594" s="205"/>
      <c r="GQ594" s="205"/>
      <c r="GR594" s="205"/>
      <c r="GS594" s="205"/>
      <c r="GT594" s="205"/>
      <c r="GU594" s="205"/>
      <c r="GV594" s="205"/>
      <c r="GW594" s="205"/>
      <c r="GX594" s="205"/>
      <c r="GY594" s="205"/>
      <c r="GZ594" s="205"/>
      <c r="HA594" s="205"/>
      <c r="HB594" s="205"/>
      <c r="HC594" s="205"/>
      <c r="HD594" s="205"/>
      <c r="HE594" s="205"/>
      <c r="HF594" s="205"/>
      <c r="HG594" s="205"/>
      <c r="HH594" s="205"/>
      <c r="HI594" s="205"/>
      <c r="HJ594" s="205"/>
      <c r="HK594" s="205"/>
      <c r="HL594" s="205"/>
      <c r="HM594" s="205"/>
      <c r="HN594" s="205"/>
      <c r="HO594" s="205"/>
      <c r="HP594" s="205"/>
      <c r="HQ594" s="205"/>
      <c r="HR594" s="205"/>
      <c r="HS594" s="205"/>
      <c r="HT594" s="205"/>
      <c r="HU594" s="205"/>
      <c r="HV594" s="205"/>
      <c r="HW594" s="205"/>
      <c r="HX594" s="205"/>
      <c r="HY594" s="205"/>
      <c r="HZ594" s="205"/>
      <c r="IA594" s="205"/>
      <c r="IB594" s="205"/>
      <c r="IC594" s="205"/>
      <c r="ID594" s="205"/>
      <c r="IE594" s="205"/>
      <c r="IF594" s="205"/>
      <c r="IG594" s="205"/>
      <c r="IH594" s="205"/>
      <c r="II594" s="205"/>
      <c r="IJ594" s="205"/>
      <c r="IK594" s="205"/>
      <c r="IL594" s="205"/>
      <c r="IM594" s="205"/>
      <c r="IN594" s="205"/>
      <c r="IO594" s="205"/>
      <c r="IP594" s="205"/>
      <c r="IQ594" s="205"/>
      <c r="IR594" s="205"/>
      <c r="IS594" s="205"/>
      <c r="IT594" s="205"/>
      <c r="IU594" s="205"/>
      <c r="IV594" s="205"/>
      <c r="IW594" s="205"/>
      <c r="IX594" s="205"/>
    </row>
    <row r="595" spans="1:258" s="196" customFormat="1" ht="18" x14ac:dyDescent="0.25">
      <c r="A595" s="205"/>
      <c r="B595" s="704"/>
      <c r="C595" s="709"/>
      <c r="D595" s="706"/>
      <c r="E595" s="706"/>
      <c r="F595" s="706"/>
      <c r="G595" s="711"/>
      <c r="H595" s="694"/>
      <c r="I595" s="694"/>
      <c r="J595" s="694"/>
      <c r="K595" s="694"/>
      <c r="L595" s="694"/>
      <c r="M595" s="694"/>
      <c r="N595" s="694"/>
      <c r="O595" s="694"/>
      <c r="P595" s="694"/>
      <c r="Q595" s="694"/>
      <c r="R595" s="204"/>
      <c r="S595" s="708"/>
      <c r="T595" s="714"/>
      <c r="U595" s="205"/>
      <c r="V595" s="662"/>
      <c r="W595" s="205"/>
      <c r="X595" s="205"/>
      <c r="Y595" s="205"/>
      <c r="Z595" s="205"/>
      <c r="AA595" s="205"/>
      <c r="AB595" s="205"/>
      <c r="AC595" s="205"/>
      <c r="AD595" s="205"/>
      <c r="AE595" s="205"/>
      <c r="AF595" s="205"/>
      <c r="AG595" s="205"/>
      <c r="AH595" s="205"/>
      <c r="AI595" s="205"/>
      <c r="AJ595" s="205"/>
      <c r="AK595" s="205"/>
      <c r="AL595" s="205"/>
      <c r="AM595" s="205"/>
      <c r="AN595" s="205"/>
      <c r="AO595" s="205"/>
      <c r="AP595" s="205"/>
      <c r="AQ595" s="205"/>
      <c r="AR595" s="205"/>
      <c r="AS595" s="205"/>
      <c r="AT595" s="205"/>
      <c r="AU595" s="205"/>
      <c r="AV595" s="205"/>
      <c r="AW595" s="205"/>
      <c r="AX595" s="205"/>
      <c r="AY595" s="205"/>
      <c r="AZ595" s="205"/>
      <c r="BA595" s="205"/>
      <c r="BB595" s="205"/>
      <c r="BC595" s="205"/>
      <c r="BD595" s="205"/>
      <c r="BE595" s="205"/>
      <c r="BF595" s="205"/>
      <c r="BG595" s="205"/>
      <c r="BH595" s="205"/>
      <c r="BI595" s="205"/>
      <c r="BJ595" s="205"/>
      <c r="BK595" s="205"/>
      <c r="BL595" s="205"/>
      <c r="BM595" s="205"/>
      <c r="BN595" s="205"/>
      <c r="BO595" s="205"/>
      <c r="BP595" s="205"/>
      <c r="BQ595" s="205"/>
      <c r="BR595" s="205"/>
      <c r="BS595" s="205"/>
      <c r="BT595" s="205"/>
      <c r="BU595" s="205"/>
      <c r="BV595" s="205"/>
      <c r="BW595" s="205"/>
      <c r="BX595" s="205"/>
      <c r="BY595" s="205"/>
      <c r="BZ595" s="205"/>
      <c r="CA595" s="205"/>
      <c r="CB595" s="205"/>
      <c r="CC595" s="205"/>
      <c r="CD595" s="205"/>
      <c r="CE595" s="205"/>
      <c r="CF595" s="205"/>
      <c r="CG595" s="205"/>
      <c r="CH595" s="205"/>
      <c r="CI595" s="205"/>
      <c r="CJ595" s="205"/>
      <c r="CK595" s="205"/>
      <c r="CL595" s="205"/>
      <c r="CM595" s="205"/>
      <c r="CN595" s="205"/>
      <c r="CO595" s="205"/>
      <c r="CP595" s="205"/>
      <c r="CQ595" s="205"/>
      <c r="CR595" s="205"/>
      <c r="CS595" s="205"/>
      <c r="CT595" s="205"/>
      <c r="CU595" s="205"/>
      <c r="CV595" s="205"/>
      <c r="CW595" s="205"/>
      <c r="CX595" s="205"/>
      <c r="CY595" s="205"/>
      <c r="CZ595" s="205"/>
      <c r="DA595" s="205"/>
      <c r="DB595" s="205"/>
      <c r="DC595" s="205"/>
      <c r="DD595" s="205"/>
      <c r="DE595" s="205"/>
      <c r="DF595" s="205"/>
      <c r="DG595" s="205"/>
      <c r="DH595" s="205"/>
      <c r="DI595" s="205"/>
      <c r="DJ595" s="205"/>
      <c r="DK595" s="205"/>
      <c r="DL595" s="205"/>
      <c r="DM595" s="205"/>
      <c r="DN595" s="205"/>
      <c r="DO595" s="205"/>
      <c r="DP595" s="205"/>
      <c r="DQ595" s="205"/>
      <c r="DR595" s="205"/>
      <c r="DS595" s="205"/>
      <c r="DT595" s="205"/>
      <c r="DU595" s="205"/>
      <c r="DV595" s="205"/>
      <c r="DW595" s="205"/>
      <c r="DX595" s="205"/>
      <c r="DY595" s="205"/>
      <c r="DZ595" s="205"/>
      <c r="EA595" s="205"/>
      <c r="EB595" s="205"/>
      <c r="EC595" s="205"/>
      <c r="ED595" s="205"/>
      <c r="EE595" s="205"/>
      <c r="EF595" s="205"/>
      <c r="EG595" s="205"/>
      <c r="EH595" s="205"/>
      <c r="EI595" s="205"/>
      <c r="EJ595" s="205"/>
      <c r="EK595" s="205"/>
      <c r="EL595" s="205"/>
      <c r="EM595" s="205"/>
      <c r="EN595" s="205"/>
      <c r="EO595" s="205"/>
      <c r="EP595" s="205"/>
      <c r="EQ595" s="205"/>
      <c r="ER595" s="205"/>
      <c r="ES595" s="205"/>
      <c r="ET595" s="205"/>
      <c r="EU595" s="205"/>
      <c r="EV595" s="205"/>
      <c r="EW595" s="205"/>
      <c r="EX595" s="205"/>
      <c r="EY595" s="205"/>
      <c r="EZ595" s="205"/>
      <c r="FA595" s="205"/>
      <c r="FB595" s="205"/>
      <c r="FC595" s="205"/>
      <c r="FD595" s="205"/>
      <c r="FE595" s="205"/>
      <c r="FF595" s="205"/>
      <c r="FG595" s="205"/>
      <c r="FH595" s="205"/>
      <c r="FI595" s="205"/>
      <c r="FJ595" s="205"/>
      <c r="FK595" s="205"/>
      <c r="FL595" s="205"/>
      <c r="FM595" s="205"/>
      <c r="FN595" s="205"/>
      <c r="FO595" s="205"/>
      <c r="FP595" s="205"/>
      <c r="FQ595" s="205"/>
      <c r="FR595" s="205"/>
      <c r="FS595" s="205"/>
      <c r="FT595" s="205"/>
      <c r="FU595" s="205"/>
      <c r="FV595" s="205"/>
      <c r="FW595" s="205"/>
      <c r="FX595" s="205"/>
      <c r="FY595" s="205"/>
      <c r="FZ595" s="205"/>
      <c r="GA595" s="205"/>
      <c r="GB595" s="205"/>
      <c r="GC595" s="205"/>
      <c r="GD595" s="205"/>
      <c r="GE595" s="205"/>
      <c r="GF595" s="205"/>
      <c r="GG595" s="205"/>
      <c r="GH595" s="205"/>
      <c r="GI595" s="205"/>
      <c r="GJ595" s="205"/>
      <c r="GK595" s="205"/>
      <c r="GL595" s="205"/>
      <c r="GM595" s="205"/>
      <c r="GN595" s="205"/>
      <c r="GO595" s="205"/>
      <c r="GP595" s="205"/>
      <c r="GQ595" s="205"/>
      <c r="GR595" s="205"/>
      <c r="GS595" s="205"/>
      <c r="GT595" s="205"/>
      <c r="GU595" s="205"/>
      <c r="GV595" s="205"/>
      <c r="GW595" s="205"/>
      <c r="GX595" s="205"/>
      <c r="GY595" s="205"/>
      <c r="GZ595" s="205"/>
      <c r="HA595" s="205"/>
      <c r="HB595" s="205"/>
      <c r="HC595" s="205"/>
      <c r="HD595" s="205"/>
      <c r="HE595" s="205"/>
      <c r="HF595" s="205"/>
      <c r="HG595" s="205"/>
      <c r="HH595" s="205"/>
      <c r="HI595" s="205"/>
      <c r="HJ595" s="205"/>
      <c r="HK595" s="205"/>
      <c r="HL595" s="205"/>
      <c r="HM595" s="205"/>
      <c r="HN595" s="205"/>
      <c r="HO595" s="205"/>
      <c r="HP595" s="205"/>
      <c r="HQ595" s="205"/>
      <c r="HR595" s="205"/>
      <c r="HS595" s="205"/>
      <c r="HT595" s="205"/>
      <c r="HU595" s="205"/>
      <c r="HV595" s="205"/>
      <c r="HW595" s="205"/>
      <c r="HX595" s="205"/>
      <c r="HY595" s="205"/>
      <c r="HZ595" s="205"/>
      <c r="IA595" s="205"/>
      <c r="IB595" s="205"/>
      <c r="IC595" s="205"/>
      <c r="ID595" s="205"/>
      <c r="IE595" s="205"/>
      <c r="IF595" s="205"/>
      <c r="IG595" s="205"/>
      <c r="IH595" s="205"/>
      <c r="II595" s="205"/>
      <c r="IJ595" s="205"/>
      <c r="IK595" s="205"/>
      <c r="IL595" s="205"/>
      <c r="IM595" s="205"/>
      <c r="IN595" s="205"/>
      <c r="IO595" s="205"/>
      <c r="IP595" s="205"/>
      <c r="IQ595" s="205"/>
      <c r="IR595" s="205"/>
      <c r="IS595" s="205"/>
      <c r="IT595" s="205"/>
      <c r="IU595" s="205"/>
      <c r="IV595" s="205"/>
      <c r="IW595" s="205"/>
      <c r="IX595" s="205"/>
    </row>
    <row r="596" spans="1:258" s="196" customFormat="1" ht="18" x14ac:dyDescent="0.25">
      <c r="A596" s="205"/>
      <c r="B596" s="704"/>
      <c r="C596" s="709"/>
      <c r="D596" s="706"/>
      <c r="E596" s="706"/>
      <c r="F596" s="706"/>
      <c r="G596" s="711"/>
      <c r="H596" s="694"/>
      <c r="I596" s="694"/>
      <c r="J596" s="694"/>
      <c r="K596" s="694"/>
      <c r="L596" s="694"/>
      <c r="M596" s="694"/>
      <c r="N596" s="694"/>
      <c r="O596" s="694"/>
      <c r="P596" s="694"/>
      <c r="Q596" s="694"/>
      <c r="R596" s="204"/>
      <c r="S596" s="708"/>
      <c r="T596" s="714"/>
      <c r="U596" s="205"/>
      <c r="V596" s="662"/>
      <c r="W596" s="205"/>
      <c r="X596" s="205"/>
      <c r="Y596" s="205"/>
      <c r="Z596" s="205"/>
      <c r="AA596" s="205"/>
      <c r="AB596" s="205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05"/>
      <c r="BN596" s="205"/>
      <c r="BO596" s="205"/>
      <c r="BP596" s="205"/>
      <c r="BQ596" s="205"/>
      <c r="BR596" s="205"/>
      <c r="BS596" s="205"/>
      <c r="BT596" s="205"/>
      <c r="BU596" s="205"/>
      <c r="BV596" s="205"/>
      <c r="BW596" s="205"/>
      <c r="BX596" s="205"/>
      <c r="BY596" s="205"/>
      <c r="BZ596" s="205"/>
      <c r="CA596" s="205"/>
      <c r="CB596" s="205"/>
      <c r="CC596" s="205"/>
      <c r="CD596" s="205"/>
      <c r="CE596" s="205"/>
      <c r="CF596" s="205"/>
      <c r="CG596" s="205"/>
      <c r="CH596" s="205"/>
      <c r="CI596" s="205"/>
      <c r="CJ596" s="205"/>
      <c r="CK596" s="205"/>
      <c r="CL596" s="205"/>
      <c r="CM596" s="205"/>
      <c r="CN596" s="205"/>
      <c r="CO596" s="205"/>
      <c r="CP596" s="205"/>
      <c r="CQ596" s="205"/>
      <c r="CR596" s="205"/>
      <c r="CS596" s="205"/>
      <c r="CT596" s="205"/>
      <c r="CU596" s="205"/>
      <c r="CV596" s="205"/>
      <c r="CW596" s="205"/>
      <c r="CX596" s="205"/>
      <c r="CY596" s="205"/>
      <c r="CZ596" s="205"/>
      <c r="DA596" s="205"/>
      <c r="DB596" s="205"/>
      <c r="DC596" s="205"/>
      <c r="DD596" s="205"/>
      <c r="DE596" s="205"/>
      <c r="DF596" s="205"/>
      <c r="DG596" s="205"/>
      <c r="DH596" s="205"/>
      <c r="DI596" s="205"/>
      <c r="DJ596" s="205"/>
      <c r="DK596" s="205"/>
      <c r="DL596" s="205"/>
      <c r="DM596" s="205"/>
      <c r="DN596" s="205"/>
      <c r="DO596" s="205"/>
      <c r="DP596" s="205"/>
      <c r="DQ596" s="205"/>
      <c r="DR596" s="205"/>
      <c r="DS596" s="205"/>
      <c r="DT596" s="205"/>
      <c r="DU596" s="205"/>
      <c r="DV596" s="205"/>
      <c r="DW596" s="205"/>
      <c r="DX596" s="205"/>
      <c r="DY596" s="205"/>
      <c r="DZ596" s="205"/>
      <c r="EA596" s="205"/>
      <c r="EB596" s="205"/>
      <c r="EC596" s="205"/>
      <c r="ED596" s="205"/>
      <c r="EE596" s="205"/>
      <c r="EF596" s="205"/>
      <c r="EG596" s="205"/>
      <c r="EH596" s="205"/>
      <c r="EI596" s="205"/>
      <c r="EJ596" s="205"/>
      <c r="EK596" s="205"/>
      <c r="EL596" s="205"/>
      <c r="EM596" s="205"/>
      <c r="EN596" s="205"/>
      <c r="EO596" s="205"/>
      <c r="EP596" s="205"/>
      <c r="EQ596" s="205"/>
      <c r="ER596" s="205"/>
      <c r="ES596" s="205"/>
      <c r="ET596" s="205"/>
      <c r="EU596" s="205"/>
      <c r="EV596" s="205"/>
      <c r="EW596" s="205"/>
      <c r="EX596" s="205"/>
      <c r="EY596" s="205"/>
      <c r="EZ596" s="205"/>
      <c r="FA596" s="205"/>
      <c r="FB596" s="205"/>
      <c r="FC596" s="205"/>
      <c r="FD596" s="205"/>
      <c r="FE596" s="205"/>
      <c r="FF596" s="205"/>
      <c r="FG596" s="205"/>
      <c r="FH596" s="205"/>
      <c r="FI596" s="205"/>
      <c r="FJ596" s="205"/>
      <c r="FK596" s="205"/>
      <c r="FL596" s="205"/>
      <c r="FM596" s="205"/>
      <c r="FN596" s="205"/>
      <c r="FO596" s="205"/>
      <c r="FP596" s="205"/>
      <c r="FQ596" s="205"/>
      <c r="FR596" s="205"/>
      <c r="FS596" s="205"/>
      <c r="FT596" s="205"/>
      <c r="FU596" s="205"/>
      <c r="FV596" s="205"/>
      <c r="FW596" s="205"/>
      <c r="FX596" s="205"/>
      <c r="FY596" s="205"/>
      <c r="FZ596" s="205"/>
      <c r="GA596" s="205"/>
      <c r="GB596" s="205"/>
      <c r="GC596" s="205"/>
      <c r="GD596" s="205"/>
      <c r="GE596" s="205"/>
      <c r="GF596" s="205"/>
      <c r="GG596" s="205"/>
      <c r="GH596" s="205"/>
      <c r="GI596" s="205"/>
      <c r="GJ596" s="205"/>
      <c r="GK596" s="205"/>
      <c r="GL596" s="205"/>
      <c r="GM596" s="205"/>
      <c r="GN596" s="205"/>
      <c r="GO596" s="205"/>
      <c r="GP596" s="205"/>
      <c r="GQ596" s="205"/>
      <c r="GR596" s="205"/>
      <c r="GS596" s="205"/>
      <c r="GT596" s="205"/>
      <c r="GU596" s="205"/>
      <c r="GV596" s="205"/>
      <c r="GW596" s="205"/>
      <c r="GX596" s="205"/>
      <c r="GY596" s="205"/>
      <c r="GZ596" s="205"/>
      <c r="HA596" s="205"/>
      <c r="HB596" s="205"/>
      <c r="HC596" s="205"/>
      <c r="HD596" s="205"/>
      <c r="HE596" s="205"/>
      <c r="HF596" s="205"/>
      <c r="HG596" s="205"/>
      <c r="HH596" s="205"/>
      <c r="HI596" s="205"/>
      <c r="HJ596" s="205"/>
      <c r="HK596" s="205"/>
      <c r="HL596" s="205"/>
      <c r="HM596" s="205"/>
      <c r="HN596" s="205"/>
      <c r="HO596" s="205"/>
      <c r="HP596" s="205"/>
      <c r="HQ596" s="205"/>
      <c r="HR596" s="205"/>
      <c r="HS596" s="205"/>
      <c r="HT596" s="205"/>
      <c r="HU596" s="205"/>
      <c r="HV596" s="205"/>
      <c r="HW596" s="205"/>
      <c r="HX596" s="205"/>
      <c r="HY596" s="205"/>
      <c r="HZ596" s="205"/>
      <c r="IA596" s="205"/>
      <c r="IB596" s="205"/>
      <c r="IC596" s="205"/>
      <c r="ID596" s="205"/>
      <c r="IE596" s="205"/>
      <c r="IF596" s="205"/>
      <c r="IG596" s="205"/>
      <c r="IH596" s="205"/>
      <c r="II596" s="205"/>
      <c r="IJ596" s="205"/>
      <c r="IK596" s="205"/>
      <c r="IL596" s="205"/>
      <c r="IM596" s="205"/>
      <c r="IN596" s="205"/>
      <c r="IO596" s="205"/>
      <c r="IP596" s="205"/>
      <c r="IQ596" s="205"/>
      <c r="IR596" s="205"/>
      <c r="IS596" s="205"/>
      <c r="IT596" s="205"/>
      <c r="IU596" s="205"/>
      <c r="IV596" s="205"/>
      <c r="IW596" s="205"/>
      <c r="IX596" s="205"/>
    </row>
    <row r="597" spans="1:258" s="196" customFormat="1" ht="18" x14ac:dyDescent="0.25">
      <c r="A597" s="205"/>
      <c r="B597" s="704"/>
      <c r="C597" s="709"/>
      <c r="D597" s="706"/>
      <c r="E597" s="706"/>
      <c r="F597" s="706"/>
      <c r="G597" s="711"/>
      <c r="H597" s="694"/>
      <c r="I597" s="694"/>
      <c r="J597" s="694"/>
      <c r="K597" s="694"/>
      <c r="L597" s="694"/>
      <c r="M597" s="694"/>
      <c r="N597" s="694"/>
      <c r="O597" s="694"/>
      <c r="P597" s="694"/>
      <c r="Q597" s="694"/>
      <c r="R597" s="204"/>
      <c r="S597" s="708"/>
      <c r="T597" s="714"/>
      <c r="U597" s="205"/>
      <c r="V597" s="662"/>
      <c r="W597" s="205"/>
      <c r="X597" s="205"/>
      <c r="Y597" s="205"/>
      <c r="Z597" s="205"/>
      <c r="AA597" s="205"/>
      <c r="AB597" s="205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05"/>
      <c r="BN597" s="205"/>
      <c r="BO597" s="205"/>
      <c r="BP597" s="205"/>
      <c r="BQ597" s="205"/>
      <c r="BR597" s="205"/>
      <c r="BS597" s="205"/>
      <c r="BT597" s="205"/>
      <c r="BU597" s="205"/>
      <c r="BV597" s="205"/>
      <c r="BW597" s="205"/>
      <c r="BX597" s="205"/>
      <c r="BY597" s="205"/>
      <c r="BZ597" s="205"/>
      <c r="CA597" s="205"/>
      <c r="CB597" s="205"/>
      <c r="CC597" s="205"/>
      <c r="CD597" s="205"/>
      <c r="CE597" s="205"/>
      <c r="CF597" s="205"/>
      <c r="CG597" s="205"/>
      <c r="CH597" s="205"/>
      <c r="CI597" s="205"/>
      <c r="CJ597" s="205"/>
      <c r="CK597" s="205"/>
      <c r="CL597" s="205"/>
      <c r="CM597" s="205"/>
      <c r="CN597" s="205"/>
      <c r="CO597" s="205"/>
      <c r="CP597" s="205"/>
      <c r="CQ597" s="205"/>
      <c r="CR597" s="205"/>
      <c r="CS597" s="205"/>
      <c r="CT597" s="205"/>
      <c r="CU597" s="205"/>
      <c r="CV597" s="205"/>
      <c r="CW597" s="205"/>
      <c r="CX597" s="205"/>
      <c r="CY597" s="205"/>
      <c r="CZ597" s="205"/>
      <c r="DA597" s="205"/>
      <c r="DB597" s="205"/>
      <c r="DC597" s="205"/>
      <c r="DD597" s="205"/>
      <c r="DE597" s="205"/>
      <c r="DF597" s="205"/>
      <c r="DG597" s="205"/>
      <c r="DH597" s="205"/>
      <c r="DI597" s="205"/>
      <c r="DJ597" s="205"/>
      <c r="DK597" s="205"/>
      <c r="DL597" s="205"/>
      <c r="DM597" s="205"/>
      <c r="DN597" s="205"/>
      <c r="DO597" s="205"/>
      <c r="DP597" s="205"/>
      <c r="DQ597" s="205"/>
      <c r="DR597" s="205"/>
      <c r="DS597" s="205"/>
      <c r="DT597" s="205"/>
      <c r="DU597" s="205"/>
      <c r="DV597" s="205"/>
      <c r="DW597" s="205"/>
      <c r="DX597" s="205"/>
      <c r="DY597" s="205"/>
      <c r="DZ597" s="205"/>
      <c r="EA597" s="205"/>
      <c r="EB597" s="205"/>
      <c r="EC597" s="205"/>
      <c r="ED597" s="205"/>
      <c r="EE597" s="205"/>
      <c r="EF597" s="205"/>
      <c r="EG597" s="205"/>
      <c r="EH597" s="205"/>
      <c r="EI597" s="205"/>
      <c r="EJ597" s="205"/>
      <c r="EK597" s="205"/>
      <c r="EL597" s="205"/>
      <c r="EM597" s="205"/>
      <c r="EN597" s="205"/>
      <c r="EO597" s="205"/>
      <c r="EP597" s="205"/>
      <c r="EQ597" s="205"/>
      <c r="ER597" s="205"/>
      <c r="ES597" s="205"/>
      <c r="ET597" s="205"/>
      <c r="EU597" s="205"/>
      <c r="EV597" s="205"/>
      <c r="EW597" s="205"/>
      <c r="EX597" s="205"/>
      <c r="EY597" s="205"/>
      <c r="EZ597" s="205"/>
      <c r="FA597" s="205"/>
      <c r="FB597" s="205"/>
      <c r="FC597" s="205"/>
      <c r="FD597" s="205"/>
      <c r="FE597" s="205"/>
      <c r="FF597" s="205"/>
      <c r="FG597" s="205"/>
      <c r="FH597" s="205"/>
      <c r="FI597" s="205"/>
      <c r="FJ597" s="205"/>
      <c r="FK597" s="205"/>
      <c r="FL597" s="205"/>
      <c r="FM597" s="205"/>
      <c r="FN597" s="205"/>
      <c r="FO597" s="205"/>
      <c r="FP597" s="205"/>
      <c r="FQ597" s="205"/>
      <c r="FR597" s="205"/>
      <c r="FS597" s="205"/>
      <c r="FT597" s="205"/>
      <c r="FU597" s="205"/>
      <c r="FV597" s="205"/>
      <c r="FW597" s="205"/>
      <c r="FX597" s="205"/>
      <c r="FY597" s="205"/>
      <c r="FZ597" s="205"/>
      <c r="GA597" s="205"/>
      <c r="GB597" s="205"/>
      <c r="GC597" s="205"/>
      <c r="GD597" s="205"/>
      <c r="GE597" s="205"/>
      <c r="GF597" s="205"/>
      <c r="GG597" s="205"/>
      <c r="GH597" s="205"/>
      <c r="GI597" s="205"/>
      <c r="GJ597" s="205"/>
      <c r="GK597" s="205"/>
      <c r="GL597" s="205"/>
      <c r="GM597" s="205"/>
      <c r="GN597" s="205"/>
      <c r="GO597" s="205"/>
      <c r="GP597" s="205"/>
      <c r="GQ597" s="205"/>
      <c r="GR597" s="205"/>
      <c r="GS597" s="205"/>
      <c r="GT597" s="205"/>
      <c r="GU597" s="205"/>
      <c r="GV597" s="205"/>
      <c r="GW597" s="205"/>
      <c r="GX597" s="205"/>
      <c r="GY597" s="205"/>
      <c r="GZ597" s="205"/>
      <c r="HA597" s="205"/>
      <c r="HB597" s="205"/>
      <c r="HC597" s="205"/>
      <c r="HD597" s="205"/>
      <c r="HE597" s="205"/>
      <c r="HF597" s="205"/>
      <c r="HG597" s="205"/>
      <c r="HH597" s="205"/>
      <c r="HI597" s="205"/>
      <c r="HJ597" s="205"/>
      <c r="HK597" s="205"/>
      <c r="HL597" s="205"/>
      <c r="HM597" s="205"/>
      <c r="HN597" s="205"/>
      <c r="HO597" s="205"/>
      <c r="HP597" s="205"/>
      <c r="HQ597" s="205"/>
      <c r="HR597" s="205"/>
      <c r="HS597" s="205"/>
      <c r="HT597" s="205"/>
      <c r="HU597" s="205"/>
      <c r="HV597" s="205"/>
      <c r="HW597" s="205"/>
      <c r="HX597" s="205"/>
      <c r="HY597" s="205"/>
      <c r="HZ597" s="205"/>
      <c r="IA597" s="205"/>
      <c r="IB597" s="205"/>
      <c r="IC597" s="205"/>
      <c r="ID597" s="205"/>
      <c r="IE597" s="205"/>
      <c r="IF597" s="205"/>
      <c r="IG597" s="205"/>
      <c r="IH597" s="205"/>
      <c r="II597" s="205"/>
      <c r="IJ597" s="205"/>
      <c r="IK597" s="205"/>
      <c r="IL597" s="205"/>
      <c r="IM597" s="205"/>
      <c r="IN597" s="205"/>
      <c r="IO597" s="205"/>
      <c r="IP597" s="205"/>
      <c r="IQ597" s="205"/>
      <c r="IR597" s="205"/>
      <c r="IS597" s="205"/>
      <c r="IT597" s="205"/>
      <c r="IU597" s="205"/>
      <c r="IV597" s="205"/>
      <c r="IW597" s="205"/>
      <c r="IX597" s="205"/>
    </row>
    <row r="598" spans="1:258" ht="18" x14ac:dyDescent="0.25">
      <c r="B598" s="704"/>
      <c r="C598" s="709"/>
      <c r="D598" s="706"/>
      <c r="E598" s="706"/>
      <c r="F598" s="706"/>
      <c r="G598" s="711"/>
      <c r="H598" s="694"/>
      <c r="I598" s="694"/>
      <c r="J598" s="694"/>
      <c r="K598" s="694"/>
      <c r="L598" s="694"/>
      <c r="M598" s="694"/>
      <c r="N598" s="694"/>
      <c r="O598" s="694"/>
      <c r="P598" s="694"/>
      <c r="Q598" s="694"/>
      <c r="R598" s="204"/>
      <c r="S598" s="708"/>
      <c r="T598" s="714"/>
    </row>
    <row r="599" spans="1:258" ht="18" x14ac:dyDescent="0.25">
      <c r="B599" s="704"/>
      <c r="C599" s="709"/>
      <c r="D599" s="706"/>
      <c r="E599" s="706"/>
      <c r="F599" s="706"/>
      <c r="G599" s="711"/>
      <c r="H599" s="694"/>
      <c r="I599" s="694"/>
      <c r="J599" s="694"/>
      <c r="K599" s="694"/>
      <c r="L599" s="694"/>
      <c r="M599" s="694"/>
      <c r="N599" s="694"/>
      <c r="O599" s="694"/>
      <c r="P599" s="694"/>
      <c r="Q599" s="694"/>
      <c r="R599" s="204"/>
      <c r="S599" s="708"/>
      <c r="T599" s="714"/>
    </row>
    <row r="600" spans="1:258" ht="18" x14ac:dyDescent="0.25">
      <c r="B600" s="704"/>
      <c r="C600" s="709"/>
      <c r="D600" s="706"/>
      <c r="E600" s="706"/>
      <c r="F600" s="706"/>
      <c r="G600" s="711"/>
      <c r="H600" s="694"/>
      <c r="I600" s="694"/>
      <c r="J600" s="694"/>
      <c r="K600" s="694"/>
      <c r="L600" s="694"/>
      <c r="M600" s="694"/>
      <c r="N600" s="694"/>
      <c r="O600" s="694"/>
      <c r="P600" s="694"/>
      <c r="Q600" s="694"/>
      <c r="R600" s="204"/>
      <c r="S600" s="708"/>
      <c r="T600" s="714"/>
    </row>
    <row r="601" spans="1:258" ht="18" x14ac:dyDescent="0.25">
      <c r="B601" s="704"/>
      <c r="C601" s="709"/>
      <c r="D601" s="706"/>
      <c r="E601" s="706"/>
      <c r="F601" s="706"/>
      <c r="G601" s="711"/>
      <c r="H601" s="694"/>
      <c r="I601" s="694"/>
      <c r="J601" s="694"/>
      <c r="K601" s="694"/>
      <c r="L601" s="694"/>
      <c r="M601" s="694"/>
      <c r="N601" s="694"/>
      <c r="O601" s="694"/>
      <c r="P601" s="694"/>
      <c r="Q601" s="694"/>
      <c r="R601" s="204"/>
      <c r="S601" s="708"/>
      <c r="T601" s="714"/>
    </row>
    <row r="602" spans="1:258" s="196" customFormat="1" ht="18" x14ac:dyDescent="0.25">
      <c r="A602" s="205"/>
      <c r="B602" s="704"/>
      <c r="C602" s="709"/>
      <c r="D602" s="706"/>
      <c r="E602" s="706"/>
      <c r="F602" s="706"/>
      <c r="G602" s="711"/>
      <c r="H602" s="694"/>
      <c r="I602" s="694"/>
      <c r="J602" s="694"/>
      <c r="K602" s="694"/>
      <c r="L602" s="694"/>
      <c r="M602" s="694"/>
      <c r="N602" s="694"/>
      <c r="O602" s="694"/>
      <c r="P602" s="694"/>
      <c r="Q602" s="694"/>
      <c r="R602" s="204"/>
      <c r="S602" s="708"/>
      <c r="T602" s="714"/>
      <c r="U602" s="205"/>
      <c r="V602" s="662"/>
      <c r="W602" s="205"/>
      <c r="X602" s="205"/>
      <c r="Y602" s="205"/>
      <c r="Z602" s="205"/>
      <c r="AA602" s="205"/>
      <c r="AB602" s="205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  <c r="BK602" s="205"/>
      <c r="BL602" s="205"/>
      <c r="BM602" s="205"/>
      <c r="BN602" s="205"/>
      <c r="BO602" s="205"/>
      <c r="BP602" s="205"/>
      <c r="BQ602" s="205"/>
      <c r="BR602" s="205"/>
      <c r="BS602" s="205"/>
      <c r="BT602" s="205"/>
      <c r="BU602" s="205"/>
      <c r="BV602" s="205"/>
      <c r="BW602" s="205"/>
      <c r="BX602" s="205"/>
      <c r="BY602" s="205"/>
      <c r="BZ602" s="205"/>
      <c r="CA602" s="205"/>
      <c r="CB602" s="205"/>
      <c r="CC602" s="205"/>
      <c r="CD602" s="205"/>
      <c r="CE602" s="205"/>
      <c r="CF602" s="205"/>
      <c r="CG602" s="205"/>
      <c r="CH602" s="205"/>
      <c r="CI602" s="205"/>
      <c r="CJ602" s="205"/>
      <c r="CK602" s="205"/>
      <c r="CL602" s="205"/>
      <c r="CM602" s="205"/>
      <c r="CN602" s="205"/>
      <c r="CO602" s="205"/>
      <c r="CP602" s="205"/>
      <c r="CQ602" s="205"/>
      <c r="CR602" s="205"/>
      <c r="CS602" s="205"/>
      <c r="CT602" s="205"/>
      <c r="CU602" s="205"/>
      <c r="CV602" s="205"/>
      <c r="CW602" s="205"/>
      <c r="CX602" s="205"/>
      <c r="CY602" s="205"/>
      <c r="CZ602" s="205"/>
      <c r="DA602" s="205"/>
      <c r="DB602" s="205"/>
      <c r="DC602" s="205"/>
      <c r="DD602" s="205"/>
      <c r="DE602" s="205"/>
      <c r="DF602" s="205"/>
      <c r="DG602" s="205"/>
      <c r="DH602" s="205"/>
      <c r="DI602" s="205"/>
      <c r="DJ602" s="205"/>
      <c r="DK602" s="205"/>
      <c r="DL602" s="205"/>
      <c r="DM602" s="205"/>
      <c r="DN602" s="205"/>
      <c r="DO602" s="205"/>
      <c r="DP602" s="205"/>
      <c r="DQ602" s="205"/>
      <c r="DR602" s="205"/>
      <c r="DS602" s="205"/>
      <c r="DT602" s="205"/>
      <c r="DU602" s="205"/>
      <c r="DV602" s="205"/>
      <c r="DW602" s="205"/>
      <c r="DX602" s="205"/>
      <c r="DY602" s="205"/>
      <c r="DZ602" s="205"/>
      <c r="EA602" s="205"/>
      <c r="EB602" s="205"/>
      <c r="EC602" s="205"/>
      <c r="ED602" s="205"/>
      <c r="EE602" s="205"/>
      <c r="EF602" s="205"/>
      <c r="EG602" s="205"/>
      <c r="EH602" s="205"/>
      <c r="EI602" s="205"/>
      <c r="EJ602" s="205"/>
      <c r="EK602" s="205"/>
      <c r="EL602" s="205"/>
      <c r="EM602" s="205"/>
      <c r="EN602" s="205"/>
      <c r="EO602" s="205"/>
      <c r="EP602" s="205"/>
      <c r="EQ602" s="205"/>
      <c r="ER602" s="205"/>
      <c r="ES602" s="205"/>
      <c r="ET602" s="205"/>
      <c r="EU602" s="205"/>
      <c r="EV602" s="205"/>
      <c r="EW602" s="205"/>
      <c r="EX602" s="205"/>
      <c r="EY602" s="205"/>
      <c r="EZ602" s="205"/>
      <c r="FA602" s="205"/>
      <c r="FB602" s="205"/>
      <c r="FC602" s="205"/>
      <c r="FD602" s="205"/>
      <c r="FE602" s="205"/>
      <c r="FF602" s="205"/>
      <c r="FG602" s="205"/>
      <c r="FH602" s="205"/>
      <c r="FI602" s="205"/>
      <c r="FJ602" s="205"/>
      <c r="FK602" s="205"/>
      <c r="FL602" s="205"/>
      <c r="FM602" s="205"/>
      <c r="FN602" s="205"/>
      <c r="FO602" s="205"/>
      <c r="FP602" s="205"/>
      <c r="FQ602" s="205"/>
      <c r="FR602" s="205"/>
      <c r="FS602" s="205"/>
      <c r="FT602" s="205"/>
      <c r="FU602" s="205"/>
      <c r="FV602" s="205"/>
      <c r="FW602" s="205"/>
      <c r="FX602" s="205"/>
      <c r="FY602" s="205"/>
      <c r="FZ602" s="205"/>
      <c r="GA602" s="205"/>
      <c r="GB602" s="205"/>
      <c r="GC602" s="205"/>
      <c r="GD602" s="205"/>
      <c r="GE602" s="205"/>
      <c r="GF602" s="205"/>
      <c r="GG602" s="205"/>
      <c r="GH602" s="205"/>
      <c r="GI602" s="205"/>
      <c r="GJ602" s="205"/>
      <c r="GK602" s="205"/>
      <c r="GL602" s="205"/>
      <c r="GM602" s="205"/>
      <c r="GN602" s="205"/>
      <c r="GO602" s="205"/>
      <c r="GP602" s="205"/>
      <c r="GQ602" s="205"/>
      <c r="GR602" s="205"/>
      <c r="GS602" s="205"/>
      <c r="GT602" s="205"/>
      <c r="GU602" s="205"/>
      <c r="GV602" s="205"/>
      <c r="GW602" s="205"/>
      <c r="GX602" s="205"/>
      <c r="GY602" s="205"/>
      <c r="GZ602" s="205"/>
      <c r="HA602" s="205"/>
      <c r="HB602" s="205"/>
      <c r="HC602" s="205"/>
      <c r="HD602" s="205"/>
      <c r="HE602" s="205"/>
      <c r="HF602" s="205"/>
      <c r="HG602" s="205"/>
      <c r="HH602" s="205"/>
      <c r="HI602" s="205"/>
      <c r="HJ602" s="205"/>
      <c r="HK602" s="205"/>
      <c r="HL602" s="205"/>
      <c r="HM602" s="205"/>
      <c r="HN602" s="205"/>
      <c r="HO602" s="205"/>
      <c r="HP602" s="205"/>
      <c r="HQ602" s="205"/>
      <c r="HR602" s="205"/>
      <c r="HS602" s="205"/>
      <c r="HT602" s="205"/>
      <c r="HU602" s="205"/>
      <c r="HV602" s="205"/>
      <c r="HW602" s="205"/>
      <c r="HX602" s="205"/>
      <c r="HY602" s="205"/>
      <c r="HZ602" s="205"/>
      <c r="IA602" s="205"/>
      <c r="IB602" s="205"/>
      <c r="IC602" s="205"/>
      <c r="ID602" s="205"/>
      <c r="IE602" s="205"/>
      <c r="IF602" s="205"/>
      <c r="IG602" s="205"/>
      <c r="IH602" s="205"/>
      <c r="II602" s="205"/>
      <c r="IJ602" s="205"/>
      <c r="IK602" s="205"/>
      <c r="IL602" s="205"/>
      <c r="IM602" s="205"/>
      <c r="IN602" s="205"/>
      <c r="IO602" s="205"/>
      <c r="IP602" s="205"/>
      <c r="IQ602" s="205"/>
      <c r="IR602" s="205"/>
      <c r="IS602" s="205"/>
      <c r="IT602" s="205"/>
      <c r="IU602" s="205"/>
      <c r="IV602" s="205"/>
      <c r="IW602" s="205"/>
      <c r="IX602" s="205"/>
    </row>
    <row r="603" spans="1:258" s="196" customFormat="1" ht="18" x14ac:dyDescent="0.25">
      <c r="A603" s="205"/>
      <c r="B603" s="704"/>
      <c r="C603" s="709"/>
      <c r="D603" s="706"/>
      <c r="E603" s="706"/>
      <c r="F603" s="706"/>
      <c r="G603" s="711"/>
      <c r="H603" s="694"/>
      <c r="I603" s="694"/>
      <c r="J603" s="694"/>
      <c r="K603" s="694"/>
      <c r="L603" s="694"/>
      <c r="M603" s="694"/>
      <c r="N603" s="694"/>
      <c r="O603" s="694"/>
      <c r="P603" s="694"/>
      <c r="Q603" s="694"/>
      <c r="R603" s="204"/>
      <c r="S603" s="708"/>
      <c r="T603" s="714"/>
      <c r="U603" s="205"/>
      <c r="V603" s="662"/>
      <c r="W603" s="205"/>
      <c r="X603" s="205"/>
      <c r="Y603" s="205"/>
      <c r="Z603" s="205"/>
      <c r="AA603" s="205"/>
      <c r="AB603" s="205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205"/>
      <c r="BN603" s="205"/>
      <c r="BO603" s="205"/>
      <c r="BP603" s="205"/>
      <c r="BQ603" s="205"/>
      <c r="BR603" s="205"/>
      <c r="BS603" s="205"/>
      <c r="BT603" s="205"/>
      <c r="BU603" s="205"/>
      <c r="BV603" s="205"/>
      <c r="BW603" s="205"/>
      <c r="BX603" s="205"/>
      <c r="BY603" s="205"/>
      <c r="BZ603" s="205"/>
      <c r="CA603" s="205"/>
      <c r="CB603" s="205"/>
      <c r="CC603" s="205"/>
      <c r="CD603" s="205"/>
      <c r="CE603" s="205"/>
      <c r="CF603" s="205"/>
      <c r="CG603" s="205"/>
      <c r="CH603" s="205"/>
      <c r="CI603" s="205"/>
      <c r="CJ603" s="205"/>
      <c r="CK603" s="205"/>
      <c r="CL603" s="205"/>
      <c r="CM603" s="205"/>
      <c r="CN603" s="205"/>
      <c r="CO603" s="205"/>
      <c r="CP603" s="205"/>
      <c r="CQ603" s="205"/>
      <c r="CR603" s="205"/>
      <c r="CS603" s="205"/>
      <c r="CT603" s="205"/>
      <c r="CU603" s="205"/>
      <c r="CV603" s="205"/>
      <c r="CW603" s="205"/>
      <c r="CX603" s="205"/>
      <c r="CY603" s="205"/>
      <c r="CZ603" s="205"/>
      <c r="DA603" s="205"/>
      <c r="DB603" s="205"/>
      <c r="DC603" s="205"/>
      <c r="DD603" s="205"/>
      <c r="DE603" s="205"/>
      <c r="DF603" s="205"/>
      <c r="DG603" s="205"/>
      <c r="DH603" s="205"/>
      <c r="DI603" s="205"/>
      <c r="DJ603" s="205"/>
      <c r="DK603" s="205"/>
      <c r="DL603" s="205"/>
      <c r="DM603" s="205"/>
      <c r="DN603" s="205"/>
      <c r="DO603" s="205"/>
      <c r="DP603" s="205"/>
      <c r="DQ603" s="205"/>
      <c r="DR603" s="205"/>
      <c r="DS603" s="205"/>
      <c r="DT603" s="205"/>
      <c r="DU603" s="205"/>
      <c r="DV603" s="205"/>
      <c r="DW603" s="205"/>
      <c r="DX603" s="205"/>
      <c r="DY603" s="205"/>
      <c r="DZ603" s="205"/>
      <c r="EA603" s="205"/>
      <c r="EB603" s="205"/>
      <c r="EC603" s="205"/>
      <c r="ED603" s="205"/>
      <c r="EE603" s="205"/>
      <c r="EF603" s="205"/>
      <c r="EG603" s="205"/>
      <c r="EH603" s="205"/>
      <c r="EI603" s="205"/>
      <c r="EJ603" s="205"/>
      <c r="EK603" s="205"/>
      <c r="EL603" s="205"/>
      <c r="EM603" s="205"/>
      <c r="EN603" s="205"/>
      <c r="EO603" s="205"/>
      <c r="EP603" s="205"/>
      <c r="EQ603" s="205"/>
      <c r="ER603" s="205"/>
      <c r="ES603" s="205"/>
      <c r="ET603" s="205"/>
      <c r="EU603" s="205"/>
      <c r="EV603" s="205"/>
      <c r="EW603" s="205"/>
      <c r="EX603" s="205"/>
      <c r="EY603" s="205"/>
      <c r="EZ603" s="205"/>
      <c r="FA603" s="205"/>
      <c r="FB603" s="205"/>
      <c r="FC603" s="205"/>
      <c r="FD603" s="205"/>
      <c r="FE603" s="205"/>
      <c r="FF603" s="205"/>
      <c r="FG603" s="205"/>
      <c r="FH603" s="205"/>
      <c r="FI603" s="205"/>
      <c r="FJ603" s="205"/>
      <c r="FK603" s="205"/>
      <c r="FL603" s="205"/>
      <c r="FM603" s="205"/>
      <c r="FN603" s="205"/>
      <c r="FO603" s="205"/>
      <c r="FP603" s="205"/>
      <c r="FQ603" s="205"/>
      <c r="FR603" s="205"/>
      <c r="FS603" s="205"/>
      <c r="FT603" s="205"/>
      <c r="FU603" s="205"/>
      <c r="FV603" s="205"/>
      <c r="FW603" s="205"/>
      <c r="FX603" s="205"/>
      <c r="FY603" s="205"/>
      <c r="FZ603" s="205"/>
      <c r="GA603" s="205"/>
      <c r="GB603" s="205"/>
      <c r="GC603" s="205"/>
      <c r="GD603" s="205"/>
      <c r="GE603" s="205"/>
      <c r="GF603" s="205"/>
      <c r="GG603" s="205"/>
      <c r="GH603" s="205"/>
      <c r="GI603" s="205"/>
      <c r="GJ603" s="205"/>
      <c r="GK603" s="205"/>
      <c r="GL603" s="205"/>
      <c r="GM603" s="205"/>
      <c r="GN603" s="205"/>
      <c r="GO603" s="205"/>
      <c r="GP603" s="205"/>
      <c r="GQ603" s="205"/>
      <c r="GR603" s="205"/>
      <c r="GS603" s="205"/>
      <c r="GT603" s="205"/>
      <c r="GU603" s="205"/>
      <c r="GV603" s="205"/>
      <c r="GW603" s="205"/>
      <c r="GX603" s="205"/>
      <c r="GY603" s="205"/>
      <c r="GZ603" s="205"/>
      <c r="HA603" s="205"/>
      <c r="HB603" s="205"/>
      <c r="HC603" s="205"/>
      <c r="HD603" s="205"/>
      <c r="HE603" s="205"/>
      <c r="HF603" s="205"/>
      <c r="HG603" s="205"/>
      <c r="HH603" s="205"/>
      <c r="HI603" s="205"/>
      <c r="HJ603" s="205"/>
      <c r="HK603" s="205"/>
      <c r="HL603" s="205"/>
      <c r="HM603" s="205"/>
      <c r="HN603" s="205"/>
      <c r="HO603" s="205"/>
      <c r="HP603" s="205"/>
      <c r="HQ603" s="205"/>
      <c r="HR603" s="205"/>
      <c r="HS603" s="205"/>
      <c r="HT603" s="205"/>
      <c r="HU603" s="205"/>
      <c r="HV603" s="205"/>
      <c r="HW603" s="205"/>
      <c r="HX603" s="205"/>
      <c r="HY603" s="205"/>
      <c r="HZ603" s="205"/>
      <c r="IA603" s="205"/>
      <c r="IB603" s="205"/>
      <c r="IC603" s="205"/>
      <c r="ID603" s="205"/>
      <c r="IE603" s="205"/>
      <c r="IF603" s="205"/>
      <c r="IG603" s="205"/>
      <c r="IH603" s="205"/>
      <c r="II603" s="205"/>
      <c r="IJ603" s="205"/>
      <c r="IK603" s="205"/>
      <c r="IL603" s="205"/>
      <c r="IM603" s="205"/>
      <c r="IN603" s="205"/>
      <c r="IO603" s="205"/>
      <c r="IP603" s="205"/>
      <c r="IQ603" s="205"/>
      <c r="IR603" s="205"/>
      <c r="IS603" s="205"/>
      <c r="IT603" s="205"/>
      <c r="IU603" s="205"/>
      <c r="IV603" s="205"/>
      <c r="IW603" s="205"/>
      <c r="IX603" s="205"/>
    </row>
    <row r="604" spans="1:258" s="196" customFormat="1" ht="18" x14ac:dyDescent="0.25">
      <c r="A604" s="205"/>
      <c r="B604" s="704"/>
      <c r="C604" s="709"/>
      <c r="D604" s="706"/>
      <c r="E604" s="706"/>
      <c r="F604" s="706"/>
      <c r="G604" s="711"/>
      <c r="H604" s="694"/>
      <c r="I604" s="694"/>
      <c r="J604" s="694"/>
      <c r="K604" s="694"/>
      <c r="L604" s="694"/>
      <c r="M604" s="694"/>
      <c r="N604" s="694"/>
      <c r="O604" s="694"/>
      <c r="P604" s="694"/>
      <c r="Q604" s="694"/>
      <c r="R604" s="204"/>
      <c r="S604" s="708"/>
      <c r="T604" s="714"/>
      <c r="U604" s="205"/>
      <c r="V604" s="662"/>
      <c r="W604" s="205"/>
      <c r="X604" s="205"/>
      <c r="Y604" s="205"/>
      <c r="Z604" s="205"/>
      <c r="AA604" s="205"/>
      <c r="AB604" s="205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  <c r="AP604" s="205"/>
      <c r="AQ604" s="205"/>
      <c r="AR604" s="205"/>
      <c r="AS604" s="205"/>
      <c r="AT604" s="205"/>
      <c r="AU604" s="205"/>
      <c r="AV604" s="205"/>
      <c r="AW604" s="205"/>
      <c r="AX604" s="205"/>
      <c r="AY604" s="205"/>
      <c r="AZ604" s="205"/>
      <c r="BA604" s="205"/>
      <c r="BB604" s="205"/>
      <c r="BC604" s="205"/>
      <c r="BD604" s="205"/>
      <c r="BE604" s="205"/>
      <c r="BF604" s="205"/>
      <c r="BG604" s="205"/>
      <c r="BH604" s="205"/>
      <c r="BI604" s="205"/>
      <c r="BJ604" s="205"/>
      <c r="BK604" s="205"/>
      <c r="BL604" s="205"/>
      <c r="BM604" s="205"/>
      <c r="BN604" s="205"/>
      <c r="BO604" s="205"/>
      <c r="BP604" s="205"/>
      <c r="BQ604" s="205"/>
      <c r="BR604" s="205"/>
      <c r="BS604" s="205"/>
      <c r="BT604" s="205"/>
      <c r="BU604" s="205"/>
      <c r="BV604" s="205"/>
      <c r="BW604" s="205"/>
      <c r="BX604" s="205"/>
      <c r="BY604" s="205"/>
      <c r="BZ604" s="205"/>
      <c r="CA604" s="205"/>
      <c r="CB604" s="205"/>
      <c r="CC604" s="205"/>
      <c r="CD604" s="205"/>
      <c r="CE604" s="205"/>
      <c r="CF604" s="205"/>
      <c r="CG604" s="205"/>
      <c r="CH604" s="205"/>
      <c r="CI604" s="205"/>
      <c r="CJ604" s="205"/>
      <c r="CK604" s="205"/>
      <c r="CL604" s="205"/>
      <c r="CM604" s="205"/>
      <c r="CN604" s="205"/>
      <c r="CO604" s="205"/>
      <c r="CP604" s="205"/>
      <c r="CQ604" s="205"/>
      <c r="CR604" s="205"/>
      <c r="CS604" s="205"/>
      <c r="CT604" s="205"/>
      <c r="CU604" s="205"/>
      <c r="CV604" s="205"/>
      <c r="CW604" s="205"/>
      <c r="CX604" s="205"/>
      <c r="CY604" s="205"/>
      <c r="CZ604" s="205"/>
      <c r="DA604" s="205"/>
      <c r="DB604" s="205"/>
      <c r="DC604" s="205"/>
      <c r="DD604" s="205"/>
      <c r="DE604" s="205"/>
      <c r="DF604" s="205"/>
      <c r="DG604" s="205"/>
      <c r="DH604" s="205"/>
      <c r="DI604" s="205"/>
      <c r="DJ604" s="205"/>
      <c r="DK604" s="205"/>
      <c r="DL604" s="205"/>
      <c r="DM604" s="205"/>
      <c r="DN604" s="205"/>
      <c r="DO604" s="205"/>
      <c r="DP604" s="205"/>
      <c r="DQ604" s="205"/>
      <c r="DR604" s="205"/>
      <c r="DS604" s="205"/>
      <c r="DT604" s="205"/>
      <c r="DU604" s="205"/>
      <c r="DV604" s="205"/>
      <c r="DW604" s="205"/>
      <c r="DX604" s="205"/>
      <c r="DY604" s="205"/>
      <c r="DZ604" s="205"/>
      <c r="EA604" s="205"/>
      <c r="EB604" s="205"/>
      <c r="EC604" s="205"/>
      <c r="ED604" s="205"/>
      <c r="EE604" s="205"/>
      <c r="EF604" s="205"/>
      <c r="EG604" s="205"/>
      <c r="EH604" s="205"/>
      <c r="EI604" s="205"/>
      <c r="EJ604" s="205"/>
      <c r="EK604" s="205"/>
      <c r="EL604" s="205"/>
      <c r="EM604" s="205"/>
      <c r="EN604" s="205"/>
      <c r="EO604" s="205"/>
      <c r="EP604" s="205"/>
      <c r="EQ604" s="205"/>
      <c r="ER604" s="205"/>
      <c r="ES604" s="205"/>
      <c r="ET604" s="205"/>
      <c r="EU604" s="205"/>
      <c r="EV604" s="205"/>
      <c r="EW604" s="205"/>
      <c r="EX604" s="205"/>
      <c r="EY604" s="205"/>
      <c r="EZ604" s="205"/>
      <c r="FA604" s="205"/>
      <c r="FB604" s="205"/>
      <c r="FC604" s="205"/>
      <c r="FD604" s="205"/>
      <c r="FE604" s="205"/>
      <c r="FF604" s="205"/>
      <c r="FG604" s="205"/>
      <c r="FH604" s="205"/>
      <c r="FI604" s="205"/>
      <c r="FJ604" s="205"/>
      <c r="FK604" s="205"/>
      <c r="FL604" s="205"/>
      <c r="FM604" s="205"/>
      <c r="FN604" s="205"/>
      <c r="FO604" s="205"/>
      <c r="FP604" s="205"/>
      <c r="FQ604" s="205"/>
      <c r="FR604" s="205"/>
      <c r="FS604" s="205"/>
      <c r="FT604" s="205"/>
      <c r="FU604" s="205"/>
      <c r="FV604" s="205"/>
      <c r="FW604" s="205"/>
      <c r="FX604" s="205"/>
      <c r="FY604" s="205"/>
      <c r="FZ604" s="205"/>
      <c r="GA604" s="205"/>
      <c r="GB604" s="205"/>
      <c r="GC604" s="205"/>
      <c r="GD604" s="205"/>
      <c r="GE604" s="205"/>
      <c r="GF604" s="205"/>
      <c r="GG604" s="205"/>
      <c r="GH604" s="205"/>
      <c r="GI604" s="205"/>
      <c r="GJ604" s="205"/>
      <c r="GK604" s="205"/>
      <c r="GL604" s="205"/>
      <c r="GM604" s="205"/>
      <c r="GN604" s="205"/>
      <c r="GO604" s="205"/>
      <c r="GP604" s="205"/>
      <c r="GQ604" s="205"/>
      <c r="GR604" s="205"/>
      <c r="GS604" s="205"/>
      <c r="GT604" s="205"/>
      <c r="GU604" s="205"/>
      <c r="GV604" s="205"/>
      <c r="GW604" s="205"/>
      <c r="GX604" s="205"/>
      <c r="GY604" s="205"/>
      <c r="GZ604" s="205"/>
      <c r="HA604" s="205"/>
      <c r="HB604" s="205"/>
      <c r="HC604" s="205"/>
      <c r="HD604" s="205"/>
      <c r="HE604" s="205"/>
      <c r="HF604" s="205"/>
      <c r="HG604" s="205"/>
      <c r="HH604" s="205"/>
      <c r="HI604" s="205"/>
      <c r="HJ604" s="205"/>
      <c r="HK604" s="205"/>
      <c r="HL604" s="205"/>
      <c r="HM604" s="205"/>
      <c r="HN604" s="205"/>
      <c r="HO604" s="205"/>
      <c r="HP604" s="205"/>
      <c r="HQ604" s="205"/>
      <c r="HR604" s="205"/>
      <c r="HS604" s="205"/>
      <c r="HT604" s="205"/>
      <c r="HU604" s="205"/>
      <c r="HV604" s="205"/>
      <c r="HW604" s="205"/>
      <c r="HX604" s="205"/>
      <c r="HY604" s="205"/>
      <c r="HZ604" s="205"/>
      <c r="IA604" s="205"/>
      <c r="IB604" s="205"/>
      <c r="IC604" s="205"/>
      <c r="ID604" s="205"/>
      <c r="IE604" s="205"/>
      <c r="IF604" s="205"/>
      <c r="IG604" s="205"/>
      <c r="IH604" s="205"/>
      <c r="II604" s="205"/>
      <c r="IJ604" s="205"/>
      <c r="IK604" s="205"/>
      <c r="IL604" s="205"/>
      <c r="IM604" s="205"/>
      <c r="IN604" s="205"/>
      <c r="IO604" s="205"/>
      <c r="IP604" s="205"/>
      <c r="IQ604" s="205"/>
      <c r="IR604" s="205"/>
      <c r="IS604" s="205"/>
      <c r="IT604" s="205"/>
      <c r="IU604" s="205"/>
      <c r="IV604" s="205"/>
      <c r="IW604" s="205"/>
      <c r="IX604" s="205"/>
    </row>
    <row r="605" spans="1:258" s="196" customFormat="1" ht="18" x14ac:dyDescent="0.25">
      <c r="A605" s="205"/>
      <c r="B605" s="704"/>
      <c r="C605" s="709"/>
      <c r="D605" s="706"/>
      <c r="E605" s="706"/>
      <c r="F605" s="706"/>
      <c r="G605" s="711"/>
      <c r="H605" s="694"/>
      <c r="I605" s="694"/>
      <c r="J605" s="694"/>
      <c r="K605" s="694"/>
      <c r="L605" s="694"/>
      <c r="M605" s="694"/>
      <c r="N605" s="694"/>
      <c r="O605" s="694"/>
      <c r="P605" s="694"/>
      <c r="Q605" s="694"/>
      <c r="R605" s="204"/>
      <c r="S605" s="708"/>
      <c r="T605" s="714"/>
      <c r="U605" s="205"/>
      <c r="V605" s="662"/>
      <c r="W605" s="205"/>
      <c r="X605" s="205"/>
      <c r="Y605" s="205"/>
      <c r="Z605" s="205"/>
      <c r="AA605" s="205"/>
      <c r="AB605" s="205"/>
      <c r="AC605" s="205"/>
      <c r="AD605" s="205"/>
      <c r="AE605" s="205"/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  <c r="AP605" s="205"/>
      <c r="AQ605" s="205"/>
      <c r="AR605" s="205"/>
      <c r="AS605" s="205"/>
      <c r="AT605" s="205"/>
      <c r="AU605" s="205"/>
      <c r="AV605" s="205"/>
      <c r="AW605" s="205"/>
      <c r="AX605" s="205"/>
      <c r="AY605" s="205"/>
      <c r="AZ605" s="205"/>
      <c r="BA605" s="205"/>
      <c r="BB605" s="205"/>
      <c r="BC605" s="205"/>
      <c r="BD605" s="205"/>
      <c r="BE605" s="205"/>
      <c r="BF605" s="205"/>
      <c r="BG605" s="205"/>
      <c r="BH605" s="205"/>
      <c r="BI605" s="205"/>
      <c r="BJ605" s="205"/>
      <c r="BK605" s="205"/>
      <c r="BL605" s="205"/>
      <c r="BM605" s="205"/>
      <c r="BN605" s="205"/>
      <c r="BO605" s="205"/>
      <c r="BP605" s="205"/>
      <c r="BQ605" s="205"/>
      <c r="BR605" s="205"/>
      <c r="BS605" s="205"/>
      <c r="BT605" s="205"/>
      <c r="BU605" s="205"/>
      <c r="BV605" s="205"/>
      <c r="BW605" s="205"/>
      <c r="BX605" s="205"/>
      <c r="BY605" s="205"/>
      <c r="BZ605" s="205"/>
      <c r="CA605" s="205"/>
      <c r="CB605" s="205"/>
      <c r="CC605" s="205"/>
      <c r="CD605" s="205"/>
      <c r="CE605" s="205"/>
      <c r="CF605" s="205"/>
      <c r="CG605" s="205"/>
      <c r="CH605" s="205"/>
      <c r="CI605" s="205"/>
      <c r="CJ605" s="205"/>
      <c r="CK605" s="205"/>
      <c r="CL605" s="205"/>
      <c r="CM605" s="205"/>
      <c r="CN605" s="205"/>
      <c r="CO605" s="205"/>
      <c r="CP605" s="205"/>
      <c r="CQ605" s="205"/>
      <c r="CR605" s="205"/>
      <c r="CS605" s="205"/>
      <c r="CT605" s="205"/>
      <c r="CU605" s="205"/>
      <c r="CV605" s="205"/>
      <c r="CW605" s="205"/>
      <c r="CX605" s="205"/>
      <c r="CY605" s="205"/>
      <c r="CZ605" s="205"/>
      <c r="DA605" s="205"/>
      <c r="DB605" s="205"/>
      <c r="DC605" s="205"/>
      <c r="DD605" s="205"/>
      <c r="DE605" s="205"/>
      <c r="DF605" s="205"/>
      <c r="DG605" s="205"/>
      <c r="DH605" s="205"/>
      <c r="DI605" s="205"/>
      <c r="DJ605" s="205"/>
      <c r="DK605" s="205"/>
      <c r="DL605" s="205"/>
      <c r="DM605" s="205"/>
      <c r="DN605" s="205"/>
      <c r="DO605" s="205"/>
      <c r="DP605" s="205"/>
      <c r="DQ605" s="205"/>
      <c r="DR605" s="205"/>
      <c r="DS605" s="205"/>
      <c r="DT605" s="205"/>
      <c r="DU605" s="205"/>
      <c r="DV605" s="205"/>
      <c r="DW605" s="205"/>
      <c r="DX605" s="205"/>
      <c r="DY605" s="205"/>
      <c r="DZ605" s="205"/>
      <c r="EA605" s="205"/>
      <c r="EB605" s="205"/>
      <c r="EC605" s="205"/>
      <c r="ED605" s="205"/>
      <c r="EE605" s="205"/>
      <c r="EF605" s="205"/>
      <c r="EG605" s="205"/>
      <c r="EH605" s="205"/>
      <c r="EI605" s="205"/>
      <c r="EJ605" s="205"/>
      <c r="EK605" s="205"/>
      <c r="EL605" s="205"/>
      <c r="EM605" s="205"/>
      <c r="EN605" s="205"/>
      <c r="EO605" s="205"/>
      <c r="EP605" s="205"/>
      <c r="EQ605" s="205"/>
      <c r="ER605" s="205"/>
      <c r="ES605" s="205"/>
      <c r="ET605" s="205"/>
      <c r="EU605" s="205"/>
      <c r="EV605" s="205"/>
      <c r="EW605" s="205"/>
      <c r="EX605" s="205"/>
      <c r="EY605" s="205"/>
      <c r="EZ605" s="205"/>
      <c r="FA605" s="205"/>
      <c r="FB605" s="205"/>
      <c r="FC605" s="205"/>
      <c r="FD605" s="205"/>
      <c r="FE605" s="205"/>
      <c r="FF605" s="205"/>
      <c r="FG605" s="205"/>
      <c r="FH605" s="205"/>
      <c r="FI605" s="205"/>
      <c r="FJ605" s="205"/>
      <c r="FK605" s="205"/>
      <c r="FL605" s="205"/>
      <c r="FM605" s="205"/>
      <c r="FN605" s="205"/>
      <c r="FO605" s="205"/>
      <c r="FP605" s="205"/>
      <c r="FQ605" s="205"/>
      <c r="FR605" s="205"/>
      <c r="FS605" s="205"/>
      <c r="FT605" s="205"/>
      <c r="FU605" s="205"/>
      <c r="FV605" s="205"/>
      <c r="FW605" s="205"/>
      <c r="FX605" s="205"/>
      <c r="FY605" s="205"/>
      <c r="FZ605" s="205"/>
      <c r="GA605" s="205"/>
      <c r="GB605" s="205"/>
      <c r="GC605" s="205"/>
      <c r="GD605" s="205"/>
      <c r="GE605" s="205"/>
      <c r="GF605" s="205"/>
      <c r="GG605" s="205"/>
      <c r="GH605" s="205"/>
      <c r="GI605" s="205"/>
      <c r="GJ605" s="205"/>
      <c r="GK605" s="205"/>
      <c r="GL605" s="205"/>
      <c r="GM605" s="205"/>
      <c r="GN605" s="205"/>
      <c r="GO605" s="205"/>
      <c r="GP605" s="205"/>
      <c r="GQ605" s="205"/>
      <c r="GR605" s="205"/>
      <c r="GS605" s="205"/>
      <c r="GT605" s="205"/>
      <c r="GU605" s="205"/>
      <c r="GV605" s="205"/>
      <c r="GW605" s="205"/>
      <c r="GX605" s="205"/>
      <c r="GY605" s="205"/>
      <c r="GZ605" s="205"/>
      <c r="HA605" s="205"/>
      <c r="HB605" s="205"/>
      <c r="HC605" s="205"/>
      <c r="HD605" s="205"/>
      <c r="HE605" s="205"/>
      <c r="HF605" s="205"/>
      <c r="HG605" s="205"/>
      <c r="HH605" s="205"/>
      <c r="HI605" s="205"/>
      <c r="HJ605" s="205"/>
      <c r="HK605" s="205"/>
      <c r="HL605" s="205"/>
      <c r="HM605" s="205"/>
      <c r="HN605" s="205"/>
      <c r="HO605" s="205"/>
      <c r="HP605" s="205"/>
      <c r="HQ605" s="205"/>
      <c r="HR605" s="205"/>
      <c r="HS605" s="205"/>
      <c r="HT605" s="205"/>
      <c r="HU605" s="205"/>
      <c r="HV605" s="205"/>
      <c r="HW605" s="205"/>
      <c r="HX605" s="205"/>
      <c r="HY605" s="205"/>
      <c r="HZ605" s="205"/>
      <c r="IA605" s="205"/>
      <c r="IB605" s="205"/>
      <c r="IC605" s="205"/>
      <c r="ID605" s="205"/>
      <c r="IE605" s="205"/>
      <c r="IF605" s="205"/>
      <c r="IG605" s="205"/>
      <c r="IH605" s="205"/>
      <c r="II605" s="205"/>
      <c r="IJ605" s="205"/>
      <c r="IK605" s="205"/>
      <c r="IL605" s="205"/>
      <c r="IM605" s="205"/>
      <c r="IN605" s="205"/>
      <c r="IO605" s="205"/>
      <c r="IP605" s="205"/>
      <c r="IQ605" s="205"/>
      <c r="IR605" s="205"/>
      <c r="IS605" s="205"/>
      <c r="IT605" s="205"/>
      <c r="IU605" s="205"/>
      <c r="IV605" s="205"/>
      <c r="IW605" s="205"/>
      <c r="IX605" s="205"/>
    </row>
    <row r="606" spans="1:258" s="196" customFormat="1" ht="18" x14ac:dyDescent="0.25">
      <c r="A606" s="205"/>
      <c r="B606" s="704"/>
      <c r="C606" s="709"/>
      <c r="D606" s="706"/>
      <c r="E606" s="706"/>
      <c r="F606" s="706"/>
      <c r="G606" s="711"/>
      <c r="H606" s="694"/>
      <c r="I606" s="694"/>
      <c r="J606" s="694"/>
      <c r="K606" s="694"/>
      <c r="L606" s="694"/>
      <c r="M606" s="694"/>
      <c r="N606" s="694"/>
      <c r="O606" s="694"/>
      <c r="P606" s="694"/>
      <c r="Q606" s="694"/>
      <c r="R606" s="204"/>
      <c r="S606" s="708"/>
      <c r="T606" s="714"/>
      <c r="U606" s="205"/>
      <c r="V606" s="662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  <c r="AP606" s="205"/>
      <c r="AQ606" s="205"/>
      <c r="AR606" s="205"/>
      <c r="AS606" s="205"/>
      <c r="AT606" s="205"/>
      <c r="AU606" s="205"/>
      <c r="AV606" s="205"/>
      <c r="AW606" s="205"/>
      <c r="AX606" s="205"/>
      <c r="AY606" s="205"/>
      <c r="AZ606" s="205"/>
      <c r="BA606" s="205"/>
      <c r="BB606" s="205"/>
      <c r="BC606" s="205"/>
      <c r="BD606" s="205"/>
      <c r="BE606" s="205"/>
      <c r="BF606" s="205"/>
      <c r="BG606" s="205"/>
      <c r="BH606" s="205"/>
      <c r="BI606" s="205"/>
      <c r="BJ606" s="205"/>
      <c r="BK606" s="205"/>
      <c r="BL606" s="205"/>
      <c r="BM606" s="205"/>
      <c r="BN606" s="205"/>
      <c r="BO606" s="205"/>
      <c r="BP606" s="205"/>
      <c r="BQ606" s="205"/>
      <c r="BR606" s="205"/>
      <c r="BS606" s="205"/>
      <c r="BT606" s="205"/>
      <c r="BU606" s="205"/>
      <c r="BV606" s="205"/>
      <c r="BW606" s="205"/>
      <c r="BX606" s="205"/>
      <c r="BY606" s="205"/>
      <c r="BZ606" s="205"/>
      <c r="CA606" s="205"/>
      <c r="CB606" s="205"/>
      <c r="CC606" s="205"/>
      <c r="CD606" s="205"/>
      <c r="CE606" s="205"/>
      <c r="CF606" s="205"/>
      <c r="CG606" s="205"/>
      <c r="CH606" s="205"/>
      <c r="CI606" s="205"/>
      <c r="CJ606" s="205"/>
      <c r="CK606" s="205"/>
      <c r="CL606" s="205"/>
      <c r="CM606" s="205"/>
      <c r="CN606" s="205"/>
      <c r="CO606" s="205"/>
      <c r="CP606" s="205"/>
      <c r="CQ606" s="205"/>
      <c r="CR606" s="205"/>
      <c r="CS606" s="205"/>
      <c r="CT606" s="205"/>
      <c r="CU606" s="205"/>
      <c r="CV606" s="205"/>
      <c r="CW606" s="205"/>
      <c r="CX606" s="205"/>
      <c r="CY606" s="205"/>
      <c r="CZ606" s="205"/>
      <c r="DA606" s="205"/>
      <c r="DB606" s="205"/>
      <c r="DC606" s="205"/>
      <c r="DD606" s="205"/>
      <c r="DE606" s="205"/>
      <c r="DF606" s="205"/>
      <c r="DG606" s="205"/>
      <c r="DH606" s="205"/>
      <c r="DI606" s="205"/>
      <c r="DJ606" s="205"/>
      <c r="DK606" s="205"/>
      <c r="DL606" s="205"/>
      <c r="DM606" s="205"/>
      <c r="DN606" s="205"/>
      <c r="DO606" s="205"/>
      <c r="DP606" s="205"/>
      <c r="DQ606" s="205"/>
      <c r="DR606" s="205"/>
      <c r="DS606" s="205"/>
      <c r="DT606" s="205"/>
      <c r="DU606" s="205"/>
      <c r="DV606" s="205"/>
      <c r="DW606" s="205"/>
      <c r="DX606" s="205"/>
      <c r="DY606" s="205"/>
      <c r="DZ606" s="205"/>
      <c r="EA606" s="205"/>
      <c r="EB606" s="205"/>
      <c r="EC606" s="205"/>
      <c r="ED606" s="205"/>
      <c r="EE606" s="205"/>
      <c r="EF606" s="205"/>
      <c r="EG606" s="205"/>
      <c r="EH606" s="205"/>
      <c r="EI606" s="205"/>
      <c r="EJ606" s="205"/>
      <c r="EK606" s="205"/>
      <c r="EL606" s="205"/>
      <c r="EM606" s="205"/>
      <c r="EN606" s="205"/>
      <c r="EO606" s="205"/>
      <c r="EP606" s="205"/>
      <c r="EQ606" s="205"/>
      <c r="ER606" s="205"/>
      <c r="ES606" s="205"/>
      <c r="ET606" s="205"/>
      <c r="EU606" s="205"/>
      <c r="EV606" s="205"/>
      <c r="EW606" s="205"/>
      <c r="EX606" s="205"/>
      <c r="EY606" s="205"/>
      <c r="EZ606" s="205"/>
      <c r="FA606" s="205"/>
      <c r="FB606" s="205"/>
      <c r="FC606" s="205"/>
      <c r="FD606" s="205"/>
      <c r="FE606" s="205"/>
      <c r="FF606" s="205"/>
      <c r="FG606" s="205"/>
      <c r="FH606" s="205"/>
      <c r="FI606" s="205"/>
      <c r="FJ606" s="205"/>
      <c r="FK606" s="205"/>
      <c r="FL606" s="205"/>
      <c r="FM606" s="205"/>
      <c r="FN606" s="205"/>
      <c r="FO606" s="205"/>
      <c r="FP606" s="205"/>
      <c r="FQ606" s="205"/>
      <c r="FR606" s="205"/>
      <c r="FS606" s="205"/>
      <c r="FT606" s="205"/>
      <c r="FU606" s="205"/>
      <c r="FV606" s="205"/>
      <c r="FW606" s="205"/>
      <c r="FX606" s="205"/>
      <c r="FY606" s="205"/>
      <c r="FZ606" s="205"/>
      <c r="GA606" s="205"/>
      <c r="GB606" s="205"/>
      <c r="GC606" s="205"/>
      <c r="GD606" s="205"/>
      <c r="GE606" s="205"/>
      <c r="GF606" s="205"/>
      <c r="GG606" s="205"/>
      <c r="GH606" s="205"/>
      <c r="GI606" s="205"/>
      <c r="GJ606" s="205"/>
      <c r="GK606" s="205"/>
      <c r="GL606" s="205"/>
      <c r="GM606" s="205"/>
      <c r="GN606" s="205"/>
      <c r="GO606" s="205"/>
      <c r="GP606" s="205"/>
      <c r="GQ606" s="205"/>
      <c r="GR606" s="205"/>
      <c r="GS606" s="205"/>
      <c r="GT606" s="205"/>
      <c r="GU606" s="205"/>
      <c r="GV606" s="205"/>
      <c r="GW606" s="205"/>
      <c r="GX606" s="205"/>
      <c r="GY606" s="205"/>
      <c r="GZ606" s="205"/>
      <c r="HA606" s="205"/>
      <c r="HB606" s="205"/>
      <c r="HC606" s="205"/>
      <c r="HD606" s="205"/>
      <c r="HE606" s="205"/>
      <c r="HF606" s="205"/>
      <c r="HG606" s="205"/>
      <c r="HH606" s="205"/>
      <c r="HI606" s="205"/>
      <c r="HJ606" s="205"/>
      <c r="HK606" s="205"/>
      <c r="HL606" s="205"/>
      <c r="HM606" s="205"/>
      <c r="HN606" s="205"/>
      <c r="HO606" s="205"/>
      <c r="HP606" s="205"/>
      <c r="HQ606" s="205"/>
      <c r="HR606" s="205"/>
      <c r="HS606" s="205"/>
      <c r="HT606" s="205"/>
      <c r="HU606" s="205"/>
      <c r="HV606" s="205"/>
      <c r="HW606" s="205"/>
      <c r="HX606" s="205"/>
      <c r="HY606" s="205"/>
      <c r="HZ606" s="205"/>
      <c r="IA606" s="205"/>
      <c r="IB606" s="205"/>
      <c r="IC606" s="205"/>
      <c r="ID606" s="205"/>
      <c r="IE606" s="205"/>
      <c r="IF606" s="205"/>
      <c r="IG606" s="205"/>
      <c r="IH606" s="205"/>
      <c r="II606" s="205"/>
      <c r="IJ606" s="205"/>
      <c r="IK606" s="205"/>
      <c r="IL606" s="205"/>
      <c r="IM606" s="205"/>
      <c r="IN606" s="205"/>
      <c r="IO606" s="205"/>
      <c r="IP606" s="205"/>
      <c r="IQ606" s="205"/>
      <c r="IR606" s="205"/>
      <c r="IS606" s="205"/>
      <c r="IT606" s="205"/>
      <c r="IU606" s="205"/>
      <c r="IV606" s="205"/>
      <c r="IW606" s="205"/>
      <c r="IX606" s="205"/>
    </row>
    <row r="607" spans="1:258" s="196" customFormat="1" ht="18" x14ac:dyDescent="0.25">
      <c r="A607" s="205"/>
      <c r="B607" s="704"/>
      <c r="C607" s="709"/>
      <c r="D607" s="706"/>
      <c r="E607" s="706"/>
      <c r="F607" s="706"/>
      <c r="G607" s="711"/>
      <c r="H607" s="694"/>
      <c r="I607" s="694"/>
      <c r="J607" s="694"/>
      <c r="K607" s="694"/>
      <c r="L607" s="694"/>
      <c r="M607" s="694"/>
      <c r="N607" s="694"/>
      <c r="O607" s="694"/>
      <c r="P607" s="694"/>
      <c r="Q607" s="694"/>
      <c r="R607" s="204"/>
      <c r="S607" s="708"/>
      <c r="T607" s="714"/>
      <c r="U607" s="205"/>
      <c r="V607" s="662"/>
      <c r="W607" s="205"/>
      <c r="X607" s="205"/>
      <c r="Y607" s="205"/>
      <c r="Z607" s="205"/>
      <c r="AA607" s="205"/>
      <c r="AB607" s="205"/>
      <c r="AC607" s="205"/>
      <c r="AD607" s="205"/>
      <c r="AE607" s="205"/>
      <c r="AF607" s="205"/>
      <c r="AG607" s="205"/>
      <c r="AH607" s="205"/>
      <c r="AI607" s="205"/>
      <c r="AJ607" s="205"/>
      <c r="AK607" s="205"/>
      <c r="AL607" s="205"/>
      <c r="AM607" s="205"/>
      <c r="AN607" s="205"/>
      <c r="AO607" s="205"/>
      <c r="AP607" s="205"/>
      <c r="AQ607" s="205"/>
      <c r="AR607" s="205"/>
      <c r="AS607" s="205"/>
      <c r="AT607" s="205"/>
      <c r="AU607" s="205"/>
      <c r="AV607" s="205"/>
      <c r="AW607" s="205"/>
      <c r="AX607" s="205"/>
      <c r="AY607" s="205"/>
      <c r="AZ607" s="205"/>
      <c r="BA607" s="205"/>
      <c r="BB607" s="205"/>
      <c r="BC607" s="205"/>
      <c r="BD607" s="205"/>
      <c r="BE607" s="205"/>
      <c r="BF607" s="205"/>
      <c r="BG607" s="205"/>
      <c r="BH607" s="205"/>
      <c r="BI607" s="205"/>
      <c r="BJ607" s="205"/>
      <c r="BK607" s="205"/>
      <c r="BL607" s="205"/>
      <c r="BM607" s="205"/>
      <c r="BN607" s="205"/>
      <c r="BO607" s="205"/>
      <c r="BP607" s="205"/>
      <c r="BQ607" s="205"/>
      <c r="BR607" s="205"/>
      <c r="BS607" s="205"/>
      <c r="BT607" s="205"/>
      <c r="BU607" s="205"/>
      <c r="BV607" s="205"/>
      <c r="BW607" s="205"/>
      <c r="BX607" s="205"/>
      <c r="BY607" s="205"/>
      <c r="BZ607" s="205"/>
      <c r="CA607" s="205"/>
      <c r="CB607" s="205"/>
      <c r="CC607" s="205"/>
      <c r="CD607" s="205"/>
      <c r="CE607" s="205"/>
      <c r="CF607" s="205"/>
      <c r="CG607" s="205"/>
      <c r="CH607" s="205"/>
      <c r="CI607" s="205"/>
      <c r="CJ607" s="205"/>
      <c r="CK607" s="205"/>
      <c r="CL607" s="205"/>
      <c r="CM607" s="205"/>
      <c r="CN607" s="205"/>
      <c r="CO607" s="205"/>
      <c r="CP607" s="205"/>
      <c r="CQ607" s="205"/>
      <c r="CR607" s="205"/>
      <c r="CS607" s="205"/>
      <c r="CT607" s="205"/>
      <c r="CU607" s="205"/>
      <c r="CV607" s="205"/>
      <c r="CW607" s="205"/>
      <c r="CX607" s="205"/>
      <c r="CY607" s="205"/>
      <c r="CZ607" s="205"/>
      <c r="DA607" s="205"/>
      <c r="DB607" s="205"/>
      <c r="DC607" s="205"/>
      <c r="DD607" s="205"/>
      <c r="DE607" s="205"/>
      <c r="DF607" s="205"/>
      <c r="DG607" s="205"/>
      <c r="DH607" s="205"/>
      <c r="DI607" s="205"/>
      <c r="DJ607" s="205"/>
      <c r="DK607" s="205"/>
      <c r="DL607" s="205"/>
      <c r="DM607" s="205"/>
      <c r="DN607" s="205"/>
      <c r="DO607" s="205"/>
      <c r="DP607" s="205"/>
      <c r="DQ607" s="205"/>
      <c r="DR607" s="205"/>
      <c r="DS607" s="205"/>
      <c r="DT607" s="205"/>
      <c r="DU607" s="205"/>
      <c r="DV607" s="205"/>
      <c r="DW607" s="205"/>
      <c r="DX607" s="205"/>
      <c r="DY607" s="205"/>
      <c r="DZ607" s="205"/>
      <c r="EA607" s="205"/>
      <c r="EB607" s="205"/>
      <c r="EC607" s="205"/>
      <c r="ED607" s="205"/>
      <c r="EE607" s="205"/>
      <c r="EF607" s="205"/>
      <c r="EG607" s="205"/>
      <c r="EH607" s="205"/>
      <c r="EI607" s="205"/>
      <c r="EJ607" s="205"/>
      <c r="EK607" s="205"/>
      <c r="EL607" s="205"/>
      <c r="EM607" s="205"/>
      <c r="EN607" s="205"/>
      <c r="EO607" s="205"/>
      <c r="EP607" s="205"/>
      <c r="EQ607" s="205"/>
      <c r="ER607" s="205"/>
      <c r="ES607" s="205"/>
      <c r="ET607" s="205"/>
      <c r="EU607" s="205"/>
      <c r="EV607" s="205"/>
      <c r="EW607" s="205"/>
      <c r="EX607" s="205"/>
      <c r="EY607" s="205"/>
      <c r="EZ607" s="205"/>
      <c r="FA607" s="205"/>
      <c r="FB607" s="205"/>
      <c r="FC607" s="205"/>
      <c r="FD607" s="205"/>
      <c r="FE607" s="205"/>
      <c r="FF607" s="205"/>
      <c r="FG607" s="205"/>
      <c r="FH607" s="205"/>
      <c r="FI607" s="205"/>
      <c r="FJ607" s="205"/>
      <c r="FK607" s="205"/>
      <c r="FL607" s="205"/>
      <c r="FM607" s="205"/>
      <c r="FN607" s="205"/>
      <c r="FO607" s="205"/>
      <c r="FP607" s="205"/>
      <c r="FQ607" s="205"/>
      <c r="FR607" s="205"/>
      <c r="FS607" s="205"/>
      <c r="FT607" s="205"/>
      <c r="FU607" s="205"/>
      <c r="FV607" s="205"/>
      <c r="FW607" s="205"/>
      <c r="FX607" s="205"/>
      <c r="FY607" s="205"/>
      <c r="FZ607" s="205"/>
      <c r="GA607" s="205"/>
      <c r="GB607" s="205"/>
      <c r="GC607" s="205"/>
      <c r="GD607" s="205"/>
      <c r="GE607" s="205"/>
      <c r="GF607" s="205"/>
      <c r="GG607" s="205"/>
      <c r="GH607" s="205"/>
      <c r="GI607" s="205"/>
      <c r="GJ607" s="205"/>
      <c r="GK607" s="205"/>
      <c r="GL607" s="205"/>
      <c r="GM607" s="205"/>
      <c r="GN607" s="205"/>
      <c r="GO607" s="205"/>
      <c r="GP607" s="205"/>
      <c r="GQ607" s="205"/>
      <c r="GR607" s="205"/>
      <c r="GS607" s="205"/>
      <c r="GT607" s="205"/>
      <c r="GU607" s="205"/>
      <c r="GV607" s="205"/>
      <c r="GW607" s="205"/>
      <c r="GX607" s="205"/>
      <c r="GY607" s="205"/>
      <c r="GZ607" s="205"/>
      <c r="HA607" s="205"/>
      <c r="HB607" s="205"/>
      <c r="HC607" s="205"/>
      <c r="HD607" s="205"/>
      <c r="HE607" s="205"/>
      <c r="HF607" s="205"/>
      <c r="HG607" s="205"/>
      <c r="HH607" s="205"/>
      <c r="HI607" s="205"/>
      <c r="HJ607" s="205"/>
      <c r="HK607" s="205"/>
      <c r="HL607" s="205"/>
      <c r="HM607" s="205"/>
      <c r="HN607" s="205"/>
      <c r="HO607" s="205"/>
      <c r="HP607" s="205"/>
      <c r="HQ607" s="205"/>
      <c r="HR607" s="205"/>
      <c r="HS607" s="205"/>
      <c r="HT607" s="205"/>
      <c r="HU607" s="205"/>
      <c r="HV607" s="205"/>
      <c r="HW607" s="205"/>
      <c r="HX607" s="205"/>
      <c r="HY607" s="205"/>
      <c r="HZ607" s="205"/>
      <c r="IA607" s="205"/>
      <c r="IB607" s="205"/>
      <c r="IC607" s="205"/>
      <c r="ID607" s="205"/>
      <c r="IE607" s="205"/>
      <c r="IF607" s="205"/>
      <c r="IG607" s="205"/>
      <c r="IH607" s="205"/>
      <c r="II607" s="205"/>
      <c r="IJ607" s="205"/>
      <c r="IK607" s="205"/>
      <c r="IL607" s="205"/>
      <c r="IM607" s="205"/>
      <c r="IN607" s="205"/>
      <c r="IO607" s="205"/>
      <c r="IP607" s="205"/>
      <c r="IQ607" s="205"/>
      <c r="IR607" s="205"/>
      <c r="IS607" s="205"/>
      <c r="IT607" s="205"/>
      <c r="IU607" s="205"/>
      <c r="IV607" s="205"/>
      <c r="IW607" s="205"/>
      <c r="IX607" s="205"/>
    </row>
    <row r="608" spans="1:258" s="196" customFormat="1" ht="18" x14ac:dyDescent="0.25">
      <c r="A608" s="205"/>
      <c r="B608" s="704"/>
      <c r="C608" s="709"/>
      <c r="D608" s="706"/>
      <c r="E608" s="706"/>
      <c r="F608" s="706"/>
      <c r="G608" s="711"/>
      <c r="H608" s="694"/>
      <c r="I608" s="694"/>
      <c r="J608" s="694"/>
      <c r="K608" s="694"/>
      <c r="L608" s="694"/>
      <c r="M608" s="694"/>
      <c r="N608" s="694"/>
      <c r="O608" s="694"/>
      <c r="P608" s="694"/>
      <c r="Q608" s="694"/>
      <c r="R608" s="204"/>
      <c r="S608" s="708"/>
      <c r="T608" s="714"/>
      <c r="U608" s="205"/>
      <c r="V608" s="662"/>
      <c r="W608" s="205"/>
      <c r="X608" s="205"/>
      <c r="Y608" s="205"/>
      <c r="Z608" s="205"/>
      <c r="AA608" s="205"/>
      <c r="AB608" s="205"/>
      <c r="AC608" s="205"/>
      <c r="AD608" s="205"/>
      <c r="AE608" s="205"/>
      <c r="AF608" s="205"/>
      <c r="AG608" s="205"/>
      <c r="AH608" s="205"/>
      <c r="AI608" s="205"/>
      <c r="AJ608" s="205"/>
      <c r="AK608" s="205"/>
      <c r="AL608" s="205"/>
      <c r="AM608" s="205"/>
      <c r="AN608" s="205"/>
      <c r="AO608" s="205"/>
      <c r="AP608" s="205"/>
      <c r="AQ608" s="205"/>
      <c r="AR608" s="205"/>
      <c r="AS608" s="205"/>
      <c r="AT608" s="205"/>
      <c r="AU608" s="205"/>
      <c r="AV608" s="205"/>
      <c r="AW608" s="205"/>
      <c r="AX608" s="205"/>
      <c r="AY608" s="205"/>
      <c r="AZ608" s="205"/>
      <c r="BA608" s="205"/>
      <c r="BB608" s="205"/>
      <c r="BC608" s="205"/>
      <c r="BD608" s="205"/>
      <c r="BE608" s="205"/>
      <c r="BF608" s="205"/>
      <c r="BG608" s="205"/>
      <c r="BH608" s="205"/>
      <c r="BI608" s="205"/>
      <c r="BJ608" s="205"/>
      <c r="BK608" s="205"/>
      <c r="BL608" s="205"/>
      <c r="BM608" s="205"/>
      <c r="BN608" s="205"/>
      <c r="BO608" s="205"/>
      <c r="BP608" s="205"/>
      <c r="BQ608" s="205"/>
      <c r="BR608" s="205"/>
      <c r="BS608" s="205"/>
      <c r="BT608" s="205"/>
      <c r="BU608" s="205"/>
      <c r="BV608" s="205"/>
      <c r="BW608" s="205"/>
      <c r="BX608" s="205"/>
      <c r="BY608" s="205"/>
      <c r="BZ608" s="205"/>
      <c r="CA608" s="205"/>
      <c r="CB608" s="205"/>
      <c r="CC608" s="205"/>
      <c r="CD608" s="205"/>
      <c r="CE608" s="205"/>
      <c r="CF608" s="205"/>
      <c r="CG608" s="205"/>
      <c r="CH608" s="205"/>
      <c r="CI608" s="205"/>
      <c r="CJ608" s="205"/>
      <c r="CK608" s="205"/>
      <c r="CL608" s="205"/>
      <c r="CM608" s="205"/>
      <c r="CN608" s="205"/>
      <c r="CO608" s="205"/>
      <c r="CP608" s="205"/>
      <c r="CQ608" s="205"/>
      <c r="CR608" s="205"/>
      <c r="CS608" s="205"/>
      <c r="CT608" s="205"/>
      <c r="CU608" s="205"/>
      <c r="CV608" s="205"/>
      <c r="CW608" s="205"/>
      <c r="CX608" s="205"/>
      <c r="CY608" s="205"/>
      <c r="CZ608" s="205"/>
      <c r="DA608" s="205"/>
      <c r="DB608" s="205"/>
      <c r="DC608" s="205"/>
      <c r="DD608" s="205"/>
      <c r="DE608" s="205"/>
      <c r="DF608" s="205"/>
      <c r="DG608" s="205"/>
      <c r="DH608" s="205"/>
      <c r="DI608" s="205"/>
      <c r="DJ608" s="205"/>
      <c r="DK608" s="205"/>
      <c r="DL608" s="205"/>
      <c r="DM608" s="205"/>
      <c r="DN608" s="205"/>
      <c r="DO608" s="205"/>
      <c r="DP608" s="205"/>
      <c r="DQ608" s="205"/>
      <c r="DR608" s="205"/>
      <c r="DS608" s="205"/>
      <c r="DT608" s="205"/>
      <c r="DU608" s="205"/>
      <c r="DV608" s="205"/>
      <c r="DW608" s="205"/>
      <c r="DX608" s="205"/>
      <c r="DY608" s="205"/>
      <c r="DZ608" s="205"/>
      <c r="EA608" s="205"/>
      <c r="EB608" s="205"/>
      <c r="EC608" s="205"/>
      <c r="ED608" s="205"/>
      <c r="EE608" s="205"/>
      <c r="EF608" s="205"/>
      <c r="EG608" s="205"/>
      <c r="EH608" s="205"/>
      <c r="EI608" s="205"/>
      <c r="EJ608" s="205"/>
      <c r="EK608" s="205"/>
      <c r="EL608" s="205"/>
      <c r="EM608" s="205"/>
      <c r="EN608" s="205"/>
      <c r="EO608" s="205"/>
      <c r="EP608" s="205"/>
      <c r="EQ608" s="205"/>
      <c r="ER608" s="205"/>
      <c r="ES608" s="205"/>
      <c r="ET608" s="205"/>
      <c r="EU608" s="205"/>
      <c r="EV608" s="205"/>
      <c r="EW608" s="205"/>
      <c r="EX608" s="205"/>
      <c r="EY608" s="205"/>
      <c r="EZ608" s="205"/>
      <c r="FA608" s="205"/>
      <c r="FB608" s="205"/>
      <c r="FC608" s="205"/>
      <c r="FD608" s="205"/>
      <c r="FE608" s="205"/>
      <c r="FF608" s="205"/>
      <c r="FG608" s="205"/>
      <c r="FH608" s="205"/>
      <c r="FI608" s="205"/>
      <c r="FJ608" s="205"/>
      <c r="FK608" s="205"/>
      <c r="FL608" s="205"/>
      <c r="FM608" s="205"/>
      <c r="FN608" s="205"/>
      <c r="FO608" s="205"/>
      <c r="FP608" s="205"/>
      <c r="FQ608" s="205"/>
      <c r="FR608" s="205"/>
      <c r="FS608" s="205"/>
      <c r="FT608" s="205"/>
      <c r="FU608" s="205"/>
      <c r="FV608" s="205"/>
      <c r="FW608" s="205"/>
      <c r="FX608" s="205"/>
      <c r="FY608" s="205"/>
      <c r="FZ608" s="205"/>
      <c r="GA608" s="205"/>
      <c r="GB608" s="205"/>
      <c r="GC608" s="205"/>
      <c r="GD608" s="205"/>
      <c r="GE608" s="205"/>
      <c r="GF608" s="205"/>
      <c r="GG608" s="205"/>
      <c r="GH608" s="205"/>
      <c r="GI608" s="205"/>
      <c r="GJ608" s="205"/>
      <c r="GK608" s="205"/>
      <c r="GL608" s="205"/>
      <c r="GM608" s="205"/>
      <c r="GN608" s="205"/>
      <c r="GO608" s="205"/>
      <c r="GP608" s="205"/>
      <c r="GQ608" s="205"/>
      <c r="GR608" s="205"/>
      <c r="GS608" s="205"/>
      <c r="GT608" s="205"/>
      <c r="GU608" s="205"/>
      <c r="GV608" s="205"/>
      <c r="GW608" s="205"/>
      <c r="GX608" s="205"/>
      <c r="GY608" s="205"/>
      <c r="GZ608" s="205"/>
      <c r="HA608" s="205"/>
      <c r="HB608" s="205"/>
      <c r="HC608" s="205"/>
      <c r="HD608" s="205"/>
      <c r="HE608" s="205"/>
      <c r="HF608" s="205"/>
      <c r="HG608" s="205"/>
      <c r="HH608" s="205"/>
      <c r="HI608" s="205"/>
      <c r="HJ608" s="205"/>
      <c r="HK608" s="205"/>
      <c r="HL608" s="205"/>
      <c r="HM608" s="205"/>
      <c r="HN608" s="205"/>
      <c r="HO608" s="205"/>
      <c r="HP608" s="205"/>
      <c r="HQ608" s="205"/>
      <c r="HR608" s="205"/>
      <c r="HS608" s="205"/>
      <c r="HT608" s="205"/>
      <c r="HU608" s="205"/>
      <c r="HV608" s="205"/>
      <c r="HW608" s="205"/>
      <c r="HX608" s="205"/>
      <c r="HY608" s="205"/>
      <c r="HZ608" s="205"/>
      <c r="IA608" s="205"/>
      <c r="IB608" s="205"/>
      <c r="IC608" s="205"/>
      <c r="ID608" s="205"/>
      <c r="IE608" s="205"/>
      <c r="IF608" s="205"/>
      <c r="IG608" s="205"/>
      <c r="IH608" s="205"/>
      <c r="II608" s="205"/>
      <c r="IJ608" s="205"/>
      <c r="IK608" s="205"/>
      <c r="IL608" s="205"/>
      <c r="IM608" s="205"/>
      <c r="IN608" s="205"/>
      <c r="IO608" s="205"/>
      <c r="IP608" s="205"/>
      <c r="IQ608" s="205"/>
      <c r="IR608" s="205"/>
      <c r="IS608" s="205"/>
      <c r="IT608" s="205"/>
      <c r="IU608" s="205"/>
      <c r="IV608" s="205"/>
      <c r="IW608" s="205"/>
      <c r="IX608" s="205"/>
    </row>
    <row r="609" spans="1:258" s="196" customFormat="1" ht="18" x14ac:dyDescent="0.25">
      <c r="A609" s="205"/>
      <c r="B609" s="704"/>
      <c r="C609" s="709"/>
      <c r="D609" s="706"/>
      <c r="E609" s="706"/>
      <c r="F609" s="706"/>
      <c r="G609" s="711"/>
      <c r="H609" s="694"/>
      <c r="I609" s="694"/>
      <c r="J609" s="694"/>
      <c r="K609" s="694"/>
      <c r="L609" s="694"/>
      <c r="M609" s="694"/>
      <c r="N609" s="694"/>
      <c r="O609" s="694"/>
      <c r="P609" s="694"/>
      <c r="Q609" s="694"/>
      <c r="R609" s="204"/>
      <c r="S609" s="708"/>
      <c r="T609" s="714"/>
      <c r="U609" s="205"/>
      <c r="V609" s="662"/>
      <c r="W609" s="205"/>
      <c r="X609" s="205"/>
      <c r="Y609" s="205"/>
      <c r="Z609" s="205"/>
      <c r="AA609" s="205"/>
      <c r="AB609" s="205"/>
      <c r="AC609" s="205"/>
      <c r="AD609" s="205"/>
      <c r="AE609" s="205"/>
      <c r="AF609" s="205"/>
      <c r="AG609" s="205"/>
      <c r="AH609" s="205"/>
      <c r="AI609" s="205"/>
      <c r="AJ609" s="205"/>
      <c r="AK609" s="205"/>
      <c r="AL609" s="205"/>
      <c r="AM609" s="205"/>
      <c r="AN609" s="205"/>
      <c r="AO609" s="205"/>
      <c r="AP609" s="205"/>
      <c r="AQ609" s="205"/>
      <c r="AR609" s="205"/>
      <c r="AS609" s="205"/>
      <c r="AT609" s="205"/>
      <c r="AU609" s="205"/>
      <c r="AV609" s="205"/>
      <c r="AW609" s="205"/>
      <c r="AX609" s="205"/>
      <c r="AY609" s="205"/>
      <c r="AZ609" s="205"/>
      <c r="BA609" s="205"/>
      <c r="BB609" s="205"/>
      <c r="BC609" s="205"/>
      <c r="BD609" s="205"/>
      <c r="BE609" s="205"/>
      <c r="BF609" s="205"/>
      <c r="BG609" s="205"/>
      <c r="BH609" s="205"/>
      <c r="BI609" s="205"/>
      <c r="BJ609" s="205"/>
      <c r="BK609" s="205"/>
      <c r="BL609" s="205"/>
      <c r="BM609" s="205"/>
      <c r="BN609" s="205"/>
      <c r="BO609" s="205"/>
      <c r="BP609" s="205"/>
      <c r="BQ609" s="205"/>
      <c r="BR609" s="205"/>
      <c r="BS609" s="205"/>
      <c r="BT609" s="205"/>
      <c r="BU609" s="205"/>
      <c r="BV609" s="205"/>
      <c r="BW609" s="205"/>
      <c r="BX609" s="205"/>
      <c r="BY609" s="205"/>
      <c r="BZ609" s="205"/>
      <c r="CA609" s="205"/>
      <c r="CB609" s="205"/>
      <c r="CC609" s="205"/>
      <c r="CD609" s="205"/>
      <c r="CE609" s="205"/>
      <c r="CF609" s="205"/>
      <c r="CG609" s="205"/>
      <c r="CH609" s="205"/>
      <c r="CI609" s="205"/>
      <c r="CJ609" s="205"/>
      <c r="CK609" s="205"/>
      <c r="CL609" s="205"/>
      <c r="CM609" s="205"/>
      <c r="CN609" s="205"/>
      <c r="CO609" s="205"/>
      <c r="CP609" s="205"/>
      <c r="CQ609" s="205"/>
      <c r="CR609" s="205"/>
      <c r="CS609" s="205"/>
      <c r="CT609" s="205"/>
      <c r="CU609" s="205"/>
      <c r="CV609" s="205"/>
      <c r="CW609" s="205"/>
      <c r="CX609" s="205"/>
      <c r="CY609" s="205"/>
      <c r="CZ609" s="205"/>
      <c r="DA609" s="205"/>
      <c r="DB609" s="205"/>
      <c r="DC609" s="205"/>
      <c r="DD609" s="205"/>
      <c r="DE609" s="205"/>
      <c r="DF609" s="205"/>
      <c r="DG609" s="205"/>
      <c r="DH609" s="205"/>
      <c r="DI609" s="205"/>
      <c r="DJ609" s="205"/>
      <c r="DK609" s="205"/>
      <c r="DL609" s="205"/>
      <c r="DM609" s="205"/>
      <c r="DN609" s="205"/>
      <c r="DO609" s="205"/>
      <c r="DP609" s="205"/>
      <c r="DQ609" s="205"/>
      <c r="DR609" s="205"/>
      <c r="DS609" s="205"/>
      <c r="DT609" s="205"/>
      <c r="DU609" s="205"/>
      <c r="DV609" s="205"/>
      <c r="DW609" s="205"/>
      <c r="DX609" s="205"/>
      <c r="DY609" s="205"/>
      <c r="DZ609" s="205"/>
      <c r="EA609" s="205"/>
      <c r="EB609" s="205"/>
      <c r="EC609" s="205"/>
      <c r="ED609" s="205"/>
      <c r="EE609" s="205"/>
      <c r="EF609" s="205"/>
      <c r="EG609" s="205"/>
      <c r="EH609" s="205"/>
      <c r="EI609" s="205"/>
      <c r="EJ609" s="205"/>
      <c r="EK609" s="205"/>
      <c r="EL609" s="205"/>
      <c r="EM609" s="205"/>
      <c r="EN609" s="205"/>
      <c r="EO609" s="205"/>
      <c r="EP609" s="205"/>
      <c r="EQ609" s="205"/>
      <c r="ER609" s="205"/>
      <c r="ES609" s="205"/>
      <c r="ET609" s="205"/>
      <c r="EU609" s="205"/>
      <c r="EV609" s="205"/>
      <c r="EW609" s="205"/>
      <c r="EX609" s="205"/>
      <c r="EY609" s="205"/>
      <c r="EZ609" s="205"/>
      <c r="FA609" s="205"/>
      <c r="FB609" s="205"/>
      <c r="FC609" s="205"/>
      <c r="FD609" s="205"/>
      <c r="FE609" s="205"/>
      <c r="FF609" s="205"/>
      <c r="FG609" s="205"/>
      <c r="FH609" s="205"/>
      <c r="FI609" s="205"/>
      <c r="FJ609" s="205"/>
      <c r="FK609" s="205"/>
      <c r="FL609" s="205"/>
      <c r="FM609" s="205"/>
      <c r="FN609" s="205"/>
      <c r="FO609" s="205"/>
      <c r="FP609" s="205"/>
      <c r="FQ609" s="205"/>
      <c r="FR609" s="205"/>
      <c r="FS609" s="205"/>
      <c r="FT609" s="205"/>
      <c r="FU609" s="205"/>
      <c r="FV609" s="205"/>
      <c r="FW609" s="205"/>
      <c r="FX609" s="205"/>
      <c r="FY609" s="205"/>
      <c r="FZ609" s="205"/>
      <c r="GA609" s="205"/>
      <c r="GB609" s="205"/>
      <c r="GC609" s="205"/>
      <c r="GD609" s="205"/>
      <c r="GE609" s="205"/>
      <c r="GF609" s="205"/>
      <c r="GG609" s="205"/>
      <c r="GH609" s="205"/>
      <c r="GI609" s="205"/>
      <c r="GJ609" s="205"/>
      <c r="GK609" s="205"/>
      <c r="GL609" s="205"/>
      <c r="GM609" s="205"/>
      <c r="GN609" s="205"/>
      <c r="GO609" s="205"/>
      <c r="GP609" s="205"/>
      <c r="GQ609" s="205"/>
      <c r="GR609" s="205"/>
      <c r="GS609" s="205"/>
      <c r="GT609" s="205"/>
      <c r="GU609" s="205"/>
      <c r="GV609" s="205"/>
      <c r="GW609" s="205"/>
      <c r="GX609" s="205"/>
      <c r="GY609" s="205"/>
      <c r="GZ609" s="205"/>
      <c r="HA609" s="205"/>
      <c r="HB609" s="205"/>
      <c r="HC609" s="205"/>
      <c r="HD609" s="205"/>
      <c r="HE609" s="205"/>
      <c r="HF609" s="205"/>
      <c r="HG609" s="205"/>
      <c r="HH609" s="205"/>
      <c r="HI609" s="205"/>
      <c r="HJ609" s="205"/>
      <c r="HK609" s="205"/>
      <c r="HL609" s="205"/>
      <c r="HM609" s="205"/>
      <c r="HN609" s="205"/>
      <c r="HO609" s="205"/>
      <c r="HP609" s="205"/>
      <c r="HQ609" s="205"/>
      <c r="HR609" s="205"/>
      <c r="HS609" s="205"/>
      <c r="HT609" s="205"/>
      <c r="HU609" s="205"/>
      <c r="HV609" s="205"/>
      <c r="HW609" s="205"/>
      <c r="HX609" s="205"/>
      <c r="HY609" s="205"/>
      <c r="HZ609" s="205"/>
      <c r="IA609" s="205"/>
      <c r="IB609" s="205"/>
      <c r="IC609" s="205"/>
      <c r="ID609" s="205"/>
      <c r="IE609" s="205"/>
      <c r="IF609" s="205"/>
      <c r="IG609" s="205"/>
      <c r="IH609" s="205"/>
      <c r="II609" s="205"/>
      <c r="IJ609" s="205"/>
      <c r="IK609" s="205"/>
      <c r="IL609" s="205"/>
      <c r="IM609" s="205"/>
      <c r="IN609" s="205"/>
      <c r="IO609" s="205"/>
      <c r="IP609" s="205"/>
      <c r="IQ609" s="205"/>
      <c r="IR609" s="205"/>
      <c r="IS609" s="205"/>
      <c r="IT609" s="205"/>
      <c r="IU609" s="205"/>
      <c r="IV609" s="205"/>
      <c r="IW609" s="205"/>
      <c r="IX609" s="205"/>
    </row>
    <row r="610" spans="1:258" s="196" customFormat="1" ht="18" x14ac:dyDescent="0.25">
      <c r="A610" s="205"/>
      <c r="B610" s="704"/>
      <c r="C610" s="709"/>
      <c r="D610" s="706"/>
      <c r="E610" s="706"/>
      <c r="F610" s="706"/>
      <c r="G610" s="711"/>
      <c r="H610" s="694"/>
      <c r="I610" s="694"/>
      <c r="J610" s="694"/>
      <c r="K610" s="694"/>
      <c r="L610" s="694"/>
      <c r="M610" s="694"/>
      <c r="N610" s="694"/>
      <c r="O610" s="694"/>
      <c r="P610" s="694"/>
      <c r="Q610" s="694"/>
      <c r="R610" s="204"/>
      <c r="S610" s="708"/>
      <c r="T610" s="714"/>
      <c r="U610" s="205"/>
      <c r="V610" s="662"/>
      <c r="W610" s="205"/>
      <c r="X610" s="205"/>
      <c r="Y610" s="205"/>
      <c r="Z610" s="205"/>
      <c r="AA610" s="205"/>
      <c r="AB610" s="205"/>
      <c r="AC610" s="205"/>
      <c r="AD610" s="205"/>
      <c r="AE610" s="205"/>
      <c r="AF610" s="205"/>
      <c r="AG610" s="205"/>
      <c r="AH610" s="205"/>
      <c r="AI610" s="205"/>
      <c r="AJ610" s="205"/>
      <c r="AK610" s="205"/>
      <c r="AL610" s="205"/>
      <c r="AM610" s="205"/>
      <c r="AN610" s="205"/>
      <c r="AO610" s="205"/>
      <c r="AP610" s="205"/>
      <c r="AQ610" s="205"/>
      <c r="AR610" s="205"/>
      <c r="AS610" s="205"/>
      <c r="AT610" s="205"/>
      <c r="AU610" s="205"/>
      <c r="AV610" s="205"/>
      <c r="AW610" s="205"/>
      <c r="AX610" s="205"/>
      <c r="AY610" s="205"/>
      <c r="AZ610" s="205"/>
      <c r="BA610" s="205"/>
      <c r="BB610" s="205"/>
      <c r="BC610" s="205"/>
      <c r="BD610" s="205"/>
      <c r="BE610" s="205"/>
      <c r="BF610" s="205"/>
      <c r="BG610" s="205"/>
      <c r="BH610" s="205"/>
      <c r="BI610" s="205"/>
      <c r="BJ610" s="205"/>
      <c r="BK610" s="205"/>
      <c r="BL610" s="205"/>
      <c r="BM610" s="205"/>
      <c r="BN610" s="205"/>
      <c r="BO610" s="205"/>
      <c r="BP610" s="205"/>
      <c r="BQ610" s="205"/>
      <c r="BR610" s="205"/>
      <c r="BS610" s="205"/>
      <c r="BT610" s="205"/>
      <c r="BU610" s="205"/>
      <c r="BV610" s="205"/>
      <c r="BW610" s="205"/>
      <c r="BX610" s="205"/>
      <c r="BY610" s="205"/>
      <c r="BZ610" s="205"/>
      <c r="CA610" s="205"/>
      <c r="CB610" s="205"/>
      <c r="CC610" s="205"/>
      <c r="CD610" s="205"/>
      <c r="CE610" s="205"/>
      <c r="CF610" s="205"/>
      <c r="CG610" s="205"/>
      <c r="CH610" s="205"/>
      <c r="CI610" s="205"/>
      <c r="CJ610" s="205"/>
      <c r="CK610" s="205"/>
      <c r="CL610" s="205"/>
      <c r="CM610" s="205"/>
      <c r="CN610" s="205"/>
      <c r="CO610" s="205"/>
      <c r="CP610" s="205"/>
      <c r="CQ610" s="205"/>
      <c r="CR610" s="205"/>
      <c r="CS610" s="205"/>
      <c r="CT610" s="205"/>
      <c r="CU610" s="205"/>
      <c r="CV610" s="205"/>
      <c r="CW610" s="205"/>
      <c r="CX610" s="205"/>
      <c r="CY610" s="205"/>
      <c r="CZ610" s="205"/>
      <c r="DA610" s="205"/>
      <c r="DB610" s="205"/>
      <c r="DC610" s="205"/>
      <c r="DD610" s="205"/>
      <c r="DE610" s="205"/>
      <c r="DF610" s="205"/>
      <c r="DG610" s="205"/>
      <c r="DH610" s="205"/>
      <c r="DI610" s="205"/>
      <c r="DJ610" s="205"/>
      <c r="DK610" s="205"/>
      <c r="DL610" s="205"/>
      <c r="DM610" s="205"/>
      <c r="DN610" s="205"/>
      <c r="DO610" s="205"/>
      <c r="DP610" s="205"/>
      <c r="DQ610" s="205"/>
      <c r="DR610" s="205"/>
      <c r="DS610" s="205"/>
      <c r="DT610" s="205"/>
      <c r="DU610" s="205"/>
      <c r="DV610" s="205"/>
      <c r="DW610" s="205"/>
      <c r="DX610" s="205"/>
      <c r="DY610" s="205"/>
      <c r="DZ610" s="205"/>
      <c r="EA610" s="205"/>
      <c r="EB610" s="205"/>
      <c r="EC610" s="205"/>
      <c r="ED610" s="205"/>
      <c r="EE610" s="205"/>
      <c r="EF610" s="205"/>
      <c r="EG610" s="205"/>
      <c r="EH610" s="205"/>
      <c r="EI610" s="205"/>
      <c r="EJ610" s="205"/>
      <c r="EK610" s="205"/>
      <c r="EL610" s="205"/>
      <c r="EM610" s="205"/>
      <c r="EN610" s="205"/>
      <c r="EO610" s="205"/>
      <c r="EP610" s="205"/>
      <c r="EQ610" s="205"/>
      <c r="ER610" s="205"/>
      <c r="ES610" s="205"/>
      <c r="ET610" s="205"/>
      <c r="EU610" s="205"/>
      <c r="EV610" s="205"/>
      <c r="EW610" s="205"/>
      <c r="EX610" s="205"/>
      <c r="EY610" s="205"/>
      <c r="EZ610" s="205"/>
      <c r="FA610" s="205"/>
      <c r="FB610" s="205"/>
      <c r="FC610" s="205"/>
      <c r="FD610" s="205"/>
      <c r="FE610" s="205"/>
      <c r="FF610" s="205"/>
      <c r="FG610" s="205"/>
      <c r="FH610" s="205"/>
      <c r="FI610" s="205"/>
      <c r="FJ610" s="205"/>
      <c r="FK610" s="205"/>
      <c r="FL610" s="205"/>
      <c r="FM610" s="205"/>
      <c r="FN610" s="205"/>
      <c r="FO610" s="205"/>
      <c r="FP610" s="205"/>
      <c r="FQ610" s="205"/>
      <c r="FR610" s="205"/>
      <c r="FS610" s="205"/>
      <c r="FT610" s="205"/>
      <c r="FU610" s="205"/>
      <c r="FV610" s="205"/>
      <c r="FW610" s="205"/>
      <c r="FX610" s="205"/>
      <c r="FY610" s="205"/>
      <c r="FZ610" s="205"/>
      <c r="GA610" s="205"/>
      <c r="GB610" s="205"/>
      <c r="GC610" s="205"/>
      <c r="GD610" s="205"/>
      <c r="GE610" s="205"/>
      <c r="GF610" s="205"/>
      <c r="GG610" s="205"/>
      <c r="GH610" s="205"/>
      <c r="GI610" s="205"/>
      <c r="GJ610" s="205"/>
      <c r="GK610" s="205"/>
      <c r="GL610" s="205"/>
      <c r="GM610" s="205"/>
      <c r="GN610" s="205"/>
      <c r="GO610" s="205"/>
      <c r="GP610" s="205"/>
      <c r="GQ610" s="205"/>
      <c r="GR610" s="205"/>
      <c r="GS610" s="205"/>
      <c r="GT610" s="205"/>
      <c r="GU610" s="205"/>
      <c r="GV610" s="205"/>
      <c r="GW610" s="205"/>
      <c r="GX610" s="205"/>
      <c r="GY610" s="205"/>
      <c r="GZ610" s="205"/>
      <c r="HA610" s="205"/>
      <c r="HB610" s="205"/>
      <c r="HC610" s="205"/>
      <c r="HD610" s="205"/>
      <c r="HE610" s="205"/>
      <c r="HF610" s="205"/>
      <c r="HG610" s="205"/>
      <c r="HH610" s="205"/>
      <c r="HI610" s="205"/>
      <c r="HJ610" s="205"/>
      <c r="HK610" s="205"/>
      <c r="HL610" s="205"/>
      <c r="HM610" s="205"/>
      <c r="HN610" s="205"/>
      <c r="HO610" s="205"/>
      <c r="HP610" s="205"/>
      <c r="HQ610" s="205"/>
      <c r="HR610" s="205"/>
      <c r="HS610" s="205"/>
      <c r="HT610" s="205"/>
      <c r="HU610" s="205"/>
      <c r="HV610" s="205"/>
      <c r="HW610" s="205"/>
      <c r="HX610" s="205"/>
      <c r="HY610" s="205"/>
      <c r="HZ610" s="205"/>
      <c r="IA610" s="205"/>
      <c r="IB610" s="205"/>
      <c r="IC610" s="205"/>
      <c r="ID610" s="205"/>
      <c r="IE610" s="205"/>
      <c r="IF610" s="205"/>
      <c r="IG610" s="205"/>
      <c r="IH610" s="205"/>
      <c r="II610" s="205"/>
      <c r="IJ610" s="205"/>
      <c r="IK610" s="205"/>
      <c r="IL610" s="205"/>
      <c r="IM610" s="205"/>
      <c r="IN610" s="205"/>
      <c r="IO610" s="205"/>
      <c r="IP610" s="205"/>
      <c r="IQ610" s="205"/>
      <c r="IR610" s="205"/>
      <c r="IS610" s="205"/>
      <c r="IT610" s="205"/>
      <c r="IU610" s="205"/>
      <c r="IV610" s="205"/>
      <c r="IW610" s="205"/>
      <c r="IX610" s="205"/>
    </row>
    <row r="611" spans="1:258" ht="18" x14ac:dyDescent="0.25">
      <c r="B611" s="704"/>
      <c r="C611" s="709"/>
      <c r="D611" s="706"/>
      <c r="E611" s="706"/>
      <c r="F611" s="706"/>
      <c r="G611" s="711"/>
      <c r="H611" s="694"/>
      <c r="I611" s="694"/>
      <c r="J611" s="694"/>
      <c r="K611" s="694"/>
      <c r="L611" s="694"/>
      <c r="M611" s="694"/>
      <c r="N611" s="694"/>
      <c r="O611" s="694"/>
      <c r="P611" s="694"/>
      <c r="Q611" s="694"/>
      <c r="R611" s="204"/>
      <c r="S611" s="708"/>
      <c r="T611" s="714"/>
    </row>
    <row r="612" spans="1:258" ht="18" x14ac:dyDescent="0.25">
      <c r="B612" s="704"/>
      <c r="C612" s="709"/>
      <c r="D612" s="706"/>
      <c r="E612" s="706"/>
      <c r="F612" s="706"/>
      <c r="G612" s="711"/>
      <c r="H612" s="694"/>
      <c r="I612" s="694"/>
      <c r="J612" s="694"/>
      <c r="K612" s="694"/>
      <c r="L612" s="694"/>
      <c r="M612" s="694"/>
      <c r="N612" s="694"/>
      <c r="O612" s="694"/>
      <c r="P612" s="694"/>
      <c r="Q612" s="694"/>
      <c r="R612" s="204"/>
      <c r="S612" s="708"/>
      <c r="T612" s="714"/>
    </row>
    <row r="613" spans="1:258" ht="18" x14ac:dyDescent="0.25">
      <c r="B613" s="704"/>
      <c r="C613" s="709"/>
      <c r="D613" s="706"/>
      <c r="E613" s="706"/>
      <c r="F613" s="706"/>
      <c r="G613" s="711"/>
      <c r="H613" s="694"/>
      <c r="I613" s="694"/>
      <c r="J613" s="694"/>
      <c r="K613" s="694"/>
      <c r="L613" s="694"/>
      <c r="M613" s="694"/>
      <c r="N613" s="694"/>
      <c r="O613" s="694"/>
      <c r="P613" s="694"/>
      <c r="Q613" s="694"/>
      <c r="R613" s="204"/>
      <c r="S613" s="708"/>
      <c r="T613" s="714"/>
      <c r="V613" s="205"/>
    </row>
    <row r="614" spans="1:258" ht="18" x14ac:dyDescent="0.25">
      <c r="B614" s="704"/>
      <c r="C614" s="709"/>
      <c r="D614" s="706"/>
      <c r="E614" s="706"/>
      <c r="F614" s="706"/>
      <c r="G614" s="711"/>
      <c r="H614" s="694"/>
      <c r="I614" s="694"/>
      <c r="J614" s="694"/>
      <c r="K614" s="694"/>
      <c r="L614" s="694"/>
      <c r="M614" s="694"/>
      <c r="N614" s="694"/>
      <c r="O614" s="694"/>
      <c r="P614" s="694"/>
      <c r="Q614" s="694"/>
      <c r="R614" s="204"/>
      <c r="S614" s="708"/>
      <c r="T614" s="714"/>
      <c r="V614" s="205"/>
    </row>
    <row r="615" spans="1:258" ht="18" x14ac:dyDescent="0.25">
      <c r="B615" s="704"/>
      <c r="C615" s="709"/>
      <c r="D615" s="706"/>
      <c r="E615" s="706"/>
      <c r="F615" s="706"/>
      <c r="G615" s="711"/>
      <c r="H615" s="694"/>
      <c r="I615" s="694"/>
      <c r="J615" s="694"/>
      <c r="K615" s="694"/>
      <c r="L615" s="694"/>
      <c r="M615" s="694"/>
      <c r="N615" s="694"/>
      <c r="O615" s="694"/>
      <c r="P615" s="694"/>
      <c r="Q615" s="694"/>
      <c r="R615" s="204"/>
      <c r="S615" s="708"/>
      <c r="T615" s="714"/>
      <c r="V615" s="205"/>
    </row>
    <row r="616" spans="1:258" ht="18" x14ac:dyDescent="0.25">
      <c r="B616" s="704"/>
      <c r="C616" s="709"/>
      <c r="D616" s="706"/>
      <c r="E616" s="706"/>
      <c r="F616" s="706"/>
      <c r="G616" s="711"/>
      <c r="H616" s="694"/>
      <c r="I616" s="694"/>
      <c r="J616" s="694"/>
      <c r="K616" s="694"/>
      <c r="L616" s="694"/>
      <c r="M616" s="694"/>
      <c r="N616" s="694"/>
      <c r="O616" s="694"/>
      <c r="P616" s="694"/>
      <c r="Q616" s="694"/>
      <c r="R616" s="204"/>
      <c r="S616" s="708"/>
      <c r="T616" s="714"/>
      <c r="V616" s="205"/>
    </row>
    <row r="617" spans="1:258" ht="18" x14ac:dyDescent="0.25">
      <c r="B617" s="704"/>
      <c r="C617" s="709"/>
      <c r="D617" s="706"/>
      <c r="E617" s="706"/>
      <c r="F617" s="706"/>
      <c r="G617" s="711"/>
      <c r="H617" s="694"/>
      <c r="I617" s="694"/>
      <c r="J617" s="694"/>
      <c r="K617" s="694"/>
      <c r="L617" s="694"/>
      <c r="M617" s="694"/>
      <c r="N617" s="694"/>
      <c r="O617" s="694"/>
      <c r="P617" s="694"/>
      <c r="Q617" s="694"/>
      <c r="R617" s="204"/>
      <c r="S617" s="708"/>
      <c r="T617" s="714"/>
      <c r="V617" s="205"/>
    </row>
    <row r="618" spans="1:258" ht="18" x14ac:dyDescent="0.25">
      <c r="B618" s="704"/>
      <c r="C618" s="709"/>
      <c r="D618" s="706"/>
      <c r="E618" s="706"/>
      <c r="F618" s="706"/>
      <c r="G618" s="711"/>
      <c r="H618" s="694"/>
      <c r="I618" s="694"/>
      <c r="J618" s="694"/>
      <c r="K618" s="694"/>
      <c r="L618" s="694"/>
      <c r="M618" s="694"/>
      <c r="N618" s="694"/>
      <c r="O618" s="694"/>
      <c r="P618" s="694"/>
      <c r="Q618" s="694"/>
      <c r="R618" s="204"/>
      <c r="S618" s="708"/>
      <c r="T618" s="714"/>
      <c r="V618" s="205"/>
    </row>
    <row r="619" spans="1:258" ht="18" x14ac:dyDescent="0.25">
      <c r="B619" s="704"/>
      <c r="C619" s="709"/>
      <c r="D619" s="706"/>
      <c r="E619" s="706"/>
      <c r="F619" s="706"/>
      <c r="G619" s="711"/>
      <c r="H619" s="694"/>
      <c r="I619" s="694"/>
      <c r="J619" s="694"/>
      <c r="K619" s="694"/>
      <c r="L619" s="694"/>
      <c r="M619" s="694"/>
      <c r="N619" s="694"/>
      <c r="O619" s="694"/>
      <c r="P619" s="694"/>
      <c r="Q619" s="694"/>
      <c r="R619" s="204"/>
      <c r="S619" s="708"/>
      <c r="T619" s="714"/>
      <c r="V619" s="205"/>
    </row>
    <row r="620" spans="1:258" ht="18" x14ac:dyDescent="0.25">
      <c r="B620" s="704"/>
      <c r="C620" s="709"/>
      <c r="D620" s="706"/>
      <c r="E620" s="706"/>
      <c r="F620" s="706"/>
      <c r="G620" s="711"/>
      <c r="H620" s="694"/>
      <c r="I620" s="694"/>
      <c r="J620" s="694"/>
      <c r="K620" s="694"/>
      <c r="L620" s="694"/>
      <c r="M620" s="694"/>
      <c r="N620" s="694"/>
      <c r="O620" s="694"/>
      <c r="P620" s="694"/>
      <c r="Q620" s="694"/>
      <c r="R620" s="204"/>
      <c r="S620" s="708"/>
      <c r="T620" s="714"/>
      <c r="V620" s="205"/>
    </row>
    <row r="621" spans="1:258" ht="18" x14ac:dyDescent="0.25">
      <c r="B621" s="704"/>
      <c r="C621" s="709"/>
      <c r="D621" s="706"/>
      <c r="E621" s="706"/>
      <c r="F621" s="706"/>
      <c r="G621" s="711"/>
      <c r="H621" s="694"/>
      <c r="I621" s="694"/>
      <c r="J621" s="694"/>
      <c r="K621" s="694"/>
      <c r="L621" s="694"/>
      <c r="M621" s="694"/>
      <c r="N621" s="694"/>
      <c r="O621" s="694"/>
      <c r="P621" s="694"/>
      <c r="Q621" s="694"/>
      <c r="R621" s="204"/>
      <c r="S621" s="708"/>
      <c r="T621" s="714"/>
      <c r="V621" s="205"/>
    </row>
    <row r="622" spans="1:258" ht="18" x14ac:dyDescent="0.25">
      <c r="B622" s="704"/>
      <c r="C622" s="709"/>
      <c r="D622" s="706"/>
      <c r="E622" s="706"/>
      <c r="F622" s="706"/>
      <c r="G622" s="711"/>
      <c r="H622" s="694"/>
      <c r="I622" s="694"/>
      <c r="J622" s="694"/>
      <c r="K622" s="694"/>
      <c r="L622" s="694"/>
      <c r="M622" s="694"/>
      <c r="N622" s="694"/>
      <c r="O622" s="694"/>
      <c r="P622" s="694"/>
      <c r="Q622" s="694"/>
      <c r="R622" s="204"/>
      <c r="S622" s="708"/>
      <c r="T622" s="714"/>
      <c r="V622" s="205"/>
    </row>
    <row r="623" spans="1:258" ht="18" x14ac:dyDescent="0.25">
      <c r="B623" s="704"/>
      <c r="C623" s="709"/>
      <c r="D623" s="706"/>
      <c r="E623" s="706"/>
      <c r="F623" s="706"/>
      <c r="G623" s="711"/>
      <c r="H623" s="694"/>
      <c r="I623" s="694"/>
      <c r="J623" s="694"/>
      <c r="K623" s="694"/>
      <c r="L623" s="694"/>
      <c r="M623" s="694"/>
      <c r="N623" s="694"/>
      <c r="O623" s="694"/>
      <c r="P623" s="694"/>
      <c r="Q623" s="694"/>
      <c r="R623" s="204"/>
      <c r="S623" s="708"/>
      <c r="T623" s="714"/>
      <c r="V623" s="205"/>
    </row>
    <row r="624" spans="1:258" ht="18" x14ac:dyDescent="0.25">
      <c r="B624" s="704"/>
      <c r="C624" s="709"/>
      <c r="D624" s="706"/>
      <c r="E624" s="706"/>
      <c r="F624" s="706"/>
      <c r="G624" s="711"/>
      <c r="H624" s="694"/>
      <c r="I624" s="694"/>
      <c r="J624" s="694"/>
      <c r="K624" s="694"/>
      <c r="L624" s="694"/>
      <c r="M624" s="694"/>
      <c r="N624" s="694"/>
      <c r="O624" s="694"/>
      <c r="P624" s="694"/>
      <c r="Q624" s="694"/>
      <c r="R624" s="204"/>
      <c r="S624" s="708"/>
      <c r="T624" s="714"/>
      <c r="V624" s="205"/>
    </row>
    <row r="625" spans="2:22" ht="18" x14ac:dyDescent="0.25">
      <c r="B625" s="704"/>
      <c r="C625" s="709"/>
      <c r="D625" s="706"/>
      <c r="E625" s="706"/>
      <c r="F625" s="706"/>
      <c r="G625" s="711"/>
      <c r="H625" s="694"/>
      <c r="I625" s="694"/>
      <c r="J625" s="694"/>
      <c r="K625" s="694"/>
      <c r="L625" s="694"/>
      <c r="M625" s="694"/>
      <c r="N625" s="694"/>
      <c r="O625" s="694"/>
      <c r="P625" s="694"/>
      <c r="Q625" s="694"/>
      <c r="R625" s="204"/>
      <c r="S625" s="708"/>
      <c r="T625" s="714"/>
      <c r="V625" s="205"/>
    </row>
    <row r="626" spans="2:22" ht="18" x14ac:dyDescent="0.25">
      <c r="B626" s="704"/>
      <c r="C626" s="709"/>
      <c r="D626" s="706"/>
      <c r="E626" s="706"/>
      <c r="F626" s="706"/>
      <c r="G626" s="711"/>
      <c r="H626" s="694"/>
      <c r="I626" s="694"/>
      <c r="J626" s="694"/>
      <c r="K626" s="694"/>
      <c r="L626" s="694"/>
      <c r="M626" s="694"/>
      <c r="N626" s="694"/>
      <c r="O626" s="694"/>
      <c r="P626" s="694"/>
      <c r="Q626" s="694"/>
      <c r="R626" s="204"/>
      <c r="S626" s="708"/>
      <c r="T626" s="714"/>
      <c r="V626" s="205"/>
    </row>
    <row r="627" spans="2:22" ht="18" x14ac:dyDescent="0.25">
      <c r="B627" s="704"/>
      <c r="C627" s="709"/>
      <c r="D627" s="706"/>
      <c r="E627" s="706"/>
      <c r="F627" s="706"/>
      <c r="G627" s="711"/>
      <c r="H627" s="694"/>
      <c r="I627" s="694"/>
      <c r="J627" s="694"/>
      <c r="K627" s="694"/>
      <c r="L627" s="694"/>
      <c r="M627" s="694"/>
      <c r="N627" s="694"/>
      <c r="O627" s="694"/>
      <c r="P627" s="694"/>
      <c r="Q627" s="694"/>
      <c r="R627" s="204"/>
      <c r="S627" s="708"/>
      <c r="T627" s="714"/>
      <c r="V627" s="205"/>
    </row>
    <row r="628" spans="2:22" ht="18" x14ac:dyDescent="0.25">
      <c r="B628" s="704"/>
      <c r="C628" s="709"/>
      <c r="D628" s="706"/>
      <c r="E628" s="706"/>
      <c r="F628" s="706"/>
      <c r="G628" s="711"/>
      <c r="H628" s="694"/>
      <c r="I628" s="694"/>
      <c r="J628" s="694"/>
      <c r="K628" s="694"/>
      <c r="L628" s="694"/>
      <c r="M628" s="694"/>
      <c r="N628" s="694"/>
      <c r="O628" s="694"/>
      <c r="P628" s="694"/>
      <c r="Q628" s="694"/>
      <c r="R628" s="204"/>
      <c r="S628" s="708"/>
      <c r="T628" s="714"/>
      <c r="V628" s="205"/>
    </row>
    <row r="629" spans="2:22" ht="18" x14ac:dyDescent="0.25">
      <c r="B629" s="704"/>
      <c r="C629" s="709"/>
      <c r="D629" s="706"/>
      <c r="E629" s="706"/>
      <c r="F629" s="706"/>
      <c r="G629" s="711"/>
      <c r="H629" s="694"/>
      <c r="I629" s="694"/>
      <c r="J629" s="694"/>
      <c r="K629" s="694"/>
      <c r="L629" s="694"/>
      <c r="M629" s="694"/>
      <c r="N629" s="694"/>
      <c r="O629" s="694"/>
      <c r="P629" s="694"/>
      <c r="Q629" s="694"/>
      <c r="R629" s="204"/>
      <c r="S629" s="708"/>
      <c r="T629" s="714"/>
      <c r="V629" s="205"/>
    </row>
    <row r="630" spans="2:22" ht="18" x14ac:dyDescent="0.25">
      <c r="B630" s="704"/>
      <c r="C630" s="709"/>
      <c r="D630" s="706"/>
      <c r="E630" s="706"/>
      <c r="F630" s="706"/>
      <c r="G630" s="711"/>
      <c r="H630" s="694"/>
      <c r="I630" s="694"/>
      <c r="J630" s="694"/>
      <c r="K630" s="694"/>
      <c r="L630" s="694"/>
      <c r="M630" s="694"/>
      <c r="N630" s="694"/>
      <c r="O630" s="694"/>
      <c r="P630" s="694"/>
      <c r="Q630" s="694"/>
      <c r="R630" s="204"/>
      <c r="S630" s="708"/>
      <c r="T630" s="714"/>
      <c r="V630" s="205"/>
    </row>
    <row r="631" spans="2:22" ht="18" x14ac:dyDescent="0.25">
      <c r="B631" s="704"/>
      <c r="C631" s="709"/>
      <c r="D631" s="706"/>
      <c r="E631" s="706"/>
      <c r="F631" s="706"/>
      <c r="G631" s="711"/>
      <c r="H631" s="694"/>
      <c r="I631" s="694"/>
      <c r="J631" s="694"/>
      <c r="K631" s="694"/>
      <c r="L631" s="694"/>
      <c r="M631" s="694"/>
      <c r="N631" s="694"/>
      <c r="O631" s="694"/>
      <c r="P631" s="694"/>
      <c r="Q631" s="694"/>
      <c r="R631" s="204"/>
      <c r="S631" s="708"/>
      <c r="T631" s="714"/>
      <c r="V631" s="205"/>
    </row>
    <row r="632" spans="2:22" ht="18" x14ac:dyDescent="0.25">
      <c r="B632" s="704"/>
      <c r="C632" s="709"/>
      <c r="D632" s="706"/>
      <c r="E632" s="706"/>
      <c r="F632" s="706"/>
      <c r="G632" s="711"/>
      <c r="H632" s="694"/>
      <c r="I632" s="694"/>
      <c r="J632" s="694"/>
      <c r="K632" s="694"/>
      <c r="L632" s="694"/>
      <c r="M632" s="694"/>
      <c r="N632" s="694"/>
      <c r="O632" s="694"/>
      <c r="P632" s="694"/>
      <c r="Q632" s="694"/>
      <c r="R632" s="204"/>
      <c r="S632" s="708"/>
      <c r="T632" s="714"/>
      <c r="V632" s="205"/>
    </row>
    <row r="633" spans="2:22" ht="18" x14ac:dyDescent="0.25">
      <c r="B633" s="704"/>
      <c r="C633" s="709"/>
      <c r="D633" s="706"/>
      <c r="E633" s="706"/>
      <c r="F633" s="706"/>
      <c r="G633" s="711"/>
      <c r="H633" s="694"/>
      <c r="I633" s="694"/>
      <c r="J633" s="694"/>
      <c r="K633" s="694"/>
      <c r="L633" s="694"/>
      <c r="M633" s="694"/>
      <c r="N633" s="694"/>
      <c r="O633" s="694"/>
      <c r="P633" s="694"/>
      <c r="Q633" s="694"/>
      <c r="R633" s="204"/>
      <c r="S633" s="708"/>
      <c r="T633" s="714"/>
      <c r="V633" s="205"/>
    </row>
    <row r="634" spans="2:22" ht="18" x14ac:dyDescent="0.25">
      <c r="B634" s="704"/>
      <c r="C634" s="709"/>
      <c r="D634" s="706"/>
      <c r="E634" s="706"/>
      <c r="F634" s="706"/>
      <c r="G634" s="711"/>
      <c r="H634" s="694"/>
      <c r="I634" s="694"/>
      <c r="J634" s="694"/>
      <c r="K634" s="694"/>
      <c r="L634" s="694"/>
      <c r="M634" s="694"/>
      <c r="N634" s="694"/>
      <c r="O634" s="694"/>
      <c r="P634" s="694"/>
      <c r="Q634" s="694"/>
      <c r="R634" s="204"/>
      <c r="S634" s="708"/>
      <c r="T634" s="714"/>
      <c r="V634" s="205"/>
    </row>
    <row r="635" spans="2:22" ht="18" x14ac:dyDescent="0.25">
      <c r="B635" s="704"/>
      <c r="C635" s="709"/>
      <c r="D635" s="706"/>
      <c r="E635" s="706"/>
      <c r="F635" s="706"/>
      <c r="G635" s="711"/>
      <c r="H635" s="694"/>
      <c r="I635" s="694"/>
      <c r="J635" s="694"/>
      <c r="K635" s="694"/>
      <c r="L635" s="694"/>
      <c r="M635" s="694"/>
      <c r="N635" s="694"/>
      <c r="O635" s="694"/>
      <c r="P635" s="694"/>
      <c r="Q635" s="694"/>
      <c r="R635" s="204"/>
      <c r="S635" s="708"/>
      <c r="T635" s="714"/>
      <c r="V635" s="205"/>
    </row>
    <row r="636" spans="2:22" ht="18" x14ac:dyDescent="0.25">
      <c r="B636" s="704"/>
      <c r="C636" s="709"/>
      <c r="D636" s="706"/>
      <c r="E636" s="706"/>
      <c r="F636" s="706"/>
      <c r="G636" s="711"/>
      <c r="H636" s="694"/>
      <c r="I636" s="694"/>
      <c r="J636" s="694"/>
      <c r="K636" s="694"/>
      <c r="L636" s="694"/>
      <c r="M636" s="694"/>
      <c r="N636" s="694"/>
      <c r="O636" s="694"/>
      <c r="P636" s="694"/>
      <c r="Q636" s="694"/>
      <c r="R636" s="204"/>
      <c r="S636" s="708"/>
      <c r="T636" s="714"/>
      <c r="V636" s="205"/>
    </row>
    <row r="637" spans="2:22" ht="18" x14ac:dyDescent="0.25">
      <c r="B637" s="704"/>
      <c r="C637" s="709"/>
      <c r="D637" s="706"/>
      <c r="E637" s="706"/>
      <c r="F637" s="706"/>
      <c r="G637" s="711"/>
      <c r="H637" s="694"/>
      <c r="I637" s="694"/>
      <c r="J637" s="694"/>
      <c r="K637" s="694"/>
      <c r="L637" s="694"/>
      <c r="M637" s="694"/>
      <c r="N637" s="694"/>
      <c r="O637" s="694"/>
      <c r="P637" s="694"/>
      <c r="Q637" s="694"/>
      <c r="R637" s="204"/>
      <c r="S637" s="708"/>
      <c r="T637" s="714"/>
      <c r="V637" s="205"/>
    </row>
    <row r="638" spans="2:22" ht="18" x14ac:dyDescent="0.25">
      <c r="B638" s="704"/>
      <c r="C638" s="709"/>
      <c r="D638" s="706"/>
      <c r="E638" s="706"/>
      <c r="F638" s="706"/>
      <c r="G638" s="711"/>
      <c r="H638" s="694"/>
      <c r="I638" s="694"/>
      <c r="J638" s="694"/>
      <c r="K638" s="694"/>
      <c r="L638" s="694"/>
      <c r="M638" s="694"/>
      <c r="N638" s="694"/>
      <c r="O638" s="694"/>
      <c r="P638" s="694"/>
      <c r="Q638" s="694"/>
      <c r="R638" s="204"/>
      <c r="S638" s="708"/>
      <c r="T638" s="714"/>
      <c r="V638" s="205"/>
    </row>
    <row r="639" spans="2:22" ht="18" x14ac:dyDescent="0.25">
      <c r="B639" s="704"/>
      <c r="C639" s="709"/>
      <c r="D639" s="706"/>
      <c r="E639" s="706"/>
      <c r="F639" s="706"/>
      <c r="G639" s="711"/>
      <c r="H639" s="694"/>
      <c r="I639" s="694"/>
      <c r="J639" s="694"/>
      <c r="K639" s="694"/>
      <c r="L639" s="694"/>
      <c r="M639" s="694"/>
      <c r="N639" s="694"/>
      <c r="O639" s="694"/>
      <c r="P639" s="694"/>
      <c r="Q639" s="694"/>
      <c r="R639" s="204"/>
      <c r="S639" s="708"/>
      <c r="T639" s="714"/>
      <c r="V639" s="205"/>
    </row>
    <row r="640" spans="2:22" ht="18" x14ac:dyDescent="0.25">
      <c r="B640" s="704"/>
      <c r="C640" s="709"/>
      <c r="D640" s="706"/>
      <c r="E640" s="706"/>
      <c r="F640" s="706"/>
      <c r="G640" s="711"/>
      <c r="H640" s="694"/>
      <c r="I640" s="694"/>
      <c r="J640" s="694"/>
      <c r="K640" s="694"/>
      <c r="L640" s="694"/>
      <c r="M640" s="694"/>
      <c r="N640" s="694"/>
      <c r="O640" s="694"/>
      <c r="P640" s="694"/>
      <c r="Q640" s="694"/>
      <c r="R640" s="204"/>
      <c r="S640" s="708"/>
      <c r="T640" s="714"/>
      <c r="V640" s="205"/>
    </row>
    <row r="641" spans="2:22" ht="18" x14ac:dyDescent="0.25">
      <c r="B641" s="704"/>
      <c r="C641" s="709"/>
      <c r="D641" s="706"/>
      <c r="E641" s="706"/>
      <c r="F641" s="706"/>
      <c r="G641" s="711"/>
      <c r="H641" s="694"/>
      <c r="I641" s="694"/>
      <c r="J641" s="694"/>
      <c r="K641" s="694"/>
      <c r="L641" s="694"/>
      <c r="M641" s="694"/>
      <c r="N641" s="694"/>
      <c r="O641" s="694"/>
      <c r="P641" s="694"/>
      <c r="Q641" s="694"/>
      <c r="R641" s="204"/>
      <c r="S641" s="708"/>
      <c r="T641" s="714"/>
      <c r="V641" s="205"/>
    </row>
    <row r="642" spans="2:22" ht="18" x14ac:dyDescent="0.25">
      <c r="B642" s="704"/>
      <c r="C642" s="709"/>
      <c r="D642" s="706"/>
      <c r="E642" s="706"/>
      <c r="F642" s="706"/>
      <c r="G642" s="711"/>
      <c r="H642" s="694"/>
      <c r="I642" s="694"/>
      <c r="J642" s="694"/>
      <c r="K642" s="694"/>
      <c r="L642" s="694"/>
      <c r="M642" s="694"/>
      <c r="N642" s="694"/>
      <c r="O642" s="694"/>
      <c r="P642" s="694"/>
      <c r="Q642" s="694"/>
      <c r="R642" s="204"/>
      <c r="S642" s="708"/>
      <c r="T642" s="714"/>
      <c r="V642" s="205"/>
    </row>
    <row r="643" spans="2:22" ht="18" x14ac:dyDescent="0.25">
      <c r="B643" s="704"/>
      <c r="C643" s="709"/>
      <c r="D643" s="706"/>
      <c r="E643" s="706"/>
      <c r="F643" s="706"/>
      <c r="G643" s="711"/>
      <c r="H643" s="694"/>
      <c r="I643" s="694"/>
      <c r="J643" s="694"/>
      <c r="K643" s="694"/>
      <c r="L643" s="694"/>
      <c r="M643" s="694"/>
      <c r="N643" s="694"/>
      <c r="O643" s="694"/>
      <c r="P643" s="694"/>
      <c r="Q643" s="694"/>
      <c r="R643" s="204"/>
      <c r="S643" s="708"/>
      <c r="T643" s="714"/>
      <c r="V643" s="205"/>
    </row>
    <row r="644" spans="2:22" ht="18" x14ac:dyDescent="0.25">
      <c r="B644" s="704"/>
      <c r="C644" s="709"/>
      <c r="D644" s="706"/>
      <c r="E644" s="706"/>
      <c r="F644" s="706"/>
      <c r="G644" s="711"/>
      <c r="H644" s="694"/>
      <c r="I644" s="694"/>
      <c r="J644" s="694"/>
      <c r="K644" s="694"/>
      <c r="L644" s="694"/>
      <c r="M644" s="694"/>
      <c r="N644" s="694"/>
      <c r="O644" s="694"/>
      <c r="P644" s="694"/>
      <c r="Q644" s="694"/>
      <c r="R644" s="204"/>
      <c r="S644" s="708"/>
      <c r="T644" s="714"/>
      <c r="V644" s="205"/>
    </row>
    <row r="645" spans="2:22" ht="18" x14ac:dyDescent="0.25">
      <c r="B645" s="704"/>
      <c r="C645" s="709"/>
      <c r="D645" s="706"/>
      <c r="E645" s="706"/>
      <c r="F645" s="706"/>
      <c r="G645" s="711"/>
      <c r="H645" s="694"/>
      <c r="I645" s="694"/>
      <c r="J645" s="694"/>
      <c r="K645" s="694"/>
      <c r="L645" s="694"/>
      <c r="M645" s="694"/>
      <c r="N645" s="694"/>
      <c r="O645" s="694"/>
      <c r="P645" s="694"/>
      <c r="Q645" s="694"/>
      <c r="R645" s="204"/>
      <c r="S645" s="708"/>
      <c r="T645" s="714"/>
      <c r="V645" s="205"/>
    </row>
    <row r="646" spans="2:22" ht="18" x14ac:dyDescent="0.25">
      <c r="B646" s="704"/>
      <c r="C646" s="709"/>
      <c r="D646" s="706"/>
      <c r="E646" s="706"/>
      <c r="F646" s="706"/>
      <c r="G646" s="711"/>
      <c r="H646" s="694"/>
      <c r="I646" s="694"/>
      <c r="J646" s="694"/>
      <c r="K646" s="694"/>
      <c r="L646" s="694"/>
      <c r="M646" s="694"/>
      <c r="N646" s="694"/>
      <c r="O646" s="694"/>
      <c r="P646" s="694"/>
      <c r="Q646" s="694"/>
      <c r="R646" s="204"/>
      <c r="S646" s="708"/>
      <c r="T646" s="714"/>
      <c r="V646" s="205"/>
    </row>
    <row r="647" spans="2:22" ht="18" x14ac:dyDescent="0.25">
      <c r="B647" s="704"/>
      <c r="C647" s="709"/>
      <c r="D647" s="706"/>
      <c r="E647" s="706"/>
      <c r="F647" s="706"/>
      <c r="G647" s="711"/>
      <c r="H647" s="694"/>
      <c r="I647" s="694"/>
      <c r="J647" s="694"/>
      <c r="K647" s="694"/>
      <c r="L647" s="694"/>
      <c r="M647" s="694"/>
      <c r="N647" s="694"/>
      <c r="O647" s="694"/>
      <c r="P647" s="694"/>
      <c r="Q647" s="694"/>
      <c r="R647" s="204"/>
      <c r="S647" s="708"/>
      <c r="T647" s="714"/>
      <c r="V647" s="205"/>
    </row>
    <row r="648" spans="2:22" ht="18" x14ac:dyDescent="0.25">
      <c r="B648" s="704"/>
      <c r="C648" s="709"/>
      <c r="D648" s="706"/>
      <c r="E648" s="706"/>
      <c r="F648" s="706"/>
      <c r="G648" s="711"/>
      <c r="H648" s="694"/>
      <c r="I648" s="694"/>
      <c r="J648" s="694"/>
      <c r="K648" s="694"/>
      <c r="L648" s="694"/>
      <c r="M648" s="694"/>
      <c r="N648" s="694"/>
      <c r="O648" s="694"/>
      <c r="P648" s="694"/>
      <c r="Q648" s="694"/>
      <c r="R648" s="204"/>
      <c r="S648" s="708"/>
      <c r="T648" s="714"/>
      <c r="V648" s="205"/>
    </row>
    <row r="649" spans="2:22" ht="18" x14ac:dyDescent="0.25">
      <c r="B649" s="704"/>
      <c r="C649" s="709"/>
      <c r="D649" s="706"/>
      <c r="E649" s="706"/>
      <c r="F649" s="706"/>
      <c r="G649" s="711"/>
      <c r="H649" s="694"/>
      <c r="I649" s="694"/>
      <c r="J649" s="694"/>
      <c r="K649" s="694"/>
      <c r="L649" s="694"/>
      <c r="M649" s="694"/>
      <c r="N649" s="694"/>
      <c r="O649" s="694"/>
      <c r="P649" s="694"/>
      <c r="Q649" s="694"/>
      <c r="R649" s="204"/>
      <c r="S649" s="708"/>
      <c r="T649" s="714"/>
      <c r="V649" s="205"/>
    </row>
    <row r="650" spans="2:22" ht="18" x14ac:dyDescent="0.25">
      <c r="B650" s="704"/>
      <c r="C650" s="709"/>
      <c r="D650" s="706"/>
      <c r="E650" s="706"/>
      <c r="F650" s="706"/>
      <c r="G650" s="711"/>
      <c r="H650" s="694"/>
      <c r="I650" s="694"/>
      <c r="J650" s="694"/>
      <c r="K650" s="694"/>
      <c r="L650" s="694"/>
      <c r="M650" s="694"/>
      <c r="N650" s="694"/>
      <c r="O650" s="694"/>
      <c r="P650" s="694"/>
      <c r="Q650" s="694"/>
      <c r="R650" s="204"/>
      <c r="S650" s="708"/>
      <c r="T650" s="714"/>
      <c r="V650" s="205"/>
    </row>
    <row r="651" spans="2:22" ht="18" x14ac:dyDescent="0.25">
      <c r="B651" s="704"/>
      <c r="C651" s="709"/>
      <c r="D651" s="706"/>
      <c r="E651" s="706"/>
      <c r="F651" s="706"/>
      <c r="G651" s="711"/>
      <c r="H651" s="694"/>
      <c r="I651" s="694"/>
      <c r="J651" s="694"/>
      <c r="K651" s="694"/>
      <c r="L651" s="694"/>
      <c r="M651" s="694"/>
      <c r="N651" s="694"/>
      <c r="O651" s="694"/>
      <c r="P651" s="694"/>
      <c r="Q651" s="694"/>
      <c r="R651" s="204"/>
      <c r="S651" s="708"/>
      <c r="T651" s="714"/>
      <c r="V651" s="205"/>
    </row>
    <row r="652" spans="2:22" ht="18" x14ac:dyDescent="0.25">
      <c r="B652" s="704"/>
      <c r="C652" s="709"/>
      <c r="D652" s="706"/>
      <c r="E652" s="706"/>
      <c r="F652" s="706"/>
      <c r="G652" s="711"/>
      <c r="H652" s="694"/>
      <c r="I652" s="694"/>
      <c r="J652" s="694"/>
      <c r="K652" s="694"/>
      <c r="L652" s="694"/>
      <c r="M652" s="694"/>
      <c r="N652" s="694"/>
      <c r="O652" s="694"/>
      <c r="P652" s="694"/>
      <c r="Q652" s="694"/>
      <c r="R652" s="204"/>
      <c r="S652" s="708"/>
      <c r="T652" s="714"/>
      <c r="V652" s="205"/>
    </row>
    <row r="653" spans="2:22" ht="18" x14ac:dyDescent="0.25">
      <c r="B653" s="704"/>
      <c r="C653" s="709"/>
      <c r="D653" s="706"/>
      <c r="E653" s="706"/>
      <c r="F653" s="706"/>
      <c r="G653" s="711"/>
      <c r="H653" s="694"/>
      <c r="I653" s="694"/>
      <c r="J653" s="694"/>
      <c r="K653" s="694"/>
      <c r="L653" s="694"/>
      <c r="M653" s="694"/>
      <c r="N653" s="694"/>
      <c r="O653" s="694"/>
      <c r="P653" s="694"/>
      <c r="Q653" s="694"/>
      <c r="R653" s="204"/>
      <c r="S653" s="708"/>
      <c r="T653" s="714"/>
      <c r="V653" s="205"/>
    </row>
    <row r="654" spans="2:22" ht="18" x14ac:dyDescent="0.25">
      <c r="B654" s="704"/>
      <c r="C654" s="709"/>
      <c r="D654" s="706"/>
      <c r="E654" s="706"/>
      <c r="F654" s="706"/>
      <c r="G654" s="711"/>
      <c r="H654" s="694"/>
      <c r="I654" s="694"/>
      <c r="J654" s="694"/>
      <c r="K654" s="694"/>
      <c r="L654" s="694"/>
      <c r="M654" s="694"/>
      <c r="N654" s="694"/>
      <c r="O654" s="694"/>
      <c r="P654" s="694"/>
      <c r="Q654" s="694"/>
      <c r="R654" s="204"/>
      <c r="S654" s="708"/>
      <c r="T654" s="714"/>
      <c r="V654" s="205"/>
    </row>
    <row r="655" spans="2:22" ht="18" x14ac:dyDescent="0.25">
      <c r="B655" s="704"/>
      <c r="C655" s="709"/>
      <c r="D655" s="706"/>
      <c r="E655" s="706"/>
      <c r="F655" s="706"/>
      <c r="G655" s="711"/>
      <c r="H655" s="694"/>
      <c r="I655" s="694"/>
      <c r="J655" s="694"/>
      <c r="K655" s="694"/>
      <c r="L655" s="694"/>
      <c r="M655" s="694"/>
      <c r="N655" s="694"/>
      <c r="O655" s="694"/>
      <c r="P655" s="694"/>
      <c r="Q655" s="694"/>
      <c r="R655" s="204"/>
      <c r="S655" s="708"/>
      <c r="T655" s="714"/>
      <c r="V655" s="205"/>
    </row>
    <row r="656" spans="2:22" ht="18" x14ac:dyDescent="0.25">
      <c r="B656" s="704"/>
      <c r="C656" s="709"/>
      <c r="D656" s="706"/>
      <c r="E656" s="706"/>
      <c r="F656" s="706"/>
      <c r="G656" s="711"/>
      <c r="H656" s="694"/>
      <c r="I656" s="694"/>
      <c r="J656" s="694"/>
      <c r="K656" s="694"/>
      <c r="L656" s="694"/>
      <c r="M656" s="694"/>
      <c r="N656" s="694"/>
      <c r="O656" s="694"/>
      <c r="P656" s="694"/>
      <c r="Q656" s="694"/>
      <c r="R656" s="204"/>
      <c r="S656" s="708"/>
      <c r="T656" s="714"/>
      <c r="V656" s="205"/>
    </row>
    <row r="657" spans="2:22" ht="18" x14ac:dyDescent="0.25">
      <c r="B657" s="704"/>
      <c r="C657" s="709"/>
      <c r="D657" s="706"/>
      <c r="E657" s="706"/>
      <c r="F657" s="706"/>
      <c r="G657" s="711"/>
      <c r="H657" s="694"/>
      <c r="I657" s="694"/>
      <c r="J657" s="694"/>
      <c r="K657" s="694"/>
      <c r="L657" s="694"/>
      <c r="M657" s="694"/>
      <c r="N657" s="694"/>
      <c r="O657" s="694"/>
      <c r="P657" s="694"/>
      <c r="Q657" s="694"/>
      <c r="R657" s="204"/>
      <c r="S657" s="708"/>
      <c r="T657" s="714"/>
      <c r="V657" s="205"/>
    </row>
    <row r="658" spans="2:22" ht="18" x14ac:dyDescent="0.25">
      <c r="B658" s="704"/>
      <c r="C658" s="709"/>
      <c r="D658" s="706"/>
      <c r="E658" s="706"/>
      <c r="F658" s="706"/>
      <c r="G658" s="711"/>
      <c r="H658" s="694"/>
      <c r="I658" s="694"/>
      <c r="J658" s="694"/>
      <c r="K658" s="694"/>
      <c r="L658" s="694"/>
      <c r="M658" s="694"/>
      <c r="N658" s="694"/>
      <c r="O658" s="694"/>
      <c r="P658" s="694"/>
      <c r="Q658" s="694"/>
      <c r="R658" s="204"/>
      <c r="S658" s="708"/>
      <c r="T658" s="714"/>
      <c r="V658" s="205"/>
    </row>
    <row r="659" spans="2:22" ht="18" x14ac:dyDescent="0.25">
      <c r="B659" s="704"/>
      <c r="C659" s="709"/>
      <c r="D659" s="706"/>
      <c r="E659" s="706"/>
      <c r="F659" s="706"/>
      <c r="G659" s="711"/>
      <c r="H659" s="694"/>
      <c r="I659" s="694"/>
      <c r="J659" s="694"/>
      <c r="K659" s="694"/>
      <c r="L659" s="694"/>
      <c r="M659" s="694"/>
      <c r="N659" s="694"/>
      <c r="O659" s="694"/>
      <c r="P659" s="694"/>
      <c r="Q659" s="694"/>
      <c r="R659" s="204"/>
      <c r="S659" s="708"/>
      <c r="T659" s="714"/>
      <c r="V659" s="205"/>
    </row>
    <row r="660" spans="2:22" ht="18" x14ac:dyDescent="0.25">
      <c r="B660" s="704"/>
      <c r="C660" s="709"/>
      <c r="D660" s="706"/>
      <c r="E660" s="706"/>
      <c r="F660" s="706"/>
      <c r="G660" s="711"/>
      <c r="H660" s="694"/>
      <c r="I660" s="694"/>
      <c r="J660" s="694"/>
      <c r="K660" s="694"/>
      <c r="L660" s="694"/>
      <c r="M660" s="694"/>
      <c r="N660" s="694"/>
      <c r="O660" s="694"/>
      <c r="P660" s="694"/>
      <c r="Q660" s="694"/>
      <c r="R660" s="204"/>
      <c r="S660" s="708"/>
      <c r="T660" s="714"/>
      <c r="V660" s="205"/>
    </row>
    <row r="661" spans="2:22" ht="18" x14ac:dyDescent="0.25">
      <c r="B661" s="704"/>
      <c r="C661" s="709"/>
      <c r="D661" s="706"/>
      <c r="E661" s="706"/>
      <c r="F661" s="706"/>
      <c r="G661" s="711"/>
      <c r="H661" s="694"/>
      <c r="I661" s="694"/>
      <c r="J661" s="694"/>
      <c r="K661" s="694"/>
      <c r="L661" s="694"/>
      <c r="M661" s="694"/>
      <c r="N661" s="694"/>
      <c r="O661" s="694"/>
      <c r="P661" s="694"/>
      <c r="Q661" s="694"/>
      <c r="R661" s="204"/>
      <c r="S661" s="708"/>
      <c r="T661" s="714"/>
      <c r="V661" s="205"/>
    </row>
    <row r="662" spans="2:22" ht="18" x14ac:dyDescent="0.25">
      <c r="B662" s="704"/>
      <c r="C662" s="709"/>
      <c r="D662" s="706"/>
      <c r="E662" s="706"/>
      <c r="F662" s="706"/>
      <c r="G662" s="711"/>
      <c r="H662" s="694"/>
      <c r="I662" s="694"/>
      <c r="J662" s="694"/>
      <c r="K662" s="694"/>
      <c r="L662" s="694"/>
      <c r="M662" s="694"/>
      <c r="N662" s="694"/>
      <c r="O662" s="694"/>
      <c r="P662" s="694"/>
      <c r="Q662" s="694"/>
      <c r="R662" s="204"/>
      <c r="S662" s="708"/>
      <c r="T662" s="714"/>
      <c r="V662" s="205"/>
    </row>
    <row r="663" spans="2:22" ht="18" x14ac:dyDescent="0.25">
      <c r="B663" s="704"/>
      <c r="C663" s="709"/>
      <c r="D663" s="706"/>
      <c r="E663" s="706"/>
      <c r="F663" s="706"/>
      <c r="G663" s="711"/>
      <c r="H663" s="694"/>
      <c r="I663" s="694"/>
      <c r="J663" s="694"/>
      <c r="K663" s="694"/>
      <c r="L663" s="694"/>
      <c r="M663" s="694"/>
      <c r="N663" s="694"/>
      <c r="O663" s="694"/>
      <c r="P663" s="694"/>
      <c r="Q663" s="694"/>
      <c r="R663" s="204"/>
      <c r="S663" s="708"/>
      <c r="T663" s="714"/>
      <c r="V663" s="205"/>
    </row>
    <row r="664" spans="2:22" ht="18" x14ac:dyDescent="0.25">
      <c r="B664" s="704"/>
      <c r="C664" s="709"/>
      <c r="D664" s="706"/>
      <c r="E664" s="706"/>
      <c r="F664" s="706"/>
      <c r="G664" s="711"/>
      <c r="H664" s="694"/>
      <c r="I664" s="694"/>
      <c r="J664" s="694"/>
      <c r="K664" s="694"/>
      <c r="L664" s="694"/>
      <c r="M664" s="694"/>
      <c r="N664" s="694"/>
      <c r="O664" s="694"/>
      <c r="P664" s="694"/>
      <c r="Q664" s="694"/>
      <c r="R664" s="204"/>
      <c r="S664" s="708"/>
      <c r="T664" s="714"/>
      <c r="V664" s="205"/>
    </row>
    <row r="665" spans="2:22" ht="18" x14ac:dyDescent="0.25">
      <c r="B665" s="704"/>
      <c r="C665" s="709"/>
      <c r="D665" s="706"/>
      <c r="E665" s="706"/>
      <c r="F665" s="706"/>
      <c r="G665" s="711"/>
      <c r="H665" s="694"/>
      <c r="I665" s="694"/>
      <c r="J665" s="694"/>
      <c r="K665" s="694"/>
      <c r="L665" s="694"/>
      <c r="M665" s="694"/>
      <c r="N665" s="694"/>
      <c r="O665" s="694"/>
      <c r="P665" s="694"/>
      <c r="Q665" s="694"/>
      <c r="R665" s="204"/>
      <c r="S665" s="708"/>
      <c r="T665" s="714"/>
      <c r="V665" s="205"/>
    </row>
    <row r="666" spans="2:22" ht="18" x14ac:dyDescent="0.25">
      <c r="B666" s="704"/>
      <c r="C666" s="709"/>
      <c r="D666" s="706"/>
      <c r="E666" s="706"/>
      <c r="F666" s="706"/>
      <c r="G666" s="711"/>
      <c r="H666" s="694"/>
      <c r="I666" s="694"/>
      <c r="J666" s="694"/>
      <c r="K666" s="694"/>
      <c r="L666" s="694"/>
      <c r="M666" s="694"/>
      <c r="N666" s="694"/>
      <c r="O666" s="694"/>
      <c r="P666" s="694"/>
      <c r="Q666" s="694"/>
      <c r="R666" s="204"/>
      <c r="S666" s="708"/>
      <c r="T666" s="714"/>
      <c r="V666" s="205"/>
    </row>
    <row r="667" spans="2:22" x14ac:dyDescent="0.2">
      <c r="G667" s="711"/>
      <c r="V667" s="205"/>
    </row>
    <row r="672" spans="2:22" x14ac:dyDescent="0.2">
      <c r="C672" s="205"/>
      <c r="R672" s="205"/>
      <c r="S672" s="661"/>
      <c r="V672" s="205"/>
    </row>
    <row r="673" spans="3:22" x14ac:dyDescent="0.2">
      <c r="C673" s="205"/>
      <c r="G673" s="205"/>
      <c r="R673" s="205"/>
      <c r="S673" s="661"/>
      <c r="V673" s="205"/>
    </row>
    <row r="674" spans="3:22" x14ac:dyDescent="0.2">
      <c r="C674" s="205"/>
      <c r="G674" s="205"/>
      <c r="R674" s="205"/>
      <c r="S674" s="661"/>
      <c r="V674" s="205"/>
    </row>
    <row r="675" spans="3:22" x14ac:dyDescent="0.2">
      <c r="C675" s="205"/>
      <c r="G675" s="205"/>
      <c r="R675" s="205"/>
      <c r="S675" s="661"/>
      <c r="V675" s="205"/>
    </row>
    <row r="676" spans="3:22" x14ac:dyDescent="0.2">
      <c r="C676" s="205"/>
      <c r="G676" s="205"/>
      <c r="R676" s="205"/>
      <c r="S676" s="661"/>
      <c r="V676" s="205"/>
    </row>
    <row r="677" spans="3:22" x14ac:dyDescent="0.2">
      <c r="C677" s="205"/>
      <c r="G677" s="205"/>
      <c r="R677" s="205"/>
      <c r="S677" s="661"/>
      <c r="V677" s="205"/>
    </row>
    <row r="678" spans="3:22" x14ac:dyDescent="0.2">
      <c r="C678" s="205"/>
      <c r="G678" s="205"/>
      <c r="R678" s="205"/>
      <c r="S678" s="661"/>
      <c r="V678" s="205"/>
    </row>
    <row r="679" spans="3:22" x14ac:dyDescent="0.2">
      <c r="C679" s="205"/>
      <c r="G679" s="205"/>
      <c r="R679" s="205"/>
      <c r="S679" s="661"/>
      <c r="V679" s="205"/>
    </row>
    <row r="680" spans="3:22" x14ac:dyDescent="0.2">
      <c r="C680" s="205"/>
      <c r="G680" s="205"/>
      <c r="R680" s="205"/>
      <c r="S680" s="661"/>
      <c r="V680" s="205"/>
    </row>
    <row r="681" spans="3:22" x14ac:dyDescent="0.2">
      <c r="C681" s="205"/>
      <c r="G681" s="205"/>
      <c r="R681" s="205"/>
      <c r="S681" s="661"/>
      <c r="V681" s="205"/>
    </row>
    <row r="682" spans="3:22" x14ac:dyDescent="0.2">
      <c r="C682" s="205"/>
      <c r="G682" s="205"/>
      <c r="R682" s="205"/>
      <c r="S682" s="661"/>
      <c r="V682" s="205"/>
    </row>
    <row r="683" spans="3:22" x14ac:dyDescent="0.2">
      <c r="C683" s="205"/>
      <c r="G683" s="205"/>
      <c r="R683" s="205"/>
      <c r="S683" s="661"/>
      <c r="V683" s="205"/>
    </row>
    <row r="684" spans="3:22" x14ac:dyDescent="0.2">
      <c r="C684" s="205"/>
      <c r="G684" s="205"/>
      <c r="R684" s="205"/>
      <c r="S684" s="661"/>
      <c r="V684" s="205"/>
    </row>
    <row r="685" spans="3:22" x14ac:dyDescent="0.2">
      <c r="C685" s="205"/>
      <c r="G685" s="205"/>
      <c r="R685" s="205"/>
      <c r="S685" s="661"/>
      <c r="V685" s="205"/>
    </row>
    <row r="686" spans="3:22" x14ac:dyDescent="0.2">
      <c r="C686" s="205"/>
      <c r="G686" s="205"/>
      <c r="R686" s="205"/>
      <c r="S686" s="661"/>
      <c r="V686" s="205"/>
    </row>
    <row r="687" spans="3:22" x14ac:dyDescent="0.2">
      <c r="C687" s="205"/>
      <c r="G687" s="205"/>
      <c r="R687" s="205"/>
      <c r="S687" s="661"/>
      <c r="V687" s="205"/>
    </row>
    <row r="688" spans="3:22" x14ac:dyDescent="0.2">
      <c r="C688" s="205"/>
      <c r="G688" s="205"/>
      <c r="R688" s="205"/>
      <c r="S688" s="661"/>
      <c r="V688" s="205"/>
    </row>
    <row r="689" spans="3:22" x14ac:dyDescent="0.2">
      <c r="C689" s="205"/>
      <c r="G689" s="205"/>
      <c r="R689" s="205"/>
      <c r="S689" s="661"/>
      <c r="V689" s="205"/>
    </row>
    <row r="690" spans="3:22" x14ac:dyDescent="0.2">
      <c r="C690" s="205"/>
      <c r="G690" s="205"/>
      <c r="R690" s="205"/>
      <c r="S690" s="661"/>
      <c r="V690" s="205"/>
    </row>
    <row r="691" spans="3:22" x14ac:dyDescent="0.2">
      <c r="C691" s="205"/>
      <c r="G691" s="205"/>
      <c r="R691" s="205"/>
      <c r="S691" s="661"/>
      <c r="V691" s="205"/>
    </row>
    <row r="692" spans="3:22" x14ac:dyDescent="0.2">
      <c r="C692" s="205"/>
      <c r="G692" s="205"/>
      <c r="R692" s="205"/>
      <c r="S692" s="661"/>
      <c r="V692" s="205"/>
    </row>
    <row r="693" spans="3:22" x14ac:dyDescent="0.2">
      <c r="C693" s="205"/>
      <c r="G693" s="205"/>
      <c r="R693" s="205"/>
      <c r="S693" s="661"/>
      <c r="V693" s="205"/>
    </row>
    <row r="694" spans="3:22" x14ac:dyDescent="0.2">
      <c r="C694" s="205"/>
      <c r="G694" s="205"/>
      <c r="R694" s="205"/>
      <c r="S694" s="661"/>
      <c r="V694" s="205"/>
    </row>
    <row r="695" spans="3:22" x14ac:dyDescent="0.2">
      <c r="C695" s="205"/>
      <c r="G695" s="205"/>
      <c r="R695" s="205"/>
      <c r="S695" s="661"/>
      <c r="V695" s="205"/>
    </row>
    <row r="696" spans="3:22" x14ac:dyDescent="0.2">
      <c r="C696" s="205"/>
      <c r="G696" s="205"/>
      <c r="R696" s="205"/>
      <c r="S696" s="661"/>
      <c r="V696" s="205"/>
    </row>
    <row r="697" spans="3:22" x14ac:dyDescent="0.2">
      <c r="C697" s="205"/>
      <c r="G697" s="205"/>
      <c r="R697" s="205"/>
      <c r="S697" s="661"/>
      <c r="V697" s="205"/>
    </row>
    <row r="698" spans="3:22" x14ac:dyDescent="0.2">
      <c r="C698" s="205"/>
      <c r="G698" s="205"/>
      <c r="R698" s="205"/>
      <c r="S698" s="661"/>
      <c r="V698" s="205"/>
    </row>
    <row r="699" spans="3:22" x14ac:dyDescent="0.2">
      <c r="C699" s="205"/>
      <c r="G699" s="205"/>
      <c r="R699" s="205"/>
      <c r="S699" s="661"/>
      <c r="V699" s="205"/>
    </row>
    <row r="700" spans="3:22" x14ac:dyDescent="0.2">
      <c r="C700" s="205"/>
      <c r="G700" s="205"/>
      <c r="R700" s="205"/>
      <c r="S700" s="661"/>
      <c r="V700" s="205"/>
    </row>
    <row r="701" spans="3:22" x14ac:dyDescent="0.2">
      <c r="C701" s="205"/>
      <c r="G701" s="205"/>
      <c r="R701" s="205"/>
      <c r="S701" s="661"/>
      <c r="V701" s="205"/>
    </row>
    <row r="702" spans="3:22" x14ac:dyDescent="0.2">
      <c r="C702" s="205"/>
      <c r="G702" s="205"/>
      <c r="R702" s="205"/>
      <c r="S702" s="661"/>
      <c r="V702" s="205"/>
    </row>
    <row r="703" spans="3:22" x14ac:dyDescent="0.2">
      <c r="C703" s="205"/>
      <c r="G703" s="205"/>
      <c r="R703" s="205"/>
      <c r="S703" s="661"/>
      <c r="V703" s="205"/>
    </row>
    <row r="704" spans="3:22" x14ac:dyDescent="0.2">
      <c r="C704" s="205"/>
      <c r="G704" s="205"/>
      <c r="R704" s="205"/>
      <c r="S704" s="661"/>
      <c r="V704" s="205"/>
    </row>
    <row r="705" spans="3:22" x14ac:dyDescent="0.2">
      <c r="C705" s="205"/>
      <c r="G705" s="205"/>
      <c r="R705" s="205"/>
      <c r="S705" s="661"/>
      <c r="V705" s="205"/>
    </row>
    <row r="706" spans="3:22" x14ac:dyDescent="0.2">
      <c r="C706" s="205"/>
      <c r="G706" s="205"/>
      <c r="R706" s="205"/>
      <c r="S706" s="661"/>
      <c r="V706" s="205"/>
    </row>
    <row r="707" spans="3:22" x14ac:dyDescent="0.2">
      <c r="C707" s="205"/>
      <c r="G707" s="205"/>
      <c r="R707" s="205"/>
      <c r="S707" s="661"/>
      <c r="V707" s="205"/>
    </row>
    <row r="708" spans="3:22" x14ac:dyDescent="0.2">
      <c r="C708" s="205"/>
      <c r="G708" s="205"/>
      <c r="R708" s="205"/>
      <c r="S708" s="661"/>
      <c r="V708" s="205"/>
    </row>
    <row r="709" spans="3:22" x14ac:dyDescent="0.2">
      <c r="C709" s="205"/>
      <c r="G709" s="205"/>
      <c r="R709" s="205"/>
      <c r="S709" s="661"/>
      <c r="V709" s="205"/>
    </row>
    <row r="710" spans="3:22" x14ac:dyDescent="0.2">
      <c r="C710" s="205"/>
      <c r="G710" s="205"/>
      <c r="R710" s="205"/>
      <c r="S710" s="661"/>
      <c r="V710" s="205"/>
    </row>
    <row r="711" spans="3:22" x14ac:dyDescent="0.2">
      <c r="C711" s="205"/>
      <c r="G711" s="205"/>
      <c r="R711" s="205"/>
      <c r="S711" s="661"/>
      <c r="V711" s="205"/>
    </row>
    <row r="712" spans="3:22" x14ac:dyDescent="0.2">
      <c r="C712" s="205"/>
      <c r="G712" s="205"/>
      <c r="R712" s="205"/>
      <c r="S712" s="661"/>
      <c r="V712" s="205"/>
    </row>
    <row r="713" spans="3:22" x14ac:dyDescent="0.2">
      <c r="C713" s="205"/>
      <c r="G713" s="205"/>
      <c r="R713" s="205"/>
      <c r="S713" s="661"/>
      <c r="V713" s="205"/>
    </row>
    <row r="714" spans="3:22" x14ac:dyDescent="0.2">
      <c r="C714" s="205"/>
      <c r="G714" s="205"/>
      <c r="R714" s="205"/>
      <c r="S714" s="661"/>
      <c r="V714" s="205"/>
    </row>
    <row r="715" spans="3:22" x14ac:dyDescent="0.2">
      <c r="C715" s="205"/>
      <c r="G715" s="205"/>
      <c r="R715" s="205"/>
      <c r="S715" s="661"/>
      <c r="V715" s="205"/>
    </row>
    <row r="716" spans="3:22" x14ac:dyDescent="0.2">
      <c r="C716" s="205"/>
      <c r="G716" s="205"/>
      <c r="R716" s="205"/>
      <c r="S716" s="661"/>
      <c r="V716" s="205"/>
    </row>
    <row r="717" spans="3:22" x14ac:dyDescent="0.2">
      <c r="C717" s="205"/>
      <c r="G717" s="205"/>
      <c r="R717" s="205"/>
      <c r="S717" s="661"/>
      <c r="V717" s="205"/>
    </row>
    <row r="718" spans="3:22" x14ac:dyDescent="0.2">
      <c r="C718" s="205"/>
      <c r="G718" s="205"/>
      <c r="R718" s="205"/>
      <c r="S718" s="661"/>
      <c r="V718" s="205"/>
    </row>
    <row r="719" spans="3:22" x14ac:dyDescent="0.2">
      <c r="C719" s="205"/>
      <c r="G719" s="205"/>
      <c r="R719" s="205"/>
      <c r="S719" s="661"/>
      <c r="V719" s="205"/>
    </row>
    <row r="720" spans="3:22" x14ac:dyDescent="0.2">
      <c r="C720" s="205"/>
      <c r="G720" s="205"/>
      <c r="R720" s="205"/>
      <c r="S720" s="661"/>
      <c r="V720" s="205"/>
    </row>
    <row r="721" spans="3:22" x14ac:dyDescent="0.2">
      <c r="C721" s="205"/>
      <c r="G721" s="205"/>
      <c r="R721" s="205"/>
      <c r="S721" s="661"/>
      <c r="V721" s="205"/>
    </row>
    <row r="722" spans="3:22" x14ac:dyDescent="0.2">
      <c r="C722" s="205"/>
      <c r="G722" s="205"/>
      <c r="R722" s="205"/>
      <c r="S722" s="661"/>
      <c r="V722" s="205"/>
    </row>
    <row r="723" spans="3:22" x14ac:dyDescent="0.2">
      <c r="C723" s="205"/>
      <c r="G723" s="205"/>
      <c r="R723" s="205"/>
      <c r="S723" s="661"/>
      <c r="V723" s="205"/>
    </row>
    <row r="724" spans="3:22" x14ac:dyDescent="0.2">
      <c r="C724" s="205"/>
      <c r="G724" s="205"/>
      <c r="R724" s="205"/>
      <c r="S724" s="661"/>
      <c r="V724" s="205"/>
    </row>
    <row r="725" spans="3:22" x14ac:dyDescent="0.2">
      <c r="C725" s="205"/>
      <c r="G725" s="205"/>
      <c r="R725" s="205"/>
      <c r="S725" s="661"/>
      <c r="V725" s="205"/>
    </row>
    <row r="726" spans="3:22" x14ac:dyDescent="0.2">
      <c r="C726" s="205"/>
      <c r="G726" s="205"/>
      <c r="R726" s="205"/>
      <c r="S726" s="661"/>
      <c r="V726" s="205"/>
    </row>
    <row r="727" spans="3:22" x14ac:dyDescent="0.2">
      <c r="C727" s="205"/>
      <c r="G727" s="205"/>
      <c r="R727" s="205"/>
      <c r="S727" s="661"/>
      <c r="V727" s="205"/>
    </row>
    <row r="728" spans="3:22" x14ac:dyDescent="0.2">
      <c r="C728" s="205"/>
      <c r="G728" s="205"/>
      <c r="R728" s="205"/>
      <c r="S728" s="661"/>
      <c r="V728" s="205"/>
    </row>
    <row r="729" spans="3:22" x14ac:dyDescent="0.2">
      <c r="C729" s="205"/>
      <c r="G729" s="205"/>
      <c r="R729" s="205"/>
      <c r="S729" s="661"/>
      <c r="V729" s="205"/>
    </row>
    <row r="730" spans="3:22" x14ac:dyDescent="0.2">
      <c r="C730" s="205"/>
      <c r="G730" s="205"/>
      <c r="R730" s="205"/>
      <c r="S730" s="661"/>
      <c r="V730" s="205"/>
    </row>
    <row r="731" spans="3:22" x14ac:dyDescent="0.2">
      <c r="C731" s="205"/>
      <c r="G731" s="205"/>
      <c r="R731" s="205"/>
      <c r="S731" s="661"/>
      <c r="V731" s="205"/>
    </row>
    <row r="732" spans="3:22" x14ac:dyDescent="0.2">
      <c r="C732" s="205"/>
      <c r="G732" s="205"/>
      <c r="R732" s="205"/>
      <c r="S732" s="661"/>
      <c r="V732" s="205"/>
    </row>
    <row r="733" spans="3:22" x14ac:dyDescent="0.2">
      <c r="C733" s="205"/>
      <c r="G733" s="205"/>
      <c r="R733" s="205"/>
      <c r="S733" s="661"/>
      <c r="V733" s="205"/>
    </row>
    <row r="734" spans="3:22" x14ac:dyDescent="0.2">
      <c r="C734" s="205"/>
      <c r="G734" s="205"/>
      <c r="R734" s="205"/>
      <c r="S734" s="661"/>
      <c r="V734" s="205"/>
    </row>
    <row r="735" spans="3:22" x14ac:dyDescent="0.2">
      <c r="C735" s="205"/>
      <c r="G735" s="205"/>
      <c r="R735" s="205"/>
      <c r="S735" s="661"/>
      <c r="V735" s="205"/>
    </row>
    <row r="736" spans="3:22" x14ac:dyDescent="0.2">
      <c r="C736" s="205"/>
      <c r="G736" s="205"/>
      <c r="R736" s="205"/>
      <c r="S736" s="661"/>
      <c r="V736" s="205"/>
    </row>
    <row r="737" spans="3:22" x14ac:dyDescent="0.2">
      <c r="C737" s="205"/>
      <c r="G737" s="205"/>
      <c r="R737" s="205"/>
      <c r="S737" s="661"/>
      <c r="V737" s="205"/>
    </row>
    <row r="738" spans="3:22" x14ac:dyDescent="0.2">
      <c r="C738" s="205"/>
      <c r="G738" s="205"/>
      <c r="R738" s="205"/>
      <c r="S738" s="661"/>
      <c r="V738" s="205"/>
    </row>
    <row r="739" spans="3:22" x14ac:dyDescent="0.2">
      <c r="C739" s="205"/>
      <c r="G739" s="205"/>
      <c r="R739" s="205"/>
      <c r="S739" s="661"/>
      <c r="V739" s="205"/>
    </row>
    <row r="740" spans="3:22" x14ac:dyDescent="0.2">
      <c r="C740" s="205"/>
      <c r="G740" s="205"/>
      <c r="R740" s="205"/>
      <c r="S740" s="661"/>
      <c r="V740" s="205"/>
    </row>
    <row r="741" spans="3:22" x14ac:dyDescent="0.2">
      <c r="C741" s="205"/>
      <c r="G741" s="205"/>
      <c r="R741" s="205"/>
      <c r="S741" s="661"/>
      <c r="V741" s="205"/>
    </row>
    <row r="742" spans="3:22" x14ac:dyDescent="0.2">
      <c r="C742" s="205"/>
      <c r="G742" s="205"/>
      <c r="R742" s="205"/>
      <c r="S742" s="661"/>
      <c r="V742" s="205"/>
    </row>
    <row r="743" spans="3:22" x14ac:dyDescent="0.2">
      <c r="C743" s="205"/>
      <c r="G743" s="205"/>
      <c r="R743" s="205"/>
      <c r="S743" s="661"/>
      <c r="V743" s="205"/>
    </row>
    <row r="744" spans="3:22" x14ac:dyDescent="0.2">
      <c r="C744" s="205"/>
      <c r="G744" s="205"/>
      <c r="R744" s="205"/>
      <c r="S744" s="661"/>
      <c r="V744" s="205"/>
    </row>
    <row r="745" spans="3:22" x14ac:dyDescent="0.2">
      <c r="C745" s="205"/>
      <c r="G745" s="205"/>
      <c r="R745" s="205"/>
      <c r="S745" s="661"/>
      <c r="V745" s="205"/>
    </row>
    <row r="746" spans="3:22" x14ac:dyDescent="0.2">
      <c r="C746" s="205"/>
      <c r="G746" s="205"/>
      <c r="R746" s="205"/>
      <c r="S746" s="661"/>
      <c r="V746" s="205"/>
    </row>
    <row r="747" spans="3:22" x14ac:dyDescent="0.2">
      <c r="C747" s="205"/>
      <c r="G747" s="205"/>
      <c r="R747" s="205"/>
      <c r="S747" s="661"/>
      <c r="V747" s="205"/>
    </row>
    <row r="748" spans="3:22" x14ac:dyDescent="0.2">
      <c r="C748" s="205"/>
      <c r="G748" s="205"/>
      <c r="R748" s="205"/>
      <c r="S748" s="661"/>
      <c r="V748" s="205"/>
    </row>
    <row r="749" spans="3:22" x14ac:dyDescent="0.2">
      <c r="C749" s="205"/>
      <c r="G749" s="205"/>
      <c r="R749" s="205"/>
      <c r="S749" s="661"/>
      <c r="V749" s="205"/>
    </row>
    <row r="750" spans="3:22" x14ac:dyDescent="0.2">
      <c r="C750" s="205"/>
      <c r="G750" s="205"/>
      <c r="R750" s="205"/>
      <c r="S750" s="661"/>
      <c r="V750" s="205"/>
    </row>
    <row r="751" spans="3:22" x14ac:dyDescent="0.2">
      <c r="C751" s="205"/>
      <c r="G751" s="205"/>
      <c r="R751" s="205"/>
      <c r="S751" s="661"/>
      <c r="V751" s="205"/>
    </row>
    <row r="752" spans="3:22" x14ac:dyDescent="0.2">
      <c r="C752" s="205"/>
      <c r="G752" s="205"/>
      <c r="R752" s="205"/>
      <c r="S752" s="661"/>
      <c r="V752" s="205"/>
    </row>
    <row r="753" spans="3:22" x14ac:dyDescent="0.2">
      <c r="C753" s="205"/>
      <c r="G753" s="205"/>
      <c r="R753" s="205"/>
      <c r="S753" s="661"/>
      <c r="V753" s="205"/>
    </row>
    <row r="754" spans="3:22" x14ac:dyDescent="0.2">
      <c r="C754" s="205"/>
      <c r="G754" s="205"/>
      <c r="R754" s="205"/>
      <c r="S754" s="661"/>
      <c r="V754" s="205"/>
    </row>
    <row r="755" spans="3:22" x14ac:dyDescent="0.2">
      <c r="C755" s="205"/>
      <c r="G755" s="205"/>
      <c r="R755" s="205"/>
      <c r="S755" s="661"/>
      <c r="V755" s="205"/>
    </row>
    <row r="756" spans="3:22" x14ac:dyDescent="0.2">
      <c r="C756" s="205"/>
      <c r="G756" s="205"/>
      <c r="R756" s="205"/>
      <c r="S756" s="661"/>
      <c r="V756" s="205"/>
    </row>
    <row r="757" spans="3:22" x14ac:dyDescent="0.2">
      <c r="C757" s="205"/>
      <c r="G757" s="205"/>
      <c r="R757" s="205"/>
      <c r="S757" s="661"/>
      <c r="V757" s="205"/>
    </row>
    <row r="758" spans="3:22" x14ac:dyDescent="0.2">
      <c r="C758" s="205"/>
      <c r="G758" s="205"/>
      <c r="R758" s="205"/>
      <c r="S758" s="661"/>
      <c r="V758" s="205"/>
    </row>
    <row r="759" spans="3:22" x14ac:dyDescent="0.2">
      <c r="C759" s="205"/>
      <c r="G759" s="205"/>
      <c r="R759" s="205"/>
      <c r="S759" s="661"/>
      <c r="V759" s="205"/>
    </row>
    <row r="760" spans="3:22" x14ac:dyDescent="0.2">
      <c r="C760" s="205"/>
      <c r="G760" s="205"/>
      <c r="R760" s="205"/>
      <c r="S760" s="661"/>
      <c r="V760" s="205"/>
    </row>
    <row r="761" spans="3:22" x14ac:dyDescent="0.2">
      <c r="C761" s="205"/>
      <c r="G761" s="205"/>
      <c r="R761" s="205"/>
      <c r="S761" s="661"/>
      <c r="V761" s="205"/>
    </row>
    <row r="762" spans="3:22" x14ac:dyDescent="0.2">
      <c r="C762" s="205"/>
      <c r="G762" s="205"/>
      <c r="R762" s="205"/>
      <c r="S762" s="661"/>
      <c r="V762" s="205"/>
    </row>
    <row r="763" spans="3:22" x14ac:dyDescent="0.2">
      <c r="C763" s="205"/>
      <c r="G763" s="205"/>
      <c r="R763" s="205"/>
      <c r="S763" s="661"/>
      <c r="V763" s="205"/>
    </row>
    <row r="764" spans="3:22" x14ac:dyDescent="0.2">
      <c r="C764" s="205"/>
      <c r="G764" s="205"/>
      <c r="R764" s="205"/>
      <c r="S764" s="661"/>
      <c r="V764" s="205"/>
    </row>
    <row r="765" spans="3:22" x14ac:dyDescent="0.2">
      <c r="C765" s="205"/>
      <c r="G765" s="205"/>
      <c r="R765" s="205"/>
      <c r="S765" s="661"/>
      <c r="V765" s="205"/>
    </row>
    <row r="766" spans="3:22" x14ac:dyDescent="0.2">
      <c r="C766" s="205"/>
      <c r="G766" s="205"/>
      <c r="R766" s="205"/>
      <c r="S766" s="661"/>
      <c r="V766" s="205"/>
    </row>
    <row r="767" spans="3:22" x14ac:dyDescent="0.2">
      <c r="C767" s="205"/>
      <c r="G767" s="205"/>
      <c r="R767" s="205"/>
      <c r="S767" s="661"/>
      <c r="V767" s="205"/>
    </row>
    <row r="768" spans="3:22" x14ac:dyDescent="0.2">
      <c r="C768" s="205"/>
      <c r="G768" s="205"/>
      <c r="R768" s="205"/>
      <c r="S768" s="661"/>
      <c r="V768" s="205"/>
    </row>
    <row r="769" spans="3:22" x14ac:dyDescent="0.2">
      <c r="C769" s="205"/>
      <c r="G769" s="205"/>
      <c r="R769" s="205"/>
      <c r="S769" s="661"/>
      <c r="V769" s="205"/>
    </row>
    <row r="770" spans="3:22" x14ac:dyDescent="0.2">
      <c r="C770" s="205"/>
      <c r="G770" s="205"/>
      <c r="R770" s="205"/>
      <c r="S770" s="661"/>
      <c r="V770" s="205"/>
    </row>
    <row r="771" spans="3:22" x14ac:dyDescent="0.2">
      <c r="C771" s="205"/>
      <c r="G771" s="205"/>
      <c r="R771" s="205"/>
      <c r="S771" s="661"/>
      <c r="V771" s="205"/>
    </row>
    <row r="772" spans="3:22" x14ac:dyDescent="0.2">
      <c r="G772" s="205"/>
      <c r="V772" s="205"/>
    </row>
  </sheetData>
  <mergeCells count="3">
    <mergeCell ref="B2:T2"/>
    <mergeCell ref="B3:M3"/>
    <mergeCell ref="C10:G10"/>
  </mergeCell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0"/>
  <sheetViews>
    <sheetView workbookViewId="0">
      <selection activeCell="T281" sqref="T281"/>
    </sheetView>
  </sheetViews>
  <sheetFormatPr defaultRowHeight="12.75" x14ac:dyDescent="0.2"/>
  <cols>
    <col min="1" max="2" width="9.140625" style="644"/>
    <col min="3" max="3" width="16" style="644" bestFit="1" customWidth="1"/>
    <col min="4" max="16384" width="9.140625" style="644"/>
  </cols>
  <sheetData>
    <row r="1" spans="2:11" x14ac:dyDescent="0.2">
      <c r="B1" s="643" t="s">
        <v>1508</v>
      </c>
    </row>
    <row r="2" spans="2:11" x14ac:dyDescent="0.2">
      <c r="B2" s="645"/>
      <c r="C2" s="646">
        <f>Rekap!J47</f>
        <v>5798825000</v>
      </c>
      <c r="D2" s="645" t="s">
        <v>1509</v>
      </c>
      <c r="E2" s="645"/>
      <c r="F2" s="645"/>
      <c r="G2" s="645"/>
      <c r="H2" s="645"/>
    </row>
    <row r="3" spans="2:11" x14ac:dyDescent="0.2">
      <c r="B3" s="645"/>
      <c r="C3" s="645">
        <v>0</v>
      </c>
      <c r="D3" s="645" t="s">
        <v>1510</v>
      </c>
      <c r="E3" s="645"/>
      <c r="F3" s="645"/>
      <c r="G3" s="645"/>
      <c r="H3" s="645"/>
    </row>
    <row r="4" spans="2:11" x14ac:dyDescent="0.2">
      <c r="B4" s="645"/>
      <c r="C4" s="645"/>
      <c r="D4" s="645" t="s">
        <v>1511</v>
      </c>
      <c r="E4" s="645"/>
      <c r="F4" s="645"/>
      <c r="G4" s="645"/>
      <c r="H4" s="645"/>
    </row>
    <row r="5" spans="2:11" x14ac:dyDescent="0.2">
      <c r="B5" s="645"/>
      <c r="C5" s="645" t="str">
        <f>IF(C2&lt;0,"kurang ","")&amp;IF(C2=0,"nol",+C26&amp;C27&amp;D26&amp;D27)&amp;" "</f>
        <v xml:space="preserve">lima milyar tujuh ratus sembilan puluh delapan juta delapan ratus dua puluh lima ribu  </v>
      </c>
      <c r="D5" s="645"/>
      <c r="E5" s="645"/>
      <c r="F5" s="645"/>
      <c r="G5" s="645"/>
      <c r="H5" s="645"/>
    </row>
    <row r="6" spans="2:11" x14ac:dyDescent="0.2">
      <c r="B6" s="645"/>
      <c r="C6" s="645" t="str">
        <f>UPPER(LEFT(C5,1))&amp;RIGHT(C5,LEN(C5)-1)</f>
        <v xml:space="preserve">Lima milyar tujuh ratus sembilan puluh delapan juta delapan ratus dua puluh lima ribu  </v>
      </c>
      <c r="D6" s="645"/>
      <c r="E6" s="645"/>
      <c r="F6" s="645"/>
      <c r="G6" s="645"/>
      <c r="H6" s="645"/>
    </row>
    <row r="7" spans="2:11" x14ac:dyDescent="0.2">
      <c r="B7" s="645"/>
      <c r="C7" s="645" t="str">
        <f>IF(C2&lt;0,"-","")&amp;D13&amp;D11&amp;D12&amp;IF(AND(ABS(C2)&gt;1,ABS(C2)&lt;1000),LEFT(FIXED(TRUNC(ABS(C2)),0,TRUE),LEN(FIXED(TRUNC(ABS(C2)),0,TRUE))),"")&amp;IF(C2=TRUNC(C2),"","."&amp;RIGHT(FIXED(ROUND(C2,C3),C3,TRUE),C3))</f>
        <v>5,798,825,000</v>
      </c>
      <c r="D7" s="645" t="str">
        <f>"("&amp;C7&amp;")"</f>
        <v>(5,798,825,000)</v>
      </c>
      <c r="E7" s="645"/>
      <c r="F7" s="645"/>
      <c r="G7" s="645"/>
      <c r="H7" s="645"/>
    </row>
    <row r="8" spans="2:11" x14ac:dyDescent="0.2">
      <c r="B8" s="645"/>
      <c r="C8" s="645" t="str">
        <f>C6&amp;D7</f>
        <v>Lima milyar tujuh ratus sembilan puluh delapan juta delapan ratus dua puluh lima ribu  (5,798,825,000)</v>
      </c>
      <c r="D8" s="645"/>
      <c r="E8" s="645"/>
      <c r="F8" s="645"/>
      <c r="G8" s="645"/>
      <c r="H8" s="645"/>
    </row>
    <row r="9" spans="2:11" x14ac:dyDescent="0.2">
      <c r="B9" s="645"/>
      <c r="C9" s="645">
        <f>TRUNC(ABS(C2))</f>
        <v>5798825000</v>
      </c>
      <c r="D9" s="645"/>
      <c r="E9" s="647">
        <f>ROUND(+ABS(C2)-C9,C3)</f>
        <v>0</v>
      </c>
      <c r="F9" s="645"/>
      <c r="G9" s="645"/>
      <c r="H9" s="645"/>
    </row>
    <row r="10" spans="2:11" x14ac:dyDescent="0.2">
      <c r="B10" s="645"/>
      <c r="C10" s="645" t="str">
        <f>RIGHT(FIXED(E9,C3,TRUE),C3)</f>
        <v/>
      </c>
      <c r="D10" s="645"/>
      <c r="E10" s="645"/>
      <c r="F10" s="648" t="str">
        <f>""&amp;PROPER(C5)&amp;"Rupiah"</f>
        <v>Lima Milyar Tujuh Ratus Sembilan Puluh Delapan Juta Delapan Ratus Dua Puluh Lima Ribu  Rupiah</v>
      </c>
      <c r="G10" s="649"/>
      <c r="H10" s="649"/>
      <c r="I10" s="650"/>
      <c r="J10" s="650"/>
      <c r="K10" s="650"/>
    </row>
    <row r="11" spans="2:11" x14ac:dyDescent="0.2">
      <c r="B11" s="645"/>
      <c r="C11" s="645" t="str">
        <f>FIXED(10^C3,0,TRUE)</f>
        <v>1</v>
      </c>
      <c r="D11" s="645" t="str">
        <f>IF(AND(ABS(C2)&gt;1000000,ABS(C2)&lt;1000000000),LEFT(FIXED(TRUNC(ABS(C2)),0,TRUE),LEN(FIXED(TRUNC(ABS(C2)),0,TRUE))-6)&amp;","&amp;RIGHT(FIXED(TRUNC(ABS(C2/1000)),0,TRUE),3)&amp;","&amp;RIGHT(FIXED(TRUNC(ABS(C2)),0,TRUE),3),"")</f>
        <v/>
      </c>
      <c r="E11" s="645"/>
      <c r="F11" s="645"/>
      <c r="G11" s="645"/>
      <c r="H11" s="645"/>
    </row>
    <row r="12" spans="2:11" x14ac:dyDescent="0.2">
      <c r="B12" s="645"/>
      <c r="C12" s="645" t="str">
        <f>C10&amp;"/"&amp;C11</f>
        <v>/1</v>
      </c>
      <c r="D12" s="645" t="str">
        <f>IF(AND(ABS(C2)&gt;1000,ABS(C2)&lt;1000000),LEFT(FIXED(TRUNC(ABS(C2)),0,TRUE),LEN(FIXED(TRUNC(ABS(C2)),0,TRUE))-3)&amp;","&amp;RIGHT(FIXED(TRUNC(ABS(C2)),0,TRUE),3),"")</f>
        <v/>
      </c>
      <c r="E12" s="645"/>
      <c r="F12" s="645"/>
      <c r="G12" s="645"/>
      <c r="H12" s="645"/>
    </row>
    <row r="13" spans="2:11" x14ac:dyDescent="0.2">
      <c r="B13" s="645"/>
      <c r="C13" s="645" t="str">
        <f>IF(OR(AND(T(C4)="b",E9=0),C3=0),"",IF(AND(E9=0,T(C4)="saja"),"saja",IF(C9&gt;0,"","")&amp;C12))</f>
        <v/>
      </c>
      <c r="D13" s="645" t="str">
        <f>IF(ABS(C2)&gt;1000000000,LEFT(FIXED(TRUNC(ABS(C2)),0,TRUE),LEN(FIXED(TRUNC(ABS(C2)),0,TRUE))-9)&amp;","&amp;RIGHT(FIXED(TRUNC(ABS(C2/1000000)),0,TRUE),3)&amp;","&amp;RIGHT(FIXED(TRUNC(ABS(C2/1000)),0,TRUE),3)&amp;","&amp;RIGHT(FIXED(TRUNC(ABS(C2)),0,TRUE),3),"")</f>
        <v>5,798,825,000</v>
      </c>
      <c r="E13" s="645" t="s">
        <v>358</v>
      </c>
      <c r="F13" s="645" t="s">
        <v>1512</v>
      </c>
      <c r="G13" s="645"/>
      <c r="H13" s="645"/>
    </row>
    <row r="14" spans="2:11" x14ac:dyDescent="0.2">
      <c r="B14" s="645"/>
      <c r="C14" s="645">
        <f>TRUNC(C9/1000000000)</f>
        <v>5</v>
      </c>
      <c r="D14" s="645"/>
      <c r="E14" s="645">
        <f>C14-100*TRUNC(C14/100)</f>
        <v>5</v>
      </c>
      <c r="F14" s="651" t="s">
        <v>1513</v>
      </c>
      <c r="G14" s="645" t="s">
        <v>1514</v>
      </c>
      <c r="H14" s="645"/>
    </row>
    <row r="15" spans="2:11" x14ac:dyDescent="0.2">
      <c r="B15" s="645"/>
      <c r="C15" s="645">
        <f>TRUNC(C9/1000000)-1000*C14</f>
        <v>798</v>
      </c>
      <c r="D15" s="645"/>
      <c r="E15" s="645">
        <f>C15-100*TRUNC(C15/100)</f>
        <v>98</v>
      </c>
      <c r="F15" s="651" t="s">
        <v>1515</v>
      </c>
      <c r="G15" s="645" t="s">
        <v>1516</v>
      </c>
      <c r="H15" s="645"/>
    </row>
    <row r="16" spans="2:11" x14ac:dyDescent="0.2">
      <c r="B16" s="645"/>
      <c r="C16" s="645">
        <f>TRUNC(C9/1000)-1000*C15-1000000*C14</f>
        <v>825</v>
      </c>
      <c r="D16" s="645"/>
      <c r="E16" s="645">
        <f>C16-100*TRUNC(C16/100)</f>
        <v>25</v>
      </c>
      <c r="F16" s="651" t="s">
        <v>1517</v>
      </c>
      <c r="G16" s="645" t="s">
        <v>1518</v>
      </c>
      <c r="H16" s="645"/>
      <c r="I16" s="644">
        <f>+C15*1000</f>
        <v>798000</v>
      </c>
    </row>
    <row r="17" spans="2:9" x14ac:dyDescent="0.2">
      <c r="B17" s="645"/>
      <c r="C17" s="645">
        <f>C9-1000*C16-1000000*C15-1000000000*C14</f>
        <v>0</v>
      </c>
      <c r="D17" s="645"/>
      <c r="E17" s="645">
        <f>C17-100*TRUNC(C17/100)</f>
        <v>0</v>
      </c>
      <c r="F17" s="645" t="s">
        <v>1519</v>
      </c>
      <c r="G17" s="645" t="s">
        <v>1520</v>
      </c>
      <c r="H17" s="645"/>
    </row>
    <row r="18" spans="2:9" x14ac:dyDescent="0.2">
      <c r="B18" s="645"/>
      <c r="C18" s="645" t="str">
        <f>FIXED(C14,0,TRUE)</f>
        <v>5</v>
      </c>
      <c r="D18" s="645"/>
      <c r="E18" s="645">
        <f>E14-10*TRUNC(E14/10)</f>
        <v>5</v>
      </c>
      <c r="F18" s="645"/>
      <c r="G18" s="645"/>
      <c r="H18" s="645"/>
      <c r="I18" s="644">
        <f>TRUNC(C9/1000000,0)</f>
        <v>5798</v>
      </c>
    </row>
    <row r="19" spans="2:9" x14ac:dyDescent="0.2">
      <c r="B19" s="645"/>
      <c r="C19" s="645" t="str">
        <f>FIXED(C15,0,TRUE)</f>
        <v>798</v>
      </c>
      <c r="D19" s="645"/>
      <c r="E19" s="645">
        <f>E15-10*TRUNC(E15/10)</f>
        <v>8</v>
      </c>
      <c r="F19" s="645"/>
      <c r="G19" s="645"/>
      <c r="H19" s="645"/>
    </row>
    <row r="20" spans="2:9" x14ac:dyDescent="0.2">
      <c r="B20" s="645"/>
      <c r="C20" s="645" t="str">
        <f>FIXED(C16,0,TRUE)</f>
        <v>825</v>
      </c>
      <c r="D20" s="645"/>
      <c r="E20" s="645">
        <f>E16-10*TRUNC(E16/10)</f>
        <v>5</v>
      </c>
      <c r="F20" s="645"/>
      <c r="G20" s="645"/>
      <c r="H20" s="645"/>
    </row>
    <row r="21" spans="2:9" x14ac:dyDescent="0.2">
      <c r="B21" s="645"/>
      <c r="C21" s="645" t="str">
        <f>FIXED(C17,0,TRUE)</f>
        <v>0</v>
      </c>
      <c r="D21" s="645"/>
      <c r="E21" s="645">
        <f>E17-10*TRUNC(E17/10)</f>
        <v>0</v>
      </c>
      <c r="F21" s="645"/>
      <c r="G21" s="645"/>
      <c r="H21" s="645"/>
    </row>
    <row r="22" spans="2:9" x14ac:dyDescent="0.2">
      <c r="B22" s="645"/>
      <c r="C22" s="645">
        <f>0.01*(C14-E18-E22)</f>
        <v>0</v>
      </c>
      <c r="D22" s="645"/>
      <c r="E22" s="645">
        <f>E14-E18</f>
        <v>0</v>
      </c>
      <c r="F22" s="645"/>
      <c r="G22" s="645"/>
      <c r="H22" s="645"/>
    </row>
    <row r="23" spans="2:9" x14ac:dyDescent="0.2">
      <c r="B23" s="645"/>
      <c r="C23" s="645">
        <f>0.01*(C15-E19-E23)</f>
        <v>7</v>
      </c>
      <c r="D23" s="645"/>
      <c r="E23" s="645">
        <f>E15-E19</f>
        <v>90</v>
      </c>
      <c r="F23" s="645"/>
      <c r="G23" s="645"/>
      <c r="H23" s="645"/>
    </row>
    <row r="24" spans="2:9" x14ac:dyDescent="0.2">
      <c r="B24" s="645"/>
      <c r="C24" s="645">
        <f>0.01*(C16-E20-E24)</f>
        <v>8</v>
      </c>
      <c r="D24" s="645"/>
      <c r="E24" s="645">
        <f>E16-E20</f>
        <v>20</v>
      </c>
      <c r="F24" s="645"/>
      <c r="G24" s="645"/>
      <c r="H24" s="645"/>
    </row>
    <row r="25" spans="2:9" x14ac:dyDescent="0.2">
      <c r="B25" s="645"/>
      <c r="C25" s="645">
        <f>0.01*(C17-E21-E25)</f>
        <v>0</v>
      </c>
      <c r="D25" s="645"/>
      <c r="E25" s="645">
        <f>E17-E21</f>
        <v>0</v>
      </c>
      <c r="F25" s="645"/>
      <c r="G25" s="645"/>
      <c r="H25" s="645"/>
    </row>
    <row r="26" spans="2:9" x14ac:dyDescent="0.2">
      <c r="B26" s="645"/>
      <c r="C26" s="645" t="str">
        <f>IF(C14&gt;0,IF(C14&gt;99,IF(C22=1,"seratus ",VLOOKUP(C22,$C28:$D55,2)&amp;" ratus "),"")&amp;IF(AND(E22&gt;10,E22&gt;0),VLOOKUP(E22,$C28:$D55,2),VLOOKUP(E22+E18,$C28:$D55,2))&amp;" "&amp;IF(AND(E22&gt;10,E18&gt;0),VLOOKUP(E18,$C28:$D55,2)&amp;" ","")&amp;"milyar ","")</f>
        <v xml:space="preserve">lima milyar </v>
      </c>
      <c r="D26" s="645" t="str">
        <f>IF(C16&gt;0,IF(C16&gt;99,IF(C24=1,"seratus ",VLOOKUP(C24,$C28:$D55,2)&amp;" ratus "),"")&amp;IF(AND(E24&gt;10,E24&gt;0),VLOOKUP(E24,$C28:$D55,2),VLOOKUP(E24+E20,$C28:$D55,2))&amp;" "&amp;IF(AND(E24&gt;10,E20&gt;0),VLOOKUP(E20,$C28:$D55,2)&amp;" ","")&amp;"ribu ","")</f>
        <v xml:space="preserve">delapan ratus dua puluh lima ribu </v>
      </c>
      <c r="E26" s="645"/>
      <c r="F26" s="645"/>
      <c r="G26" s="645"/>
      <c r="H26" s="645"/>
    </row>
    <row r="27" spans="2:9" x14ac:dyDescent="0.2">
      <c r="B27" s="645">
        <v>1</v>
      </c>
      <c r="C27" s="645" t="str">
        <f>IF(C15&gt;0,IF(C15&gt;99,IF(C23=1,"seratus ",VLOOKUP(C23,$C28:$D55,2)&amp;" ratus "),"")&amp;IF(AND(E23&gt;10,E23&gt;0),VLOOKUP(E23,$C28:$D55,2),VLOOKUP(E23+E19,$C28:$D55,2))&amp;" "&amp;IF(AND(E23&gt;10,E19&gt;0),VLOOKUP(E19,$C28:$D55,2)&amp;" ","")&amp;"juta ","")</f>
        <v xml:space="preserve">tujuh ratus sembilan puluh delapan juta </v>
      </c>
      <c r="D27" s="645" t="str">
        <f>IF(C17&gt;0,IF(C17&gt;99,IF(C25=1,"seratus ",VLOOKUP(C25,$C28:$D55,2)&amp;" ratus "),"")&amp;IF(AND(E25&gt;10,E25&gt;0),VLOOKUP(E25,$C28:$D55,2),VLOOKUP(E25+E21,$C28:$D55,2))&amp;" "&amp;IF(AND(E25&gt;10,E21&gt;0),VLOOKUP(E21,$C28:$D55,2)&amp;" ",""),"")&amp;C13</f>
        <v/>
      </c>
      <c r="E27" s="645"/>
      <c r="F27" s="645"/>
      <c r="G27" s="645"/>
      <c r="H27" s="645"/>
    </row>
    <row r="28" spans="2:9" x14ac:dyDescent="0.2">
      <c r="B28" s="645"/>
      <c r="C28" s="645">
        <v>0</v>
      </c>
      <c r="D28" s="645" t="s">
        <v>358</v>
      </c>
      <c r="E28" s="645"/>
      <c r="F28" s="645"/>
      <c r="G28" s="645"/>
      <c r="H28" s="645"/>
    </row>
    <row r="29" spans="2:9" x14ac:dyDescent="0.2">
      <c r="B29" s="645"/>
      <c r="C29" s="645">
        <v>1</v>
      </c>
      <c r="D29" s="645" t="s">
        <v>1521</v>
      </c>
      <c r="E29" s="645"/>
      <c r="F29" s="645"/>
      <c r="G29" s="645"/>
      <c r="H29" s="645"/>
    </row>
    <row r="30" spans="2:9" x14ac:dyDescent="0.2">
      <c r="B30" s="645"/>
      <c r="C30" s="645">
        <v>2</v>
      </c>
      <c r="D30" s="645" t="s">
        <v>1522</v>
      </c>
      <c r="E30" s="645"/>
      <c r="F30" s="645"/>
      <c r="G30" s="645"/>
      <c r="H30" s="645"/>
    </row>
    <row r="31" spans="2:9" x14ac:dyDescent="0.2">
      <c r="B31" s="645"/>
      <c r="C31" s="645">
        <v>3</v>
      </c>
      <c r="D31" s="645" t="s">
        <v>1523</v>
      </c>
      <c r="E31" s="645"/>
      <c r="F31" s="645"/>
      <c r="G31" s="645"/>
      <c r="H31" s="645"/>
    </row>
    <row r="32" spans="2:9" x14ac:dyDescent="0.2">
      <c r="B32" s="645"/>
      <c r="C32" s="645">
        <v>4</v>
      </c>
      <c r="D32" s="645" t="s">
        <v>1524</v>
      </c>
      <c r="E32" s="645"/>
      <c r="F32" s="645"/>
      <c r="G32" s="645"/>
      <c r="H32" s="645"/>
    </row>
    <row r="33" spans="2:8" x14ac:dyDescent="0.2">
      <c r="B33" s="645"/>
      <c r="C33" s="645">
        <v>5</v>
      </c>
      <c r="D33" s="645" t="s">
        <v>1525</v>
      </c>
      <c r="E33" s="645"/>
      <c r="F33" s="645"/>
      <c r="G33" s="645"/>
      <c r="H33" s="645"/>
    </row>
    <row r="34" spans="2:8" x14ac:dyDescent="0.2">
      <c r="B34" s="645"/>
      <c r="C34" s="645">
        <v>6</v>
      </c>
      <c r="D34" s="645" t="s">
        <v>1526</v>
      </c>
      <c r="E34" s="645"/>
      <c r="F34" s="645"/>
      <c r="G34" s="645"/>
      <c r="H34" s="645"/>
    </row>
    <row r="35" spans="2:8" x14ac:dyDescent="0.2">
      <c r="B35" s="645"/>
      <c r="C35" s="645">
        <v>7</v>
      </c>
      <c r="D35" s="645" t="s">
        <v>1527</v>
      </c>
      <c r="E35" s="645"/>
      <c r="F35" s="645"/>
      <c r="G35" s="645"/>
      <c r="H35" s="645"/>
    </row>
    <row r="36" spans="2:8" x14ac:dyDescent="0.2">
      <c r="B36" s="645"/>
      <c r="C36" s="645">
        <v>8</v>
      </c>
      <c r="D36" s="645" t="s">
        <v>1528</v>
      </c>
      <c r="E36" s="645"/>
      <c r="F36" s="645"/>
      <c r="G36" s="645"/>
      <c r="H36" s="645"/>
    </row>
    <row r="37" spans="2:8" x14ac:dyDescent="0.2">
      <c r="B37" s="645"/>
      <c r="C37" s="645">
        <v>9</v>
      </c>
      <c r="D37" s="645" t="s">
        <v>1529</v>
      </c>
      <c r="E37" s="645"/>
      <c r="F37" s="645"/>
      <c r="G37" s="645"/>
      <c r="H37" s="645"/>
    </row>
    <row r="38" spans="2:8" x14ac:dyDescent="0.2">
      <c r="B38" s="645"/>
      <c r="C38" s="645">
        <v>10</v>
      </c>
      <c r="D38" s="645" t="s">
        <v>1530</v>
      </c>
      <c r="E38" s="645"/>
      <c r="F38" s="645"/>
      <c r="G38" s="645"/>
      <c r="H38" s="645"/>
    </row>
    <row r="39" spans="2:8" x14ac:dyDescent="0.2">
      <c r="B39" s="645"/>
      <c r="C39" s="645">
        <v>11</v>
      </c>
      <c r="D39" s="645" t="s">
        <v>1531</v>
      </c>
      <c r="E39" s="645"/>
      <c r="F39" s="645"/>
      <c r="G39" s="645"/>
      <c r="H39" s="645"/>
    </row>
    <row r="40" spans="2:8" x14ac:dyDescent="0.2">
      <c r="B40" s="645"/>
      <c r="C40" s="645">
        <v>12</v>
      </c>
      <c r="D40" s="645" t="s">
        <v>1532</v>
      </c>
      <c r="E40" s="645"/>
      <c r="F40" s="645"/>
      <c r="G40" s="645"/>
      <c r="H40" s="645"/>
    </row>
    <row r="41" spans="2:8" x14ac:dyDescent="0.2">
      <c r="B41" s="645"/>
      <c r="C41" s="645">
        <v>13</v>
      </c>
      <c r="D41" s="645" t="s">
        <v>1533</v>
      </c>
      <c r="E41" s="645"/>
      <c r="F41" s="645"/>
      <c r="G41" s="645"/>
      <c r="H41" s="645"/>
    </row>
    <row r="42" spans="2:8" x14ac:dyDescent="0.2">
      <c r="B42" s="645"/>
      <c r="C42" s="645">
        <v>14</v>
      </c>
      <c r="D42" s="645" t="s">
        <v>1534</v>
      </c>
      <c r="E42" s="645"/>
      <c r="F42" s="645"/>
      <c r="G42" s="645"/>
      <c r="H42" s="645"/>
    </row>
    <row r="43" spans="2:8" x14ac:dyDescent="0.2">
      <c r="B43" s="645"/>
      <c r="C43" s="645">
        <v>15</v>
      </c>
      <c r="D43" s="645" t="s">
        <v>1535</v>
      </c>
      <c r="E43" s="645"/>
      <c r="F43" s="645"/>
      <c r="G43" s="645"/>
      <c r="H43" s="645"/>
    </row>
    <row r="44" spans="2:8" x14ac:dyDescent="0.2">
      <c r="B44" s="645"/>
      <c r="C44" s="645">
        <v>16</v>
      </c>
      <c r="D44" s="645" t="s">
        <v>1536</v>
      </c>
      <c r="E44" s="645"/>
      <c r="F44" s="645"/>
      <c r="G44" s="645"/>
      <c r="H44" s="645"/>
    </row>
    <row r="45" spans="2:8" x14ac:dyDescent="0.2">
      <c r="B45" s="645"/>
      <c r="C45" s="645">
        <v>17</v>
      </c>
      <c r="D45" s="645" t="s">
        <v>1537</v>
      </c>
      <c r="E45" s="645"/>
      <c r="F45" s="645"/>
      <c r="G45" s="645"/>
      <c r="H45" s="645"/>
    </row>
    <row r="46" spans="2:8" x14ac:dyDescent="0.2">
      <c r="B46" s="645"/>
      <c r="C46" s="645">
        <v>18</v>
      </c>
      <c r="D46" s="645" t="s">
        <v>1538</v>
      </c>
      <c r="E46" s="645"/>
      <c r="F46" s="645"/>
      <c r="G46" s="645"/>
      <c r="H46" s="645"/>
    </row>
    <row r="47" spans="2:8" x14ac:dyDescent="0.2">
      <c r="B47" s="645"/>
      <c r="C47" s="645">
        <v>19</v>
      </c>
      <c r="D47" s="645" t="s">
        <v>1539</v>
      </c>
      <c r="E47" s="645"/>
      <c r="F47" s="645"/>
      <c r="G47" s="645"/>
      <c r="H47" s="645"/>
    </row>
    <row r="48" spans="2:8" x14ac:dyDescent="0.2">
      <c r="B48" s="645"/>
      <c r="C48" s="645">
        <v>20</v>
      </c>
      <c r="D48" s="645" t="s">
        <v>1540</v>
      </c>
      <c r="E48" s="645"/>
      <c r="F48" s="645"/>
      <c r="G48" s="645"/>
      <c r="H48" s="645"/>
    </row>
    <row r="49" spans="2:8" x14ac:dyDescent="0.2">
      <c r="B49" s="645"/>
      <c r="C49" s="645">
        <v>30</v>
      </c>
      <c r="D49" s="645" t="s">
        <v>1541</v>
      </c>
      <c r="E49" s="645"/>
      <c r="F49" s="645"/>
      <c r="G49" s="645"/>
      <c r="H49" s="645"/>
    </row>
    <row r="50" spans="2:8" x14ac:dyDescent="0.2">
      <c r="B50" s="645"/>
      <c r="C50" s="645">
        <v>40</v>
      </c>
      <c r="D50" s="645" t="s">
        <v>1542</v>
      </c>
      <c r="E50" s="645"/>
      <c r="F50" s="645"/>
      <c r="G50" s="645"/>
      <c r="H50" s="645"/>
    </row>
    <row r="51" spans="2:8" x14ac:dyDescent="0.2">
      <c r="B51" s="645"/>
      <c r="C51" s="645">
        <v>50</v>
      </c>
      <c r="D51" s="645" t="s">
        <v>1543</v>
      </c>
      <c r="E51" s="645"/>
      <c r="F51" s="645"/>
      <c r="G51" s="645"/>
      <c r="H51" s="645"/>
    </row>
    <row r="52" spans="2:8" x14ac:dyDescent="0.2">
      <c r="B52" s="645"/>
      <c r="C52" s="645">
        <v>60</v>
      </c>
      <c r="D52" s="645" t="s">
        <v>1544</v>
      </c>
      <c r="E52" s="645"/>
      <c r="F52" s="645"/>
      <c r="G52" s="645"/>
      <c r="H52" s="645"/>
    </row>
    <row r="53" spans="2:8" x14ac:dyDescent="0.2">
      <c r="B53" s="645"/>
      <c r="C53" s="645">
        <v>70</v>
      </c>
      <c r="D53" s="645" t="s">
        <v>1545</v>
      </c>
      <c r="E53" s="645"/>
      <c r="F53" s="645"/>
      <c r="G53" s="645"/>
      <c r="H53" s="645"/>
    </row>
    <row r="54" spans="2:8" x14ac:dyDescent="0.2">
      <c r="B54" s="645"/>
      <c r="C54" s="645">
        <v>80</v>
      </c>
      <c r="D54" s="645" t="s">
        <v>1546</v>
      </c>
      <c r="E54" s="645"/>
      <c r="F54" s="645"/>
      <c r="G54" s="645"/>
      <c r="H54" s="645"/>
    </row>
    <row r="55" spans="2:8" x14ac:dyDescent="0.2">
      <c r="B55" s="645"/>
      <c r="C55" s="645">
        <v>90</v>
      </c>
      <c r="D55" s="645" t="s">
        <v>1547</v>
      </c>
      <c r="E55" s="645"/>
      <c r="F55" s="645"/>
      <c r="G55" s="645"/>
      <c r="H55" s="645"/>
    </row>
    <row r="56" spans="2:8" x14ac:dyDescent="0.2">
      <c r="B56" s="645"/>
      <c r="C56" s="645" t="s">
        <v>1548</v>
      </c>
      <c r="D56" s="645"/>
      <c r="E56" s="645"/>
      <c r="F56" s="645"/>
      <c r="G56" s="645"/>
      <c r="H56" s="645"/>
    </row>
    <row r="57" spans="2:8" x14ac:dyDescent="0.2">
      <c r="B57" s="645"/>
      <c r="C57" s="645" t="s">
        <v>1549</v>
      </c>
      <c r="D57" s="645"/>
      <c r="E57" s="645"/>
      <c r="F57" s="645"/>
      <c r="G57" s="645"/>
      <c r="H57" s="645"/>
    </row>
    <row r="58" spans="2:8" x14ac:dyDescent="0.2">
      <c r="B58" s="645"/>
      <c r="C58" s="645"/>
      <c r="D58" s="645"/>
      <c r="E58" s="645"/>
      <c r="F58" s="645"/>
      <c r="G58" s="645"/>
      <c r="H58" s="645"/>
    </row>
    <row r="59" spans="2:8" x14ac:dyDescent="0.2">
      <c r="B59" s="645"/>
      <c r="C59" s="645"/>
      <c r="D59" s="645"/>
      <c r="E59" s="645"/>
      <c r="F59" s="645"/>
      <c r="G59" s="645"/>
      <c r="H59" s="645"/>
    </row>
    <row r="60" spans="2:8" x14ac:dyDescent="0.2">
      <c r="B60" s="645"/>
      <c r="C60" s="645"/>
      <c r="D60" s="645"/>
      <c r="E60" s="645"/>
      <c r="F60" s="645"/>
      <c r="G60" s="645"/>
      <c r="H60" s="6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11"/>
  <sheetViews>
    <sheetView topLeftCell="A223" workbookViewId="0">
      <selection activeCell="T281" sqref="T281"/>
    </sheetView>
  </sheetViews>
  <sheetFormatPr defaultRowHeight="14.25" x14ac:dyDescent="0.2"/>
  <cols>
    <col min="1" max="1" width="5.7109375" style="210" customWidth="1"/>
    <col min="2" max="2" width="5.7109375" style="206" customWidth="1"/>
    <col min="3" max="3" width="2.7109375" style="210" customWidth="1"/>
    <col min="4" max="4" width="12.7109375" style="298" customWidth="1"/>
    <col min="5" max="5" width="3.7109375" style="210" customWidth="1"/>
    <col min="6" max="6" width="43.42578125" style="220" customWidth="1"/>
    <col min="7" max="7" width="13.85546875" style="210" customWidth="1"/>
    <col min="8" max="8" width="3.7109375" style="210" customWidth="1"/>
    <col min="9" max="9" width="23.7109375" style="210" customWidth="1"/>
    <col min="10" max="10" width="10.7109375" style="210" customWidth="1"/>
    <col min="11" max="13" width="2.140625" style="210" customWidth="1"/>
    <col min="14" max="14" width="16.42578125" style="210" customWidth="1"/>
    <col min="15" max="16" width="16.85546875" style="210" customWidth="1"/>
    <col min="17" max="17" width="5.7109375" style="210" customWidth="1"/>
    <col min="18" max="20" width="16.140625" style="210" customWidth="1"/>
    <col min="21" max="16384" width="9.140625" style="210"/>
  </cols>
  <sheetData>
    <row r="1" spans="2:16" x14ac:dyDescent="0.2">
      <c r="C1" s="207"/>
      <c r="D1" s="208"/>
      <c r="E1" s="207"/>
      <c r="F1" s="209"/>
      <c r="G1" s="207"/>
      <c r="H1" s="207"/>
      <c r="I1" s="207"/>
    </row>
    <row r="2" spans="2:16" ht="20.25" x14ac:dyDescent="0.2">
      <c r="B2" s="3538" t="s">
        <v>601</v>
      </c>
      <c r="C2" s="3538"/>
      <c r="D2" s="3538"/>
      <c r="E2" s="3538"/>
      <c r="F2" s="3538"/>
      <c r="G2" s="3538"/>
      <c r="H2" s="3538"/>
      <c r="I2" s="3538"/>
      <c r="J2" s="3538"/>
    </row>
    <row r="3" spans="2:16" x14ac:dyDescent="0.2">
      <c r="B3" s="3539"/>
      <c r="C3" s="3539"/>
      <c r="D3" s="3539"/>
      <c r="E3" s="3539"/>
      <c r="F3" s="3539"/>
      <c r="G3" s="3539"/>
      <c r="H3" s="3539"/>
      <c r="I3" s="3539"/>
      <c r="J3" s="3539"/>
    </row>
    <row r="4" spans="2:16" ht="15.75" x14ac:dyDescent="0.2">
      <c r="B4" s="211" t="str">
        <f>[4]RAB!D5</f>
        <v>PROGRAM</v>
      </c>
      <c r="C4" s="212"/>
      <c r="D4" s="213"/>
      <c r="E4" s="200" t="str">
        <f>[4]RAB!E5</f>
        <v>:</v>
      </c>
      <c r="F4" s="214">
        <f>[4]RAB!F5</f>
        <v>0</v>
      </c>
      <c r="H4" s="206"/>
      <c r="I4" s="206"/>
      <c r="J4" s="206"/>
    </row>
    <row r="5" spans="2:16" ht="15.75" x14ac:dyDescent="0.2">
      <c r="B5" s="211" t="str">
        <f>[4]RAB!D6</f>
        <v>KEGIATAN</v>
      </c>
      <c r="C5" s="212"/>
      <c r="D5" s="213"/>
      <c r="E5" s="200" t="str">
        <f>[4]RAB!E6</f>
        <v>:</v>
      </c>
      <c r="F5" s="214">
        <f>[4]RAB!F6</f>
        <v>0</v>
      </c>
      <c r="H5" s="207"/>
      <c r="I5" s="207"/>
    </row>
    <row r="6" spans="2:16" ht="15.75" x14ac:dyDescent="0.2">
      <c r="B6" s="211"/>
      <c r="C6" s="212"/>
      <c r="D6" s="213"/>
      <c r="E6" s="200"/>
      <c r="F6" s="214">
        <f>[4]RAB!F7</f>
        <v>0</v>
      </c>
      <c r="H6" s="207"/>
      <c r="I6" s="207"/>
    </row>
    <row r="7" spans="2:16" ht="15.75" x14ac:dyDescent="0.2">
      <c r="B7" s="211" t="str">
        <f>[4]RAB!D8</f>
        <v>VOLUME</v>
      </c>
      <c r="C7" s="212"/>
      <c r="D7" s="213"/>
      <c r="E7" s="200" t="str">
        <f>[4]RAB!E8</f>
        <v>:</v>
      </c>
      <c r="F7" s="214">
        <f>[4]RAB!F8</f>
        <v>0</v>
      </c>
      <c r="H7" s="207"/>
      <c r="I7" s="207"/>
    </row>
    <row r="8" spans="2:16" ht="15.75" x14ac:dyDescent="0.2">
      <c r="B8" s="211" t="str">
        <f>[4]RAB!D9</f>
        <v>L O K A S I</v>
      </c>
      <c r="C8" s="212"/>
      <c r="D8" s="213"/>
      <c r="E8" s="200" t="str">
        <f>[4]RAB!E9</f>
        <v>:</v>
      </c>
      <c r="F8" s="214">
        <f>[4]RAB!F9</f>
        <v>0</v>
      </c>
      <c r="H8" s="207"/>
      <c r="I8" s="207"/>
    </row>
    <row r="9" spans="2:16" ht="15.75" x14ac:dyDescent="0.2">
      <c r="B9" s="211" t="str">
        <f>[4]RAB!D10</f>
        <v>KABUPATEN</v>
      </c>
      <c r="C9" s="212"/>
      <c r="D9" s="213"/>
      <c r="E9" s="200" t="str">
        <f>[4]RAB!E10</f>
        <v>:</v>
      </c>
      <c r="F9" s="214">
        <f>[4]RAB!F10</f>
        <v>0</v>
      </c>
      <c r="H9" s="207"/>
      <c r="I9" s="207"/>
    </row>
    <row r="10" spans="2:16" ht="15.75" x14ac:dyDescent="0.2">
      <c r="B10" s="211" t="str">
        <f>[4]RAB!D11</f>
        <v>SUMBER DANA</v>
      </c>
      <c r="C10" s="212"/>
      <c r="D10" s="213"/>
      <c r="E10" s="200" t="str">
        <f>[4]RAB!E11</f>
        <v>:</v>
      </c>
      <c r="F10" s="214">
        <f>[4]RAB!F11</f>
        <v>0</v>
      </c>
      <c r="G10" s="215"/>
      <c r="H10" s="207"/>
      <c r="I10" s="207"/>
    </row>
    <row r="11" spans="2:16" ht="15.75" x14ac:dyDescent="0.2">
      <c r="B11" s="211" t="str">
        <f>[4]RAB!D12</f>
        <v>TAHUN ANGGARAN</v>
      </c>
      <c r="C11" s="212"/>
      <c r="D11" s="213"/>
      <c r="E11" s="200" t="str">
        <f>[4]RAB!E12</f>
        <v>:</v>
      </c>
      <c r="F11" s="214">
        <f>[4]RAB!F12</f>
        <v>2020</v>
      </c>
      <c r="G11" s="215"/>
      <c r="H11" s="207"/>
      <c r="I11" s="207"/>
    </row>
    <row r="12" spans="2:16" x14ac:dyDescent="0.2">
      <c r="C12" s="207"/>
      <c r="D12" s="216"/>
      <c r="E12" s="215"/>
      <c r="F12" s="217"/>
      <c r="G12" s="215"/>
      <c r="H12" s="207"/>
      <c r="I12" s="207"/>
    </row>
    <row r="13" spans="2:16" x14ac:dyDescent="0.2">
      <c r="B13" s="14"/>
      <c r="C13" s="218"/>
      <c r="D13" s="219"/>
      <c r="E13" s="217"/>
      <c r="F13" s="217"/>
      <c r="G13" s="14"/>
      <c r="H13" s="220"/>
      <c r="I13" s="221"/>
      <c r="L13" s="8"/>
      <c r="M13" s="8"/>
      <c r="N13" s="8"/>
      <c r="O13" s="8"/>
      <c r="P13" s="8"/>
    </row>
    <row r="14" spans="2:16" x14ac:dyDescent="0.2">
      <c r="B14" s="14"/>
      <c r="C14" s="218"/>
      <c r="D14" s="222"/>
      <c r="E14" s="223"/>
      <c r="F14" s="217"/>
      <c r="G14" s="14"/>
      <c r="H14" s="220"/>
      <c r="I14" s="224"/>
      <c r="J14" s="220"/>
      <c r="L14" s="8"/>
      <c r="M14" s="8"/>
      <c r="N14" s="8"/>
      <c r="O14" s="8"/>
      <c r="P14" s="8"/>
    </row>
    <row r="15" spans="2:16" x14ac:dyDescent="0.2">
      <c r="B15" s="225" t="s">
        <v>1492</v>
      </c>
      <c r="C15" s="226"/>
      <c r="D15" s="227"/>
      <c r="E15" s="228"/>
      <c r="F15" s="229"/>
      <c r="G15" s="228"/>
      <c r="H15" s="228"/>
      <c r="I15" s="228"/>
    </row>
    <row r="16" spans="2:16" ht="15" thickBot="1" x14ac:dyDescent="0.25">
      <c r="B16" s="230"/>
      <c r="C16" s="226"/>
      <c r="D16" s="227"/>
      <c r="E16" s="228"/>
      <c r="F16" s="229"/>
      <c r="G16" s="228"/>
      <c r="H16" s="228"/>
      <c r="I16" s="228"/>
    </row>
    <row r="17" spans="2:16" ht="15" thickTop="1" x14ac:dyDescent="0.2">
      <c r="B17" s="231"/>
      <c r="C17" s="232"/>
      <c r="D17" s="233"/>
      <c r="E17" s="234"/>
      <c r="F17" s="235"/>
      <c r="G17" s="236"/>
      <c r="H17" s="232"/>
      <c r="I17" s="235"/>
      <c r="J17" s="237"/>
    </row>
    <row r="18" spans="2:16" x14ac:dyDescent="0.2">
      <c r="B18" s="238" t="s">
        <v>261</v>
      </c>
      <c r="C18" s="201"/>
      <c r="D18" s="3540" t="s">
        <v>449</v>
      </c>
      <c r="E18" s="3540"/>
      <c r="F18" s="3541"/>
      <c r="G18" s="239" t="s">
        <v>262</v>
      </c>
      <c r="H18" s="201"/>
      <c r="I18" s="202" t="s">
        <v>263</v>
      </c>
      <c r="J18" s="240" t="s">
        <v>396</v>
      </c>
    </row>
    <row r="19" spans="2:16" ht="15" thickBot="1" x14ac:dyDescent="0.25">
      <c r="B19" s="241"/>
      <c r="C19" s="242"/>
      <c r="D19" s="243"/>
      <c r="E19" s="244"/>
      <c r="F19" s="245"/>
      <c r="G19" s="246"/>
      <c r="H19" s="242"/>
      <c r="I19" s="245"/>
      <c r="J19" s="247"/>
      <c r="L19" s="248"/>
      <c r="M19" s="248"/>
    </row>
    <row r="20" spans="2:16" ht="15" thickTop="1" x14ac:dyDescent="0.2">
      <c r="B20" s="249"/>
      <c r="C20" s="250"/>
      <c r="D20" s="219"/>
      <c r="E20" s="217"/>
      <c r="F20" s="251"/>
      <c r="G20" s="252"/>
      <c r="H20" s="253"/>
      <c r="I20" s="254"/>
      <c r="J20" s="255"/>
      <c r="L20" s="256"/>
      <c r="M20" s="256"/>
      <c r="N20" s="257" t="s">
        <v>111</v>
      </c>
      <c r="O20" s="257" t="s">
        <v>112</v>
      </c>
      <c r="P20" s="257" t="s">
        <v>113</v>
      </c>
    </row>
    <row r="21" spans="2:16" x14ac:dyDescent="0.2">
      <c r="B21" s="258">
        <v>1</v>
      </c>
      <c r="C21" s="259"/>
      <c r="D21" s="260" t="s">
        <v>632</v>
      </c>
      <c r="E21" s="261"/>
      <c r="F21" s="262"/>
      <c r="G21" s="263" t="s">
        <v>291</v>
      </c>
      <c r="H21" s="264"/>
      <c r="I21" s="265">
        <f>N21</f>
        <v>113000</v>
      </c>
      <c r="J21" s="266"/>
      <c r="L21" s="8"/>
      <c r="M21" s="8"/>
      <c r="N21" s="267">
        <f>'[4]Usulan 2021'!I18</f>
        <v>113000</v>
      </c>
      <c r="O21" s="8">
        <f>'[4]Usulan 2021'!J18</f>
        <v>113000</v>
      </c>
      <c r="P21" s="8">
        <f>'[4]Usulan 2021'!K18</f>
        <v>113000</v>
      </c>
    </row>
    <row r="22" spans="2:16" x14ac:dyDescent="0.2">
      <c r="B22" s="258">
        <f>B21+1</f>
        <v>2</v>
      </c>
      <c r="C22" s="268"/>
      <c r="D22" s="269" t="s">
        <v>5</v>
      </c>
      <c r="E22" s="270"/>
      <c r="F22" s="271"/>
      <c r="G22" s="263" t="s">
        <v>291</v>
      </c>
      <c r="H22" s="272"/>
      <c r="I22" s="265">
        <f t="shared" ref="I22:I56" si="0">N22</f>
        <v>82200</v>
      </c>
      <c r="J22" s="273"/>
      <c r="L22" s="8"/>
      <c r="M22" s="8"/>
      <c r="N22" s="267">
        <v>82200</v>
      </c>
      <c r="O22" s="8">
        <f>'[4]Usulan 2021'!J19</f>
        <v>82000</v>
      </c>
      <c r="P22" s="8">
        <f>'[4]Usulan 2021'!K19</f>
        <v>82000</v>
      </c>
    </row>
    <row r="23" spans="2:16" x14ac:dyDescent="0.2">
      <c r="B23" s="258">
        <f t="shared" ref="B23:B56" si="1">B22+1</f>
        <v>3</v>
      </c>
      <c r="C23" s="268"/>
      <c r="D23" s="269" t="s">
        <v>187</v>
      </c>
      <c r="E23" s="270"/>
      <c r="F23" s="271"/>
      <c r="G23" s="263" t="s">
        <v>291</v>
      </c>
      <c r="H23" s="272"/>
      <c r="I23" s="265">
        <f t="shared" si="0"/>
        <v>82200</v>
      </c>
      <c r="J23" s="273"/>
      <c r="L23" s="8"/>
      <c r="M23" s="8"/>
      <c r="N23" s="267">
        <v>82200</v>
      </c>
      <c r="O23" s="8">
        <f>'[4]Usulan 2021'!J20</f>
        <v>82000</v>
      </c>
      <c r="P23" s="8">
        <f>'[4]Usulan 2021'!K20</f>
        <v>82000</v>
      </c>
    </row>
    <row r="24" spans="2:16" x14ac:dyDescent="0.2">
      <c r="B24" s="258">
        <f t="shared" si="1"/>
        <v>4</v>
      </c>
      <c r="C24" s="268"/>
      <c r="D24" s="269" t="s">
        <v>6</v>
      </c>
      <c r="E24" s="270"/>
      <c r="F24" s="271"/>
      <c r="G24" s="263" t="s">
        <v>291</v>
      </c>
      <c r="H24" s="272"/>
      <c r="I24" s="265">
        <f t="shared" si="0"/>
        <v>82200</v>
      </c>
      <c r="J24" s="273"/>
      <c r="L24" s="8"/>
      <c r="M24" s="8"/>
      <c r="N24" s="267">
        <v>82200</v>
      </c>
      <c r="O24" s="8">
        <f>'[4]Usulan 2021'!J21</f>
        <v>82000</v>
      </c>
      <c r="P24" s="8">
        <f>'[4]Usulan 2021'!K21</f>
        <v>82000</v>
      </c>
    </row>
    <row r="25" spans="2:16" x14ac:dyDescent="0.2">
      <c r="B25" s="258">
        <f t="shared" si="1"/>
        <v>5</v>
      </c>
      <c r="C25" s="268"/>
      <c r="D25" s="260" t="s">
        <v>544</v>
      </c>
      <c r="E25" s="261"/>
      <c r="F25" s="262"/>
      <c r="G25" s="263" t="s">
        <v>291</v>
      </c>
      <c r="H25" s="264"/>
      <c r="I25" s="265">
        <f t="shared" si="0"/>
        <v>82200</v>
      </c>
      <c r="J25" s="266"/>
      <c r="L25" s="8"/>
      <c r="M25" s="8"/>
      <c r="N25" s="267">
        <v>82200</v>
      </c>
      <c r="O25" s="8">
        <f>'[4]Usulan 2021'!J22</f>
        <v>82000</v>
      </c>
      <c r="P25" s="8">
        <f>'[4]Usulan 2021'!K22</f>
        <v>82000</v>
      </c>
    </row>
    <row r="26" spans="2:16" x14ac:dyDescent="0.2">
      <c r="B26" s="258">
        <f t="shared" si="1"/>
        <v>6</v>
      </c>
      <c r="C26" s="268"/>
      <c r="D26" s="260" t="s">
        <v>545</v>
      </c>
      <c r="E26" s="261"/>
      <c r="F26" s="262"/>
      <c r="G26" s="263" t="s">
        <v>291</v>
      </c>
      <c r="H26" s="264"/>
      <c r="I26" s="265">
        <f t="shared" si="0"/>
        <v>161000</v>
      </c>
      <c r="J26" s="266"/>
      <c r="L26" s="8"/>
      <c r="M26" s="8"/>
      <c r="N26" s="267">
        <f>'[4]Usulan 2021'!I23</f>
        <v>161000</v>
      </c>
      <c r="O26" s="8">
        <f>'[4]Usulan 2021'!J23</f>
        <v>161000</v>
      </c>
      <c r="P26" s="8">
        <f>'[4]Usulan 2021'!K23</f>
        <v>161000</v>
      </c>
    </row>
    <row r="27" spans="2:16" x14ac:dyDescent="0.2">
      <c r="B27" s="258">
        <f t="shared" si="1"/>
        <v>7</v>
      </c>
      <c r="C27" s="268"/>
      <c r="D27" s="274" t="s">
        <v>614</v>
      </c>
      <c r="E27" s="275"/>
      <c r="F27" s="276"/>
      <c r="G27" s="263" t="s">
        <v>291</v>
      </c>
      <c r="H27" s="277"/>
      <c r="I27" s="265">
        <f t="shared" si="0"/>
        <v>201000</v>
      </c>
      <c r="J27" s="278"/>
      <c r="L27" s="8"/>
      <c r="M27" s="8"/>
      <c r="N27" s="267">
        <f>'[4]Usulan 2021'!I24</f>
        <v>201000</v>
      </c>
      <c r="O27" s="8">
        <f>'[4]Usulan 2021'!J24</f>
        <v>201000</v>
      </c>
      <c r="P27" s="8">
        <f>'[4]Usulan 2021'!K24</f>
        <v>201000</v>
      </c>
    </row>
    <row r="28" spans="2:16" x14ac:dyDescent="0.2">
      <c r="B28" s="258">
        <f t="shared" si="1"/>
        <v>8</v>
      </c>
      <c r="C28" s="268"/>
      <c r="D28" s="269" t="s">
        <v>7</v>
      </c>
      <c r="E28" s="270"/>
      <c r="F28" s="271"/>
      <c r="G28" s="263" t="s">
        <v>291</v>
      </c>
      <c r="H28" s="272"/>
      <c r="I28" s="265">
        <f t="shared" si="0"/>
        <v>96000</v>
      </c>
      <c r="J28" s="273"/>
      <c r="L28" s="8"/>
      <c r="M28" s="8"/>
      <c r="N28" s="267">
        <f>'[4]Usulan 2021'!I25</f>
        <v>96000</v>
      </c>
      <c r="O28" s="8">
        <f>'[4]Usulan 2021'!J25</f>
        <v>96000</v>
      </c>
      <c r="P28" s="8">
        <f>'[4]Usulan 2021'!K25</f>
        <v>96000</v>
      </c>
    </row>
    <row r="29" spans="2:16" x14ac:dyDescent="0.2">
      <c r="B29" s="258">
        <f t="shared" si="1"/>
        <v>9</v>
      </c>
      <c r="C29" s="268"/>
      <c r="D29" s="269" t="s">
        <v>8</v>
      </c>
      <c r="E29" s="270"/>
      <c r="F29" s="271"/>
      <c r="G29" s="263" t="s">
        <v>291</v>
      </c>
      <c r="H29" s="272"/>
      <c r="I29" s="265">
        <f t="shared" si="0"/>
        <v>96000</v>
      </c>
      <c r="J29" s="273"/>
      <c r="L29" s="8"/>
      <c r="M29" s="8"/>
      <c r="N29" s="267">
        <f>'[4]Usulan 2021'!I26</f>
        <v>96000</v>
      </c>
      <c r="O29" s="8">
        <f>'[4]Usulan 2021'!J26</f>
        <v>96000</v>
      </c>
      <c r="P29" s="8">
        <f>'[4]Usulan 2021'!K26</f>
        <v>96000</v>
      </c>
    </row>
    <row r="30" spans="2:16" x14ac:dyDescent="0.2">
      <c r="B30" s="258">
        <f t="shared" si="1"/>
        <v>10</v>
      </c>
      <c r="C30" s="268"/>
      <c r="D30" s="269" t="s">
        <v>9</v>
      </c>
      <c r="E30" s="270"/>
      <c r="F30" s="271"/>
      <c r="G30" s="263" t="s">
        <v>291</v>
      </c>
      <c r="H30" s="272"/>
      <c r="I30" s="265">
        <f t="shared" si="0"/>
        <v>96000</v>
      </c>
      <c r="J30" s="273"/>
      <c r="L30" s="8"/>
      <c r="M30" s="8"/>
      <c r="N30" s="267">
        <f>'[4]Usulan 2021'!I27</f>
        <v>96000</v>
      </c>
      <c r="O30" s="8">
        <f>'[4]Usulan 2021'!J27</f>
        <v>96000</v>
      </c>
      <c r="P30" s="8">
        <f>'[4]Usulan 2021'!K27</f>
        <v>96000</v>
      </c>
    </row>
    <row r="31" spans="2:16" x14ac:dyDescent="0.2">
      <c r="B31" s="258">
        <f t="shared" si="1"/>
        <v>11</v>
      </c>
      <c r="C31" s="268"/>
      <c r="D31" s="269" t="s">
        <v>10</v>
      </c>
      <c r="E31" s="270"/>
      <c r="F31" s="271"/>
      <c r="G31" s="263" t="s">
        <v>291</v>
      </c>
      <c r="H31" s="272"/>
      <c r="I31" s="265">
        <f t="shared" si="0"/>
        <v>96000</v>
      </c>
      <c r="J31" s="273"/>
      <c r="L31" s="8"/>
      <c r="M31" s="8"/>
      <c r="N31" s="267">
        <f>'[4]Usulan 2021'!I28</f>
        <v>96000</v>
      </c>
      <c r="O31" s="8">
        <f>'[4]Usulan 2021'!J28</f>
        <v>96000</v>
      </c>
      <c r="P31" s="8">
        <f>'[4]Usulan 2021'!K28</f>
        <v>96000</v>
      </c>
    </row>
    <row r="32" spans="2:16" x14ac:dyDescent="0.2">
      <c r="B32" s="258">
        <f t="shared" si="1"/>
        <v>12</v>
      </c>
      <c r="C32" s="268"/>
      <c r="D32" s="269" t="s">
        <v>11</v>
      </c>
      <c r="E32" s="270"/>
      <c r="F32" s="271"/>
      <c r="G32" s="263" t="s">
        <v>291</v>
      </c>
      <c r="H32" s="272"/>
      <c r="I32" s="265">
        <f t="shared" si="0"/>
        <v>96000</v>
      </c>
      <c r="J32" s="273"/>
      <c r="L32" s="8"/>
      <c r="M32" s="8"/>
      <c r="N32" s="267">
        <f>'[4]Usulan 2021'!I29</f>
        <v>96000</v>
      </c>
      <c r="O32" s="8">
        <f>'[4]Usulan 2021'!J29</f>
        <v>96000</v>
      </c>
      <c r="P32" s="8">
        <f>'[4]Usulan 2021'!K29</f>
        <v>96000</v>
      </c>
    </row>
    <row r="33" spans="2:16" x14ac:dyDescent="0.2">
      <c r="B33" s="258">
        <f t="shared" si="1"/>
        <v>13</v>
      </c>
      <c r="C33" s="268"/>
      <c r="D33" s="260" t="s">
        <v>633</v>
      </c>
      <c r="E33" s="261"/>
      <c r="F33" s="262"/>
      <c r="G33" s="263" t="s">
        <v>291</v>
      </c>
      <c r="H33" s="264"/>
      <c r="I33" s="265">
        <f t="shared" si="0"/>
        <v>196000</v>
      </c>
      <c r="J33" s="266"/>
      <c r="L33" s="8"/>
      <c r="M33" s="8"/>
      <c r="N33" s="267">
        <f>'[4]Usulan 2021'!I30</f>
        <v>196000</v>
      </c>
      <c r="O33" s="8">
        <f>'[4]Usulan 2021'!J30</f>
        <v>196000</v>
      </c>
      <c r="P33" s="8">
        <f>'[4]Usulan 2021'!K30</f>
        <v>196000</v>
      </c>
    </row>
    <row r="34" spans="2:16" x14ac:dyDescent="0.2">
      <c r="B34" s="258">
        <f t="shared" si="1"/>
        <v>14</v>
      </c>
      <c r="C34" s="268"/>
      <c r="D34" s="269" t="s">
        <v>290</v>
      </c>
      <c r="E34" s="270"/>
      <c r="F34" s="271"/>
      <c r="G34" s="263" t="s">
        <v>291</v>
      </c>
      <c r="H34" s="272"/>
      <c r="I34" s="265">
        <f t="shared" si="0"/>
        <v>86000</v>
      </c>
      <c r="J34" s="273"/>
      <c r="L34" s="8"/>
      <c r="M34" s="8"/>
      <c r="N34" s="267">
        <f>'[4]Usulan 2021'!I31</f>
        <v>86000</v>
      </c>
      <c r="O34" s="8">
        <f>'[4]Usulan 2021'!J31</f>
        <v>86000</v>
      </c>
      <c r="P34" s="8">
        <f>'[4]Usulan 2021'!K31</f>
        <v>86000</v>
      </c>
    </row>
    <row r="35" spans="2:16" x14ac:dyDescent="0.2">
      <c r="B35" s="258">
        <f t="shared" si="1"/>
        <v>15</v>
      </c>
      <c r="C35" s="268"/>
      <c r="D35" s="269" t="s">
        <v>559</v>
      </c>
      <c r="E35" s="270"/>
      <c r="F35" s="271"/>
      <c r="G35" s="263" t="s">
        <v>291</v>
      </c>
      <c r="H35" s="272"/>
      <c r="I35" s="265">
        <f t="shared" si="0"/>
        <v>86000</v>
      </c>
      <c r="J35" s="273"/>
      <c r="L35" s="8"/>
      <c r="M35" s="8"/>
      <c r="N35" s="267">
        <f>'[4]Usulan 2021'!I32</f>
        <v>86000</v>
      </c>
      <c r="O35" s="8">
        <f>'[4]Usulan 2021'!J32</f>
        <v>86000</v>
      </c>
      <c r="P35" s="8">
        <f>'[4]Usulan 2021'!K32</f>
        <v>86000</v>
      </c>
    </row>
    <row r="36" spans="2:16" x14ac:dyDescent="0.2">
      <c r="B36" s="258">
        <f t="shared" si="1"/>
        <v>16</v>
      </c>
      <c r="C36" s="268"/>
      <c r="D36" s="260" t="s">
        <v>557</v>
      </c>
      <c r="E36" s="261"/>
      <c r="F36" s="262"/>
      <c r="G36" s="263" t="s">
        <v>291</v>
      </c>
      <c r="H36" s="264"/>
      <c r="I36" s="265">
        <f t="shared" si="0"/>
        <v>86000</v>
      </c>
      <c r="J36" s="266"/>
      <c r="L36" s="8"/>
      <c r="M36" s="8"/>
      <c r="N36" s="267">
        <f>'[4]Usulan 2021'!I33</f>
        <v>86000</v>
      </c>
      <c r="O36" s="8">
        <f>'[4]Usulan 2021'!J33</f>
        <v>86000</v>
      </c>
      <c r="P36" s="8">
        <f>'[4]Usulan 2021'!K33</f>
        <v>86000</v>
      </c>
    </row>
    <row r="37" spans="2:16" x14ac:dyDescent="0.2">
      <c r="B37" s="258">
        <f t="shared" si="1"/>
        <v>17</v>
      </c>
      <c r="C37" s="268"/>
      <c r="D37" s="260" t="s">
        <v>13</v>
      </c>
      <c r="E37" s="261"/>
      <c r="F37" s="262"/>
      <c r="G37" s="263" t="s">
        <v>291</v>
      </c>
      <c r="H37" s="264"/>
      <c r="I37" s="265">
        <f t="shared" si="0"/>
        <v>86000</v>
      </c>
      <c r="J37" s="266"/>
      <c r="L37" s="8"/>
      <c r="M37" s="8"/>
      <c r="N37" s="267">
        <f>'[4]Usulan 2021'!I34</f>
        <v>86000</v>
      </c>
      <c r="O37" s="8">
        <f>'[4]Usulan 2021'!J34</f>
        <v>86000</v>
      </c>
      <c r="P37" s="8">
        <f>'[4]Usulan 2021'!K34</f>
        <v>86000</v>
      </c>
    </row>
    <row r="38" spans="2:16" x14ac:dyDescent="0.2">
      <c r="B38" s="258">
        <f t="shared" si="1"/>
        <v>18</v>
      </c>
      <c r="C38" s="268"/>
      <c r="D38" s="260" t="s">
        <v>619</v>
      </c>
      <c r="E38" s="261"/>
      <c r="F38" s="262"/>
      <c r="G38" s="263" t="s">
        <v>291</v>
      </c>
      <c r="H38" s="264"/>
      <c r="I38" s="265">
        <f t="shared" si="0"/>
        <v>86000</v>
      </c>
      <c r="J38" s="266"/>
      <c r="L38" s="8"/>
      <c r="M38" s="8"/>
      <c r="N38" s="267">
        <f>'[4]Usulan 2021'!I35</f>
        <v>86000</v>
      </c>
      <c r="O38" s="8">
        <f>'[4]Usulan 2021'!J35</f>
        <v>86000</v>
      </c>
      <c r="P38" s="8">
        <f>'[4]Usulan 2021'!K35</f>
        <v>86000</v>
      </c>
    </row>
    <row r="39" spans="2:16" x14ac:dyDescent="0.2">
      <c r="B39" s="258">
        <f t="shared" si="1"/>
        <v>19</v>
      </c>
      <c r="C39" s="268"/>
      <c r="D39" s="279" t="s">
        <v>14</v>
      </c>
      <c r="E39" s="261"/>
      <c r="F39" s="262"/>
      <c r="G39" s="263" t="s">
        <v>291</v>
      </c>
      <c r="H39" s="264"/>
      <c r="I39" s="265">
        <f t="shared" si="0"/>
        <v>82200</v>
      </c>
      <c r="J39" s="266"/>
      <c r="L39" s="8"/>
      <c r="M39" s="8"/>
      <c r="N39" s="267">
        <v>82200</v>
      </c>
      <c r="O39" s="8">
        <f>'[4]Usulan 2021'!J36</f>
        <v>82000</v>
      </c>
      <c r="P39" s="8">
        <f>'[4]Usulan 2021'!K36</f>
        <v>82000</v>
      </c>
    </row>
    <row r="40" spans="2:16" x14ac:dyDescent="0.2">
      <c r="B40" s="258">
        <f t="shared" si="1"/>
        <v>20</v>
      </c>
      <c r="C40" s="268"/>
      <c r="D40" s="279" t="s">
        <v>15</v>
      </c>
      <c r="E40" s="261"/>
      <c r="F40" s="262"/>
      <c r="G40" s="263" t="s">
        <v>291</v>
      </c>
      <c r="H40" s="264"/>
      <c r="I40" s="265">
        <f t="shared" si="0"/>
        <v>86000</v>
      </c>
      <c r="J40" s="266"/>
      <c r="L40" s="8"/>
      <c r="M40" s="8"/>
      <c r="N40" s="267">
        <f>'[4]Usulan 2021'!I37</f>
        <v>86000</v>
      </c>
      <c r="O40" s="8">
        <f>'[4]Usulan 2021'!J37</f>
        <v>86000</v>
      </c>
      <c r="P40" s="8">
        <f>'[4]Usulan 2021'!K37</f>
        <v>86000</v>
      </c>
    </row>
    <row r="41" spans="2:16" x14ac:dyDescent="0.2">
      <c r="B41" s="258">
        <f t="shared" si="1"/>
        <v>21</v>
      </c>
      <c r="C41" s="268"/>
      <c r="D41" s="260" t="s">
        <v>115</v>
      </c>
      <c r="E41" s="261"/>
      <c r="F41" s="262"/>
      <c r="G41" s="263" t="s">
        <v>291</v>
      </c>
      <c r="H41" s="264"/>
      <c r="I41" s="265">
        <f t="shared" si="0"/>
        <v>174000</v>
      </c>
      <c r="J41" s="266"/>
      <c r="L41" s="8"/>
      <c r="M41" s="8"/>
      <c r="N41" s="267">
        <f>'[4]Usulan 2021'!I38</f>
        <v>174000</v>
      </c>
      <c r="O41" s="8">
        <f>'[4]Usulan 2021'!J38</f>
        <v>174000</v>
      </c>
      <c r="P41" s="8">
        <f>'[4]Usulan 2021'!K38</f>
        <v>174000</v>
      </c>
    </row>
    <row r="42" spans="2:16" x14ac:dyDescent="0.2">
      <c r="B42" s="258">
        <f t="shared" si="1"/>
        <v>22</v>
      </c>
      <c r="C42" s="268"/>
      <c r="D42" s="269" t="s">
        <v>558</v>
      </c>
      <c r="E42" s="270"/>
      <c r="F42" s="271"/>
      <c r="G42" s="263" t="s">
        <v>291</v>
      </c>
      <c r="H42" s="272"/>
      <c r="I42" s="265">
        <f t="shared" si="0"/>
        <v>82200</v>
      </c>
      <c r="J42" s="273"/>
      <c r="L42" s="8"/>
      <c r="M42" s="8"/>
      <c r="N42" s="267">
        <v>82200</v>
      </c>
      <c r="O42" s="8">
        <f>'[4]Usulan 2021'!J39</f>
        <v>82000</v>
      </c>
      <c r="P42" s="8">
        <f>'[4]Usulan 2021'!K39</f>
        <v>82000</v>
      </c>
    </row>
    <row r="43" spans="2:16" x14ac:dyDescent="0.2">
      <c r="B43" s="258">
        <f t="shared" si="1"/>
        <v>23</v>
      </c>
      <c r="C43" s="268"/>
      <c r="D43" s="269" t="s">
        <v>16</v>
      </c>
      <c r="E43" s="270"/>
      <c r="F43" s="271"/>
      <c r="G43" s="263" t="s">
        <v>291</v>
      </c>
      <c r="H43" s="272"/>
      <c r="I43" s="265">
        <f t="shared" si="0"/>
        <v>82200</v>
      </c>
      <c r="J43" s="273"/>
      <c r="L43" s="8"/>
      <c r="M43" s="8"/>
      <c r="N43" s="267">
        <v>82200</v>
      </c>
      <c r="O43" s="8">
        <f>'[4]Usulan 2021'!J40</f>
        <v>82000</v>
      </c>
      <c r="P43" s="8">
        <f>'[4]Usulan 2021'!K40</f>
        <v>82000</v>
      </c>
    </row>
    <row r="44" spans="2:16" x14ac:dyDescent="0.2">
      <c r="B44" s="258">
        <f t="shared" si="1"/>
        <v>24</v>
      </c>
      <c r="C44" s="268"/>
      <c r="D44" s="269" t="s">
        <v>546</v>
      </c>
      <c r="E44" s="270"/>
      <c r="F44" s="271"/>
      <c r="G44" s="263" t="s">
        <v>291</v>
      </c>
      <c r="H44" s="272"/>
      <c r="I44" s="265">
        <f t="shared" si="0"/>
        <v>82200</v>
      </c>
      <c r="J44" s="273"/>
      <c r="L44" s="8"/>
      <c r="M44" s="8"/>
      <c r="N44" s="267">
        <v>82200</v>
      </c>
      <c r="O44" s="8">
        <f>'[4]Usulan 2021'!J41</f>
        <v>82000</v>
      </c>
      <c r="P44" s="8">
        <f>'[4]Usulan 2021'!K41</f>
        <v>82000</v>
      </c>
    </row>
    <row r="45" spans="2:16" x14ac:dyDescent="0.2">
      <c r="B45" s="258">
        <f t="shared" si="1"/>
        <v>25</v>
      </c>
      <c r="C45" s="268"/>
      <c r="D45" s="269" t="s">
        <v>18</v>
      </c>
      <c r="E45" s="270"/>
      <c r="F45" s="271"/>
      <c r="G45" s="263" t="s">
        <v>291</v>
      </c>
      <c r="H45" s="272"/>
      <c r="I45" s="265">
        <f t="shared" si="0"/>
        <v>82200</v>
      </c>
      <c r="J45" s="273"/>
      <c r="L45" s="8"/>
      <c r="M45" s="8"/>
      <c r="N45" s="267">
        <v>82200</v>
      </c>
      <c r="O45" s="8">
        <f>'[4]Usulan 2021'!J42</f>
        <v>82000</v>
      </c>
      <c r="P45" s="8">
        <f>'[4]Usulan 2021'!K42</f>
        <v>82000</v>
      </c>
    </row>
    <row r="46" spans="2:16" x14ac:dyDescent="0.2">
      <c r="B46" s="258">
        <f t="shared" si="1"/>
        <v>26</v>
      </c>
      <c r="C46" s="268"/>
      <c r="D46" s="269" t="s">
        <v>17</v>
      </c>
      <c r="E46" s="270"/>
      <c r="F46" s="271"/>
      <c r="G46" s="263" t="s">
        <v>291</v>
      </c>
      <c r="H46" s="272"/>
      <c r="I46" s="265">
        <f t="shared" si="0"/>
        <v>82200</v>
      </c>
      <c r="J46" s="273"/>
      <c r="L46" s="8"/>
      <c r="M46" s="8"/>
      <c r="N46" s="267">
        <v>82200</v>
      </c>
      <c r="O46" s="8">
        <f>'[4]Usulan 2021'!J43</f>
        <v>82000</v>
      </c>
      <c r="P46" s="8">
        <f>'[4]Usulan 2021'!K43</f>
        <v>82000</v>
      </c>
    </row>
    <row r="47" spans="2:16" x14ac:dyDescent="0.2">
      <c r="B47" s="258">
        <f t="shared" si="1"/>
        <v>27</v>
      </c>
      <c r="C47" s="268"/>
      <c r="D47" s="269" t="s">
        <v>370</v>
      </c>
      <c r="E47" s="270"/>
      <c r="F47" s="271"/>
      <c r="G47" s="263" t="s">
        <v>291</v>
      </c>
      <c r="H47" s="272"/>
      <c r="I47" s="265">
        <f t="shared" si="0"/>
        <v>86000</v>
      </c>
      <c r="J47" s="273"/>
      <c r="L47" s="8"/>
      <c r="M47" s="8"/>
      <c r="N47" s="267">
        <f>'[4]Usulan 2021'!I44</f>
        <v>86000</v>
      </c>
      <c r="O47" s="8">
        <f>'[4]Usulan 2021'!J44</f>
        <v>86000</v>
      </c>
      <c r="P47" s="8">
        <f>'[4]Usulan 2021'!K44</f>
        <v>86000</v>
      </c>
    </row>
    <row r="48" spans="2:16" x14ac:dyDescent="0.2">
      <c r="B48" s="258">
        <f t="shared" si="1"/>
        <v>28</v>
      </c>
      <c r="C48" s="268"/>
      <c r="D48" s="269" t="s">
        <v>249</v>
      </c>
      <c r="E48" s="270"/>
      <c r="F48" s="271"/>
      <c r="G48" s="263" t="s">
        <v>291</v>
      </c>
      <c r="H48" s="272"/>
      <c r="I48" s="265">
        <f t="shared" si="0"/>
        <v>86000</v>
      </c>
      <c r="J48" s="273"/>
      <c r="L48" s="8"/>
      <c r="M48" s="8"/>
      <c r="N48" s="267">
        <f>'[4]Usulan 2021'!I45</f>
        <v>86000</v>
      </c>
      <c r="O48" s="8">
        <f>'[4]Usulan 2021'!J45</f>
        <v>86000</v>
      </c>
      <c r="P48" s="8">
        <f>'[4]Usulan 2021'!K45</f>
        <v>86000</v>
      </c>
    </row>
    <row r="49" spans="2:16" x14ac:dyDescent="0.2">
      <c r="B49" s="258">
        <f t="shared" si="1"/>
        <v>29</v>
      </c>
      <c r="C49" s="268"/>
      <c r="D49" s="269" t="s">
        <v>371</v>
      </c>
      <c r="E49" s="270"/>
      <c r="F49" s="271"/>
      <c r="G49" s="263" t="s">
        <v>291</v>
      </c>
      <c r="H49" s="272"/>
      <c r="I49" s="265">
        <f t="shared" si="0"/>
        <v>86000</v>
      </c>
      <c r="J49" s="273"/>
      <c r="L49" s="8"/>
      <c r="M49" s="8"/>
      <c r="N49" s="267">
        <f>'[4]Usulan 2021'!I46</f>
        <v>86000</v>
      </c>
      <c r="O49" s="8">
        <f>'[4]Usulan 2021'!J46</f>
        <v>86000</v>
      </c>
      <c r="P49" s="8">
        <f>'[4]Usulan 2021'!K46</f>
        <v>86000</v>
      </c>
    </row>
    <row r="50" spans="2:16" x14ac:dyDescent="0.2">
      <c r="B50" s="258">
        <f t="shared" si="1"/>
        <v>30</v>
      </c>
      <c r="C50" s="268"/>
      <c r="D50" s="280" t="s">
        <v>1358</v>
      </c>
      <c r="E50" s="270"/>
      <c r="F50" s="271"/>
      <c r="G50" s="263" t="s">
        <v>291</v>
      </c>
      <c r="H50" s="272"/>
      <c r="I50" s="281">
        <f t="shared" si="0"/>
        <v>86000</v>
      </c>
      <c r="J50" s="273"/>
      <c r="L50" s="8"/>
      <c r="M50" s="8"/>
      <c r="N50" s="267">
        <f>'[4]Usulan 2021'!I47</f>
        <v>86000</v>
      </c>
      <c r="O50" s="8"/>
      <c r="P50" s="8"/>
    </row>
    <row r="51" spans="2:16" x14ac:dyDescent="0.2">
      <c r="B51" s="258">
        <f t="shared" si="1"/>
        <v>31</v>
      </c>
      <c r="C51" s="268"/>
      <c r="D51" s="269" t="s">
        <v>19</v>
      </c>
      <c r="E51" s="270"/>
      <c r="F51" s="271"/>
      <c r="G51" s="263" t="s">
        <v>291</v>
      </c>
      <c r="H51" s="272"/>
      <c r="I51" s="265">
        <f t="shared" si="0"/>
        <v>86000</v>
      </c>
      <c r="J51" s="273"/>
      <c r="L51" s="8"/>
      <c r="M51" s="8"/>
      <c r="N51" s="267">
        <f>'[4]Usulan 2021'!I48</f>
        <v>86000</v>
      </c>
      <c r="O51" s="8">
        <f>'[4]Usulan 2021'!J48</f>
        <v>86000</v>
      </c>
      <c r="P51" s="8">
        <f>'[4]Usulan 2021'!K48</f>
        <v>86000</v>
      </c>
    </row>
    <row r="52" spans="2:16" x14ac:dyDescent="0.2">
      <c r="B52" s="258">
        <f t="shared" si="1"/>
        <v>32</v>
      </c>
      <c r="C52" s="268"/>
      <c r="D52" s="269" t="s">
        <v>334</v>
      </c>
      <c r="E52" s="270"/>
      <c r="F52" s="271"/>
      <c r="G52" s="263" t="s">
        <v>291</v>
      </c>
      <c r="H52" s="272"/>
      <c r="I52" s="265">
        <f t="shared" si="0"/>
        <v>88000</v>
      </c>
      <c r="J52" s="273"/>
      <c r="L52" s="8"/>
      <c r="M52" s="8"/>
      <c r="N52" s="267">
        <f>'[4]Usulan 2021'!I49</f>
        <v>88000</v>
      </c>
      <c r="O52" s="8">
        <f>'[4]Usulan 2021'!J49</f>
        <v>88000</v>
      </c>
      <c r="P52" s="8">
        <f>'[4]Usulan 2021'!K49</f>
        <v>88000</v>
      </c>
    </row>
    <row r="53" spans="2:16" x14ac:dyDescent="0.2">
      <c r="B53" s="258">
        <f t="shared" si="1"/>
        <v>33</v>
      </c>
      <c r="C53" s="268"/>
      <c r="D53" s="269" t="s">
        <v>248</v>
      </c>
      <c r="E53" s="270"/>
      <c r="F53" s="271"/>
      <c r="G53" s="263" t="s">
        <v>291</v>
      </c>
      <c r="H53" s="272"/>
      <c r="I53" s="265">
        <f t="shared" si="0"/>
        <v>86000</v>
      </c>
      <c r="J53" s="273"/>
      <c r="L53" s="8"/>
      <c r="M53" s="8"/>
      <c r="N53" s="267">
        <f>'[4]Usulan 2021'!I50</f>
        <v>86000</v>
      </c>
      <c r="O53" s="8">
        <f>'[4]Usulan 2021'!J50</f>
        <v>86000</v>
      </c>
      <c r="P53" s="8">
        <f>'[4]Usulan 2021'!K50</f>
        <v>86000</v>
      </c>
    </row>
    <row r="54" spans="2:16" x14ac:dyDescent="0.2">
      <c r="B54" s="258">
        <f t="shared" si="1"/>
        <v>34</v>
      </c>
      <c r="C54" s="268"/>
      <c r="D54" s="269" t="s">
        <v>20</v>
      </c>
      <c r="E54" s="270"/>
      <c r="F54" s="271"/>
      <c r="G54" s="263" t="s">
        <v>291</v>
      </c>
      <c r="H54" s="272"/>
      <c r="I54" s="265">
        <f t="shared" si="0"/>
        <v>86000</v>
      </c>
      <c r="J54" s="273"/>
      <c r="L54" s="8"/>
      <c r="M54" s="8"/>
      <c r="N54" s="267">
        <f>'[4]Usulan 2021'!I51</f>
        <v>86000</v>
      </c>
      <c r="O54" s="8">
        <f>'[4]Usulan 2021'!J51</f>
        <v>86000</v>
      </c>
      <c r="P54" s="8">
        <f>'[4]Usulan 2021'!K51</f>
        <v>86000</v>
      </c>
    </row>
    <row r="55" spans="2:16" x14ac:dyDescent="0.2">
      <c r="B55" s="258">
        <f t="shared" si="1"/>
        <v>35</v>
      </c>
      <c r="C55" s="268"/>
      <c r="D55" s="282" t="s">
        <v>116</v>
      </c>
      <c r="E55" s="283"/>
      <c r="F55" s="284"/>
      <c r="G55" s="263" t="s">
        <v>291</v>
      </c>
      <c r="H55" s="285"/>
      <c r="I55" s="265">
        <f t="shared" si="0"/>
        <v>86000</v>
      </c>
      <c r="J55" s="286"/>
      <c r="L55" s="8"/>
      <c r="M55" s="8"/>
      <c r="N55" s="267">
        <f>'[4]Usulan 2021'!I52</f>
        <v>86000</v>
      </c>
      <c r="O55" s="8">
        <f>'[4]Usulan 2021'!J52</f>
        <v>86000</v>
      </c>
      <c r="P55" s="8">
        <f>'[4]Usulan 2021'!K52</f>
        <v>86000</v>
      </c>
    </row>
    <row r="56" spans="2:16" x14ac:dyDescent="0.2">
      <c r="B56" s="258">
        <f t="shared" si="1"/>
        <v>36</v>
      </c>
      <c r="C56" s="268"/>
      <c r="D56" s="269" t="s">
        <v>825</v>
      </c>
      <c r="E56" s="270"/>
      <c r="F56" s="271"/>
      <c r="G56" s="263" t="s">
        <v>291</v>
      </c>
      <c r="H56" s="272"/>
      <c r="I56" s="265">
        <f t="shared" si="0"/>
        <v>86000</v>
      </c>
      <c r="J56" s="273"/>
      <c r="L56" s="8"/>
      <c r="M56" s="8"/>
      <c r="N56" s="267">
        <f>'[4]Usulan 2021'!I53</f>
        <v>86000</v>
      </c>
      <c r="O56" s="8">
        <f>'[4]Usulan 2021'!J53</f>
        <v>86000</v>
      </c>
      <c r="P56" s="8">
        <f>'[4]Usulan 2021'!K53</f>
        <v>86000</v>
      </c>
    </row>
    <row r="57" spans="2:16" ht="15" thickBot="1" x14ac:dyDescent="0.25">
      <c r="B57" s="287"/>
      <c r="C57" s="288"/>
      <c r="D57" s="289"/>
      <c r="E57" s="290"/>
      <c r="F57" s="291"/>
      <c r="G57" s="292"/>
      <c r="H57" s="293"/>
      <c r="I57" s="294" t="s">
        <v>279</v>
      </c>
      <c r="J57" s="295"/>
      <c r="L57" s="8"/>
      <c r="M57" s="8"/>
      <c r="N57" s="8"/>
      <c r="O57" s="8"/>
      <c r="P57" s="8"/>
    </row>
    <row r="58" spans="2:16" ht="15" thickTop="1" x14ac:dyDescent="0.2">
      <c r="B58" s="14"/>
      <c r="C58" s="218"/>
      <c r="D58" s="222"/>
      <c r="E58" s="223"/>
      <c r="F58" s="217"/>
      <c r="G58" s="14"/>
      <c r="H58" s="220"/>
      <c r="I58" s="296"/>
      <c r="J58" s="220"/>
      <c r="L58" s="8"/>
      <c r="M58" s="8"/>
      <c r="N58" s="8"/>
      <c r="O58" s="8"/>
      <c r="P58" s="8"/>
    </row>
    <row r="59" spans="2:16" x14ac:dyDescent="0.2">
      <c r="B59" s="225" t="s">
        <v>1493</v>
      </c>
      <c r="C59" s="226"/>
      <c r="D59" s="219"/>
      <c r="E59" s="217"/>
      <c r="F59" s="217"/>
      <c r="G59" s="297"/>
      <c r="H59" s="220"/>
      <c r="I59" s="221"/>
      <c r="L59" s="8"/>
      <c r="M59" s="8"/>
      <c r="N59" s="8"/>
      <c r="O59" s="8"/>
      <c r="P59" s="8"/>
    </row>
    <row r="60" spans="2:16" ht="15" thickBot="1" x14ac:dyDescent="0.25">
      <c r="C60" s="220"/>
      <c r="H60" s="220"/>
      <c r="L60" s="8"/>
      <c r="M60" s="8"/>
      <c r="N60" s="8"/>
      <c r="O60" s="8"/>
      <c r="P60" s="8"/>
    </row>
    <row r="61" spans="2:16" ht="15" thickTop="1" x14ac:dyDescent="0.2">
      <c r="B61" s="231"/>
      <c r="C61" s="232"/>
      <c r="D61" s="233"/>
      <c r="E61" s="234"/>
      <c r="F61" s="235"/>
      <c r="G61" s="236"/>
      <c r="H61" s="232"/>
      <c r="I61" s="299"/>
      <c r="J61" s="237"/>
      <c r="L61" s="8"/>
      <c r="M61" s="8"/>
      <c r="N61" s="8"/>
      <c r="O61" s="8"/>
      <c r="P61" s="8"/>
    </row>
    <row r="62" spans="2:16" x14ac:dyDescent="0.2">
      <c r="B62" s="238" t="s">
        <v>261</v>
      </c>
      <c r="C62" s="201"/>
      <c r="D62" s="3540" t="s">
        <v>819</v>
      </c>
      <c r="E62" s="3540"/>
      <c r="F62" s="3541"/>
      <c r="G62" s="239" t="s">
        <v>262</v>
      </c>
      <c r="H62" s="201"/>
      <c r="I62" s="202" t="s">
        <v>263</v>
      </c>
      <c r="J62" s="240" t="s">
        <v>396</v>
      </c>
      <c r="L62" s="8"/>
      <c r="M62" s="8"/>
      <c r="N62" s="8"/>
      <c r="O62" s="8"/>
      <c r="P62" s="8"/>
    </row>
    <row r="63" spans="2:16" ht="15" thickBot="1" x14ac:dyDescent="0.25">
      <c r="B63" s="300"/>
      <c r="C63" s="242"/>
      <c r="D63" s="243"/>
      <c r="E63" s="244"/>
      <c r="F63" s="245"/>
      <c r="G63" s="246"/>
      <c r="H63" s="301"/>
      <c r="I63" s="302"/>
      <c r="J63" s="247"/>
      <c r="L63" s="8"/>
      <c r="M63" s="8"/>
      <c r="N63" s="8"/>
      <c r="O63" s="8"/>
      <c r="P63" s="8"/>
    </row>
    <row r="64" spans="2:16" ht="15" thickTop="1" x14ac:dyDescent="0.2">
      <c r="B64" s="303"/>
      <c r="C64" s="304"/>
      <c r="D64" s="305"/>
      <c r="E64" s="306"/>
      <c r="F64" s="306"/>
      <c r="G64" s="304"/>
      <c r="H64" s="304"/>
      <c r="I64" s="306"/>
      <c r="J64" s="307"/>
      <c r="L64" s="8"/>
      <c r="M64" s="308"/>
      <c r="N64" s="257" t="str">
        <f>N20</f>
        <v>WILAYAH 1</v>
      </c>
      <c r="O64" s="257" t="str">
        <f>O20</f>
        <v>WILAYAH 2</v>
      </c>
      <c r="P64" s="257" t="str">
        <f>P20</f>
        <v>WILAYAH 3</v>
      </c>
    </row>
    <row r="65" spans="2:17" x14ac:dyDescent="0.2">
      <c r="B65" s="258">
        <v>1</v>
      </c>
      <c r="C65" s="268"/>
      <c r="D65" s="309" t="s">
        <v>163</v>
      </c>
      <c r="E65" s="270"/>
      <c r="F65" s="279"/>
      <c r="G65" s="310" t="s">
        <v>264</v>
      </c>
      <c r="H65" s="311"/>
      <c r="I65" s="312">
        <f>N65</f>
        <v>204000</v>
      </c>
      <c r="J65" s="273"/>
      <c r="L65" s="8"/>
      <c r="M65" s="8"/>
      <c r="N65" s="8">
        <f>'[4]Usulan 2021'!I64</f>
        <v>204000</v>
      </c>
      <c r="O65" s="8">
        <f>'[4]Usulan 2021'!J64</f>
        <v>204000</v>
      </c>
      <c r="P65" s="8">
        <f>'[4]Usulan 2021'!K64</f>
        <v>204000</v>
      </c>
      <c r="Q65" s="8"/>
    </row>
    <row r="66" spans="2:17" x14ac:dyDescent="0.2">
      <c r="B66" s="258">
        <f>B65+1</f>
        <v>2</v>
      </c>
      <c r="C66" s="268"/>
      <c r="D66" s="309" t="s">
        <v>305</v>
      </c>
      <c r="E66" s="270"/>
      <c r="F66" s="279"/>
      <c r="G66" s="310" t="s">
        <v>392</v>
      </c>
      <c r="H66" s="311"/>
      <c r="I66" s="312">
        <f t="shared" ref="I66:I139" si="2">N66</f>
        <v>45</v>
      </c>
      <c r="J66" s="273"/>
      <c r="L66" s="8"/>
      <c r="M66" s="8"/>
      <c r="N66" s="8">
        <f>'[4]Usulan 2021'!I65</f>
        <v>45</v>
      </c>
      <c r="O66" s="8">
        <f>'[4]Usulan 2021'!J65</f>
        <v>45</v>
      </c>
      <c r="P66" s="8">
        <f>'[4]Usulan 2021'!K65</f>
        <v>45</v>
      </c>
    </row>
    <row r="67" spans="2:17" x14ac:dyDescent="0.2">
      <c r="B67" s="258">
        <f t="shared" ref="B67:B130" si="3">B66+1</f>
        <v>3</v>
      </c>
      <c r="C67" s="313"/>
      <c r="D67" s="314" t="s">
        <v>157</v>
      </c>
      <c r="E67" s="315"/>
      <c r="F67" s="316"/>
      <c r="G67" s="310" t="s">
        <v>266</v>
      </c>
      <c r="H67" s="317"/>
      <c r="I67" s="312">
        <f t="shared" si="2"/>
        <v>14000</v>
      </c>
      <c r="J67" s="273"/>
      <c r="L67" s="8"/>
      <c r="M67" s="8"/>
      <c r="N67" s="8">
        <f>'[4]Usulan 2021'!I66</f>
        <v>14000</v>
      </c>
      <c r="O67" s="8">
        <f>'[4]Usulan 2021'!J66</f>
        <v>14000</v>
      </c>
      <c r="P67" s="8">
        <f>'[4]Usulan 2021'!K66</f>
        <v>14000</v>
      </c>
    </row>
    <row r="68" spans="2:17" x14ac:dyDescent="0.2">
      <c r="B68" s="258">
        <f t="shared" si="3"/>
        <v>4</v>
      </c>
      <c r="C68" s="268"/>
      <c r="D68" s="314" t="s">
        <v>677</v>
      </c>
      <c r="E68" s="315"/>
      <c r="F68" s="316"/>
      <c r="G68" s="310" t="s">
        <v>247</v>
      </c>
      <c r="H68" s="311"/>
      <c r="I68" s="312">
        <f t="shared" si="2"/>
        <v>9000</v>
      </c>
      <c r="J68" s="273"/>
      <c r="L68" s="8"/>
      <c r="M68" s="8"/>
      <c r="N68" s="8">
        <f>'[4]Usulan 2021'!I67</f>
        <v>9000</v>
      </c>
      <c r="O68" s="8">
        <f>'[4]Usulan 2021'!J67</f>
        <v>9000</v>
      </c>
      <c r="P68" s="8">
        <f>'[4]Usulan 2021'!K67</f>
        <v>9000</v>
      </c>
    </row>
    <row r="69" spans="2:17" x14ac:dyDescent="0.2">
      <c r="B69" s="258">
        <f t="shared" si="3"/>
        <v>5</v>
      </c>
      <c r="C69" s="268"/>
      <c r="D69" s="309" t="s">
        <v>476</v>
      </c>
      <c r="E69" s="270"/>
      <c r="F69" s="279"/>
      <c r="G69" s="263" t="s">
        <v>277</v>
      </c>
      <c r="H69" s="311"/>
      <c r="I69" s="312">
        <f t="shared" si="2"/>
        <v>5700</v>
      </c>
      <c r="J69" s="273"/>
      <c r="L69" s="8"/>
      <c r="M69" s="8"/>
      <c r="N69" s="8">
        <f>'[4]Usulan 2021'!I68</f>
        <v>5700</v>
      </c>
      <c r="O69" s="8">
        <f>'[4]Usulan 2021'!J68</f>
        <v>5700</v>
      </c>
      <c r="P69" s="8">
        <f>'[4]Usulan 2021'!K68</f>
        <v>5700</v>
      </c>
    </row>
    <row r="70" spans="2:17" x14ac:dyDescent="0.2">
      <c r="B70" s="258">
        <f t="shared" si="3"/>
        <v>6</v>
      </c>
      <c r="C70" s="268"/>
      <c r="D70" s="309"/>
      <c r="E70" s="270"/>
      <c r="F70" s="279"/>
      <c r="G70" s="263"/>
      <c r="H70" s="311"/>
      <c r="I70" s="312"/>
      <c r="J70" s="273"/>
      <c r="L70" s="8"/>
      <c r="M70" s="8"/>
      <c r="N70" s="8"/>
      <c r="O70" s="8"/>
      <c r="P70" s="8"/>
    </row>
    <row r="71" spans="2:17" x14ac:dyDescent="0.2">
      <c r="B71" s="258">
        <f t="shared" si="3"/>
        <v>7</v>
      </c>
      <c r="C71" s="268"/>
      <c r="D71" s="318" t="s">
        <v>566</v>
      </c>
      <c r="E71" s="270"/>
      <c r="F71" s="279"/>
      <c r="G71" s="263" t="s">
        <v>247</v>
      </c>
      <c r="H71" s="311"/>
      <c r="I71" s="312">
        <f t="shared" si="2"/>
        <v>33000</v>
      </c>
      <c r="J71" s="273"/>
      <c r="L71" s="8"/>
      <c r="M71" s="8"/>
      <c r="N71" s="8">
        <f>'[4]Usulan 2021'!I70</f>
        <v>33000</v>
      </c>
      <c r="O71" s="8">
        <f>'[4]Usulan 2021'!J70</f>
        <v>33000</v>
      </c>
      <c r="P71" s="8">
        <f>'[4]Usulan 2021'!K70</f>
        <v>33000</v>
      </c>
    </row>
    <row r="72" spans="2:17" x14ac:dyDescent="0.2">
      <c r="B72" s="258">
        <f t="shared" si="3"/>
        <v>8</v>
      </c>
      <c r="C72" s="268"/>
      <c r="D72" s="319" t="s">
        <v>22</v>
      </c>
      <c r="E72" s="315"/>
      <c r="F72" s="316"/>
      <c r="G72" s="310" t="s">
        <v>277</v>
      </c>
      <c r="H72" s="311"/>
      <c r="I72" s="312">
        <f t="shared" si="2"/>
        <v>122000</v>
      </c>
      <c r="J72" s="273"/>
      <c r="L72" s="8"/>
      <c r="M72" s="8"/>
      <c r="N72" s="8">
        <f>'[4]Usulan 2021'!I71</f>
        <v>122000</v>
      </c>
      <c r="O72" s="8">
        <f>'[4]Usulan 2021'!J71</f>
        <v>122000</v>
      </c>
      <c r="P72" s="8">
        <f>'[4]Usulan 2021'!K71</f>
        <v>122000</v>
      </c>
    </row>
    <row r="73" spans="2:17" x14ac:dyDescent="0.2">
      <c r="B73" s="258">
        <f t="shared" si="3"/>
        <v>9</v>
      </c>
      <c r="C73" s="268"/>
      <c r="D73" s="319" t="s">
        <v>23</v>
      </c>
      <c r="E73" s="315"/>
      <c r="F73" s="316"/>
      <c r="G73" s="310" t="s">
        <v>277</v>
      </c>
      <c r="H73" s="311"/>
      <c r="I73" s="312">
        <f t="shared" si="2"/>
        <v>116000</v>
      </c>
      <c r="J73" s="273"/>
      <c r="L73" s="8"/>
      <c r="M73" s="8"/>
      <c r="N73" s="8">
        <f>'[4]Usulan 2021'!I72</f>
        <v>116000</v>
      </c>
      <c r="O73" s="8">
        <f>'[4]Usulan 2021'!J72</f>
        <v>116000</v>
      </c>
      <c r="P73" s="8">
        <f>'[4]Usulan 2021'!K72</f>
        <v>116000</v>
      </c>
    </row>
    <row r="74" spans="2:17" x14ac:dyDescent="0.2">
      <c r="B74" s="258">
        <f t="shared" si="3"/>
        <v>10</v>
      </c>
      <c r="C74" s="268"/>
      <c r="D74" s="319" t="s">
        <v>548</v>
      </c>
      <c r="E74" s="315"/>
      <c r="F74" s="316"/>
      <c r="G74" s="310" t="s">
        <v>298</v>
      </c>
      <c r="H74" s="311"/>
      <c r="I74" s="312">
        <f t="shared" si="2"/>
        <v>0</v>
      </c>
      <c r="J74" s="273"/>
      <c r="L74" s="8"/>
      <c r="M74" s="8"/>
      <c r="N74" s="8">
        <f>'[4]Usulan 2021'!I73</f>
        <v>0</v>
      </c>
      <c r="O74" s="8">
        <f>'[4]Usulan 2021'!J73</f>
        <v>0</v>
      </c>
      <c r="P74" s="8">
        <f>'[4]Usulan 2021'!K73</f>
        <v>0</v>
      </c>
    </row>
    <row r="75" spans="2:17" x14ac:dyDescent="0.2">
      <c r="B75" s="258">
        <f t="shared" si="3"/>
        <v>11</v>
      </c>
      <c r="C75" s="268"/>
      <c r="D75" s="319" t="s">
        <v>549</v>
      </c>
      <c r="E75" s="315"/>
      <c r="F75" s="316"/>
      <c r="G75" s="310" t="s">
        <v>298</v>
      </c>
      <c r="H75" s="311"/>
      <c r="I75" s="312">
        <f t="shared" si="2"/>
        <v>0</v>
      </c>
      <c r="J75" s="273"/>
      <c r="L75" s="8"/>
      <c r="M75" s="8"/>
      <c r="N75" s="8">
        <f>'[4]Usulan 2021'!I74</f>
        <v>0</v>
      </c>
      <c r="O75" s="8">
        <f>'[4]Usulan 2021'!J74</f>
        <v>0</v>
      </c>
      <c r="P75" s="8">
        <f>'[4]Usulan 2021'!K74</f>
        <v>0</v>
      </c>
    </row>
    <row r="76" spans="2:17" x14ac:dyDescent="0.2">
      <c r="B76" s="258">
        <f t="shared" si="3"/>
        <v>12</v>
      </c>
      <c r="C76" s="268"/>
      <c r="D76" s="318" t="s">
        <v>841</v>
      </c>
      <c r="E76" s="270"/>
      <c r="F76" s="279"/>
      <c r="G76" s="310" t="s">
        <v>266</v>
      </c>
      <c r="H76" s="311"/>
      <c r="I76" s="312">
        <f>N76</f>
        <v>110000</v>
      </c>
      <c r="J76" s="273"/>
      <c r="L76" s="8"/>
      <c r="M76" s="8"/>
      <c r="N76" s="8">
        <f>'[4]Usulan 2021'!I75</f>
        <v>110000</v>
      </c>
      <c r="O76" s="8">
        <f>'[4]Usulan 2021'!J75</f>
        <v>110000</v>
      </c>
      <c r="P76" s="8">
        <f>'[4]Usulan 2021'!K75</f>
        <v>110000</v>
      </c>
    </row>
    <row r="77" spans="2:17" x14ac:dyDescent="0.2">
      <c r="B77" s="258">
        <f t="shared" si="3"/>
        <v>13</v>
      </c>
      <c r="C77" s="268"/>
      <c r="D77" s="318" t="s">
        <v>824</v>
      </c>
      <c r="E77" s="270"/>
      <c r="F77" s="279"/>
      <c r="G77" s="310" t="s">
        <v>266</v>
      </c>
      <c r="H77" s="311"/>
      <c r="I77" s="312">
        <f t="shared" si="2"/>
        <v>55000</v>
      </c>
      <c r="J77" s="273"/>
      <c r="L77" s="8"/>
      <c r="M77" s="8"/>
      <c r="N77" s="8">
        <f>'[4]Usulan 2021'!I76</f>
        <v>55000</v>
      </c>
      <c r="O77" s="8">
        <f>'[4]Usulan 2021'!J76</f>
        <v>55000</v>
      </c>
      <c r="P77" s="8">
        <f>'[4]Usulan 2021'!K76</f>
        <v>55000</v>
      </c>
    </row>
    <row r="78" spans="2:17" x14ac:dyDescent="0.2">
      <c r="B78" s="258">
        <f t="shared" si="3"/>
        <v>14</v>
      </c>
      <c r="C78" s="268"/>
      <c r="G78" s="320"/>
      <c r="H78" s="272"/>
      <c r="I78" s="321"/>
      <c r="J78" s="273"/>
    </row>
    <row r="79" spans="2:17" x14ac:dyDescent="0.2">
      <c r="B79" s="258">
        <f t="shared" si="3"/>
        <v>15</v>
      </c>
      <c r="C79" s="268"/>
      <c r="D79" s="318" t="s">
        <v>567</v>
      </c>
      <c r="E79" s="270"/>
      <c r="F79" s="279"/>
      <c r="G79" s="310" t="s">
        <v>266</v>
      </c>
      <c r="H79" s="311"/>
      <c r="I79" s="312">
        <f t="shared" si="2"/>
        <v>315000</v>
      </c>
      <c r="J79" s="322"/>
      <c r="L79" s="8"/>
      <c r="M79" s="8"/>
      <c r="N79" s="8">
        <f>'[4]Usulan 2021'!I78</f>
        <v>315000</v>
      </c>
      <c r="O79" s="8">
        <f>'[4]Usulan 2021'!J78</f>
        <v>315000</v>
      </c>
      <c r="P79" s="8">
        <f>'[4]Usulan 2021'!K78</f>
        <v>315000</v>
      </c>
    </row>
    <row r="80" spans="2:17" x14ac:dyDescent="0.2">
      <c r="B80" s="258">
        <f t="shared" si="3"/>
        <v>16</v>
      </c>
      <c r="C80" s="268"/>
      <c r="D80" s="318" t="s">
        <v>189</v>
      </c>
      <c r="E80" s="270"/>
      <c r="F80" s="279"/>
      <c r="G80" s="310" t="s">
        <v>266</v>
      </c>
      <c r="H80" s="311"/>
      <c r="I80" s="312">
        <f t="shared" si="2"/>
        <v>292000</v>
      </c>
      <c r="J80" s="273"/>
      <c r="L80" s="8"/>
      <c r="M80" s="8"/>
      <c r="N80" s="8">
        <f>'[4]Usulan 2021'!I79</f>
        <v>292000</v>
      </c>
      <c r="O80" s="8">
        <f>'[4]Usulan 2021'!J79</f>
        <v>292000</v>
      </c>
      <c r="P80" s="8">
        <f>'[4]Usulan 2021'!K79</f>
        <v>292000</v>
      </c>
    </row>
    <row r="81" spans="2:16" x14ac:dyDescent="0.2">
      <c r="B81" s="258">
        <f t="shared" si="3"/>
        <v>17</v>
      </c>
      <c r="C81" s="268"/>
      <c r="D81" s="318" t="s">
        <v>788</v>
      </c>
      <c r="E81" s="270"/>
      <c r="F81" s="279"/>
      <c r="G81" s="310" t="s">
        <v>247</v>
      </c>
      <c r="H81" s="311"/>
      <c r="I81" s="312">
        <f t="shared" si="2"/>
        <v>105000</v>
      </c>
      <c r="J81" s="273"/>
      <c r="L81" s="8"/>
      <c r="M81" s="8"/>
      <c r="N81" s="8">
        <f>'[4]Usulan 2021'!I80</f>
        <v>105000</v>
      </c>
      <c r="O81" s="8">
        <f>'[4]Usulan 2021'!J80</f>
        <v>105000</v>
      </c>
      <c r="P81" s="8">
        <f>'[4]Usulan 2021'!K80</f>
        <v>105000</v>
      </c>
    </row>
    <row r="82" spans="2:16" x14ac:dyDescent="0.2">
      <c r="B82" s="258">
        <f t="shared" si="3"/>
        <v>18</v>
      </c>
      <c r="C82" s="268"/>
      <c r="D82" s="318"/>
      <c r="E82" s="270"/>
      <c r="F82" s="279"/>
      <c r="G82" s="310"/>
      <c r="H82" s="311"/>
      <c r="I82" s="312">
        <f t="shared" si="2"/>
        <v>30000</v>
      </c>
      <c r="J82" s="273"/>
      <c r="L82" s="8"/>
      <c r="M82" s="8"/>
      <c r="N82" s="8">
        <f>'[4]Usulan 2021'!I81</f>
        <v>30000</v>
      </c>
      <c r="O82" s="8"/>
      <c r="P82" s="8"/>
    </row>
    <row r="83" spans="2:16" x14ac:dyDescent="0.2">
      <c r="B83" s="258">
        <f t="shared" si="3"/>
        <v>19</v>
      </c>
      <c r="C83" s="268"/>
      <c r="D83" s="318" t="s">
        <v>1411</v>
      </c>
      <c r="E83" s="270"/>
      <c r="F83" s="279"/>
      <c r="G83" s="310" t="str">
        <f>'[4]Usulan 2021'!G82</f>
        <v>lbr</v>
      </c>
      <c r="H83" s="311"/>
      <c r="I83" s="312">
        <f t="shared" si="2"/>
        <v>61000</v>
      </c>
      <c r="J83" s="273"/>
      <c r="L83" s="8"/>
      <c r="M83" s="8"/>
      <c r="N83" s="8">
        <f>'[4]Usulan 2021'!I82</f>
        <v>61000</v>
      </c>
      <c r="O83" s="8"/>
      <c r="P83" s="8"/>
    </row>
    <row r="84" spans="2:16" x14ac:dyDescent="0.2">
      <c r="B84" s="258">
        <f t="shared" si="3"/>
        <v>20</v>
      </c>
      <c r="C84" s="268"/>
      <c r="D84" s="318" t="s">
        <v>1412</v>
      </c>
      <c r="E84" s="270"/>
      <c r="F84" s="279"/>
      <c r="G84" s="310" t="str">
        <f>'[4]Usulan 2021'!G83</f>
        <v>lbr</v>
      </c>
      <c r="H84" s="311"/>
      <c r="I84" s="312">
        <f t="shared" si="2"/>
        <v>97000</v>
      </c>
      <c r="J84" s="273"/>
      <c r="L84" s="8"/>
      <c r="M84" s="8"/>
      <c r="N84" s="8">
        <f>'[4]Usulan 2021'!I83</f>
        <v>97000</v>
      </c>
      <c r="O84" s="8"/>
      <c r="P84" s="8"/>
    </row>
    <row r="85" spans="2:16" x14ac:dyDescent="0.2">
      <c r="B85" s="258">
        <f t="shared" si="3"/>
        <v>21</v>
      </c>
      <c r="C85" s="268"/>
      <c r="D85" s="318" t="s">
        <v>843</v>
      </c>
      <c r="E85" s="270"/>
      <c r="F85" s="279"/>
      <c r="G85" s="310" t="s">
        <v>277</v>
      </c>
      <c r="H85" s="311"/>
      <c r="I85" s="312">
        <f>N85</f>
        <v>113000</v>
      </c>
      <c r="J85" s="273"/>
      <c r="L85" s="8"/>
      <c r="M85" s="8"/>
      <c r="N85" s="8">
        <f>'[4]Usulan 2021'!I84</f>
        <v>113000</v>
      </c>
      <c r="O85" s="8">
        <f>'[4]Usulan 2021'!J84</f>
        <v>113000</v>
      </c>
      <c r="P85" s="8">
        <f>'[4]Usulan 2021'!K84</f>
        <v>113000</v>
      </c>
    </row>
    <row r="86" spans="2:16" x14ac:dyDescent="0.2">
      <c r="B86" s="258">
        <f>B85+1</f>
        <v>22</v>
      </c>
      <c r="C86" s="268"/>
      <c r="D86" s="318" t="s">
        <v>844</v>
      </c>
      <c r="E86" s="270"/>
      <c r="F86" s="279"/>
      <c r="G86" s="310" t="s">
        <v>247</v>
      </c>
      <c r="H86" s="311"/>
      <c r="I86" s="312">
        <f>N86</f>
        <v>35000</v>
      </c>
      <c r="J86" s="273"/>
      <c r="L86" s="8"/>
      <c r="M86" s="8"/>
      <c r="N86" s="8">
        <f>'[4]Usulan 2021'!I85</f>
        <v>35000</v>
      </c>
      <c r="O86" s="8">
        <f>'[4]Usulan 2021'!J85</f>
        <v>35000</v>
      </c>
      <c r="P86" s="8">
        <f>'[4]Usulan 2021'!K85</f>
        <v>35000</v>
      </c>
    </row>
    <row r="87" spans="2:16" x14ac:dyDescent="0.2">
      <c r="B87" s="258">
        <f>B86+1</f>
        <v>23</v>
      </c>
      <c r="C87" s="268"/>
      <c r="D87" s="318" t="s">
        <v>842</v>
      </c>
      <c r="E87" s="270"/>
      <c r="F87" s="279"/>
      <c r="G87" s="310" t="s">
        <v>277</v>
      </c>
      <c r="H87" s="311"/>
      <c r="I87" s="312">
        <f t="shared" si="2"/>
        <v>186000</v>
      </c>
      <c r="J87" s="273"/>
      <c r="L87" s="8"/>
      <c r="M87" s="8"/>
      <c r="N87" s="8">
        <f>'[4]Usulan 2021'!I86</f>
        <v>186000</v>
      </c>
      <c r="O87" s="8">
        <f>'[4]Usulan 2021'!J86</f>
        <v>186000</v>
      </c>
      <c r="P87" s="8">
        <f>'[4]Usulan 2021'!K86</f>
        <v>186000</v>
      </c>
    </row>
    <row r="88" spans="2:16" x14ac:dyDescent="0.2">
      <c r="B88" s="258">
        <f>B87+1</f>
        <v>24</v>
      </c>
      <c r="C88" s="268"/>
      <c r="D88" s="318" t="s">
        <v>845</v>
      </c>
      <c r="E88" s="270"/>
      <c r="F88" s="279"/>
      <c r="G88" s="310" t="s">
        <v>266</v>
      </c>
      <c r="H88" s="311"/>
      <c r="I88" s="312">
        <f t="shared" si="2"/>
        <v>70000</v>
      </c>
      <c r="J88" s="273"/>
      <c r="L88" s="8"/>
      <c r="M88" s="8"/>
      <c r="N88" s="8">
        <f>'[4]Usulan 2021'!I87</f>
        <v>70000</v>
      </c>
      <c r="O88" s="8">
        <f>'[4]Usulan 2021'!J87</f>
        <v>70000</v>
      </c>
      <c r="P88" s="8">
        <f>'[4]Usulan 2021'!K87</f>
        <v>70000</v>
      </c>
    </row>
    <row r="89" spans="2:16" x14ac:dyDescent="0.2">
      <c r="B89" s="258">
        <f t="shared" si="3"/>
        <v>25</v>
      </c>
      <c r="C89" s="268"/>
      <c r="D89" s="318" t="s">
        <v>846</v>
      </c>
      <c r="E89" s="270"/>
      <c r="F89" s="279"/>
      <c r="G89" s="310" t="s">
        <v>266</v>
      </c>
      <c r="H89" s="311"/>
      <c r="I89" s="312">
        <f t="shared" si="2"/>
        <v>520000</v>
      </c>
      <c r="J89" s="273"/>
      <c r="L89" s="8"/>
      <c r="M89" s="8"/>
      <c r="N89" s="8">
        <f>'[4]Usulan 2021'!I88</f>
        <v>520000</v>
      </c>
      <c r="O89" s="8">
        <f>'[4]Usulan 2021'!J88</f>
        <v>520000</v>
      </c>
      <c r="P89" s="8">
        <f>'[4]Usulan 2021'!K88</f>
        <v>520000</v>
      </c>
    </row>
    <row r="90" spans="2:16" x14ac:dyDescent="0.2">
      <c r="B90" s="258">
        <f t="shared" si="3"/>
        <v>26</v>
      </c>
      <c r="C90" s="268"/>
      <c r="D90" s="318" t="s">
        <v>191</v>
      </c>
      <c r="E90" s="270"/>
      <c r="F90" s="279"/>
      <c r="G90" s="310" t="s">
        <v>266</v>
      </c>
      <c r="H90" s="311"/>
      <c r="I90" s="312">
        <f t="shared" si="2"/>
        <v>460000</v>
      </c>
      <c r="J90" s="273"/>
      <c r="L90" s="8"/>
      <c r="M90" s="8"/>
      <c r="N90" s="8">
        <f>'[4]Usulan 2021'!I89</f>
        <v>460000</v>
      </c>
      <c r="O90" s="8">
        <f>'[4]Usulan 2021'!J89</f>
        <v>460000</v>
      </c>
      <c r="P90" s="8">
        <f>'[4]Usulan 2021'!K89</f>
        <v>460000</v>
      </c>
    </row>
    <row r="91" spans="2:16" x14ac:dyDescent="0.2">
      <c r="B91" s="258">
        <f t="shared" si="3"/>
        <v>27</v>
      </c>
      <c r="C91" s="268"/>
      <c r="D91" s="318" t="s">
        <v>188</v>
      </c>
      <c r="E91" s="270"/>
      <c r="F91" s="279"/>
      <c r="G91" s="310" t="s">
        <v>266</v>
      </c>
      <c r="H91" s="311"/>
      <c r="I91" s="312">
        <f t="shared" si="2"/>
        <v>810000</v>
      </c>
      <c r="J91" s="273"/>
      <c r="L91" s="8"/>
      <c r="M91" s="8"/>
      <c r="N91" s="8">
        <f>'[4]Usulan 2021'!I90</f>
        <v>810000</v>
      </c>
      <c r="O91" s="8">
        <f>'[4]Usulan 2021'!J90</f>
        <v>810000</v>
      </c>
      <c r="P91" s="8">
        <f>'[4]Usulan 2021'!K90</f>
        <v>810000</v>
      </c>
    </row>
    <row r="92" spans="2:16" x14ac:dyDescent="0.2">
      <c r="B92" s="258">
        <f t="shared" si="3"/>
        <v>28</v>
      </c>
      <c r="C92" s="268"/>
      <c r="D92" s="318" t="s">
        <v>550</v>
      </c>
      <c r="E92" s="270"/>
      <c r="F92" s="279"/>
      <c r="G92" s="310" t="s">
        <v>275</v>
      </c>
      <c r="H92" s="311"/>
      <c r="I92" s="312">
        <f t="shared" si="2"/>
        <v>2046000</v>
      </c>
      <c r="J92" s="273"/>
      <c r="L92" s="8"/>
      <c r="M92" s="8"/>
      <c r="N92" s="8">
        <f>'[4]Usulan 2021'!I91</f>
        <v>2046000</v>
      </c>
      <c r="O92" s="8">
        <f>'[4]Usulan 2021'!J91</f>
        <v>2046000</v>
      </c>
      <c r="P92" s="8">
        <f>'[4]Usulan 2021'!K91</f>
        <v>2046000</v>
      </c>
    </row>
    <row r="93" spans="2:16" x14ac:dyDescent="0.2">
      <c r="B93" s="258">
        <f t="shared" si="3"/>
        <v>29</v>
      </c>
      <c r="C93" s="268"/>
      <c r="D93" s="318" t="s">
        <v>161</v>
      </c>
      <c r="E93" s="270"/>
      <c r="F93" s="279"/>
      <c r="G93" s="310" t="s">
        <v>268</v>
      </c>
      <c r="H93" s="311"/>
      <c r="I93" s="312">
        <f t="shared" si="2"/>
        <v>81000</v>
      </c>
      <c r="J93" s="273"/>
      <c r="L93" s="8"/>
      <c r="M93" s="8"/>
      <c r="N93" s="8">
        <f>'[4]Usulan 2021'!I92</f>
        <v>81000</v>
      </c>
      <c r="O93" s="8">
        <f>'[4]Usulan 2021'!J92</f>
        <v>81000</v>
      </c>
      <c r="P93" s="8">
        <f>'[4]Usulan 2021'!K92</f>
        <v>81000</v>
      </c>
    </row>
    <row r="94" spans="2:16" x14ac:dyDescent="0.2">
      <c r="B94" s="258">
        <f t="shared" si="3"/>
        <v>30</v>
      </c>
      <c r="C94" s="268"/>
      <c r="D94" s="319" t="s">
        <v>678</v>
      </c>
      <c r="E94" s="315"/>
      <c r="F94" s="316"/>
      <c r="G94" s="310" t="s">
        <v>298</v>
      </c>
      <c r="H94" s="311"/>
      <c r="I94" s="312">
        <f t="shared" si="2"/>
        <v>14800</v>
      </c>
      <c r="J94" s="273"/>
      <c r="L94" s="8"/>
      <c r="M94" s="8"/>
      <c r="N94" s="8">
        <f>'[4]Usulan 2021'!I93</f>
        <v>14800</v>
      </c>
      <c r="O94" s="8">
        <f>'[4]Usulan 2021'!J93</f>
        <v>14800</v>
      </c>
      <c r="P94" s="8">
        <f>'[4]Usulan 2021'!K93</f>
        <v>14800</v>
      </c>
    </row>
    <row r="95" spans="2:16" x14ac:dyDescent="0.2">
      <c r="B95" s="258">
        <f t="shared" si="3"/>
        <v>31</v>
      </c>
      <c r="C95" s="268"/>
      <c r="D95" s="319" t="s">
        <v>26</v>
      </c>
      <c r="E95" s="315"/>
      <c r="F95" s="316"/>
      <c r="G95" s="263" t="s">
        <v>276</v>
      </c>
      <c r="H95" s="311"/>
      <c r="I95" s="312">
        <f t="shared" si="2"/>
        <v>11000</v>
      </c>
      <c r="J95" s="273"/>
      <c r="L95" s="8"/>
      <c r="M95" s="8"/>
      <c r="N95" s="8">
        <f>'[4]Usulan 2021'!I94</f>
        <v>11000</v>
      </c>
      <c r="O95" s="8">
        <f>'[4]Usulan 2021'!J94</f>
        <v>11000</v>
      </c>
      <c r="P95" s="8">
        <f>'[4]Usulan 2021'!K94</f>
        <v>11000</v>
      </c>
    </row>
    <row r="96" spans="2:16" x14ac:dyDescent="0.2">
      <c r="B96" s="258">
        <f t="shared" si="3"/>
        <v>32</v>
      </c>
      <c r="C96" s="268"/>
      <c r="D96" s="319" t="s">
        <v>27</v>
      </c>
      <c r="E96" s="315"/>
      <c r="F96" s="316"/>
      <c r="G96" s="263" t="s">
        <v>276</v>
      </c>
      <c r="H96" s="311"/>
      <c r="I96" s="312">
        <f t="shared" si="2"/>
        <v>20000</v>
      </c>
      <c r="J96" s="273"/>
      <c r="L96" s="8"/>
      <c r="M96" s="8"/>
      <c r="N96" s="8">
        <f>'[4]Usulan 2021'!I95</f>
        <v>20000</v>
      </c>
      <c r="O96" s="8">
        <f>'[4]Usulan 2021'!J95</f>
        <v>20000</v>
      </c>
      <c r="P96" s="8">
        <f>'[4]Usulan 2021'!K95</f>
        <v>20000</v>
      </c>
    </row>
    <row r="97" spans="2:16" x14ac:dyDescent="0.2">
      <c r="B97" s="258">
        <f t="shared" si="3"/>
        <v>33</v>
      </c>
      <c r="C97" s="268"/>
      <c r="D97" s="319" t="s">
        <v>1471</v>
      </c>
      <c r="E97" s="315"/>
      <c r="F97" s="316"/>
      <c r="G97" s="263" t="s">
        <v>276</v>
      </c>
      <c r="H97" s="311"/>
      <c r="I97" s="312">
        <f t="shared" si="2"/>
        <v>12000</v>
      </c>
      <c r="J97" s="273"/>
      <c r="L97" s="8"/>
      <c r="M97" s="8"/>
      <c r="N97" s="8">
        <f>'[4]Usulan 2021'!I96</f>
        <v>12000</v>
      </c>
      <c r="O97" s="8"/>
      <c r="P97" s="8"/>
    </row>
    <row r="98" spans="2:16" x14ac:dyDescent="0.2">
      <c r="B98" s="258">
        <f t="shared" si="3"/>
        <v>34</v>
      </c>
      <c r="C98" s="268"/>
      <c r="D98" s="319" t="s">
        <v>477</v>
      </c>
      <c r="E98" s="315"/>
      <c r="F98" s="279"/>
      <c r="G98" s="263" t="s">
        <v>265</v>
      </c>
      <c r="H98" s="311"/>
      <c r="I98" s="312">
        <f t="shared" si="2"/>
        <v>3600</v>
      </c>
      <c r="J98" s="273"/>
      <c r="L98" s="8"/>
      <c r="M98" s="8"/>
      <c r="N98" s="8">
        <f>'[4]Usulan 2021'!I97</f>
        <v>3600</v>
      </c>
      <c r="O98" s="8">
        <f>'[4]Usulan 2021'!J97</f>
        <v>3600</v>
      </c>
      <c r="P98" s="8">
        <f>'[4]Usulan 2021'!K97</f>
        <v>3600</v>
      </c>
    </row>
    <row r="99" spans="2:16" x14ac:dyDescent="0.2">
      <c r="B99" s="258">
        <f t="shared" si="3"/>
        <v>35</v>
      </c>
      <c r="C99" s="323"/>
      <c r="D99" s="318" t="s">
        <v>1270</v>
      </c>
      <c r="E99" s="270"/>
      <c r="F99" s="279"/>
      <c r="G99" s="263" t="s">
        <v>298</v>
      </c>
      <c r="H99" s="324"/>
      <c r="I99" s="312">
        <f>N99</f>
        <v>876000</v>
      </c>
      <c r="J99" s="273"/>
      <c r="L99" s="8"/>
      <c r="M99" s="8"/>
      <c r="N99" s="8">
        <f>'[4]Usulan 2021'!I98</f>
        <v>876000</v>
      </c>
      <c r="O99" s="8">
        <f>'[4]Usulan 2021'!J98</f>
        <v>876000</v>
      </c>
      <c r="P99" s="8">
        <f>'[4]Usulan 2021'!K98</f>
        <v>876000</v>
      </c>
    </row>
    <row r="100" spans="2:16" x14ac:dyDescent="0.2">
      <c r="B100" s="258">
        <f t="shared" si="3"/>
        <v>36</v>
      </c>
      <c r="C100" s="323"/>
      <c r="D100" s="318" t="s">
        <v>710</v>
      </c>
      <c r="E100" s="270"/>
      <c r="F100" s="279"/>
      <c r="G100" s="263" t="s">
        <v>266</v>
      </c>
      <c r="H100" s="324"/>
      <c r="I100" s="312">
        <f t="shared" si="2"/>
        <v>204000</v>
      </c>
      <c r="J100" s="273"/>
      <c r="L100" s="8"/>
      <c r="M100" s="8"/>
      <c r="N100" s="8">
        <f>'[4]Usulan 2021'!I99</f>
        <v>204000</v>
      </c>
      <c r="O100" s="8">
        <f>'[4]Usulan 2021'!J99</f>
        <v>204000</v>
      </c>
      <c r="P100" s="8">
        <f>'[4]Usulan 2021'!K99</f>
        <v>204000</v>
      </c>
    </row>
    <row r="101" spans="2:16" x14ac:dyDescent="0.2">
      <c r="B101" s="258">
        <f t="shared" si="3"/>
        <v>37</v>
      </c>
      <c r="C101" s="323"/>
      <c r="D101" s="318" t="s">
        <v>847</v>
      </c>
      <c r="E101" s="270"/>
      <c r="F101" s="279"/>
      <c r="G101" s="263" t="s">
        <v>298</v>
      </c>
      <c r="H101" s="324"/>
      <c r="I101" s="312">
        <f t="shared" si="2"/>
        <v>12800</v>
      </c>
      <c r="J101" s="273"/>
      <c r="L101" s="8"/>
      <c r="M101" s="8"/>
      <c r="N101" s="8">
        <f>'[4]Usulan 2021'!I100</f>
        <v>12800</v>
      </c>
      <c r="O101" s="8">
        <f>'[4]Usulan 2021'!J100</f>
        <v>12800</v>
      </c>
      <c r="P101" s="8">
        <f>'[4]Usulan 2021'!K100</f>
        <v>12800</v>
      </c>
    </row>
    <row r="102" spans="2:16" x14ac:dyDescent="0.2">
      <c r="B102" s="258">
        <f t="shared" si="3"/>
        <v>38</v>
      </c>
      <c r="C102" s="268"/>
      <c r="D102" s="318" t="s">
        <v>30</v>
      </c>
      <c r="E102" s="270"/>
      <c r="F102" s="270"/>
      <c r="G102" s="263" t="s">
        <v>268</v>
      </c>
      <c r="H102" s="311"/>
      <c r="I102" s="312">
        <f t="shared" si="2"/>
        <v>800</v>
      </c>
      <c r="J102" s="273"/>
      <c r="L102" s="8"/>
      <c r="M102" s="8"/>
      <c r="N102" s="8">
        <f>'[4]Usulan 2021'!I101</f>
        <v>800</v>
      </c>
      <c r="O102" s="8">
        <f>'[4]Usulan 2021'!J101</f>
        <v>800</v>
      </c>
      <c r="P102" s="8">
        <f>'[4]Usulan 2021'!K101</f>
        <v>800</v>
      </c>
    </row>
    <row r="103" spans="2:16" s="326" customFormat="1" x14ac:dyDescent="0.2">
      <c r="B103" s="258">
        <f t="shared" si="3"/>
        <v>39</v>
      </c>
      <c r="C103" s="268"/>
      <c r="D103" s="318" t="s">
        <v>893</v>
      </c>
      <c r="E103" s="270"/>
      <c r="F103" s="270"/>
      <c r="G103" s="263" t="s">
        <v>268</v>
      </c>
      <c r="H103" s="311"/>
      <c r="I103" s="312">
        <f t="shared" si="2"/>
        <v>0</v>
      </c>
      <c r="J103" s="325"/>
      <c r="L103" s="327"/>
      <c r="M103" s="327"/>
      <c r="N103" s="8"/>
      <c r="O103" s="8"/>
      <c r="P103" s="8"/>
    </row>
    <row r="104" spans="2:16" x14ac:dyDescent="0.2">
      <c r="B104" s="258">
        <f t="shared" si="3"/>
        <v>40</v>
      </c>
      <c r="C104" s="268"/>
      <c r="D104" s="318" t="s">
        <v>28</v>
      </c>
      <c r="E104" s="270"/>
      <c r="F104" s="270"/>
      <c r="G104" s="263" t="s">
        <v>266</v>
      </c>
      <c r="H104" s="311"/>
      <c r="I104" s="312">
        <f t="shared" si="2"/>
        <v>291000</v>
      </c>
      <c r="J104" s="273"/>
      <c r="L104" s="8"/>
      <c r="M104" s="8"/>
      <c r="N104" s="8">
        <f>'[4]Usulan 2021'!I103</f>
        <v>291000</v>
      </c>
      <c r="O104" s="8">
        <f>'[4]Usulan 2021'!J103</f>
        <v>291000</v>
      </c>
      <c r="P104" s="8">
        <f>'[4]Usulan 2021'!K103</f>
        <v>291000</v>
      </c>
    </row>
    <row r="105" spans="2:16" x14ac:dyDescent="0.2">
      <c r="B105" s="258">
        <f t="shared" si="3"/>
        <v>41</v>
      </c>
      <c r="C105" s="268"/>
      <c r="D105" s="318" t="s">
        <v>560</v>
      </c>
      <c r="E105" s="270"/>
      <c r="F105" s="270"/>
      <c r="G105" s="263" t="s">
        <v>266</v>
      </c>
      <c r="H105" s="311"/>
      <c r="I105" s="312">
        <f t="shared" si="2"/>
        <v>104000</v>
      </c>
      <c r="J105" s="273"/>
      <c r="L105" s="8"/>
      <c r="M105" s="8"/>
      <c r="N105" s="8">
        <f>'[4]Usulan 2021'!I104</f>
        <v>104000</v>
      </c>
      <c r="O105" s="8">
        <f>'[4]Usulan 2021'!J104</f>
        <v>104000</v>
      </c>
      <c r="P105" s="8">
        <f>'[4]Usulan 2021'!K104</f>
        <v>94000</v>
      </c>
    </row>
    <row r="106" spans="2:16" x14ac:dyDescent="0.2">
      <c r="B106" s="258">
        <f t="shared" si="3"/>
        <v>42</v>
      </c>
      <c r="C106" s="268"/>
      <c r="D106" s="318" t="s">
        <v>29</v>
      </c>
      <c r="E106" s="270"/>
      <c r="F106" s="270"/>
      <c r="G106" s="310" t="s">
        <v>264</v>
      </c>
      <c r="H106" s="311"/>
      <c r="I106" s="312">
        <f t="shared" si="2"/>
        <v>285000</v>
      </c>
      <c r="J106" s="273"/>
      <c r="L106" s="8"/>
      <c r="M106" s="8"/>
      <c r="N106" s="8">
        <f>'[4]Usulan 2021'!I105</f>
        <v>285000</v>
      </c>
      <c r="O106" s="8">
        <f>'[4]Usulan 2021'!J105</f>
        <v>280000</v>
      </c>
      <c r="P106" s="8">
        <f>'[4]Usulan 2021'!K105</f>
        <v>275000</v>
      </c>
    </row>
    <row r="107" spans="2:16" x14ac:dyDescent="0.2">
      <c r="B107" s="258">
        <f t="shared" si="3"/>
        <v>43</v>
      </c>
      <c r="C107" s="268"/>
      <c r="D107" s="318" t="s">
        <v>33</v>
      </c>
      <c r="E107" s="270"/>
      <c r="F107" s="270"/>
      <c r="G107" s="310" t="s">
        <v>298</v>
      </c>
      <c r="H107" s="328"/>
      <c r="I107" s="312">
        <f t="shared" si="2"/>
        <v>93000</v>
      </c>
      <c r="J107" s="273"/>
      <c r="L107" s="8"/>
      <c r="M107" s="8"/>
      <c r="N107" s="8">
        <f>'[4]Usulan 2021'!I106</f>
        <v>93000</v>
      </c>
      <c r="O107" s="8">
        <f>'[4]Usulan 2021'!J106</f>
        <v>93000</v>
      </c>
      <c r="P107" s="8">
        <f>'[4]Usulan 2021'!K106</f>
        <v>93000</v>
      </c>
    </row>
    <row r="108" spans="2:16" x14ac:dyDescent="0.2">
      <c r="B108" s="258">
        <f t="shared" si="3"/>
        <v>44</v>
      </c>
      <c r="C108" s="268"/>
      <c r="D108" s="318" t="s">
        <v>1472</v>
      </c>
      <c r="E108" s="270"/>
      <c r="F108" s="270"/>
      <c r="G108" s="310" t="s">
        <v>268</v>
      </c>
      <c r="H108" s="328"/>
      <c r="I108" s="312">
        <v>2000</v>
      </c>
      <c r="J108" s="273"/>
      <c r="L108" s="8"/>
      <c r="M108" s="8"/>
      <c r="N108" s="8"/>
      <c r="O108" s="8"/>
      <c r="P108" s="8"/>
    </row>
    <row r="109" spans="2:16" x14ac:dyDescent="0.2">
      <c r="B109" s="258">
        <f t="shared" si="3"/>
        <v>45</v>
      </c>
      <c r="C109" s="268"/>
      <c r="D109" s="318" t="s">
        <v>31</v>
      </c>
      <c r="E109" s="270"/>
      <c r="F109" s="270"/>
      <c r="G109" s="263" t="s">
        <v>266</v>
      </c>
      <c r="H109" s="311"/>
      <c r="I109" s="312">
        <f t="shared" si="2"/>
        <v>155000</v>
      </c>
      <c r="J109" s="273"/>
      <c r="L109" s="8"/>
      <c r="M109" s="8"/>
      <c r="N109" s="8">
        <f>'[4]Usulan 2021'!I108</f>
        <v>155000</v>
      </c>
      <c r="O109" s="8">
        <f>'[4]Usulan 2021'!J108</f>
        <v>155000</v>
      </c>
      <c r="P109" s="8">
        <f>'[4]Usulan 2021'!K108</f>
        <v>155000</v>
      </c>
    </row>
    <row r="110" spans="2:16" x14ac:dyDescent="0.2">
      <c r="B110" s="258">
        <f t="shared" si="3"/>
        <v>46</v>
      </c>
      <c r="C110" s="268"/>
      <c r="D110" s="318" t="s">
        <v>32</v>
      </c>
      <c r="E110" s="270"/>
      <c r="F110" s="270"/>
      <c r="G110" s="263" t="s">
        <v>266</v>
      </c>
      <c r="H110" s="311"/>
      <c r="I110" s="312">
        <f t="shared" si="2"/>
        <v>116000</v>
      </c>
      <c r="J110" s="273"/>
      <c r="L110" s="8"/>
      <c r="M110" s="8"/>
      <c r="N110" s="8">
        <f>'[4]Usulan 2021'!I109</f>
        <v>116000</v>
      </c>
      <c r="O110" s="8">
        <f>'[4]Usulan 2021'!J109</f>
        <v>116000</v>
      </c>
      <c r="P110" s="8">
        <f>'[4]Usulan 2021'!K109</f>
        <v>116000</v>
      </c>
    </row>
    <row r="111" spans="2:16" x14ac:dyDescent="0.2">
      <c r="B111" s="258">
        <f t="shared" si="3"/>
        <v>47</v>
      </c>
      <c r="C111" s="268"/>
      <c r="D111" s="318" t="s">
        <v>675</v>
      </c>
      <c r="E111" s="270"/>
      <c r="F111" s="279"/>
      <c r="G111" s="310" t="s">
        <v>264</v>
      </c>
      <c r="H111" s="311"/>
      <c r="I111" s="312">
        <f t="shared" si="2"/>
        <v>270000</v>
      </c>
      <c r="J111" s="273"/>
      <c r="L111" s="8"/>
      <c r="M111" s="8"/>
      <c r="N111" s="8">
        <f>'[4]Usulan 2021'!I110</f>
        <v>270000</v>
      </c>
      <c r="O111" s="8">
        <f>'[4]Usulan 2021'!J110</f>
        <v>275000</v>
      </c>
      <c r="P111" s="8">
        <f>'[4]Usulan 2021'!K110</f>
        <v>280000</v>
      </c>
    </row>
    <row r="112" spans="2:16" x14ac:dyDescent="0.2">
      <c r="B112" s="258">
        <f t="shared" si="3"/>
        <v>48</v>
      </c>
      <c r="C112" s="268"/>
      <c r="D112" s="318" t="s">
        <v>676</v>
      </c>
      <c r="E112" s="270"/>
      <c r="F112" s="279"/>
      <c r="G112" s="310" t="s">
        <v>264</v>
      </c>
      <c r="H112" s="311"/>
      <c r="I112" s="312">
        <f t="shared" si="2"/>
        <v>270000</v>
      </c>
      <c r="J112" s="273"/>
      <c r="L112" s="8"/>
      <c r="M112" s="8"/>
      <c r="N112" s="8">
        <f>'[4]Usulan 2021'!I111</f>
        <v>270000</v>
      </c>
      <c r="O112" s="8">
        <f>'[4]Usulan 2021'!J111</f>
        <v>275000</v>
      </c>
      <c r="P112" s="8">
        <f>'[4]Usulan 2021'!K111</f>
        <v>280000</v>
      </c>
    </row>
    <row r="113" spans="2:17" x14ac:dyDescent="0.2">
      <c r="B113" s="258">
        <f t="shared" si="3"/>
        <v>49</v>
      </c>
      <c r="C113" s="268"/>
      <c r="D113" s="318" t="s">
        <v>670</v>
      </c>
      <c r="E113" s="270"/>
      <c r="F113" s="279"/>
      <c r="G113" s="310" t="s">
        <v>264</v>
      </c>
      <c r="H113" s="311"/>
      <c r="I113" s="312">
        <f t="shared" si="2"/>
        <v>270000</v>
      </c>
      <c r="J113" s="273"/>
      <c r="L113" s="8"/>
      <c r="M113" s="8"/>
      <c r="N113" s="8">
        <f>'[4]Usulan 2021'!I112</f>
        <v>270000</v>
      </c>
      <c r="O113" s="8">
        <f>'[4]Usulan 2021'!J112</f>
        <v>275000</v>
      </c>
      <c r="P113" s="8">
        <f>'[4]Usulan 2021'!K112</f>
        <v>280000</v>
      </c>
    </row>
    <row r="114" spans="2:17" x14ac:dyDescent="0.2">
      <c r="B114" s="258">
        <f t="shared" si="3"/>
        <v>50</v>
      </c>
      <c r="C114" s="268"/>
      <c r="D114" s="318" t="s">
        <v>193</v>
      </c>
      <c r="E114" s="270"/>
      <c r="F114" s="279"/>
      <c r="G114" s="310" t="s">
        <v>264</v>
      </c>
      <c r="H114" s="311"/>
      <c r="I114" s="312">
        <f>N114</f>
        <v>280000</v>
      </c>
      <c r="J114" s="273"/>
      <c r="L114" s="8"/>
      <c r="M114" s="8"/>
      <c r="N114" s="8">
        <f>'[4]Usulan 2021'!I113</f>
        <v>280000</v>
      </c>
      <c r="O114" s="8">
        <f>'[4]Usulan 2021'!J113</f>
        <v>275000</v>
      </c>
      <c r="P114" s="8">
        <f>'[4]Usulan 2021'!K113</f>
        <v>270000</v>
      </c>
    </row>
    <row r="115" spans="2:17" x14ac:dyDescent="0.2">
      <c r="B115" s="258">
        <f t="shared" si="3"/>
        <v>51</v>
      </c>
      <c r="C115" s="268"/>
      <c r="D115" s="318" t="s">
        <v>192</v>
      </c>
      <c r="E115" s="270"/>
      <c r="F115" s="279"/>
      <c r="G115" s="310" t="s">
        <v>264</v>
      </c>
      <c r="H115" s="311"/>
      <c r="I115" s="312">
        <f t="shared" si="2"/>
        <v>270000</v>
      </c>
      <c r="J115" s="273"/>
      <c r="L115" s="8"/>
      <c r="M115" s="8"/>
      <c r="N115" s="8">
        <f>'[4]Usulan 2021'!I114</f>
        <v>270000</v>
      </c>
      <c r="O115" s="8">
        <f>'[4]Usulan 2021'!J114</f>
        <v>275000</v>
      </c>
      <c r="P115" s="8">
        <f>'[4]Usulan 2021'!K114</f>
        <v>280000</v>
      </c>
    </row>
    <row r="116" spans="2:17" x14ac:dyDescent="0.2">
      <c r="B116" s="258">
        <f t="shared" si="3"/>
        <v>52</v>
      </c>
      <c r="C116" s="268"/>
      <c r="D116" s="318" t="s">
        <v>671</v>
      </c>
      <c r="E116" s="270"/>
      <c r="F116" s="279"/>
      <c r="G116" s="310" t="s">
        <v>264</v>
      </c>
      <c r="H116" s="311"/>
      <c r="I116" s="312">
        <f t="shared" si="2"/>
        <v>280000</v>
      </c>
      <c r="J116" s="273"/>
      <c r="L116" s="8"/>
      <c r="M116" s="8"/>
      <c r="N116" s="8">
        <f>'[4]Usulan 2021'!I115</f>
        <v>280000</v>
      </c>
      <c r="O116" s="8">
        <f>'[4]Usulan 2021'!J115</f>
        <v>275000</v>
      </c>
      <c r="P116" s="8">
        <f>'[4]Usulan 2021'!K115</f>
        <v>270000</v>
      </c>
    </row>
    <row r="117" spans="2:17" x14ac:dyDescent="0.2">
      <c r="B117" s="258">
        <f t="shared" si="3"/>
        <v>53</v>
      </c>
      <c r="C117" s="268"/>
      <c r="D117" s="318" t="s">
        <v>672</v>
      </c>
      <c r="E117" s="270"/>
      <c r="F117" s="279"/>
      <c r="G117" s="310" t="s">
        <v>264</v>
      </c>
      <c r="H117" s="311"/>
      <c r="I117" s="312">
        <f t="shared" si="2"/>
        <v>280000</v>
      </c>
      <c r="J117" s="273"/>
      <c r="L117" s="8"/>
      <c r="M117" s="8"/>
      <c r="N117" s="8">
        <f>'[4]Usulan 2021'!I116</f>
        <v>280000</v>
      </c>
      <c r="O117" s="8">
        <f>'[4]Usulan 2021'!J116</f>
        <v>275000</v>
      </c>
      <c r="P117" s="8">
        <f>'[4]Usulan 2021'!K116</f>
        <v>270000</v>
      </c>
    </row>
    <row r="118" spans="2:17" x14ac:dyDescent="0.2">
      <c r="B118" s="258">
        <f t="shared" si="3"/>
        <v>54</v>
      </c>
      <c r="C118" s="268"/>
      <c r="D118" s="318" t="s">
        <v>673</v>
      </c>
      <c r="E118" s="270"/>
      <c r="F118" s="279"/>
      <c r="G118" s="310" t="s">
        <v>264</v>
      </c>
      <c r="H118" s="311"/>
      <c r="I118" s="312">
        <f t="shared" si="2"/>
        <v>285000</v>
      </c>
      <c r="J118" s="273"/>
      <c r="L118" s="8"/>
      <c r="M118" s="8"/>
      <c r="N118" s="8">
        <f>'[4]Usulan 2021'!I117</f>
        <v>285000</v>
      </c>
      <c r="O118" s="8">
        <f>'[4]Usulan 2021'!J117</f>
        <v>280000</v>
      </c>
      <c r="P118" s="8">
        <f>'[4]Usulan 2021'!K117</f>
        <v>275000</v>
      </c>
    </row>
    <row r="119" spans="2:17" x14ac:dyDescent="0.2">
      <c r="B119" s="258">
        <f t="shared" si="3"/>
        <v>55</v>
      </c>
      <c r="C119" s="268"/>
      <c r="D119" s="318" t="s">
        <v>674</v>
      </c>
      <c r="E119" s="270"/>
      <c r="F119" s="279"/>
      <c r="G119" s="310" t="s">
        <v>264</v>
      </c>
      <c r="H119" s="311"/>
      <c r="I119" s="312">
        <f t="shared" si="2"/>
        <v>285000</v>
      </c>
      <c r="J119" s="273"/>
      <c r="L119" s="8"/>
      <c r="M119" s="8"/>
      <c r="N119" s="8">
        <f>'[4]Usulan 2021'!I118</f>
        <v>285000</v>
      </c>
      <c r="O119" s="8">
        <f>'[4]Usulan 2021'!J118</f>
        <v>280000</v>
      </c>
      <c r="P119" s="8">
        <f>'[4]Usulan 2021'!K118</f>
        <v>275000</v>
      </c>
    </row>
    <row r="120" spans="2:17" x14ac:dyDescent="0.2">
      <c r="B120" s="258">
        <f t="shared" si="3"/>
        <v>56</v>
      </c>
      <c r="C120" s="329"/>
      <c r="D120" s="330" t="s">
        <v>648</v>
      </c>
      <c r="E120" s="275"/>
      <c r="F120" s="331"/>
      <c r="G120" s="332" t="s">
        <v>298</v>
      </c>
      <c r="H120" s="277"/>
      <c r="I120" s="312">
        <f t="shared" si="2"/>
        <v>35000</v>
      </c>
      <c r="J120" s="333"/>
      <c r="L120" s="8"/>
      <c r="M120" s="8"/>
      <c r="N120" s="8">
        <f>'[4]Usulan 2021'!I119</f>
        <v>35000</v>
      </c>
      <c r="O120" s="8">
        <f>'[4]Usulan 2021'!J119</f>
        <v>35000</v>
      </c>
      <c r="P120" s="8">
        <f>'[4]Usulan 2021'!K119</f>
        <v>35000</v>
      </c>
    </row>
    <row r="121" spans="2:17" x14ac:dyDescent="0.2">
      <c r="B121" s="258">
        <f t="shared" si="3"/>
        <v>57</v>
      </c>
      <c r="C121" s="259"/>
      <c r="D121" s="334" t="s">
        <v>1413</v>
      </c>
      <c r="E121" s="261"/>
      <c r="F121" s="331"/>
      <c r="G121" s="335" t="s">
        <v>298</v>
      </c>
      <c r="H121" s="336"/>
      <c r="I121" s="312">
        <f t="shared" si="2"/>
        <v>58000</v>
      </c>
      <c r="J121" s="333"/>
      <c r="L121" s="8"/>
      <c r="M121" s="8"/>
      <c r="N121" s="8">
        <f>'[4]Usulan 2021'!I120</f>
        <v>58000</v>
      </c>
      <c r="O121" s="8"/>
      <c r="P121" s="8"/>
    </row>
    <row r="122" spans="2:17" x14ac:dyDescent="0.2">
      <c r="B122" s="258">
        <f t="shared" si="3"/>
        <v>58</v>
      </c>
      <c r="C122" s="259"/>
      <c r="D122" s="334" t="s">
        <v>1414</v>
      </c>
      <c r="E122" s="261"/>
      <c r="F122" s="331"/>
      <c r="G122" s="335" t="s">
        <v>268</v>
      </c>
      <c r="H122" s="336"/>
      <c r="I122" s="312">
        <f t="shared" si="2"/>
        <v>6500</v>
      </c>
      <c r="J122" s="333"/>
      <c r="L122" s="8"/>
      <c r="M122" s="8"/>
      <c r="N122" s="8">
        <f>'[4]Usulan 2021'!I121</f>
        <v>6500</v>
      </c>
      <c r="O122" s="8"/>
      <c r="P122" s="8"/>
    </row>
    <row r="123" spans="2:17" x14ac:dyDescent="0.2">
      <c r="B123" s="258">
        <f t="shared" si="3"/>
        <v>59</v>
      </c>
      <c r="C123" s="337"/>
      <c r="D123" s="338" t="s">
        <v>1415</v>
      </c>
      <c r="E123" s="339"/>
      <c r="F123" s="331"/>
      <c r="G123" s="340" t="s">
        <v>268</v>
      </c>
      <c r="H123" s="341"/>
      <c r="I123" s="312">
        <f t="shared" si="2"/>
        <v>2500</v>
      </c>
      <c r="J123" s="333"/>
      <c r="L123" s="8"/>
      <c r="M123" s="8"/>
      <c r="N123" s="8">
        <f>'[4]Usulan 2021'!I122</f>
        <v>2500</v>
      </c>
      <c r="O123" s="8"/>
      <c r="P123" s="8"/>
    </row>
    <row r="124" spans="2:17" x14ac:dyDescent="0.2">
      <c r="B124" s="258">
        <f t="shared" si="3"/>
        <v>60</v>
      </c>
      <c r="C124" s="268"/>
      <c r="D124" s="319" t="s">
        <v>454</v>
      </c>
      <c r="E124" s="315"/>
      <c r="F124" s="316"/>
      <c r="G124" s="310" t="s">
        <v>298</v>
      </c>
      <c r="H124" s="328"/>
      <c r="I124" s="312">
        <f>N124</f>
        <v>11000</v>
      </c>
      <c r="J124" s="273"/>
      <c r="L124" s="8"/>
      <c r="M124" s="8"/>
      <c r="N124" s="342">
        <f>'[4]Usulan 2021'!I123</f>
        <v>11000</v>
      </c>
      <c r="O124" s="342">
        <f>'[4]Usulan 2021'!J123</f>
        <v>11000</v>
      </c>
      <c r="P124" s="342">
        <f>'[4]Usulan 2021'!K123</f>
        <v>11000</v>
      </c>
    </row>
    <row r="125" spans="2:17" x14ac:dyDescent="0.2">
      <c r="B125" s="258">
        <f t="shared" si="3"/>
        <v>61</v>
      </c>
      <c r="C125" s="343"/>
      <c r="D125" s="344" t="s">
        <v>848</v>
      </c>
      <c r="E125" s="345"/>
      <c r="F125" s="316"/>
      <c r="G125" s="346" t="s">
        <v>247</v>
      </c>
      <c r="H125" s="347"/>
      <c r="I125" s="312">
        <f t="shared" si="2"/>
        <v>5200</v>
      </c>
      <c r="J125" s="273"/>
      <c r="L125" s="8"/>
      <c r="M125" s="8"/>
      <c r="N125" s="8">
        <f>'[4]Usulan 2021'!I124</f>
        <v>5200</v>
      </c>
      <c r="O125" s="8">
        <f>'[4]Usulan 2021'!J124</f>
        <v>5200</v>
      </c>
      <c r="P125" s="8">
        <f>'[4]Usulan 2021'!K124</f>
        <v>5200</v>
      </c>
    </row>
    <row r="126" spans="2:17" x14ac:dyDescent="0.2">
      <c r="B126" s="258">
        <f t="shared" si="3"/>
        <v>62</v>
      </c>
      <c r="C126" s="343"/>
      <c r="D126" s="344" t="s">
        <v>849</v>
      </c>
      <c r="E126" s="345"/>
      <c r="F126" s="316"/>
      <c r="G126" s="346" t="s">
        <v>247</v>
      </c>
      <c r="H126" s="347"/>
      <c r="I126" s="312">
        <f t="shared" si="2"/>
        <v>8600</v>
      </c>
      <c r="J126" s="273"/>
      <c r="L126" s="8"/>
      <c r="M126" s="8"/>
      <c r="N126" s="8">
        <f>'[4]Usulan 2021'!I125</f>
        <v>8600</v>
      </c>
      <c r="O126" s="8">
        <f>'[4]Usulan 2021'!J125</f>
        <v>8600</v>
      </c>
      <c r="P126" s="8">
        <f>'[4]Usulan 2021'!K125</f>
        <v>8600</v>
      </c>
      <c r="Q126" s="8"/>
    </row>
    <row r="127" spans="2:17" x14ac:dyDescent="0.2">
      <c r="B127" s="258">
        <f t="shared" si="3"/>
        <v>63</v>
      </c>
      <c r="C127" s="268"/>
      <c r="D127" s="318" t="s">
        <v>850</v>
      </c>
      <c r="E127" s="270"/>
      <c r="F127" s="316"/>
      <c r="G127" s="263" t="s">
        <v>247</v>
      </c>
      <c r="H127" s="311"/>
      <c r="I127" s="312">
        <f t="shared" si="2"/>
        <v>9400</v>
      </c>
      <c r="J127" s="273"/>
      <c r="L127" s="8"/>
      <c r="M127" s="8"/>
      <c r="N127" s="8">
        <f>'[4]Usulan 2021'!I126</f>
        <v>9400</v>
      </c>
      <c r="O127" s="8">
        <f>'[4]Usulan 2021'!J126</f>
        <v>9400</v>
      </c>
      <c r="P127" s="8">
        <f>'[4]Usulan 2021'!K126</f>
        <v>9400</v>
      </c>
    </row>
    <row r="128" spans="2:17" x14ac:dyDescent="0.2">
      <c r="B128" s="258">
        <f t="shared" si="3"/>
        <v>64</v>
      </c>
      <c r="C128" s="268"/>
      <c r="D128" s="318" t="s">
        <v>851</v>
      </c>
      <c r="E128" s="270"/>
      <c r="F128" s="316"/>
      <c r="G128" s="263" t="s">
        <v>247</v>
      </c>
      <c r="H128" s="311"/>
      <c r="I128" s="312">
        <f t="shared" si="2"/>
        <v>14100</v>
      </c>
      <c r="J128" s="348"/>
      <c r="L128" s="8"/>
      <c r="M128" s="8"/>
      <c r="N128" s="8">
        <f>'[4]Usulan 2021'!I127</f>
        <v>14100</v>
      </c>
      <c r="O128" s="8">
        <f>'[4]Usulan 2021'!J127</f>
        <v>14100</v>
      </c>
      <c r="P128" s="8">
        <f>'[4]Usulan 2021'!K127</f>
        <v>14100</v>
      </c>
    </row>
    <row r="129" spans="2:20" ht="15" customHeight="1" x14ac:dyDescent="0.2">
      <c r="B129" s="258">
        <f t="shared" si="3"/>
        <v>65</v>
      </c>
      <c r="C129" s="343"/>
      <c r="D129" s="349" t="s">
        <v>647</v>
      </c>
      <c r="E129" s="345"/>
      <c r="F129" s="331"/>
      <c r="G129" s="350" t="s">
        <v>298</v>
      </c>
      <c r="H129" s="351"/>
      <c r="I129" s="312">
        <f t="shared" si="2"/>
        <v>15000</v>
      </c>
      <c r="J129" s="333"/>
      <c r="L129" s="8"/>
      <c r="M129" s="8"/>
      <c r="N129" s="8">
        <f>'[4]Usulan 2021'!I128</f>
        <v>15000</v>
      </c>
      <c r="O129" s="8">
        <f>'[4]Usulan 2021'!J128</f>
        <v>15000</v>
      </c>
      <c r="P129" s="8">
        <f>'[4]Usulan 2021'!K128</f>
        <v>15000</v>
      </c>
    </row>
    <row r="130" spans="2:20" ht="15" customHeight="1" x14ac:dyDescent="0.2">
      <c r="B130" s="258">
        <f t="shared" si="3"/>
        <v>66</v>
      </c>
      <c r="C130" s="268"/>
      <c r="D130" s="319" t="s">
        <v>852</v>
      </c>
      <c r="E130" s="315"/>
      <c r="F130" s="316"/>
      <c r="G130" s="310" t="s">
        <v>298</v>
      </c>
      <c r="H130" s="311"/>
      <c r="I130" s="312">
        <f t="shared" si="2"/>
        <v>15000</v>
      </c>
      <c r="J130" s="273"/>
      <c r="L130" s="8"/>
      <c r="M130" s="8"/>
      <c r="N130" s="8">
        <f>'[4]Usulan 2021'!I129</f>
        <v>15000</v>
      </c>
      <c r="O130" s="8">
        <f>'[4]Usulan 2021'!J129</f>
        <v>15000</v>
      </c>
      <c r="P130" s="8">
        <f>'[4]Usulan 2021'!K129</f>
        <v>15000</v>
      </c>
    </row>
    <row r="131" spans="2:20" ht="15" customHeight="1" x14ac:dyDescent="0.2">
      <c r="B131" s="258">
        <f t="shared" ref="B131:B194" si="4">B130+1</f>
        <v>67</v>
      </c>
      <c r="C131" s="268"/>
      <c r="D131" s="318" t="s">
        <v>853</v>
      </c>
      <c r="E131" s="270"/>
      <c r="F131" s="316"/>
      <c r="G131" s="263" t="s">
        <v>277</v>
      </c>
      <c r="H131" s="311"/>
      <c r="I131" s="312">
        <f t="shared" si="2"/>
        <v>270000</v>
      </c>
      <c r="J131" s="348"/>
      <c r="L131" s="8"/>
      <c r="M131" s="8"/>
      <c r="N131" s="8">
        <f>'[4]Usulan 2021'!I130</f>
        <v>270000</v>
      </c>
      <c r="O131" s="8">
        <f>'[4]Usulan 2021'!J130</f>
        <v>270000</v>
      </c>
      <c r="P131" s="8">
        <f>'[4]Usulan 2021'!K130</f>
        <v>270000</v>
      </c>
      <c r="R131" s="210">
        <v>24.14</v>
      </c>
      <c r="S131" s="352">
        <f>N131/R131</f>
        <v>11184.755592377796</v>
      </c>
    </row>
    <row r="132" spans="2:20" ht="15" customHeight="1" x14ac:dyDescent="0.2">
      <c r="B132" s="258">
        <f t="shared" si="4"/>
        <v>68</v>
      </c>
      <c r="C132" s="268"/>
      <c r="D132" s="318" t="s">
        <v>854</v>
      </c>
      <c r="E132" s="270"/>
      <c r="F132" s="316"/>
      <c r="G132" s="263" t="s">
        <v>277</v>
      </c>
      <c r="H132" s="311"/>
      <c r="I132" s="312">
        <f t="shared" si="2"/>
        <v>385000</v>
      </c>
      <c r="J132" s="348"/>
      <c r="L132" s="8"/>
      <c r="M132" s="8"/>
      <c r="N132" s="8">
        <f>'[4]Usulan 2021'!I131</f>
        <v>385000</v>
      </c>
      <c r="O132" s="8">
        <f>'[4]Usulan 2021'!J131</f>
        <v>385000</v>
      </c>
      <c r="P132" s="8">
        <f>'[4]Usulan 2021'!K131</f>
        <v>385000</v>
      </c>
    </row>
    <row r="133" spans="2:20" ht="15" customHeight="1" x14ac:dyDescent="0.2">
      <c r="B133" s="258">
        <f t="shared" si="4"/>
        <v>69</v>
      </c>
      <c r="C133" s="268"/>
      <c r="D133" s="318" t="s">
        <v>855</v>
      </c>
      <c r="E133" s="270"/>
      <c r="F133" s="316"/>
      <c r="G133" s="263" t="s">
        <v>277</v>
      </c>
      <c r="H133" s="311"/>
      <c r="I133" s="312">
        <f t="shared" si="2"/>
        <v>414000</v>
      </c>
      <c r="J133" s="348"/>
      <c r="L133" s="8"/>
      <c r="M133" s="8"/>
      <c r="N133" s="8">
        <f>'[4]Usulan 2021'!I132</f>
        <v>414000</v>
      </c>
      <c r="O133" s="8">
        <f>'[4]Usulan 2021'!J132</f>
        <v>414000</v>
      </c>
      <c r="P133" s="8">
        <f>'[4]Usulan 2021'!K132</f>
        <v>414000</v>
      </c>
    </row>
    <row r="134" spans="2:20" ht="15" customHeight="1" x14ac:dyDescent="0.2">
      <c r="B134" s="258">
        <f t="shared" si="4"/>
        <v>70</v>
      </c>
      <c r="C134" s="268"/>
      <c r="D134" s="318" t="s">
        <v>856</v>
      </c>
      <c r="E134" s="270"/>
      <c r="F134" s="316"/>
      <c r="G134" s="263" t="s">
        <v>277</v>
      </c>
      <c r="H134" s="311"/>
      <c r="I134" s="312">
        <f t="shared" si="2"/>
        <v>445000</v>
      </c>
      <c r="J134" s="348"/>
      <c r="L134" s="8"/>
      <c r="M134" s="8"/>
      <c r="N134" s="8">
        <f>'[4]Usulan 2021'!I133</f>
        <v>445000</v>
      </c>
      <c r="O134" s="8">
        <f>'[4]Usulan 2021'!J133</f>
        <v>445000</v>
      </c>
      <c r="P134" s="8">
        <f>'[4]Usulan 2021'!K133</f>
        <v>445000</v>
      </c>
      <c r="R134" s="210">
        <v>34.76</v>
      </c>
      <c r="S134" s="352">
        <f>N134/R134</f>
        <v>12802.071346375145</v>
      </c>
    </row>
    <row r="135" spans="2:20" ht="15" customHeight="1" x14ac:dyDescent="0.2">
      <c r="B135" s="258">
        <f t="shared" si="4"/>
        <v>71</v>
      </c>
      <c r="C135" s="268"/>
      <c r="D135" s="318" t="s">
        <v>857</v>
      </c>
      <c r="E135" s="270"/>
      <c r="F135" s="316"/>
      <c r="G135" s="263" t="s">
        <v>277</v>
      </c>
      <c r="H135" s="311"/>
      <c r="I135" s="312">
        <f t="shared" si="2"/>
        <v>578000</v>
      </c>
      <c r="J135" s="348"/>
      <c r="L135" s="8"/>
      <c r="M135" s="8"/>
      <c r="N135" s="8">
        <f>'[4]Usulan 2021'!I134</f>
        <v>578000</v>
      </c>
      <c r="O135" s="8">
        <f>'[4]Usulan 2021'!J134</f>
        <v>578000</v>
      </c>
      <c r="P135" s="8">
        <f>'[4]Usulan 2021'!K134</f>
        <v>578000</v>
      </c>
    </row>
    <row r="136" spans="2:20" ht="15" customHeight="1" x14ac:dyDescent="0.2">
      <c r="B136" s="258">
        <f t="shared" si="4"/>
        <v>72</v>
      </c>
      <c r="C136" s="268"/>
      <c r="D136" s="318" t="s">
        <v>858</v>
      </c>
      <c r="E136" s="270"/>
      <c r="F136" s="316"/>
      <c r="G136" s="263" t="s">
        <v>277</v>
      </c>
      <c r="H136" s="311"/>
      <c r="I136" s="312">
        <f t="shared" si="2"/>
        <v>730000</v>
      </c>
      <c r="J136" s="348"/>
      <c r="L136" s="8"/>
      <c r="M136" s="8"/>
      <c r="N136" s="8">
        <f>'[4]Usulan 2021'!I135</f>
        <v>730000</v>
      </c>
      <c r="O136" s="8">
        <f>'[4]Usulan 2021'!J135</f>
        <v>730000</v>
      </c>
      <c r="P136" s="8">
        <f>'[4]Usulan 2021'!K135</f>
        <v>730000</v>
      </c>
    </row>
    <row r="137" spans="2:20" ht="15" customHeight="1" x14ac:dyDescent="0.2">
      <c r="B137" s="258">
        <f t="shared" si="4"/>
        <v>73</v>
      </c>
      <c r="C137" s="268"/>
      <c r="D137" s="318" t="s">
        <v>859</v>
      </c>
      <c r="E137" s="270"/>
      <c r="F137" s="316"/>
      <c r="G137" s="263" t="s">
        <v>277</v>
      </c>
      <c r="H137" s="311"/>
      <c r="I137" s="312">
        <f t="shared" si="2"/>
        <v>770000</v>
      </c>
      <c r="J137" s="348"/>
      <c r="L137" s="8"/>
      <c r="M137" s="8"/>
      <c r="N137" s="8">
        <f>'[4]Usulan 2021'!I136</f>
        <v>770000</v>
      </c>
      <c r="O137" s="8">
        <f>'[4]Usulan 2021'!J136</f>
        <v>770000</v>
      </c>
      <c r="P137" s="8">
        <f>'[4]Usulan 2021'!K136</f>
        <v>770000</v>
      </c>
    </row>
    <row r="138" spans="2:20" ht="15" customHeight="1" x14ac:dyDescent="0.2">
      <c r="B138" s="258">
        <f t="shared" si="4"/>
        <v>74</v>
      </c>
      <c r="C138" s="268"/>
      <c r="D138" s="318" t="s">
        <v>860</v>
      </c>
      <c r="E138" s="270"/>
      <c r="F138" s="316"/>
      <c r="G138" s="263" t="s">
        <v>277</v>
      </c>
      <c r="H138" s="311"/>
      <c r="I138" s="312">
        <f t="shared" si="2"/>
        <v>812000</v>
      </c>
      <c r="J138" s="348"/>
      <c r="L138" s="8"/>
      <c r="M138" s="8"/>
      <c r="N138" s="8">
        <f>'[4]Usulan 2021'!I137</f>
        <v>812000</v>
      </c>
      <c r="O138" s="8">
        <f>'[4]Usulan 2021'!J137</f>
        <v>812000</v>
      </c>
      <c r="P138" s="8">
        <f>'[4]Usulan 2021'!K137</f>
        <v>812000</v>
      </c>
      <c r="R138" s="210">
        <v>61.79</v>
      </c>
      <c r="S138" s="352">
        <f>N138/R138</f>
        <v>13141.284997572422</v>
      </c>
      <c r="T138" s="210">
        <f>2.1*5.4</f>
        <v>11.340000000000002</v>
      </c>
    </row>
    <row r="139" spans="2:20" ht="15" customHeight="1" x14ac:dyDescent="0.2">
      <c r="B139" s="258">
        <f t="shared" si="4"/>
        <v>75</v>
      </c>
      <c r="C139" s="268"/>
      <c r="D139" s="318" t="s">
        <v>861</v>
      </c>
      <c r="E139" s="270"/>
      <c r="F139" s="316"/>
      <c r="G139" s="263" t="s">
        <v>277</v>
      </c>
      <c r="H139" s="311"/>
      <c r="I139" s="312">
        <f t="shared" si="2"/>
        <v>1267000</v>
      </c>
      <c r="J139" s="348"/>
      <c r="L139" s="8"/>
      <c r="M139" s="8"/>
      <c r="N139" s="8">
        <f>'[4]Usulan 2021'!I138</f>
        <v>1267000</v>
      </c>
      <c r="O139" s="8">
        <f>'[4]Usulan 2021'!J138</f>
        <v>1267000</v>
      </c>
      <c r="P139" s="8">
        <f>'[4]Usulan 2021'!K138</f>
        <v>1267000</v>
      </c>
      <c r="R139" s="210">
        <v>96.54</v>
      </c>
      <c r="S139" s="352">
        <f t="shared" ref="S139:S140" si="5">N139/R139</f>
        <v>13124.093639941992</v>
      </c>
    </row>
    <row r="140" spans="2:20" ht="15" customHeight="1" x14ac:dyDescent="0.2">
      <c r="B140" s="258">
        <f t="shared" si="4"/>
        <v>76</v>
      </c>
      <c r="C140" s="268"/>
      <c r="D140" s="318" t="s">
        <v>862</v>
      </c>
      <c r="E140" s="270"/>
      <c r="F140" s="316"/>
      <c r="G140" s="263" t="s">
        <v>277</v>
      </c>
      <c r="H140" s="311"/>
      <c r="I140" s="312">
        <f t="shared" ref="I140:I220" si="6">N140</f>
        <v>1972000</v>
      </c>
      <c r="J140" s="348"/>
      <c r="L140" s="8"/>
      <c r="M140" s="8"/>
      <c r="N140" s="8">
        <f>'[4]Usulan 2021'!I139</f>
        <v>1972000</v>
      </c>
      <c r="O140" s="8">
        <f>'[4]Usulan 2021'!J139</f>
        <v>1972000</v>
      </c>
      <c r="P140" s="8">
        <f>'[4]Usulan 2021'!K139</f>
        <v>1972000</v>
      </c>
      <c r="R140" s="210">
        <v>139.02000000000001</v>
      </c>
      <c r="S140" s="352">
        <f t="shared" si="5"/>
        <v>14185.009351172492</v>
      </c>
    </row>
    <row r="141" spans="2:20" ht="15" customHeight="1" x14ac:dyDescent="0.2">
      <c r="B141" s="258">
        <f t="shared" si="4"/>
        <v>77</v>
      </c>
      <c r="C141" s="323"/>
      <c r="D141" s="318" t="s">
        <v>435</v>
      </c>
      <c r="E141" s="270"/>
      <c r="F141" s="279"/>
      <c r="G141" s="310" t="s">
        <v>247</v>
      </c>
      <c r="H141" s="311"/>
      <c r="I141" s="312">
        <f t="shared" si="6"/>
        <v>32000</v>
      </c>
      <c r="J141" s="273"/>
      <c r="L141" s="8"/>
      <c r="M141" s="8"/>
      <c r="N141" s="8">
        <f>'[4]Usulan 2021'!I140</f>
        <v>32000</v>
      </c>
      <c r="O141" s="8">
        <f>'[4]Usulan 2021'!J140</f>
        <v>32000</v>
      </c>
      <c r="P141" s="8">
        <f>'[4]Usulan 2021'!K140</f>
        <v>32000</v>
      </c>
    </row>
    <row r="142" spans="2:20" ht="15" customHeight="1" x14ac:dyDescent="0.2">
      <c r="B142" s="258">
        <f t="shared" si="4"/>
        <v>78</v>
      </c>
      <c r="C142" s="268"/>
      <c r="D142" s="318" t="s">
        <v>482</v>
      </c>
      <c r="E142" s="270"/>
      <c r="F142" s="279"/>
      <c r="G142" s="310" t="s">
        <v>247</v>
      </c>
      <c r="H142" s="311"/>
      <c r="I142" s="312">
        <f t="shared" si="6"/>
        <v>41000</v>
      </c>
      <c r="J142" s="273"/>
      <c r="L142" s="8"/>
      <c r="M142" s="8"/>
      <c r="N142" s="8">
        <f>'[4]Usulan 2021'!I141</f>
        <v>41000</v>
      </c>
      <c r="O142" s="8">
        <f>'[4]Usulan 2021'!J141</f>
        <v>41000</v>
      </c>
      <c r="P142" s="8">
        <f>'[4]Usulan 2021'!K141</f>
        <v>41000</v>
      </c>
    </row>
    <row r="143" spans="2:20" ht="15" customHeight="1" x14ac:dyDescent="0.2">
      <c r="B143" s="258">
        <f t="shared" si="4"/>
        <v>79</v>
      </c>
      <c r="C143" s="323"/>
      <c r="D143" s="318" t="s">
        <v>434</v>
      </c>
      <c r="E143" s="270"/>
      <c r="F143" s="279"/>
      <c r="G143" s="310" t="s">
        <v>247</v>
      </c>
      <c r="H143" s="311"/>
      <c r="I143" s="312">
        <f t="shared" si="6"/>
        <v>41000</v>
      </c>
      <c r="J143" s="273"/>
      <c r="L143" s="8"/>
      <c r="M143" s="8"/>
      <c r="N143" s="8">
        <f>'[4]Usulan 2021'!I142</f>
        <v>41000</v>
      </c>
      <c r="O143" s="8">
        <f>'[4]Usulan 2021'!J142</f>
        <v>41000</v>
      </c>
      <c r="P143" s="8">
        <f>'[4]Usulan 2021'!K142</f>
        <v>41000</v>
      </c>
    </row>
    <row r="144" spans="2:20" ht="15" customHeight="1" x14ac:dyDescent="0.2">
      <c r="B144" s="258">
        <f t="shared" si="4"/>
        <v>80</v>
      </c>
      <c r="C144" s="268"/>
      <c r="D144" s="318" t="s">
        <v>478</v>
      </c>
      <c r="E144" s="270"/>
      <c r="F144" s="279"/>
      <c r="G144" s="310" t="s">
        <v>247</v>
      </c>
      <c r="H144" s="311"/>
      <c r="I144" s="312">
        <f t="shared" si="6"/>
        <v>58000</v>
      </c>
      <c r="J144" s="273"/>
      <c r="L144" s="8"/>
      <c r="M144" s="8"/>
      <c r="N144" s="8">
        <f>'[4]Usulan 2021'!I143</f>
        <v>58000</v>
      </c>
      <c r="O144" s="8">
        <f>'[4]Usulan 2021'!J143</f>
        <v>58000</v>
      </c>
      <c r="P144" s="8">
        <f>'[4]Usulan 2021'!K143</f>
        <v>58000</v>
      </c>
    </row>
    <row r="145" spans="2:16" x14ac:dyDescent="0.2">
      <c r="B145" s="258">
        <f t="shared" si="4"/>
        <v>81</v>
      </c>
      <c r="C145" s="268"/>
      <c r="D145" s="318" t="s">
        <v>479</v>
      </c>
      <c r="E145" s="270"/>
      <c r="F145" s="279"/>
      <c r="G145" s="310" t="s">
        <v>247</v>
      </c>
      <c r="H145" s="311"/>
      <c r="I145" s="312">
        <f t="shared" si="6"/>
        <v>61000</v>
      </c>
      <c r="J145" s="273"/>
      <c r="L145" s="8"/>
      <c r="M145" s="8"/>
      <c r="N145" s="8">
        <f>'[4]Usulan 2021'!I144</f>
        <v>61000</v>
      </c>
      <c r="O145" s="8">
        <f>'[4]Usulan 2021'!J144</f>
        <v>61000</v>
      </c>
      <c r="P145" s="8">
        <f>'[4]Usulan 2021'!K144</f>
        <v>61000</v>
      </c>
    </row>
    <row r="146" spans="2:16" x14ac:dyDescent="0.2">
      <c r="B146" s="258">
        <f t="shared" si="4"/>
        <v>82</v>
      </c>
      <c r="C146" s="268"/>
      <c r="D146" s="318" t="s">
        <v>480</v>
      </c>
      <c r="E146" s="270"/>
      <c r="F146" s="279"/>
      <c r="G146" s="310" t="s">
        <v>247</v>
      </c>
      <c r="H146" s="311"/>
      <c r="I146" s="312">
        <f t="shared" si="6"/>
        <v>84000</v>
      </c>
      <c r="J146" s="273"/>
      <c r="L146" s="8"/>
      <c r="M146" s="8"/>
      <c r="N146" s="8">
        <f>'[4]Usulan 2021'!I145</f>
        <v>84000</v>
      </c>
      <c r="O146" s="8">
        <f>'[4]Usulan 2021'!J145</f>
        <v>84000</v>
      </c>
      <c r="P146" s="8">
        <f>'[4]Usulan 2021'!K145</f>
        <v>84000</v>
      </c>
    </row>
    <row r="147" spans="2:16" x14ac:dyDescent="0.2">
      <c r="B147" s="258">
        <f t="shared" si="4"/>
        <v>83</v>
      </c>
      <c r="C147" s="268"/>
      <c r="D147" s="318" t="s">
        <v>481</v>
      </c>
      <c r="E147" s="270"/>
      <c r="F147" s="279"/>
      <c r="G147" s="310" t="s">
        <v>247</v>
      </c>
      <c r="H147" s="311"/>
      <c r="I147" s="312">
        <f t="shared" si="6"/>
        <v>96000</v>
      </c>
      <c r="J147" s="273"/>
      <c r="L147" s="8"/>
      <c r="M147" s="8"/>
      <c r="N147" s="8">
        <f>'[4]Usulan 2021'!I146</f>
        <v>96000</v>
      </c>
      <c r="O147" s="8">
        <f>'[4]Usulan 2021'!J146</f>
        <v>96000</v>
      </c>
      <c r="P147" s="8">
        <f>'[4]Usulan 2021'!K146</f>
        <v>96000</v>
      </c>
    </row>
    <row r="148" spans="2:16" x14ac:dyDescent="0.2">
      <c r="B148" s="258">
        <f t="shared" si="4"/>
        <v>84</v>
      </c>
      <c r="C148" s="268"/>
      <c r="D148" s="318" t="s">
        <v>691</v>
      </c>
      <c r="E148" s="270"/>
      <c r="F148" s="279"/>
      <c r="G148" s="310" t="s">
        <v>265</v>
      </c>
      <c r="H148" s="311"/>
      <c r="I148" s="312">
        <f t="shared" si="6"/>
        <v>102000</v>
      </c>
      <c r="J148" s="273"/>
      <c r="L148" s="8"/>
      <c r="M148" s="8"/>
      <c r="N148" s="8">
        <f>'[4]Usulan 2021'!I147</f>
        <v>102000</v>
      </c>
      <c r="O148" s="8">
        <f>'[4]Usulan 2021'!J147</f>
        <v>102000</v>
      </c>
      <c r="P148" s="8">
        <f>'[4]Usulan 2021'!K147</f>
        <v>102000</v>
      </c>
    </row>
    <row r="149" spans="2:16" x14ac:dyDescent="0.2">
      <c r="B149" s="258">
        <f t="shared" si="4"/>
        <v>85</v>
      </c>
      <c r="C149" s="268"/>
      <c r="D149" s="318" t="s">
        <v>692</v>
      </c>
      <c r="E149" s="270"/>
      <c r="F149" s="279"/>
      <c r="G149" s="310" t="s">
        <v>265</v>
      </c>
      <c r="H149" s="311"/>
      <c r="I149" s="312">
        <f t="shared" si="6"/>
        <v>149000</v>
      </c>
      <c r="J149" s="273"/>
      <c r="L149" s="8"/>
      <c r="M149" s="8"/>
      <c r="N149" s="8">
        <f>'[4]Usulan 2021'!I148</f>
        <v>149000</v>
      </c>
      <c r="O149" s="8">
        <f>'[4]Usulan 2021'!J148</f>
        <v>149000</v>
      </c>
      <c r="P149" s="8">
        <f>'[4]Usulan 2021'!K148</f>
        <v>149000</v>
      </c>
    </row>
    <row r="150" spans="2:16" x14ac:dyDescent="0.2">
      <c r="B150" s="258">
        <f t="shared" si="4"/>
        <v>86</v>
      </c>
      <c r="C150" s="268"/>
      <c r="D150" s="318" t="s">
        <v>1359</v>
      </c>
      <c r="E150" s="270"/>
      <c r="F150" s="279"/>
      <c r="G150" s="310" t="s">
        <v>277</v>
      </c>
      <c r="H150" s="311"/>
      <c r="I150" s="312">
        <f t="shared" si="6"/>
        <v>17400</v>
      </c>
      <c r="J150" s="273"/>
      <c r="L150" s="8"/>
      <c r="M150" s="8"/>
      <c r="N150" s="8">
        <f>'[4]Usulan 2021'!I149</f>
        <v>17400</v>
      </c>
      <c r="O150" s="8"/>
      <c r="P150" s="8"/>
    </row>
    <row r="151" spans="2:16" x14ac:dyDescent="0.2">
      <c r="B151" s="258">
        <f t="shared" si="4"/>
        <v>87</v>
      </c>
      <c r="C151" s="268"/>
      <c r="D151" s="318" t="s">
        <v>1360</v>
      </c>
      <c r="E151" s="270"/>
      <c r="F151" s="279"/>
      <c r="G151" s="310" t="s">
        <v>268</v>
      </c>
      <c r="H151" s="311"/>
      <c r="I151" s="312">
        <f t="shared" si="6"/>
        <v>157000</v>
      </c>
      <c r="J151" s="273"/>
      <c r="L151" s="8"/>
      <c r="M151" s="8"/>
      <c r="N151" s="8">
        <f>'[4]Usulan 2021'!I150</f>
        <v>157000</v>
      </c>
      <c r="O151" s="8"/>
      <c r="P151" s="8"/>
    </row>
    <row r="152" spans="2:16" x14ac:dyDescent="0.2">
      <c r="B152" s="258">
        <f t="shared" si="4"/>
        <v>88</v>
      </c>
      <c r="C152" s="268"/>
      <c r="D152" s="319" t="s">
        <v>624</v>
      </c>
      <c r="E152" s="315"/>
      <c r="F152" s="316"/>
      <c r="G152" s="310" t="s">
        <v>298</v>
      </c>
      <c r="H152" s="311"/>
      <c r="I152" s="312">
        <f t="shared" si="6"/>
        <v>64000</v>
      </c>
      <c r="J152" s="273"/>
      <c r="L152" s="8"/>
      <c r="M152" s="8"/>
      <c r="N152" s="8">
        <f>'[4]Usulan 2021'!I151</f>
        <v>64000</v>
      </c>
      <c r="O152" s="8">
        <f>'[4]Usulan 2021'!J151</f>
        <v>64000</v>
      </c>
      <c r="P152" s="8">
        <f>'[4]Usulan 2021'!K151</f>
        <v>64000</v>
      </c>
    </row>
    <row r="153" spans="2:16" x14ac:dyDescent="0.2">
      <c r="B153" s="258">
        <f t="shared" si="4"/>
        <v>89</v>
      </c>
      <c r="C153" s="268"/>
      <c r="D153" s="319" t="s">
        <v>436</v>
      </c>
      <c r="E153" s="315"/>
      <c r="F153" s="316"/>
      <c r="G153" s="310" t="s">
        <v>298</v>
      </c>
      <c r="H153" s="311"/>
      <c r="I153" s="312">
        <f>N153</f>
        <v>64000</v>
      </c>
      <c r="J153" s="273"/>
      <c r="L153" s="8"/>
      <c r="M153" s="8"/>
      <c r="N153" s="8">
        <f>'[4]Usulan 2021'!I152</f>
        <v>64000</v>
      </c>
      <c r="O153" s="8">
        <f>'[4]Usulan 2021'!J152</f>
        <v>64000</v>
      </c>
      <c r="P153" s="8">
        <f>'[4]Usulan 2021'!K152</f>
        <v>64000</v>
      </c>
    </row>
    <row r="154" spans="2:16" x14ac:dyDescent="0.2">
      <c r="B154" s="258">
        <f t="shared" si="4"/>
        <v>90</v>
      </c>
      <c r="C154" s="268"/>
      <c r="D154" s="319" t="s">
        <v>483</v>
      </c>
      <c r="E154" s="315"/>
      <c r="F154" s="316"/>
      <c r="G154" s="310" t="s">
        <v>298</v>
      </c>
      <c r="H154" s="311"/>
      <c r="I154" s="312">
        <f t="shared" si="6"/>
        <v>64000</v>
      </c>
      <c r="J154" s="273"/>
      <c r="L154" s="8"/>
      <c r="M154" s="8"/>
      <c r="N154" s="8">
        <f>'[4]Usulan 2021'!I153</f>
        <v>64000</v>
      </c>
      <c r="O154" s="8">
        <f>'[4]Usulan 2021'!J153</f>
        <v>64000</v>
      </c>
      <c r="P154" s="8">
        <f>'[4]Usulan 2021'!K153</f>
        <v>64000</v>
      </c>
    </row>
    <row r="155" spans="2:16" x14ac:dyDescent="0.2">
      <c r="B155" s="258">
        <f t="shared" si="4"/>
        <v>91</v>
      </c>
      <c r="C155" s="268"/>
      <c r="D155" s="318" t="s">
        <v>1361</v>
      </c>
      <c r="E155" s="270"/>
      <c r="F155" s="270"/>
      <c r="G155" s="310" t="s">
        <v>298</v>
      </c>
      <c r="H155" s="311"/>
      <c r="I155" s="312">
        <f>N155</f>
        <v>29000</v>
      </c>
      <c r="J155" s="273"/>
      <c r="L155" s="8"/>
      <c r="M155" s="8"/>
      <c r="N155" s="8">
        <f>'[4]Usulan 2021'!I154</f>
        <v>29000</v>
      </c>
      <c r="O155" s="8">
        <f>'[4]Usulan 2021'!J154</f>
        <v>29000</v>
      </c>
      <c r="P155" s="8">
        <f>'[4]Usulan 2021'!K154</f>
        <v>29000</v>
      </c>
    </row>
    <row r="156" spans="2:16" x14ac:dyDescent="0.2">
      <c r="B156" s="258">
        <f t="shared" si="4"/>
        <v>92</v>
      </c>
      <c r="C156" s="268"/>
      <c r="D156" s="318" t="s">
        <v>1362</v>
      </c>
      <c r="E156" s="270"/>
      <c r="F156" s="270"/>
      <c r="G156" s="310" t="s">
        <v>298</v>
      </c>
      <c r="H156" s="311"/>
      <c r="I156" s="312">
        <f>N156</f>
        <v>29000</v>
      </c>
      <c r="J156" s="273"/>
      <c r="L156" s="8"/>
      <c r="M156" s="8"/>
      <c r="N156" s="8">
        <f>'[4]Usulan 2021'!I155</f>
        <v>29000</v>
      </c>
      <c r="O156" s="8">
        <f>'[4]Usulan 2021'!J155</f>
        <v>29000</v>
      </c>
      <c r="P156" s="8">
        <f>'[4]Usulan 2021'!K155</f>
        <v>29000</v>
      </c>
    </row>
    <row r="157" spans="2:16" x14ac:dyDescent="0.2">
      <c r="B157" s="258">
        <f t="shared" si="4"/>
        <v>93</v>
      </c>
      <c r="C157" s="268"/>
      <c r="D157" s="319" t="s">
        <v>437</v>
      </c>
      <c r="E157" s="315"/>
      <c r="F157" s="316"/>
      <c r="G157" s="310" t="s">
        <v>298</v>
      </c>
      <c r="H157" s="311"/>
      <c r="I157" s="312">
        <f t="shared" si="6"/>
        <v>29000</v>
      </c>
      <c r="J157" s="273"/>
      <c r="L157" s="8"/>
      <c r="M157" s="8"/>
      <c r="N157" s="8">
        <f>'[4]Usulan 2021'!I156</f>
        <v>29000</v>
      </c>
      <c r="O157" s="8">
        <f>'[4]Usulan 2021'!J156</f>
        <v>29000</v>
      </c>
      <c r="P157" s="8">
        <f>'[4]Usulan 2021'!K156</f>
        <v>29000</v>
      </c>
    </row>
    <row r="158" spans="2:16" x14ac:dyDescent="0.2">
      <c r="B158" s="258">
        <f t="shared" si="4"/>
        <v>94</v>
      </c>
      <c r="C158" s="343"/>
      <c r="D158" s="349" t="s">
        <v>484</v>
      </c>
      <c r="E158" s="345"/>
      <c r="F158" s="353"/>
      <c r="G158" s="350" t="s">
        <v>298</v>
      </c>
      <c r="H158" s="351"/>
      <c r="I158" s="312">
        <f t="shared" si="6"/>
        <v>146000</v>
      </c>
      <c r="J158" s="333"/>
      <c r="L158" s="8"/>
      <c r="M158" s="8"/>
      <c r="N158" s="8">
        <f>'[4]Usulan 2021'!I157</f>
        <v>146000</v>
      </c>
      <c r="O158" s="8">
        <f>'[4]Usulan 2021'!J157</f>
        <v>146000</v>
      </c>
      <c r="P158" s="8">
        <f>'[4]Usulan 2021'!K157</f>
        <v>146000</v>
      </c>
    </row>
    <row r="159" spans="2:16" x14ac:dyDescent="0.2">
      <c r="B159" s="258">
        <f t="shared" si="4"/>
        <v>95</v>
      </c>
      <c r="C159" s="259"/>
      <c r="D159" s="354" t="s">
        <v>625</v>
      </c>
      <c r="E159" s="261"/>
      <c r="F159" s="316"/>
      <c r="G159" s="335" t="s">
        <v>268</v>
      </c>
      <c r="H159" s="264"/>
      <c r="I159" s="312">
        <f t="shared" si="6"/>
        <v>460000</v>
      </c>
      <c r="J159" s="273"/>
      <c r="L159" s="8"/>
      <c r="M159" s="8"/>
      <c r="N159" s="8">
        <f>'[4]Usulan 2021'!I158</f>
        <v>460000</v>
      </c>
      <c r="O159" s="8">
        <f>'[4]Usulan 2021'!J158</f>
        <v>460000</v>
      </c>
      <c r="P159" s="8">
        <f>'[4]Usulan 2021'!K158</f>
        <v>460000</v>
      </c>
    </row>
    <row r="160" spans="2:16" x14ac:dyDescent="0.2">
      <c r="B160" s="258">
        <f t="shared" si="4"/>
        <v>96</v>
      </c>
      <c r="C160" s="259"/>
      <c r="D160" s="354" t="s">
        <v>1473</v>
      </c>
      <c r="E160" s="261"/>
      <c r="F160" s="279"/>
      <c r="G160" s="335" t="s">
        <v>268</v>
      </c>
      <c r="H160" s="311"/>
      <c r="I160" s="312">
        <f t="shared" si="6"/>
        <v>1169000</v>
      </c>
      <c r="J160" s="273"/>
      <c r="L160" s="8"/>
      <c r="M160" s="8"/>
      <c r="N160" s="8">
        <f>'[4]Usulan 2021'!I159</f>
        <v>1169000</v>
      </c>
      <c r="O160" s="8">
        <f>'[4]Usulan 2021'!J159</f>
        <v>1169000</v>
      </c>
      <c r="P160" s="8">
        <f>'[4]Usulan 2021'!K159</f>
        <v>1169000</v>
      </c>
    </row>
    <row r="161" spans="2:16" x14ac:dyDescent="0.2">
      <c r="B161" s="258">
        <f t="shared" si="4"/>
        <v>97</v>
      </c>
      <c r="C161" s="259"/>
      <c r="D161" s="354" t="s">
        <v>1474</v>
      </c>
      <c r="E161" s="261"/>
      <c r="F161" s="316"/>
      <c r="G161" s="335" t="s">
        <v>268</v>
      </c>
      <c r="H161" s="355"/>
      <c r="I161" s="312">
        <f t="shared" si="6"/>
        <v>2000000</v>
      </c>
      <c r="J161" s="273"/>
      <c r="L161" s="8"/>
      <c r="M161" s="8"/>
      <c r="N161" s="8">
        <f>'[4]Usulan 2021'!I160</f>
        <v>2000000</v>
      </c>
      <c r="O161" s="8">
        <f>'[4]Usulan 2021'!J160</f>
        <v>2000000</v>
      </c>
      <c r="P161" s="8">
        <f>'[4]Usulan 2021'!K160</f>
        <v>2000000</v>
      </c>
    </row>
    <row r="162" spans="2:16" x14ac:dyDescent="0.2">
      <c r="B162" s="258">
        <f t="shared" si="4"/>
        <v>98</v>
      </c>
      <c r="C162" s="268"/>
      <c r="D162" s="318" t="s">
        <v>865</v>
      </c>
      <c r="E162" s="270"/>
      <c r="F162" s="316"/>
      <c r="G162" s="263" t="s">
        <v>268</v>
      </c>
      <c r="H162" s="311"/>
      <c r="I162" s="312">
        <f t="shared" si="6"/>
        <v>1169000</v>
      </c>
      <c r="J162" s="273"/>
      <c r="L162" s="8"/>
      <c r="M162" s="8"/>
      <c r="N162" s="8">
        <f>'[4]Usulan 2021'!I161</f>
        <v>1169000</v>
      </c>
      <c r="O162" s="8">
        <f>'[4]Usulan 2021'!J161</f>
        <v>1169000</v>
      </c>
      <c r="P162" s="8">
        <f>'[4]Usulan 2021'!K161</f>
        <v>1169000</v>
      </c>
    </row>
    <row r="163" spans="2:16" x14ac:dyDescent="0.2">
      <c r="B163" s="258">
        <f t="shared" si="4"/>
        <v>99</v>
      </c>
      <c r="C163" s="259"/>
      <c r="D163" s="354" t="s">
        <v>866</v>
      </c>
      <c r="E163" s="261"/>
      <c r="F163" s="279"/>
      <c r="G163" s="335" t="s">
        <v>268</v>
      </c>
      <c r="H163" s="264"/>
      <c r="I163" s="312">
        <f t="shared" si="6"/>
        <v>120000</v>
      </c>
      <c r="J163" s="273"/>
      <c r="L163" s="8"/>
      <c r="M163" s="8"/>
      <c r="N163" s="8">
        <f>'[4]Usulan 2021'!I162</f>
        <v>120000</v>
      </c>
      <c r="O163" s="8">
        <f>'[4]Usulan 2021'!J162</f>
        <v>120000</v>
      </c>
      <c r="P163" s="8">
        <f>'[4]Usulan 2021'!K162</f>
        <v>120000</v>
      </c>
    </row>
    <row r="164" spans="2:16" x14ac:dyDescent="0.2">
      <c r="B164" s="258">
        <f t="shared" si="4"/>
        <v>100</v>
      </c>
      <c r="C164" s="268"/>
      <c r="D164" s="318" t="s">
        <v>1475</v>
      </c>
      <c r="E164" s="270"/>
      <c r="F164" s="270"/>
      <c r="G164" s="335" t="s">
        <v>268</v>
      </c>
      <c r="H164" s="311"/>
      <c r="I164" s="312">
        <f t="shared" si="6"/>
        <v>175000</v>
      </c>
      <c r="J164" s="273"/>
      <c r="L164" s="8"/>
      <c r="M164" s="8"/>
      <c r="N164" s="8">
        <f>'[4]Usulan 2021'!I163</f>
        <v>175000</v>
      </c>
      <c r="O164" s="8">
        <f>'[4]Usulan 2021'!J163</f>
        <v>175000</v>
      </c>
      <c r="P164" s="8">
        <f>'[4]Usulan 2021'!K163</f>
        <v>175000</v>
      </c>
    </row>
    <row r="165" spans="2:16" x14ac:dyDescent="0.2">
      <c r="B165" s="258">
        <f t="shared" si="4"/>
        <v>101</v>
      </c>
      <c r="C165" s="268"/>
      <c r="D165" s="318" t="s">
        <v>1363</v>
      </c>
      <c r="E165" s="270"/>
      <c r="F165" s="270"/>
      <c r="G165" s="335" t="s">
        <v>268</v>
      </c>
      <c r="H165" s="311"/>
      <c r="I165" s="312">
        <f t="shared" si="6"/>
        <v>1219000</v>
      </c>
      <c r="J165" s="273"/>
      <c r="L165" s="8"/>
      <c r="M165" s="8"/>
      <c r="N165" s="8">
        <f>'[4]Usulan 2021'!I164</f>
        <v>1219000</v>
      </c>
      <c r="O165" s="8"/>
      <c r="P165" s="8"/>
    </row>
    <row r="166" spans="2:16" x14ac:dyDescent="0.2">
      <c r="B166" s="258">
        <f t="shared" si="4"/>
        <v>102</v>
      </c>
      <c r="C166" s="268"/>
      <c r="D166" s="318" t="s">
        <v>1364</v>
      </c>
      <c r="E166" s="270"/>
      <c r="F166" s="270"/>
      <c r="G166" s="335" t="s">
        <v>268</v>
      </c>
      <c r="H166" s="311"/>
      <c r="I166" s="312">
        <f t="shared" si="6"/>
        <v>1056000</v>
      </c>
      <c r="J166" s="273"/>
      <c r="L166" s="8"/>
      <c r="M166" s="8"/>
      <c r="N166" s="8">
        <f>'[4]Usulan 2021'!I165</f>
        <v>1056000</v>
      </c>
      <c r="O166" s="8"/>
      <c r="P166" s="8"/>
    </row>
    <row r="167" spans="2:16" x14ac:dyDescent="0.2">
      <c r="B167" s="258">
        <f t="shared" si="4"/>
        <v>103</v>
      </c>
      <c r="C167" s="268"/>
      <c r="D167" s="318" t="s">
        <v>156</v>
      </c>
      <c r="E167" s="270"/>
      <c r="F167" s="279"/>
      <c r="G167" s="310" t="s">
        <v>298</v>
      </c>
      <c r="H167" s="311"/>
      <c r="I167" s="312">
        <f t="shared" si="6"/>
        <v>23000</v>
      </c>
      <c r="J167" s="273"/>
      <c r="L167" s="8"/>
      <c r="M167" s="8"/>
      <c r="N167" s="8">
        <f>'[4]Usulan 2021'!I166</f>
        <v>23000</v>
      </c>
      <c r="O167" s="8">
        <f>'[4]Usulan 2021'!J166</f>
        <v>23000</v>
      </c>
      <c r="P167" s="8">
        <f>'[4]Usulan 2021'!K166</f>
        <v>23000</v>
      </c>
    </row>
    <row r="168" spans="2:16" x14ac:dyDescent="0.2">
      <c r="B168" s="258">
        <f t="shared" si="4"/>
        <v>104</v>
      </c>
      <c r="C168" s="259"/>
      <c r="D168" s="354" t="s">
        <v>714</v>
      </c>
      <c r="E168" s="261"/>
      <c r="F168" s="279"/>
      <c r="G168" s="335" t="s">
        <v>268</v>
      </c>
      <c r="H168" s="264"/>
      <c r="I168" s="312">
        <f t="shared" si="6"/>
        <v>35000</v>
      </c>
      <c r="J168" s="273"/>
      <c r="L168" s="8"/>
      <c r="M168" s="8"/>
      <c r="N168" s="8">
        <f>'[4]Usulan 2021'!I167</f>
        <v>35000</v>
      </c>
      <c r="O168" s="8">
        <f>'[4]Usulan 2021'!J167</f>
        <v>35000</v>
      </c>
      <c r="P168" s="8">
        <f>'[4]Usulan 2021'!K167</f>
        <v>35000</v>
      </c>
    </row>
    <row r="169" spans="2:16" x14ac:dyDescent="0.2">
      <c r="B169" s="356">
        <f t="shared" si="4"/>
        <v>105</v>
      </c>
      <c r="C169" s="218"/>
      <c r="D169" s="357" t="s">
        <v>1365</v>
      </c>
      <c r="E169" s="15"/>
      <c r="F169" s="279"/>
      <c r="G169" s="335" t="s">
        <v>268</v>
      </c>
      <c r="H169" s="355"/>
      <c r="I169" s="312">
        <f t="shared" si="6"/>
        <v>15000</v>
      </c>
      <c r="J169" s="273"/>
      <c r="L169" s="8"/>
      <c r="M169" s="8"/>
      <c r="N169" s="8">
        <f>'[4]Usulan 2021'!I168</f>
        <v>15000</v>
      </c>
      <c r="O169" s="8"/>
      <c r="P169" s="8"/>
    </row>
    <row r="170" spans="2:16" x14ac:dyDescent="0.2">
      <c r="B170" s="356">
        <f t="shared" si="4"/>
        <v>106</v>
      </c>
      <c r="C170" s="218"/>
      <c r="D170" s="357" t="s">
        <v>1366</v>
      </c>
      <c r="E170" s="15"/>
      <c r="F170" s="279"/>
      <c r="G170" s="335" t="s">
        <v>268</v>
      </c>
      <c r="H170" s="355"/>
      <c r="I170" s="312">
        <f t="shared" si="6"/>
        <v>406000</v>
      </c>
      <c r="J170" s="273"/>
      <c r="L170" s="8"/>
      <c r="M170" s="8"/>
      <c r="N170" s="8">
        <f>'[4]Usulan 2021'!I169</f>
        <v>406000</v>
      </c>
      <c r="O170" s="8"/>
      <c r="P170" s="8"/>
    </row>
    <row r="171" spans="2:16" x14ac:dyDescent="0.2">
      <c r="B171" s="356">
        <f t="shared" si="4"/>
        <v>107</v>
      </c>
      <c r="C171" s="268"/>
      <c r="D171" s="358" t="s">
        <v>582</v>
      </c>
      <c r="E171" s="270"/>
      <c r="F171" s="279"/>
      <c r="G171" s="263" t="s">
        <v>268</v>
      </c>
      <c r="H171" s="311"/>
      <c r="I171" s="312">
        <f t="shared" si="6"/>
        <v>11000</v>
      </c>
      <c r="J171" s="273"/>
      <c r="L171" s="8"/>
      <c r="M171" s="8"/>
      <c r="N171" s="8">
        <f>'[4]Usulan 2021'!I170</f>
        <v>11000</v>
      </c>
      <c r="O171" s="8">
        <f>'[4]Usulan 2021'!J170</f>
        <v>11000</v>
      </c>
      <c r="P171" s="8">
        <f>'[4]Usulan 2021'!K170</f>
        <v>11000</v>
      </c>
    </row>
    <row r="172" spans="2:16" x14ac:dyDescent="0.2">
      <c r="B172" s="258">
        <f t="shared" si="4"/>
        <v>108</v>
      </c>
      <c r="C172" s="268"/>
      <c r="D172" s="358" t="s">
        <v>583</v>
      </c>
      <c r="E172" s="270"/>
      <c r="F172" s="279"/>
      <c r="G172" s="263" t="s">
        <v>268</v>
      </c>
      <c r="H172" s="311"/>
      <c r="I172" s="312">
        <f t="shared" si="6"/>
        <v>20000</v>
      </c>
      <c r="J172" s="273"/>
      <c r="L172" s="8"/>
      <c r="M172" s="8"/>
      <c r="N172" s="8">
        <f>'[4]Usulan 2021'!I171</f>
        <v>20000</v>
      </c>
      <c r="O172" s="8">
        <f>'[4]Usulan 2021'!J171</f>
        <v>20000</v>
      </c>
      <c r="P172" s="8">
        <f>'[4]Usulan 2021'!K171</f>
        <v>20000</v>
      </c>
    </row>
    <row r="173" spans="2:16" x14ac:dyDescent="0.2">
      <c r="B173" s="258">
        <f t="shared" si="4"/>
        <v>109</v>
      </c>
      <c r="C173" s="268"/>
      <c r="D173" s="358" t="s">
        <v>584</v>
      </c>
      <c r="E173" s="270"/>
      <c r="F173" s="279"/>
      <c r="G173" s="263" t="s">
        <v>268</v>
      </c>
      <c r="H173" s="311"/>
      <c r="I173" s="312">
        <f t="shared" si="6"/>
        <v>17000</v>
      </c>
      <c r="J173" s="273"/>
      <c r="L173" s="8"/>
      <c r="M173" s="8"/>
      <c r="N173" s="8">
        <f>'[4]Usulan 2021'!I172</f>
        <v>17000</v>
      </c>
      <c r="O173" s="8">
        <f>'[4]Usulan 2021'!J172</f>
        <v>17000</v>
      </c>
      <c r="P173" s="8">
        <f>'[4]Usulan 2021'!K172</f>
        <v>17000</v>
      </c>
    </row>
    <row r="174" spans="2:16" x14ac:dyDescent="0.2">
      <c r="B174" s="258">
        <f t="shared" si="4"/>
        <v>110</v>
      </c>
      <c r="C174" s="268"/>
      <c r="D174" s="358" t="s">
        <v>579</v>
      </c>
      <c r="E174" s="270"/>
      <c r="F174" s="279"/>
      <c r="G174" s="263" t="s">
        <v>268</v>
      </c>
      <c r="H174" s="311"/>
      <c r="I174" s="312">
        <f t="shared" si="6"/>
        <v>11000</v>
      </c>
      <c r="J174" s="273"/>
      <c r="L174" s="8"/>
      <c r="M174" s="8"/>
      <c r="N174" s="8">
        <f>'[4]Usulan 2021'!I173</f>
        <v>11000</v>
      </c>
      <c r="O174" s="8">
        <f>'[4]Usulan 2021'!J173</f>
        <v>11000</v>
      </c>
      <c r="P174" s="8">
        <f>'[4]Usulan 2021'!K173</f>
        <v>11000</v>
      </c>
    </row>
    <row r="175" spans="2:16" x14ac:dyDescent="0.2">
      <c r="B175" s="258">
        <f t="shared" si="4"/>
        <v>111</v>
      </c>
      <c r="C175" s="268"/>
      <c r="D175" s="358" t="s">
        <v>580</v>
      </c>
      <c r="E175" s="270"/>
      <c r="F175" s="279"/>
      <c r="G175" s="263" t="s">
        <v>268</v>
      </c>
      <c r="H175" s="311"/>
      <c r="I175" s="312">
        <f t="shared" si="6"/>
        <v>17000</v>
      </c>
      <c r="J175" s="273"/>
      <c r="L175" s="8"/>
      <c r="M175" s="8"/>
      <c r="N175" s="8">
        <f>'[4]Usulan 2021'!I174</f>
        <v>17000</v>
      </c>
      <c r="O175" s="8">
        <f>'[4]Usulan 2021'!J174</f>
        <v>17000</v>
      </c>
      <c r="P175" s="8">
        <f>'[4]Usulan 2021'!K174</f>
        <v>17000</v>
      </c>
    </row>
    <row r="176" spans="2:16" x14ac:dyDescent="0.2">
      <c r="B176" s="258">
        <f t="shared" si="4"/>
        <v>112</v>
      </c>
      <c r="C176" s="268"/>
      <c r="D176" s="358" t="s">
        <v>581</v>
      </c>
      <c r="E176" s="270"/>
      <c r="F176" s="279"/>
      <c r="G176" s="310" t="s">
        <v>268</v>
      </c>
      <c r="H176" s="311"/>
      <c r="I176" s="312">
        <f t="shared" si="6"/>
        <v>23000</v>
      </c>
      <c r="J176" s="273"/>
      <c r="L176" s="8"/>
      <c r="M176" s="8"/>
      <c r="N176" s="8">
        <f>'[4]Usulan 2021'!I175</f>
        <v>23000</v>
      </c>
      <c r="O176" s="8">
        <f>'[4]Usulan 2021'!J175</f>
        <v>23000</v>
      </c>
      <c r="P176" s="8">
        <f>'[4]Usulan 2021'!K175</f>
        <v>23000</v>
      </c>
    </row>
    <row r="177" spans="2:16" x14ac:dyDescent="0.2">
      <c r="B177" s="258">
        <f t="shared" si="4"/>
        <v>113</v>
      </c>
      <c r="C177" s="268"/>
      <c r="D177" s="319" t="s">
        <v>446</v>
      </c>
      <c r="E177" s="315"/>
      <c r="F177" s="316"/>
      <c r="G177" s="310" t="s">
        <v>277</v>
      </c>
      <c r="H177" s="311"/>
      <c r="I177" s="312">
        <f t="shared" si="6"/>
        <v>16000</v>
      </c>
      <c r="J177" s="273"/>
      <c r="L177" s="8"/>
      <c r="M177" s="8"/>
      <c r="N177" s="8">
        <f>'[4]Usulan 2021'!I176</f>
        <v>16000</v>
      </c>
      <c r="O177" s="8">
        <f>'[4]Usulan 2021'!J176</f>
        <v>16000</v>
      </c>
      <c r="P177" s="8">
        <f>'[4]Usulan 2021'!K176</f>
        <v>16000</v>
      </c>
    </row>
    <row r="178" spans="2:16" x14ac:dyDescent="0.2">
      <c r="B178" s="258">
        <f t="shared" si="4"/>
        <v>114</v>
      </c>
      <c r="C178" s="268"/>
      <c r="D178" s="318" t="s">
        <v>233</v>
      </c>
      <c r="E178" s="270"/>
      <c r="F178" s="316"/>
      <c r="G178" s="310" t="s">
        <v>268</v>
      </c>
      <c r="H178" s="311"/>
      <c r="I178" s="312">
        <f t="shared" si="6"/>
        <v>700000</v>
      </c>
      <c r="J178" s="273"/>
      <c r="L178" s="8"/>
      <c r="M178" s="8"/>
      <c r="N178" s="8">
        <f>'[4]Usulan 2021'!I177</f>
        <v>700000</v>
      </c>
      <c r="O178" s="8">
        <f>'[4]Usulan 2021'!J177</f>
        <v>700000</v>
      </c>
      <c r="P178" s="8">
        <f>'[4]Usulan 2021'!K177</f>
        <v>700000</v>
      </c>
    </row>
    <row r="179" spans="2:16" x14ac:dyDescent="0.2">
      <c r="B179" s="258">
        <f t="shared" si="4"/>
        <v>115</v>
      </c>
      <c r="C179" s="268"/>
      <c r="D179" s="318" t="s">
        <v>195</v>
      </c>
      <c r="E179" s="270"/>
      <c r="F179" s="316"/>
      <c r="G179" s="310" t="s">
        <v>268</v>
      </c>
      <c r="H179" s="311"/>
      <c r="I179" s="312">
        <f t="shared" si="6"/>
        <v>1160000</v>
      </c>
      <c r="J179" s="273"/>
      <c r="L179" s="8"/>
      <c r="M179" s="8"/>
      <c r="N179" s="8">
        <f>'[4]Usulan 2021'!I178</f>
        <v>1160000</v>
      </c>
      <c r="O179" s="8">
        <f>'[4]Usulan 2021'!J178</f>
        <v>1160000</v>
      </c>
      <c r="P179" s="8">
        <f>'[4]Usulan 2021'!K178</f>
        <v>1160000</v>
      </c>
    </row>
    <row r="180" spans="2:16" x14ac:dyDescent="0.2">
      <c r="B180" s="258">
        <f t="shared" si="4"/>
        <v>116</v>
      </c>
      <c r="C180" s="268"/>
      <c r="D180" s="319" t="s">
        <v>438</v>
      </c>
      <c r="E180" s="315"/>
      <c r="F180" s="316"/>
      <c r="G180" s="310" t="s">
        <v>268</v>
      </c>
      <c r="H180" s="328"/>
      <c r="I180" s="312">
        <f t="shared" si="6"/>
        <v>8600</v>
      </c>
      <c r="J180" s="273"/>
      <c r="L180" s="8"/>
      <c r="M180" s="8"/>
      <c r="N180" s="8">
        <f>'[4]Usulan 2021'!I179</f>
        <v>8600</v>
      </c>
      <c r="O180" s="8">
        <f>'[4]Usulan 2021'!J179</f>
        <v>8600</v>
      </c>
      <c r="P180" s="8">
        <f>'[4]Usulan 2021'!K179</f>
        <v>8600</v>
      </c>
    </row>
    <row r="181" spans="2:16" x14ac:dyDescent="0.2">
      <c r="B181" s="258">
        <f t="shared" si="4"/>
        <v>117</v>
      </c>
      <c r="C181" s="259"/>
      <c r="D181" s="354" t="s">
        <v>639</v>
      </c>
      <c r="E181" s="261"/>
      <c r="F181" s="316"/>
      <c r="G181" s="335" t="s">
        <v>268</v>
      </c>
      <c r="H181" s="264"/>
      <c r="I181" s="312">
        <f t="shared" si="6"/>
        <v>76000</v>
      </c>
      <c r="J181" s="273"/>
      <c r="L181" s="8"/>
      <c r="M181" s="8"/>
      <c r="N181" s="8">
        <f>'[4]Usulan 2021'!I180</f>
        <v>76000</v>
      </c>
      <c r="O181" s="8">
        <f>'[4]Usulan 2021'!J180</f>
        <v>76000</v>
      </c>
      <c r="P181" s="8">
        <f>'[4]Usulan 2021'!K180</f>
        <v>76000</v>
      </c>
    </row>
    <row r="182" spans="2:16" x14ac:dyDescent="0.2">
      <c r="B182" s="258">
        <f t="shared" si="4"/>
        <v>118</v>
      </c>
      <c r="C182" s="259"/>
      <c r="D182" s="359" t="s">
        <v>779</v>
      </c>
      <c r="E182" s="15"/>
      <c r="F182" s="316"/>
      <c r="G182" s="335" t="s">
        <v>268</v>
      </c>
      <c r="H182" s="355"/>
      <c r="I182" s="312">
        <f t="shared" si="6"/>
        <v>61000</v>
      </c>
      <c r="J182" s="273"/>
      <c r="L182" s="8"/>
      <c r="M182" s="8"/>
      <c r="N182" s="8">
        <f>'[4]Usulan 2021'!I181</f>
        <v>61000</v>
      </c>
      <c r="O182" s="8"/>
      <c r="P182" s="8"/>
    </row>
    <row r="183" spans="2:16" x14ac:dyDescent="0.2">
      <c r="B183" s="258">
        <f t="shared" si="4"/>
        <v>119</v>
      </c>
      <c r="C183" s="259"/>
      <c r="D183" s="359" t="s">
        <v>1160</v>
      </c>
      <c r="E183" s="15"/>
      <c r="F183" s="316"/>
      <c r="G183" s="335" t="s">
        <v>268</v>
      </c>
      <c r="H183" s="355"/>
      <c r="I183" s="312">
        <f t="shared" si="6"/>
        <v>81000</v>
      </c>
      <c r="J183" s="273"/>
      <c r="L183" s="8"/>
      <c r="M183" s="8"/>
      <c r="N183" s="8">
        <f>'[4]Usulan 2021'!I182</f>
        <v>81000</v>
      </c>
      <c r="O183" s="8">
        <f>'[4]Usulan 2021'!J182</f>
        <v>81000</v>
      </c>
      <c r="P183" s="8">
        <f>'[4]Usulan 2021'!K182</f>
        <v>81000</v>
      </c>
    </row>
    <row r="184" spans="2:16" x14ac:dyDescent="0.2">
      <c r="B184" s="258">
        <f t="shared" si="4"/>
        <v>120</v>
      </c>
      <c r="C184" s="268"/>
      <c r="D184" s="319" t="s">
        <v>199</v>
      </c>
      <c r="E184" s="315"/>
      <c r="F184" s="279"/>
      <c r="G184" s="310" t="s">
        <v>266</v>
      </c>
      <c r="H184" s="311"/>
      <c r="I184" s="312">
        <f>N184</f>
        <v>759000</v>
      </c>
      <c r="J184" s="273"/>
      <c r="L184" s="8"/>
      <c r="M184" s="8"/>
      <c r="N184" s="8">
        <f>'[4]Usulan 2021'!I183</f>
        <v>759000</v>
      </c>
      <c r="O184" s="8">
        <f>'[4]Usulan 2021'!J183</f>
        <v>759000</v>
      </c>
      <c r="P184" s="8">
        <f>'[4]Usulan 2021'!K183</f>
        <v>759000</v>
      </c>
    </row>
    <row r="185" spans="2:16" x14ac:dyDescent="0.2">
      <c r="B185" s="258">
        <f t="shared" si="4"/>
        <v>121</v>
      </c>
      <c r="C185" s="268"/>
      <c r="D185" s="319" t="s">
        <v>198</v>
      </c>
      <c r="E185" s="315"/>
      <c r="F185" s="316"/>
      <c r="G185" s="310" t="s">
        <v>266</v>
      </c>
      <c r="H185" s="311"/>
      <c r="I185" s="312">
        <f>N185</f>
        <v>935000</v>
      </c>
      <c r="J185" s="273"/>
      <c r="L185" s="8"/>
      <c r="M185" s="8"/>
      <c r="N185" s="8">
        <f>'[4]Usulan 2021'!I184</f>
        <v>935000</v>
      </c>
      <c r="O185" s="8">
        <f>'[4]Usulan 2021'!J184</f>
        <v>935000</v>
      </c>
      <c r="P185" s="8">
        <f>'[4]Usulan 2021'!K184</f>
        <v>935000</v>
      </c>
    </row>
    <row r="186" spans="2:16" x14ac:dyDescent="0.2">
      <c r="B186" s="258">
        <f t="shared" si="4"/>
        <v>122</v>
      </c>
      <c r="C186" s="268"/>
      <c r="D186" s="319" t="s">
        <v>197</v>
      </c>
      <c r="E186" s="315"/>
      <c r="F186" s="316"/>
      <c r="G186" s="310" t="s">
        <v>266</v>
      </c>
      <c r="H186" s="311"/>
      <c r="I186" s="312">
        <f>N186</f>
        <v>1169000</v>
      </c>
      <c r="J186" s="273"/>
      <c r="L186" s="8"/>
      <c r="M186" s="8"/>
      <c r="N186" s="8">
        <f>'[4]Usulan 2021'!I185</f>
        <v>1169000</v>
      </c>
      <c r="O186" s="8">
        <f>'[4]Usulan 2021'!J185</f>
        <v>1169000</v>
      </c>
      <c r="P186" s="8">
        <f>'[4]Usulan 2021'!K185</f>
        <v>1169000</v>
      </c>
    </row>
    <row r="187" spans="2:16" x14ac:dyDescent="0.2">
      <c r="B187" s="258">
        <f t="shared" si="4"/>
        <v>123</v>
      </c>
      <c r="C187" s="259"/>
      <c r="D187" s="319" t="s">
        <v>196</v>
      </c>
      <c r="E187" s="315"/>
      <c r="F187" s="316"/>
      <c r="G187" s="310" t="s">
        <v>266</v>
      </c>
      <c r="H187" s="311"/>
      <c r="I187" s="312">
        <f t="shared" si="6"/>
        <v>1403000</v>
      </c>
      <c r="J187" s="273"/>
      <c r="L187" s="8"/>
      <c r="M187" s="8"/>
      <c r="N187" s="8">
        <f>'[4]Usulan 2021'!I186</f>
        <v>1403000</v>
      </c>
      <c r="O187" s="8">
        <f>'[4]Usulan 2021'!J186</f>
        <v>1403000</v>
      </c>
      <c r="P187" s="8">
        <f>'[4]Usulan 2021'!K186</f>
        <v>1403000</v>
      </c>
    </row>
    <row r="188" spans="2:16" x14ac:dyDescent="0.2">
      <c r="B188" s="258">
        <f t="shared" si="4"/>
        <v>124</v>
      </c>
      <c r="C188" s="268"/>
      <c r="D188" s="318" t="s">
        <v>1424</v>
      </c>
      <c r="E188" s="270"/>
      <c r="F188" s="279"/>
      <c r="G188" s="310" t="s">
        <v>268</v>
      </c>
      <c r="H188" s="311"/>
      <c r="I188" s="312">
        <f>N188</f>
        <v>2100</v>
      </c>
      <c r="J188" s="273"/>
      <c r="L188" s="8"/>
      <c r="M188" s="8"/>
      <c r="N188" s="8">
        <f>'[4]Usulan 2021'!I187</f>
        <v>2100</v>
      </c>
      <c r="O188" s="8">
        <f>'[4]Usulan 2021'!J187</f>
        <v>2100</v>
      </c>
      <c r="P188" s="8">
        <f>'[4]Usulan 2021'!K187</f>
        <v>2100</v>
      </c>
    </row>
    <row r="189" spans="2:16" x14ac:dyDescent="0.2">
      <c r="B189" s="258">
        <f t="shared" si="4"/>
        <v>125</v>
      </c>
      <c r="C189" s="268"/>
      <c r="D189" s="318" t="s">
        <v>1425</v>
      </c>
      <c r="E189" s="270"/>
      <c r="F189" s="279"/>
      <c r="G189" s="310" t="s">
        <v>268</v>
      </c>
      <c r="H189" s="311"/>
      <c r="I189" s="312"/>
      <c r="J189" s="273"/>
      <c r="L189" s="8"/>
      <c r="M189" s="8"/>
      <c r="N189" s="8"/>
      <c r="O189" s="8"/>
      <c r="P189" s="8"/>
    </row>
    <row r="190" spans="2:16" x14ac:dyDescent="0.2">
      <c r="B190" s="258">
        <f t="shared" si="4"/>
        <v>126</v>
      </c>
      <c r="C190" s="268"/>
      <c r="D190" s="318" t="s">
        <v>183</v>
      </c>
      <c r="E190" s="270"/>
      <c r="F190" s="279"/>
      <c r="G190" s="310" t="s">
        <v>268</v>
      </c>
      <c r="H190" s="311"/>
      <c r="I190" s="312"/>
      <c r="J190" s="273"/>
      <c r="L190" s="8"/>
      <c r="M190" s="8"/>
      <c r="N190" s="8"/>
      <c r="O190" s="8"/>
      <c r="P190" s="8"/>
    </row>
    <row r="191" spans="2:16" x14ac:dyDescent="0.2">
      <c r="B191" s="258">
        <f t="shared" si="4"/>
        <v>127</v>
      </c>
      <c r="C191" s="268"/>
      <c r="D191" s="318" t="s">
        <v>1426</v>
      </c>
      <c r="E191" s="270"/>
      <c r="F191" s="279"/>
      <c r="G191" s="310" t="s">
        <v>268</v>
      </c>
      <c r="H191" s="311"/>
      <c r="I191" s="312">
        <f>N191</f>
        <v>8200</v>
      </c>
      <c r="J191" s="273"/>
      <c r="L191" s="8"/>
      <c r="M191" s="8"/>
      <c r="N191" s="8">
        <f>'[4]Usulan 2021'!I190</f>
        <v>8200</v>
      </c>
      <c r="O191" s="8">
        <f>'[4]Usulan 2021'!J190</f>
        <v>8200</v>
      </c>
      <c r="P191" s="8">
        <f>'[4]Usulan 2021'!K190</f>
        <v>8200</v>
      </c>
    </row>
    <row r="192" spans="2:16" x14ac:dyDescent="0.2">
      <c r="B192" s="258">
        <f t="shared" si="4"/>
        <v>128</v>
      </c>
      <c r="C192" s="268"/>
      <c r="D192" s="318" t="s">
        <v>173</v>
      </c>
      <c r="E192" s="270"/>
      <c r="F192" s="279"/>
      <c r="G192" s="310" t="s">
        <v>268</v>
      </c>
      <c r="H192" s="311"/>
      <c r="I192" s="312">
        <f>N192</f>
        <v>14100</v>
      </c>
      <c r="J192" s="273"/>
      <c r="L192" s="8"/>
      <c r="M192" s="8"/>
      <c r="N192" s="8">
        <f>'[4]Usulan 2021'!I191</f>
        <v>14100</v>
      </c>
      <c r="O192" s="8">
        <f>'[4]Usulan 2021'!J191</f>
        <v>14100</v>
      </c>
      <c r="P192" s="8">
        <f>'[4]Usulan 2021'!K191</f>
        <v>14100</v>
      </c>
    </row>
    <row r="193" spans="2:18" x14ac:dyDescent="0.2">
      <c r="B193" s="258">
        <f t="shared" si="4"/>
        <v>129</v>
      </c>
      <c r="C193" s="268"/>
      <c r="D193" s="318" t="s">
        <v>174</v>
      </c>
      <c r="E193" s="270"/>
      <c r="F193" s="279"/>
      <c r="G193" s="310" t="s">
        <v>268</v>
      </c>
      <c r="H193" s="311"/>
      <c r="I193" s="312">
        <f>N193</f>
        <v>11600</v>
      </c>
      <c r="J193" s="273"/>
      <c r="L193" s="8"/>
      <c r="M193" s="8"/>
      <c r="N193" s="8">
        <f>'[4]Usulan 2021'!I192</f>
        <v>11600</v>
      </c>
      <c r="O193" s="8">
        <f>'[4]Usulan 2021'!J192</f>
        <v>11600</v>
      </c>
      <c r="P193" s="8">
        <f>'[4]Usulan 2021'!K192</f>
        <v>11600</v>
      </c>
    </row>
    <row r="194" spans="2:18" x14ac:dyDescent="0.2">
      <c r="B194" s="258">
        <f t="shared" si="4"/>
        <v>130</v>
      </c>
      <c r="C194" s="268"/>
      <c r="D194" s="318" t="s">
        <v>172</v>
      </c>
      <c r="E194" s="270"/>
      <c r="F194" s="279"/>
      <c r="G194" s="310" t="s">
        <v>268</v>
      </c>
      <c r="H194" s="311"/>
      <c r="I194" s="312">
        <f>N194</f>
        <v>9400</v>
      </c>
      <c r="J194" s="273"/>
      <c r="L194" s="8"/>
      <c r="M194" s="8"/>
      <c r="N194" s="8">
        <f>'[4]Usulan 2021'!I193</f>
        <v>9400</v>
      </c>
      <c r="O194" s="8">
        <f>'[4]Usulan 2021'!J193</f>
        <v>9400</v>
      </c>
      <c r="P194" s="8">
        <f>'[4]Usulan 2021'!K193</f>
        <v>9400</v>
      </c>
    </row>
    <row r="195" spans="2:18" x14ac:dyDescent="0.2">
      <c r="B195" s="258">
        <f t="shared" ref="B195:B243" si="7">B194+1</f>
        <v>131</v>
      </c>
      <c r="C195" s="268"/>
      <c r="D195" s="318" t="s">
        <v>565</v>
      </c>
      <c r="E195" s="270"/>
      <c r="F195" s="279"/>
      <c r="G195" s="310" t="s">
        <v>268</v>
      </c>
      <c r="H195" s="311"/>
      <c r="I195" s="312">
        <f>N195</f>
        <v>18000</v>
      </c>
      <c r="J195" s="273"/>
      <c r="L195" s="8"/>
      <c r="M195" s="8"/>
      <c r="N195" s="342">
        <f>'[4]Usulan 2021'!I194</f>
        <v>18000</v>
      </c>
      <c r="O195" s="342">
        <f>'[4]Usulan 2021'!J194</f>
        <v>18000</v>
      </c>
      <c r="P195" s="342">
        <f>'[4]Usulan 2021'!K194</f>
        <v>18000</v>
      </c>
      <c r="R195" s="210" t="s">
        <v>1427</v>
      </c>
    </row>
    <row r="196" spans="2:18" x14ac:dyDescent="0.2">
      <c r="B196" s="258">
        <f t="shared" si="7"/>
        <v>132</v>
      </c>
      <c r="C196" s="268"/>
      <c r="D196" s="318" t="s">
        <v>599</v>
      </c>
      <c r="E196" s="270"/>
      <c r="F196" s="279"/>
      <c r="G196" s="310"/>
      <c r="H196" s="311"/>
      <c r="I196" s="312"/>
      <c r="J196" s="273"/>
      <c r="L196" s="8"/>
      <c r="M196" s="8"/>
      <c r="N196" s="8"/>
      <c r="O196" s="8"/>
      <c r="P196" s="8"/>
    </row>
    <row r="197" spans="2:18" x14ac:dyDescent="0.2">
      <c r="B197" s="258">
        <f t="shared" si="7"/>
        <v>133</v>
      </c>
      <c r="C197" s="268"/>
      <c r="D197" s="319" t="s">
        <v>868</v>
      </c>
      <c r="E197" s="315"/>
      <c r="F197" s="279"/>
      <c r="G197" s="310" t="s">
        <v>268</v>
      </c>
      <c r="H197" s="311"/>
      <c r="I197" s="312">
        <f t="shared" si="6"/>
        <v>5700</v>
      </c>
      <c r="J197" s="273"/>
      <c r="L197" s="8"/>
      <c r="M197" s="8"/>
      <c r="N197" s="8">
        <f>'[4]Usulan 2021'!I196</f>
        <v>5700</v>
      </c>
      <c r="O197" s="8">
        <f>'[4]Usulan 2021'!J196</f>
        <v>5700</v>
      </c>
      <c r="P197" s="8">
        <f>'[4]Usulan 2021'!K196</f>
        <v>5700</v>
      </c>
    </row>
    <row r="198" spans="2:18" x14ac:dyDescent="0.2">
      <c r="B198" s="258">
        <f t="shared" si="7"/>
        <v>134</v>
      </c>
      <c r="C198" s="268"/>
      <c r="D198" s="318" t="s">
        <v>562</v>
      </c>
      <c r="E198" s="270"/>
      <c r="F198" s="279"/>
      <c r="G198" s="310" t="s">
        <v>268</v>
      </c>
      <c r="H198" s="311"/>
      <c r="I198" s="312">
        <f>N198</f>
        <v>6000</v>
      </c>
      <c r="J198" s="273"/>
      <c r="L198" s="8"/>
      <c r="M198" s="8"/>
      <c r="N198" s="8">
        <f>'[4]Usulan 2021'!I197</f>
        <v>6000</v>
      </c>
      <c r="O198" s="8">
        <f>'[4]Usulan 2021'!J197</f>
        <v>6000</v>
      </c>
      <c r="P198" s="8">
        <f>'[4]Usulan 2021'!K197</f>
        <v>6000</v>
      </c>
    </row>
    <row r="199" spans="2:18" x14ac:dyDescent="0.2">
      <c r="B199" s="258">
        <f t="shared" si="7"/>
        <v>135</v>
      </c>
      <c r="C199" s="268"/>
      <c r="D199" s="318" t="s">
        <v>563</v>
      </c>
      <c r="E199" s="270"/>
      <c r="F199" s="279"/>
      <c r="G199" s="310" t="s">
        <v>268</v>
      </c>
      <c r="H199" s="311"/>
      <c r="I199" s="312">
        <f>N199</f>
        <v>8600</v>
      </c>
      <c r="J199" s="273"/>
      <c r="L199" s="8"/>
      <c r="M199" s="8"/>
      <c r="N199" s="8">
        <f>'[4]Usulan 2021'!I198</f>
        <v>8600</v>
      </c>
      <c r="O199" s="8">
        <f>'[4]Usulan 2021'!J198</f>
        <v>8600</v>
      </c>
      <c r="P199" s="8">
        <f>'[4]Usulan 2021'!K198</f>
        <v>8600</v>
      </c>
    </row>
    <row r="200" spans="2:18" x14ac:dyDescent="0.2">
      <c r="B200" s="258">
        <f t="shared" si="7"/>
        <v>136</v>
      </c>
      <c r="C200" s="268"/>
      <c r="D200" s="318" t="s">
        <v>564</v>
      </c>
      <c r="E200" s="270"/>
      <c r="F200" s="279"/>
      <c r="G200" s="310" t="s">
        <v>268</v>
      </c>
      <c r="H200" s="311"/>
      <c r="I200" s="312">
        <f>N200</f>
        <v>13700</v>
      </c>
      <c r="J200" s="273"/>
      <c r="L200" s="8"/>
      <c r="M200" s="8"/>
      <c r="N200" s="8">
        <f>'[4]Usulan 2021'!I199</f>
        <v>13700</v>
      </c>
      <c r="O200" s="8">
        <f>'[4]Usulan 2021'!J199</f>
        <v>13700</v>
      </c>
      <c r="P200" s="8">
        <f>'[4]Usulan 2021'!K199</f>
        <v>13700</v>
      </c>
    </row>
    <row r="201" spans="2:18" x14ac:dyDescent="0.2">
      <c r="B201" s="258">
        <f t="shared" si="7"/>
        <v>137</v>
      </c>
      <c r="C201" s="268"/>
      <c r="D201" s="318" t="s">
        <v>202</v>
      </c>
      <c r="E201" s="270"/>
      <c r="F201" s="279"/>
      <c r="G201" s="310" t="s">
        <v>268</v>
      </c>
      <c r="H201" s="311"/>
      <c r="I201" s="312">
        <f>N201</f>
        <v>9400</v>
      </c>
      <c r="J201" s="273"/>
      <c r="L201" s="8"/>
      <c r="M201" s="8"/>
      <c r="N201" s="8">
        <f>'[4]Usulan 2021'!I200</f>
        <v>9400</v>
      </c>
      <c r="O201" s="8">
        <f>'[4]Usulan 2021'!J200</f>
        <v>9400</v>
      </c>
      <c r="P201" s="8">
        <f>'[4]Usulan 2021'!K200</f>
        <v>9400</v>
      </c>
    </row>
    <row r="202" spans="2:18" x14ac:dyDescent="0.2">
      <c r="B202" s="258">
        <f t="shared" si="7"/>
        <v>138</v>
      </c>
      <c r="C202" s="268"/>
      <c r="D202" s="318" t="s">
        <v>1428</v>
      </c>
      <c r="E202" s="270"/>
      <c r="F202" s="279"/>
      <c r="G202" s="310" t="s">
        <v>268</v>
      </c>
      <c r="H202" s="311"/>
      <c r="I202" s="312">
        <f>N202</f>
        <v>8100</v>
      </c>
      <c r="J202" s="273"/>
      <c r="L202" s="8"/>
      <c r="M202" s="8"/>
      <c r="N202" s="8">
        <f>'[4]Usulan 2021'!I201</f>
        <v>8100</v>
      </c>
      <c r="O202" s="8"/>
      <c r="P202" s="8"/>
    </row>
    <row r="203" spans="2:18" x14ac:dyDescent="0.2">
      <c r="B203" s="258">
        <f t="shared" si="7"/>
        <v>139</v>
      </c>
      <c r="C203" s="268"/>
      <c r="D203" s="319" t="s">
        <v>869</v>
      </c>
      <c r="E203" s="315"/>
      <c r="F203" s="279"/>
      <c r="G203" s="310" t="s">
        <v>268</v>
      </c>
      <c r="H203" s="311"/>
      <c r="I203" s="312">
        <f t="shared" si="6"/>
        <v>8200</v>
      </c>
      <c r="J203" s="273"/>
      <c r="L203" s="8"/>
      <c r="M203" s="8"/>
      <c r="N203" s="8">
        <f>'[4]Usulan 2021'!I202</f>
        <v>8200</v>
      </c>
      <c r="O203" s="8">
        <f>'[4]Usulan 2021'!J202</f>
        <v>8200</v>
      </c>
      <c r="P203" s="8">
        <f>'[4]Usulan 2021'!K202</f>
        <v>8200</v>
      </c>
    </row>
    <row r="204" spans="2:18" x14ac:dyDescent="0.2">
      <c r="B204" s="258">
        <f t="shared" si="7"/>
        <v>140</v>
      </c>
      <c r="C204" s="268"/>
      <c r="D204" s="318" t="s">
        <v>175</v>
      </c>
      <c r="E204" s="270"/>
      <c r="F204" s="279"/>
      <c r="G204" s="310" t="s">
        <v>268</v>
      </c>
      <c r="H204" s="311"/>
      <c r="I204" s="312">
        <f t="shared" si="6"/>
        <v>3300</v>
      </c>
      <c r="J204" s="273"/>
      <c r="L204" s="8"/>
      <c r="M204" s="8"/>
      <c r="N204" s="8">
        <f>'[4]Usulan 2021'!I203</f>
        <v>3300</v>
      </c>
      <c r="O204" s="8">
        <f>'[4]Usulan 2021'!J203</f>
        <v>3300</v>
      </c>
      <c r="P204" s="8">
        <f>'[4]Usulan 2021'!K203</f>
        <v>3300</v>
      </c>
    </row>
    <row r="205" spans="2:18" x14ac:dyDescent="0.2">
      <c r="B205" s="258">
        <f t="shared" si="7"/>
        <v>141</v>
      </c>
      <c r="C205" s="268"/>
      <c r="D205" s="318" t="s">
        <v>201</v>
      </c>
      <c r="E205" s="270"/>
      <c r="F205" s="279"/>
      <c r="G205" s="310" t="s">
        <v>268</v>
      </c>
      <c r="H205" s="311"/>
      <c r="I205" s="312">
        <f>N205</f>
        <v>4800</v>
      </c>
      <c r="J205" s="273"/>
      <c r="L205" s="8"/>
      <c r="M205" s="8"/>
      <c r="N205" s="8">
        <f>'[4]Usulan 2021'!I204</f>
        <v>4800</v>
      </c>
      <c r="O205" s="8">
        <f>'[4]Usulan 2021'!J204</f>
        <v>4800</v>
      </c>
      <c r="P205" s="8">
        <f>'[4]Usulan 2021'!K204</f>
        <v>4800</v>
      </c>
    </row>
    <row r="206" spans="2:18" x14ac:dyDescent="0.2">
      <c r="B206" s="258">
        <f t="shared" si="7"/>
        <v>142</v>
      </c>
      <c r="C206" s="268"/>
      <c r="D206" s="318" t="s">
        <v>200</v>
      </c>
      <c r="E206" s="270"/>
      <c r="F206" s="279"/>
      <c r="G206" s="310" t="s">
        <v>268</v>
      </c>
      <c r="H206" s="311"/>
      <c r="I206" s="312">
        <f t="shared" si="6"/>
        <v>4800</v>
      </c>
      <c r="J206" s="273"/>
      <c r="L206" s="8"/>
      <c r="M206" s="8"/>
      <c r="N206" s="8">
        <f>'[4]Usulan 2021'!I205</f>
        <v>4800</v>
      </c>
      <c r="O206" s="8">
        <f>'[4]Usulan 2021'!J205</f>
        <v>4800</v>
      </c>
      <c r="P206" s="8">
        <f>'[4]Usulan 2021'!K205</f>
        <v>4800</v>
      </c>
    </row>
    <row r="207" spans="2:18" x14ac:dyDescent="0.2">
      <c r="B207" s="258">
        <f t="shared" si="7"/>
        <v>143</v>
      </c>
      <c r="C207" s="268"/>
      <c r="D207" s="360" t="s">
        <v>1429</v>
      </c>
      <c r="E207" s="361"/>
      <c r="F207" s="321"/>
      <c r="G207" s="310" t="s">
        <v>268</v>
      </c>
      <c r="H207" s="311"/>
      <c r="I207" s="312">
        <f t="shared" si="6"/>
        <v>1200</v>
      </c>
      <c r="J207" s="273"/>
      <c r="N207" s="8">
        <f>'[4]Usulan 2021'!I206</f>
        <v>1200</v>
      </c>
    </row>
    <row r="208" spans="2:18" x14ac:dyDescent="0.2">
      <c r="B208" s="258">
        <f t="shared" si="7"/>
        <v>144</v>
      </c>
      <c r="C208" s="268"/>
      <c r="D208" s="360" t="s">
        <v>1367</v>
      </c>
      <c r="E208" s="361"/>
      <c r="F208" s="321"/>
      <c r="G208" s="310" t="s">
        <v>268</v>
      </c>
      <c r="H208" s="311"/>
      <c r="I208" s="312">
        <f t="shared" si="6"/>
        <v>75000</v>
      </c>
      <c r="J208" s="273"/>
      <c r="N208" s="8">
        <f>'[4]Usulan 2021'!I207</f>
        <v>75000</v>
      </c>
    </row>
    <row r="209" spans="2:16" x14ac:dyDescent="0.2">
      <c r="B209" s="258">
        <f t="shared" si="7"/>
        <v>145</v>
      </c>
      <c r="C209" s="268"/>
      <c r="D209" s="360" t="s">
        <v>1368</v>
      </c>
      <c r="E209" s="361"/>
      <c r="F209" s="321"/>
      <c r="G209" s="310" t="s">
        <v>268</v>
      </c>
      <c r="H209" s="311"/>
      <c r="I209" s="312">
        <f t="shared" si="6"/>
        <v>5040000</v>
      </c>
      <c r="J209" s="273"/>
      <c r="N209" s="8">
        <f>'[4]Usulan 2021'!I208</f>
        <v>5040000</v>
      </c>
    </row>
    <row r="210" spans="2:16" x14ac:dyDescent="0.2">
      <c r="B210" s="258">
        <f t="shared" si="7"/>
        <v>146</v>
      </c>
      <c r="C210" s="268"/>
      <c r="D210" s="362" t="s">
        <v>870</v>
      </c>
      <c r="E210" s="363"/>
      <c r="F210" s="363"/>
      <c r="G210" s="346" t="s">
        <v>268</v>
      </c>
      <c r="H210" s="311"/>
      <c r="I210" s="312">
        <f t="shared" si="6"/>
        <v>23300</v>
      </c>
      <c r="J210" s="333"/>
      <c r="L210" s="8"/>
      <c r="M210" s="308"/>
      <c r="N210" s="8">
        <f>'[4]Usulan 2021'!I209</f>
        <v>23300</v>
      </c>
      <c r="O210" s="8">
        <f>'[4]Usulan 2021'!J209</f>
        <v>23300</v>
      </c>
      <c r="P210" s="8">
        <f>'[4]Usulan 2021'!K209</f>
        <v>23300</v>
      </c>
    </row>
    <row r="211" spans="2:16" x14ac:dyDescent="0.2">
      <c r="B211" s="258">
        <f t="shared" si="7"/>
        <v>147</v>
      </c>
      <c r="C211" s="364"/>
      <c r="D211" s="362" t="s">
        <v>871</v>
      </c>
      <c r="E211" s="363"/>
      <c r="F211" s="363"/>
      <c r="G211" s="346" t="s">
        <v>268</v>
      </c>
      <c r="H211" s="364"/>
      <c r="I211" s="312">
        <f t="shared" si="6"/>
        <v>35000</v>
      </c>
      <c r="J211" s="333"/>
      <c r="L211" s="8"/>
      <c r="M211" s="308"/>
      <c r="N211" s="8">
        <f>'[4]Usulan 2021'!I210</f>
        <v>35000</v>
      </c>
      <c r="O211" s="8">
        <f>'[4]Usulan 2021'!J210</f>
        <v>35000</v>
      </c>
      <c r="P211" s="8">
        <f>'[4]Usulan 2021'!K210</f>
        <v>35000</v>
      </c>
    </row>
    <row r="212" spans="2:16" x14ac:dyDescent="0.2">
      <c r="B212" s="258">
        <f t="shared" si="7"/>
        <v>148</v>
      </c>
      <c r="C212" s="364"/>
      <c r="D212" s="365" t="s">
        <v>1369</v>
      </c>
      <c r="E212" s="315"/>
      <c r="F212" s="366"/>
      <c r="G212" s="310" t="s">
        <v>277</v>
      </c>
      <c r="H212" s="311"/>
      <c r="I212" s="312">
        <f>N212</f>
        <v>90000</v>
      </c>
      <c r="J212" s="273"/>
      <c r="L212" s="8"/>
      <c r="M212" s="8"/>
      <c r="N212" s="8">
        <f>'[4]Usulan 2021'!I211</f>
        <v>90000</v>
      </c>
      <c r="O212" s="8">
        <f>'[4]Usulan 2021'!J211</f>
        <v>90000</v>
      </c>
      <c r="P212" s="8">
        <f>'[4]Usulan 2021'!K211</f>
        <v>90000</v>
      </c>
    </row>
    <row r="213" spans="2:16" ht="16.5" x14ac:dyDescent="0.2">
      <c r="B213" s="258">
        <f t="shared" si="7"/>
        <v>149</v>
      </c>
      <c r="C213" s="364"/>
      <c r="D213" s="318" t="s">
        <v>873</v>
      </c>
      <c r="E213" s="270"/>
      <c r="F213" s="279"/>
      <c r="G213" s="310" t="s">
        <v>1494</v>
      </c>
      <c r="H213" s="311"/>
      <c r="I213" s="312">
        <f>N213</f>
        <v>285000</v>
      </c>
      <c r="J213" s="273"/>
      <c r="L213" s="8"/>
      <c r="M213" s="8"/>
      <c r="N213" s="8">
        <f>'[4]Usulan 2021'!I212</f>
        <v>285000</v>
      </c>
      <c r="O213" s="8">
        <f>'[4]Usulan 2021'!J212</f>
        <v>285000</v>
      </c>
      <c r="P213" s="8">
        <f>'[4]Usulan 2021'!K212</f>
        <v>285000</v>
      </c>
    </row>
    <row r="214" spans="2:16" ht="16.5" x14ac:dyDescent="0.2">
      <c r="B214" s="258">
        <f t="shared" si="7"/>
        <v>150</v>
      </c>
      <c r="C214" s="364"/>
      <c r="D214" s="318" t="s">
        <v>872</v>
      </c>
      <c r="E214" s="270"/>
      <c r="F214" s="279"/>
      <c r="G214" s="310" t="s">
        <v>1494</v>
      </c>
      <c r="H214" s="311"/>
      <c r="I214" s="312">
        <f t="shared" si="6"/>
        <v>306000</v>
      </c>
      <c r="J214" s="273"/>
      <c r="L214" s="8"/>
      <c r="M214" s="8"/>
      <c r="N214" s="8">
        <f>'[4]Usulan 2021'!I213</f>
        <v>306000</v>
      </c>
      <c r="O214" s="8">
        <f>'[4]Usulan 2021'!J213</f>
        <v>306000</v>
      </c>
      <c r="P214" s="8">
        <f>'[4]Usulan 2021'!K213</f>
        <v>306000</v>
      </c>
    </row>
    <row r="215" spans="2:16" ht="16.5" x14ac:dyDescent="0.2">
      <c r="B215" s="258">
        <f t="shared" si="7"/>
        <v>151</v>
      </c>
      <c r="C215" s="268"/>
      <c r="D215" s="318" t="s">
        <v>875</v>
      </c>
      <c r="E215" s="270"/>
      <c r="F215" s="316"/>
      <c r="G215" s="310" t="s">
        <v>1494</v>
      </c>
      <c r="H215" s="311"/>
      <c r="I215" s="312">
        <f>N215</f>
        <v>190000</v>
      </c>
      <c r="J215" s="273"/>
      <c r="L215" s="8"/>
      <c r="M215" s="8"/>
      <c r="N215" s="8">
        <f>'[4]Usulan 2021'!I214</f>
        <v>190000</v>
      </c>
      <c r="O215" s="8">
        <f>'[4]Usulan 2021'!J214</f>
        <v>137000</v>
      </c>
      <c r="P215" s="8">
        <f>'[4]Usulan 2021'!K214</f>
        <v>137000</v>
      </c>
    </row>
    <row r="216" spans="2:16" ht="16.5" x14ac:dyDescent="0.2">
      <c r="B216" s="258">
        <f t="shared" si="7"/>
        <v>152</v>
      </c>
      <c r="C216" s="364"/>
      <c r="D216" s="318" t="s">
        <v>874</v>
      </c>
      <c r="E216" s="270"/>
      <c r="F216" s="279"/>
      <c r="G216" s="310" t="s">
        <v>1494</v>
      </c>
      <c r="H216" s="311"/>
      <c r="I216" s="312">
        <f t="shared" si="6"/>
        <v>341000</v>
      </c>
      <c r="J216" s="273"/>
      <c r="L216" s="8"/>
      <c r="M216" s="8"/>
      <c r="N216" s="8">
        <f>'[4]Usulan 2021'!I215</f>
        <v>341000</v>
      </c>
      <c r="O216" s="8">
        <f>'[4]Usulan 2021'!J215</f>
        <v>341000</v>
      </c>
      <c r="P216" s="8">
        <f>'[4]Usulan 2021'!K215</f>
        <v>341000</v>
      </c>
    </row>
    <row r="217" spans="2:16" ht="16.5" x14ac:dyDescent="0.2">
      <c r="B217" s="258">
        <f t="shared" si="7"/>
        <v>153</v>
      </c>
      <c r="C217" s="364"/>
      <c r="D217" s="318" t="s">
        <v>877</v>
      </c>
      <c r="E217" s="270"/>
      <c r="F217" s="279"/>
      <c r="G217" s="310" t="s">
        <v>1494</v>
      </c>
      <c r="H217" s="311"/>
      <c r="I217" s="312">
        <f>N217</f>
        <v>257000</v>
      </c>
      <c r="J217" s="273"/>
      <c r="L217" s="8"/>
      <c r="M217" s="8"/>
      <c r="N217" s="8">
        <f>'[4]Usulan 2021'!I216</f>
        <v>257000</v>
      </c>
      <c r="O217" s="8">
        <f>'[4]Usulan 2021'!J216</f>
        <v>257000</v>
      </c>
      <c r="P217" s="8">
        <f>'[4]Usulan 2021'!K216</f>
        <v>257000</v>
      </c>
    </row>
    <row r="218" spans="2:16" ht="16.5" x14ac:dyDescent="0.2">
      <c r="B218" s="258">
        <f t="shared" si="7"/>
        <v>154</v>
      </c>
      <c r="C218" s="364"/>
      <c r="D218" s="318" t="s">
        <v>876</v>
      </c>
      <c r="E218" s="270"/>
      <c r="F218" s="279"/>
      <c r="G218" s="310" t="s">
        <v>1494</v>
      </c>
      <c r="H218" s="311"/>
      <c r="I218" s="312">
        <f t="shared" si="6"/>
        <v>417000</v>
      </c>
      <c r="J218" s="273"/>
      <c r="L218" s="8"/>
      <c r="M218" s="8"/>
      <c r="N218" s="8">
        <f>'[4]Usulan 2021'!I217</f>
        <v>417000</v>
      </c>
      <c r="O218" s="8">
        <f>'[4]Usulan 2021'!J217</f>
        <v>417000</v>
      </c>
      <c r="P218" s="8">
        <f>'[4]Usulan 2021'!K217</f>
        <v>417000</v>
      </c>
    </row>
    <row r="219" spans="2:16" ht="16.5" x14ac:dyDescent="0.2">
      <c r="B219" s="258">
        <f t="shared" si="7"/>
        <v>155</v>
      </c>
      <c r="C219" s="364"/>
      <c r="D219" s="318" t="s">
        <v>879</v>
      </c>
      <c r="E219" s="270"/>
      <c r="F219" s="279"/>
      <c r="G219" s="310" t="s">
        <v>1494</v>
      </c>
      <c r="H219" s="311"/>
      <c r="I219" s="312">
        <f>N219</f>
        <v>514000</v>
      </c>
      <c r="J219" s="273"/>
      <c r="L219" s="8"/>
      <c r="M219" s="8"/>
      <c r="N219" s="8">
        <f>'[4]Usulan 2021'!I218</f>
        <v>514000</v>
      </c>
      <c r="O219" s="8">
        <f>'[4]Usulan 2021'!J218</f>
        <v>514000</v>
      </c>
      <c r="P219" s="8">
        <f>'[4]Usulan 2021'!K218</f>
        <v>514000</v>
      </c>
    </row>
    <row r="220" spans="2:16" ht="16.5" x14ac:dyDescent="0.2">
      <c r="B220" s="258">
        <f t="shared" si="7"/>
        <v>156</v>
      </c>
      <c r="C220" s="364"/>
      <c r="D220" s="318" t="s">
        <v>878</v>
      </c>
      <c r="E220" s="270"/>
      <c r="F220" s="279"/>
      <c r="G220" s="310" t="s">
        <v>1494</v>
      </c>
      <c r="H220" s="311"/>
      <c r="I220" s="312">
        <f t="shared" si="6"/>
        <v>642000</v>
      </c>
      <c r="J220" s="273"/>
      <c r="L220" s="8"/>
      <c r="M220" s="8"/>
      <c r="N220" s="8">
        <f>'[4]Usulan 2021'!I219</f>
        <v>642000</v>
      </c>
      <c r="O220" s="8">
        <f>'[4]Usulan 2021'!J219</f>
        <v>642000</v>
      </c>
      <c r="P220" s="8">
        <f>'[4]Usulan 2021'!K219</f>
        <v>642000</v>
      </c>
    </row>
    <row r="221" spans="2:16" ht="16.5" x14ac:dyDescent="0.2">
      <c r="B221" s="258">
        <f t="shared" si="7"/>
        <v>157</v>
      </c>
      <c r="C221" s="364"/>
      <c r="D221" s="367" t="s">
        <v>1484</v>
      </c>
      <c r="E221" s="217"/>
      <c r="F221" s="279"/>
      <c r="G221" s="310" t="s">
        <v>1494</v>
      </c>
      <c r="H221" s="221"/>
      <c r="I221" s="312">
        <f t="shared" ref="I221:I293" si="8">N221</f>
        <v>1021000</v>
      </c>
      <c r="J221" s="273"/>
      <c r="L221" s="8"/>
      <c r="M221" s="8"/>
      <c r="N221" s="8">
        <f>'[4]Usulan 2021'!I220</f>
        <v>1021000</v>
      </c>
      <c r="O221" s="8">
        <f>'[4]Usulan 2021'!J220</f>
        <v>1021000</v>
      </c>
      <c r="P221" s="8">
        <f>'[4]Usulan 2021'!K220</f>
        <v>1021000</v>
      </c>
    </row>
    <row r="222" spans="2:16" x14ac:dyDescent="0.2">
      <c r="B222" s="258">
        <f t="shared" si="7"/>
        <v>158</v>
      </c>
      <c r="C222" s="364"/>
      <c r="D222" s="354" t="s">
        <v>636</v>
      </c>
      <c r="E222" s="261"/>
      <c r="F222" s="279"/>
      <c r="G222" s="263" t="s">
        <v>264</v>
      </c>
      <c r="H222" s="264"/>
      <c r="I222" s="312">
        <f t="shared" si="8"/>
        <v>466000</v>
      </c>
      <c r="J222" s="273"/>
      <c r="L222" s="8"/>
      <c r="M222" s="8"/>
      <c r="N222" s="8">
        <f>'[4]Usulan 2021'!I221</f>
        <v>466000</v>
      </c>
      <c r="O222" s="8">
        <f>'[4]Usulan 2021'!J221</f>
        <v>466000</v>
      </c>
      <c r="P222" s="8">
        <f>'[4]Usulan 2021'!K221</f>
        <v>466000</v>
      </c>
    </row>
    <row r="223" spans="2:16" x14ac:dyDescent="0.2">
      <c r="B223" s="258">
        <f t="shared" si="7"/>
        <v>159</v>
      </c>
      <c r="C223" s="364"/>
      <c r="D223" s="354" t="s">
        <v>60</v>
      </c>
      <c r="E223" s="261"/>
      <c r="F223" s="279"/>
      <c r="G223" s="368" t="s">
        <v>298</v>
      </c>
      <c r="H223" s="264"/>
      <c r="I223" s="312">
        <f t="shared" si="8"/>
        <v>52000</v>
      </c>
      <c r="J223" s="273"/>
      <c r="L223" s="8"/>
      <c r="M223" s="8"/>
      <c r="N223" s="8">
        <f>'[4]Usulan 2021'!I222</f>
        <v>52000</v>
      </c>
      <c r="O223" s="8">
        <f>'[4]Usulan 2021'!J222</f>
        <v>52000</v>
      </c>
      <c r="P223" s="8">
        <f>'[4]Usulan 2021'!K222</f>
        <v>52000</v>
      </c>
    </row>
    <row r="224" spans="2:16" x14ac:dyDescent="0.2">
      <c r="B224" s="258">
        <f t="shared" si="7"/>
        <v>160</v>
      </c>
      <c r="C224" s="364"/>
      <c r="D224" s="358" t="s">
        <v>485</v>
      </c>
      <c r="E224" s="270"/>
      <c r="F224" s="279"/>
      <c r="G224" s="263" t="s">
        <v>268</v>
      </c>
      <c r="H224" s="311"/>
      <c r="I224" s="312">
        <f t="shared" si="8"/>
        <v>6900</v>
      </c>
      <c r="J224" s="273"/>
      <c r="L224" s="8"/>
      <c r="M224" s="8"/>
      <c r="N224" s="8">
        <f>'[4]Usulan 2021'!I223</f>
        <v>6900</v>
      </c>
      <c r="O224" s="8">
        <f>'[4]Usulan 2021'!J223</f>
        <v>6900</v>
      </c>
      <c r="P224" s="8">
        <f>'[4]Usulan 2021'!K223</f>
        <v>6900</v>
      </c>
    </row>
    <row r="225" spans="2:16" x14ac:dyDescent="0.2">
      <c r="B225" s="258">
        <f t="shared" si="7"/>
        <v>161</v>
      </c>
      <c r="C225" s="364"/>
      <c r="D225" s="358" t="s">
        <v>433</v>
      </c>
      <c r="E225" s="270"/>
      <c r="F225" s="279"/>
      <c r="G225" s="263" t="s">
        <v>268</v>
      </c>
      <c r="H225" s="311"/>
      <c r="I225" s="312">
        <f t="shared" si="8"/>
        <v>9400</v>
      </c>
      <c r="J225" s="273"/>
      <c r="L225" s="8"/>
      <c r="M225" s="8"/>
      <c r="N225" s="8">
        <f>'[4]Usulan 2021'!I224</f>
        <v>9400</v>
      </c>
      <c r="O225" s="8">
        <f>'[4]Usulan 2021'!J224</f>
        <v>9400</v>
      </c>
      <c r="P225" s="8">
        <f>'[4]Usulan 2021'!K224</f>
        <v>9400</v>
      </c>
    </row>
    <row r="226" spans="2:16" x14ac:dyDescent="0.2">
      <c r="B226" s="258">
        <f t="shared" si="7"/>
        <v>162</v>
      </c>
      <c r="C226" s="364"/>
      <c r="D226" s="358" t="s">
        <v>486</v>
      </c>
      <c r="E226" s="270"/>
      <c r="F226" s="279"/>
      <c r="G226" s="263" t="s">
        <v>268</v>
      </c>
      <c r="H226" s="311"/>
      <c r="I226" s="312">
        <f t="shared" si="8"/>
        <v>11600</v>
      </c>
      <c r="J226" s="273"/>
      <c r="L226" s="8"/>
      <c r="M226" s="8"/>
      <c r="N226" s="8">
        <f>'[4]Usulan 2021'!I225</f>
        <v>11600</v>
      </c>
      <c r="O226" s="8">
        <f>'[4]Usulan 2021'!J225</f>
        <v>11600</v>
      </c>
      <c r="P226" s="8">
        <f>'[4]Usulan 2021'!K225</f>
        <v>11600</v>
      </c>
    </row>
    <row r="227" spans="2:16" x14ac:dyDescent="0.2">
      <c r="B227" s="258">
        <f t="shared" si="7"/>
        <v>163</v>
      </c>
      <c r="C227" s="364"/>
      <c r="D227" s="358" t="s">
        <v>881</v>
      </c>
      <c r="E227" s="270"/>
      <c r="F227" s="279"/>
      <c r="G227" s="263" t="s">
        <v>264</v>
      </c>
      <c r="H227" s="311"/>
      <c r="I227" s="312">
        <f t="shared" si="8"/>
        <v>233000</v>
      </c>
      <c r="J227" s="273"/>
      <c r="L227" s="8"/>
      <c r="M227" s="8"/>
      <c r="N227" s="8">
        <f>'[4]Usulan 2021'!I226</f>
        <v>233000</v>
      </c>
      <c r="O227" s="8">
        <f>'[4]Usulan 2021'!J226</f>
        <v>233000</v>
      </c>
      <c r="P227" s="8">
        <f>'[4]Usulan 2021'!K226</f>
        <v>233000</v>
      </c>
    </row>
    <row r="228" spans="2:16" x14ac:dyDescent="0.2">
      <c r="B228" s="258">
        <f t="shared" si="7"/>
        <v>164</v>
      </c>
      <c r="C228" s="364"/>
      <c r="D228" s="358" t="s">
        <v>59</v>
      </c>
      <c r="E228" s="270"/>
      <c r="F228" s="279"/>
      <c r="G228" s="263" t="s">
        <v>264</v>
      </c>
      <c r="H228" s="311"/>
      <c r="I228" s="312">
        <f t="shared" si="8"/>
        <v>233000</v>
      </c>
      <c r="J228" s="273"/>
      <c r="L228" s="8"/>
      <c r="M228" s="8"/>
      <c r="N228" s="8">
        <f>'[4]Usulan 2021'!I227</f>
        <v>233000</v>
      </c>
      <c r="O228" s="8">
        <f>'[4]Usulan 2021'!J227</f>
        <v>233000</v>
      </c>
      <c r="P228" s="8">
        <f>'[4]Usulan 2021'!K227</f>
        <v>233000</v>
      </c>
    </row>
    <row r="229" spans="2:16" x14ac:dyDescent="0.2">
      <c r="B229" s="258">
        <f t="shared" si="7"/>
        <v>165</v>
      </c>
      <c r="C229" s="364"/>
      <c r="D229" s="369" t="s">
        <v>1370</v>
      </c>
      <c r="G229" s="263" t="s">
        <v>268</v>
      </c>
      <c r="H229" s="311"/>
      <c r="I229" s="312">
        <f t="shared" si="8"/>
        <v>158000</v>
      </c>
      <c r="J229" s="273"/>
      <c r="N229" s="8">
        <f>'[4]Usulan 2021'!I228</f>
        <v>158000</v>
      </c>
    </row>
    <row r="230" spans="2:16" x14ac:dyDescent="0.2">
      <c r="B230" s="258">
        <f t="shared" si="7"/>
        <v>166</v>
      </c>
      <c r="C230" s="268"/>
      <c r="D230" s="319" t="s">
        <v>883</v>
      </c>
      <c r="E230" s="315"/>
      <c r="F230" s="366"/>
      <c r="G230" s="263" t="s">
        <v>277</v>
      </c>
      <c r="H230" s="311"/>
      <c r="I230" s="312">
        <f>N230</f>
        <v>85000</v>
      </c>
      <c r="J230" s="273"/>
      <c r="K230" s="370"/>
      <c r="L230" s="8"/>
      <c r="M230" s="8"/>
      <c r="N230" s="8">
        <f>'[4]Usulan 2021'!I229</f>
        <v>85000</v>
      </c>
      <c r="O230" s="8">
        <f>'[4]Usulan 2021'!J229</f>
        <v>85000</v>
      </c>
      <c r="P230" s="8">
        <f>'[4]Usulan 2021'!K229</f>
        <v>85000</v>
      </c>
    </row>
    <row r="231" spans="2:16" x14ac:dyDescent="0.2">
      <c r="B231" s="258">
        <f t="shared" si="7"/>
        <v>167</v>
      </c>
      <c r="C231" s="268"/>
      <c r="D231" s="319" t="s">
        <v>882</v>
      </c>
      <c r="E231" s="315"/>
      <c r="F231" s="366"/>
      <c r="G231" s="310" t="s">
        <v>277</v>
      </c>
      <c r="H231" s="311"/>
      <c r="I231" s="312">
        <f t="shared" si="8"/>
        <v>67000</v>
      </c>
      <c r="J231" s="273"/>
      <c r="L231" s="8"/>
      <c r="M231" s="8"/>
      <c r="N231" s="8">
        <f>'[4]Usulan 2021'!I230</f>
        <v>67000</v>
      </c>
      <c r="O231" s="8">
        <f>'[4]Usulan 2021'!J230</f>
        <v>67000</v>
      </c>
      <c r="P231" s="8">
        <f>'[4]Usulan 2021'!K230</f>
        <v>67000</v>
      </c>
    </row>
    <row r="232" spans="2:16" x14ac:dyDescent="0.2">
      <c r="B232" s="258">
        <f t="shared" si="7"/>
        <v>168</v>
      </c>
      <c r="C232" s="268"/>
      <c r="D232" s="358" t="s">
        <v>432</v>
      </c>
      <c r="E232" s="270"/>
      <c r="F232" s="279"/>
      <c r="G232" s="263" t="s">
        <v>268</v>
      </c>
      <c r="H232" s="311"/>
      <c r="I232" s="312">
        <f t="shared" si="8"/>
        <v>5200</v>
      </c>
      <c r="J232" s="273"/>
      <c r="L232" s="8"/>
      <c r="M232" s="8"/>
      <c r="N232" s="8">
        <f>'[4]Usulan 2021'!I231</f>
        <v>5200</v>
      </c>
      <c r="O232" s="8">
        <f>'[4]Usulan 2021'!J231</f>
        <v>5200</v>
      </c>
      <c r="P232" s="8">
        <f>'[4]Usulan 2021'!K231</f>
        <v>5200</v>
      </c>
    </row>
    <row r="233" spans="2:16" x14ac:dyDescent="0.2">
      <c r="B233" s="258">
        <f t="shared" si="7"/>
        <v>169</v>
      </c>
      <c r="C233" s="268"/>
      <c r="D233" s="358" t="s">
        <v>487</v>
      </c>
      <c r="E233" s="270"/>
      <c r="F233" s="279"/>
      <c r="G233" s="263" t="s">
        <v>268</v>
      </c>
      <c r="H233" s="311"/>
      <c r="I233" s="312">
        <f t="shared" si="8"/>
        <v>10000</v>
      </c>
      <c r="J233" s="273"/>
      <c r="L233" s="8"/>
      <c r="M233" s="8"/>
      <c r="N233" s="8">
        <f>'[4]Usulan 2021'!I232</f>
        <v>10000</v>
      </c>
      <c r="O233" s="8">
        <f>'[4]Usulan 2021'!J232</f>
        <v>10000</v>
      </c>
      <c r="P233" s="8">
        <f>'[4]Usulan 2021'!K232</f>
        <v>10000</v>
      </c>
    </row>
    <row r="234" spans="2:16" x14ac:dyDescent="0.2">
      <c r="B234" s="258">
        <f t="shared" si="7"/>
        <v>170</v>
      </c>
      <c r="C234" s="268"/>
      <c r="D234" s="358" t="s">
        <v>488</v>
      </c>
      <c r="E234" s="270"/>
      <c r="F234" s="279"/>
      <c r="G234" s="263" t="s">
        <v>268</v>
      </c>
      <c r="H234" s="311"/>
      <c r="I234" s="312">
        <f t="shared" si="8"/>
        <v>15800</v>
      </c>
      <c r="J234" s="273"/>
      <c r="L234" s="8"/>
      <c r="M234" s="8"/>
      <c r="N234" s="8">
        <f>'[4]Usulan 2021'!I233</f>
        <v>15800</v>
      </c>
      <c r="O234" s="8">
        <f>'[4]Usulan 2021'!J233</f>
        <v>15800</v>
      </c>
      <c r="P234" s="8">
        <f>'[4]Usulan 2021'!K233</f>
        <v>15800</v>
      </c>
    </row>
    <row r="235" spans="2:16" x14ac:dyDescent="0.2">
      <c r="B235" s="258">
        <f t="shared" si="7"/>
        <v>171</v>
      </c>
      <c r="C235" s="268"/>
      <c r="D235" s="371" t="s">
        <v>389</v>
      </c>
      <c r="E235" s="315"/>
      <c r="F235" s="316"/>
      <c r="G235" s="310" t="s">
        <v>268</v>
      </c>
      <c r="H235" s="311"/>
      <c r="I235" s="312">
        <f t="shared" si="8"/>
        <v>11600</v>
      </c>
      <c r="J235" s="273"/>
      <c r="L235" s="8"/>
      <c r="M235" s="8"/>
      <c r="N235" s="8">
        <f>'[4]Usulan 2021'!I234</f>
        <v>11600</v>
      </c>
      <c r="O235" s="8">
        <f>'[4]Usulan 2021'!J234</f>
        <v>11600</v>
      </c>
      <c r="P235" s="8">
        <f>'[4]Usulan 2021'!K234</f>
        <v>11600</v>
      </c>
    </row>
    <row r="236" spans="2:16" x14ac:dyDescent="0.2">
      <c r="B236" s="258">
        <f t="shared" si="7"/>
        <v>172</v>
      </c>
      <c r="C236" s="268"/>
      <c r="D236" s="319" t="s">
        <v>885</v>
      </c>
      <c r="E236" s="315"/>
      <c r="F236" s="316"/>
      <c r="G236" s="263" t="s">
        <v>277</v>
      </c>
      <c r="H236" s="311"/>
      <c r="I236" s="312">
        <f t="shared" si="8"/>
        <v>20000</v>
      </c>
      <c r="J236" s="273"/>
      <c r="L236" s="8"/>
      <c r="M236" s="8"/>
      <c r="N236" s="8">
        <f>'[4]Usulan 2021'!I235</f>
        <v>20000</v>
      </c>
      <c r="O236" s="8">
        <f>'[4]Usulan 2021'!J235</f>
        <v>20000</v>
      </c>
      <c r="P236" s="8">
        <f>'[4]Usulan 2021'!K235</f>
        <v>20000</v>
      </c>
    </row>
    <row r="237" spans="2:16" x14ac:dyDescent="0.2">
      <c r="B237" s="258">
        <f t="shared" si="7"/>
        <v>173</v>
      </c>
      <c r="C237" s="268"/>
      <c r="D237" s="318" t="s">
        <v>236</v>
      </c>
      <c r="E237" s="270"/>
      <c r="F237" s="316"/>
      <c r="G237" s="263" t="s">
        <v>265</v>
      </c>
      <c r="H237" s="311"/>
      <c r="I237" s="372">
        <f t="shared" si="8"/>
        <v>10000</v>
      </c>
      <c r="J237" s="273"/>
      <c r="L237" s="8"/>
      <c r="M237" s="8"/>
      <c r="N237" s="8">
        <f>'[4]Usulan 2021'!I236</f>
        <v>10000</v>
      </c>
      <c r="O237" s="8">
        <f>'[4]Usulan 2021'!J236</f>
        <v>10000</v>
      </c>
      <c r="P237" s="8">
        <f>'[4]Usulan 2021'!K236</f>
        <v>10000</v>
      </c>
    </row>
    <row r="238" spans="2:16" x14ac:dyDescent="0.2">
      <c r="B238" s="258">
        <f t="shared" si="7"/>
        <v>174</v>
      </c>
      <c r="C238" s="268"/>
      <c r="D238" s="318" t="s">
        <v>886</v>
      </c>
      <c r="E238" s="270"/>
      <c r="F238" s="316"/>
      <c r="G238" s="263" t="s">
        <v>268</v>
      </c>
      <c r="H238" s="311"/>
      <c r="I238" s="312">
        <f t="shared" si="8"/>
        <v>21000</v>
      </c>
      <c r="J238" s="273"/>
      <c r="L238" s="8"/>
      <c r="M238" s="8"/>
      <c r="N238" s="8">
        <f>'[4]Usulan 2021'!I237</f>
        <v>21000</v>
      </c>
      <c r="O238" s="8">
        <f>'[4]Usulan 2021'!J237</f>
        <v>21000</v>
      </c>
      <c r="P238" s="8">
        <f>'[4]Usulan 2021'!K237</f>
        <v>21000</v>
      </c>
    </row>
    <row r="239" spans="2:16" x14ac:dyDescent="0.2">
      <c r="B239" s="258">
        <f t="shared" si="7"/>
        <v>175</v>
      </c>
      <c r="C239" s="268"/>
      <c r="D239" s="318" t="s">
        <v>887</v>
      </c>
      <c r="E239" s="270"/>
      <c r="F239" s="316"/>
      <c r="G239" s="263" t="s">
        <v>268</v>
      </c>
      <c r="H239" s="311"/>
      <c r="I239" s="312">
        <f t="shared" si="8"/>
        <v>46000</v>
      </c>
      <c r="J239" s="273"/>
      <c r="L239" s="8"/>
      <c r="M239" s="8"/>
      <c r="N239" s="8">
        <f>'[4]Usulan 2021'!I238</f>
        <v>46000</v>
      </c>
      <c r="O239" s="8">
        <f>'[4]Usulan 2021'!J238</f>
        <v>46000</v>
      </c>
      <c r="P239" s="8">
        <f>'[4]Usulan 2021'!K238</f>
        <v>46000</v>
      </c>
    </row>
    <row r="240" spans="2:16" x14ac:dyDescent="0.2">
      <c r="B240" s="258">
        <f t="shared" si="7"/>
        <v>176</v>
      </c>
      <c r="C240" s="268"/>
      <c r="D240" s="318" t="s">
        <v>1371</v>
      </c>
      <c r="E240" s="270"/>
      <c r="F240" s="316"/>
      <c r="G240" s="263" t="s">
        <v>268</v>
      </c>
      <c r="H240" s="311"/>
      <c r="I240" s="312">
        <f t="shared" si="8"/>
        <v>569000</v>
      </c>
      <c r="J240" s="273"/>
      <c r="L240" s="8"/>
      <c r="M240" s="8"/>
      <c r="N240" s="8">
        <f>'[4]Usulan 2021'!I239</f>
        <v>569000</v>
      </c>
      <c r="O240" s="8"/>
      <c r="P240" s="8"/>
    </row>
    <row r="241" spans="2:18" x14ac:dyDescent="0.2">
      <c r="B241" s="258">
        <f t="shared" si="7"/>
        <v>177</v>
      </c>
      <c r="C241" s="268"/>
      <c r="D241" s="319" t="s">
        <v>297</v>
      </c>
      <c r="E241" s="315"/>
      <c r="F241" s="316"/>
      <c r="G241" s="310" t="s">
        <v>298</v>
      </c>
      <c r="H241" s="328"/>
      <c r="I241" s="312">
        <f t="shared" si="8"/>
        <v>14600</v>
      </c>
      <c r="J241" s="273"/>
      <c r="L241" s="8"/>
      <c r="M241" s="8"/>
      <c r="N241" s="8">
        <f>'[4]Usulan 2021'!I240</f>
        <v>14600</v>
      </c>
      <c r="O241" s="8">
        <f>'[4]Usulan 2021'!J240</f>
        <v>14600</v>
      </c>
      <c r="P241" s="8">
        <f>'[4]Usulan 2021'!K240</f>
        <v>14600</v>
      </c>
    </row>
    <row r="242" spans="2:18" x14ac:dyDescent="0.2">
      <c r="B242" s="258">
        <f t="shared" si="7"/>
        <v>178</v>
      </c>
      <c r="C242" s="268"/>
      <c r="D242" s="357" t="s">
        <v>1372</v>
      </c>
      <c r="E242" s="315"/>
      <c r="F242" s="316"/>
      <c r="G242" s="310" t="s">
        <v>268</v>
      </c>
      <c r="H242" s="328"/>
      <c r="I242" s="312">
        <f t="shared" si="8"/>
        <v>162000</v>
      </c>
      <c r="J242" s="273"/>
      <c r="L242" s="8"/>
      <c r="M242" s="8"/>
      <c r="N242" s="8">
        <f>'[4]Usulan 2021'!I241</f>
        <v>162000</v>
      </c>
      <c r="O242" s="8"/>
      <c r="P242" s="8"/>
    </row>
    <row r="243" spans="2:18" x14ac:dyDescent="0.2">
      <c r="B243" s="258">
        <f t="shared" si="7"/>
        <v>179</v>
      </c>
      <c r="C243" s="268"/>
      <c r="D243" s="318" t="s">
        <v>717</v>
      </c>
      <c r="E243" s="270"/>
      <c r="F243" s="316"/>
      <c r="G243" s="310" t="s">
        <v>268</v>
      </c>
      <c r="H243" s="311"/>
      <c r="I243" s="312">
        <f t="shared" si="8"/>
        <v>135000</v>
      </c>
      <c r="J243" s="273"/>
      <c r="L243" s="8"/>
      <c r="M243" s="8"/>
      <c r="N243" s="8">
        <f>'[4]Usulan 2021'!I242</f>
        <v>135000</v>
      </c>
      <c r="O243" s="8">
        <f>'[4]Usulan 2021'!J242</f>
        <v>135000</v>
      </c>
      <c r="P243" s="8">
        <f>'[4]Usulan 2021'!K242</f>
        <v>135000</v>
      </c>
    </row>
    <row r="244" spans="2:18" x14ac:dyDescent="0.2">
      <c r="B244" s="258">
        <f>B243+1</f>
        <v>180</v>
      </c>
      <c r="C244" s="268"/>
      <c r="D244" s="318" t="s">
        <v>1373</v>
      </c>
      <c r="E244" s="270"/>
      <c r="F244" s="279"/>
      <c r="G244" s="310" t="s">
        <v>247</v>
      </c>
      <c r="H244" s="361"/>
      <c r="I244" s="312">
        <f t="shared" si="8"/>
        <v>5700</v>
      </c>
      <c r="J244" s="273"/>
      <c r="L244" s="8"/>
      <c r="M244" s="8"/>
      <c r="N244" s="8">
        <f>'[4]Usulan 2021'!I243</f>
        <v>5700</v>
      </c>
      <c r="O244" s="8">
        <f>'[4]Usulan 2021'!J243</f>
        <v>5700</v>
      </c>
      <c r="P244" s="8">
        <f>'[4]Usulan 2021'!K243</f>
        <v>5700</v>
      </c>
      <c r="R244" s="352">
        <f>I244*50</f>
        <v>285000</v>
      </c>
    </row>
    <row r="245" spans="2:18" x14ac:dyDescent="0.2">
      <c r="B245" s="258">
        <f t="shared" ref="B245:B308" si="9">B244+1</f>
        <v>181</v>
      </c>
      <c r="C245" s="268"/>
      <c r="D245" s="318" t="s">
        <v>1374</v>
      </c>
      <c r="E245" s="270"/>
      <c r="F245" s="279"/>
      <c r="G245" s="310" t="s">
        <v>247</v>
      </c>
      <c r="H245" s="361"/>
      <c r="I245" s="312">
        <f t="shared" si="8"/>
        <v>6900</v>
      </c>
      <c r="J245" s="273"/>
      <c r="L245" s="8"/>
      <c r="M245" s="8"/>
      <c r="N245" s="8">
        <f>'[4]Usulan 2021'!I244</f>
        <v>6900</v>
      </c>
      <c r="O245" s="8">
        <f>'[4]Usulan 2021'!J244</f>
        <v>6900</v>
      </c>
      <c r="P245" s="8">
        <f>'[4]Usulan 2021'!K244</f>
        <v>6900</v>
      </c>
      <c r="R245" s="352">
        <f>I245*50</f>
        <v>345000</v>
      </c>
    </row>
    <row r="246" spans="2:18" x14ac:dyDescent="0.2">
      <c r="B246" s="258">
        <f t="shared" si="9"/>
        <v>182</v>
      </c>
      <c r="C246" s="259"/>
      <c r="D246" s="354" t="s">
        <v>640</v>
      </c>
      <c r="E246" s="261"/>
      <c r="F246" s="262"/>
      <c r="G246" s="335" t="s">
        <v>275</v>
      </c>
      <c r="H246" s="264"/>
      <c r="I246" s="312">
        <f t="shared" si="8"/>
        <v>1929000</v>
      </c>
      <c r="J246" s="266"/>
      <c r="L246" s="8"/>
      <c r="M246" s="8"/>
      <c r="N246" s="8">
        <f>'[4]Usulan 2021'!I245</f>
        <v>1929000</v>
      </c>
      <c r="O246" s="8">
        <f>'[4]Usulan 2021'!J245</f>
        <v>1929000</v>
      </c>
      <c r="P246" s="8">
        <f>'[4]Usulan 2021'!K245</f>
        <v>1929000</v>
      </c>
    </row>
    <row r="247" spans="2:18" x14ac:dyDescent="0.2">
      <c r="B247" s="258">
        <f t="shared" si="9"/>
        <v>183</v>
      </c>
      <c r="C247" s="268"/>
      <c r="D247" s="371" t="s">
        <v>889</v>
      </c>
      <c r="E247" s="315"/>
      <c r="F247" s="279"/>
      <c r="G247" s="310" t="s">
        <v>247</v>
      </c>
      <c r="H247" s="311"/>
      <c r="I247" s="312">
        <f>N247</f>
        <v>935000</v>
      </c>
      <c r="J247" s="273"/>
      <c r="L247" s="8"/>
      <c r="M247" s="8"/>
      <c r="N247" s="8">
        <f>'[4]Usulan 2021'!I246</f>
        <v>935000</v>
      </c>
      <c r="O247" s="8">
        <f>'[4]Usulan 2021'!J246</f>
        <v>935000</v>
      </c>
      <c r="P247" s="8">
        <f>'[4]Usulan 2021'!K246</f>
        <v>935000</v>
      </c>
    </row>
    <row r="248" spans="2:18" x14ac:dyDescent="0.2">
      <c r="B248" s="258">
        <f t="shared" si="9"/>
        <v>184</v>
      </c>
      <c r="C248" s="268"/>
      <c r="D248" s="371" t="s">
        <v>888</v>
      </c>
      <c r="E248" s="315"/>
      <c r="F248" s="279"/>
      <c r="G248" s="310" t="s">
        <v>247</v>
      </c>
      <c r="H248" s="311"/>
      <c r="I248" s="312">
        <f t="shared" si="8"/>
        <v>291000</v>
      </c>
      <c r="J248" s="273"/>
      <c r="L248" s="8"/>
      <c r="M248" s="8"/>
      <c r="N248" s="8">
        <f>'[4]Usulan 2021'!I247</f>
        <v>291000</v>
      </c>
      <c r="O248" s="8">
        <f>'[4]Usulan 2021'!J247</f>
        <v>291000</v>
      </c>
      <c r="P248" s="8">
        <f>'[4]Usulan 2021'!K247</f>
        <v>291000</v>
      </c>
    </row>
    <row r="249" spans="2:18" ht="16.5" x14ac:dyDescent="0.2">
      <c r="B249" s="258">
        <f t="shared" si="9"/>
        <v>185</v>
      </c>
      <c r="C249" s="268"/>
      <c r="D249" s="371" t="s">
        <v>489</v>
      </c>
      <c r="E249" s="315"/>
      <c r="F249" s="316"/>
      <c r="G249" s="310" t="s">
        <v>1494</v>
      </c>
      <c r="H249" s="373"/>
      <c r="I249" s="312">
        <f t="shared" si="8"/>
        <v>93000</v>
      </c>
      <c r="J249" s="273"/>
      <c r="L249" s="8"/>
      <c r="M249" s="8"/>
      <c r="N249" s="8">
        <f>'[4]Usulan 2021'!I248</f>
        <v>93000</v>
      </c>
      <c r="O249" s="8">
        <f>'[4]Usulan 2021'!J248</f>
        <v>93000</v>
      </c>
      <c r="P249" s="8">
        <f>'[4]Usulan 2021'!K248</f>
        <v>93000</v>
      </c>
    </row>
    <row r="250" spans="2:18" ht="16.5" x14ac:dyDescent="0.2">
      <c r="B250" s="258">
        <f t="shared" si="9"/>
        <v>186</v>
      </c>
      <c r="C250" s="268"/>
      <c r="D250" s="371" t="s">
        <v>431</v>
      </c>
      <c r="E250" s="315"/>
      <c r="F250" s="316"/>
      <c r="G250" s="310" t="s">
        <v>1494</v>
      </c>
      <c r="H250" s="373"/>
      <c r="I250" s="312">
        <f t="shared" si="8"/>
        <v>122000</v>
      </c>
      <c r="J250" s="273"/>
      <c r="L250" s="8"/>
      <c r="M250" s="8"/>
      <c r="N250" s="8">
        <f>'[4]Usulan 2021'!I249</f>
        <v>122000</v>
      </c>
      <c r="O250" s="8">
        <f>'[4]Usulan 2021'!J249</f>
        <v>122000</v>
      </c>
      <c r="P250" s="8">
        <f>'[4]Usulan 2021'!K249</f>
        <v>122000</v>
      </c>
    </row>
    <row r="251" spans="2:18" ht="16.5" x14ac:dyDescent="0.2">
      <c r="B251" s="258">
        <f t="shared" si="9"/>
        <v>187</v>
      </c>
      <c r="C251" s="268"/>
      <c r="D251" s="371" t="s">
        <v>890</v>
      </c>
      <c r="E251" s="315"/>
      <c r="F251" s="316"/>
      <c r="G251" s="310" t="s">
        <v>1494</v>
      </c>
      <c r="H251" s="373"/>
      <c r="I251" s="312">
        <f t="shared" si="8"/>
        <v>221000</v>
      </c>
      <c r="J251" s="273"/>
      <c r="L251" s="8"/>
      <c r="M251" s="8"/>
      <c r="N251" s="8">
        <f>'[4]Usulan 2021'!I250</f>
        <v>221000</v>
      </c>
      <c r="O251" s="8">
        <f>'[4]Usulan 2021'!J250</f>
        <v>221000</v>
      </c>
      <c r="P251" s="8">
        <f>'[4]Usulan 2021'!K250</f>
        <v>221000</v>
      </c>
    </row>
    <row r="252" spans="2:18" ht="16.5" x14ac:dyDescent="0.2">
      <c r="B252" s="258">
        <f t="shared" si="9"/>
        <v>188</v>
      </c>
      <c r="C252" s="268"/>
      <c r="D252" s="371" t="s">
        <v>490</v>
      </c>
      <c r="E252" s="315"/>
      <c r="F252" s="316"/>
      <c r="G252" s="310" t="s">
        <v>1494</v>
      </c>
      <c r="H252" s="373"/>
      <c r="I252" s="312">
        <f t="shared" si="8"/>
        <v>280000</v>
      </c>
      <c r="J252" s="273"/>
      <c r="L252" s="8"/>
      <c r="M252" s="8"/>
      <c r="N252" s="8">
        <f>'[4]Usulan 2021'!I251</f>
        <v>280000</v>
      </c>
      <c r="O252" s="8">
        <f>'[4]Usulan 2021'!J251</f>
        <v>280000</v>
      </c>
      <c r="P252" s="8">
        <f>'[4]Usulan 2021'!K251</f>
        <v>280000</v>
      </c>
    </row>
    <row r="253" spans="2:18" ht="16.5" x14ac:dyDescent="0.2">
      <c r="B253" s="258">
        <f t="shared" si="9"/>
        <v>189</v>
      </c>
      <c r="C253" s="268"/>
      <c r="D253" s="371" t="s">
        <v>232</v>
      </c>
      <c r="E253" s="315"/>
      <c r="F253" s="316"/>
      <c r="G253" s="310" t="s">
        <v>1494</v>
      </c>
      <c r="H253" s="373"/>
      <c r="I253" s="312">
        <f t="shared" si="8"/>
        <v>116000</v>
      </c>
      <c r="J253" s="273"/>
      <c r="L253" s="8"/>
      <c r="M253" s="8"/>
      <c r="N253" s="8">
        <f>'[4]Usulan 2021'!I252</f>
        <v>116000</v>
      </c>
      <c r="O253" s="8">
        <f>'[4]Usulan 2021'!J252</f>
        <v>116000</v>
      </c>
      <c r="P253" s="8">
        <f>'[4]Usulan 2021'!K252</f>
        <v>116000</v>
      </c>
    </row>
    <row r="254" spans="2:18" ht="16.5" x14ac:dyDescent="0.2">
      <c r="B254" s="258">
        <f t="shared" si="9"/>
        <v>190</v>
      </c>
      <c r="C254" s="268"/>
      <c r="D254" s="374" t="s">
        <v>1375</v>
      </c>
      <c r="E254" s="315"/>
      <c r="F254" s="316"/>
      <c r="G254" s="310" t="s">
        <v>1494</v>
      </c>
      <c r="H254" s="311"/>
      <c r="I254" s="312">
        <f t="shared" si="8"/>
        <v>650000</v>
      </c>
      <c r="J254" s="273"/>
      <c r="L254" s="8"/>
      <c r="M254" s="8"/>
      <c r="N254" s="8">
        <f>'[4]Usulan 2021'!I253</f>
        <v>650000</v>
      </c>
      <c r="O254" s="8">
        <f>'[4]Usulan 2021'!J253</f>
        <v>650000</v>
      </c>
      <c r="P254" s="8">
        <f>'[4]Usulan 2021'!K253</f>
        <v>650000</v>
      </c>
    </row>
    <row r="255" spans="2:18" ht="16.5" x14ac:dyDescent="0.2">
      <c r="B255" s="258">
        <f t="shared" si="9"/>
        <v>191</v>
      </c>
      <c r="C255" s="268"/>
      <c r="D255" s="371" t="s">
        <v>1376</v>
      </c>
      <c r="E255" s="315"/>
      <c r="F255" s="316"/>
      <c r="G255" s="310" t="s">
        <v>1494</v>
      </c>
      <c r="H255" s="373"/>
      <c r="I255" s="312">
        <f t="shared" si="8"/>
        <v>93000</v>
      </c>
      <c r="J255" s="273"/>
      <c r="L255" s="8"/>
      <c r="M255" s="8"/>
      <c r="N255" s="8">
        <f>'[4]Usulan 2021'!I254</f>
        <v>93000</v>
      </c>
      <c r="O255" s="8">
        <f>'[4]Usulan 2021'!J254</f>
        <v>93000</v>
      </c>
      <c r="P255" s="8">
        <f>'[4]Usulan 2021'!K254</f>
        <v>93000</v>
      </c>
    </row>
    <row r="256" spans="2:18" ht="16.5" x14ac:dyDescent="0.2">
      <c r="B256" s="258">
        <f t="shared" si="9"/>
        <v>192</v>
      </c>
      <c r="C256" s="268"/>
      <c r="D256" s="371" t="s">
        <v>491</v>
      </c>
      <c r="E256" s="315"/>
      <c r="F256" s="316"/>
      <c r="G256" s="310" t="s">
        <v>1494</v>
      </c>
      <c r="H256" s="373"/>
      <c r="I256" s="312">
        <f t="shared" si="8"/>
        <v>104000</v>
      </c>
      <c r="J256" s="273"/>
      <c r="L256" s="8"/>
      <c r="M256" s="8"/>
      <c r="N256" s="8">
        <f>'[4]Usulan 2021'!I255</f>
        <v>104000</v>
      </c>
      <c r="O256" s="8">
        <f>'[4]Usulan 2021'!J255</f>
        <v>104000</v>
      </c>
      <c r="P256" s="8">
        <f>'[4]Usulan 2021'!K255</f>
        <v>104000</v>
      </c>
    </row>
    <row r="257" spans="2:16" x14ac:dyDescent="0.2">
      <c r="B257" s="258">
        <f t="shared" si="9"/>
        <v>193</v>
      </c>
      <c r="C257" s="268"/>
      <c r="D257" s="319" t="s">
        <v>891</v>
      </c>
      <c r="E257" s="315"/>
      <c r="F257" s="316"/>
      <c r="G257" s="310" t="s">
        <v>273</v>
      </c>
      <c r="H257" s="311"/>
      <c r="I257" s="312">
        <f t="shared" si="8"/>
        <v>9353000</v>
      </c>
      <c r="J257" s="273"/>
      <c r="L257" s="8"/>
      <c r="M257" s="8"/>
      <c r="N257" s="8">
        <f>'[4]Usulan 2021'!I256</f>
        <v>9353000</v>
      </c>
      <c r="O257" s="8">
        <f>'[4]Usulan 2021'!J256</f>
        <v>9353000</v>
      </c>
      <c r="P257" s="8">
        <f>'[4]Usulan 2021'!K256</f>
        <v>9353000</v>
      </c>
    </row>
    <row r="258" spans="2:16" x14ac:dyDescent="0.2">
      <c r="B258" s="258">
        <f t="shared" si="9"/>
        <v>194</v>
      </c>
      <c r="C258" s="268"/>
      <c r="D258" s="319" t="s">
        <v>1377</v>
      </c>
      <c r="E258" s="315"/>
      <c r="F258" s="316"/>
      <c r="G258" s="310" t="s">
        <v>338</v>
      </c>
      <c r="H258" s="328"/>
      <c r="I258" s="312">
        <f t="shared" si="8"/>
        <v>252000</v>
      </c>
      <c r="J258" s="273"/>
      <c r="L258" s="8"/>
      <c r="M258" s="8"/>
      <c r="N258" s="8">
        <f>'[4]Usulan 2021'!I257</f>
        <v>252000</v>
      </c>
      <c r="O258" s="8"/>
      <c r="P258" s="8"/>
    </row>
    <row r="259" spans="2:16" x14ac:dyDescent="0.2">
      <c r="B259" s="258">
        <f t="shared" si="9"/>
        <v>195</v>
      </c>
      <c r="C259" s="268"/>
      <c r="D259" s="319" t="s">
        <v>892</v>
      </c>
      <c r="E259" s="315"/>
      <c r="F259" s="316"/>
      <c r="G259" s="310" t="s">
        <v>268</v>
      </c>
      <c r="H259" s="328"/>
      <c r="I259" s="372">
        <f t="shared" si="8"/>
        <v>35000</v>
      </c>
      <c r="J259" s="273"/>
      <c r="L259" s="8"/>
      <c r="M259" s="8"/>
      <c r="N259" s="8">
        <f>'[4]Usulan 2021'!I258</f>
        <v>35000</v>
      </c>
      <c r="O259" s="8">
        <f>'[4]Usulan 2021'!J258</f>
        <v>35000</v>
      </c>
      <c r="P259" s="8">
        <f>'[4]Usulan 2021'!K258</f>
        <v>35000</v>
      </c>
    </row>
    <row r="260" spans="2:16" x14ac:dyDescent="0.2">
      <c r="B260" s="258">
        <f t="shared" si="9"/>
        <v>196</v>
      </c>
      <c r="C260" s="268"/>
      <c r="D260" s="357" t="s">
        <v>332</v>
      </c>
      <c r="E260" s="315"/>
      <c r="F260" s="316"/>
      <c r="G260" s="310" t="s">
        <v>293</v>
      </c>
      <c r="H260" s="328"/>
      <c r="I260" s="375">
        <f t="shared" si="8"/>
        <v>230000</v>
      </c>
      <c r="J260" s="273"/>
      <c r="L260" s="8"/>
      <c r="M260" s="8"/>
      <c r="N260" s="8">
        <f>'[4]Usulan 2021'!I259</f>
        <v>230000</v>
      </c>
      <c r="O260" s="8"/>
      <c r="P260" s="8"/>
    </row>
    <row r="261" spans="2:16" ht="16.5" x14ac:dyDescent="0.2">
      <c r="B261" s="258">
        <f t="shared" si="9"/>
        <v>197</v>
      </c>
      <c r="C261" s="268"/>
      <c r="D261" s="319" t="s">
        <v>80</v>
      </c>
      <c r="E261" s="315"/>
      <c r="F261" s="376"/>
      <c r="G261" s="310" t="s">
        <v>1494</v>
      </c>
      <c r="H261" s="311"/>
      <c r="I261" s="312">
        <f t="shared" si="8"/>
        <v>57000</v>
      </c>
      <c r="J261" s="273"/>
      <c r="L261" s="8"/>
      <c r="M261" s="8"/>
      <c r="N261" s="8">
        <f>'[4]Usulan 2021'!I260</f>
        <v>57000</v>
      </c>
      <c r="O261" s="8">
        <f>'[4]Usulan 2021'!J260</f>
        <v>57000</v>
      </c>
      <c r="P261" s="8">
        <f>'[4]Usulan 2021'!K260</f>
        <v>57000</v>
      </c>
    </row>
    <row r="262" spans="2:16" ht="16.5" x14ac:dyDescent="0.2">
      <c r="B262" s="258">
        <f t="shared" si="9"/>
        <v>198</v>
      </c>
      <c r="C262" s="268"/>
      <c r="D262" s="319" t="s">
        <v>81</v>
      </c>
      <c r="E262" s="315"/>
      <c r="F262" s="316"/>
      <c r="G262" s="310" t="s">
        <v>1494</v>
      </c>
      <c r="H262" s="328"/>
      <c r="I262" s="312">
        <f t="shared" si="8"/>
        <v>99000</v>
      </c>
      <c r="J262" s="273"/>
      <c r="L262" s="8"/>
      <c r="M262" s="8"/>
      <c r="N262" s="8">
        <f>'[4]Usulan 2021'!I261</f>
        <v>99000</v>
      </c>
      <c r="O262" s="8">
        <f>'[4]Usulan 2021'!J261</f>
        <v>99000</v>
      </c>
      <c r="P262" s="8">
        <f>'[4]Usulan 2021'!K261</f>
        <v>99000</v>
      </c>
    </row>
    <row r="263" spans="2:16" x14ac:dyDescent="0.2">
      <c r="B263" s="258">
        <f t="shared" si="9"/>
        <v>199</v>
      </c>
      <c r="C263" s="268"/>
      <c r="D263" s="319" t="s">
        <v>1487</v>
      </c>
      <c r="E263" s="315"/>
      <c r="F263" s="316"/>
      <c r="G263" s="310" t="s">
        <v>338</v>
      </c>
      <c r="H263" s="328"/>
      <c r="I263" s="312">
        <f t="shared" si="8"/>
        <v>162000</v>
      </c>
      <c r="J263" s="273"/>
      <c r="L263" s="8"/>
      <c r="M263" s="8"/>
      <c r="N263" s="8">
        <f>'[4]Usulan 2021'!I262</f>
        <v>162000</v>
      </c>
      <c r="O263" s="8"/>
      <c r="P263" s="8"/>
    </row>
    <row r="264" spans="2:16" x14ac:dyDescent="0.2">
      <c r="B264" s="258">
        <f t="shared" si="9"/>
        <v>200</v>
      </c>
      <c r="C264" s="268"/>
      <c r="D264" s="319" t="s">
        <v>1488</v>
      </c>
      <c r="E264" s="315"/>
      <c r="F264" s="316"/>
      <c r="G264" s="310" t="s">
        <v>338</v>
      </c>
      <c r="H264" s="328"/>
      <c r="I264" s="312">
        <f t="shared" si="8"/>
        <v>1016000</v>
      </c>
      <c r="J264" s="273"/>
      <c r="L264" s="8"/>
      <c r="M264" s="8"/>
      <c r="N264" s="8">
        <f>'[4]Usulan 2021'!I263</f>
        <v>1016000</v>
      </c>
      <c r="O264" s="8"/>
      <c r="P264" s="8"/>
    </row>
    <row r="265" spans="2:16" x14ac:dyDescent="0.2">
      <c r="B265" s="258">
        <f t="shared" si="9"/>
        <v>201</v>
      </c>
      <c r="C265" s="268"/>
      <c r="D265" s="319" t="s">
        <v>688</v>
      </c>
      <c r="E265" s="315"/>
      <c r="F265" s="377"/>
      <c r="G265" s="310" t="s">
        <v>298</v>
      </c>
      <c r="H265" s="328"/>
      <c r="I265" s="312">
        <f t="shared" si="8"/>
        <v>25500</v>
      </c>
      <c r="J265" s="273"/>
      <c r="L265" s="8"/>
      <c r="M265" s="8"/>
      <c r="N265" s="8">
        <f>'[4]Usulan 2021'!I264</f>
        <v>25500</v>
      </c>
      <c r="O265" s="8">
        <f>'[4]Usulan 2021'!J264</f>
        <v>25500</v>
      </c>
      <c r="P265" s="8">
        <f>'[4]Usulan 2021'!K264</f>
        <v>25500</v>
      </c>
    </row>
    <row r="266" spans="2:16" x14ac:dyDescent="0.2">
      <c r="B266" s="258">
        <f t="shared" si="9"/>
        <v>202</v>
      </c>
      <c r="C266" s="268"/>
      <c r="D266" s="318" t="s">
        <v>561</v>
      </c>
      <c r="E266" s="270"/>
      <c r="F266" s="316"/>
      <c r="G266" s="263" t="s">
        <v>298</v>
      </c>
      <c r="H266" s="311"/>
      <c r="I266" s="312">
        <f t="shared" si="8"/>
        <v>12500</v>
      </c>
      <c r="J266" s="273"/>
      <c r="L266" s="8"/>
      <c r="M266" s="8"/>
      <c r="N266" s="8">
        <f>'[4]Usulan 2021'!I265</f>
        <v>12500</v>
      </c>
      <c r="O266" s="8">
        <f>'[4]Usulan 2021'!J265</f>
        <v>12500</v>
      </c>
      <c r="P266" s="8">
        <f>'[4]Usulan 2021'!K265</f>
        <v>12500</v>
      </c>
    </row>
    <row r="267" spans="2:16" x14ac:dyDescent="0.2">
      <c r="B267" s="258">
        <f t="shared" si="9"/>
        <v>203</v>
      </c>
      <c r="C267" s="268"/>
      <c r="D267" s="318" t="s">
        <v>245</v>
      </c>
      <c r="E267" s="270"/>
      <c r="F267" s="279"/>
      <c r="G267" s="263" t="s">
        <v>298</v>
      </c>
      <c r="H267" s="311"/>
      <c r="I267" s="312">
        <f>N267</f>
        <v>19000</v>
      </c>
      <c r="J267" s="273"/>
      <c r="L267" s="8"/>
      <c r="M267" s="8"/>
      <c r="N267" s="8">
        <f>'[4]Usulan 2021'!I266</f>
        <v>19000</v>
      </c>
      <c r="O267" s="8">
        <f>'[4]Usulan 2021'!J266</f>
        <v>19000</v>
      </c>
      <c r="P267" s="8">
        <f>'[4]Usulan 2021'!K266</f>
        <v>19000</v>
      </c>
    </row>
    <row r="268" spans="2:16" x14ac:dyDescent="0.2">
      <c r="B268" s="258">
        <f t="shared" si="9"/>
        <v>204</v>
      </c>
      <c r="C268" s="268"/>
      <c r="D268" s="318" t="s">
        <v>230</v>
      </c>
      <c r="E268" s="270"/>
      <c r="F268" s="279"/>
      <c r="G268" s="263" t="s">
        <v>679</v>
      </c>
      <c r="H268" s="311"/>
      <c r="I268" s="312">
        <f t="shared" si="8"/>
        <v>526000</v>
      </c>
      <c r="J268" s="273"/>
      <c r="L268" s="8"/>
      <c r="M268" s="8"/>
      <c r="N268" s="8">
        <f>'[4]Usulan 2021'!I267</f>
        <v>526000</v>
      </c>
      <c r="O268" s="8">
        <f>'[4]Usulan 2021'!J267</f>
        <v>526000</v>
      </c>
      <c r="P268" s="8">
        <f>'[4]Usulan 2021'!K267</f>
        <v>526000</v>
      </c>
    </row>
    <row r="269" spans="2:16" x14ac:dyDescent="0.2">
      <c r="B269" s="258">
        <f t="shared" si="9"/>
        <v>205</v>
      </c>
      <c r="C269" s="268"/>
      <c r="D269" s="369" t="s">
        <v>1489</v>
      </c>
      <c r="G269" s="263" t="s">
        <v>338</v>
      </c>
      <c r="H269" s="311"/>
      <c r="I269" s="312">
        <f t="shared" si="8"/>
        <v>25000</v>
      </c>
      <c r="J269" s="273"/>
      <c r="N269" s="8">
        <f>'[4]Usulan 2021'!I268</f>
        <v>25000</v>
      </c>
    </row>
    <row r="270" spans="2:16" x14ac:dyDescent="0.2">
      <c r="B270" s="258">
        <f t="shared" si="9"/>
        <v>206</v>
      </c>
      <c r="C270" s="268"/>
      <c r="D270" s="319" t="s">
        <v>949</v>
      </c>
      <c r="E270" s="315"/>
      <c r="F270" s="315"/>
      <c r="G270" s="310" t="s">
        <v>298</v>
      </c>
      <c r="H270" s="328"/>
      <c r="I270" s="312">
        <f t="shared" si="8"/>
        <v>29000</v>
      </c>
      <c r="J270" s="273"/>
      <c r="L270" s="8"/>
      <c r="M270" s="8"/>
      <c r="N270" s="8">
        <f>'[4]Usulan 2021'!I269</f>
        <v>29000</v>
      </c>
      <c r="O270" s="8">
        <f>'[4]Usulan 2021'!J269</f>
        <v>29000</v>
      </c>
      <c r="P270" s="8">
        <f>'[4]Usulan 2021'!K269</f>
        <v>29000</v>
      </c>
    </row>
    <row r="271" spans="2:16" x14ac:dyDescent="0.2">
      <c r="B271" s="258">
        <f t="shared" si="9"/>
        <v>207</v>
      </c>
      <c r="C271" s="268"/>
      <c r="D271" s="319" t="s">
        <v>1490</v>
      </c>
      <c r="E271" s="315"/>
      <c r="F271" s="315"/>
      <c r="G271" s="310" t="s">
        <v>338</v>
      </c>
      <c r="H271" s="328"/>
      <c r="I271" s="312">
        <f t="shared" si="8"/>
        <v>16000</v>
      </c>
      <c r="J271" s="273"/>
      <c r="L271" s="8"/>
      <c r="M271" s="8"/>
      <c r="N271" s="8">
        <f>'[4]Usulan 2021'!I270</f>
        <v>16000</v>
      </c>
      <c r="O271" s="8"/>
      <c r="P271" s="8"/>
    </row>
    <row r="272" spans="2:16" x14ac:dyDescent="0.2">
      <c r="B272" s="258">
        <f t="shared" si="9"/>
        <v>208</v>
      </c>
      <c r="C272" s="268"/>
      <c r="D272" s="318" t="s">
        <v>164</v>
      </c>
      <c r="E272" s="270"/>
      <c r="F272" s="270"/>
      <c r="G272" s="310" t="s">
        <v>264</v>
      </c>
      <c r="H272" s="311"/>
      <c r="I272" s="312">
        <f t="shared" si="8"/>
        <v>262000</v>
      </c>
      <c r="J272" s="273"/>
      <c r="L272" s="8"/>
      <c r="M272" s="8"/>
      <c r="N272" s="8">
        <f>'[4]Usulan 2021'!I271</f>
        <v>262000</v>
      </c>
      <c r="O272" s="8">
        <f>'[4]Usulan 2021'!J271</f>
        <v>262000</v>
      </c>
      <c r="P272" s="8">
        <f>'[4]Usulan 2021'!K271</f>
        <v>262000</v>
      </c>
    </row>
    <row r="273" spans="2:16" x14ac:dyDescent="0.2">
      <c r="B273" s="258">
        <f t="shared" si="9"/>
        <v>209</v>
      </c>
      <c r="C273" s="268"/>
      <c r="D273" s="318" t="s">
        <v>64</v>
      </c>
      <c r="E273" s="270"/>
      <c r="F273" s="270"/>
      <c r="G273" s="310" t="s">
        <v>298</v>
      </c>
      <c r="H273" s="311"/>
      <c r="I273" s="312">
        <f t="shared" si="8"/>
        <v>1200</v>
      </c>
      <c r="J273" s="273"/>
      <c r="L273" s="8"/>
      <c r="M273" s="8"/>
      <c r="N273" s="8">
        <f>'[4]Usulan 2021'!I272</f>
        <v>1200</v>
      </c>
      <c r="O273" s="8">
        <f>'[4]Usulan 2021'!J272</f>
        <v>1200</v>
      </c>
      <c r="P273" s="8">
        <f>'[4]Usulan 2021'!K272</f>
        <v>1200</v>
      </c>
    </row>
    <row r="274" spans="2:16" x14ac:dyDescent="0.2">
      <c r="B274" s="258">
        <f t="shared" si="9"/>
        <v>210</v>
      </c>
      <c r="C274" s="268"/>
      <c r="D274" s="318" t="s">
        <v>67</v>
      </c>
      <c r="E274" s="270"/>
      <c r="F274" s="270"/>
      <c r="G274" s="310" t="s">
        <v>264</v>
      </c>
      <c r="H274" s="311"/>
      <c r="I274" s="312">
        <f>N274</f>
        <v>16807000</v>
      </c>
      <c r="J274" s="273"/>
      <c r="L274" s="8"/>
      <c r="M274" s="8"/>
      <c r="N274" s="8">
        <f>'[4]Usulan 2021'!I273</f>
        <v>16807000</v>
      </c>
      <c r="O274" s="8">
        <f>'[4]Usulan 2021'!J273</f>
        <v>16807000</v>
      </c>
      <c r="P274" s="8">
        <f>'[4]Usulan 2021'!K273</f>
        <v>16807000</v>
      </c>
    </row>
    <row r="275" spans="2:16" x14ac:dyDescent="0.2">
      <c r="B275" s="258">
        <f t="shared" si="9"/>
        <v>211</v>
      </c>
      <c r="C275" s="268"/>
      <c r="D275" s="318" t="s">
        <v>68</v>
      </c>
      <c r="E275" s="270"/>
      <c r="F275" s="270"/>
      <c r="G275" s="310" t="s">
        <v>264</v>
      </c>
      <c r="H275" s="311"/>
      <c r="I275" s="312">
        <f>N275</f>
        <v>18269000</v>
      </c>
      <c r="J275" s="273"/>
      <c r="L275" s="8"/>
      <c r="M275" s="8"/>
      <c r="N275" s="8">
        <f>'[4]Usulan 2021'!I274</f>
        <v>18269000</v>
      </c>
      <c r="O275" s="8">
        <f>'[4]Usulan 2021'!J274</f>
        <v>18269000</v>
      </c>
      <c r="P275" s="8">
        <f>'[4]Usulan 2021'!K274</f>
        <v>18269000</v>
      </c>
    </row>
    <row r="276" spans="2:16" x14ac:dyDescent="0.2">
      <c r="B276" s="258">
        <f t="shared" si="9"/>
        <v>212</v>
      </c>
      <c r="C276" s="378"/>
      <c r="D276" s="318" t="s">
        <v>894</v>
      </c>
      <c r="E276" s="379"/>
      <c r="F276" s="380"/>
      <c r="G276" s="310" t="s">
        <v>268</v>
      </c>
      <c r="H276" s="381"/>
      <c r="I276" s="312">
        <f>N276</f>
        <v>14000</v>
      </c>
      <c r="J276" s="273"/>
      <c r="L276" s="8"/>
      <c r="M276" s="8"/>
      <c r="N276" s="8">
        <f>'[4]Usulan 2021'!I275</f>
        <v>14000</v>
      </c>
      <c r="O276" s="8">
        <f>'[4]Usulan 2021'!J275</f>
        <v>14000</v>
      </c>
      <c r="P276" s="8">
        <f>'[4]Usulan 2021'!K275</f>
        <v>14000</v>
      </c>
    </row>
    <row r="277" spans="2:16" x14ac:dyDescent="0.2">
      <c r="B277" s="258">
        <f t="shared" si="9"/>
        <v>213</v>
      </c>
      <c r="C277" s="268"/>
      <c r="D277" s="318" t="s">
        <v>1430</v>
      </c>
      <c r="E277" s="270"/>
      <c r="F277" s="270"/>
      <c r="G277" s="310" t="s">
        <v>264</v>
      </c>
      <c r="H277" s="311"/>
      <c r="I277" s="312">
        <f t="shared" si="8"/>
        <v>1753000</v>
      </c>
      <c r="J277" s="273"/>
      <c r="L277" s="8"/>
      <c r="M277" s="8"/>
      <c r="N277" s="8">
        <f>'[4]Usulan 2021'!I276</f>
        <v>1753000</v>
      </c>
      <c r="O277" s="8">
        <f>'[4]Usulan 2021'!J276</f>
        <v>1753000</v>
      </c>
      <c r="P277" s="8">
        <f>'[4]Usulan 2021'!K276</f>
        <v>1753000</v>
      </c>
    </row>
    <row r="278" spans="2:16" x14ac:dyDescent="0.2">
      <c r="B278" s="258">
        <f t="shared" si="9"/>
        <v>214</v>
      </c>
      <c r="C278" s="268"/>
      <c r="D278" s="318" t="s">
        <v>66</v>
      </c>
      <c r="E278" s="270"/>
      <c r="F278" s="270"/>
      <c r="G278" s="310" t="s">
        <v>264</v>
      </c>
      <c r="H278" s="311"/>
      <c r="I278" s="312">
        <f t="shared" si="8"/>
        <v>4700</v>
      </c>
      <c r="J278" s="273"/>
      <c r="L278" s="8"/>
      <c r="M278" s="8"/>
      <c r="N278" s="8">
        <f>'[4]Usulan 2021'!I277</f>
        <v>4700</v>
      </c>
      <c r="O278" s="8">
        <f>'[4]Usulan 2021'!J277</f>
        <v>4700</v>
      </c>
      <c r="P278" s="8">
        <f>'[4]Usulan 2021'!K277</f>
        <v>4700</v>
      </c>
    </row>
    <row r="279" spans="2:16" x14ac:dyDescent="0.2">
      <c r="B279" s="258">
        <f t="shared" si="9"/>
        <v>215</v>
      </c>
      <c r="C279" s="268"/>
      <c r="D279" s="318" t="s">
        <v>167</v>
      </c>
      <c r="E279" s="270"/>
      <c r="F279" s="279"/>
      <c r="G279" s="310" t="s">
        <v>264</v>
      </c>
      <c r="H279" s="311"/>
      <c r="I279" s="312">
        <f>N279</f>
        <v>32154000</v>
      </c>
      <c r="J279" s="273"/>
      <c r="L279" s="8"/>
      <c r="M279" s="8"/>
      <c r="N279" s="8">
        <f>'[4]Usulan 2021'!I278</f>
        <v>32154000</v>
      </c>
      <c r="O279" s="8">
        <f>'[4]Usulan 2021'!J278</f>
        <v>32154000</v>
      </c>
      <c r="P279" s="8">
        <f>'[4]Usulan 2021'!K278</f>
        <v>32154000</v>
      </c>
    </row>
    <row r="280" spans="2:16" x14ac:dyDescent="0.2">
      <c r="B280" s="258">
        <f t="shared" si="9"/>
        <v>216</v>
      </c>
      <c r="C280" s="268"/>
      <c r="D280" s="318" t="s">
        <v>168</v>
      </c>
      <c r="E280" s="270"/>
      <c r="F280" s="279"/>
      <c r="G280" s="310" t="s">
        <v>264</v>
      </c>
      <c r="H280" s="311"/>
      <c r="I280" s="312">
        <f>N280</f>
        <v>32154000</v>
      </c>
      <c r="J280" s="273"/>
      <c r="L280" s="8"/>
      <c r="M280" s="8"/>
      <c r="N280" s="8">
        <f>'[4]Usulan 2021'!I279</f>
        <v>32154000</v>
      </c>
      <c r="O280" s="8">
        <f>'[4]Usulan 2021'!J279</f>
        <v>32154000</v>
      </c>
      <c r="P280" s="8">
        <f>'[4]Usulan 2021'!K279</f>
        <v>32154000</v>
      </c>
    </row>
    <row r="281" spans="2:16" x14ac:dyDescent="0.2">
      <c r="B281" s="258">
        <f t="shared" si="9"/>
        <v>217</v>
      </c>
      <c r="C281" s="268"/>
      <c r="D281" s="318" t="s">
        <v>166</v>
      </c>
      <c r="E281" s="270"/>
      <c r="F281" s="279"/>
      <c r="G281" s="310" t="s">
        <v>264</v>
      </c>
      <c r="H281" s="311"/>
      <c r="I281" s="312">
        <f>N281</f>
        <v>23384000</v>
      </c>
      <c r="J281" s="273"/>
      <c r="L281" s="8"/>
      <c r="M281" s="8"/>
      <c r="N281" s="8">
        <f>'[4]Usulan 2021'!I280</f>
        <v>23384000</v>
      </c>
      <c r="O281" s="8">
        <f>'[4]Usulan 2021'!J280</f>
        <v>23384000</v>
      </c>
      <c r="P281" s="8">
        <f>'[4]Usulan 2021'!K280</f>
        <v>23384000</v>
      </c>
    </row>
    <row r="282" spans="2:16" x14ac:dyDescent="0.2">
      <c r="B282" s="258">
        <f t="shared" si="9"/>
        <v>218</v>
      </c>
      <c r="C282" s="268"/>
      <c r="D282" s="318" t="s">
        <v>895</v>
      </c>
      <c r="E282" s="270"/>
      <c r="F282" s="279"/>
      <c r="G282" s="310" t="s">
        <v>264</v>
      </c>
      <c r="H282" s="311"/>
      <c r="I282" s="312">
        <f>N282</f>
        <v>21922000</v>
      </c>
      <c r="J282" s="273"/>
      <c r="L282" s="8"/>
      <c r="M282" s="8"/>
      <c r="N282" s="8">
        <f>'[4]Usulan 2021'!I281</f>
        <v>21922000</v>
      </c>
      <c r="O282" s="8">
        <f>'[4]Usulan 2021'!J281</f>
        <v>21922000</v>
      </c>
      <c r="P282" s="8">
        <f>'[4]Usulan 2021'!K281</f>
        <v>21922000</v>
      </c>
    </row>
    <row r="283" spans="2:16" x14ac:dyDescent="0.2">
      <c r="B283" s="258">
        <f t="shared" si="9"/>
        <v>219</v>
      </c>
      <c r="C283" s="268"/>
      <c r="D283" s="318" t="s">
        <v>169</v>
      </c>
      <c r="E283" s="270"/>
      <c r="F283" s="279"/>
      <c r="G283" s="310" t="s">
        <v>264</v>
      </c>
      <c r="H283" s="311"/>
      <c r="I283" s="312">
        <f>N283</f>
        <v>34799000</v>
      </c>
      <c r="J283" s="273"/>
      <c r="L283" s="8"/>
      <c r="M283" s="8"/>
      <c r="N283" s="8">
        <f>'[4]Usulan 2021'!I282</f>
        <v>34799000</v>
      </c>
      <c r="O283" s="8">
        <f>'[4]Usulan 2021'!J282</f>
        <v>34799000</v>
      </c>
      <c r="P283" s="8">
        <f>'[4]Usulan 2021'!K282</f>
        <v>34799000</v>
      </c>
    </row>
    <row r="284" spans="2:16" x14ac:dyDescent="0.2">
      <c r="B284" s="258">
        <f t="shared" si="9"/>
        <v>220</v>
      </c>
      <c r="C284" s="268"/>
      <c r="D284" s="318" t="s">
        <v>165</v>
      </c>
      <c r="E284" s="270"/>
      <c r="F284" s="279"/>
      <c r="G284" s="310" t="s">
        <v>266</v>
      </c>
      <c r="H284" s="311"/>
      <c r="I284" s="312">
        <f t="shared" si="8"/>
        <v>466000</v>
      </c>
      <c r="J284" s="273"/>
      <c r="L284" s="8"/>
      <c r="M284" s="8"/>
      <c r="N284" s="8">
        <f>'[4]Usulan 2021'!I283</f>
        <v>466000</v>
      </c>
      <c r="O284" s="8">
        <f>'[4]Usulan 2021'!J283</f>
        <v>466000</v>
      </c>
      <c r="P284" s="8">
        <f>'[4]Usulan 2021'!K283</f>
        <v>466000</v>
      </c>
    </row>
    <row r="285" spans="2:16" x14ac:dyDescent="0.2">
      <c r="B285" s="258">
        <f t="shared" si="9"/>
        <v>221</v>
      </c>
      <c r="C285" s="268"/>
      <c r="D285" s="318" t="s">
        <v>74</v>
      </c>
      <c r="E285" s="270"/>
      <c r="F285" s="279"/>
      <c r="G285" s="310" t="s">
        <v>264</v>
      </c>
      <c r="H285" s="311"/>
      <c r="I285" s="312">
        <f t="shared" si="8"/>
        <v>13884000</v>
      </c>
      <c r="J285" s="273"/>
      <c r="L285" s="8"/>
      <c r="M285" s="8"/>
      <c r="N285" s="8">
        <f>'[4]Usulan 2021'!I284</f>
        <v>13884000</v>
      </c>
      <c r="O285" s="8">
        <f>'[4]Usulan 2021'!J284</f>
        <v>13884000</v>
      </c>
      <c r="P285" s="8">
        <f>'[4]Usulan 2021'!K284</f>
        <v>13884000</v>
      </c>
    </row>
    <row r="286" spans="2:16" x14ac:dyDescent="0.2">
      <c r="B286" s="258">
        <f t="shared" si="9"/>
        <v>222</v>
      </c>
      <c r="C286" s="268"/>
      <c r="D286" s="318" t="s">
        <v>75</v>
      </c>
      <c r="E286" s="270"/>
      <c r="F286" s="279"/>
      <c r="G286" s="310" t="s">
        <v>264</v>
      </c>
      <c r="H286" s="311"/>
      <c r="I286" s="312">
        <f t="shared" si="8"/>
        <v>15346000</v>
      </c>
      <c r="J286" s="273"/>
      <c r="L286" s="8"/>
      <c r="M286" s="8"/>
      <c r="N286" s="8">
        <f>'[4]Usulan 2021'!I285</f>
        <v>15346000</v>
      </c>
      <c r="O286" s="8">
        <f>'[4]Usulan 2021'!J285</f>
        <v>15346000</v>
      </c>
      <c r="P286" s="8">
        <f>'[4]Usulan 2021'!K285</f>
        <v>15346000</v>
      </c>
    </row>
    <row r="287" spans="2:16" x14ac:dyDescent="0.2">
      <c r="B287" s="258">
        <f t="shared" si="9"/>
        <v>223</v>
      </c>
      <c r="C287" s="268"/>
      <c r="D287" s="318" t="s">
        <v>1431</v>
      </c>
      <c r="E287" s="270"/>
      <c r="F287" s="279"/>
      <c r="G287" s="310" t="s">
        <v>293</v>
      </c>
      <c r="H287" s="311"/>
      <c r="I287" s="312">
        <f t="shared" si="8"/>
        <v>1463000</v>
      </c>
      <c r="J287" s="273"/>
      <c r="L287" s="8"/>
      <c r="M287" s="8"/>
      <c r="N287" s="8">
        <f>'[4]Usulan 2021'!I286</f>
        <v>1463000</v>
      </c>
      <c r="O287" s="8"/>
      <c r="P287" s="8"/>
    </row>
    <row r="288" spans="2:16" x14ac:dyDescent="0.2">
      <c r="B288" s="258">
        <f t="shared" si="9"/>
        <v>224</v>
      </c>
      <c r="C288" s="268"/>
      <c r="D288" s="318" t="s">
        <v>76</v>
      </c>
      <c r="E288" s="270"/>
      <c r="F288" s="279"/>
      <c r="G288" s="310" t="s">
        <v>264</v>
      </c>
      <c r="H288" s="311"/>
      <c r="I288" s="312">
        <f t="shared" si="8"/>
        <v>10230000</v>
      </c>
      <c r="J288" s="273"/>
      <c r="L288" s="8"/>
      <c r="M288" s="8"/>
      <c r="N288" s="8">
        <f>'[4]Usulan 2021'!I287</f>
        <v>10230000</v>
      </c>
      <c r="O288" s="8">
        <f>'[4]Usulan 2021'!J287</f>
        <v>10230000</v>
      </c>
      <c r="P288" s="8">
        <f>'[4]Usulan 2021'!K287</f>
        <v>10230000</v>
      </c>
    </row>
    <row r="289" spans="2:16" x14ac:dyDescent="0.2">
      <c r="B289" s="258">
        <f t="shared" si="9"/>
        <v>225</v>
      </c>
      <c r="C289" s="268"/>
      <c r="D289" s="318" t="s">
        <v>77</v>
      </c>
      <c r="E289" s="270"/>
      <c r="F289" s="279"/>
      <c r="G289" s="310" t="s">
        <v>264</v>
      </c>
      <c r="H289" s="311"/>
      <c r="I289" s="312">
        <f t="shared" si="8"/>
        <v>10960000</v>
      </c>
      <c r="J289" s="273"/>
      <c r="L289" s="8"/>
      <c r="M289" s="8"/>
      <c r="N289" s="8">
        <f>'[4]Usulan 2021'!I288</f>
        <v>10960000</v>
      </c>
      <c r="O289" s="8">
        <f>'[4]Usulan 2021'!J288</f>
        <v>10960000</v>
      </c>
      <c r="P289" s="8">
        <f>'[4]Usulan 2021'!K288</f>
        <v>10960000</v>
      </c>
    </row>
    <row r="290" spans="2:16" x14ac:dyDescent="0.2">
      <c r="B290" s="258">
        <f t="shared" si="9"/>
        <v>226</v>
      </c>
      <c r="C290" s="268"/>
      <c r="D290" s="318" t="s">
        <v>445</v>
      </c>
      <c r="E290" s="270"/>
      <c r="F290" s="279"/>
      <c r="G290" s="310" t="s">
        <v>247</v>
      </c>
      <c r="H290" s="373"/>
      <c r="I290" s="312">
        <f t="shared" si="8"/>
        <v>8600</v>
      </c>
      <c r="J290" s="273"/>
      <c r="L290" s="8"/>
      <c r="M290" s="8"/>
      <c r="N290" s="8">
        <f>'[4]Usulan 2021'!I289</f>
        <v>8600</v>
      </c>
      <c r="O290" s="8">
        <f>'[4]Usulan 2021'!J289</f>
        <v>8600</v>
      </c>
      <c r="P290" s="8">
        <f>'[4]Usulan 2021'!K289</f>
        <v>8600</v>
      </c>
    </row>
    <row r="291" spans="2:16" x14ac:dyDescent="0.2">
      <c r="B291" s="258">
        <f t="shared" si="9"/>
        <v>227</v>
      </c>
      <c r="C291" s="268"/>
      <c r="D291" s="318" t="s">
        <v>159</v>
      </c>
      <c r="E291" s="270"/>
      <c r="F291" s="279"/>
      <c r="G291" s="310" t="s">
        <v>264</v>
      </c>
      <c r="H291" s="373"/>
      <c r="I291" s="312">
        <f t="shared" si="8"/>
        <v>9500000</v>
      </c>
      <c r="J291" s="273"/>
      <c r="L291" s="8"/>
      <c r="M291" s="8"/>
      <c r="N291" s="8">
        <f>'[4]Usulan 2021'!I290</f>
        <v>9500000</v>
      </c>
      <c r="O291" s="8">
        <f>'[4]Usulan 2021'!J290</f>
        <v>9500000</v>
      </c>
      <c r="P291" s="8">
        <f>'[4]Usulan 2021'!K290</f>
        <v>9500000</v>
      </c>
    </row>
    <row r="292" spans="2:16" x14ac:dyDescent="0.2">
      <c r="B292" s="258">
        <f t="shared" si="9"/>
        <v>228</v>
      </c>
      <c r="C292" s="268"/>
      <c r="D292" s="318" t="s">
        <v>78</v>
      </c>
      <c r="E292" s="270"/>
      <c r="F292" s="279"/>
      <c r="G292" s="310" t="s">
        <v>264</v>
      </c>
      <c r="H292" s="373"/>
      <c r="I292" s="312">
        <f>N292</f>
        <v>10230000</v>
      </c>
      <c r="J292" s="273"/>
      <c r="L292" s="8"/>
      <c r="M292" s="8"/>
      <c r="N292" s="8">
        <f>'[4]Usulan 2021'!I291</f>
        <v>10230000</v>
      </c>
      <c r="O292" s="8">
        <f>'[4]Usulan 2021'!J291</f>
        <v>10230000</v>
      </c>
      <c r="P292" s="8">
        <f>'[4]Usulan 2021'!K291</f>
        <v>10230000</v>
      </c>
    </row>
    <row r="293" spans="2:16" x14ac:dyDescent="0.2">
      <c r="B293" s="258">
        <f t="shared" si="9"/>
        <v>229</v>
      </c>
      <c r="C293" s="268"/>
      <c r="D293" s="318" t="s">
        <v>160</v>
      </c>
      <c r="E293" s="270"/>
      <c r="F293" s="279"/>
      <c r="G293" s="310" t="s">
        <v>264</v>
      </c>
      <c r="H293" s="373"/>
      <c r="I293" s="312">
        <f t="shared" si="8"/>
        <v>7307000</v>
      </c>
      <c r="J293" s="273"/>
      <c r="L293" s="8"/>
      <c r="M293" s="8"/>
      <c r="N293" s="8">
        <f>'[4]Usulan 2021'!I292</f>
        <v>7307000</v>
      </c>
      <c r="O293" s="8">
        <f>'[4]Usulan 2021'!J292</f>
        <v>7307000</v>
      </c>
      <c r="P293" s="8">
        <f>'[4]Usulan 2021'!K292</f>
        <v>7307000</v>
      </c>
    </row>
    <row r="294" spans="2:16" x14ac:dyDescent="0.2">
      <c r="B294" s="258">
        <f t="shared" si="9"/>
        <v>230</v>
      </c>
      <c r="C294" s="268"/>
      <c r="D294" s="318" t="s">
        <v>896</v>
      </c>
      <c r="E294" s="270"/>
      <c r="F294" s="279"/>
      <c r="G294" s="310" t="s">
        <v>264</v>
      </c>
      <c r="H294" s="311"/>
      <c r="I294" s="312">
        <f t="shared" ref="I294:I546" si="10">N294</f>
        <v>2191000</v>
      </c>
      <c r="J294" s="273"/>
      <c r="L294" s="8"/>
      <c r="M294" s="8"/>
      <c r="N294" s="8">
        <f>'[4]Usulan 2021'!I293</f>
        <v>2191000</v>
      </c>
      <c r="O294" s="8">
        <f>'[4]Usulan 2021'!J293</f>
        <v>2191000</v>
      </c>
      <c r="P294" s="8">
        <f>'[4]Usulan 2021'!K293</f>
        <v>2191000</v>
      </c>
    </row>
    <row r="295" spans="2:16" x14ac:dyDescent="0.2">
      <c r="B295" s="258">
        <f t="shared" si="9"/>
        <v>231</v>
      </c>
      <c r="C295" s="268"/>
      <c r="D295" s="318" t="s">
        <v>121</v>
      </c>
      <c r="E295" s="270"/>
      <c r="F295" s="279"/>
      <c r="G295" s="310" t="s">
        <v>264</v>
      </c>
      <c r="H295" s="311"/>
      <c r="I295" s="312">
        <f t="shared" si="10"/>
        <v>2557000</v>
      </c>
      <c r="J295" s="273"/>
      <c r="L295" s="8"/>
      <c r="M295" s="8"/>
      <c r="N295" s="8">
        <f>'[4]Usulan 2021'!I294</f>
        <v>2557000</v>
      </c>
      <c r="O295" s="8">
        <f>'[4]Usulan 2021'!J294</f>
        <v>2557000</v>
      </c>
      <c r="P295" s="8">
        <f>'[4]Usulan 2021'!K294</f>
        <v>2557000</v>
      </c>
    </row>
    <row r="296" spans="2:16" x14ac:dyDescent="0.2">
      <c r="B296" s="258">
        <f t="shared" si="9"/>
        <v>232</v>
      </c>
      <c r="C296" s="268"/>
      <c r="D296" s="318" t="s">
        <v>79</v>
      </c>
      <c r="E296" s="270"/>
      <c r="F296" s="382"/>
      <c r="G296" s="310" t="s">
        <v>264</v>
      </c>
      <c r="H296" s="373"/>
      <c r="I296" s="312">
        <f t="shared" si="10"/>
        <v>2922000</v>
      </c>
      <c r="J296" s="273"/>
      <c r="L296" s="8"/>
      <c r="M296" s="8"/>
      <c r="N296" s="8">
        <f>'[4]Usulan 2021'!I295</f>
        <v>2922000</v>
      </c>
      <c r="O296" s="8">
        <f>'[4]Usulan 2021'!J295</f>
        <v>2922000</v>
      </c>
      <c r="P296" s="8">
        <f>'[4]Usulan 2021'!K295</f>
        <v>2922000</v>
      </c>
    </row>
    <row r="297" spans="2:16" x14ac:dyDescent="0.2">
      <c r="B297" s="258">
        <f t="shared" si="9"/>
        <v>233</v>
      </c>
      <c r="C297" s="268"/>
      <c r="D297" s="318" t="s">
        <v>1432</v>
      </c>
      <c r="E297" s="270"/>
      <c r="F297" s="382"/>
      <c r="G297" s="310" t="s">
        <v>268</v>
      </c>
      <c r="H297" s="373"/>
      <c r="I297" s="312">
        <f t="shared" si="10"/>
        <v>12000</v>
      </c>
      <c r="J297" s="273"/>
      <c r="L297" s="8"/>
      <c r="M297" s="8"/>
      <c r="N297" s="8">
        <f>'[4]Usulan 2021'!I296</f>
        <v>12000</v>
      </c>
      <c r="O297" s="8"/>
      <c r="P297" s="8"/>
    </row>
    <row r="298" spans="2:16" x14ac:dyDescent="0.2">
      <c r="B298" s="258">
        <f t="shared" si="9"/>
        <v>234</v>
      </c>
      <c r="C298" s="268"/>
      <c r="D298" s="318" t="s">
        <v>733</v>
      </c>
      <c r="E298" s="270"/>
      <c r="F298" s="279"/>
      <c r="G298" s="263" t="s">
        <v>554</v>
      </c>
      <c r="H298" s="311"/>
      <c r="I298" s="312">
        <f t="shared" si="10"/>
        <v>181000</v>
      </c>
      <c r="J298" s="273"/>
      <c r="L298" s="8"/>
      <c r="M298" s="8"/>
      <c r="N298" s="8">
        <f>'[4]Usulan 2021'!I297</f>
        <v>181000</v>
      </c>
      <c r="O298" s="8">
        <f>'[4]Usulan 2021'!J297</f>
        <v>181000</v>
      </c>
      <c r="P298" s="8">
        <f>'[4]Usulan 2021'!K297</f>
        <v>181000</v>
      </c>
    </row>
    <row r="299" spans="2:16" x14ac:dyDescent="0.2">
      <c r="B299" s="258">
        <f t="shared" si="9"/>
        <v>235</v>
      </c>
      <c r="C299" s="323"/>
      <c r="D299" s="318" t="s">
        <v>815</v>
      </c>
      <c r="E299" s="383"/>
      <c r="F299" s="384"/>
      <c r="G299" s="385" t="s">
        <v>268</v>
      </c>
      <c r="H299" s="324"/>
      <c r="I299" s="312">
        <f>N299</f>
        <v>7200</v>
      </c>
      <c r="J299" s="273"/>
      <c r="L299" s="8"/>
      <c r="M299" s="8"/>
      <c r="N299" s="8">
        <f>'[4]Usulan 2021'!I298</f>
        <v>7200</v>
      </c>
      <c r="O299" s="8">
        <f>'[4]Usulan 2021'!J298</f>
        <v>7200</v>
      </c>
      <c r="P299" s="8">
        <f>'[4]Usulan 2021'!K298</f>
        <v>7200</v>
      </c>
    </row>
    <row r="300" spans="2:16" x14ac:dyDescent="0.2">
      <c r="B300" s="258">
        <f t="shared" si="9"/>
        <v>236</v>
      </c>
      <c r="C300" s="323"/>
      <c r="D300" s="318" t="s">
        <v>1433</v>
      </c>
      <c r="E300" s="383"/>
      <c r="F300" s="384"/>
      <c r="G300" s="385" t="s">
        <v>268</v>
      </c>
      <c r="H300" s="324"/>
      <c r="I300" s="312">
        <f>N300</f>
        <v>14000</v>
      </c>
      <c r="J300" s="273"/>
      <c r="L300" s="8"/>
      <c r="M300" s="8"/>
      <c r="N300" s="8">
        <f>'[4]Usulan 2021'!I299</f>
        <v>14000</v>
      </c>
      <c r="O300" s="8"/>
      <c r="P300" s="8"/>
    </row>
    <row r="301" spans="2:16" ht="16.5" x14ac:dyDescent="0.2">
      <c r="B301" s="258">
        <f t="shared" si="9"/>
        <v>237</v>
      </c>
      <c r="C301" s="268"/>
      <c r="D301" s="319" t="s">
        <v>822</v>
      </c>
      <c r="E301" s="315"/>
      <c r="F301" s="316"/>
      <c r="G301" s="310" t="s">
        <v>1495</v>
      </c>
      <c r="H301" s="311"/>
      <c r="I301" s="312">
        <f t="shared" si="10"/>
        <v>57000</v>
      </c>
      <c r="J301" s="273"/>
      <c r="L301" s="8"/>
      <c r="M301" s="8"/>
      <c r="N301" s="8">
        <f>'[4]Usulan 2021'!I300</f>
        <v>57000</v>
      </c>
      <c r="O301" s="8">
        <f>'[4]Usulan 2021'!J300</f>
        <v>57000</v>
      </c>
      <c r="P301" s="8">
        <f>'[4]Usulan 2021'!K300</f>
        <v>57000</v>
      </c>
    </row>
    <row r="302" spans="2:16" ht="16.5" x14ac:dyDescent="0.2">
      <c r="B302" s="258">
        <f t="shared" si="9"/>
        <v>238</v>
      </c>
      <c r="C302" s="268"/>
      <c r="D302" s="319" t="s">
        <v>820</v>
      </c>
      <c r="E302" s="315"/>
      <c r="F302" s="316"/>
      <c r="G302" s="310" t="s">
        <v>1494</v>
      </c>
      <c r="H302" s="311"/>
      <c r="I302" s="312">
        <f t="shared" si="10"/>
        <v>63000</v>
      </c>
      <c r="J302" s="273"/>
      <c r="L302" s="8"/>
      <c r="M302" s="8"/>
      <c r="N302" s="8">
        <f>'[4]Usulan 2021'!I301</f>
        <v>63000</v>
      </c>
      <c r="O302" s="8">
        <f>'[4]Usulan 2021'!J301</f>
        <v>63000</v>
      </c>
      <c r="P302" s="8">
        <f>'[4]Usulan 2021'!K301</f>
        <v>63000</v>
      </c>
    </row>
    <row r="303" spans="2:16" ht="16.5" x14ac:dyDescent="0.2">
      <c r="B303" s="258">
        <f t="shared" si="9"/>
        <v>239</v>
      </c>
      <c r="C303" s="268"/>
      <c r="D303" s="319" t="s">
        <v>794</v>
      </c>
      <c r="E303" s="315"/>
      <c r="F303" s="316"/>
      <c r="G303" s="310" t="s">
        <v>1495</v>
      </c>
      <c r="H303" s="311"/>
      <c r="I303" s="312">
        <f>N303</f>
        <v>69000</v>
      </c>
      <c r="J303" s="273"/>
      <c r="L303" s="8"/>
      <c r="M303" s="8"/>
      <c r="N303" s="8">
        <f>'[4]Usulan 2021'!I302</f>
        <v>69000</v>
      </c>
      <c r="O303" s="8">
        <f>'[4]Usulan 2021'!J302</f>
        <v>69000</v>
      </c>
      <c r="P303" s="8">
        <f>'[4]Usulan 2021'!K302</f>
        <v>69000</v>
      </c>
    </row>
    <row r="304" spans="2:16" ht="16.5" x14ac:dyDescent="0.2">
      <c r="B304" s="258">
        <f t="shared" si="9"/>
        <v>240</v>
      </c>
      <c r="C304" s="268"/>
      <c r="D304" s="319" t="s">
        <v>680</v>
      </c>
      <c r="E304" s="315"/>
      <c r="F304" s="316"/>
      <c r="G304" s="310" t="s">
        <v>1494</v>
      </c>
      <c r="H304" s="311"/>
      <c r="I304" s="312">
        <f t="shared" si="10"/>
        <v>51000</v>
      </c>
      <c r="J304" s="273"/>
      <c r="L304" s="8"/>
      <c r="M304" s="8"/>
      <c r="N304" s="8">
        <f>'[4]Usulan 2021'!I303</f>
        <v>51000</v>
      </c>
      <c r="O304" s="8">
        <f>'[4]Usulan 2021'!J303</f>
        <v>51000</v>
      </c>
      <c r="P304" s="8">
        <f>'[4]Usulan 2021'!K303</f>
        <v>51000</v>
      </c>
    </row>
    <row r="305" spans="2:16" ht="16.5" x14ac:dyDescent="0.2">
      <c r="B305" s="258">
        <f t="shared" si="9"/>
        <v>241</v>
      </c>
      <c r="C305" s="268"/>
      <c r="D305" s="319" t="s">
        <v>898</v>
      </c>
      <c r="E305" s="315"/>
      <c r="F305" s="316"/>
      <c r="G305" s="310" t="s">
        <v>1494</v>
      </c>
      <c r="H305" s="311"/>
      <c r="I305" s="312">
        <f t="shared" si="10"/>
        <v>60000</v>
      </c>
      <c r="J305" s="273"/>
      <c r="L305" s="8"/>
      <c r="M305" s="8"/>
      <c r="N305" s="8">
        <f>'[4]Usulan 2021'!I304</f>
        <v>60000</v>
      </c>
      <c r="O305" s="8">
        <f>'[4]Usulan 2021'!J304</f>
        <v>60000</v>
      </c>
      <c r="P305" s="8">
        <f>'[4]Usulan 2021'!K304</f>
        <v>60000</v>
      </c>
    </row>
    <row r="306" spans="2:16" x14ac:dyDescent="0.2">
      <c r="B306" s="258">
        <f t="shared" si="9"/>
        <v>242</v>
      </c>
      <c r="C306" s="268"/>
      <c r="D306" s="318" t="s">
        <v>897</v>
      </c>
      <c r="E306" s="270"/>
      <c r="F306" s="316"/>
      <c r="G306" s="263" t="s">
        <v>266</v>
      </c>
      <c r="H306" s="311"/>
      <c r="I306" s="312">
        <f t="shared" si="10"/>
        <v>102000</v>
      </c>
      <c r="J306" s="273"/>
      <c r="L306" s="8"/>
      <c r="M306" s="8"/>
      <c r="N306" s="8">
        <f>'[4]Usulan 2021'!I305</f>
        <v>102000</v>
      </c>
      <c r="O306" s="8">
        <f>'[4]Usulan 2021'!J305</f>
        <v>102000</v>
      </c>
      <c r="P306" s="8">
        <f>'[4]Usulan 2021'!K305</f>
        <v>102000</v>
      </c>
    </row>
    <row r="307" spans="2:16" ht="16.5" x14ac:dyDescent="0.2">
      <c r="B307" s="258">
        <f t="shared" si="9"/>
        <v>243</v>
      </c>
      <c r="C307" s="268"/>
      <c r="D307" s="319" t="s">
        <v>821</v>
      </c>
      <c r="E307" s="315"/>
      <c r="F307" s="316"/>
      <c r="G307" s="310" t="s">
        <v>1494</v>
      </c>
      <c r="H307" s="311"/>
      <c r="I307" s="312">
        <f>N307</f>
        <v>69000</v>
      </c>
      <c r="J307" s="273"/>
      <c r="L307" s="8"/>
      <c r="M307" s="8"/>
      <c r="N307" s="8">
        <f>'[4]Usulan 2021'!I306</f>
        <v>69000</v>
      </c>
      <c r="O307" s="8">
        <f>'[4]Usulan 2021'!J306</f>
        <v>69000</v>
      </c>
      <c r="P307" s="8">
        <f>'[4]Usulan 2021'!K306</f>
        <v>69000</v>
      </c>
    </row>
    <row r="308" spans="2:16" ht="16.5" x14ac:dyDescent="0.2">
      <c r="B308" s="258">
        <f t="shared" si="9"/>
        <v>244</v>
      </c>
      <c r="C308" s="268"/>
      <c r="D308" s="319" t="s">
        <v>795</v>
      </c>
      <c r="E308" s="315"/>
      <c r="F308" s="316"/>
      <c r="G308" s="310" t="s">
        <v>1494</v>
      </c>
      <c r="H308" s="311"/>
      <c r="I308" s="312">
        <f>N308</f>
        <v>87000</v>
      </c>
      <c r="J308" s="273"/>
      <c r="L308" s="8"/>
      <c r="M308" s="8"/>
      <c r="N308" s="8">
        <f>'[4]Usulan 2021'!I307</f>
        <v>87000</v>
      </c>
      <c r="O308" s="8">
        <f>'[4]Usulan 2021'!J307</f>
        <v>87000</v>
      </c>
      <c r="P308" s="8">
        <f>'[4]Usulan 2021'!K307</f>
        <v>87000</v>
      </c>
    </row>
    <row r="309" spans="2:16" ht="16.5" x14ac:dyDescent="0.2">
      <c r="B309" s="258">
        <f t="shared" ref="B309:B372" si="11">B308+1</f>
        <v>245</v>
      </c>
      <c r="C309" s="268"/>
      <c r="D309" s="319" t="s">
        <v>123</v>
      </c>
      <c r="E309" s="315"/>
      <c r="F309" s="316"/>
      <c r="G309" s="310" t="s">
        <v>1494</v>
      </c>
      <c r="H309" s="311"/>
      <c r="I309" s="312">
        <f t="shared" si="10"/>
        <v>63000</v>
      </c>
      <c r="J309" s="273"/>
      <c r="L309" s="8"/>
      <c r="M309" s="8"/>
      <c r="N309" s="8">
        <f>'[4]Usulan 2021'!I308</f>
        <v>63000</v>
      </c>
      <c r="O309" s="8">
        <f>'[4]Usulan 2021'!J308</f>
        <v>63000</v>
      </c>
      <c r="P309" s="8">
        <f>'[4]Usulan 2021'!K308</f>
        <v>63000</v>
      </c>
    </row>
    <row r="310" spans="2:16" ht="16.5" x14ac:dyDescent="0.2">
      <c r="B310" s="258">
        <f t="shared" si="11"/>
        <v>246</v>
      </c>
      <c r="C310" s="268"/>
      <c r="D310" s="319" t="s">
        <v>124</v>
      </c>
      <c r="E310" s="315"/>
      <c r="F310" s="316"/>
      <c r="G310" s="310" t="s">
        <v>1494</v>
      </c>
      <c r="H310" s="311"/>
      <c r="I310" s="312">
        <f t="shared" si="10"/>
        <v>76000</v>
      </c>
      <c r="J310" s="273"/>
      <c r="L310" s="8"/>
      <c r="M310" s="8"/>
      <c r="N310" s="8">
        <f>'[4]Usulan 2021'!I309</f>
        <v>76000</v>
      </c>
      <c r="O310" s="8">
        <f>'[4]Usulan 2021'!J309</f>
        <v>76000</v>
      </c>
      <c r="P310" s="8">
        <f>'[4]Usulan 2021'!K309</f>
        <v>76000</v>
      </c>
    </row>
    <row r="311" spans="2:16" ht="16.5" x14ac:dyDescent="0.2">
      <c r="B311" s="258">
        <f t="shared" si="11"/>
        <v>247</v>
      </c>
      <c r="C311" s="268"/>
      <c r="D311" s="369" t="s">
        <v>1434</v>
      </c>
      <c r="G311" s="310" t="s">
        <v>1494</v>
      </c>
      <c r="I311" s="312">
        <f t="shared" si="10"/>
        <v>231000</v>
      </c>
      <c r="J311" s="273"/>
      <c r="N311" s="8">
        <f>'[4]Usulan 2021'!I310</f>
        <v>231000</v>
      </c>
    </row>
    <row r="312" spans="2:16" ht="16.5" x14ac:dyDescent="0.2">
      <c r="B312" s="258">
        <f t="shared" si="11"/>
        <v>248</v>
      </c>
      <c r="C312" s="268"/>
      <c r="D312" s="319" t="s">
        <v>899</v>
      </c>
      <c r="E312" s="315"/>
      <c r="F312" s="316"/>
      <c r="G312" s="310" t="s">
        <v>1494</v>
      </c>
      <c r="H312" s="311"/>
      <c r="I312" s="312">
        <f t="shared" si="10"/>
        <v>338000</v>
      </c>
      <c r="J312" s="273"/>
      <c r="L312" s="8"/>
      <c r="M312" s="8"/>
      <c r="N312" s="8">
        <f>'[4]Usulan 2021'!I311</f>
        <v>338000</v>
      </c>
      <c r="O312" s="8">
        <f>'[4]Usulan 2021'!J311</f>
        <v>338000</v>
      </c>
      <c r="P312" s="8">
        <f>'[4]Usulan 2021'!K311</f>
        <v>338000</v>
      </c>
    </row>
    <row r="313" spans="2:16" x14ac:dyDescent="0.2">
      <c r="B313" s="258">
        <f t="shared" si="11"/>
        <v>249</v>
      </c>
      <c r="C313" s="268"/>
      <c r="D313" s="318" t="s">
        <v>162</v>
      </c>
      <c r="E313" s="270"/>
      <c r="F313" s="316"/>
      <c r="G313" s="310" t="s">
        <v>264</v>
      </c>
      <c r="H313" s="311"/>
      <c r="I313" s="312">
        <f t="shared" si="10"/>
        <v>29000</v>
      </c>
      <c r="J313" s="273"/>
      <c r="L313" s="8"/>
      <c r="M313" s="8"/>
      <c r="N313" s="8">
        <f>'[4]Usulan 2021'!I312</f>
        <v>29000</v>
      </c>
      <c r="O313" s="8">
        <f>'[4]Usulan 2021'!J312</f>
        <v>29000</v>
      </c>
      <c r="P313" s="8">
        <f>'[4]Usulan 2021'!K312</f>
        <v>29000</v>
      </c>
    </row>
    <row r="314" spans="2:16" x14ac:dyDescent="0.2">
      <c r="B314" s="258">
        <f t="shared" si="11"/>
        <v>250</v>
      </c>
      <c r="C314" s="259"/>
      <c r="D314" s="354" t="s">
        <v>645</v>
      </c>
      <c r="E314" s="261"/>
      <c r="F314" s="316"/>
      <c r="G314" s="335" t="s">
        <v>268</v>
      </c>
      <c r="H314" s="264"/>
      <c r="I314" s="312">
        <f t="shared" si="10"/>
        <v>72000</v>
      </c>
      <c r="J314" s="273"/>
      <c r="L314" s="8"/>
      <c r="M314" s="8"/>
      <c r="N314" s="8">
        <f>'[4]Usulan 2021'!I313</f>
        <v>72000</v>
      </c>
      <c r="O314" s="8">
        <f>'[4]Usulan 2021'!J313</f>
        <v>72000</v>
      </c>
      <c r="P314" s="8">
        <f>'[4]Usulan 2021'!K313</f>
        <v>72000</v>
      </c>
    </row>
    <row r="315" spans="2:16" x14ac:dyDescent="0.2">
      <c r="B315" s="258">
        <f t="shared" si="11"/>
        <v>251</v>
      </c>
      <c r="C315" s="268"/>
      <c r="D315" s="319" t="s">
        <v>494</v>
      </c>
      <c r="E315" s="315"/>
      <c r="F315" s="316"/>
      <c r="G315" s="310" t="s">
        <v>268</v>
      </c>
      <c r="H315" s="311"/>
      <c r="I315" s="312">
        <f t="shared" si="10"/>
        <v>19000</v>
      </c>
      <c r="J315" s="273"/>
      <c r="L315" s="8"/>
      <c r="M315" s="8"/>
      <c r="N315" s="8">
        <f>'[4]Usulan 2021'!I314</f>
        <v>19000</v>
      </c>
      <c r="O315" s="8">
        <f>'[4]Usulan 2021'!J314</f>
        <v>19000</v>
      </c>
      <c r="P315" s="8">
        <f>'[4]Usulan 2021'!K314</f>
        <v>19000</v>
      </c>
    </row>
    <row r="316" spans="2:16" x14ac:dyDescent="0.2">
      <c r="B316" s="258">
        <f t="shared" si="11"/>
        <v>252</v>
      </c>
      <c r="C316" s="268"/>
      <c r="D316" s="319" t="s">
        <v>495</v>
      </c>
      <c r="E316" s="315"/>
      <c r="F316" s="316"/>
      <c r="G316" s="310" t="s">
        <v>268</v>
      </c>
      <c r="H316" s="311"/>
      <c r="I316" s="312">
        <f t="shared" si="10"/>
        <v>32000</v>
      </c>
      <c r="J316" s="273"/>
      <c r="L316" s="8"/>
      <c r="M316" s="8"/>
      <c r="N316" s="8">
        <f>'[4]Usulan 2021'!I315</f>
        <v>32000</v>
      </c>
      <c r="O316" s="8">
        <f>'[4]Usulan 2021'!J315</f>
        <v>32000</v>
      </c>
      <c r="P316" s="8">
        <f>'[4]Usulan 2021'!K315</f>
        <v>32000</v>
      </c>
    </row>
    <row r="317" spans="2:16" x14ac:dyDescent="0.2">
      <c r="B317" s="258">
        <f t="shared" si="11"/>
        <v>253</v>
      </c>
      <c r="C317" s="268"/>
      <c r="D317" s="319" t="s">
        <v>493</v>
      </c>
      <c r="E317" s="315"/>
      <c r="F317" s="316"/>
      <c r="G317" s="310" t="s">
        <v>268</v>
      </c>
      <c r="H317" s="311"/>
      <c r="I317" s="312">
        <f t="shared" si="10"/>
        <v>64000</v>
      </c>
      <c r="J317" s="273"/>
      <c r="L317" s="8"/>
      <c r="M317" s="8"/>
      <c r="N317" s="8">
        <f>'[4]Usulan 2021'!I316</f>
        <v>64000</v>
      </c>
      <c r="O317" s="8">
        <f>'[4]Usulan 2021'!J316</f>
        <v>64000</v>
      </c>
      <c r="P317" s="8">
        <f>'[4]Usulan 2021'!K316</f>
        <v>64000</v>
      </c>
    </row>
    <row r="318" spans="2:16" x14ac:dyDescent="0.2">
      <c r="B318" s="258">
        <f t="shared" si="11"/>
        <v>254</v>
      </c>
      <c r="C318" s="268"/>
      <c r="D318" s="319" t="s">
        <v>501</v>
      </c>
      <c r="E318" s="315"/>
      <c r="F318" s="316"/>
      <c r="G318" s="310" t="s">
        <v>268</v>
      </c>
      <c r="H318" s="311"/>
      <c r="I318" s="312">
        <f t="shared" si="10"/>
        <v>23000</v>
      </c>
      <c r="J318" s="273"/>
      <c r="L318" s="8"/>
      <c r="M318" s="8"/>
      <c r="N318" s="8">
        <f>'[4]Usulan 2021'!I317</f>
        <v>23000</v>
      </c>
      <c r="O318" s="8">
        <f>'[4]Usulan 2021'!J317</f>
        <v>23000</v>
      </c>
      <c r="P318" s="8">
        <f>'[4]Usulan 2021'!K317</f>
        <v>23000</v>
      </c>
    </row>
    <row r="319" spans="2:16" x14ac:dyDescent="0.2">
      <c r="B319" s="258">
        <f t="shared" si="11"/>
        <v>255</v>
      </c>
      <c r="C319" s="268"/>
      <c r="D319" s="319" t="s">
        <v>500</v>
      </c>
      <c r="E319" s="315"/>
      <c r="F319" s="316"/>
      <c r="G319" s="310" t="s">
        <v>268</v>
      </c>
      <c r="H319" s="311"/>
      <c r="I319" s="312">
        <f t="shared" si="10"/>
        <v>29500</v>
      </c>
      <c r="J319" s="273"/>
      <c r="L319" s="8"/>
      <c r="M319" s="8"/>
      <c r="N319" s="8">
        <f>'[4]Usulan 2021'!I318</f>
        <v>29500</v>
      </c>
      <c r="O319" s="8">
        <f>'[4]Usulan 2021'!J318</f>
        <v>29500</v>
      </c>
      <c r="P319" s="8">
        <f>'[4]Usulan 2021'!K318</f>
        <v>29500</v>
      </c>
    </row>
    <row r="320" spans="2:16" x14ac:dyDescent="0.2">
      <c r="B320" s="258">
        <f t="shared" si="11"/>
        <v>256</v>
      </c>
      <c r="C320" s="268"/>
      <c r="D320" s="319" t="s">
        <v>499</v>
      </c>
      <c r="E320" s="315"/>
      <c r="F320" s="316"/>
      <c r="G320" s="310" t="s">
        <v>268</v>
      </c>
      <c r="H320" s="311"/>
      <c r="I320" s="312">
        <f t="shared" si="10"/>
        <v>73000</v>
      </c>
      <c r="J320" s="273"/>
      <c r="L320" s="8"/>
      <c r="M320" s="8"/>
      <c r="N320" s="8">
        <f>'[4]Usulan 2021'!I319</f>
        <v>73000</v>
      </c>
      <c r="O320" s="8">
        <f>'[4]Usulan 2021'!J319</f>
        <v>73000</v>
      </c>
      <c r="P320" s="8">
        <f>'[4]Usulan 2021'!K319</f>
        <v>73000</v>
      </c>
    </row>
    <row r="321" spans="2:16" x14ac:dyDescent="0.2">
      <c r="B321" s="258">
        <f t="shared" si="11"/>
        <v>257</v>
      </c>
      <c r="C321" s="268"/>
      <c r="D321" s="319" t="s">
        <v>497</v>
      </c>
      <c r="E321" s="315"/>
      <c r="F321" s="316"/>
      <c r="G321" s="310" t="s">
        <v>268</v>
      </c>
      <c r="H321" s="311"/>
      <c r="I321" s="312">
        <f t="shared" si="10"/>
        <v>20000</v>
      </c>
      <c r="J321" s="273"/>
      <c r="L321" s="8"/>
      <c r="M321" s="8"/>
      <c r="N321" s="8">
        <f>'[4]Usulan 2021'!I320</f>
        <v>20000</v>
      </c>
      <c r="O321" s="8">
        <f>'[4]Usulan 2021'!J320</f>
        <v>20000</v>
      </c>
      <c r="P321" s="8">
        <f>'[4]Usulan 2021'!K320</f>
        <v>20000</v>
      </c>
    </row>
    <row r="322" spans="2:16" x14ac:dyDescent="0.2">
      <c r="B322" s="258">
        <f t="shared" si="11"/>
        <v>258</v>
      </c>
      <c r="C322" s="268"/>
      <c r="D322" s="319" t="s">
        <v>498</v>
      </c>
      <c r="E322" s="315"/>
      <c r="F322" s="316"/>
      <c r="G322" s="310" t="s">
        <v>268</v>
      </c>
      <c r="H322" s="311"/>
      <c r="I322" s="312">
        <f t="shared" si="10"/>
        <v>35000</v>
      </c>
      <c r="J322" s="273"/>
      <c r="L322" s="8"/>
      <c r="M322" s="8"/>
      <c r="N322" s="342">
        <f>'[4]Usulan 2021'!I321</f>
        <v>35000</v>
      </c>
      <c r="O322" s="342">
        <f>'[4]Usulan 2021'!J321</f>
        <v>35000</v>
      </c>
      <c r="P322" s="342">
        <f>'[4]Usulan 2021'!K321</f>
        <v>35000</v>
      </c>
    </row>
    <row r="323" spans="2:16" x14ac:dyDescent="0.2">
      <c r="B323" s="258">
        <f t="shared" si="11"/>
        <v>259</v>
      </c>
      <c r="C323" s="268"/>
      <c r="D323" s="319" t="s">
        <v>496</v>
      </c>
      <c r="E323" s="315"/>
      <c r="F323" s="316"/>
      <c r="G323" s="310" t="s">
        <v>268</v>
      </c>
      <c r="H323" s="311"/>
      <c r="I323" s="312">
        <f t="shared" si="10"/>
        <v>52000</v>
      </c>
      <c r="J323" s="273"/>
      <c r="L323" s="8"/>
      <c r="M323" s="8"/>
      <c r="N323" s="8">
        <f>'[4]Usulan 2021'!I322</f>
        <v>52000</v>
      </c>
      <c r="O323" s="8">
        <f>'[4]Usulan 2021'!J322</f>
        <v>52000</v>
      </c>
      <c r="P323" s="8">
        <f>'[4]Usulan 2021'!K322</f>
        <v>52000</v>
      </c>
    </row>
    <row r="324" spans="2:16" x14ac:dyDescent="0.2">
      <c r="B324" s="258">
        <f t="shared" si="11"/>
        <v>260</v>
      </c>
      <c r="C324" s="259"/>
      <c r="D324" s="354" t="s">
        <v>644</v>
      </c>
      <c r="E324" s="261"/>
      <c r="F324" s="316"/>
      <c r="G324" s="335" t="s">
        <v>268</v>
      </c>
      <c r="H324" s="264"/>
      <c r="I324" s="312">
        <f t="shared" si="10"/>
        <v>46000</v>
      </c>
      <c r="J324" s="273"/>
      <c r="L324" s="8"/>
      <c r="M324" s="8"/>
      <c r="N324" s="8">
        <f>'[4]Usulan 2021'!I323</f>
        <v>46000</v>
      </c>
      <c r="O324" s="8">
        <f>'[4]Usulan 2021'!J323</f>
        <v>46000</v>
      </c>
      <c r="P324" s="8">
        <f>'[4]Usulan 2021'!K323</f>
        <v>46000</v>
      </c>
    </row>
    <row r="325" spans="2:16" x14ac:dyDescent="0.2">
      <c r="B325" s="258">
        <f t="shared" si="11"/>
        <v>261</v>
      </c>
      <c r="C325" s="259"/>
      <c r="D325" s="374" t="s">
        <v>1479</v>
      </c>
      <c r="E325" s="15"/>
      <c r="F325" s="316"/>
      <c r="G325" s="335" t="s">
        <v>268</v>
      </c>
      <c r="H325" s="355"/>
      <c r="I325" s="312">
        <f t="shared" si="10"/>
        <v>600</v>
      </c>
      <c r="J325" s="273"/>
      <c r="L325" s="8"/>
      <c r="M325" s="8"/>
      <c r="N325" s="8">
        <f>'[4]Usulan 2021'!I324</f>
        <v>600</v>
      </c>
      <c r="O325" s="8"/>
      <c r="P325" s="8"/>
    </row>
    <row r="326" spans="2:16" x14ac:dyDescent="0.2">
      <c r="B326" s="258">
        <f t="shared" si="11"/>
        <v>262</v>
      </c>
      <c r="C326" s="259"/>
      <c r="D326" s="319" t="s">
        <v>900</v>
      </c>
      <c r="E326" s="315"/>
      <c r="F326" s="316"/>
      <c r="G326" s="310" t="s">
        <v>247</v>
      </c>
      <c r="H326" s="311"/>
      <c r="I326" s="312">
        <f t="shared" si="10"/>
        <v>110000</v>
      </c>
      <c r="J326" s="273"/>
      <c r="L326" s="8"/>
      <c r="M326" s="8"/>
      <c r="N326" s="8">
        <f>'[4]Usulan 2021'!I325</f>
        <v>110000</v>
      </c>
      <c r="O326" s="8">
        <f>'[4]Usulan 2021'!J325</f>
        <v>110000</v>
      </c>
      <c r="P326" s="8">
        <f>'[4]Usulan 2021'!K325</f>
        <v>110000</v>
      </c>
    </row>
    <row r="327" spans="2:16" x14ac:dyDescent="0.2">
      <c r="B327" s="258">
        <f t="shared" si="11"/>
        <v>263</v>
      </c>
      <c r="C327" s="268"/>
      <c r="D327" s="319" t="s">
        <v>901</v>
      </c>
      <c r="E327" s="315"/>
      <c r="F327" s="316"/>
      <c r="G327" s="310" t="s">
        <v>247</v>
      </c>
      <c r="H327" s="311"/>
      <c r="I327" s="312">
        <f t="shared" si="10"/>
        <v>81500</v>
      </c>
      <c r="J327" s="273"/>
      <c r="L327" s="8"/>
      <c r="M327" s="8"/>
      <c r="N327" s="8">
        <f>'[4]Usulan 2021'!I326</f>
        <v>81500</v>
      </c>
      <c r="O327" s="8">
        <f>'[4]Usulan 2021'!J326</f>
        <v>81500</v>
      </c>
      <c r="P327" s="8">
        <f>'[4]Usulan 2021'!K326</f>
        <v>81500</v>
      </c>
    </row>
    <row r="328" spans="2:16" x14ac:dyDescent="0.2">
      <c r="B328" s="258">
        <f t="shared" si="11"/>
        <v>264</v>
      </c>
      <c r="C328" s="268"/>
      <c r="D328" s="319" t="s">
        <v>902</v>
      </c>
      <c r="E328" s="315"/>
      <c r="F328" s="316"/>
      <c r="G328" s="310" t="s">
        <v>247</v>
      </c>
      <c r="H328" s="311"/>
      <c r="I328" s="312">
        <f t="shared" si="10"/>
        <v>163000</v>
      </c>
      <c r="J328" s="273"/>
      <c r="L328" s="8"/>
      <c r="M328" s="8"/>
      <c r="N328" s="8">
        <f>'[4]Usulan 2021'!I327</f>
        <v>163000</v>
      </c>
      <c r="O328" s="8">
        <f>'[4]Usulan 2021'!J327</f>
        <v>163000</v>
      </c>
      <c r="P328" s="8">
        <f>'[4]Usulan 2021'!K327</f>
        <v>163000</v>
      </c>
    </row>
    <row r="329" spans="2:16" x14ac:dyDescent="0.2">
      <c r="B329" s="258">
        <f t="shared" si="11"/>
        <v>265</v>
      </c>
      <c r="C329" s="268"/>
      <c r="D329" s="319" t="s">
        <v>903</v>
      </c>
      <c r="E329" s="315"/>
      <c r="F329" s="316"/>
      <c r="G329" s="310" t="s">
        <v>247</v>
      </c>
      <c r="H329" s="311"/>
      <c r="I329" s="312">
        <f t="shared" si="10"/>
        <v>116000</v>
      </c>
      <c r="J329" s="273"/>
      <c r="L329" s="8"/>
      <c r="M329" s="8"/>
      <c r="N329" s="8">
        <f>'[4]Usulan 2021'!I328</f>
        <v>116000</v>
      </c>
      <c r="O329" s="8">
        <f>'[4]Usulan 2021'!J328</f>
        <v>116000</v>
      </c>
      <c r="P329" s="8">
        <f>'[4]Usulan 2021'!K328</f>
        <v>116000</v>
      </c>
    </row>
    <row r="330" spans="2:16" x14ac:dyDescent="0.2">
      <c r="B330" s="258">
        <f t="shared" si="11"/>
        <v>266</v>
      </c>
      <c r="C330" s="268"/>
      <c r="D330" s="319" t="s">
        <v>904</v>
      </c>
      <c r="E330" s="315"/>
      <c r="F330" s="316"/>
      <c r="G330" s="263" t="s">
        <v>247</v>
      </c>
      <c r="H330" s="311"/>
      <c r="I330" s="312">
        <f t="shared" si="10"/>
        <v>93000</v>
      </c>
      <c r="J330" s="273"/>
      <c r="L330" s="8"/>
      <c r="M330" s="8"/>
      <c r="N330" s="8">
        <f>'[4]Usulan 2021'!I329</f>
        <v>93000</v>
      </c>
      <c r="O330" s="8">
        <f>'[4]Usulan 2021'!J329</f>
        <v>93000</v>
      </c>
      <c r="P330" s="8">
        <f>'[4]Usulan 2021'!K329</f>
        <v>93000</v>
      </c>
    </row>
    <row r="331" spans="2:16" x14ac:dyDescent="0.2">
      <c r="B331" s="258">
        <f t="shared" si="11"/>
        <v>267</v>
      </c>
      <c r="C331" s="268"/>
      <c r="D331" s="319" t="s">
        <v>905</v>
      </c>
      <c r="E331" s="315"/>
      <c r="F331" s="316"/>
      <c r="G331" s="263" t="s">
        <v>247</v>
      </c>
      <c r="H331" s="311"/>
      <c r="I331" s="312">
        <f t="shared" si="10"/>
        <v>76000</v>
      </c>
      <c r="J331" s="273"/>
      <c r="L331" s="8"/>
      <c r="M331" s="8"/>
      <c r="N331" s="8">
        <f>'[4]Usulan 2021'!I330</f>
        <v>76000</v>
      </c>
      <c r="O331" s="8">
        <f>'[4]Usulan 2021'!J330</f>
        <v>76000</v>
      </c>
      <c r="P331" s="8">
        <f>'[4]Usulan 2021'!K330</f>
        <v>76000</v>
      </c>
    </row>
    <row r="332" spans="2:16" x14ac:dyDescent="0.2">
      <c r="B332" s="258">
        <f t="shared" si="11"/>
        <v>268</v>
      </c>
      <c r="C332" s="268"/>
      <c r="D332" s="318" t="s">
        <v>83</v>
      </c>
      <c r="E332" s="270"/>
      <c r="F332" s="279"/>
      <c r="G332" s="263" t="s">
        <v>268</v>
      </c>
      <c r="H332" s="311"/>
      <c r="I332" s="312">
        <f t="shared" si="10"/>
        <v>15500</v>
      </c>
      <c r="J332" s="273"/>
      <c r="L332" s="8"/>
      <c r="M332" s="8"/>
      <c r="N332" s="8">
        <f>'[4]Usulan 2021'!I331</f>
        <v>15500</v>
      </c>
      <c r="O332" s="8">
        <f>'[4]Usulan 2021'!J331</f>
        <v>15500</v>
      </c>
      <c r="P332" s="8">
        <f>'[4]Usulan 2021'!K331</f>
        <v>15500</v>
      </c>
    </row>
    <row r="333" spans="2:16" x14ac:dyDescent="0.2">
      <c r="B333" s="258">
        <f t="shared" si="11"/>
        <v>269</v>
      </c>
      <c r="C333" s="268"/>
      <c r="D333" s="319" t="s">
        <v>415</v>
      </c>
      <c r="E333" s="315"/>
      <c r="F333" s="316"/>
      <c r="G333" s="310" t="s">
        <v>268</v>
      </c>
      <c r="H333" s="361"/>
      <c r="I333" s="312">
        <f t="shared" si="10"/>
        <v>40000</v>
      </c>
      <c r="J333" s="273"/>
      <c r="L333" s="8"/>
      <c r="M333" s="8"/>
      <c r="N333" s="8">
        <f>'[4]Usulan 2021'!I332</f>
        <v>40000</v>
      </c>
      <c r="O333" s="8">
        <f>'[4]Usulan 2021'!J332</f>
        <v>40000</v>
      </c>
      <c r="P333" s="8">
        <f>'[4]Usulan 2021'!K332</f>
        <v>40000</v>
      </c>
    </row>
    <row r="334" spans="2:16" x14ac:dyDescent="0.2">
      <c r="B334" s="258">
        <f t="shared" si="11"/>
        <v>270</v>
      </c>
      <c r="C334" s="268"/>
      <c r="D334" s="319" t="s">
        <v>416</v>
      </c>
      <c r="E334" s="315"/>
      <c r="F334" s="316"/>
      <c r="G334" s="310" t="s">
        <v>268</v>
      </c>
      <c r="H334" s="361"/>
      <c r="I334" s="312">
        <f t="shared" si="10"/>
        <v>43500</v>
      </c>
      <c r="J334" s="273"/>
      <c r="L334" s="8"/>
      <c r="M334" s="8"/>
      <c r="N334" s="8">
        <f>'[4]Usulan 2021'!I333</f>
        <v>43500</v>
      </c>
      <c r="O334" s="8">
        <f>'[4]Usulan 2021'!J333</f>
        <v>43500</v>
      </c>
      <c r="P334" s="8">
        <f>'[4]Usulan 2021'!K333</f>
        <v>43500</v>
      </c>
    </row>
    <row r="335" spans="2:16" x14ac:dyDescent="0.2">
      <c r="B335" s="258">
        <f t="shared" si="11"/>
        <v>271</v>
      </c>
      <c r="C335" s="268"/>
      <c r="D335" s="319" t="s">
        <v>569</v>
      </c>
      <c r="E335" s="315"/>
      <c r="F335" s="316"/>
      <c r="G335" s="310" t="s">
        <v>268</v>
      </c>
      <c r="H335" s="361"/>
      <c r="I335" s="312">
        <f t="shared" si="10"/>
        <v>58000</v>
      </c>
      <c r="J335" s="273"/>
      <c r="L335" s="8"/>
      <c r="M335" s="8"/>
      <c r="N335" s="8">
        <f>'[4]Usulan 2021'!I334</f>
        <v>58000</v>
      </c>
      <c r="O335" s="8">
        <f>'[4]Usulan 2021'!J334</f>
        <v>58000</v>
      </c>
      <c r="P335" s="8">
        <f>'[4]Usulan 2021'!K334</f>
        <v>58000</v>
      </c>
    </row>
    <row r="336" spans="2:16" x14ac:dyDescent="0.2">
      <c r="B336" s="258">
        <f t="shared" si="11"/>
        <v>272</v>
      </c>
      <c r="C336" s="268"/>
      <c r="D336" s="319" t="s">
        <v>1378</v>
      </c>
      <c r="E336" s="315"/>
      <c r="F336" s="316"/>
      <c r="G336" s="310" t="s">
        <v>268</v>
      </c>
      <c r="H336" s="361"/>
      <c r="I336" s="312">
        <f t="shared" si="10"/>
        <v>233000</v>
      </c>
      <c r="J336" s="273"/>
      <c r="L336" s="8"/>
      <c r="M336" s="8"/>
      <c r="N336" s="8">
        <f>'[4]Usulan 2021'!I335</f>
        <v>233000</v>
      </c>
      <c r="O336" s="8"/>
      <c r="P336" s="8"/>
    </row>
    <row r="337" spans="2:16" x14ac:dyDescent="0.2">
      <c r="B337" s="258">
        <f t="shared" si="11"/>
        <v>273</v>
      </c>
      <c r="C337" s="268"/>
      <c r="D337" s="318" t="s">
        <v>203</v>
      </c>
      <c r="E337" s="270"/>
      <c r="F337" s="279"/>
      <c r="G337" s="310" t="s">
        <v>298</v>
      </c>
      <c r="H337" s="311"/>
      <c r="I337" s="312">
        <f t="shared" si="10"/>
        <v>14500</v>
      </c>
      <c r="J337" s="273"/>
      <c r="L337" s="8"/>
      <c r="M337" s="8"/>
      <c r="N337" s="8">
        <f>'[4]Usulan 2021'!I336</f>
        <v>14500</v>
      </c>
      <c r="O337" s="8">
        <f>'[4]Usulan 2021'!J336</f>
        <v>14500</v>
      </c>
      <c r="P337" s="8">
        <f>'[4]Usulan 2021'!K336</f>
        <v>14500</v>
      </c>
    </row>
    <row r="338" spans="2:16" x14ac:dyDescent="0.2">
      <c r="B338" s="258">
        <f t="shared" si="11"/>
        <v>274</v>
      </c>
      <c r="C338" s="268"/>
      <c r="D338" s="318" t="s">
        <v>741</v>
      </c>
      <c r="E338" s="270"/>
      <c r="F338" s="279"/>
      <c r="G338" s="263" t="s">
        <v>298</v>
      </c>
      <c r="H338" s="311"/>
      <c r="I338" s="312">
        <f>N338</f>
        <v>14000</v>
      </c>
      <c r="J338" s="273"/>
      <c r="L338" s="8"/>
      <c r="M338" s="8"/>
      <c r="N338" s="8">
        <f>'[4]Usulan 2021'!I337</f>
        <v>14000</v>
      </c>
      <c r="O338" s="8">
        <f>'[4]Usulan 2021'!J337</f>
        <v>14000</v>
      </c>
      <c r="P338" s="8">
        <f>'[4]Usulan 2021'!K337</f>
        <v>14000</v>
      </c>
    </row>
    <row r="339" spans="2:16" x14ac:dyDescent="0.2">
      <c r="B339" s="258">
        <f t="shared" si="11"/>
        <v>275</v>
      </c>
      <c r="C339" s="268"/>
      <c r="D339" s="318" t="s">
        <v>126</v>
      </c>
      <c r="E339" s="270"/>
      <c r="F339" s="269"/>
      <c r="G339" s="310" t="s">
        <v>298</v>
      </c>
      <c r="H339" s="311"/>
      <c r="I339" s="312">
        <f t="shared" si="10"/>
        <v>64000</v>
      </c>
      <c r="J339" s="273"/>
      <c r="L339" s="8"/>
      <c r="M339" s="8"/>
      <c r="N339" s="8">
        <f>'[4]Usulan 2021'!I338</f>
        <v>64000</v>
      </c>
      <c r="O339" s="8">
        <f>'[4]Usulan 2021'!J338</f>
        <v>64000</v>
      </c>
      <c r="P339" s="8">
        <f>'[4]Usulan 2021'!K338</f>
        <v>64000</v>
      </c>
    </row>
    <row r="340" spans="2:16" x14ac:dyDescent="0.2">
      <c r="B340" s="258">
        <f t="shared" si="11"/>
        <v>276</v>
      </c>
      <c r="C340" s="268"/>
      <c r="D340" s="318" t="s">
        <v>681</v>
      </c>
      <c r="E340" s="270"/>
      <c r="F340" s="279"/>
      <c r="G340" s="310" t="s">
        <v>298</v>
      </c>
      <c r="H340" s="311"/>
      <c r="I340" s="312">
        <f t="shared" si="10"/>
        <v>64000</v>
      </c>
      <c r="J340" s="273"/>
      <c r="L340" s="8"/>
      <c r="M340" s="8"/>
      <c r="N340" s="8">
        <f>'[4]Usulan 2021'!I339</f>
        <v>64000</v>
      </c>
      <c r="O340" s="8">
        <f>'[4]Usulan 2021'!J339</f>
        <v>64000</v>
      </c>
      <c r="P340" s="8">
        <f>'[4]Usulan 2021'!K339</f>
        <v>64000</v>
      </c>
    </row>
    <row r="341" spans="2:16" x14ac:dyDescent="0.2">
      <c r="B341" s="258">
        <f t="shared" si="11"/>
        <v>277</v>
      </c>
      <c r="C341" s="268"/>
      <c r="D341" s="365" t="s">
        <v>397</v>
      </c>
      <c r="E341" s="315"/>
      <c r="F341" s="316"/>
      <c r="G341" s="263" t="s">
        <v>247</v>
      </c>
      <c r="H341" s="311"/>
      <c r="I341" s="312">
        <f t="shared" si="10"/>
        <v>14000</v>
      </c>
      <c r="J341" s="273"/>
      <c r="L341" s="8"/>
      <c r="M341" s="8"/>
      <c r="N341" s="8">
        <f>'[4]Usulan 2021'!I340</f>
        <v>14000</v>
      </c>
      <c r="O341" s="8">
        <f>'[4]Usulan 2021'!J340</f>
        <v>14000</v>
      </c>
      <c r="P341" s="8">
        <f>'[4]Usulan 2021'!K340</f>
        <v>14000</v>
      </c>
    </row>
    <row r="342" spans="2:16" x14ac:dyDescent="0.2">
      <c r="B342" s="258">
        <f t="shared" si="11"/>
        <v>278</v>
      </c>
      <c r="C342" s="268"/>
      <c r="D342" s="318" t="s">
        <v>906</v>
      </c>
      <c r="E342" s="270"/>
      <c r="F342" s="271"/>
      <c r="G342" s="386" t="s">
        <v>266</v>
      </c>
      <c r="H342" s="311"/>
      <c r="I342" s="312">
        <f>N342</f>
        <v>3215000</v>
      </c>
      <c r="J342" s="273"/>
      <c r="L342" s="8"/>
      <c r="M342" s="8"/>
      <c r="N342" s="8">
        <f>'[4]Usulan 2021'!I341</f>
        <v>3215000</v>
      </c>
      <c r="O342" s="8">
        <f>'[4]Usulan 2021'!J341</f>
        <v>3215000</v>
      </c>
      <c r="P342" s="8">
        <f>'[4]Usulan 2021'!K341</f>
        <v>3215000</v>
      </c>
    </row>
    <row r="343" spans="2:16" x14ac:dyDescent="0.2">
      <c r="B343" s="258">
        <f t="shared" si="11"/>
        <v>279</v>
      </c>
      <c r="C343" s="268"/>
      <c r="D343" s="318" t="s">
        <v>907</v>
      </c>
      <c r="E343" s="270"/>
      <c r="F343" s="271"/>
      <c r="G343" s="386" t="s">
        <v>266</v>
      </c>
      <c r="H343" s="311"/>
      <c r="I343" s="312">
        <f>N343</f>
        <v>1607000</v>
      </c>
      <c r="J343" s="273"/>
      <c r="L343" s="8"/>
      <c r="M343" s="8"/>
      <c r="N343" s="8">
        <f>'[4]Usulan 2021'!I342</f>
        <v>1607000</v>
      </c>
      <c r="O343" s="8">
        <f>'[4]Usulan 2021'!J342</f>
        <v>1607000</v>
      </c>
      <c r="P343" s="8">
        <f>'[4]Usulan 2021'!K342</f>
        <v>1607000</v>
      </c>
    </row>
    <row r="344" spans="2:16" x14ac:dyDescent="0.2">
      <c r="B344" s="258">
        <f t="shared" si="11"/>
        <v>280</v>
      </c>
      <c r="C344" s="268"/>
      <c r="D344" s="318" t="s">
        <v>1483</v>
      </c>
      <c r="E344" s="270"/>
      <c r="F344" s="270"/>
      <c r="G344" s="310" t="s">
        <v>268</v>
      </c>
      <c r="H344" s="311"/>
      <c r="I344" s="312">
        <f t="shared" ref="I344:I345" si="12">N344</f>
        <v>50000</v>
      </c>
      <c r="J344" s="273"/>
      <c r="L344" s="8"/>
      <c r="M344" s="8"/>
      <c r="N344" s="8">
        <f>'[4]Usulan 2021'!I343</f>
        <v>50000</v>
      </c>
      <c r="O344" s="8"/>
      <c r="P344" s="8"/>
    </row>
    <row r="345" spans="2:16" x14ac:dyDescent="0.2">
      <c r="B345" s="258">
        <f t="shared" si="11"/>
        <v>281</v>
      </c>
      <c r="C345" s="268"/>
      <c r="D345" s="318" t="s">
        <v>428</v>
      </c>
      <c r="E345" s="270"/>
      <c r="F345" s="270"/>
      <c r="G345" s="310" t="s">
        <v>268</v>
      </c>
      <c r="H345" s="311"/>
      <c r="I345" s="312">
        <f t="shared" si="12"/>
        <v>256000</v>
      </c>
      <c r="J345" s="273"/>
      <c r="L345" s="8"/>
      <c r="M345" s="8"/>
      <c r="N345" s="8">
        <f>'[4]Usulan 2021'!I344</f>
        <v>256000</v>
      </c>
      <c r="O345" s="8"/>
      <c r="P345" s="8"/>
    </row>
    <row r="346" spans="2:16" ht="16.5" x14ac:dyDescent="0.2">
      <c r="B346" s="258">
        <f t="shared" si="11"/>
        <v>282</v>
      </c>
      <c r="C346" s="268"/>
      <c r="D346" s="318" t="s">
        <v>184</v>
      </c>
      <c r="E346" s="270"/>
      <c r="F346" s="270"/>
      <c r="G346" s="310" t="s">
        <v>1494</v>
      </c>
      <c r="H346" s="311"/>
      <c r="I346" s="312">
        <f t="shared" si="10"/>
        <v>89000</v>
      </c>
      <c r="J346" s="273"/>
      <c r="L346" s="8"/>
      <c r="M346" s="8"/>
      <c r="N346" s="8">
        <f>'[4]Usulan 2021'!I345</f>
        <v>89000</v>
      </c>
      <c r="O346" s="8">
        <f>'[4]Usulan 2021'!J345</f>
        <v>89000</v>
      </c>
      <c r="P346" s="8">
        <f>'[4]Usulan 2021'!K345</f>
        <v>89000</v>
      </c>
    </row>
    <row r="347" spans="2:16" ht="16.5" x14ac:dyDescent="0.2">
      <c r="B347" s="258">
        <f t="shared" si="11"/>
        <v>283</v>
      </c>
      <c r="C347" s="268"/>
      <c r="D347" s="318" t="s">
        <v>185</v>
      </c>
      <c r="E347" s="270"/>
      <c r="F347" s="270"/>
      <c r="G347" s="310" t="s">
        <v>1494</v>
      </c>
      <c r="H347" s="311"/>
      <c r="I347" s="312">
        <f t="shared" si="10"/>
        <v>108000</v>
      </c>
      <c r="J347" s="273"/>
      <c r="L347" s="8"/>
      <c r="M347" s="8"/>
      <c r="N347" s="8">
        <f>'[4]Usulan 2021'!I346</f>
        <v>108000</v>
      </c>
      <c r="O347" s="8">
        <f>'[4]Usulan 2021'!J346</f>
        <v>108000</v>
      </c>
      <c r="P347" s="8">
        <f>'[4]Usulan 2021'!K346</f>
        <v>108000</v>
      </c>
    </row>
    <row r="348" spans="2:16" ht="16.5" x14ac:dyDescent="0.2">
      <c r="B348" s="258">
        <f t="shared" si="11"/>
        <v>284</v>
      </c>
      <c r="C348" s="268"/>
      <c r="D348" s="318" t="s">
        <v>186</v>
      </c>
      <c r="E348" s="270"/>
      <c r="F348" s="270"/>
      <c r="G348" s="263" t="s">
        <v>1494</v>
      </c>
      <c r="H348" s="311"/>
      <c r="I348" s="312">
        <f t="shared" si="10"/>
        <v>128000</v>
      </c>
      <c r="J348" s="273"/>
      <c r="L348" s="8"/>
      <c r="M348" s="8"/>
      <c r="N348" s="8">
        <f>'[4]Usulan 2021'!I347</f>
        <v>128000</v>
      </c>
      <c r="O348" s="8">
        <f>'[4]Usulan 2021'!J347</f>
        <v>128000</v>
      </c>
      <c r="P348" s="8">
        <f>'[4]Usulan 2021'!K347</f>
        <v>128000</v>
      </c>
    </row>
    <row r="349" spans="2:16" x14ac:dyDescent="0.2">
      <c r="B349" s="258">
        <f t="shared" si="11"/>
        <v>285</v>
      </c>
      <c r="C349" s="268"/>
      <c r="D349" s="318" t="s">
        <v>85</v>
      </c>
      <c r="E349" s="270"/>
      <c r="F349" s="270"/>
      <c r="G349" s="263" t="s">
        <v>266</v>
      </c>
      <c r="H349" s="311"/>
      <c r="I349" s="312">
        <f t="shared" si="10"/>
        <v>257000</v>
      </c>
      <c r="J349" s="273"/>
      <c r="L349" s="8"/>
      <c r="M349" s="8"/>
      <c r="N349" s="8">
        <f>'[4]Usulan 2021'!I348</f>
        <v>257000</v>
      </c>
      <c r="O349" s="8">
        <f>'[4]Usulan 2021'!J348</f>
        <v>257000</v>
      </c>
      <c r="P349" s="8">
        <f>'[4]Usulan 2021'!K348</f>
        <v>257000</v>
      </c>
    </row>
    <row r="350" spans="2:16" x14ac:dyDescent="0.2">
      <c r="B350" s="258">
        <f t="shared" si="11"/>
        <v>286</v>
      </c>
      <c r="C350" s="268"/>
      <c r="D350" s="318" t="s">
        <v>732</v>
      </c>
      <c r="E350" s="270"/>
      <c r="F350" s="271"/>
      <c r="G350" s="386" t="s">
        <v>266</v>
      </c>
      <c r="H350" s="311"/>
      <c r="I350" s="312">
        <f t="shared" si="10"/>
        <v>320000</v>
      </c>
      <c r="J350" s="273"/>
      <c r="L350" s="8"/>
      <c r="M350" s="8"/>
      <c r="N350" s="8">
        <f>'[4]Usulan 2021'!I349</f>
        <v>320000</v>
      </c>
      <c r="O350" s="8">
        <f>'[4]Usulan 2021'!J349</f>
        <v>320000</v>
      </c>
      <c r="P350" s="8">
        <f>'[4]Usulan 2021'!K349</f>
        <v>320000</v>
      </c>
    </row>
    <row r="351" spans="2:16" x14ac:dyDescent="0.2">
      <c r="B351" s="258">
        <f t="shared" si="11"/>
        <v>287</v>
      </c>
      <c r="C351" s="268"/>
      <c r="D351" s="360" t="s">
        <v>1435</v>
      </c>
      <c r="E351" s="361"/>
      <c r="F351" s="361"/>
      <c r="G351" s="387" t="s">
        <v>268</v>
      </c>
      <c r="H351" s="311"/>
      <c r="I351" s="312">
        <f t="shared" si="10"/>
        <v>5000</v>
      </c>
      <c r="J351" s="273"/>
      <c r="N351" s="8">
        <f>'[4]Usulan 2021'!I350</f>
        <v>5000</v>
      </c>
    </row>
    <row r="352" spans="2:16" x14ac:dyDescent="0.2">
      <c r="B352" s="258">
        <f t="shared" si="11"/>
        <v>288</v>
      </c>
      <c r="C352" s="268"/>
      <c r="D352" s="360" t="s">
        <v>1436</v>
      </c>
      <c r="E352" s="361"/>
      <c r="F352" s="361"/>
      <c r="G352" s="387" t="s">
        <v>268</v>
      </c>
      <c r="H352" s="311"/>
      <c r="I352" s="312">
        <f t="shared" si="10"/>
        <v>5796000</v>
      </c>
      <c r="J352" s="273"/>
      <c r="N352" s="8">
        <f>'[4]Usulan 2021'!I351</f>
        <v>5796000</v>
      </c>
    </row>
    <row r="353" spans="2:16" x14ac:dyDescent="0.2">
      <c r="B353" s="258">
        <f t="shared" si="11"/>
        <v>289</v>
      </c>
      <c r="C353" s="268"/>
      <c r="D353" s="360" t="s">
        <v>1437</v>
      </c>
      <c r="E353" s="361"/>
      <c r="F353" s="361"/>
      <c r="G353" s="387" t="s">
        <v>268</v>
      </c>
      <c r="H353" s="311"/>
      <c r="I353" s="312">
        <f t="shared" si="10"/>
        <v>5426000</v>
      </c>
      <c r="J353" s="273"/>
      <c r="N353" s="8">
        <f>'[4]Usulan 2021'!I352</f>
        <v>5426000</v>
      </c>
    </row>
    <row r="354" spans="2:16" x14ac:dyDescent="0.2">
      <c r="B354" s="258">
        <f t="shared" si="11"/>
        <v>290</v>
      </c>
      <c r="C354" s="268"/>
      <c r="D354" s="318" t="s">
        <v>442</v>
      </c>
      <c r="E354" s="270"/>
      <c r="F354" s="270"/>
      <c r="G354" s="263" t="s">
        <v>392</v>
      </c>
      <c r="H354" s="311"/>
      <c r="I354" s="312">
        <f t="shared" si="10"/>
        <v>7900</v>
      </c>
      <c r="J354" s="273"/>
      <c r="L354" s="8"/>
      <c r="M354" s="8"/>
      <c r="N354" s="8">
        <f>'[4]Usulan 2021'!I353</f>
        <v>7900</v>
      </c>
      <c r="O354" s="8">
        <f>'[4]Usulan 2021'!J353</f>
        <v>7900</v>
      </c>
      <c r="P354" s="8">
        <f>'[4]Usulan 2021'!K353</f>
        <v>7900</v>
      </c>
    </row>
    <row r="355" spans="2:16" x14ac:dyDescent="0.2">
      <c r="B355" s="258">
        <f t="shared" si="11"/>
        <v>291</v>
      </c>
      <c r="C355" s="268"/>
      <c r="D355" s="388" t="s">
        <v>737</v>
      </c>
      <c r="E355" s="270"/>
      <c r="F355" s="270"/>
      <c r="G355" s="263" t="s">
        <v>392</v>
      </c>
      <c r="H355" s="311"/>
      <c r="I355" s="312">
        <f t="shared" si="10"/>
        <v>10500</v>
      </c>
      <c r="J355" s="273"/>
      <c r="L355" s="8"/>
      <c r="M355" s="8"/>
      <c r="N355" s="8">
        <f>'[4]Usulan 2021'!I354</f>
        <v>10500</v>
      </c>
      <c r="O355" s="8">
        <f>'[4]Usulan 2021'!J354</f>
        <v>10500</v>
      </c>
      <c r="P355" s="8">
        <f>'[4]Usulan 2021'!K354</f>
        <v>10500</v>
      </c>
    </row>
    <row r="356" spans="2:16" x14ac:dyDescent="0.2">
      <c r="B356" s="258">
        <f t="shared" si="11"/>
        <v>292</v>
      </c>
      <c r="C356" s="268"/>
      <c r="D356" s="319" t="s">
        <v>1345</v>
      </c>
      <c r="E356" s="315"/>
      <c r="F356" s="376"/>
      <c r="G356" s="263" t="s">
        <v>392</v>
      </c>
      <c r="H356" s="311"/>
      <c r="I356" s="312">
        <f t="shared" si="10"/>
        <v>17000</v>
      </c>
      <c r="J356" s="273"/>
      <c r="L356" s="8"/>
      <c r="M356" s="8"/>
      <c r="N356" s="8">
        <f>'[4]Usulan 2021'!I355</f>
        <v>17000</v>
      </c>
      <c r="O356" s="8">
        <f>'[4]Usulan 2021'!J355</f>
        <v>17000</v>
      </c>
      <c r="P356" s="8">
        <f>'[4]Usulan 2021'!K355</f>
        <v>17000</v>
      </c>
    </row>
    <row r="357" spans="2:16" x14ac:dyDescent="0.2">
      <c r="B357" s="258">
        <f t="shared" si="11"/>
        <v>293</v>
      </c>
      <c r="C357" s="268"/>
      <c r="D357" s="319" t="s">
        <v>114</v>
      </c>
      <c r="E357" s="315"/>
      <c r="F357" s="376"/>
      <c r="G357" s="263" t="s">
        <v>392</v>
      </c>
      <c r="H357" s="311"/>
      <c r="I357" s="312">
        <f t="shared" si="10"/>
        <v>12500</v>
      </c>
      <c r="J357" s="273"/>
      <c r="L357" s="8"/>
      <c r="M357" s="8"/>
      <c r="N357" s="8">
        <f>'[4]Usulan 2021'!I356</f>
        <v>12500</v>
      </c>
      <c r="O357" s="8">
        <f>'[4]Usulan 2021'!J356</f>
        <v>12500</v>
      </c>
      <c r="P357" s="8">
        <f>'[4]Usulan 2021'!K356</f>
        <v>12500</v>
      </c>
    </row>
    <row r="358" spans="2:16" x14ac:dyDescent="0.2">
      <c r="B358" s="258">
        <f t="shared" si="11"/>
        <v>294</v>
      </c>
      <c r="C358" s="268"/>
      <c r="D358" s="319" t="s">
        <v>250</v>
      </c>
      <c r="E358" s="315"/>
      <c r="F358" s="376"/>
      <c r="G358" s="263" t="s">
        <v>392</v>
      </c>
      <c r="H358" s="311"/>
      <c r="I358" s="312">
        <f t="shared" si="10"/>
        <v>23000</v>
      </c>
      <c r="J358" s="273"/>
      <c r="L358" s="8"/>
      <c r="M358" s="8"/>
      <c r="N358" s="8">
        <f>'[4]Usulan 2021'!I357</f>
        <v>23000</v>
      </c>
      <c r="O358" s="8">
        <f>'[4]Usulan 2021'!J357</f>
        <v>23000</v>
      </c>
      <c r="P358" s="8">
        <f>'[4]Usulan 2021'!K357</f>
        <v>23000</v>
      </c>
    </row>
    <row r="359" spans="2:16" x14ac:dyDescent="0.2">
      <c r="B359" s="258">
        <f t="shared" si="11"/>
        <v>295</v>
      </c>
      <c r="C359" s="268"/>
      <c r="D359" s="389" t="s">
        <v>736</v>
      </c>
      <c r="E359" s="315"/>
      <c r="F359" s="376"/>
      <c r="G359" s="263" t="s">
        <v>392</v>
      </c>
      <c r="H359" s="311"/>
      <c r="I359" s="312">
        <f t="shared" si="10"/>
        <v>10500</v>
      </c>
      <c r="J359" s="273"/>
      <c r="L359" s="8"/>
      <c r="M359" s="8"/>
      <c r="N359" s="8">
        <f>'[4]Usulan 2021'!I358</f>
        <v>10500</v>
      </c>
      <c r="O359" s="8">
        <f>'[4]Usulan 2021'!J358</f>
        <v>10500</v>
      </c>
      <c r="P359" s="8">
        <f>'[4]Usulan 2021'!K358</f>
        <v>10500</v>
      </c>
    </row>
    <row r="360" spans="2:16" x14ac:dyDescent="0.2">
      <c r="B360" s="258">
        <f t="shared" si="11"/>
        <v>296</v>
      </c>
      <c r="C360" s="268"/>
      <c r="D360" s="389" t="s">
        <v>735</v>
      </c>
      <c r="E360" s="315"/>
      <c r="F360" s="376"/>
      <c r="G360" s="263" t="s">
        <v>392</v>
      </c>
      <c r="H360" s="311"/>
      <c r="I360" s="312">
        <f t="shared" si="10"/>
        <v>8500</v>
      </c>
      <c r="J360" s="273"/>
      <c r="L360" s="8"/>
      <c r="M360" s="8"/>
      <c r="N360" s="8">
        <f>'[4]Usulan 2021'!I359</f>
        <v>8500</v>
      </c>
      <c r="O360" s="8">
        <f>'[4]Usulan 2021'!J359</f>
        <v>8500</v>
      </c>
      <c r="P360" s="8">
        <f>'[4]Usulan 2021'!K359</f>
        <v>8500</v>
      </c>
    </row>
    <row r="361" spans="2:16" x14ac:dyDescent="0.2">
      <c r="B361" s="258">
        <f t="shared" si="11"/>
        <v>297</v>
      </c>
      <c r="C361" s="268"/>
      <c r="D361" s="390" t="s">
        <v>1480</v>
      </c>
      <c r="E361" s="315"/>
      <c r="F361" s="315"/>
      <c r="G361" s="263" t="s">
        <v>392</v>
      </c>
      <c r="H361" s="311"/>
      <c r="I361" s="312">
        <f t="shared" si="10"/>
        <v>8000</v>
      </c>
      <c r="J361" s="273"/>
      <c r="L361" s="8"/>
      <c r="M361" s="8"/>
      <c r="N361" s="8">
        <f>'[4]Usulan 2021'!I360</f>
        <v>8000</v>
      </c>
      <c r="O361" s="8"/>
      <c r="P361" s="8"/>
    </row>
    <row r="362" spans="2:16" x14ac:dyDescent="0.2">
      <c r="B362" s="258">
        <f t="shared" si="11"/>
        <v>298</v>
      </c>
      <c r="C362" s="268"/>
      <c r="D362" s="390" t="s">
        <v>1481</v>
      </c>
      <c r="E362" s="315"/>
      <c r="F362" s="315"/>
      <c r="G362" s="263" t="s">
        <v>392</v>
      </c>
      <c r="H362" s="311"/>
      <c r="I362" s="312">
        <f t="shared" si="10"/>
        <v>10000</v>
      </c>
      <c r="J362" s="273"/>
      <c r="L362" s="8"/>
      <c r="M362" s="8"/>
      <c r="N362" s="8">
        <f>'[4]Usulan 2021'!I361</f>
        <v>10000</v>
      </c>
      <c r="O362" s="8"/>
      <c r="P362" s="8"/>
    </row>
    <row r="363" spans="2:16" x14ac:dyDescent="0.2">
      <c r="B363" s="258">
        <f t="shared" si="11"/>
        <v>299</v>
      </c>
      <c r="C363" s="268"/>
      <c r="D363" s="319" t="s">
        <v>177</v>
      </c>
      <c r="E363" s="315"/>
      <c r="F363" s="315"/>
      <c r="G363" s="310" t="s">
        <v>277</v>
      </c>
      <c r="H363" s="315"/>
      <c r="I363" s="312">
        <f t="shared" si="10"/>
        <v>76000</v>
      </c>
      <c r="J363" s="273"/>
      <c r="L363" s="8"/>
      <c r="M363" s="8"/>
      <c r="N363" s="8">
        <f>'[4]Usulan 2021'!I362</f>
        <v>76000</v>
      </c>
      <c r="O363" s="8">
        <f>'[4]Usulan 2021'!J362</f>
        <v>76000</v>
      </c>
      <c r="P363" s="8">
        <f>'[4]Usulan 2021'!K362</f>
        <v>76000</v>
      </c>
    </row>
    <row r="364" spans="2:16" x14ac:dyDescent="0.2">
      <c r="B364" s="258">
        <f t="shared" si="11"/>
        <v>300</v>
      </c>
      <c r="C364" s="268"/>
      <c r="D364" s="319" t="s">
        <v>178</v>
      </c>
      <c r="E364" s="315"/>
      <c r="F364" s="315"/>
      <c r="G364" s="310" t="s">
        <v>277</v>
      </c>
      <c r="H364" s="311"/>
      <c r="I364" s="312">
        <f t="shared" si="10"/>
        <v>116000</v>
      </c>
      <c r="J364" s="273"/>
      <c r="L364" s="8"/>
      <c r="M364" s="8"/>
      <c r="N364" s="8">
        <f>'[4]Usulan 2021'!I363</f>
        <v>116000</v>
      </c>
      <c r="O364" s="8">
        <f>'[4]Usulan 2021'!J363</f>
        <v>116000</v>
      </c>
      <c r="P364" s="8">
        <f>'[4]Usulan 2021'!K363</f>
        <v>116000</v>
      </c>
    </row>
    <row r="365" spans="2:16" x14ac:dyDescent="0.2">
      <c r="B365" s="258">
        <f t="shared" si="11"/>
        <v>301</v>
      </c>
      <c r="C365" s="268"/>
      <c r="D365" s="318" t="s">
        <v>840</v>
      </c>
      <c r="E365" s="270"/>
      <c r="F365" s="271"/>
      <c r="G365" s="310" t="s">
        <v>320</v>
      </c>
      <c r="H365" s="311"/>
      <c r="I365" s="312">
        <f t="shared" si="10"/>
        <v>128000</v>
      </c>
      <c r="J365" s="273"/>
      <c r="L365" s="8"/>
      <c r="M365" s="8"/>
      <c r="N365" s="8">
        <f>'[4]Usulan 2021'!I364</f>
        <v>128000</v>
      </c>
      <c r="O365" s="8">
        <f>'[4]Usulan 2021'!J364</f>
        <v>128000</v>
      </c>
      <c r="P365" s="8">
        <f>'[4]Usulan 2021'!K364</f>
        <v>128000</v>
      </c>
    </row>
    <row r="366" spans="2:16" x14ac:dyDescent="0.2">
      <c r="B366" s="258">
        <f t="shared" si="11"/>
        <v>302</v>
      </c>
      <c r="C366" s="268"/>
      <c r="D366" s="319" t="s">
        <v>179</v>
      </c>
      <c r="E366" s="315"/>
      <c r="F366" s="315"/>
      <c r="G366" s="310" t="s">
        <v>277</v>
      </c>
      <c r="H366" s="311"/>
      <c r="I366" s="312">
        <f t="shared" si="10"/>
        <v>157000</v>
      </c>
      <c r="J366" s="273"/>
      <c r="L366" s="8"/>
      <c r="M366" s="8"/>
      <c r="N366" s="8">
        <f>'[4]Usulan 2021'!I365</f>
        <v>157000</v>
      </c>
      <c r="O366" s="8">
        <f>'[4]Usulan 2021'!J365</f>
        <v>157000</v>
      </c>
      <c r="P366" s="8">
        <f>'[4]Usulan 2021'!K365</f>
        <v>157000</v>
      </c>
    </row>
    <row r="367" spans="2:16" x14ac:dyDescent="0.2">
      <c r="B367" s="258">
        <f t="shared" si="11"/>
        <v>303</v>
      </c>
      <c r="C367" s="268"/>
      <c r="D367" s="319" t="s">
        <v>505</v>
      </c>
      <c r="E367" s="315"/>
      <c r="F367" s="315"/>
      <c r="G367" s="263" t="s">
        <v>270</v>
      </c>
      <c r="H367" s="311"/>
      <c r="I367" s="312">
        <f t="shared" si="10"/>
        <v>192000</v>
      </c>
      <c r="J367" s="273"/>
      <c r="L367" s="8"/>
      <c r="M367" s="8"/>
      <c r="N367" s="8">
        <f>'[4]Usulan 2021'!I366</f>
        <v>192000</v>
      </c>
      <c r="O367" s="8">
        <f>'[4]Usulan 2021'!J366</f>
        <v>192000</v>
      </c>
      <c r="P367" s="8">
        <f>'[4]Usulan 2021'!K366</f>
        <v>192000</v>
      </c>
    </row>
    <row r="368" spans="2:16" x14ac:dyDescent="0.2">
      <c r="B368" s="258">
        <f t="shared" si="11"/>
        <v>304</v>
      </c>
      <c r="C368" s="343"/>
      <c r="D368" s="338" t="s">
        <v>683</v>
      </c>
      <c r="E368" s="339"/>
      <c r="F368" s="391"/>
      <c r="G368" s="350" t="s">
        <v>277</v>
      </c>
      <c r="H368" s="347"/>
      <c r="I368" s="312">
        <f t="shared" si="10"/>
        <v>224000</v>
      </c>
      <c r="J368" s="333"/>
      <c r="L368" s="8"/>
      <c r="M368" s="8"/>
      <c r="N368" s="8">
        <f>'[4]Usulan 2021'!I367</f>
        <v>224000</v>
      </c>
      <c r="O368" s="8">
        <f>'[4]Usulan 2021'!J367</f>
        <v>224000</v>
      </c>
      <c r="P368" s="8">
        <f>'[4]Usulan 2021'!K367</f>
        <v>224000</v>
      </c>
    </row>
    <row r="369" spans="2:16" x14ac:dyDescent="0.2">
      <c r="B369" s="258">
        <f t="shared" si="11"/>
        <v>305</v>
      </c>
      <c r="C369" s="268"/>
      <c r="D369" s="318" t="s">
        <v>89</v>
      </c>
      <c r="E369" s="270"/>
      <c r="F369" s="270"/>
      <c r="G369" s="310" t="s">
        <v>298</v>
      </c>
      <c r="H369" s="311"/>
      <c r="I369" s="312">
        <f t="shared" si="10"/>
        <v>23000</v>
      </c>
      <c r="J369" s="273"/>
      <c r="L369" s="8"/>
      <c r="M369" s="8"/>
      <c r="N369" s="8">
        <f>'[4]Usulan 2021'!I368</f>
        <v>23000</v>
      </c>
      <c r="O369" s="8">
        <f>'[4]Usulan 2021'!J368</f>
        <v>23000</v>
      </c>
      <c r="P369" s="8">
        <f>'[4]Usulan 2021'!K368</f>
        <v>23000</v>
      </c>
    </row>
    <row r="370" spans="2:16" x14ac:dyDescent="0.2">
      <c r="B370" s="258">
        <f t="shared" si="11"/>
        <v>306</v>
      </c>
      <c r="C370" s="268"/>
      <c r="D370" s="318" t="s">
        <v>1379</v>
      </c>
      <c r="E370" s="270"/>
      <c r="F370" s="270"/>
      <c r="G370" s="310" t="s">
        <v>298</v>
      </c>
      <c r="H370" s="311"/>
      <c r="I370" s="312">
        <f t="shared" si="10"/>
        <v>23000</v>
      </c>
      <c r="J370" s="273"/>
      <c r="L370" s="8"/>
      <c r="M370" s="8"/>
      <c r="N370" s="8">
        <f>'[4]Usulan 2021'!I369</f>
        <v>23000</v>
      </c>
      <c r="O370" s="8">
        <f>'[4]Usulan 2021'!J369</f>
        <v>23000</v>
      </c>
      <c r="P370" s="8">
        <f>'[4]Usulan 2021'!K369</f>
        <v>23000</v>
      </c>
    </row>
    <row r="371" spans="2:16" x14ac:dyDescent="0.2">
      <c r="B371" s="258">
        <f t="shared" si="11"/>
        <v>307</v>
      </c>
      <c r="C371" s="268"/>
      <c r="D371" s="318" t="s">
        <v>1629</v>
      </c>
      <c r="E371" s="270"/>
      <c r="F371" s="270"/>
      <c r="G371" s="310" t="s">
        <v>265</v>
      </c>
      <c r="H371" s="311"/>
      <c r="I371" s="312">
        <f t="shared" si="10"/>
        <v>700</v>
      </c>
      <c r="J371" s="273"/>
      <c r="L371" s="8"/>
      <c r="M371" s="8"/>
      <c r="N371" s="8">
        <f>'[4]Usulan 2021'!I370</f>
        <v>700</v>
      </c>
      <c r="O371" s="8">
        <f>'[4]Usulan 2021'!J370</f>
        <v>700</v>
      </c>
      <c r="P371" s="8">
        <f>'[4]Usulan 2021'!K370</f>
        <v>700</v>
      </c>
    </row>
    <row r="372" spans="2:16" x14ac:dyDescent="0.2">
      <c r="B372" s="258">
        <f t="shared" si="11"/>
        <v>308</v>
      </c>
      <c r="C372" s="268"/>
      <c r="D372" s="318" t="s">
        <v>91</v>
      </c>
      <c r="E372" s="270"/>
      <c r="F372" s="270"/>
      <c r="G372" s="310" t="s">
        <v>298</v>
      </c>
      <c r="H372" s="311"/>
      <c r="I372" s="312">
        <f t="shared" si="10"/>
        <v>17000</v>
      </c>
      <c r="J372" s="273"/>
      <c r="L372" s="8"/>
      <c r="M372" s="8"/>
      <c r="N372" s="8">
        <f>'[4]Usulan 2021'!I371</f>
        <v>17000</v>
      </c>
      <c r="O372" s="8">
        <f>'[4]Usulan 2021'!J371</f>
        <v>17000</v>
      </c>
      <c r="P372" s="8">
        <f>'[4]Usulan 2021'!K371</f>
        <v>17000</v>
      </c>
    </row>
    <row r="373" spans="2:16" x14ac:dyDescent="0.2">
      <c r="B373" s="258">
        <f t="shared" ref="B373:B393" si="13">B372+1</f>
        <v>309</v>
      </c>
      <c r="C373" s="268"/>
      <c r="D373" s="318" t="s">
        <v>421</v>
      </c>
      <c r="E373" s="270"/>
      <c r="F373" s="270"/>
      <c r="G373" s="310" t="s">
        <v>298</v>
      </c>
      <c r="H373" s="311"/>
      <c r="I373" s="312">
        <f t="shared" si="10"/>
        <v>26000</v>
      </c>
      <c r="J373" s="273"/>
      <c r="L373" s="8"/>
      <c r="M373" s="8"/>
      <c r="N373" s="8">
        <f>'[4]Usulan 2021'!I372</f>
        <v>26000</v>
      </c>
      <c r="O373" s="8">
        <f>'[4]Usulan 2021'!J372</f>
        <v>26000</v>
      </c>
      <c r="P373" s="8">
        <f>'[4]Usulan 2021'!K372</f>
        <v>26000</v>
      </c>
    </row>
    <row r="374" spans="2:16" x14ac:dyDescent="0.2">
      <c r="B374" s="258">
        <f t="shared" si="13"/>
        <v>310</v>
      </c>
      <c r="C374" s="268"/>
      <c r="D374" s="318" t="s">
        <v>1624</v>
      </c>
      <c r="E374" s="270"/>
      <c r="F374" s="270"/>
      <c r="G374" s="310" t="s">
        <v>265</v>
      </c>
      <c r="H374" s="311"/>
      <c r="I374" s="312">
        <f t="shared" si="10"/>
        <v>100</v>
      </c>
      <c r="J374" s="273"/>
      <c r="L374" s="8"/>
      <c r="M374" s="8"/>
      <c r="N374" s="8">
        <f>'[4]Usulan 2021'!I373</f>
        <v>100</v>
      </c>
      <c r="O374" s="8">
        <f>'[4]Usulan 2021'!J373</f>
        <v>100</v>
      </c>
      <c r="P374" s="8">
        <f>'[4]Usulan 2021'!K373</f>
        <v>100</v>
      </c>
    </row>
    <row r="375" spans="2:16" x14ac:dyDescent="0.2">
      <c r="B375" s="258">
        <f t="shared" si="13"/>
        <v>311</v>
      </c>
      <c r="C375" s="268"/>
      <c r="D375" s="319" t="s">
        <v>908</v>
      </c>
      <c r="E375" s="315"/>
      <c r="F375" s="315"/>
      <c r="G375" s="310" t="s">
        <v>268</v>
      </c>
      <c r="H375" s="311"/>
      <c r="I375" s="312">
        <f t="shared" si="10"/>
        <v>5700</v>
      </c>
      <c r="J375" s="273"/>
      <c r="L375" s="8"/>
      <c r="M375" s="8"/>
      <c r="N375" s="8">
        <f>'[4]Usulan 2021'!I374</f>
        <v>5700</v>
      </c>
      <c r="O375" s="8">
        <f>'[4]Usulan 2021'!J374</f>
        <v>5700</v>
      </c>
      <c r="P375" s="8">
        <f>'[4]Usulan 2021'!K374</f>
        <v>5700</v>
      </c>
    </row>
    <row r="376" spans="2:16" x14ac:dyDescent="0.2">
      <c r="B376" s="258">
        <f t="shared" si="13"/>
        <v>312</v>
      </c>
      <c r="C376" s="268"/>
      <c r="D376" s="318" t="s">
        <v>789</v>
      </c>
      <c r="E376" s="270"/>
      <c r="F376" s="270"/>
      <c r="G376" s="310" t="s">
        <v>265</v>
      </c>
      <c r="H376" s="311"/>
      <c r="I376" s="312">
        <f t="shared" si="10"/>
        <v>800</v>
      </c>
      <c r="J376" s="273"/>
      <c r="L376" s="8"/>
      <c r="M376" s="8"/>
      <c r="N376" s="8">
        <f>'[4]Usulan 2021'!I375</f>
        <v>800</v>
      </c>
      <c r="O376" s="8">
        <f>'[4]Usulan 2021'!J375</f>
        <v>800</v>
      </c>
      <c r="P376" s="8">
        <f>'[4]Usulan 2021'!K375</f>
        <v>800</v>
      </c>
    </row>
    <row r="377" spans="2:16" x14ac:dyDescent="0.2">
      <c r="B377" s="258">
        <f t="shared" si="13"/>
        <v>313</v>
      </c>
      <c r="C377" s="268"/>
      <c r="D377" s="318" t="s">
        <v>92</v>
      </c>
      <c r="E377" s="270"/>
      <c r="F377" s="270"/>
      <c r="G377" s="310" t="s">
        <v>298</v>
      </c>
      <c r="H377" s="311"/>
      <c r="I377" s="312">
        <f t="shared" si="10"/>
        <v>23000</v>
      </c>
      <c r="J377" s="348"/>
      <c r="L377" s="8"/>
      <c r="M377" s="8"/>
      <c r="N377" s="8">
        <f>'[4]Usulan 2021'!I376</f>
        <v>23000</v>
      </c>
      <c r="O377" s="8">
        <f>'[4]Usulan 2021'!J376</f>
        <v>23000</v>
      </c>
      <c r="P377" s="8">
        <f>'[4]Usulan 2021'!K376</f>
        <v>23000</v>
      </c>
    </row>
    <row r="378" spans="2:16" x14ac:dyDescent="0.2">
      <c r="B378" s="258">
        <f t="shared" si="13"/>
        <v>314</v>
      </c>
      <c r="C378" s="268"/>
      <c r="D378" s="318" t="s">
        <v>93</v>
      </c>
      <c r="E378" s="270"/>
      <c r="F378" s="270"/>
      <c r="G378" s="310" t="s">
        <v>298</v>
      </c>
      <c r="H378" s="311"/>
      <c r="I378" s="312">
        <f t="shared" si="10"/>
        <v>17000</v>
      </c>
      <c r="J378" s="273"/>
      <c r="L378" s="8"/>
      <c r="M378" s="8"/>
      <c r="N378" s="8">
        <f>'[4]Usulan 2021'!I377</f>
        <v>17000</v>
      </c>
      <c r="O378" s="8">
        <f>'[4]Usulan 2021'!J377</f>
        <v>17000</v>
      </c>
      <c r="P378" s="8">
        <f>'[4]Usulan 2021'!K377</f>
        <v>17000</v>
      </c>
    </row>
    <row r="379" spans="2:16" x14ac:dyDescent="0.2">
      <c r="B379" s="258">
        <f t="shared" si="13"/>
        <v>315</v>
      </c>
      <c r="C379" s="268"/>
      <c r="D379" s="318" t="s">
        <v>555</v>
      </c>
      <c r="E379" s="392"/>
      <c r="F379" s="392"/>
      <c r="G379" s="310" t="s">
        <v>275</v>
      </c>
      <c r="H379" s="311"/>
      <c r="I379" s="312">
        <f t="shared" si="10"/>
        <v>5260000</v>
      </c>
      <c r="J379" s="273"/>
      <c r="L379" s="8"/>
      <c r="M379" s="8"/>
      <c r="N379" s="8">
        <f>'[4]Usulan 2021'!I378</f>
        <v>5260000</v>
      </c>
      <c r="O379" s="8">
        <f>'[4]Usulan 2021'!J378</f>
        <v>5260000</v>
      </c>
      <c r="P379" s="8">
        <f>'[4]Usulan 2021'!K378</f>
        <v>5260000</v>
      </c>
    </row>
    <row r="380" spans="2:16" x14ac:dyDescent="0.2">
      <c r="B380" s="258">
        <f t="shared" si="13"/>
        <v>316</v>
      </c>
      <c r="C380" s="268"/>
      <c r="D380" s="318" t="s">
        <v>427</v>
      </c>
      <c r="E380" s="392"/>
      <c r="F380" s="392"/>
      <c r="G380" s="310" t="s">
        <v>268</v>
      </c>
      <c r="H380" s="311"/>
      <c r="I380" s="312">
        <f t="shared" si="10"/>
        <v>300000</v>
      </c>
      <c r="J380" s="273"/>
      <c r="L380" s="8"/>
      <c r="M380" s="8"/>
      <c r="N380" s="8">
        <f>'[4]Usulan 2021'!I379</f>
        <v>300000</v>
      </c>
      <c r="O380" s="8"/>
      <c r="P380" s="8"/>
    </row>
    <row r="381" spans="2:16" x14ac:dyDescent="0.2">
      <c r="B381" s="258">
        <f t="shared" si="13"/>
        <v>317</v>
      </c>
      <c r="C381" s="268"/>
      <c r="D381" s="318" t="s">
        <v>1380</v>
      </c>
      <c r="E381" s="392"/>
      <c r="F381" s="392"/>
      <c r="G381" s="310" t="s">
        <v>268</v>
      </c>
      <c r="H381" s="311"/>
      <c r="I381" s="312">
        <f t="shared" si="10"/>
        <v>52000</v>
      </c>
      <c r="J381" s="273"/>
      <c r="L381" s="8"/>
      <c r="M381" s="8"/>
      <c r="N381" s="8">
        <f>'[4]Usulan 2021'!I380</f>
        <v>52000</v>
      </c>
      <c r="O381" s="8"/>
      <c r="P381" s="8"/>
    </row>
    <row r="382" spans="2:16" x14ac:dyDescent="0.2">
      <c r="B382" s="258">
        <f t="shared" si="13"/>
        <v>318</v>
      </c>
      <c r="C382" s="268"/>
      <c r="D382" s="318"/>
      <c r="E382" s="392"/>
      <c r="F382" s="392"/>
      <c r="G382" s="310"/>
      <c r="H382" s="311"/>
      <c r="I382" s="312"/>
      <c r="J382" s="273"/>
      <c r="L382" s="8"/>
      <c r="M382" s="8"/>
      <c r="N382" s="8"/>
      <c r="O382" s="8"/>
      <c r="P382" s="8"/>
    </row>
    <row r="383" spans="2:16" x14ac:dyDescent="0.2">
      <c r="B383" s="258">
        <f t="shared" si="13"/>
        <v>319</v>
      </c>
      <c r="C383" s="268"/>
      <c r="D383" s="318" t="s">
        <v>324</v>
      </c>
      <c r="E383" s="270"/>
      <c r="F383" s="270"/>
      <c r="G383" s="310" t="s">
        <v>264</v>
      </c>
      <c r="H383" s="311"/>
      <c r="I383" s="312">
        <f t="shared" ref="I383:I446" si="14">N383</f>
        <v>260000</v>
      </c>
      <c r="J383" s="273"/>
      <c r="L383" s="8"/>
      <c r="M383" s="8"/>
      <c r="N383" s="8">
        <f>'[4]Usulan 2021'!I382</f>
        <v>260000</v>
      </c>
      <c r="O383" s="8">
        <f>'[4]Usulan 2021'!J382</f>
        <v>265000</v>
      </c>
      <c r="P383" s="8">
        <f>'[4]Usulan 2021'!K382</f>
        <v>270000</v>
      </c>
    </row>
    <row r="384" spans="2:16" x14ac:dyDescent="0.2">
      <c r="B384" s="258">
        <f t="shared" si="13"/>
        <v>320</v>
      </c>
      <c r="C384" s="268"/>
      <c r="D384" s="318" t="s">
        <v>379</v>
      </c>
      <c r="E384" s="270"/>
      <c r="F384" s="270"/>
      <c r="G384" s="310" t="s">
        <v>264</v>
      </c>
      <c r="H384" s="311"/>
      <c r="I384" s="312">
        <f t="shared" si="14"/>
        <v>260000</v>
      </c>
      <c r="J384" s="273"/>
      <c r="L384" s="8"/>
      <c r="M384" s="8"/>
      <c r="N384" s="8">
        <f>'[4]Usulan 2021'!I383</f>
        <v>260000</v>
      </c>
      <c r="O384" s="8">
        <f>'[4]Usulan 2021'!J383</f>
        <v>265000</v>
      </c>
      <c r="P384" s="8">
        <f>'[4]Usulan 2021'!K383</f>
        <v>270000</v>
      </c>
    </row>
    <row r="385" spans="2:16" x14ac:dyDescent="0.2">
      <c r="B385" s="258">
        <f t="shared" si="13"/>
        <v>321</v>
      </c>
      <c r="C385" s="268"/>
      <c r="D385" s="318" t="s">
        <v>832</v>
      </c>
      <c r="E385" s="270"/>
      <c r="F385" s="270"/>
      <c r="G385" s="310" t="s">
        <v>264</v>
      </c>
      <c r="H385" s="311"/>
      <c r="I385" s="312">
        <f t="shared" si="14"/>
        <v>175000</v>
      </c>
      <c r="J385" s="273"/>
      <c r="L385" s="8"/>
      <c r="M385" s="8"/>
      <c r="N385" s="8">
        <f>'[4]Usulan 2021'!I384</f>
        <v>175000</v>
      </c>
      <c r="O385" s="8">
        <f>'[4]Usulan 2021'!J384</f>
        <v>175000</v>
      </c>
      <c r="P385" s="8">
        <f>'[4]Usulan 2021'!K384</f>
        <v>175000</v>
      </c>
    </row>
    <row r="386" spans="2:16" x14ac:dyDescent="0.2">
      <c r="B386" s="258">
        <f t="shared" si="13"/>
        <v>322</v>
      </c>
      <c r="C386" s="268"/>
      <c r="D386" s="318" t="s">
        <v>909</v>
      </c>
      <c r="E386" s="270"/>
      <c r="F386" s="270"/>
      <c r="G386" s="310" t="s">
        <v>264</v>
      </c>
      <c r="H386" s="311"/>
      <c r="I386" s="312">
        <f t="shared" si="14"/>
        <v>229000</v>
      </c>
      <c r="J386" s="273"/>
      <c r="L386" s="8"/>
      <c r="M386" s="8"/>
      <c r="N386" s="8">
        <f>'[4]Usulan 2021'!I385</f>
        <v>229000</v>
      </c>
      <c r="O386" s="8">
        <f>'[4]Usulan 2021'!J385</f>
        <v>234000</v>
      </c>
      <c r="P386" s="8">
        <f>'[4]Usulan 2021'!K385</f>
        <v>239000</v>
      </c>
    </row>
    <row r="387" spans="2:16" x14ac:dyDescent="0.2">
      <c r="B387" s="258">
        <f t="shared" si="13"/>
        <v>323</v>
      </c>
      <c r="C387" s="268"/>
      <c r="D387" s="318" t="s">
        <v>475</v>
      </c>
      <c r="E387" s="270"/>
      <c r="F387" s="270"/>
      <c r="G387" s="310" t="s">
        <v>264</v>
      </c>
      <c r="H387" s="393"/>
      <c r="I387" s="312">
        <f t="shared" si="14"/>
        <v>145000</v>
      </c>
      <c r="J387" s="273"/>
      <c r="L387" s="8"/>
      <c r="M387" s="8"/>
      <c r="N387" s="8">
        <f>'[4]Usulan 2021'!I386</f>
        <v>145000</v>
      </c>
      <c r="O387" s="8">
        <f>'[4]Usulan 2021'!J386</f>
        <v>145000</v>
      </c>
      <c r="P387" s="8">
        <f>'[4]Usulan 2021'!K386</f>
        <v>145000</v>
      </c>
    </row>
    <row r="388" spans="2:16" x14ac:dyDescent="0.2">
      <c r="B388" s="258">
        <f t="shared" si="13"/>
        <v>324</v>
      </c>
      <c r="C388" s="268"/>
      <c r="D388" s="318" t="s">
        <v>302</v>
      </c>
      <c r="E388" s="270"/>
      <c r="F388" s="270"/>
      <c r="G388" s="263" t="s">
        <v>264</v>
      </c>
      <c r="H388" s="311"/>
      <c r="I388" s="312">
        <f t="shared" si="14"/>
        <v>163000</v>
      </c>
      <c r="J388" s="273"/>
      <c r="L388" s="8"/>
      <c r="M388" s="8"/>
      <c r="N388" s="8">
        <f>'[4]Usulan 2021'!I387</f>
        <v>163000</v>
      </c>
      <c r="O388" s="8">
        <f>'[4]Usulan 2021'!J387</f>
        <v>163000</v>
      </c>
      <c r="P388" s="8">
        <f>'[4]Usulan 2021'!K387</f>
        <v>163000</v>
      </c>
    </row>
    <row r="389" spans="2:16" x14ac:dyDescent="0.2">
      <c r="B389" s="258">
        <f t="shared" si="13"/>
        <v>325</v>
      </c>
      <c r="C389" s="268"/>
      <c r="D389" s="358" t="s">
        <v>910</v>
      </c>
      <c r="E389" s="270"/>
      <c r="F389" s="270"/>
      <c r="G389" s="263" t="s">
        <v>266</v>
      </c>
      <c r="H389" s="311"/>
      <c r="I389" s="312">
        <f t="shared" si="14"/>
        <v>81500</v>
      </c>
      <c r="J389" s="273"/>
      <c r="L389" s="8"/>
      <c r="M389" s="8"/>
      <c r="N389" s="8">
        <f>'[4]Usulan 2021'!I388</f>
        <v>81500</v>
      </c>
      <c r="O389" s="8">
        <f>'[4]Usulan 2021'!J388</f>
        <v>81500</v>
      </c>
      <c r="P389" s="8">
        <f>'[4]Usulan 2021'!K388</f>
        <v>81500</v>
      </c>
    </row>
    <row r="390" spans="2:16" x14ac:dyDescent="0.2">
      <c r="B390" s="258">
        <f t="shared" si="13"/>
        <v>326</v>
      </c>
      <c r="C390" s="268"/>
      <c r="D390" s="358" t="s">
        <v>911</v>
      </c>
      <c r="E390" s="270"/>
      <c r="F390" s="270"/>
      <c r="G390" s="263" t="s">
        <v>266</v>
      </c>
      <c r="H390" s="311"/>
      <c r="I390" s="312">
        <f t="shared" si="14"/>
        <v>81500</v>
      </c>
      <c r="J390" s="273"/>
      <c r="L390" s="8"/>
      <c r="M390" s="8"/>
      <c r="N390" s="8">
        <f>'[4]Usulan 2021'!I389</f>
        <v>81500</v>
      </c>
      <c r="O390" s="8">
        <f>'[4]Usulan 2021'!J389</f>
        <v>81500</v>
      </c>
      <c r="P390" s="8">
        <f>'[4]Usulan 2021'!K389</f>
        <v>81500</v>
      </c>
    </row>
    <row r="391" spans="2:16" x14ac:dyDescent="0.2">
      <c r="B391" s="258">
        <f t="shared" si="13"/>
        <v>327</v>
      </c>
      <c r="C391" s="268"/>
      <c r="D391" s="318" t="s">
        <v>171</v>
      </c>
      <c r="E391" s="270"/>
      <c r="F391" s="270"/>
      <c r="G391" s="263" t="s">
        <v>266</v>
      </c>
      <c r="H391" s="311"/>
      <c r="I391" s="312">
        <f t="shared" si="14"/>
        <v>93000</v>
      </c>
      <c r="J391" s="273"/>
      <c r="L391" s="8"/>
      <c r="M391" s="8"/>
      <c r="N391" s="8">
        <f>'[4]Usulan 2021'!I390</f>
        <v>93000</v>
      </c>
      <c r="O391" s="8">
        <f>'[4]Usulan 2021'!J390</f>
        <v>93000</v>
      </c>
      <c r="P391" s="8">
        <f>'[4]Usulan 2021'!K390</f>
        <v>93000</v>
      </c>
    </row>
    <row r="392" spans="2:16" x14ac:dyDescent="0.2">
      <c r="B392" s="258">
        <f t="shared" si="13"/>
        <v>328</v>
      </c>
      <c r="C392" s="268"/>
      <c r="D392" s="358" t="s">
        <v>912</v>
      </c>
      <c r="E392" s="270"/>
      <c r="F392" s="270"/>
      <c r="G392" s="263" t="s">
        <v>266</v>
      </c>
      <c r="H392" s="311"/>
      <c r="I392" s="312">
        <f t="shared" si="14"/>
        <v>81500</v>
      </c>
      <c r="J392" s="273"/>
      <c r="L392" s="8"/>
      <c r="M392" s="8"/>
      <c r="N392" s="8">
        <f>'[4]Usulan 2021'!I391</f>
        <v>81500</v>
      </c>
      <c r="O392" s="8">
        <f>'[4]Usulan 2021'!J391</f>
        <v>81500</v>
      </c>
      <c r="P392" s="8">
        <f>'[4]Usulan 2021'!K391</f>
        <v>81500</v>
      </c>
    </row>
    <row r="393" spans="2:16" x14ac:dyDescent="0.2">
      <c r="B393" s="258">
        <f t="shared" si="13"/>
        <v>329</v>
      </c>
      <c r="C393" s="268"/>
      <c r="D393" s="358" t="s">
        <v>913</v>
      </c>
      <c r="E393" s="270"/>
      <c r="F393" s="270"/>
      <c r="G393" s="263" t="s">
        <v>266</v>
      </c>
      <c r="H393" s="311"/>
      <c r="I393" s="312">
        <f t="shared" si="14"/>
        <v>87500</v>
      </c>
      <c r="J393" s="273"/>
      <c r="L393" s="8"/>
      <c r="M393" s="8"/>
      <c r="N393" s="8">
        <f>'[4]Usulan 2021'!I392</f>
        <v>87500</v>
      </c>
      <c r="O393" s="8">
        <f>'[4]Usulan 2021'!J392</f>
        <v>87500</v>
      </c>
      <c r="P393" s="8">
        <f>'[4]Usulan 2021'!K392</f>
        <v>87500</v>
      </c>
    </row>
    <row r="394" spans="2:16" x14ac:dyDescent="0.2">
      <c r="B394" s="258">
        <f>B393+1</f>
        <v>330</v>
      </c>
      <c r="C394" s="268"/>
      <c r="D394" s="394" t="s">
        <v>915</v>
      </c>
      <c r="E394" s="270"/>
      <c r="F394" s="270"/>
      <c r="G394" s="263" t="s">
        <v>266</v>
      </c>
      <c r="H394" s="311"/>
      <c r="I394" s="312">
        <f t="shared" si="14"/>
        <v>99000</v>
      </c>
      <c r="J394" s="273"/>
      <c r="L394" s="8"/>
      <c r="M394" s="8"/>
      <c r="N394" s="8">
        <f>'[4]Usulan 2021'!I393</f>
        <v>99000</v>
      </c>
      <c r="O394" s="8">
        <f>'[4]Usulan 2021'!J393</f>
        <v>99000</v>
      </c>
      <c r="P394" s="8">
        <f>'[4]Usulan 2021'!K393</f>
        <v>99000</v>
      </c>
    </row>
    <row r="395" spans="2:16" x14ac:dyDescent="0.2">
      <c r="B395" s="258">
        <f>B394+1</f>
        <v>331</v>
      </c>
      <c r="C395" s="268"/>
      <c r="D395" s="394" t="s">
        <v>129</v>
      </c>
      <c r="E395" s="270"/>
      <c r="F395" s="270"/>
      <c r="G395" s="263" t="s">
        <v>266</v>
      </c>
      <c r="H395" s="311"/>
      <c r="I395" s="312">
        <f t="shared" si="14"/>
        <v>104500</v>
      </c>
      <c r="J395" s="273"/>
      <c r="L395" s="8"/>
      <c r="M395" s="8"/>
      <c r="N395" s="8">
        <f>'[4]Usulan 2021'!I394</f>
        <v>104500</v>
      </c>
      <c r="O395" s="8">
        <f>'[4]Usulan 2021'!J394</f>
        <v>104500</v>
      </c>
      <c r="P395" s="8">
        <f>'[4]Usulan 2021'!K394</f>
        <v>104500</v>
      </c>
    </row>
    <row r="396" spans="2:16" x14ac:dyDescent="0.2">
      <c r="B396" s="258">
        <f>B395+1</f>
        <v>332</v>
      </c>
      <c r="C396" s="268"/>
      <c r="D396" s="358" t="s">
        <v>170</v>
      </c>
      <c r="E396" s="270"/>
      <c r="F396" s="270"/>
      <c r="G396" s="263" t="s">
        <v>266</v>
      </c>
      <c r="H396" s="311"/>
      <c r="I396" s="312">
        <f t="shared" si="14"/>
        <v>87500</v>
      </c>
      <c r="J396" s="273"/>
      <c r="L396" s="8"/>
      <c r="M396" s="8"/>
      <c r="N396" s="8">
        <f>'[4]Usulan 2021'!I395</f>
        <v>87500</v>
      </c>
      <c r="O396" s="8">
        <f>'[4]Usulan 2021'!J395</f>
        <v>87500</v>
      </c>
      <c r="P396" s="8">
        <f>'[4]Usulan 2021'!K395</f>
        <v>87500</v>
      </c>
    </row>
    <row r="397" spans="2:16" x14ac:dyDescent="0.2">
      <c r="B397" s="258">
        <f>B396+1</f>
        <v>333</v>
      </c>
      <c r="C397" s="268"/>
      <c r="D397" s="358" t="s">
        <v>914</v>
      </c>
      <c r="E397" s="270"/>
      <c r="F397" s="270"/>
      <c r="G397" s="263" t="s">
        <v>266</v>
      </c>
      <c r="H397" s="311"/>
      <c r="I397" s="312">
        <f t="shared" si="14"/>
        <v>116500</v>
      </c>
      <c r="J397" s="273"/>
      <c r="L397" s="8"/>
      <c r="M397" s="8"/>
      <c r="N397" s="8">
        <f>'[4]Usulan 2021'!I396</f>
        <v>116500</v>
      </c>
      <c r="O397" s="8">
        <f>'[4]Usulan 2021'!J396</f>
        <v>116500</v>
      </c>
      <c r="P397" s="8">
        <f>'[4]Usulan 2021'!K396</f>
        <v>116500</v>
      </c>
    </row>
    <row r="398" spans="2:16" s="399" customFormat="1" x14ac:dyDescent="0.2">
      <c r="B398" s="258">
        <f t="shared" ref="B398:B403" si="15">B397+1</f>
        <v>334</v>
      </c>
      <c r="C398" s="395"/>
      <c r="D398" s="394" t="s">
        <v>921</v>
      </c>
      <c r="E398" s="388"/>
      <c r="F398" s="388"/>
      <c r="G398" s="396" t="s">
        <v>266</v>
      </c>
      <c r="H398" s="397"/>
      <c r="I398" s="281">
        <f t="shared" si="14"/>
        <v>89500</v>
      </c>
      <c r="J398" s="398"/>
      <c r="L398" s="267"/>
      <c r="M398" s="267"/>
      <c r="N398" s="267">
        <f>'[4]Usulan 2021'!I397</f>
        <v>89500</v>
      </c>
      <c r="O398" s="267">
        <f>'[4]Usulan 2021'!J397</f>
        <v>89500</v>
      </c>
      <c r="P398" s="267">
        <f>'[4]Usulan 2021'!K397</f>
        <v>89500</v>
      </c>
    </row>
    <row r="399" spans="2:16" s="399" customFormat="1" x14ac:dyDescent="0.2">
      <c r="B399" s="258">
        <f t="shared" si="15"/>
        <v>335</v>
      </c>
      <c r="C399" s="395"/>
      <c r="D399" s="394" t="s">
        <v>924</v>
      </c>
      <c r="E399" s="388"/>
      <c r="F399" s="388"/>
      <c r="G399" s="396" t="s">
        <v>266</v>
      </c>
      <c r="H399" s="397"/>
      <c r="I399" s="281">
        <f t="shared" si="14"/>
        <v>99000</v>
      </c>
      <c r="J399" s="398"/>
      <c r="L399" s="267"/>
      <c r="M399" s="267"/>
      <c r="N399" s="267">
        <f>'[4]Usulan 2021'!I398</f>
        <v>99000</v>
      </c>
      <c r="O399" s="267">
        <f>'[4]Usulan 2021'!J398</f>
        <v>99000</v>
      </c>
      <c r="P399" s="267">
        <f>'[4]Usulan 2021'!K398</f>
        <v>99000</v>
      </c>
    </row>
    <row r="400" spans="2:16" s="399" customFormat="1" x14ac:dyDescent="0.2">
      <c r="B400" s="258">
        <f t="shared" si="15"/>
        <v>336</v>
      </c>
      <c r="C400" s="395"/>
      <c r="D400" s="394" t="s">
        <v>916</v>
      </c>
      <c r="E400" s="388"/>
      <c r="F400" s="388"/>
      <c r="G400" s="396" t="s">
        <v>266</v>
      </c>
      <c r="H400" s="397"/>
      <c r="I400" s="281">
        <f t="shared" si="14"/>
        <v>128000</v>
      </c>
      <c r="J400" s="398"/>
      <c r="L400" s="267"/>
      <c r="M400" s="267"/>
      <c r="N400" s="267">
        <f>'[4]Usulan 2021'!I399</f>
        <v>128000</v>
      </c>
      <c r="O400" s="267">
        <f>'[4]Usulan 2021'!J399</f>
        <v>128000</v>
      </c>
      <c r="P400" s="267">
        <f>'[4]Usulan 2021'!K399</f>
        <v>128000</v>
      </c>
    </row>
    <row r="401" spans="2:16" s="399" customFormat="1" x14ac:dyDescent="0.2">
      <c r="B401" s="258">
        <f t="shared" si="15"/>
        <v>337</v>
      </c>
      <c r="C401" s="395"/>
      <c r="D401" s="394" t="s">
        <v>128</v>
      </c>
      <c r="E401" s="388"/>
      <c r="F401" s="388"/>
      <c r="G401" s="396" t="s">
        <v>266</v>
      </c>
      <c r="H401" s="397"/>
      <c r="I401" s="281">
        <f t="shared" si="14"/>
        <v>133500</v>
      </c>
      <c r="J401" s="398"/>
      <c r="L401" s="267"/>
      <c r="M401" s="267"/>
      <c r="N401" s="267">
        <f>'[4]Usulan 2021'!I400</f>
        <v>133500</v>
      </c>
      <c r="O401" s="267">
        <f>'[4]Usulan 2021'!J400</f>
        <v>133500</v>
      </c>
      <c r="P401" s="267">
        <f>'[4]Usulan 2021'!K400</f>
        <v>133500</v>
      </c>
    </row>
    <row r="402" spans="2:16" s="399" customFormat="1" x14ac:dyDescent="0.2">
      <c r="B402" s="258">
        <f t="shared" si="15"/>
        <v>338</v>
      </c>
      <c r="C402" s="395"/>
      <c r="D402" s="394" t="s">
        <v>917</v>
      </c>
      <c r="E402" s="388"/>
      <c r="F402" s="388"/>
      <c r="G402" s="396" t="s">
        <v>266</v>
      </c>
      <c r="H402" s="397"/>
      <c r="I402" s="281">
        <f t="shared" si="14"/>
        <v>145000</v>
      </c>
      <c r="J402" s="398"/>
      <c r="L402" s="267"/>
      <c r="M402" s="267"/>
      <c r="N402" s="267">
        <f>'[4]Usulan 2021'!I401</f>
        <v>145000</v>
      </c>
      <c r="O402" s="267">
        <f>'[4]Usulan 2021'!J401</f>
        <v>145000</v>
      </c>
      <c r="P402" s="267">
        <f>'[4]Usulan 2021'!K401</f>
        <v>145000</v>
      </c>
    </row>
    <row r="403" spans="2:16" s="399" customFormat="1" x14ac:dyDescent="0.2">
      <c r="B403" s="258">
        <f t="shared" si="15"/>
        <v>339</v>
      </c>
      <c r="C403" s="395"/>
      <c r="D403" s="394" t="s">
        <v>918</v>
      </c>
      <c r="E403" s="388"/>
      <c r="F403" s="388"/>
      <c r="G403" s="396" t="s">
        <v>266</v>
      </c>
      <c r="H403" s="397"/>
      <c r="I403" s="281">
        <f t="shared" si="14"/>
        <v>151000</v>
      </c>
      <c r="J403" s="398"/>
      <c r="L403" s="267"/>
      <c r="M403" s="267"/>
      <c r="N403" s="267">
        <f>'[4]Usulan 2021'!I402</f>
        <v>151000</v>
      </c>
      <c r="O403" s="267">
        <f>'[4]Usulan 2021'!J402</f>
        <v>151000</v>
      </c>
      <c r="P403" s="267">
        <f>'[4]Usulan 2021'!K402</f>
        <v>151000</v>
      </c>
    </row>
    <row r="404" spans="2:16" x14ac:dyDescent="0.2">
      <c r="B404" s="258">
        <f>B403+1</f>
        <v>340</v>
      </c>
      <c r="C404" s="268"/>
      <c r="D404" s="394" t="s">
        <v>928</v>
      </c>
      <c r="E404" s="270"/>
      <c r="F404" s="270"/>
      <c r="G404" s="263" t="s">
        <v>268</v>
      </c>
      <c r="H404" s="311"/>
      <c r="I404" s="312">
        <f t="shared" si="14"/>
        <v>50000</v>
      </c>
      <c r="J404" s="273"/>
      <c r="L404" s="8"/>
      <c r="M404" s="8"/>
      <c r="N404" s="8">
        <f>'[4]Usulan 2021'!I403</f>
        <v>50000</v>
      </c>
      <c r="O404" s="8">
        <f>'[4]Usulan 2021'!J403</f>
        <v>50000</v>
      </c>
      <c r="P404" s="8">
        <f>'[4]Usulan 2021'!K403</f>
        <v>50000</v>
      </c>
    </row>
    <row r="405" spans="2:16" x14ac:dyDescent="0.2">
      <c r="B405" s="258">
        <f>B404+1</f>
        <v>341</v>
      </c>
      <c r="C405" s="268"/>
      <c r="D405" s="394" t="s">
        <v>929</v>
      </c>
      <c r="E405" s="270"/>
      <c r="F405" s="270"/>
      <c r="G405" s="263" t="s">
        <v>266</v>
      </c>
      <c r="H405" s="311"/>
      <c r="I405" s="312">
        <f t="shared" si="14"/>
        <v>128000</v>
      </c>
      <c r="J405" s="273"/>
      <c r="L405" s="8"/>
      <c r="M405" s="8"/>
      <c r="N405" s="8">
        <f>'[4]Usulan 2021'!I404</f>
        <v>128000</v>
      </c>
      <c r="O405" s="8">
        <f>'[4]Usulan 2021'!J404</f>
        <v>128000</v>
      </c>
      <c r="P405" s="8">
        <f>'[4]Usulan 2021'!K404</f>
        <v>128000</v>
      </c>
    </row>
    <row r="406" spans="2:16" x14ac:dyDescent="0.2">
      <c r="B406" s="258">
        <f t="shared" ref="B406:B455" si="16">B405+1</f>
        <v>342</v>
      </c>
      <c r="C406" s="268"/>
      <c r="D406" s="318" t="s">
        <v>816</v>
      </c>
      <c r="E406" s="270"/>
      <c r="F406" s="316"/>
      <c r="G406" s="310" t="s">
        <v>298</v>
      </c>
      <c r="H406" s="311"/>
      <c r="I406" s="312">
        <f t="shared" si="14"/>
        <v>1200</v>
      </c>
      <c r="J406" s="273"/>
      <c r="L406" s="8"/>
      <c r="M406" s="8"/>
      <c r="N406" s="342">
        <f>'[4]Usulan 2021'!I405</f>
        <v>1200</v>
      </c>
      <c r="O406" s="342">
        <f>'[4]Usulan 2021'!J405</f>
        <v>1225</v>
      </c>
      <c r="P406" s="342">
        <f>'[4]Usulan 2021'!K405</f>
        <v>1250</v>
      </c>
    </row>
    <row r="407" spans="2:16" x14ac:dyDescent="0.2">
      <c r="B407" s="258">
        <f t="shared" si="16"/>
        <v>343</v>
      </c>
      <c r="C407" s="268"/>
      <c r="D407" s="318" t="s">
        <v>87</v>
      </c>
      <c r="E407" s="270"/>
      <c r="F407" s="316"/>
      <c r="G407" s="263" t="s">
        <v>298</v>
      </c>
      <c r="H407" s="311"/>
      <c r="I407" s="312">
        <f t="shared" si="14"/>
        <v>2800</v>
      </c>
      <c r="J407" s="273"/>
      <c r="L407" s="8"/>
      <c r="M407" s="8"/>
      <c r="N407" s="8">
        <f>'[4]Usulan 2021'!I406</f>
        <v>2800</v>
      </c>
      <c r="O407" s="8">
        <f>'[4]Usulan 2021'!J406</f>
        <v>2800</v>
      </c>
      <c r="P407" s="8">
        <f>'[4]Usulan 2021'!K406</f>
        <v>2800</v>
      </c>
    </row>
    <row r="408" spans="2:16" x14ac:dyDescent="0.2">
      <c r="B408" s="258">
        <f t="shared" si="16"/>
        <v>344</v>
      </c>
      <c r="C408" s="268"/>
      <c r="D408" s="318" t="s">
        <v>88</v>
      </c>
      <c r="E408" s="392"/>
      <c r="F408" s="392"/>
      <c r="G408" s="310" t="s">
        <v>298</v>
      </c>
      <c r="H408" s="311"/>
      <c r="I408" s="312">
        <f t="shared" si="14"/>
        <v>14300</v>
      </c>
      <c r="J408" s="273"/>
      <c r="L408" s="8"/>
      <c r="M408" s="8"/>
      <c r="N408" s="8">
        <f>'[4]Usulan 2021'!I407</f>
        <v>14300</v>
      </c>
      <c r="O408" s="8">
        <f>'[4]Usulan 2021'!J407</f>
        <v>14300</v>
      </c>
      <c r="P408" s="8">
        <f>'[4]Usulan 2021'!K407</f>
        <v>14300</v>
      </c>
    </row>
    <row r="409" spans="2:16" x14ac:dyDescent="0.2">
      <c r="B409" s="258">
        <f t="shared" si="16"/>
        <v>345</v>
      </c>
      <c r="C409" s="268"/>
      <c r="D409" s="394" t="s">
        <v>1476</v>
      </c>
      <c r="E409" s="270"/>
      <c r="F409" s="270"/>
      <c r="G409" s="310" t="s">
        <v>268</v>
      </c>
      <c r="H409" s="311"/>
      <c r="I409" s="312">
        <f t="shared" si="14"/>
        <v>101000</v>
      </c>
      <c r="J409" s="273"/>
      <c r="L409" s="8"/>
      <c r="M409" s="8"/>
      <c r="N409" s="8">
        <f>'[4]Usulan 2021'!I408</f>
        <v>101000</v>
      </c>
      <c r="O409" s="8"/>
      <c r="P409" s="8"/>
    </row>
    <row r="410" spans="2:16" x14ac:dyDescent="0.2">
      <c r="B410" s="258">
        <f t="shared" si="16"/>
        <v>346</v>
      </c>
      <c r="C410" s="268"/>
      <c r="D410" s="358" t="s">
        <v>1477</v>
      </c>
      <c r="E410" s="270"/>
      <c r="F410" s="270"/>
      <c r="G410" s="263" t="s">
        <v>268</v>
      </c>
      <c r="H410" s="311"/>
      <c r="I410" s="312">
        <f t="shared" si="14"/>
        <v>262000</v>
      </c>
      <c r="J410" s="273"/>
      <c r="L410" s="8"/>
      <c r="M410" s="8"/>
      <c r="N410" s="8">
        <f>'[4]Usulan 2021'!I409</f>
        <v>262000</v>
      </c>
      <c r="O410" s="8">
        <f>'[4]Usulan 2021'!J409</f>
        <v>262000</v>
      </c>
      <c r="P410" s="8">
        <f>'[4]Usulan 2021'!K409</f>
        <v>262000</v>
      </c>
    </row>
    <row r="411" spans="2:16" x14ac:dyDescent="0.2">
      <c r="B411" s="258">
        <f t="shared" si="16"/>
        <v>347</v>
      </c>
      <c r="C411" s="268"/>
      <c r="D411" s="358" t="s">
        <v>1478</v>
      </c>
      <c r="E411" s="270"/>
      <c r="F411" s="270"/>
      <c r="G411" s="263" t="s">
        <v>268</v>
      </c>
      <c r="H411" s="311"/>
      <c r="I411" s="312">
        <f t="shared" si="14"/>
        <v>642000</v>
      </c>
      <c r="J411" s="273"/>
      <c r="L411" s="8"/>
      <c r="M411" s="8"/>
      <c r="N411" s="8">
        <f>'[4]Usulan 2021'!I410</f>
        <v>642000</v>
      </c>
      <c r="O411" s="8">
        <f>'[4]Usulan 2021'!J410</f>
        <v>642000</v>
      </c>
      <c r="P411" s="8">
        <f>'[4]Usulan 2021'!K410</f>
        <v>642000</v>
      </c>
    </row>
    <row r="412" spans="2:16" x14ac:dyDescent="0.2">
      <c r="B412" s="258">
        <f t="shared" si="16"/>
        <v>348</v>
      </c>
      <c r="C412" s="268"/>
      <c r="D412" s="318" t="s">
        <v>153</v>
      </c>
      <c r="E412" s="270"/>
      <c r="F412" s="270"/>
      <c r="G412" s="263" t="s">
        <v>247</v>
      </c>
      <c r="H412" s="311"/>
      <c r="I412" s="312">
        <f t="shared" si="14"/>
        <v>409000</v>
      </c>
      <c r="J412" s="273"/>
      <c r="L412" s="8"/>
      <c r="M412" s="8"/>
      <c r="N412" s="8">
        <f>'[4]Usulan 2021'!I411</f>
        <v>409000</v>
      </c>
      <c r="O412" s="8">
        <f>'[4]Usulan 2021'!J411</f>
        <v>409000</v>
      </c>
      <c r="P412" s="8">
        <f>'[4]Usulan 2021'!K411</f>
        <v>409000</v>
      </c>
    </row>
    <row r="413" spans="2:16" x14ac:dyDescent="0.2">
      <c r="B413" s="258">
        <f t="shared" si="16"/>
        <v>349</v>
      </c>
      <c r="C413" s="268"/>
      <c r="D413" s="318" t="s">
        <v>506</v>
      </c>
      <c r="E413" s="270"/>
      <c r="F413" s="279"/>
      <c r="G413" s="310" t="s">
        <v>274</v>
      </c>
      <c r="H413" s="311"/>
      <c r="I413" s="312">
        <f t="shared" si="14"/>
        <v>57000</v>
      </c>
      <c r="J413" s="273"/>
      <c r="L413" s="8"/>
      <c r="M413" s="8"/>
      <c r="N413" s="8">
        <f>'[4]Usulan 2021'!I412</f>
        <v>57000</v>
      </c>
      <c r="O413" s="8">
        <f>'[4]Usulan 2021'!J412</f>
        <v>57000</v>
      </c>
      <c r="P413" s="8">
        <f>'[4]Usulan 2021'!K412</f>
        <v>57000</v>
      </c>
    </row>
    <row r="414" spans="2:16" x14ac:dyDescent="0.2">
      <c r="B414" s="258">
        <f t="shared" si="16"/>
        <v>350</v>
      </c>
      <c r="C414" s="268"/>
      <c r="D414" s="318" t="s">
        <v>507</v>
      </c>
      <c r="E414" s="270"/>
      <c r="F414" s="279"/>
      <c r="G414" s="310" t="s">
        <v>274</v>
      </c>
      <c r="H414" s="311"/>
      <c r="I414" s="312">
        <f t="shared" si="14"/>
        <v>76000</v>
      </c>
      <c r="J414" s="273"/>
      <c r="L414" s="8"/>
      <c r="M414" s="8"/>
      <c r="N414" s="8">
        <f>'[4]Usulan 2021'!I413</f>
        <v>76000</v>
      </c>
      <c r="O414" s="8">
        <f>'[4]Usulan 2021'!J413</f>
        <v>76000</v>
      </c>
      <c r="P414" s="8">
        <f>'[4]Usulan 2021'!K413</f>
        <v>76000</v>
      </c>
    </row>
    <row r="415" spans="2:16" x14ac:dyDescent="0.2">
      <c r="B415" s="258">
        <f t="shared" si="16"/>
        <v>351</v>
      </c>
      <c r="C415" s="268"/>
      <c r="D415" s="318" t="s">
        <v>508</v>
      </c>
      <c r="E415" s="270"/>
      <c r="F415" s="279"/>
      <c r="G415" s="310" t="s">
        <v>274</v>
      </c>
      <c r="H415" s="311"/>
      <c r="I415" s="312">
        <f t="shared" si="14"/>
        <v>81000</v>
      </c>
      <c r="J415" s="273"/>
      <c r="L415" s="8"/>
      <c r="M415" s="8"/>
      <c r="N415" s="8">
        <f>'[4]Usulan 2021'!I414</f>
        <v>81000</v>
      </c>
      <c r="O415" s="8">
        <f>'[4]Usulan 2021'!J414</f>
        <v>81000</v>
      </c>
      <c r="P415" s="8">
        <f>'[4]Usulan 2021'!K414</f>
        <v>81000</v>
      </c>
    </row>
    <row r="416" spans="2:16" x14ac:dyDescent="0.2">
      <c r="B416" s="258">
        <f t="shared" si="16"/>
        <v>352</v>
      </c>
      <c r="C416" s="268"/>
      <c r="D416" s="318" t="s">
        <v>509</v>
      </c>
      <c r="E416" s="270"/>
      <c r="F416" s="279"/>
      <c r="G416" s="310" t="s">
        <v>274</v>
      </c>
      <c r="H416" s="311"/>
      <c r="I416" s="312">
        <f t="shared" si="14"/>
        <v>104000</v>
      </c>
      <c r="J416" s="273"/>
      <c r="L416" s="8"/>
      <c r="M416" s="8"/>
      <c r="N416" s="8">
        <f>'[4]Usulan 2021'!I415</f>
        <v>104000</v>
      </c>
      <c r="O416" s="8">
        <f>'[4]Usulan 2021'!J415</f>
        <v>104000</v>
      </c>
      <c r="P416" s="8">
        <f>'[4]Usulan 2021'!K415</f>
        <v>104000</v>
      </c>
    </row>
    <row r="417" spans="2:16" x14ac:dyDescent="0.2">
      <c r="B417" s="258">
        <f t="shared" si="16"/>
        <v>353</v>
      </c>
      <c r="C417" s="268"/>
      <c r="D417" s="318" t="s">
        <v>510</v>
      </c>
      <c r="E417" s="270"/>
      <c r="F417" s="279"/>
      <c r="G417" s="310" t="s">
        <v>274</v>
      </c>
      <c r="H417" s="311"/>
      <c r="I417" s="312">
        <f t="shared" si="14"/>
        <v>145000</v>
      </c>
      <c r="J417" s="273"/>
      <c r="L417" s="8"/>
      <c r="M417" s="8"/>
      <c r="N417" s="8">
        <f>'[4]Usulan 2021'!I416</f>
        <v>145000</v>
      </c>
      <c r="O417" s="8">
        <f>'[4]Usulan 2021'!J416</f>
        <v>145000</v>
      </c>
      <c r="P417" s="8">
        <f>'[4]Usulan 2021'!K416</f>
        <v>145000</v>
      </c>
    </row>
    <row r="418" spans="2:16" x14ac:dyDescent="0.2">
      <c r="B418" s="258">
        <f t="shared" si="16"/>
        <v>354</v>
      </c>
      <c r="C418" s="268"/>
      <c r="D418" s="318" t="s">
        <v>511</v>
      </c>
      <c r="E418" s="270"/>
      <c r="F418" s="279"/>
      <c r="G418" s="310" t="s">
        <v>274</v>
      </c>
      <c r="H418" s="311"/>
      <c r="I418" s="312">
        <f t="shared" si="14"/>
        <v>175000</v>
      </c>
      <c r="J418" s="273"/>
      <c r="L418" s="8"/>
      <c r="M418" s="8"/>
      <c r="N418" s="8">
        <f>'[4]Usulan 2021'!I417</f>
        <v>175000</v>
      </c>
      <c r="O418" s="8">
        <f>'[4]Usulan 2021'!J417</f>
        <v>175000</v>
      </c>
      <c r="P418" s="8">
        <f>'[4]Usulan 2021'!K417</f>
        <v>175000</v>
      </c>
    </row>
    <row r="419" spans="2:16" x14ac:dyDescent="0.2">
      <c r="B419" s="258">
        <f t="shared" si="16"/>
        <v>355</v>
      </c>
      <c r="C419" s="268"/>
      <c r="D419" s="318" t="s">
        <v>512</v>
      </c>
      <c r="E419" s="270"/>
      <c r="F419" s="279"/>
      <c r="G419" s="310" t="s">
        <v>274</v>
      </c>
      <c r="H419" s="311"/>
      <c r="I419" s="312">
        <f t="shared" si="14"/>
        <v>314000</v>
      </c>
      <c r="J419" s="273"/>
      <c r="L419" s="8"/>
      <c r="M419" s="8"/>
      <c r="N419" s="8">
        <f>'[4]Usulan 2021'!I418</f>
        <v>314000</v>
      </c>
      <c r="O419" s="8">
        <f>'[4]Usulan 2021'!J418</f>
        <v>314000</v>
      </c>
      <c r="P419" s="8">
        <f>'[4]Usulan 2021'!K418</f>
        <v>314000</v>
      </c>
    </row>
    <row r="420" spans="2:16" x14ac:dyDescent="0.2">
      <c r="B420" s="258">
        <f t="shared" si="16"/>
        <v>356</v>
      </c>
      <c r="C420" s="268"/>
      <c r="D420" s="318" t="s">
        <v>513</v>
      </c>
      <c r="E420" s="270"/>
      <c r="F420" s="279"/>
      <c r="G420" s="310" t="s">
        <v>274</v>
      </c>
      <c r="H420" s="311"/>
      <c r="I420" s="312">
        <f t="shared" si="14"/>
        <v>151000</v>
      </c>
      <c r="J420" s="273"/>
      <c r="L420" s="8"/>
      <c r="M420" s="8"/>
      <c r="N420" s="8">
        <f>'[4]Usulan 2021'!I419</f>
        <v>151000</v>
      </c>
      <c r="O420" s="8">
        <f>'[4]Usulan 2021'!J419</f>
        <v>151000</v>
      </c>
      <c r="P420" s="8">
        <f>'[4]Usulan 2021'!K419</f>
        <v>151000</v>
      </c>
    </row>
    <row r="421" spans="2:16" x14ac:dyDescent="0.2">
      <c r="B421" s="258">
        <f t="shared" si="16"/>
        <v>357</v>
      </c>
      <c r="C421" s="268"/>
      <c r="D421" s="318" t="s">
        <v>514</v>
      </c>
      <c r="E421" s="270"/>
      <c r="F421" s="279"/>
      <c r="G421" s="310" t="s">
        <v>274</v>
      </c>
      <c r="H421" s="311"/>
      <c r="I421" s="312">
        <f t="shared" si="14"/>
        <v>175000</v>
      </c>
      <c r="J421" s="273"/>
      <c r="L421" s="8"/>
      <c r="M421" s="8"/>
      <c r="N421" s="8">
        <f>'[4]Usulan 2021'!I420</f>
        <v>175000</v>
      </c>
      <c r="O421" s="8">
        <f>'[4]Usulan 2021'!J420</f>
        <v>175000</v>
      </c>
      <c r="P421" s="8">
        <f>'[4]Usulan 2021'!K420</f>
        <v>175000</v>
      </c>
    </row>
    <row r="422" spans="2:16" x14ac:dyDescent="0.2">
      <c r="B422" s="258">
        <f t="shared" si="16"/>
        <v>358</v>
      </c>
      <c r="C422" s="268"/>
      <c r="D422" s="318" t="s">
        <v>515</v>
      </c>
      <c r="E422" s="270"/>
      <c r="F422" s="279"/>
      <c r="G422" s="310" t="s">
        <v>274</v>
      </c>
      <c r="H422" s="311"/>
      <c r="I422" s="312">
        <f t="shared" si="14"/>
        <v>262000</v>
      </c>
      <c r="J422" s="273"/>
      <c r="L422" s="8"/>
      <c r="M422" s="8"/>
      <c r="N422" s="8">
        <f>'[4]Usulan 2021'!I421</f>
        <v>262000</v>
      </c>
      <c r="O422" s="8">
        <f>'[4]Usulan 2021'!J421</f>
        <v>262000</v>
      </c>
      <c r="P422" s="8">
        <f>'[4]Usulan 2021'!K421</f>
        <v>262000</v>
      </c>
    </row>
    <row r="423" spans="2:16" x14ac:dyDescent="0.2">
      <c r="B423" s="258">
        <f t="shared" si="16"/>
        <v>359</v>
      </c>
      <c r="C423" s="268"/>
      <c r="D423" s="318" t="s">
        <v>516</v>
      </c>
      <c r="E423" s="270"/>
      <c r="F423" s="279"/>
      <c r="G423" s="310" t="s">
        <v>274</v>
      </c>
      <c r="H423" s="311"/>
      <c r="I423" s="312">
        <f t="shared" si="14"/>
        <v>333000</v>
      </c>
      <c r="J423" s="273"/>
      <c r="L423" s="8"/>
      <c r="M423" s="8"/>
      <c r="N423" s="8">
        <f>'[4]Usulan 2021'!I422</f>
        <v>333000</v>
      </c>
      <c r="O423" s="8">
        <f>'[4]Usulan 2021'!J422</f>
        <v>333000</v>
      </c>
      <c r="P423" s="8">
        <f>'[4]Usulan 2021'!K422</f>
        <v>333000</v>
      </c>
    </row>
    <row r="424" spans="2:16" x14ac:dyDescent="0.2">
      <c r="B424" s="258">
        <f t="shared" si="16"/>
        <v>360</v>
      </c>
      <c r="C424" s="268"/>
      <c r="D424" s="318" t="s">
        <v>517</v>
      </c>
      <c r="E424" s="270"/>
      <c r="F424" s="279"/>
      <c r="G424" s="310" t="s">
        <v>274</v>
      </c>
      <c r="H424" s="311"/>
      <c r="I424" s="312">
        <f t="shared" si="14"/>
        <v>525000</v>
      </c>
      <c r="J424" s="273"/>
      <c r="L424" s="8"/>
      <c r="M424" s="8"/>
      <c r="N424" s="8">
        <f>'[4]Usulan 2021'!I423</f>
        <v>525000</v>
      </c>
      <c r="O424" s="8">
        <f>'[4]Usulan 2021'!J423</f>
        <v>525000</v>
      </c>
      <c r="P424" s="8">
        <f>'[4]Usulan 2021'!K423</f>
        <v>525000</v>
      </c>
    </row>
    <row r="425" spans="2:16" x14ac:dyDescent="0.2">
      <c r="B425" s="258">
        <f t="shared" si="16"/>
        <v>361</v>
      </c>
      <c r="C425" s="268"/>
      <c r="D425" s="318" t="s">
        <v>518</v>
      </c>
      <c r="E425" s="270"/>
      <c r="F425" s="279"/>
      <c r="G425" s="310" t="s">
        <v>274</v>
      </c>
      <c r="H425" s="311"/>
      <c r="I425" s="312">
        <f t="shared" si="14"/>
        <v>642000</v>
      </c>
      <c r="J425" s="273"/>
      <c r="L425" s="8"/>
      <c r="M425" s="8"/>
      <c r="N425" s="8">
        <f>'[4]Usulan 2021'!I424</f>
        <v>642000</v>
      </c>
      <c r="O425" s="8">
        <f>'[4]Usulan 2021'!J424</f>
        <v>642000</v>
      </c>
      <c r="P425" s="8">
        <f>'[4]Usulan 2021'!K424</f>
        <v>642000</v>
      </c>
    </row>
    <row r="426" spans="2:16" x14ac:dyDescent="0.2">
      <c r="B426" s="258">
        <f t="shared" si="16"/>
        <v>362</v>
      </c>
      <c r="C426" s="268"/>
      <c r="D426" s="318" t="s">
        <v>519</v>
      </c>
      <c r="E426" s="270"/>
      <c r="F426" s="279"/>
      <c r="G426" s="310" t="s">
        <v>274</v>
      </c>
      <c r="H426" s="311"/>
      <c r="I426" s="312">
        <f t="shared" si="14"/>
        <v>759000</v>
      </c>
      <c r="J426" s="273"/>
      <c r="L426" s="8"/>
      <c r="M426" s="8"/>
      <c r="N426" s="8">
        <f>'[4]Usulan 2021'!I425</f>
        <v>759000</v>
      </c>
      <c r="O426" s="8">
        <f>'[4]Usulan 2021'!J425</f>
        <v>759000</v>
      </c>
      <c r="P426" s="8">
        <f>'[4]Usulan 2021'!K425</f>
        <v>759000</v>
      </c>
    </row>
    <row r="427" spans="2:16" x14ac:dyDescent="0.2">
      <c r="B427" s="258">
        <f t="shared" si="16"/>
        <v>363</v>
      </c>
      <c r="C427" s="268"/>
      <c r="D427" s="318" t="s">
        <v>570</v>
      </c>
      <c r="E427" s="270"/>
      <c r="F427" s="279"/>
      <c r="G427" s="310" t="s">
        <v>274</v>
      </c>
      <c r="H427" s="311"/>
      <c r="I427" s="312">
        <f t="shared" si="14"/>
        <v>525000</v>
      </c>
      <c r="J427" s="273"/>
      <c r="L427" s="8"/>
      <c r="M427" s="8"/>
      <c r="N427" s="8">
        <f>'[4]Usulan 2021'!I426</f>
        <v>525000</v>
      </c>
      <c r="O427" s="8">
        <f>'[4]Usulan 2021'!J426</f>
        <v>525000</v>
      </c>
      <c r="P427" s="8">
        <f>'[4]Usulan 2021'!K426</f>
        <v>525000</v>
      </c>
    </row>
    <row r="428" spans="2:16" x14ac:dyDescent="0.2">
      <c r="B428" s="258">
        <f t="shared" si="16"/>
        <v>364</v>
      </c>
      <c r="C428" s="268"/>
      <c r="D428" s="318" t="s">
        <v>520</v>
      </c>
      <c r="E428" s="270"/>
      <c r="F428" s="279"/>
      <c r="G428" s="310" t="s">
        <v>274</v>
      </c>
      <c r="H428" s="311"/>
      <c r="I428" s="312">
        <f t="shared" si="14"/>
        <v>642000</v>
      </c>
      <c r="J428" s="273"/>
      <c r="L428" s="8"/>
      <c r="M428" s="8"/>
      <c r="N428" s="8">
        <f>'[4]Usulan 2021'!I427</f>
        <v>642000</v>
      </c>
      <c r="O428" s="8">
        <f>'[4]Usulan 2021'!J427</f>
        <v>642000</v>
      </c>
      <c r="P428" s="8">
        <f>'[4]Usulan 2021'!K427</f>
        <v>642000</v>
      </c>
    </row>
    <row r="429" spans="2:16" x14ac:dyDescent="0.2">
      <c r="B429" s="258">
        <f t="shared" si="16"/>
        <v>365</v>
      </c>
      <c r="C429" s="268"/>
      <c r="D429" s="318" t="s">
        <v>521</v>
      </c>
      <c r="E429" s="270"/>
      <c r="F429" s="279"/>
      <c r="G429" s="310" t="s">
        <v>274</v>
      </c>
      <c r="H429" s="311"/>
      <c r="I429" s="312">
        <f t="shared" si="14"/>
        <v>818000</v>
      </c>
      <c r="J429" s="273"/>
      <c r="L429" s="8"/>
      <c r="M429" s="8"/>
      <c r="N429" s="8">
        <f>'[4]Usulan 2021'!I428</f>
        <v>818000</v>
      </c>
      <c r="O429" s="8">
        <f>'[4]Usulan 2021'!J428</f>
        <v>818000</v>
      </c>
      <c r="P429" s="8">
        <f>'[4]Usulan 2021'!K428</f>
        <v>818000</v>
      </c>
    </row>
    <row r="430" spans="2:16" x14ac:dyDescent="0.2">
      <c r="B430" s="258">
        <f t="shared" si="16"/>
        <v>366</v>
      </c>
      <c r="C430" s="268"/>
      <c r="D430" s="318" t="s">
        <v>689</v>
      </c>
      <c r="E430" s="270"/>
      <c r="F430" s="279"/>
      <c r="G430" s="310" t="s">
        <v>274</v>
      </c>
      <c r="H430" s="311"/>
      <c r="I430" s="312">
        <f t="shared" si="14"/>
        <v>24800</v>
      </c>
      <c r="J430" s="273"/>
      <c r="L430" s="8"/>
      <c r="M430" s="8"/>
      <c r="N430" s="8">
        <f>'[4]Usulan 2021'!I429</f>
        <v>24800</v>
      </c>
      <c r="O430" s="8">
        <f>'[4]Usulan 2021'!J429</f>
        <v>24800</v>
      </c>
      <c r="P430" s="8">
        <f>'[4]Usulan 2021'!K429</f>
        <v>24800</v>
      </c>
    </row>
    <row r="431" spans="2:16" x14ac:dyDescent="0.2">
      <c r="B431" s="258">
        <f t="shared" si="16"/>
        <v>367</v>
      </c>
      <c r="C431" s="268"/>
      <c r="D431" s="318" t="s">
        <v>690</v>
      </c>
      <c r="E431" s="270"/>
      <c r="F431" s="279"/>
      <c r="G431" s="310" t="s">
        <v>274</v>
      </c>
      <c r="H431" s="311"/>
      <c r="I431" s="312">
        <f t="shared" si="14"/>
        <v>29000</v>
      </c>
      <c r="J431" s="273"/>
      <c r="L431" s="8"/>
      <c r="M431" s="8"/>
      <c r="N431" s="342">
        <f>'[4]Usulan 2021'!I430</f>
        <v>29000</v>
      </c>
      <c r="O431" s="342">
        <f>'[4]Usulan 2021'!J430</f>
        <v>29000</v>
      </c>
      <c r="P431" s="342">
        <f>'[4]Usulan 2021'!K430</f>
        <v>29000</v>
      </c>
    </row>
    <row r="432" spans="2:16" x14ac:dyDescent="0.2">
      <c r="B432" s="258">
        <f t="shared" si="16"/>
        <v>368</v>
      </c>
      <c r="C432" s="268"/>
      <c r="D432" s="318" t="s">
        <v>522</v>
      </c>
      <c r="E432" s="270"/>
      <c r="F432" s="279"/>
      <c r="G432" s="310" t="s">
        <v>274</v>
      </c>
      <c r="H432" s="311"/>
      <c r="I432" s="312">
        <f t="shared" si="14"/>
        <v>37400</v>
      </c>
      <c r="J432" s="273"/>
      <c r="L432" s="8"/>
      <c r="M432" s="8"/>
      <c r="N432" s="8">
        <f>'[4]Usulan 2021'!I431</f>
        <v>37400</v>
      </c>
      <c r="O432" s="8">
        <f>'[4]Usulan 2021'!J431</f>
        <v>37400</v>
      </c>
      <c r="P432" s="8">
        <f>'[4]Usulan 2021'!K431</f>
        <v>37400</v>
      </c>
    </row>
    <row r="433" spans="2:16" x14ac:dyDescent="0.2">
      <c r="B433" s="258">
        <f t="shared" si="16"/>
        <v>369</v>
      </c>
      <c r="C433" s="268"/>
      <c r="D433" s="318" t="s">
        <v>523</v>
      </c>
      <c r="E433" s="270"/>
      <c r="F433" s="279"/>
      <c r="G433" s="310" t="s">
        <v>274</v>
      </c>
      <c r="H433" s="311"/>
      <c r="I433" s="312">
        <f t="shared" si="14"/>
        <v>77900</v>
      </c>
      <c r="J433" s="273"/>
      <c r="L433" s="8"/>
      <c r="M433" s="8"/>
      <c r="N433" s="8">
        <f>'[4]Usulan 2021'!I432</f>
        <v>77900</v>
      </c>
      <c r="O433" s="8">
        <f>'[4]Usulan 2021'!J432</f>
        <v>77900</v>
      </c>
      <c r="P433" s="8">
        <f>'[4]Usulan 2021'!K432</f>
        <v>77900</v>
      </c>
    </row>
    <row r="434" spans="2:16" s="326" customFormat="1" x14ac:dyDescent="0.2">
      <c r="B434" s="258">
        <f t="shared" si="16"/>
        <v>370</v>
      </c>
      <c r="C434" s="323"/>
      <c r="D434" s="400" t="s">
        <v>524</v>
      </c>
      <c r="E434" s="383"/>
      <c r="F434" s="384"/>
      <c r="G434" s="401" t="s">
        <v>274</v>
      </c>
      <c r="H434" s="324"/>
      <c r="I434" s="312">
        <f t="shared" si="14"/>
        <v>125000</v>
      </c>
      <c r="J434" s="325"/>
      <c r="L434" s="327"/>
      <c r="M434" s="327"/>
      <c r="N434" s="312">
        <v>125000</v>
      </c>
      <c r="O434" s="312">
        <v>125000</v>
      </c>
      <c r="P434" s="312">
        <v>125000</v>
      </c>
    </row>
    <row r="435" spans="2:16" x14ac:dyDescent="0.2">
      <c r="B435" s="258">
        <f t="shared" si="16"/>
        <v>371</v>
      </c>
      <c r="C435" s="268"/>
      <c r="D435" s="318" t="s">
        <v>837</v>
      </c>
      <c r="E435" s="270"/>
      <c r="F435" s="279"/>
      <c r="G435" s="310" t="s">
        <v>274</v>
      </c>
      <c r="H435" s="311"/>
      <c r="I435" s="312">
        <f t="shared" si="14"/>
        <v>159000</v>
      </c>
      <c r="J435" s="273"/>
      <c r="L435" s="8"/>
      <c r="M435" s="8"/>
      <c r="N435" s="8">
        <f>'[4]Usulan 2021'!I434</f>
        <v>159000</v>
      </c>
      <c r="O435" s="8">
        <f>'[4]Usulan 2021'!J434</f>
        <v>159000</v>
      </c>
      <c r="P435" s="8">
        <f>'[4]Usulan 2021'!K434</f>
        <v>159000</v>
      </c>
    </row>
    <row r="436" spans="2:16" x14ac:dyDescent="0.2">
      <c r="B436" s="258">
        <f t="shared" si="16"/>
        <v>372</v>
      </c>
      <c r="C436" s="268"/>
      <c r="D436" s="318" t="s">
        <v>525</v>
      </c>
      <c r="E436" s="270"/>
      <c r="F436" s="279"/>
      <c r="G436" s="310" t="s">
        <v>274</v>
      </c>
      <c r="H436" s="311"/>
      <c r="I436" s="312">
        <f t="shared" si="14"/>
        <v>182000</v>
      </c>
      <c r="J436" s="273"/>
      <c r="L436" s="8"/>
      <c r="M436" s="8"/>
      <c r="N436" s="8">
        <f>'[4]Usulan 2021'!I435</f>
        <v>182000</v>
      </c>
      <c r="O436" s="8">
        <f>'[4]Usulan 2021'!J435</f>
        <v>182000</v>
      </c>
      <c r="P436" s="8">
        <f>'[4]Usulan 2021'!K435</f>
        <v>182000</v>
      </c>
    </row>
    <row r="437" spans="2:16" x14ac:dyDescent="0.2">
      <c r="B437" s="258">
        <f t="shared" si="16"/>
        <v>373</v>
      </c>
      <c r="C437" s="268"/>
      <c r="D437" s="318" t="s">
        <v>443</v>
      </c>
      <c r="E437" s="270"/>
      <c r="F437" s="279"/>
      <c r="G437" s="310" t="s">
        <v>274</v>
      </c>
      <c r="H437" s="311"/>
      <c r="I437" s="312">
        <f t="shared" si="14"/>
        <v>308000</v>
      </c>
      <c r="J437" s="273"/>
      <c r="L437" s="8"/>
      <c r="M437" s="8"/>
      <c r="N437" s="342">
        <f>'[4]Usulan 2021'!I436</f>
        <v>308000</v>
      </c>
      <c r="O437" s="342">
        <f>'[4]Usulan 2021'!J436</f>
        <v>308000</v>
      </c>
      <c r="P437" s="342">
        <f>'[4]Usulan 2021'!K436</f>
        <v>308000</v>
      </c>
    </row>
    <row r="438" spans="2:16" x14ac:dyDescent="0.2">
      <c r="B438" s="258">
        <f t="shared" si="16"/>
        <v>374</v>
      </c>
      <c r="C438" s="268"/>
      <c r="D438" s="318" t="s">
        <v>526</v>
      </c>
      <c r="E438" s="270"/>
      <c r="F438" s="279"/>
      <c r="G438" s="310" t="s">
        <v>274</v>
      </c>
      <c r="H438" s="311"/>
      <c r="I438" s="312">
        <f t="shared" si="14"/>
        <v>521000</v>
      </c>
      <c r="J438" s="273"/>
      <c r="L438" s="8"/>
      <c r="M438" s="8"/>
      <c r="N438" s="8">
        <f>'[4]Usulan 2021'!I437</f>
        <v>521000</v>
      </c>
      <c r="O438" s="8">
        <f>'[4]Usulan 2021'!J437</f>
        <v>521000</v>
      </c>
      <c r="P438" s="8">
        <f>'[4]Usulan 2021'!K437</f>
        <v>521000</v>
      </c>
    </row>
    <row r="439" spans="2:16" x14ac:dyDescent="0.2">
      <c r="B439" s="258">
        <f t="shared" si="16"/>
        <v>375</v>
      </c>
      <c r="C439" s="268"/>
      <c r="D439" s="318" t="s">
        <v>527</v>
      </c>
      <c r="E439" s="270"/>
      <c r="F439" s="279"/>
      <c r="G439" s="310" t="s">
        <v>274</v>
      </c>
      <c r="H439" s="311"/>
      <c r="I439" s="312">
        <f t="shared" si="14"/>
        <v>808000</v>
      </c>
      <c r="J439" s="273"/>
      <c r="L439" s="8"/>
      <c r="M439" s="8"/>
      <c r="N439" s="8">
        <f>'[4]Usulan 2021'!I438</f>
        <v>808000</v>
      </c>
      <c r="O439" s="8">
        <f>'[4]Usulan 2021'!J438</f>
        <v>808000</v>
      </c>
      <c r="P439" s="8">
        <f>'[4]Usulan 2021'!K438</f>
        <v>808000</v>
      </c>
    </row>
    <row r="440" spans="2:16" x14ac:dyDescent="0.2">
      <c r="B440" s="258">
        <f t="shared" si="16"/>
        <v>376</v>
      </c>
      <c r="C440" s="259"/>
      <c r="D440" s="354" t="s">
        <v>635</v>
      </c>
      <c r="E440" s="261"/>
      <c r="F440" s="279"/>
      <c r="G440" s="310" t="s">
        <v>274</v>
      </c>
      <c r="H440" s="264"/>
      <c r="I440" s="312">
        <f t="shared" si="14"/>
        <v>108000</v>
      </c>
      <c r="J440" s="273"/>
      <c r="L440" s="8"/>
      <c r="M440" s="8"/>
      <c r="N440" s="8">
        <f>'[4]Usulan 2021'!I439</f>
        <v>108000</v>
      </c>
      <c r="O440" s="8">
        <f>'[4]Usulan 2021'!J439</f>
        <v>108000</v>
      </c>
      <c r="P440" s="8">
        <f>'[4]Usulan 2021'!K439</f>
        <v>108000</v>
      </c>
    </row>
    <row r="441" spans="2:16" x14ac:dyDescent="0.2">
      <c r="B441" s="258">
        <f t="shared" si="16"/>
        <v>377</v>
      </c>
      <c r="C441" s="259"/>
      <c r="D441" s="354" t="s">
        <v>740</v>
      </c>
      <c r="E441" s="261"/>
      <c r="F441" s="279"/>
      <c r="G441" s="310" t="s">
        <v>274</v>
      </c>
      <c r="H441" s="264"/>
      <c r="I441" s="312">
        <f t="shared" si="14"/>
        <v>165000</v>
      </c>
      <c r="J441" s="273"/>
      <c r="L441" s="8"/>
      <c r="M441" s="8"/>
      <c r="N441" s="342">
        <f>'[4]Usulan 2021'!I440</f>
        <v>165000</v>
      </c>
      <c r="O441" s="342">
        <f>'[4]Usulan 2021'!J440</f>
        <v>165000</v>
      </c>
      <c r="P441" s="342">
        <f>'[4]Usulan 2021'!K440</f>
        <v>165000</v>
      </c>
    </row>
    <row r="442" spans="2:16" x14ac:dyDescent="0.2">
      <c r="B442" s="258">
        <f t="shared" si="16"/>
        <v>378</v>
      </c>
      <c r="C442" s="259"/>
      <c r="D442" s="354" t="s">
        <v>642</v>
      </c>
      <c r="E442" s="261"/>
      <c r="F442" s="279"/>
      <c r="G442" s="310" t="s">
        <v>274</v>
      </c>
      <c r="H442" s="264"/>
      <c r="I442" s="312">
        <f t="shared" si="14"/>
        <v>136000</v>
      </c>
      <c r="J442" s="273"/>
      <c r="L442" s="8"/>
      <c r="M442" s="8"/>
      <c r="N442" s="8">
        <f>'[4]Usulan 2021'!I441</f>
        <v>136000</v>
      </c>
      <c r="O442" s="8">
        <f>'[4]Usulan 2021'!J441</f>
        <v>136000</v>
      </c>
      <c r="P442" s="8">
        <f>'[4]Usulan 2021'!K441</f>
        <v>136000</v>
      </c>
    </row>
    <row r="443" spans="2:16" x14ac:dyDescent="0.2">
      <c r="B443" s="258">
        <f t="shared" si="16"/>
        <v>379</v>
      </c>
      <c r="C443" s="259"/>
      <c r="D443" s="354" t="s">
        <v>643</v>
      </c>
      <c r="E443" s="261"/>
      <c r="F443" s="279"/>
      <c r="G443" s="310" t="s">
        <v>274</v>
      </c>
      <c r="H443" s="264"/>
      <c r="I443" s="312">
        <f t="shared" si="14"/>
        <v>411000</v>
      </c>
      <c r="J443" s="273"/>
      <c r="L443" s="8"/>
      <c r="M443" s="8"/>
      <c r="N443" s="8">
        <f>'[4]Usulan 2021'!I442</f>
        <v>411000</v>
      </c>
      <c r="O443" s="8">
        <f>'[4]Usulan 2021'!J442</f>
        <v>411000</v>
      </c>
      <c r="P443" s="8">
        <f>'[4]Usulan 2021'!K442</f>
        <v>411000</v>
      </c>
    </row>
    <row r="444" spans="2:16" x14ac:dyDescent="0.2">
      <c r="B444" s="258">
        <f t="shared" si="16"/>
        <v>380</v>
      </c>
      <c r="C444" s="259"/>
      <c r="D444" s="318" t="s">
        <v>1459</v>
      </c>
      <c r="E444" s="270"/>
      <c r="F444" s="270"/>
      <c r="G444" s="310" t="s">
        <v>274</v>
      </c>
      <c r="H444" s="311"/>
      <c r="I444" s="312">
        <f t="shared" si="14"/>
        <v>231000</v>
      </c>
      <c r="J444" s="273"/>
      <c r="L444" s="8"/>
      <c r="M444" s="8"/>
      <c r="N444" s="8">
        <f>'[4]Usulan 2021'!I443</f>
        <v>231000</v>
      </c>
      <c r="O444" s="8"/>
      <c r="P444" s="8"/>
    </row>
    <row r="445" spans="2:16" x14ac:dyDescent="0.2">
      <c r="B445" s="258">
        <f t="shared" si="16"/>
        <v>381</v>
      </c>
      <c r="C445" s="268"/>
      <c r="D445" s="318" t="s">
        <v>380</v>
      </c>
      <c r="E445" s="270"/>
      <c r="F445" s="279"/>
      <c r="G445" s="310" t="s">
        <v>298</v>
      </c>
      <c r="H445" s="311"/>
      <c r="I445" s="312">
        <f t="shared" si="14"/>
        <v>20000</v>
      </c>
      <c r="J445" s="273"/>
      <c r="L445" s="8"/>
      <c r="M445" s="8"/>
      <c r="N445" s="8">
        <f>'[4]Usulan 2021'!I444</f>
        <v>20000</v>
      </c>
      <c r="O445" s="8">
        <f>'[4]Usulan 2021'!J444</f>
        <v>20000</v>
      </c>
      <c r="P445" s="8">
        <f>'[4]Usulan 2021'!K444</f>
        <v>20000</v>
      </c>
    </row>
    <row r="446" spans="2:16" x14ac:dyDescent="0.2">
      <c r="B446" s="258">
        <f t="shared" si="16"/>
        <v>382</v>
      </c>
      <c r="C446" s="268"/>
      <c r="D446" s="318" t="s">
        <v>705</v>
      </c>
      <c r="E446" s="270"/>
      <c r="F446" s="279"/>
      <c r="G446" s="310" t="s">
        <v>268</v>
      </c>
      <c r="H446" s="311"/>
      <c r="I446" s="312">
        <f t="shared" si="14"/>
        <v>14000</v>
      </c>
      <c r="J446" s="273"/>
      <c r="L446" s="8"/>
      <c r="M446" s="8"/>
      <c r="N446" s="8">
        <f>'[4]Usulan 2021'!I445</f>
        <v>14000</v>
      </c>
      <c r="O446" s="8">
        <f>'[4]Usulan 2021'!J445</f>
        <v>14000</v>
      </c>
      <c r="P446" s="8">
        <f>'[4]Usulan 2021'!K445</f>
        <v>14000</v>
      </c>
    </row>
    <row r="447" spans="2:16" x14ac:dyDescent="0.2">
      <c r="B447" s="258">
        <f t="shared" si="16"/>
        <v>383</v>
      </c>
      <c r="C447" s="268"/>
      <c r="D447" s="318" t="s">
        <v>528</v>
      </c>
      <c r="E447" s="270"/>
      <c r="F447" s="279"/>
      <c r="G447" s="310" t="s">
        <v>268</v>
      </c>
      <c r="H447" s="311"/>
      <c r="I447" s="312">
        <f t="shared" ref="I447:I498" si="17">N447</f>
        <v>23000</v>
      </c>
      <c r="J447" s="273"/>
      <c r="L447" s="8"/>
      <c r="M447" s="8"/>
      <c r="N447" s="8">
        <f>'[4]Usulan 2021'!I446</f>
        <v>23000</v>
      </c>
      <c r="O447" s="8">
        <f>'[4]Usulan 2021'!J446</f>
        <v>23000</v>
      </c>
      <c r="P447" s="8">
        <f>'[4]Usulan 2021'!K446</f>
        <v>23000</v>
      </c>
    </row>
    <row r="448" spans="2:16" x14ac:dyDescent="0.2">
      <c r="B448" s="258">
        <f t="shared" si="16"/>
        <v>384</v>
      </c>
      <c r="C448" s="268"/>
      <c r="D448" s="318" t="s">
        <v>529</v>
      </c>
      <c r="E448" s="270"/>
      <c r="F448" s="279"/>
      <c r="G448" s="310" t="s">
        <v>268</v>
      </c>
      <c r="H448" s="311"/>
      <c r="I448" s="312">
        <f t="shared" si="17"/>
        <v>29000</v>
      </c>
      <c r="J448" s="273"/>
      <c r="L448" s="8"/>
      <c r="M448" s="8"/>
      <c r="N448" s="8">
        <f>'[4]Usulan 2021'!I447</f>
        <v>29000</v>
      </c>
      <c r="O448" s="8">
        <f>'[4]Usulan 2021'!J447</f>
        <v>29000</v>
      </c>
      <c r="P448" s="8">
        <f>'[4]Usulan 2021'!K447</f>
        <v>29000</v>
      </c>
    </row>
    <row r="449" spans="2:16" x14ac:dyDescent="0.2">
      <c r="B449" s="258">
        <f t="shared" si="16"/>
        <v>385</v>
      </c>
      <c r="C449" s="268"/>
      <c r="D449" s="318" t="s">
        <v>925</v>
      </c>
      <c r="E449" s="270"/>
      <c r="F449" s="279"/>
      <c r="G449" s="310" t="s">
        <v>268</v>
      </c>
      <c r="H449" s="311"/>
      <c r="I449" s="312">
        <f t="shared" si="17"/>
        <v>35000</v>
      </c>
      <c r="J449" s="273"/>
      <c r="L449" s="8"/>
      <c r="M449" s="8"/>
      <c r="N449" s="8">
        <f>'[4]Usulan 2021'!I448</f>
        <v>35000</v>
      </c>
      <c r="O449" s="8">
        <f>'[4]Usulan 2021'!J448</f>
        <v>35000</v>
      </c>
      <c r="P449" s="8">
        <f>'[4]Usulan 2021'!K448</f>
        <v>35000</v>
      </c>
    </row>
    <row r="450" spans="2:16" x14ac:dyDescent="0.2">
      <c r="B450" s="258">
        <f t="shared" si="16"/>
        <v>386</v>
      </c>
      <c r="C450" s="268"/>
      <c r="D450" s="318" t="s">
        <v>1441</v>
      </c>
      <c r="E450" s="270"/>
      <c r="F450" s="270"/>
      <c r="G450" s="310" t="s">
        <v>268</v>
      </c>
      <c r="H450" s="311"/>
      <c r="I450" s="312">
        <f t="shared" si="17"/>
        <v>3000</v>
      </c>
      <c r="J450" s="273"/>
      <c r="L450" s="8"/>
      <c r="M450" s="8"/>
      <c r="N450" s="8">
        <f>'[4]Usulan 2021'!I449</f>
        <v>3000</v>
      </c>
      <c r="O450" s="8"/>
      <c r="P450" s="8"/>
    </row>
    <row r="451" spans="2:16" x14ac:dyDescent="0.2">
      <c r="B451" s="258">
        <f t="shared" si="16"/>
        <v>387</v>
      </c>
      <c r="C451" s="268"/>
      <c r="D451" s="318" t="s">
        <v>205</v>
      </c>
      <c r="E451" s="270"/>
      <c r="F451" s="279"/>
      <c r="G451" s="310" t="s">
        <v>268</v>
      </c>
      <c r="H451" s="311"/>
      <c r="I451" s="312">
        <f t="shared" si="17"/>
        <v>3600</v>
      </c>
      <c r="J451" s="273"/>
      <c r="L451" s="8"/>
      <c r="M451" s="8"/>
      <c r="N451" s="8">
        <f>'[4]Usulan 2021'!I450</f>
        <v>3600</v>
      </c>
      <c r="O451" s="8">
        <f>'[4]Usulan 2021'!J450</f>
        <v>3600</v>
      </c>
      <c r="P451" s="8">
        <f>'[4]Usulan 2021'!K450</f>
        <v>3600</v>
      </c>
    </row>
    <row r="452" spans="2:16" x14ac:dyDescent="0.2">
      <c r="B452" s="258">
        <f t="shared" si="16"/>
        <v>388</v>
      </c>
      <c r="C452" s="268"/>
      <c r="D452" s="318" t="s">
        <v>204</v>
      </c>
      <c r="E452" s="402"/>
      <c r="F452" s="403"/>
      <c r="G452" s="404" t="s">
        <v>268</v>
      </c>
      <c r="H452" s="405"/>
      <c r="I452" s="312">
        <f t="shared" si="17"/>
        <v>5200</v>
      </c>
      <c r="J452" s="273"/>
      <c r="L452" s="8"/>
      <c r="M452" s="8"/>
      <c r="N452" s="8">
        <f>'[4]Usulan 2021'!I451</f>
        <v>5200</v>
      </c>
      <c r="O452" s="8">
        <f>'[4]Usulan 2021'!J451</f>
        <v>5200</v>
      </c>
      <c r="P452" s="8">
        <f>'[4]Usulan 2021'!K451</f>
        <v>5200</v>
      </c>
    </row>
    <row r="453" spans="2:16" x14ac:dyDescent="0.2">
      <c r="B453" s="258">
        <f t="shared" si="16"/>
        <v>389</v>
      </c>
      <c r="C453" s="268"/>
      <c r="D453" s="319" t="s">
        <v>810</v>
      </c>
      <c r="E453" s="315"/>
      <c r="F453" s="279"/>
      <c r="G453" s="310" t="s">
        <v>247</v>
      </c>
      <c r="H453" s="311"/>
      <c r="I453" s="312">
        <f t="shared" si="17"/>
        <v>5700</v>
      </c>
      <c r="J453" s="273"/>
      <c r="L453" s="8"/>
      <c r="M453" s="8"/>
      <c r="N453" s="8">
        <f>'[4]Usulan 2021'!I452</f>
        <v>5700</v>
      </c>
      <c r="O453" s="8">
        <f>'[4]Usulan 2021'!J452</f>
        <v>5700</v>
      </c>
      <c r="P453" s="8">
        <f>'[4]Usulan 2021'!K452</f>
        <v>5700</v>
      </c>
    </row>
    <row r="454" spans="2:16" x14ac:dyDescent="0.2">
      <c r="B454" s="258">
        <f t="shared" si="16"/>
        <v>390</v>
      </c>
      <c r="C454" s="268"/>
      <c r="D454" s="319" t="s">
        <v>154</v>
      </c>
      <c r="E454" s="406"/>
      <c r="F454" s="403"/>
      <c r="G454" s="404" t="s">
        <v>247</v>
      </c>
      <c r="H454" s="405"/>
      <c r="I454" s="312">
        <f t="shared" si="17"/>
        <v>6500</v>
      </c>
      <c r="J454" s="273"/>
      <c r="L454" s="8"/>
      <c r="M454" s="8"/>
      <c r="N454" s="8">
        <f>'[4]Usulan 2021'!I453</f>
        <v>6500</v>
      </c>
      <c r="O454" s="8">
        <f>'[4]Usulan 2021'!J453</f>
        <v>6500</v>
      </c>
      <c r="P454" s="8">
        <f>'[4]Usulan 2021'!K453</f>
        <v>6500</v>
      </c>
    </row>
    <row r="455" spans="2:16" x14ac:dyDescent="0.2">
      <c r="B455" s="258">
        <f t="shared" si="16"/>
        <v>391</v>
      </c>
      <c r="C455" s="268"/>
      <c r="D455" s="319" t="s">
        <v>155</v>
      </c>
      <c r="E455" s="315"/>
      <c r="F455" s="279"/>
      <c r="G455" s="310" t="s">
        <v>247</v>
      </c>
      <c r="H455" s="311"/>
      <c r="I455" s="312">
        <f t="shared" si="17"/>
        <v>7500</v>
      </c>
      <c r="J455" s="273"/>
      <c r="L455" s="8"/>
      <c r="M455" s="8"/>
      <c r="N455" s="8">
        <f>'[4]Usulan 2021'!I454</f>
        <v>7500</v>
      </c>
      <c r="O455" s="8">
        <f>'[4]Usulan 2021'!J454</f>
        <v>7500</v>
      </c>
      <c r="P455" s="8">
        <f>'[4]Usulan 2021'!K454</f>
        <v>7500</v>
      </c>
    </row>
    <row r="456" spans="2:16" x14ac:dyDescent="0.2">
      <c r="B456" s="258">
        <f>B455+1</f>
        <v>392</v>
      </c>
      <c r="C456" s="268"/>
      <c r="D456" s="318" t="s">
        <v>530</v>
      </c>
      <c r="E456" s="270"/>
      <c r="F456" s="279"/>
      <c r="G456" s="310" t="s">
        <v>268</v>
      </c>
      <c r="H456" s="311"/>
      <c r="I456" s="312">
        <f t="shared" si="17"/>
        <v>6900</v>
      </c>
      <c r="J456" s="273"/>
      <c r="L456" s="8"/>
      <c r="M456" s="8"/>
      <c r="N456" s="8">
        <f>'[4]Usulan 2021'!I455</f>
        <v>6900</v>
      </c>
      <c r="O456" s="8">
        <f>'[4]Usulan 2021'!J455</f>
        <v>6900</v>
      </c>
      <c r="P456" s="8">
        <f>'[4]Usulan 2021'!K455</f>
        <v>6900</v>
      </c>
    </row>
    <row r="457" spans="2:16" x14ac:dyDescent="0.2">
      <c r="B457" s="258">
        <f>B456+1</f>
        <v>393</v>
      </c>
      <c r="C457" s="268"/>
      <c r="D457" s="318" t="s">
        <v>531</v>
      </c>
      <c r="E457" s="270"/>
      <c r="F457" s="279"/>
      <c r="G457" s="310" t="s">
        <v>268</v>
      </c>
      <c r="H457" s="311"/>
      <c r="I457" s="312">
        <f t="shared" si="17"/>
        <v>4400</v>
      </c>
      <c r="J457" s="273"/>
      <c r="L457" s="8"/>
      <c r="M457" s="8"/>
      <c r="N457" s="8">
        <f>'[4]Usulan 2021'!I456</f>
        <v>4400</v>
      </c>
      <c r="O457" s="8">
        <f>'[4]Usulan 2021'!J456</f>
        <v>4400</v>
      </c>
      <c r="P457" s="8">
        <f>'[4]Usulan 2021'!K456</f>
        <v>4400</v>
      </c>
    </row>
    <row r="458" spans="2:16" x14ac:dyDescent="0.2">
      <c r="B458" s="258">
        <f>B457+1</f>
        <v>394</v>
      </c>
      <c r="C458" s="268"/>
      <c r="D458" s="318" t="s">
        <v>465</v>
      </c>
      <c r="E458" s="270"/>
      <c r="F458" s="279"/>
      <c r="G458" s="310" t="s">
        <v>392</v>
      </c>
      <c r="H458" s="311"/>
      <c r="I458" s="312">
        <f t="shared" si="17"/>
        <v>81000</v>
      </c>
      <c r="J458" s="273"/>
      <c r="L458" s="8"/>
      <c r="M458" s="8"/>
      <c r="N458" s="8">
        <f>'[4]Usulan 2021'!I457</f>
        <v>81000</v>
      </c>
      <c r="O458" s="8">
        <f>'[4]Usulan 2021'!J457</f>
        <v>81000</v>
      </c>
      <c r="P458" s="8">
        <f>'[4]Usulan 2021'!K457</f>
        <v>81000</v>
      </c>
    </row>
    <row r="459" spans="2:16" x14ac:dyDescent="0.2">
      <c r="B459" s="258">
        <f t="shared" ref="B459" si="18">B458+1</f>
        <v>395</v>
      </c>
      <c r="C459" s="268"/>
      <c r="D459" s="318" t="s">
        <v>466</v>
      </c>
      <c r="E459" s="270"/>
      <c r="F459" s="279"/>
      <c r="G459" s="310" t="s">
        <v>392</v>
      </c>
      <c r="H459" s="311"/>
      <c r="I459" s="312">
        <f t="shared" si="17"/>
        <v>93000</v>
      </c>
      <c r="J459" s="273"/>
      <c r="L459" s="8"/>
      <c r="M459" s="8"/>
      <c r="N459" s="8">
        <f>'[4]Usulan 2021'!I458</f>
        <v>93000</v>
      </c>
      <c r="O459" s="8">
        <f>'[4]Usulan 2021'!J458</f>
        <v>93000</v>
      </c>
      <c r="P459" s="8">
        <f>'[4]Usulan 2021'!K458</f>
        <v>93000</v>
      </c>
    </row>
    <row r="460" spans="2:16" x14ac:dyDescent="0.2">
      <c r="B460" s="258">
        <f>B459+1</f>
        <v>396</v>
      </c>
      <c r="C460" s="268"/>
      <c r="D460" s="318" t="s">
        <v>101</v>
      </c>
      <c r="E460" s="270"/>
      <c r="F460" s="279"/>
      <c r="G460" s="310" t="s">
        <v>268</v>
      </c>
      <c r="H460" s="311"/>
      <c r="I460" s="312">
        <f t="shared" si="17"/>
        <v>642000</v>
      </c>
      <c r="J460" s="273"/>
      <c r="L460" s="8"/>
      <c r="M460" s="8"/>
      <c r="N460" s="8">
        <f>'[4]Usulan 2021'!I459</f>
        <v>642000</v>
      </c>
      <c r="O460" s="8">
        <f>'[4]Usulan 2021'!J459</f>
        <v>642000</v>
      </c>
      <c r="P460" s="8">
        <f>'[4]Usulan 2021'!K459</f>
        <v>642000</v>
      </c>
    </row>
    <row r="461" spans="2:16" x14ac:dyDescent="0.2">
      <c r="B461" s="258">
        <f>B460+1</f>
        <v>397</v>
      </c>
      <c r="C461" s="268"/>
      <c r="D461" s="318" t="s">
        <v>686</v>
      </c>
      <c r="E461" s="270"/>
      <c r="F461" s="279"/>
      <c r="G461" s="310" t="s">
        <v>275</v>
      </c>
      <c r="H461" s="311"/>
      <c r="I461" s="312">
        <f t="shared" si="17"/>
        <v>20500000</v>
      </c>
      <c r="J461" s="273"/>
      <c r="L461" s="8"/>
      <c r="M461" s="8"/>
      <c r="N461" s="342">
        <f>'[4]Usulan 2021'!I460</f>
        <v>20500000</v>
      </c>
      <c r="O461" s="342">
        <f>'[4]Usulan 2021'!J460</f>
        <v>20500000</v>
      </c>
      <c r="P461" s="342">
        <f>'[4]Usulan 2021'!K460</f>
        <v>20500000</v>
      </c>
    </row>
    <row r="462" spans="2:16" x14ac:dyDescent="0.2">
      <c r="B462" s="258">
        <f>B461+1</f>
        <v>398</v>
      </c>
      <c r="C462" s="268"/>
      <c r="D462" s="318" t="s">
        <v>134</v>
      </c>
      <c r="E462" s="270"/>
      <c r="F462" s="279"/>
      <c r="G462" s="310" t="s">
        <v>275</v>
      </c>
      <c r="H462" s="311"/>
      <c r="I462" s="312">
        <f t="shared" si="17"/>
        <v>31569000</v>
      </c>
      <c r="J462" s="273"/>
      <c r="L462" s="8"/>
      <c r="M462" s="8"/>
      <c r="N462" s="8">
        <f>'[4]Usulan 2021'!I461</f>
        <v>31569000</v>
      </c>
      <c r="O462" s="8">
        <f>'[4]Usulan 2021'!J461</f>
        <v>31569000</v>
      </c>
      <c r="P462" s="8">
        <f>'[4]Usulan 2021'!K461</f>
        <v>31569000</v>
      </c>
    </row>
    <row r="463" spans="2:16" x14ac:dyDescent="0.2">
      <c r="B463" s="258">
        <f t="shared" ref="B463:B483" si="19">B462+1</f>
        <v>399</v>
      </c>
      <c r="C463" s="268"/>
      <c r="D463" s="357" t="s">
        <v>1469</v>
      </c>
      <c r="E463" s="270"/>
      <c r="F463" s="279"/>
      <c r="G463" s="310" t="s">
        <v>1470</v>
      </c>
      <c r="H463" s="311"/>
      <c r="I463" s="312">
        <f t="shared" si="17"/>
        <v>27500</v>
      </c>
      <c r="J463" s="273"/>
      <c r="L463" s="8"/>
      <c r="M463" s="8"/>
      <c r="N463" s="8">
        <f>'[4]Usulan 2021'!I462</f>
        <v>27500</v>
      </c>
      <c r="O463" s="8"/>
      <c r="P463" s="8"/>
    </row>
    <row r="464" spans="2:16" x14ac:dyDescent="0.2">
      <c r="B464" s="258">
        <f t="shared" si="19"/>
        <v>400</v>
      </c>
      <c r="C464" s="268"/>
      <c r="D464" s="357" t="s">
        <v>568</v>
      </c>
      <c r="E464" s="270"/>
      <c r="F464" s="279"/>
      <c r="G464" s="310" t="s">
        <v>1470</v>
      </c>
      <c r="H464" s="311"/>
      <c r="I464" s="312">
        <f t="shared" si="17"/>
        <v>27500</v>
      </c>
      <c r="J464" s="273"/>
      <c r="L464" s="8"/>
      <c r="M464" s="8"/>
      <c r="N464" s="8">
        <f>'[4]Usulan 2021'!I463</f>
        <v>27500</v>
      </c>
      <c r="O464" s="8"/>
      <c r="P464" s="8"/>
    </row>
    <row r="465" spans="2:16" x14ac:dyDescent="0.2">
      <c r="B465" s="258">
        <f t="shared" si="19"/>
        <v>401</v>
      </c>
      <c r="C465" s="268"/>
      <c r="D465" s="318" t="s">
        <v>792</v>
      </c>
      <c r="E465" s="270"/>
      <c r="F465" s="270"/>
      <c r="G465" s="263" t="s">
        <v>247</v>
      </c>
      <c r="H465" s="311"/>
      <c r="I465" s="312">
        <f t="shared" si="17"/>
        <v>8200</v>
      </c>
      <c r="J465" s="273"/>
      <c r="L465" s="8"/>
      <c r="M465" s="8"/>
      <c r="N465" s="8">
        <f>'[4]Usulan 2021'!I464</f>
        <v>8200</v>
      </c>
      <c r="O465" s="8">
        <f>'[4]Usulan 2021'!J464</f>
        <v>8200</v>
      </c>
      <c r="P465" s="8">
        <f>'[4]Usulan 2021'!K464</f>
        <v>8200</v>
      </c>
    </row>
    <row r="466" spans="2:16" x14ac:dyDescent="0.2">
      <c r="B466" s="258">
        <f t="shared" si="19"/>
        <v>402</v>
      </c>
      <c r="C466" s="268"/>
      <c r="D466" s="318" t="s">
        <v>574</v>
      </c>
      <c r="E466" s="270"/>
      <c r="F466" s="270"/>
      <c r="G466" s="263" t="s">
        <v>247</v>
      </c>
      <c r="H466" s="311"/>
      <c r="I466" s="312">
        <f t="shared" si="17"/>
        <v>128000</v>
      </c>
      <c r="J466" s="273"/>
      <c r="L466" s="8"/>
      <c r="M466" s="8"/>
      <c r="N466" s="8">
        <f>'[4]Usulan 2021'!I465</f>
        <v>128000</v>
      </c>
      <c r="O466" s="8">
        <f>'[4]Usulan 2021'!J465</f>
        <v>128000</v>
      </c>
      <c r="P466" s="8">
        <f>'[4]Usulan 2021'!K465</f>
        <v>128000</v>
      </c>
    </row>
    <row r="467" spans="2:16" x14ac:dyDescent="0.2">
      <c r="B467" s="258">
        <f t="shared" si="19"/>
        <v>403</v>
      </c>
      <c r="C467" s="268"/>
      <c r="D467" s="319" t="s">
        <v>246</v>
      </c>
      <c r="E467" s="315"/>
      <c r="F467" s="315"/>
      <c r="G467" s="263" t="s">
        <v>268</v>
      </c>
      <c r="H467" s="311"/>
      <c r="I467" s="312">
        <f t="shared" si="17"/>
        <v>1700</v>
      </c>
      <c r="J467" s="273"/>
      <c r="L467" s="8"/>
      <c r="M467" s="8"/>
      <c r="N467" s="8">
        <f>'[4]Usulan 2021'!I466</f>
        <v>1700</v>
      </c>
      <c r="O467" s="8">
        <f>'[4]Usulan 2021'!J466</f>
        <v>1700</v>
      </c>
      <c r="P467" s="8">
        <f>'[4]Usulan 2021'!K466</f>
        <v>1700</v>
      </c>
    </row>
    <row r="468" spans="2:16" x14ac:dyDescent="0.2">
      <c r="B468" s="258">
        <f t="shared" si="19"/>
        <v>404</v>
      </c>
      <c r="C468" s="268"/>
      <c r="D468" s="319" t="s">
        <v>781</v>
      </c>
      <c r="E468" s="315"/>
      <c r="F468" s="315"/>
      <c r="G468" s="263" t="s">
        <v>392</v>
      </c>
      <c r="H468" s="311"/>
      <c r="I468" s="312">
        <f t="shared" si="17"/>
        <v>4700</v>
      </c>
      <c r="J468" s="273"/>
      <c r="L468" s="8"/>
      <c r="M468" s="8"/>
      <c r="N468" s="8">
        <f>'[4]Usulan 2021'!I467</f>
        <v>4700</v>
      </c>
      <c r="O468" s="8">
        <f>'[4]Usulan 2021'!J467</f>
        <v>4700</v>
      </c>
      <c r="P468" s="8">
        <f>'[4]Usulan 2021'!K467</f>
        <v>4700</v>
      </c>
    </row>
    <row r="469" spans="2:16" x14ac:dyDescent="0.2">
      <c r="B469" s="258">
        <f t="shared" si="19"/>
        <v>405</v>
      </c>
      <c r="C469" s="268"/>
      <c r="D469" s="318" t="s">
        <v>180</v>
      </c>
      <c r="E469" s="270"/>
      <c r="F469" s="270"/>
      <c r="G469" s="263" t="s">
        <v>268</v>
      </c>
      <c r="H469" s="311"/>
      <c r="I469" s="312">
        <f t="shared" si="17"/>
        <v>41000</v>
      </c>
      <c r="J469" s="273"/>
      <c r="L469" s="8"/>
      <c r="M469" s="8"/>
      <c r="N469" s="8">
        <f>'[4]Usulan 2021'!I468</f>
        <v>41000</v>
      </c>
      <c r="O469" s="8">
        <f>'[4]Usulan 2021'!J468</f>
        <v>41000</v>
      </c>
      <c r="P469" s="8">
        <f>'[4]Usulan 2021'!K468</f>
        <v>41000</v>
      </c>
    </row>
    <row r="470" spans="2:16" x14ac:dyDescent="0.2">
      <c r="B470" s="258">
        <f t="shared" si="19"/>
        <v>406</v>
      </c>
      <c r="C470" s="268"/>
      <c r="D470" s="318" t="s">
        <v>687</v>
      </c>
      <c r="E470" s="270"/>
      <c r="F470" s="270"/>
      <c r="G470" s="263" t="s">
        <v>268</v>
      </c>
      <c r="H470" s="311"/>
      <c r="I470" s="312">
        <f t="shared" si="17"/>
        <v>15000</v>
      </c>
      <c r="J470" s="273"/>
      <c r="L470" s="8"/>
      <c r="M470" s="8"/>
      <c r="N470" s="8">
        <f>'[4]Usulan 2021'!I469</f>
        <v>15000</v>
      </c>
      <c r="O470" s="8">
        <f>'[4]Usulan 2021'!J469</f>
        <v>15000</v>
      </c>
      <c r="P470" s="8">
        <f>'[4]Usulan 2021'!K469</f>
        <v>15000</v>
      </c>
    </row>
    <row r="471" spans="2:16" x14ac:dyDescent="0.2">
      <c r="B471" s="258">
        <f t="shared" si="19"/>
        <v>407</v>
      </c>
      <c r="C471" s="268"/>
      <c r="D471" s="318" t="s">
        <v>734</v>
      </c>
      <c r="E471" s="270"/>
      <c r="F471" s="270"/>
      <c r="G471" s="263" t="s">
        <v>268</v>
      </c>
      <c r="H471" s="311"/>
      <c r="I471" s="312">
        <f t="shared" si="17"/>
        <v>44000</v>
      </c>
      <c r="J471" s="273"/>
      <c r="L471" s="8"/>
      <c r="M471" s="8"/>
      <c r="N471" s="8">
        <f>'[4]Usulan 2021'!I470</f>
        <v>44000</v>
      </c>
      <c r="O471" s="8">
        <f>'[4]Usulan 2021'!J470</f>
        <v>44000</v>
      </c>
      <c r="P471" s="8">
        <f>'[4]Usulan 2021'!K470</f>
        <v>44000</v>
      </c>
    </row>
    <row r="472" spans="2:16" x14ac:dyDescent="0.2">
      <c r="B472" s="258">
        <f t="shared" si="19"/>
        <v>408</v>
      </c>
      <c r="C472" s="268"/>
      <c r="D472" s="318" t="s">
        <v>813</v>
      </c>
      <c r="E472" s="270"/>
      <c r="F472" s="270"/>
      <c r="G472" s="263" t="s">
        <v>268</v>
      </c>
      <c r="H472" s="311"/>
      <c r="I472" s="312">
        <f t="shared" si="17"/>
        <v>10000</v>
      </c>
      <c r="J472" s="273"/>
      <c r="L472" s="8"/>
      <c r="M472" s="8"/>
      <c r="N472" s="8">
        <f>'[4]Usulan 2021'!I471</f>
        <v>10000</v>
      </c>
      <c r="O472" s="8">
        <f>'[4]Usulan 2021'!J471</f>
        <v>10000</v>
      </c>
      <c r="P472" s="8">
        <f>'[4]Usulan 2021'!K471</f>
        <v>10000</v>
      </c>
    </row>
    <row r="473" spans="2:16" x14ac:dyDescent="0.2">
      <c r="B473" s="258">
        <f t="shared" si="19"/>
        <v>409</v>
      </c>
      <c r="C473" s="268"/>
      <c r="D473" s="318" t="s">
        <v>812</v>
      </c>
      <c r="E473" s="270"/>
      <c r="F473" s="270"/>
      <c r="G473" s="263" t="s">
        <v>268</v>
      </c>
      <c r="H473" s="311"/>
      <c r="I473" s="312">
        <f t="shared" si="17"/>
        <v>42000</v>
      </c>
      <c r="J473" s="273"/>
      <c r="L473" s="8"/>
      <c r="M473" s="8"/>
      <c r="N473" s="8">
        <f>'[4]Usulan 2021'!I472</f>
        <v>42000</v>
      </c>
      <c r="O473" s="8">
        <f>'[4]Usulan 2021'!J472</f>
        <v>42000</v>
      </c>
      <c r="P473" s="8">
        <f>'[4]Usulan 2021'!K472</f>
        <v>42000</v>
      </c>
    </row>
    <row r="474" spans="2:16" ht="16.5" x14ac:dyDescent="0.2">
      <c r="B474" s="258">
        <f t="shared" si="19"/>
        <v>410</v>
      </c>
      <c r="C474" s="268"/>
      <c r="D474" s="319" t="s">
        <v>391</v>
      </c>
      <c r="E474" s="315"/>
      <c r="F474" s="376"/>
      <c r="G474" s="310" t="s">
        <v>1494</v>
      </c>
      <c r="H474" s="311"/>
      <c r="I474" s="312">
        <f t="shared" si="17"/>
        <v>496000</v>
      </c>
      <c r="J474" s="273"/>
      <c r="L474" s="8"/>
      <c r="M474" s="8"/>
      <c r="N474" s="8">
        <f>'[4]Usulan 2021'!I473</f>
        <v>496000</v>
      </c>
      <c r="O474" s="8">
        <f>'[4]Usulan 2021'!J473</f>
        <v>496000</v>
      </c>
      <c r="P474" s="8">
        <f>'[4]Usulan 2021'!K473</f>
        <v>496000</v>
      </c>
    </row>
    <row r="475" spans="2:16" x14ac:dyDescent="0.2">
      <c r="B475" s="258">
        <f t="shared" si="19"/>
        <v>411</v>
      </c>
      <c r="C475" s="268"/>
      <c r="D475" s="319" t="s">
        <v>255</v>
      </c>
      <c r="E475" s="315"/>
      <c r="F475" s="315"/>
      <c r="G475" s="310" t="s">
        <v>256</v>
      </c>
      <c r="H475" s="311"/>
      <c r="I475" s="312">
        <f t="shared" si="17"/>
        <v>72000</v>
      </c>
      <c r="J475" s="273"/>
      <c r="L475" s="8"/>
      <c r="M475" s="8"/>
      <c r="N475" s="8">
        <f>'[4]Usulan 2021'!I474</f>
        <v>72000</v>
      </c>
      <c r="O475" s="8">
        <f>'[4]Usulan 2021'!J474</f>
        <v>72000</v>
      </c>
      <c r="P475" s="8">
        <f>'[4]Usulan 2021'!K474</f>
        <v>72000</v>
      </c>
    </row>
    <row r="476" spans="2:16" x14ac:dyDescent="0.2">
      <c r="B476" s="258">
        <f t="shared" si="19"/>
        <v>412</v>
      </c>
      <c r="C476" s="268"/>
      <c r="D476" s="319" t="s">
        <v>386</v>
      </c>
      <c r="E476" s="315"/>
      <c r="F476" s="271"/>
      <c r="G476" s="407" t="s">
        <v>268</v>
      </c>
      <c r="H476" s="311"/>
      <c r="I476" s="312">
        <f t="shared" si="17"/>
        <v>5700</v>
      </c>
      <c r="J476" s="273"/>
      <c r="L476" s="8"/>
      <c r="M476" s="8"/>
      <c r="N476" s="8">
        <f>'[4]Usulan 2021'!I475</f>
        <v>5700</v>
      </c>
      <c r="O476" s="8">
        <f>'[4]Usulan 2021'!J475</f>
        <v>5700</v>
      </c>
      <c r="P476" s="8">
        <f>'[4]Usulan 2021'!K475</f>
        <v>5700</v>
      </c>
    </row>
    <row r="477" spans="2:16" x14ac:dyDescent="0.2">
      <c r="B477" s="258">
        <f t="shared" si="19"/>
        <v>413</v>
      </c>
      <c r="C477" s="268"/>
      <c r="D477" s="319" t="s">
        <v>1381</v>
      </c>
      <c r="E477" s="315"/>
      <c r="F477" s="270"/>
      <c r="G477" s="408" t="s">
        <v>268</v>
      </c>
      <c r="H477" s="311"/>
      <c r="I477" s="312">
        <f t="shared" si="17"/>
        <v>71000</v>
      </c>
      <c r="J477" s="273"/>
      <c r="L477" s="8"/>
      <c r="M477" s="8"/>
      <c r="N477" s="8">
        <f>'[4]Usulan 2021'!I476</f>
        <v>71000</v>
      </c>
      <c r="O477" s="8"/>
      <c r="P477" s="8"/>
    </row>
    <row r="478" spans="2:16" x14ac:dyDescent="0.2">
      <c r="B478" s="258">
        <f t="shared" si="19"/>
        <v>414</v>
      </c>
      <c r="C478" s="268"/>
      <c r="D478" s="319" t="s">
        <v>1382</v>
      </c>
      <c r="E478" s="315"/>
      <c r="F478" s="270"/>
      <c r="G478" s="408" t="s">
        <v>268</v>
      </c>
      <c r="H478" s="311"/>
      <c r="I478" s="312">
        <f t="shared" si="17"/>
        <v>78000</v>
      </c>
      <c r="J478" s="273"/>
      <c r="L478" s="8"/>
      <c r="M478" s="8"/>
      <c r="N478" s="8">
        <f>'[4]Usulan 2021'!I477</f>
        <v>78000</v>
      </c>
      <c r="O478" s="8"/>
      <c r="P478" s="8"/>
    </row>
    <row r="479" spans="2:16" x14ac:dyDescent="0.2">
      <c r="B479" s="258">
        <f t="shared" si="19"/>
        <v>415</v>
      </c>
      <c r="C479" s="268"/>
      <c r="D479" s="319" t="s">
        <v>1383</v>
      </c>
      <c r="E479" s="315"/>
      <c r="F479" s="270"/>
      <c r="G479" s="408" t="s">
        <v>247</v>
      </c>
      <c r="H479" s="311"/>
      <c r="I479" s="312">
        <f t="shared" si="17"/>
        <v>24000</v>
      </c>
      <c r="J479" s="273"/>
      <c r="L479" s="8"/>
      <c r="M479" s="8"/>
      <c r="N479" s="8">
        <f>'[4]Usulan 2021'!I478</f>
        <v>24000</v>
      </c>
      <c r="O479" s="8"/>
      <c r="P479" s="8"/>
    </row>
    <row r="480" spans="2:16" x14ac:dyDescent="0.2">
      <c r="B480" s="258">
        <f t="shared" si="19"/>
        <v>416</v>
      </c>
      <c r="C480" s="268"/>
      <c r="D480" s="319" t="s">
        <v>1384</v>
      </c>
      <c r="E480" s="315"/>
      <c r="F480" s="270"/>
      <c r="G480" s="408" t="s">
        <v>247</v>
      </c>
      <c r="H480" s="311"/>
      <c r="I480" s="312">
        <f t="shared" si="17"/>
        <v>28000</v>
      </c>
      <c r="J480" s="273"/>
      <c r="L480" s="8"/>
      <c r="M480" s="8"/>
      <c r="N480" s="8">
        <f>'[4]Usulan 2021'!I479</f>
        <v>28000</v>
      </c>
      <c r="O480" s="8"/>
      <c r="P480" s="8"/>
    </row>
    <row r="481" spans="2:16" x14ac:dyDescent="0.2">
      <c r="B481" s="258">
        <f t="shared" si="19"/>
        <v>417</v>
      </c>
      <c r="C481" s="268"/>
      <c r="D481" s="319" t="s">
        <v>1438</v>
      </c>
      <c r="E481" s="315"/>
      <c r="F481" s="270"/>
      <c r="G481" s="408" t="s">
        <v>247</v>
      </c>
      <c r="H481" s="311"/>
      <c r="I481" s="312">
        <f t="shared" si="17"/>
        <v>150000</v>
      </c>
      <c r="J481" s="273"/>
      <c r="L481" s="8"/>
      <c r="M481" s="8"/>
      <c r="N481" s="8">
        <f>'[4]Usulan 2021'!I480</f>
        <v>150000</v>
      </c>
      <c r="O481" s="8"/>
      <c r="P481" s="8"/>
    </row>
    <row r="482" spans="2:16" x14ac:dyDescent="0.2">
      <c r="B482" s="258">
        <f t="shared" si="19"/>
        <v>418</v>
      </c>
      <c r="C482" s="268"/>
      <c r="D482" s="319" t="s">
        <v>1439</v>
      </c>
      <c r="E482" s="315"/>
      <c r="F482" s="270"/>
      <c r="G482" s="409" t="s">
        <v>247</v>
      </c>
      <c r="H482" s="311"/>
      <c r="I482" s="312">
        <f t="shared" si="17"/>
        <v>2800</v>
      </c>
      <c r="J482" s="273"/>
      <c r="L482" s="8"/>
      <c r="M482" s="8"/>
      <c r="N482" s="8">
        <f>'[4]Usulan 2021'!I481</f>
        <v>2800</v>
      </c>
      <c r="O482" s="8"/>
      <c r="P482" s="8"/>
    </row>
    <row r="483" spans="2:16" x14ac:dyDescent="0.2">
      <c r="B483" s="258">
        <f t="shared" si="19"/>
        <v>419</v>
      </c>
      <c r="C483" s="259"/>
      <c r="D483" s="334" t="s">
        <v>641</v>
      </c>
      <c r="E483" s="261"/>
      <c r="F483" s="262"/>
      <c r="G483" s="335" t="s">
        <v>275</v>
      </c>
      <c r="H483" s="264"/>
      <c r="I483" s="312">
        <f t="shared" si="17"/>
        <v>1285000</v>
      </c>
      <c r="J483" s="273"/>
      <c r="L483" s="8"/>
      <c r="M483" s="8"/>
      <c r="N483" s="8">
        <f>'[4]Usulan 2021'!I482</f>
        <v>1285000</v>
      </c>
      <c r="O483" s="8">
        <f>'[4]Usulan 2021'!J482</f>
        <v>1285000</v>
      </c>
      <c r="P483" s="8">
        <f>'[4]Usulan 2021'!K482</f>
        <v>1285000</v>
      </c>
    </row>
    <row r="484" spans="2:16" x14ac:dyDescent="0.2">
      <c r="B484" s="258">
        <f>B483+1</f>
        <v>420</v>
      </c>
      <c r="C484" s="268"/>
      <c r="D484" s="318" t="s">
        <v>702</v>
      </c>
      <c r="E484" s="270"/>
      <c r="F484" s="279"/>
      <c r="G484" s="263" t="s">
        <v>277</v>
      </c>
      <c r="H484" s="311"/>
      <c r="I484" s="312">
        <f t="shared" si="17"/>
        <v>87000</v>
      </c>
      <c r="J484" s="273"/>
      <c r="L484" s="8"/>
      <c r="M484" s="8"/>
      <c r="N484" s="8">
        <f>'[4]Usulan 2021'!I483</f>
        <v>87000</v>
      </c>
      <c r="O484" s="8">
        <f>'[4]Usulan 2021'!J483</f>
        <v>87000</v>
      </c>
      <c r="P484" s="8">
        <f>'[4]Usulan 2021'!K483</f>
        <v>87000</v>
      </c>
    </row>
    <row r="485" spans="2:16" x14ac:dyDescent="0.2">
      <c r="B485" s="258">
        <f t="shared" ref="B485:B541" si="20">B484+1</f>
        <v>421</v>
      </c>
      <c r="C485" s="268"/>
      <c r="D485" s="318" t="s">
        <v>532</v>
      </c>
      <c r="E485" s="270"/>
      <c r="F485" s="279"/>
      <c r="G485" s="263" t="s">
        <v>277</v>
      </c>
      <c r="H485" s="311"/>
      <c r="I485" s="312">
        <f t="shared" si="17"/>
        <v>93000</v>
      </c>
      <c r="J485" s="273"/>
      <c r="L485" s="8"/>
      <c r="M485" s="8"/>
      <c r="N485" s="8">
        <f>'[4]Usulan 2021'!I484</f>
        <v>93000</v>
      </c>
      <c r="O485" s="8">
        <f>'[4]Usulan 2021'!J484</f>
        <v>93000</v>
      </c>
      <c r="P485" s="8">
        <f>'[4]Usulan 2021'!K484</f>
        <v>93000</v>
      </c>
    </row>
    <row r="486" spans="2:16" x14ac:dyDescent="0.2">
      <c r="B486" s="258">
        <f t="shared" si="20"/>
        <v>422</v>
      </c>
      <c r="C486" s="268"/>
      <c r="D486" s="318" t="s">
        <v>533</v>
      </c>
      <c r="E486" s="270"/>
      <c r="F486" s="279"/>
      <c r="G486" s="263" t="s">
        <v>247</v>
      </c>
      <c r="H486" s="311"/>
      <c r="I486" s="312">
        <f t="shared" si="17"/>
        <v>76000</v>
      </c>
      <c r="J486" s="273"/>
      <c r="L486" s="8"/>
      <c r="M486" s="8"/>
      <c r="N486" s="8">
        <f>'[4]Usulan 2021'!I485</f>
        <v>76000</v>
      </c>
      <c r="O486" s="8">
        <f>'[4]Usulan 2021'!J485</f>
        <v>76000</v>
      </c>
      <c r="P486" s="8">
        <f>'[4]Usulan 2021'!K485</f>
        <v>76000</v>
      </c>
    </row>
    <row r="487" spans="2:16" x14ac:dyDescent="0.2">
      <c r="B487" s="258">
        <f t="shared" si="20"/>
        <v>423</v>
      </c>
      <c r="C487" s="268"/>
      <c r="D487" s="318" t="s">
        <v>534</v>
      </c>
      <c r="E487" s="270"/>
      <c r="F487" s="279"/>
      <c r="G487" s="310" t="s">
        <v>247</v>
      </c>
      <c r="H487" s="311"/>
      <c r="I487" s="312">
        <f t="shared" si="17"/>
        <v>34000</v>
      </c>
      <c r="J487" s="273"/>
      <c r="L487" s="8"/>
      <c r="M487" s="8"/>
      <c r="N487" s="8">
        <f>'[4]Usulan 2021'!I486</f>
        <v>34000</v>
      </c>
      <c r="O487" s="8">
        <f>'[4]Usulan 2021'!J486</f>
        <v>34000</v>
      </c>
      <c r="P487" s="8">
        <f>'[4]Usulan 2021'!K486</f>
        <v>34000</v>
      </c>
    </row>
    <row r="488" spans="2:16" x14ac:dyDescent="0.2">
      <c r="B488" s="258">
        <f t="shared" si="20"/>
        <v>424</v>
      </c>
      <c r="C488" s="268"/>
      <c r="D488" s="318" t="s">
        <v>444</v>
      </c>
      <c r="E488" s="270"/>
      <c r="F488" s="279"/>
      <c r="G488" s="310" t="s">
        <v>247</v>
      </c>
      <c r="H488" s="311"/>
      <c r="I488" s="312">
        <f t="shared" si="17"/>
        <v>57000</v>
      </c>
      <c r="J488" s="273"/>
      <c r="L488" s="8"/>
      <c r="M488" s="8"/>
      <c r="N488" s="8">
        <f>'[4]Usulan 2021'!I487</f>
        <v>57000</v>
      </c>
      <c r="O488" s="8">
        <f>'[4]Usulan 2021'!J487</f>
        <v>57000</v>
      </c>
      <c r="P488" s="8">
        <f>'[4]Usulan 2021'!K487</f>
        <v>57000</v>
      </c>
    </row>
    <row r="489" spans="2:16" x14ac:dyDescent="0.2">
      <c r="B489" s="258">
        <f t="shared" si="20"/>
        <v>425</v>
      </c>
      <c r="C489" s="410"/>
      <c r="D489" s="411" t="s">
        <v>718</v>
      </c>
      <c r="E489" s="283"/>
      <c r="F489" s="279"/>
      <c r="G489" s="412" t="s">
        <v>463</v>
      </c>
      <c r="H489" s="413"/>
      <c r="I489" s="312">
        <f t="shared" si="17"/>
        <v>512000</v>
      </c>
      <c r="J489" s="273"/>
      <c r="L489" s="8"/>
      <c r="M489" s="8"/>
      <c r="N489" s="8">
        <f>'[4]Usulan 2021'!I488</f>
        <v>512000</v>
      </c>
      <c r="O489" s="8"/>
      <c r="P489" s="8"/>
    </row>
    <row r="490" spans="2:16" x14ac:dyDescent="0.2">
      <c r="B490" s="258">
        <f t="shared" si="20"/>
        <v>426</v>
      </c>
      <c r="C490" s="410"/>
      <c r="D490" s="411" t="s">
        <v>718</v>
      </c>
      <c r="E490" s="283"/>
      <c r="F490" s="316"/>
      <c r="G490" s="412" t="s">
        <v>268</v>
      </c>
      <c r="H490" s="413"/>
      <c r="I490" s="312">
        <f t="shared" si="17"/>
        <v>291000</v>
      </c>
      <c r="J490" s="273"/>
      <c r="L490" s="8"/>
      <c r="M490" s="8"/>
      <c r="N490" s="8">
        <f>'[4]Usulan 2021'!I489</f>
        <v>291000</v>
      </c>
      <c r="O490" s="8">
        <f>'[4]Usulan 2021'!J489</f>
        <v>291000</v>
      </c>
      <c r="P490" s="8">
        <f>'[4]Usulan 2021'!K489</f>
        <v>291000</v>
      </c>
    </row>
    <row r="491" spans="2:16" x14ac:dyDescent="0.2">
      <c r="B491" s="258">
        <f t="shared" si="20"/>
        <v>427</v>
      </c>
      <c r="C491" s="410"/>
      <c r="D491" s="318" t="s">
        <v>1440</v>
      </c>
      <c r="E491" s="270"/>
      <c r="F491" s="270"/>
      <c r="G491" s="412" t="s">
        <v>268</v>
      </c>
      <c r="H491" s="311"/>
      <c r="I491" s="312">
        <f t="shared" si="17"/>
        <v>6500</v>
      </c>
      <c r="J491" s="273"/>
      <c r="L491" s="8"/>
      <c r="M491" s="8"/>
      <c r="N491" s="8">
        <f>'[4]Usulan 2021'!I490</f>
        <v>6500</v>
      </c>
      <c r="O491" s="8"/>
      <c r="P491" s="8"/>
    </row>
    <row r="492" spans="2:16" x14ac:dyDescent="0.2">
      <c r="B492" s="258">
        <f t="shared" si="20"/>
        <v>428</v>
      </c>
      <c r="C492" s="268"/>
      <c r="D492" s="371" t="s">
        <v>1385</v>
      </c>
      <c r="E492" s="315"/>
      <c r="F492" s="316"/>
      <c r="G492" s="310" t="s">
        <v>268</v>
      </c>
      <c r="H492" s="311"/>
      <c r="I492" s="312">
        <f t="shared" si="17"/>
        <v>81000</v>
      </c>
      <c r="J492" s="273"/>
      <c r="L492" s="8"/>
      <c r="M492" s="8"/>
      <c r="N492" s="8">
        <f>'[4]Usulan 2021'!I491</f>
        <v>81000</v>
      </c>
      <c r="O492" s="8">
        <f>'[4]Usulan 2021'!J491</f>
        <v>81000</v>
      </c>
      <c r="P492" s="8">
        <f>'[4]Usulan 2021'!K491</f>
        <v>81000</v>
      </c>
    </row>
    <row r="493" spans="2:16" x14ac:dyDescent="0.2">
      <c r="B493" s="258">
        <f t="shared" si="20"/>
        <v>429</v>
      </c>
      <c r="C493" s="268"/>
      <c r="D493" s="371" t="s">
        <v>103</v>
      </c>
      <c r="E493" s="315"/>
      <c r="F493" s="316"/>
      <c r="G493" s="310" t="s">
        <v>268</v>
      </c>
      <c r="H493" s="311"/>
      <c r="I493" s="312">
        <f t="shared" si="17"/>
        <v>133000</v>
      </c>
      <c r="J493" s="273"/>
      <c r="L493" s="8"/>
      <c r="M493" s="8"/>
      <c r="N493" s="8">
        <f>'[4]Usulan 2021'!I492</f>
        <v>133000</v>
      </c>
      <c r="O493" s="8">
        <f>'[4]Usulan 2021'!J492</f>
        <v>133000</v>
      </c>
      <c r="P493" s="8">
        <f>'[4]Usulan 2021'!K492</f>
        <v>133000</v>
      </c>
    </row>
    <row r="494" spans="2:16" x14ac:dyDescent="0.2">
      <c r="B494" s="258">
        <f t="shared" si="20"/>
        <v>430</v>
      </c>
      <c r="C494" s="268"/>
      <c r="D494" s="371" t="s">
        <v>181</v>
      </c>
      <c r="E494" s="315"/>
      <c r="F494" s="316"/>
      <c r="G494" s="310" t="s">
        <v>268</v>
      </c>
      <c r="H494" s="311"/>
      <c r="I494" s="312">
        <f t="shared" si="17"/>
        <v>233000</v>
      </c>
      <c r="J494" s="273"/>
      <c r="L494" s="8"/>
      <c r="M494" s="8"/>
      <c r="N494" s="8">
        <f>'[4]Usulan 2021'!I493</f>
        <v>233000</v>
      </c>
      <c r="O494" s="8">
        <f>'[4]Usulan 2021'!J493</f>
        <v>233000</v>
      </c>
      <c r="P494" s="8">
        <f>'[4]Usulan 2021'!K493</f>
        <v>233000</v>
      </c>
    </row>
    <row r="495" spans="2:16" x14ac:dyDescent="0.2">
      <c r="B495" s="258">
        <f t="shared" si="20"/>
        <v>431</v>
      </c>
      <c r="C495" s="268"/>
      <c r="D495" s="371" t="s">
        <v>182</v>
      </c>
      <c r="E495" s="315"/>
      <c r="F495" s="316"/>
      <c r="G495" s="310" t="s">
        <v>268</v>
      </c>
      <c r="H495" s="311"/>
      <c r="I495" s="312">
        <f t="shared" si="17"/>
        <v>238000</v>
      </c>
      <c r="J495" s="273"/>
      <c r="L495" s="8"/>
      <c r="M495" s="8"/>
      <c r="N495" s="8">
        <f>'[4]Usulan 2021'!I494</f>
        <v>238000</v>
      </c>
      <c r="O495" s="8">
        <f>'[4]Usulan 2021'!J494</f>
        <v>238000</v>
      </c>
      <c r="P495" s="8">
        <f>'[4]Usulan 2021'!K494</f>
        <v>238000</v>
      </c>
    </row>
    <row r="496" spans="2:16" x14ac:dyDescent="0.2">
      <c r="B496" s="258">
        <f t="shared" si="20"/>
        <v>432</v>
      </c>
      <c r="C496" s="268"/>
      <c r="D496" s="318" t="s">
        <v>387</v>
      </c>
      <c r="E496" s="392"/>
      <c r="F496" s="392"/>
      <c r="G496" s="310" t="s">
        <v>268</v>
      </c>
      <c r="H496" s="361"/>
      <c r="I496" s="312">
        <f t="shared" si="17"/>
        <v>4091000</v>
      </c>
      <c r="J496" s="273"/>
      <c r="L496" s="8"/>
      <c r="M496" s="8"/>
      <c r="N496" s="8">
        <f>'[4]Usulan 2021'!I495</f>
        <v>4091000</v>
      </c>
      <c r="O496" s="8">
        <f>'[4]Usulan 2021'!J495</f>
        <v>4091000</v>
      </c>
      <c r="P496" s="8">
        <f>'[4]Usulan 2021'!K495</f>
        <v>4091000</v>
      </c>
    </row>
    <row r="497" spans="2:16" x14ac:dyDescent="0.2">
      <c r="B497" s="258">
        <f t="shared" si="20"/>
        <v>433</v>
      </c>
      <c r="C497" s="268"/>
      <c r="D497" s="414" t="s">
        <v>1386</v>
      </c>
      <c r="E497" s="270"/>
      <c r="F497" s="270"/>
      <c r="G497" s="415" t="s">
        <v>268</v>
      </c>
      <c r="H497" s="311"/>
      <c r="I497" s="312">
        <f t="shared" si="17"/>
        <v>7300</v>
      </c>
      <c r="J497" s="273"/>
      <c r="L497" s="8"/>
      <c r="M497" s="8"/>
      <c r="N497" s="8">
        <f>'[4]Usulan 2021'!I496</f>
        <v>7300</v>
      </c>
      <c r="O497" s="8"/>
      <c r="P497" s="8"/>
    </row>
    <row r="498" spans="2:16" x14ac:dyDescent="0.2">
      <c r="B498" s="258">
        <f t="shared" si="20"/>
        <v>434</v>
      </c>
      <c r="C498" s="268"/>
      <c r="D498" s="414" t="s">
        <v>1386</v>
      </c>
      <c r="E498" s="270"/>
      <c r="F498" s="270"/>
      <c r="G498" s="415" t="s">
        <v>679</v>
      </c>
      <c r="H498" s="311"/>
      <c r="I498" s="312">
        <f t="shared" si="17"/>
        <v>246000</v>
      </c>
      <c r="J498" s="273"/>
      <c r="L498" s="8"/>
      <c r="M498" s="8"/>
      <c r="N498" s="8">
        <f>'[4]Usulan 2021'!I497</f>
        <v>246000</v>
      </c>
      <c r="O498" s="8"/>
      <c r="P498" s="8"/>
    </row>
    <row r="499" spans="2:16" x14ac:dyDescent="0.2">
      <c r="B499" s="258">
        <f t="shared" si="20"/>
        <v>435</v>
      </c>
      <c r="C499" s="268"/>
      <c r="D499" s="318" t="s">
        <v>388</v>
      </c>
      <c r="E499" s="270"/>
      <c r="F499" s="416"/>
      <c r="G499" s="310" t="s">
        <v>268</v>
      </c>
      <c r="H499" s="361"/>
      <c r="I499" s="312">
        <f>N499</f>
        <v>17000</v>
      </c>
      <c r="J499" s="273"/>
      <c r="L499" s="8"/>
      <c r="M499" s="8"/>
      <c r="N499" s="8">
        <f>'[4]Usulan 2021'!I498</f>
        <v>17000</v>
      </c>
      <c r="O499" s="8">
        <f>'[4]Usulan 2021'!J498</f>
        <v>17000</v>
      </c>
      <c r="P499" s="8">
        <f>'[4]Usulan 2021'!K498</f>
        <v>17000</v>
      </c>
    </row>
    <row r="500" spans="2:16" x14ac:dyDescent="0.2">
      <c r="B500" s="258">
        <f t="shared" si="20"/>
        <v>436</v>
      </c>
      <c r="C500" s="268"/>
      <c r="D500" s="318" t="s">
        <v>719</v>
      </c>
      <c r="E500" s="283"/>
      <c r="F500" s="279"/>
      <c r="G500" s="412" t="s">
        <v>268</v>
      </c>
      <c r="H500" s="413"/>
      <c r="I500" s="312">
        <f>N500</f>
        <v>87500</v>
      </c>
      <c r="J500" s="273"/>
      <c r="L500" s="8"/>
      <c r="M500" s="8"/>
      <c r="N500" s="8">
        <f>'[4]Usulan 2021'!I499</f>
        <v>87500</v>
      </c>
      <c r="O500" s="8">
        <f>'[4]Usulan 2021'!J499</f>
        <v>87500</v>
      </c>
      <c r="P500" s="8">
        <f>'[4]Usulan 2021'!K499</f>
        <v>87500</v>
      </c>
    </row>
    <row r="501" spans="2:16" x14ac:dyDescent="0.2">
      <c r="B501" s="258">
        <f t="shared" si="20"/>
        <v>437</v>
      </c>
      <c r="C501" s="268"/>
      <c r="D501" s="417" t="s">
        <v>1485</v>
      </c>
      <c r="E501" s="270"/>
      <c r="F501" s="270"/>
      <c r="G501" s="310" t="s">
        <v>268</v>
      </c>
      <c r="H501" s="311"/>
      <c r="I501" s="312">
        <f t="shared" ref="I501:I509" si="21">N501</f>
        <v>76500</v>
      </c>
      <c r="J501" s="273"/>
      <c r="L501" s="8"/>
      <c r="M501" s="8"/>
      <c r="N501" s="8">
        <f>'[4]Usulan 2021'!I500</f>
        <v>76500</v>
      </c>
      <c r="O501" s="8"/>
      <c r="P501" s="8"/>
    </row>
    <row r="502" spans="2:16" x14ac:dyDescent="0.2">
      <c r="B502" s="258">
        <f t="shared" si="20"/>
        <v>438</v>
      </c>
      <c r="C502" s="268"/>
      <c r="D502" s="418" t="s">
        <v>1486</v>
      </c>
      <c r="E502" s="270"/>
      <c r="F502" s="270"/>
      <c r="G502" s="310" t="s">
        <v>268</v>
      </c>
      <c r="H502" s="311"/>
      <c r="I502" s="312">
        <f t="shared" si="21"/>
        <v>128000</v>
      </c>
      <c r="J502" s="273"/>
      <c r="L502" s="8"/>
      <c r="M502" s="8"/>
      <c r="N502" s="8">
        <f>'[4]Usulan 2021'!I501</f>
        <v>128000</v>
      </c>
      <c r="O502" s="8"/>
      <c r="P502" s="8"/>
    </row>
    <row r="503" spans="2:16" x14ac:dyDescent="0.2">
      <c r="B503" s="258">
        <f t="shared" si="20"/>
        <v>439</v>
      </c>
      <c r="C503" s="259"/>
      <c r="D503" s="354" t="s">
        <v>1161</v>
      </c>
      <c r="E503" s="261"/>
      <c r="F503" s="279"/>
      <c r="G503" s="335" t="s">
        <v>268</v>
      </c>
      <c r="H503" s="264"/>
      <c r="I503" s="312">
        <f t="shared" si="21"/>
        <v>233000</v>
      </c>
      <c r="J503" s="273"/>
      <c r="L503" s="8"/>
      <c r="M503" s="8"/>
      <c r="N503" s="8">
        <f>'[4]Usulan 2021'!I502</f>
        <v>233000</v>
      </c>
      <c r="O503" s="8">
        <f>'[4]Usulan 2021'!J502</f>
        <v>233000</v>
      </c>
      <c r="P503" s="8">
        <f>'[4]Usulan 2021'!K502</f>
        <v>233000</v>
      </c>
    </row>
    <row r="504" spans="2:16" x14ac:dyDescent="0.2">
      <c r="B504" s="258">
        <f t="shared" si="20"/>
        <v>440</v>
      </c>
      <c r="C504" s="259"/>
      <c r="D504" s="354" t="s">
        <v>1162</v>
      </c>
      <c r="E504" s="261"/>
      <c r="F504" s="279"/>
      <c r="G504" s="335" t="s">
        <v>268</v>
      </c>
      <c r="H504" s="264"/>
      <c r="I504" s="312">
        <f t="shared" si="21"/>
        <v>409000</v>
      </c>
      <c r="J504" s="273"/>
      <c r="L504" s="8"/>
      <c r="M504" s="8"/>
      <c r="N504" s="8">
        <f>'[4]Usulan 2021'!I503</f>
        <v>409000</v>
      </c>
      <c r="O504" s="8">
        <f>'[4]Usulan 2021'!J503</f>
        <v>409000</v>
      </c>
      <c r="P504" s="8">
        <f>'[4]Usulan 2021'!K503</f>
        <v>409000</v>
      </c>
    </row>
    <row r="505" spans="2:16" x14ac:dyDescent="0.2">
      <c r="B505" s="258">
        <f t="shared" si="20"/>
        <v>441</v>
      </c>
      <c r="C505" s="268"/>
      <c r="D505" s="318" t="s">
        <v>235</v>
      </c>
      <c r="E505" s="270"/>
      <c r="F505" s="316"/>
      <c r="G505" s="263" t="s">
        <v>298</v>
      </c>
      <c r="H505" s="311"/>
      <c r="I505" s="312">
        <f t="shared" si="21"/>
        <v>52500</v>
      </c>
      <c r="J505" s="273"/>
      <c r="L505" s="8"/>
      <c r="M505" s="8"/>
      <c r="N505" s="8">
        <f>'[4]Usulan 2021'!I504</f>
        <v>52500</v>
      </c>
      <c r="O505" s="8">
        <f>'[4]Usulan 2021'!J504</f>
        <v>52500</v>
      </c>
      <c r="P505" s="8">
        <f>'[4]Usulan 2021'!K504</f>
        <v>52500</v>
      </c>
    </row>
    <row r="506" spans="2:16" x14ac:dyDescent="0.2">
      <c r="B506" s="258">
        <f t="shared" si="20"/>
        <v>442</v>
      </c>
      <c r="C506" s="259"/>
      <c r="D506" s="354" t="s">
        <v>194</v>
      </c>
      <c r="E506" s="261"/>
      <c r="F506" s="419"/>
      <c r="G506" s="335" t="s">
        <v>298</v>
      </c>
      <c r="H506" s="264"/>
      <c r="I506" s="312">
        <f t="shared" si="21"/>
        <v>6500</v>
      </c>
      <c r="J506" s="273"/>
      <c r="L506" s="8"/>
      <c r="M506" s="8"/>
      <c r="N506" s="8">
        <f>'[4]Usulan 2021'!I505</f>
        <v>6500</v>
      </c>
      <c r="O506" s="8">
        <f>'[4]Usulan 2021'!J505</f>
        <v>6500</v>
      </c>
      <c r="P506" s="8">
        <f>'[4]Usulan 2021'!K505</f>
        <v>6500</v>
      </c>
    </row>
    <row r="507" spans="2:16" x14ac:dyDescent="0.2">
      <c r="B507" s="258">
        <f t="shared" si="20"/>
        <v>443</v>
      </c>
      <c r="C507" s="268"/>
      <c r="D507" s="318" t="s">
        <v>105</v>
      </c>
      <c r="E507" s="419"/>
      <c r="F507" s="420"/>
      <c r="G507" s="310" t="s">
        <v>264</v>
      </c>
      <c r="H507" s="311"/>
      <c r="I507" s="312">
        <f t="shared" si="21"/>
        <v>46000</v>
      </c>
      <c r="J507" s="273"/>
      <c r="L507" s="8"/>
      <c r="M507" s="8"/>
      <c r="N507" s="8">
        <f>'[4]Usulan 2021'!I506</f>
        <v>46000</v>
      </c>
      <c r="O507" s="8">
        <f>'[4]Usulan 2021'!J506</f>
        <v>46000</v>
      </c>
      <c r="P507" s="8">
        <f>'[4]Usulan 2021'!K506</f>
        <v>46000</v>
      </c>
    </row>
    <row r="508" spans="2:16" x14ac:dyDescent="0.2">
      <c r="B508" s="258">
        <f t="shared" si="20"/>
        <v>444</v>
      </c>
      <c r="C508" s="268"/>
      <c r="D508" s="319" t="s">
        <v>106</v>
      </c>
      <c r="E508" s="315"/>
      <c r="F508" s="316"/>
      <c r="G508" s="421" t="s">
        <v>264</v>
      </c>
      <c r="H508" s="422"/>
      <c r="I508" s="312">
        <f t="shared" si="21"/>
        <v>40000</v>
      </c>
      <c r="J508" s="273"/>
      <c r="L508" s="8"/>
      <c r="M508" s="8"/>
      <c r="N508" s="8">
        <f>'[4]Usulan 2021'!I507</f>
        <v>40000</v>
      </c>
      <c r="O508" s="8">
        <f>'[4]Usulan 2021'!J507</f>
        <v>40000</v>
      </c>
      <c r="P508" s="8">
        <f>'[4]Usulan 2021'!K507</f>
        <v>40000</v>
      </c>
    </row>
    <row r="509" spans="2:16" x14ac:dyDescent="0.2">
      <c r="B509" s="258">
        <f t="shared" si="20"/>
        <v>445</v>
      </c>
      <c r="C509" s="268"/>
      <c r="D509" s="319" t="s">
        <v>612</v>
      </c>
      <c r="E509" s="315"/>
      <c r="F509" s="316"/>
      <c r="G509" s="310" t="s">
        <v>264</v>
      </c>
      <c r="H509" s="311"/>
      <c r="I509" s="312">
        <f t="shared" si="21"/>
        <v>46000</v>
      </c>
      <c r="J509" s="273"/>
      <c r="L509" s="8"/>
      <c r="M509" s="8"/>
      <c r="N509" s="8">
        <f>'[4]Usulan 2021'!I508</f>
        <v>46000</v>
      </c>
      <c r="O509" s="8">
        <f>'[4]Usulan 2021'!J508</f>
        <v>46000</v>
      </c>
      <c r="P509" s="8">
        <f>'[4]Usulan 2021'!K508</f>
        <v>46000</v>
      </c>
    </row>
    <row r="510" spans="2:16" x14ac:dyDescent="0.2">
      <c r="B510" s="258">
        <f t="shared" si="20"/>
        <v>446</v>
      </c>
      <c r="C510" s="268"/>
      <c r="D510" s="319" t="s">
        <v>1442</v>
      </c>
      <c r="E510" s="315"/>
      <c r="F510" s="316"/>
      <c r="G510" s="310" t="s">
        <v>268</v>
      </c>
      <c r="H510" s="311"/>
      <c r="I510" s="312"/>
      <c r="J510" s="273"/>
      <c r="L510" s="8"/>
      <c r="M510" s="8"/>
      <c r="N510" s="8"/>
      <c r="O510" s="8"/>
      <c r="P510" s="8"/>
    </row>
    <row r="511" spans="2:16" x14ac:dyDescent="0.2">
      <c r="B511" s="258">
        <f t="shared" si="20"/>
        <v>447</v>
      </c>
      <c r="C511" s="268"/>
      <c r="D511" s="319" t="s">
        <v>926</v>
      </c>
      <c r="E511" s="315"/>
      <c r="F511" s="316"/>
      <c r="G511" s="310" t="s">
        <v>268</v>
      </c>
      <c r="H511" s="311"/>
      <c r="I511" s="312">
        <f>N511</f>
        <v>1753000</v>
      </c>
      <c r="J511" s="273"/>
      <c r="L511" s="8"/>
      <c r="M511" s="8"/>
      <c r="N511" s="8">
        <f>'[4]Usulan 2021'!I510</f>
        <v>1753000</v>
      </c>
      <c r="O511" s="8">
        <f>'[4]Usulan 2021'!J510</f>
        <v>1753000</v>
      </c>
      <c r="P511" s="8">
        <f>'[4]Usulan 2021'!K510</f>
        <v>1753000</v>
      </c>
    </row>
    <row r="512" spans="2:16" x14ac:dyDescent="0.2">
      <c r="B512" s="258">
        <f t="shared" si="20"/>
        <v>448</v>
      </c>
      <c r="C512" s="268"/>
      <c r="D512" s="319" t="s">
        <v>927</v>
      </c>
      <c r="E512" s="315"/>
      <c r="F512" s="316"/>
      <c r="G512" s="310" t="s">
        <v>268</v>
      </c>
      <c r="H512" s="311"/>
      <c r="I512" s="312">
        <f>N512</f>
        <v>4384000</v>
      </c>
      <c r="J512" s="273"/>
      <c r="L512" s="8"/>
      <c r="M512" s="8"/>
      <c r="N512" s="8">
        <f>'[4]Usulan 2021'!I511</f>
        <v>4384000</v>
      </c>
      <c r="O512" s="8">
        <f>'[4]Usulan 2021'!J511</f>
        <v>4384000</v>
      </c>
      <c r="P512" s="8">
        <f>'[4]Usulan 2021'!K511</f>
        <v>4384000</v>
      </c>
    </row>
    <row r="513" spans="2:16" x14ac:dyDescent="0.2">
      <c r="B513" s="258">
        <f t="shared" si="20"/>
        <v>449</v>
      </c>
      <c r="C513" s="268"/>
      <c r="D513" s="319" t="s">
        <v>1443</v>
      </c>
      <c r="E513" s="315"/>
      <c r="F513" s="316"/>
      <c r="G513" s="310" t="s">
        <v>268</v>
      </c>
      <c r="H513" s="311"/>
      <c r="I513" s="312">
        <f t="shared" ref="I513:I541" si="22">N513</f>
        <v>2845000</v>
      </c>
      <c r="J513" s="273"/>
      <c r="L513" s="8"/>
      <c r="M513" s="8"/>
      <c r="N513" s="8">
        <f>'[4]Usulan 2021'!I512</f>
        <v>2845000</v>
      </c>
      <c r="O513" s="8"/>
      <c r="P513" s="8"/>
    </row>
    <row r="514" spans="2:16" x14ac:dyDescent="0.2">
      <c r="B514" s="258">
        <f t="shared" si="20"/>
        <v>450</v>
      </c>
      <c r="C514" s="268"/>
      <c r="D514" s="319" t="s">
        <v>1444</v>
      </c>
      <c r="E514" s="315"/>
      <c r="F514" s="316"/>
      <c r="G514" s="310" t="s">
        <v>268</v>
      </c>
      <c r="H514" s="311"/>
      <c r="I514" s="312">
        <f t="shared" si="22"/>
        <v>44500</v>
      </c>
      <c r="J514" s="273"/>
      <c r="L514" s="8"/>
      <c r="M514" s="8"/>
      <c r="N514" s="8">
        <f>'[4]Usulan 2021'!I513</f>
        <v>44500</v>
      </c>
      <c r="O514" s="8"/>
      <c r="P514" s="8"/>
    </row>
    <row r="515" spans="2:16" x14ac:dyDescent="0.2">
      <c r="B515" s="258">
        <f t="shared" si="20"/>
        <v>451</v>
      </c>
      <c r="C515" s="268"/>
      <c r="D515" s="319" t="s">
        <v>1445</v>
      </c>
      <c r="E515" s="315"/>
      <c r="F515" s="316"/>
      <c r="G515" s="310" t="s">
        <v>268</v>
      </c>
      <c r="H515" s="311"/>
      <c r="I515" s="312">
        <f t="shared" si="22"/>
        <v>52500</v>
      </c>
      <c r="J515" s="273"/>
      <c r="L515" s="8"/>
      <c r="M515" s="8"/>
      <c r="N515" s="8">
        <f>'[4]Usulan 2021'!I514</f>
        <v>52500</v>
      </c>
      <c r="O515" s="8"/>
      <c r="P515" s="8"/>
    </row>
    <row r="516" spans="2:16" x14ac:dyDescent="0.2">
      <c r="B516" s="258">
        <f t="shared" si="20"/>
        <v>452</v>
      </c>
      <c r="C516" s="268"/>
      <c r="D516" s="319" t="s">
        <v>1446</v>
      </c>
      <c r="E516" s="315"/>
      <c r="F516" s="316"/>
      <c r="G516" s="310" t="s">
        <v>268</v>
      </c>
      <c r="H516" s="311"/>
      <c r="I516" s="312">
        <f t="shared" si="22"/>
        <v>569000</v>
      </c>
      <c r="J516" s="273"/>
      <c r="L516" s="8"/>
      <c r="M516" s="8"/>
      <c r="N516" s="8">
        <f>'[4]Usulan 2021'!I515</f>
        <v>569000</v>
      </c>
      <c r="O516" s="8"/>
      <c r="P516" s="8"/>
    </row>
    <row r="517" spans="2:16" x14ac:dyDescent="0.2">
      <c r="B517" s="258">
        <f t="shared" si="20"/>
        <v>453</v>
      </c>
      <c r="C517" s="268"/>
      <c r="D517" s="319" t="s">
        <v>535</v>
      </c>
      <c r="E517" s="315"/>
      <c r="F517" s="316"/>
      <c r="G517" s="310" t="s">
        <v>277</v>
      </c>
      <c r="H517" s="311"/>
      <c r="I517" s="312">
        <f t="shared" si="22"/>
        <v>139000</v>
      </c>
      <c r="J517" s="273"/>
      <c r="L517" s="8"/>
      <c r="M517" s="8"/>
      <c r="N517" s="8">
        <f>'[4]Usulan 2021'!I517</f>
        <v>139000</v>
      </c>
      <c r="O517" s="8">
        <f>'[4]Usulan 2021'!J517</f>
        <v>139000</v>
      </c>
      <c r="P517" s="8">
        <f>'[4]Usulan 2021'!K517</f>
        <v>139000</v>
      </c>
    </row>
    <row r="518" spans="2:16" x14ac:dyDescent="0.2">
      <c r="B518" s="258">
        <f t="shared" si="20"/>
        <v>454</v>
      </c>
      <c r="C518" s="268"/>
      <c r="D518" s="319" t="s">
        <v>536</v>
      </c>
      <c r="E518" s="315"/>
      <c r="F518" s="316"/>
      <c r="G518" s="310" t="s">
        <v>277</v>
      </c>
      <c r="H518" s="311"/>
      <c r="I518" s="312">
        <f t="shared" si="22"/>
        <v>128000</v>
      </c>
      <c r="J518" s="273"/>
      <c r="L518" s="8"/>
      <c r="M518" s="8"/>
      <c r="N518" s="8">
        <f>'[4]Usulan 2021'!I516</f>
        <v>128000</v>
      </c>
      <c r="O518" s="8">
        <f>'[4]Usulan 2021'!J516</f>
        <v>128000</v>
      </c>
      <c r="P518" s="8">
        <f>'[4]Usulan 2021'!K516</f>
        <v>128000</v>
      </c>
    </row>
    <row r="519" spans="2:16" x14ac:dyDescent="0.2">
      <c r="B519" s="258">
        <f t="shared" si="20"/>
        <v>455</v>
      </c>
      <c r="C519" s="268"/>
      <c r="D519" s="319" t="s">
        <v>107</v>
      </c>
      <c r="E519" s="315"/>
      <c r="F519" s="316"/>
      <c r="G519" s="310" t="s">
        <v>266</v>
      </c>
      <c r="H519" s="311"/>
      <c r="I519" s="312">
        <f t="shared" si="22"/>
        <v>24500</v>
      </c>
      <c r="J519" s="273"/>
      <c r="L519" s="8"/>
      <c r="M519" s="8"/>
      <c r="N519" s="8">
        <f>'[4]Usulan 2021'!I518</f>
        <v>24500</v>
      </c>
      <c r="O519" s="8">
        <f>'[4]Usulan 2021'!J518</f>
        <v>24500</v>
      </c>
      <c r="P519" s="8">
        <f>'[4]Usulan 2021'!K518</f>
        <v>24500</v>
      </c>
    </row>
    <row r="520" spans="2:16" x14ac:dyDescent="0.2">
      <c r="B520" s="258">
        <f t="shared" si="20"/>
        <v>456</v>
      </c>
      <c r="C520" s="268"/>
      <c r="D520" s="319" t="s">
        <v>108</v>
      </c>
      <c r="E520" s="315"/>
      <c r="F520" s="316"/>
      <c r="G520" s="310" t="s">
        <v>266</v>
      </c>
      <c r="H520" s="311"/>
      <c r="I520" s="312">
        <f t="shared" si="22"/>
        <v>32500</v>
      </c>
      <c r="J520" s="273"/>
      <c r="L520" s="8"/>
      <c r="M520" s="8"/>
      <c r="N520" s="8">
        <f>'[4]Usulan 2021'!I519</f>
        <v>32500</v>
      </c>
      <c r="O520" s="8">
        <f>'[4]Usulan 2021'!J519</f>
        <v>32500</v>
      </c>
      <c r="P520" s="8">
        <f>'[4]Usulan 2021'!K519</f>
        <v>32500</v>
      </c>
    </row>
    <row r="521" spans="2:16" x14ac:dyDescent="0.2">
      <c r="B521" s="258">
        <f t="shared" si="20"/>
        <v>457</v>
      </c>
      <c r="C521" s="268"/>
      <c r="D521" s="319" t="s">
        <v>110</v>
      </c>
      <c r="E521" s="315"/>
      <c r="F521" s="316"/>
      <c r="G521" s="310" t="s">
        <v>266</v>
      </c>
      <c r="H521" s="311"/>
      <c r="I521" s="312">
        <f t="shared" si="22"/>
        <v>30500</v>
      </c>
      <c r="J521" s="273"/>
      <c r="L521" s="8"/>
      <c r="M521" s="8"/>
      <c r="N521" s="8">
        <f>'[4]Usulan 2021'!I520</f>
        <v>30500</v>
      </c>
      <c r="O521" s="8">
        <f>'[4]Usulan 2021'!J520</f>
        <v>30500</v>
      </c>
      <c r="P521" s="8">
        <f>'[4]Usulan 2021'!K520</f>
        <v>30500</v>
      </c>
    </row>
    <row r="522" spans="2:16" x14ac:dyDescent="0.2">
      <c r="B522" s="258">
        <f t="shared" si="20"/>
        <v>458</v>
      </c>
      <c r="C522" s="268"/>
      <c r="D522" s="319" t="s">
        <v>109</v>
      </c>
      <c r="E522" s="315"/>
      <c r="F522" s="316"/>
      <c r="G522" s="263" t="s">
        <v>266</v>
      </c>
      <c r="H522" s="311"/>
      <c r="I522" s="312">
        <f t="shared" si="22"/>
        <v>36500</v>
      </c>
      <c r="J522" s="273"/>
      <c r="L522" s="8"/>
      <c r="M522" s="8"/>
      <c r="N522" s="8">
        <f>'[4]Usulan 2021'!I521</f>
        <v>36500</v>
      </c>
      <c r="O522" s="8">
        <f>'[4]Usulan 2021'!J521</f>
        <v>36500</v>
      </c>
      <c r="P522" s="8">
        <f>'[4]Usulan 2021'!K521</f>
        <v>36500</v>
      </c>
    </row>
    <row r="523" spans="2:16" x14ac:dyDescent="0.2">
      <c r="B523" s="258">
        <f t="shared" si="20"/>
        <v>459</v>
      </c>
      <c r="C523" s="268"/>
      <c r="D523" s="365" t="s">
        <v>398</v>
      </c>
      <c r="E523" s="315"/>
      <c r="F523" s="316"/>
      <c r="G523" s="263" t="s">
        <v>298</v>
      </c>
      <c r="H523" s="311"/>
      <c r="I523" s="312">
        <f t="shared" si="22"/>
        <v>4000</v>
      </c>
      <c r="J523" s="273"/>
      <c r="L523" s="8"/>
      <c r="M523" s="8"/>
      <c r="N523" s="8">
        <f>'[4]Usulan 2021'!I522</f>
        <v>4000</v>
      </c>
      <c r="O523" s="8">
        <f>'[4]Usulan 2021'!J522</f>
        <v>4000</v>
      </c>
      <c r="P523" s="8">
        <f>'[4]Usulan 2021'!K522</f>
        <v>4000</v>
      </c>
    </row>
    <row r="524" spans="2:16" x14ac:dyDescent="0.2">
      <c r="B524" s="258">
        <f t="shared" si="20"/>
        <v>460</v>
      </c>
      <c r="C524" s="268"/>
      <c r="D524" s="365" t="s">
        <v>135</v>
      </c>
      <c r="E524" s="315"/>
      <c r="F524" s="316"/>
      <c r="G524" s="263" t="s">
        <v>268</v>
      </c>
      <c r="H524" s="311"/>
      <c r="I524" s="312">
        <f t="shared" si="22"/>
        <v>5726000</v>
      </c>
      <c r="J524" s="273"/>
      <c r="L524" s="8"/>
      <c r="M524" s="8"/>
      <c r="N524" s="8">
        <f>'[4]Usulan 2021'!I523</f>
        <v>5726000</v>
      </c>
      <c r="O524" s="8">
        <f>'[4]Usulan 2021'!J523</f>
        <v>5726000</v>
      </c>
      <c r="P524" s="8">
        <f>'[4]Usulan 2021'!K523</f>
        <v>5726000</v>
      </c>
    </row>
    <row r="525" spans="2:16" x14ac:dyDescent="0.2">
      <c r="B525" s="258">
        <f t="shared" si="20"/>
        <v>461</v>
      </c>
      <c r="C525" s="268"/>
      <c r="D525" s="365" t="s">
        <v>136</v>
      </c>
      <c r="E525" s="315"/>
      <c r="F525" s="316"/>
      <c r="G525" s="263" t="s">
        <v>268</v>
      </c>
      <c r="H525" s="311"/>
      <c r="I525" s="312">
        <f t="shared" si="22"/>
        <v>6203000</v>
      </c>
      <c r="J525" s="273"/>
      <c r="L525" s="8"/>
      <c r="M525" s="8"/>
      <c r="N525" s="8">
        <f>'[4]Usulan 2021'!I524</f>
        <v>6203000</v>
      </c>
      <c r="O525" s="8">
        <f>'[4]Usulan 2021'!J524</f>
        <v>6203000</v>
      </c>
      <c r="P525" s="8">
        <f>'[4]Usulan 2021'!K524</f>
        <v>6203000</v>
      </c>
    </row>
    <row r="526" spans="2:16" x14ac:dyDescent="0.2">
      <c r="B526" s="258">
        <f t="shared" si="20"/>
        <v>462</v>
      </c>
      <c r="C526" s="268"/>
      <c r="D526" s="365" t="s">
        <v>137</v>
      </c>
      <c r="E526" s="315"/>
      <c r="F526" s="316"/>
      <c r="G526" s="263" t="s">
        <v>268</v>
      </c>
      <c r="H526" s="311"/>
      <c r="I526" s="312">
        <f t="shared" si="22"/>
        <v>7033000</v>
      </c>
      <c r="J526" s="273"/>
      <c r="L526" s="8"/>
      <c r="M526" s="8"/>
      <c r="N526" s="8">
        <f>'[4]Usulan 2021'!I525</f>
        <v>7033000</v>
      </c>
      <c r="O526" s="8">
        <f>'[4]Usulan 2021'!J525</f>
        <v>7033000</v>
      </c>
      <c r="P526" s="8">
        <f>'[4]Usulan 2021'!K525</f>
        <v>7033000</v>
      </c>
    </row>
    <row r="527" spans="2:16" x14ac:dyDescent="0.2">
      <c r="B527" s="258">
        <f t="shared" si="20"/>
        <v>463</v>
      </c>
      <c r="C527" s="268"/>
      <c r="D527" s="365" t="s">
        <v>138</v>
      </c>
      <c r="E527" s="315"/>
      <c r="F527" s="316"/>
      <c r="G527" s="263" t="s">
        <v>268</v>
      </c>
      <c r="H527" s="311"/>
      <c r="I527" s="312">
        <f t="shared" si="22"/>
        <v>3951000</v>
      </c>
      <c r="J527" s="273"/>
      <c r="L527" s="8"/>
      <c r="M527" s="8"/>
      <c r="N527" s="8">
        <f>'[4]Usulan 2021'!I526</f>
        <v>3951000</v>
      </c>
      <c r="O527" s="8">
        <f>'[4]Usulan 2021'!J526</f>
        <v>3951000</v>
      </c>
      <c r="P527" s="8">
        <f>'[4]Usulan 2021'!K526</f>
        <v>3951000</v>
      </c>
    </row>
    <row r="528" spans="2:16" x14ac:dyDescent="0.2">
      <c r="B528" s="258">
        <f t="shared" si="20"/>
        <v>464</v>
      </c>
      <c r="C528" s="268"/>
      <c r="D528" s="319" t="s">
        <v>1491</v>
      </c>
      <c r="E528" s="315"/>
      <c r="F528" s="316"/>
      <c r="G528" s="310"/>
      <c r="H528" s="311"/>
      <c r="I528" s="312">
        <f t="shared" si="22"/>
        <v>402000</v>
      </c>
      <c r="J528" s="273"/>
      <c r="L528" s="8"/>
      <c r="M528" s="8"/>
      <c r="N528" s="8">
        <f>'[4]Usulan 2021'!I527</f>
        <v>402000</v>
      </c>
      <c r="O528" s="8"/>
      <c r="P528" s="8"/>
    </row>
    <row r="529" spans="2:16" x14ac:dyDescent="0.2">
      <c r="B529" s="258">
        <f t="shared" si="20"/>
        <v>465</v>
      </c>
      <c r="C529" s="268"/>
      <c r="D529" s="319" t="s">
        <v>1387</v>
      </c>
      <c r="E529" s="315"/>
      <c r="F529" s="316"/>
      <c r="G529" s="310"/>
      <c r="H529" s="311"/>
      <c r="I529" s="312">
        <f t="shared" si="22"/>
        <v>60000</v>
      </c>
      <c r="J529" s="273"/>
      <c r="L529" s="8"/>
      <c r="M529" s="8"/>
      <c r="N529" s="8">
        <f>'[4]Usulan 2021'!I528</f>
        <v>60000</v>
      </c>
      <c r="O529" s="8"/>
      <c r="P529" s="8"/>
    </row>
    <row r="530" spans="2:16" x14ac:dyDescent="0.2">
      <c r="B530" s="258">
        <f t="shared" si="20"/>
        <v>466</v>
      </c>
      <c r="C530" s="268"/>
      <c r="D530" s="365" t="s">
        <v>139</v>
      </c>
      <c r="E530" s="315"/>
      <c r="F530" s="316"/>
      <c r="G530" s="263" t="s">
        <v>268</v>
      </c>
      <c r="H530" s="311"/>
      <c r="I530" s="312">
        <f t="shared" si="22"/>
        <v>35737000</v>
      </c>
      <c r="J530" s="273"/>
      <c r="L530" s="8"/>
      <c r="M530" s="8"/>
      <c r="N530" s="8">
        <f>'[4]Usulan 2021'!I529</f>
        <v>35737000</v>
      </c>
      <c r="O530" s="8">
        <f>'[4]Usulan 2021'!J529</f>
        <v>35737000</v>
      </c>
      <c r="P530" s="8">
        <f>'[4]Usulan 2021'!K529</f>
        <v>35737000</v>
      </c>
    </row>
    <row r="531" spans="2:16" x14ac:dyDescent="0.2">
      <c r="B531" s="258">
        <f t="shared" si="20"/>
        <v>467</v>
      </c>
      <c r="C531" s="268"/>
      <c r="D531" s="357" t="s">
        <v>1468</v>
      </c>
      <c r="E531" s="315"/>
      <c r="F531" s="316"/>
      <c r="G531" s="263" t="s">
        <v>268</v>
      </c>
      <c r="H531" s="311"/>
      <c r="I531" s="312">
        <f t="shared" si="22"/>
        <v>203000</v>
      </c>
      <c r="J531" s="273"/>
      <c r="L531" s="8"/>
      <c r="M531" s="8"/>
      <c r="N531" s="8">
        <f>'[4]Usulan 2021'!I530</f>
        <v>203000</v>
      </c>
      <c r="O531" s="8"/>
      <c r="P531" s="8"/>
    </row>
    <row r="532" spans="2:16" x14ac:dyDescent="0.2">
      <c r="B532" s="258">
        <f t="shared" si="20"/>
        <v>468</v>
      </c>
      <c r="C532" s="268"/>
      <c r="D532" s="319" t="s">
        <v>539</v>
      </c>
      <c r="E532" s="315"/>
      <c r="F532" s="316"/>
      <c r="G532" s="263" t="s">
        <v>277</v>
      </c>
      <c r="H532" s="311"/>
      <c r="I532" s="312">
        <f t="shared" si="22"/>
        <v>69000</v>
      </c>
      <c r="J532" s="273"/>
      <c r="L532" s="8"/>
      <c r="M532" s="8"/>
      <c r="N532" s="8">
        <f>'[4]Usulan 2021'!I531</f>
        <v>69000</v>
      </c>
      <c r="O532" s="8">
        <f>'[4]Usulan 2021'!J531</f>
        <v>69000</v>
      </c>
      <c r="P532" s="8">
        <f>'[4]Usulan 2021'!K531</f>
        <v>69000</v>
      </c>
    </row>
    <row r="533" spans="2:16" x14ac:dyDescent="0.2">
      <c r="B533" s="258">
        <f t="shared" si="20"/>
        <v>469</v>
      </c>
      <c r="C533" s="268"/>
      <c r="D533" s="319" t="s">
        <v>540</v>
      </c>
      <c r="E533" s="315"/>
      <c r="F533" s="316"/>
      <c r="G533" s="263" t="s">
        <v>277</v>
      </c>
      <c r="H533" s="311"/>
      <c r="I533" s="312">
        <f t="shared" si="22"/>
        <v>63000</v>
      </c>
      <c r="J533" s="273"/>
      <c r="L533" s="8"/>
      <c r="M533" s="8"/>
      <c r="N533" s="8">
        <f>'[4]Usulan 2021'!I532</f>
        <v>63000</v>
      </c>
      <c r="O533" s="8">
        <f>'[4]Usulan 2021'!J532</f>
        <v>63000</v>
      </c>
      <c r="P533" s="8">
        <f>'[4]Usulan 2021'!K532</f>
        <v>63000</v>
      </c>
    </row>
    <row r="534" spans="2:16" x14ac:dyDescent="0.2">
      <c r="B534" s="258">
        <f t="shared" si="20"/>
        <v>470</v>
      </c>
      <c r="C534" s="268"/>
      <c r="D534" s="319" t="s">
        <v>537</v>
      </c>
      <c r="E534" s="315"/>
      <c r="F534" s="316"/>
      <c r="G534" s="263" t="s">
        <v>277</v>
      </c>
      <c r="H534" s="311"/>
      <c r="I534" s="312">
        <f t="shared" si="22"/>
        <v>81000</v>
      </c>
      <c r="J534" s="273"/>
      <c r="L534" s="8"/>
      <c r="M534" s="8"/>
      <c r="N534" s="8">
        <f>'[4]Usulan 2021'!I533</f>
        <v>81000</v>
      </c>
      <c r="O534" s="8">
        <f>'[4]Usulan 2021'!J533</f>
        <v>81000</v>
      </c>
      <c r="P534" s="8">
        <f>'[4]Usulan 2021'!K533</f>
        <v>81000</v>
      </c>
    </row>
    <row r="535" spans="2:16" x14ac:dyDescent="0.2">
      <c r="B535" s="258">
        <f t="shared" si="20"/>
        <v>471</v>
      </c>
      <c r="C535" s="268"/>
      <c r="D535" s="319" t="s">
        <v>538</v>
      </c>
      <c r="E535" s="315"/>
      <c r="F535" s="316"/>
      <c r="G535" s="310" t="s">
        <v>277</v>
      </c>
      <c r="H535" s="311"/>
      <c r="I535" s="312">
        <f t="shared" si="22"/>
        <v>76000</v>
      </c>
      <c r="J535" s="273"/>
      <c r="L535" s="8"/>
      <c r="M535" s="8"/>
      <c r="N535" s="8">
        <f>'[4]Usulan 2021'!I534</f>
        <v>76000</v>
      </c>
      <c r="O535" s="8">
        <f>'[4]Usulan 2021'!J534</f>
        <v>76000</v>
      </c>
      <c r="P535" s="8">
        <f>'[4]Usulan 2021'!K534</f>
        <v>76000</v>
      </c>
    </row>
    <row r="536" spans="2:16" x14ac:dyDescent="0.2">
      <c r="B536" s="258">
        <f t="shared" si="20"/>
        <v>472</v>
      </c>
      <c r="C536" s="268"/>
      <c r="D536" s="319" t="s">
        <v>453</v>
      </c>
      <c r="E536" s="315"/>
      <c r="F536" s="316"/>
      <c r="G536" s="335" t="s">
        <v>268</v>
      </c>
      <c r="H536" s="311"/>
      <c r="I536" s="312">
        <f t="shared" si="22"/>
        <v>2045000</v>
      </c>
      <c r="J536" s="273"/>
      <c r="L536" s="8"/>
      <c r="M536" s="8"/>
      <c r="N536" s="8">
        <f>'[4]Usulan 2021'!I535</f>
        <v>2045000</v>
      </c>
      <c r="O536" s="8">
        <f>'[4]Usulan 2021'!J535</f>
        <v>2045000</v>
      </c>
      <c r="P536" s="8">
        <f>'[4]Usulan 2021'!K535</f>
        <v>2045000</v>
      </c>
    </row>
    <row r="537" spans="2:16" x14ac:dyDescent="0.2">
      <c r="B537" s="258">
        <f t="shared" si="20"/>
        <v>473</v>
      </c>
      <c r="C537" s="268"/>
      <c r="D537" s="319" t="s">
        <v>764</v>
      </c>
      <c r="E537" s="315"/>
      <c r="F537" s="316"/>
      <c r="G537" s="335" t="s">
        <v>392</v>
      </c>
      <c r="H537" s="311"/>
      <c r="I537" s="312">
        <f t="shared" si="22"/>
        <v>175000</v>
      </c>
      <c r="J537" s="273"/>
      <c r="L537" s="8"/>
      <c r="M537" s="8"/>
      <c r="N537" s="8">
        <f>'[4]Usulan 2021'!I536</f>
        <v>175000</v>
      </c>
      <c r="O537" s="8">
        <f>'[4]Usulan 2021'!J536</f>
        <v>175000</v>
      </c>
      <c r="P537" s="8">
        <f>'[4]Usulan 2021'!K536</f>
        <v>175000</v>
      </c>
    </row>
    <row r="538" spans="2:16" x14ac:dyDescent="0.2">
      <c r="B538" s="258">
        <f t="shared" si="20"/>
        <v>474</v>
      </c>
      <c r="C538" s="268"/>
      <c r="D538" s="318" t="s">
        <v>541</v>
      </c>
      <c r="E538" s="270"/>
      <c r="F538" s="271"/>
      <c r="G538" s="423" t="s">
        <v>247</v>
      </c>
      <c r="H538" s="311"/>
      <c r="I538" s="312">
        <f t="shared" si="22"/>
        <v>57000</v>
      </c>
      <c r="J538" s="273"/>
      <c r="L538" s="8"/>
      <c r="M538" s="8"/>
      <c r="N538" s="8">
        <f>'[4]Usulan 2021'!I537</f>
        <v>57000</v>
      </c>
      <c r="O538" s="8">
        <f>'[4]Usulan 2021'!J537</f>
        <v>57000</v>
      </c>
      <c r="P538" s="8">
        <f>'[4]Usulan 2021'!K537</f>
        <v>57000</v>
      </c>
    </row>
    <row r="539" spans="2:16" x14ac:dyDescent="0.2">
      <c r="B539" s="258">
        <f t="shared" si="20"/>
        <v>475</v>
      </c>
      <c r="C539" s="268"/>
      <c r="D539" s="318" t="s">
        <v>231</v>
      </c>
      <c r="E539" s="270"/>
      <c r="F539" s="424"/>
      <c r="G539" s="310" t="s">
        <v>275</v>
      </c>
      <c r="H539" s="311"/>
      <c r="I539" s="312">
        <f t="shared" si="22"/>
        <v>701000</v>
      </c>
      <c r="J539" s="273"/>
      <c r="L539" s="8"/>
      <c r="M539" s="8"/>
      <c r="N539" s="8">
        <f>'[4]Usulan 2021'!I538</f>
        <v>701000</v>
      </c>
      <c r="O539" s="8">
        <f>'[4]Usulan 2021'!J538</f>
        <v>701000</v>
      </c>
      <c r="P539" s="8">
        <f>'[4]Usulan 2021'!K538</f>
        <v>701000</v>
      </c>
    </row>
    <row r="540" spans="2:16" x14ac:dyDescent="0.2">
      <c r="B540" s="258">
        <f t="shared" si="20"/>
        <v>476</v>
      </c>
      <c r="C540" s="268"/>
      <c r="D540" s="318" t="s">
        <v>176</v>
      </c>
      <c r="E540" s="270"/>
      <c r="F540" s="424"/>
      <c r="G540" s="310" t="s">
        <v>275</v>
      </c>
      <c r="H540" s="311"/>
      <c r="I540" s="312">
        <f t="shared" si="22"/>
        <v>466000</v>
      </c>
      <c r="J540" s="273"/>
      <c r="L540" s="8"/>
      <c r="M540" s="8"/>
      <c r="N540" s="8">
        <f>'[4]Usulan 2021'!I539</f>
        <v>466000</v>
      </c>
      <c r="O540" s="8">
        <f>'[4]Usulan 2021'!J539</f>
        <v>466000</v>
      </c>
      <c r="P540" s="8">
        <f>'[4]Usulan 2021'!K539</f>
        <v>466000</v>
      </c>
    </row>
    <row r="541" spans="2:16" x14ac:dyDescent="0.2">
      <c r="B541" s="258">
        <f t="shared" si="20"/>
        <v>477</v>
      </c>
      <c r="C541" s="268"/>
      <c r="D541" s="318" t="s">
        <v>439</v>
      </c>
      <c r="E541" s="270"/>
      <c r="F541" s="316"/>
      <c r="G541" s="310" t="s">
        <v>247</v>
      </c>
      <c r="H541" s="311"/>
      <c r="I541" s="312">
        <f t="shared" si="22"/>
        <v>116000</v>
      </c>
      <c r="J541" s="273"/>
      <c r="L541" s="8"/>
      <c r="M541" s="8"/>
      <c r="N541" s="8">
        <f>'[4]Usulan 2021'!I540</f>
        <v>116000</v>
      </c>
      <c r="O541" s="8">
        <f>'[4]Usulan 2021'!J540</f>
        <v>116000</v>
      </c>
      <c r="P541" s="8">
        <f>'[4]Usulan 2021'!K540</f>
        <v>116000</v>
      </c>
    </row>
    <row r="542" spans="2:16" x14ac:dyDescent="0.2">
      <c r="B542" s="258"/>
      <c r="C542" s="268"/>
      <c r="D542" s="319"/>
      <c r="E542" s="315"/>
      <c r="F542" s="316"/>
      <c r="G542" s="310"/>
      <c r="H542" s="311"/>
      <c r="I542" s="312"/>
      <c r="J542" s="273"/>
      <c r="L542" s="8"/>
      <c r="M542" s="8"/>
      <c r="N542" s="8"/>
      <c r="O542" s="8"/>
      <c r="P542" s="8"/>
    </row>
    <row r="543" spans="2:16" x14ac:dyDescent="0.2">
      <c r="B543" s="258"/>
      <c r="C543" s="268"/>
      <c r="D543" s="319"/>
      <c r="E543" s="315"/>
      <c r="F543" s="316"/>
      <c r="G543" s="310"/>
      <c r="H543" s="311"/>
      <c r="I543" s="312"/>
      <c r="J543" s="273"/>
      <c r="L543" s="8"/>
      <c r="M543" s="8"/>
      <c r="N543" s="8"/>
      <c r="O543" s="8"/>
      <c r="P543" s="8"/>
    </row>
    <row r="544" spans="2:16" x14ac:dyDescent="0.2">
      <c r="B544" s="258">
        <f>B541+1</f>
        <v>478</v>
      </c>
      <c r="C544" s="313"/>
      <c r="D544" s="425" t="s">
        <v>715</v>
      </c>
      <c r="E544" s="315"/>
      <c r="F544" s="426"/>
      <c r="G544" s="427" t="s">
        <v>268</v>
      </c>
      <c r="H544" s="428"/>
      <c r="I544" s="312">
        <f t="shared" si="10"/>
        <v>141000</v>
      </c>
      <c r="J544" s="273"/>
      <c r="L544" s="8"/>
      <c r="M544" s="8"/>
      <c r="N544" s="8">
        <f>'[4]Usulan 2021'!I542</f>
        <v>141000</v>
      </c>
      <c r="O544" s="8">
        <f>'[4]Usulan 2021'!J542</f>
        <v>141000</v>
      </c>
      <c r="P544" s="8">
        <f>'[4]Usulan 2021'!K542</f>
        <v>141000</v>
      </c>
    </row>
    <row r="545" spans="2:16" x14ac:dyDescent="0.2">
      <c r="B545" s="258">
        <f>B544+1</f>
        <v>479</v>
      </c>
      <c r="C545" s="268"/>
      <c r="D545" s="425" t="s">
        <v>713</v>
      </c>
      <c r="E545" s="315"/>
      <c r="F545" s="315"/>
      <c r="G545" s="310" t="s">
        <v>268</v>
      </c>
      <c r="H545" s="311"/>
      <c r="I545" s="312">
        <f t="shared" si="10"/>
        <v>61000</v>
      </c>
      <c r="J545" s="273"/>
      <c r="L545" s="8"/>
      <c r="M545" s="8"/>
      <c r="N545" s="8">
        <f>'[4]Usulan 2021'!I543</f>
        <v>61000</v>
      </c>
      <c r="O545" s="8">
        <f>'[4]Usulan 2021'!J543</f>
        <v>61000</v>
      </c>
      <c r="P545" s="8">
        <f>'[4]Usulan 2021'!K543</f>
        <v>61000</v>
      </c>
    </row>
    <row r="546" spans="2:16" x14ac:dyDescent="0.2">
      <c r="B546" s="258">
        <f t="shared" ref="B546:B609" si="23">B545+1</f>
        <v>480</v>
      </c>
      <c r="C546" s="313"/>
      <c r="D546" s="425" t="s">
        <v>839</v>
      </c>
      <c r="E546" s="315"/>
      <c r="F546" s="316"/>
      <c r="G546" s="429" t="s">
        <v>268</v>
      </c>
      <c r="H546" s="317"/>
      <c r="I546" s="312">
        <f t="shared" si="10"/>
        <v>19000</v>
      </c>
      <c r="J546" s="273"/>
      <c r="L546" s="8"/>
      <c r="M546" s="8"/>
      <c r="N546" s="8">
        <f>'[4]Usulan 2021'!I544</f>
        <v>19000</v>
      </c>
      <c r="O546" s="8">
        <f>'[4]Usulan 2021'!J544</f>
        <v>19000</v>
      </c>
      <c r="P546" s="8">
        <f>'[4]Usulan 2021'!K544</f>
        <v>19000</v>
      </c>
    </row>
    <row r="549" spans="2:16" x14ac:dyDescent="0.2">
      <c r="B549" s="258">
        <f>B156+1</f>
        <v>93</v>
      </c>
      <c r="C549" s="268"/>
      <c r="D549" s="430" t="s">
        <v>414</v>
      </c>
      <c r="E549" s="270"/>
      <c r="F549" s="270"/>
      <c r="G549" s="310" t="s">
        <v>268</v>
      </c>
      <c r="H549" s="361"/>
      <c r="I549" s="312">
        <f t="shared" ref="I549:I592" si="24">N549</f>
        <v>22000</v>
      </c>
      <c r="J549" s="273"/>
      <c r="L549" s="8"/>
      <c r="M549" s="8"/>
      <c r="N549" s="8">
        <f>'[4]Usulan 2021'!I546</f>
        <v>22000</v>
      </c>
      <c r="O549" s="8">
        <f>'[4]Usulan 2021'!J546</f>
        <v>22000</v>
      </c>
      <c r="P549" s="8">
        <f>'[4]Usulan 2021'!K546</f>
        <v>22000</v>
      </c>
    </row>
    <row r="550" spans="2:16" x14ac:dyDescent="0.2">
      <c r="B550" s="258">
        <f t="shared" si="23"/>
        <v>94</v>
      </c>
      <c r="C550" s="268"/>
      <c r="D550" s="430" t="s">
        <v>413</v>
      </c>
      <c r="E550" s="270"/>
      <c r="F550" s="270"/>
      <c r="G550" s="310" t="s">
        <v>268</v>
      </c>
      <c r="H550" s="361"/>
      <c r="I550" s="312">
        <f t="shared" si="24"/>
        <v>17000</v>
      </c>
      <c r="J550" s="273"/>
      <c r="L550" s="8"/>
      <c r="M550" s="8"/>
      <c r="N550" s="8">
        <f>'[4]Usulan 2021'!I547</f>
        <v>17000</v>
      </c>
      <c r="O550" s="8">
        <f>'[4]Usulan 2021'!J547</f>
        <v>17000</v>
      </c>
      <c r="P550" s="8">
        <f>'[4]Usulan 2021'!K547</f>
        <v>17000</v>
      </c>
    </row>
    <row r="551" spans="2:16" x14ac:dyDescent="0.2">
      <c r="B551" s="258">
        <f t="shared" si="23"/>
        <v>95</v>
      </c>
      <c r="C551" s="343"/>
      <c r="D551" s="431" t="s">
        <v>1388</v>
      </c>
      <c r="E551" s="363"/>
      <c r="F551" s="353"/>
      <c r="G551" s="310" t="s">
        <v>1389</v>
      </c>
      <c r="H551" s="397"/>
      <c r="I551" s="312">
        <f t="shared" si="24"/>
        <v>8000</v>
      </c>
      <c r="J551" s="273"/>
      <c r="L551" s="8"/>
      <c r="M551" s="8"/>
      <c r="N551" s="8">
        <v>8000</v>
      </c>
      <c r="O551" s="8">
        <v>8000</v>
      </c>
      <c r="P551" s="8">
        <v>8000</v>
      </c>
    </row>
    <row r="552" spans="2:16" x14ac:dyDescent="0.2">
      <c r="B552" s="258">
        <f t="shared" si="23"/>
        <v>96</v>
      </c>
      <c r="C552" s="343"/>
      <c r="D552" s="431" t="s">
        <v>1390</v>
      </c>
      <c r="E552" s="363"/>
      <c r="F552" s="353"/>
      <c r="G552" s="310" t="s">
        <v>268</v>
      </c>
      <c r="H552" s="397"/>
      <c r="I552" s="312">
        <f t="shared" si="24"/>
        <v>2500000</v>
      </c>
      <c r="J552" s="273"/>
      <c r="L552" s="8"/>
      <c r="M552" s="8"/>
      <c r="N552" s="8">
        <v>2500000</v>
      </c>
      <c r="O552" s="8">
        <v>2500000</v>
      </c>
      <c r="P552" s="8">
        <v>2500000</v>
      </c>
    </row>
    <row r="553" spans="2:16" x14ac:dyDescent="0.2">
      <c r="B553" s="258">
        <f t="shared" si="23"/>
        <v>97</v>
      </c>
      <c r="C553" s="343"/>
      <c r="D553" s="431" t="s">
        <v>1391</v>
      </c>
      <c r="E553" s="363"/>
      <c r="F553" s="353"/>
      <c r="G553" s="310" t="s">
        <v>275</v>
      </c>
      <c r="H553" s="397"/>
      <c r="I553" s="312">
        <f t="shared" si="24"/>
        <v>1750000</v>
      </c>
      <c r="J553" s="273"/>
      <c r="L553" s="8"/>
      <c r="M553" s="8"/>
      <c r="N553" s="8">
        <v>1750000</v>
      </c>
      <c r="O553" s="8">
        <v>1750000</v>
      </c>
      <c r="P553" s="8">
        <v>1750000</v>
      </c>
    </row>
    <row r="554" spans="2:16" x14ac:dyDescent="0.2">
      <c r="B554" s="258">
        <f t="shared" si="23"/>
        <v>98</v>
      </c>
      <c r="C554" s="343"/>
      <c r="D554" s="432" t="s">
        <v>1392</v>
      </c>
      <c r="E554" s="363"/>
      <c r="F554" s="353"/>
      <c r="G554" s="310" t="s">
        <v>275</v>
      </c>
      <c r="H554" s="397"/>
      <c r="I554" s="312">
        <f t="shared" si="24"/>
        <v>3000000</v>
      </c>
      <c r="J554" s="273"/>
      <c r="L554" s="8"/>
      <c r="M554" s="8"/>
      <c r="N554" s="8">
        <v>3000000</v>
      </c>
      <c r="O554" s="8">
        <v>3000000</v>
      </c>
      <c r="P554" s="8">
        <v>3000000</v>
      </c>
    </row>
    <row r="555" spans="2:16" x14ac:dyDescent="0.2">
      <c r="B555" s="258">
        <f t="shared" si="23"/>
        <v>99</v>
      </c>
      <c r="C555" s="343"/>
      <c r="D555" s="431" t="s">
        <v>1393</v>
      </c>
      <c r="E555" s="363"/>
      <c r="F555" s="353"/>
      <c r="G555" s="310" t="s">
        <v>247</v>
      </c>
      <c r="H555" s="397"/>
      <c r="I555" s="312">
        <f t="shared" si="24"/>
        <v>50000</v>
      </c>
      <c r="J555" s="273"/>
      <c r="L555" s="8"/>
      <c r="M555" s="8"/>
      <c r="N555" s="8">
        <v>50000</v>
      </c>
      <c r="O555" s="8">
        <v>50000</v>
      </c>
      <c r="P555" s="8">
        <v>50000</v>
      </c>
    </row>
    <row r="556" spans="2:16" x14ac:dyDescent="0.2">
      <c r="B556" s="258">
        <f t="shared" si="23"/>
        <v>100</v>
      </c>
      <c r="C556" s="343"/>
      <c r="D556" s="431" t="s">
        <v>1460</v>
      </c>
      <c r="E556" s="363"/>
      <c r="F556" s="353"/>
      <c r="G556" s="310" t="s">
        <v>338</v>
      </c>
      <c r="H556" s="397"/>
      <c r="I556" s="312">
        <f t="shared" si="24"/>
        <v>130000</v>
      </c>
      <c r="J556" s="273"/>
      <c r="L556" s="8"/>
      <c r="M556" s="8"/>
      <c r="N556" s="8">
        <v>130000</v>
      </c>
      <c r="O556" s="8">
        <v>130000</v>
      </c>
      <c r="P556" s="8">
        <v>130000</v>
      </c>
    </row>
    <row r="557" spans="2:16" x14ac:dyDescent="0.2">
      <c r="B557" s="258">
        <f t="shared" si="23"/>
        <v>101</v>
      </c>
      <c r="C557" s="343"/>
      <c r="D557" s="433" t="s">
        <v>1416</v>
      </c>
      <c r="E557" s="363"/>
      <c r="F557" s="353"/>
      <c r="G557" s="310" t="s">
        <v>338</v>
      </c>
      <c r="H557" s="397"/>
      <c r="I557" s="312">
        <f t="shared" si="24"/>
        <v>230000</v>
      </c>
      <c r="J557" s="273"/>
      <c r="L557" s="8"/>
      <c r="M557" s="8"/>
      <c r="N557" s="434">
        <v>230000</v>
      </c>
      <c r="O557" s="434">
        <v>230000</v>
      </c>
      <c r="P557" s="434">
        <v>230000</v>
      </c>
    </row>
    <row r="558" spans="2:16" x14ac:dyDescent="0.2">
      <c r="B558" s="258">
        <f t="shared" si="23"/>
        <v>102</v>
      </c>
      <c r="C558" s="343"/>
      <c r="D558" s="433" t="s">
        <v>1417</v>
      </c>
      <c r="E558" s="363"/>
      <c r="F558" s="353"/>
      <c r="G558" s="310" t="s">
        <v>338</v>
      </c>
      <c r="H558" s="397"/>
      <c r="I558" s="312">
        <f t="shared" si="24"/>
        <v>190000</v>
      </c>
      <c r="J558" s="273"/>
      <c r="L558" s="8"/>
      <c r="M558" s="8"/>
      <c r="N558" s="434">
        <v>190000</v>
      </c>
      <c r="O558" s="434">
        <v>190000</v>
      </c>
      <c r="P558" s="434">
        <v>190000</v>
      </c>
    </row>
    <row r="559" spans="2:16" x14ac:dyDescent="0.2">
      <c r="B559" s="258">
        <f t="shared" si="23"/>
        <v>103</v>
      </c>
      <c r="C559" s="343"/>
      <c r="D559" s="433" t="s">
        <v>1418</v>
      </c>
      <c r="E559" s="363"/>
      <c r="F559" s="353"/>
      <c r="G559" s="310" t="s">
        <v>338</v>
      </c>
      <c r="H559" s="397"/>
      <c r="I559" s="312">
        <f t="shared" si="24"/>
        <v>235000</v>
      </c>
      <c r="J559" s="273"/>
      <c r="L559" s="8"/>
      <c r="M559" s="8"/>
      <c r="N559" s="434">
        <v>235000</v>
      </c>
      <c r="O559" s="434">
        <v>235000</v>
      </c>
      <c r="P559" s="434">
        <v>235000</v>
      </c>
    </row>
    <row r="560" spans="2:16" x14ac:dyDescent="0.2">
      <c r="B560" s="258">
        <f t="shared" si="23"/>
        <v>104</v>
      </c>
      <c r="C560" s="343"/>
      <c r="D560" s="433" t="s">
        <v>1419</v>
      </c>
      <c r="E560" s="363"/>
      <c r="F560" s="353"/>
      <c r="G560" s="310" t="s">
        <v>338</v>
      </c>
      <c r="H560" s="397"/>
      <c r="I560" s="312">
        <f t="shared" si="24"/>
        <v>215000</v>
      </c>
      <c r="J560" s="273"/>
      <c r="L560" s="8"/>
      <c r="M560" s="8"/>
      <c r="N560" s="434">
        <v>215000</v>
      </c>
      <c r="O560" s="434">
        <v>215000</v>
      </c>
      <c r="P560" s="434">
        <v>215000</v>
      </c>
    </row>
    <row r="561" spans="1:18" x14ac:dyDescent="0.2">
      <c r="B561" s="258">
        <f t="shared" si="23"/>
        <v>105</v>
      </c>
      <c r="C561" s="343"/>
      <c r="D561" s="433" t="s">
        <v>1420</v>
      </c>
      <c r="E561" s="363"/>
      <c r="F561" s="353"/>
      <c r="G561" s="310" t="s">
        <v>338</v>
      </c>
      <c r="H561" s="397"/>
      <c r="I561" s="312">
        <f t="shared" si="24"/>
        <v>265000</v>
      </c>
      <c r="J561" s="273"/>
      <c r="L561" s="8"/>
      <c r="M561" s="8"/>
      <c r="N561" s="434">
        <v>265000</v>
      </c>
      <c r="O561" s="434">
        <v>265000</v>
      </c>
      <c r="P561" s="434">
        <v>265000</v>
      </c>
    </row>
    <row r="562" spans="1:18" x14ac:dyDescent="0.2">
      <c r="B562" s="258">
        <f t="shared" si="23"/>
        <v>106</v>
      </c>
      <c r="C562" s="343"/>
      <c r="D562" s="433" t="s">
        <v>1421</v>
      </c>
      <c r="E562" s="363"/>
      <c r="F562" s="353"/>
      <c r="G562" s="310" t="s">
        <v>338</v>
      </c>
      <c r="H562" s="397"/>
      <c r="I562" s="312">
        <f t="shared" si="24"/>
        <v>245000</v>
      </c>
      <c r="J562" s="273"/>
      <c r="L562" s="8"/>
      <c r="M562" s="8"/>
      <c r="N562" s="434">
        <v>245000</v>
      </c>
      <c r="O562" s="434">
        <v>245000</v>
      </c>
      <c r="P562" s="434">
        <v>245000</v>
      </c>
    </row>
    <row r="563" spans="1:18" x14ac:dyDescent="0.2">
      <c r="B563" s="258">
        <f t="shared" si="23"/>
        <v>107</v>
      </c>
      <c r="C563" s="343"/>
      <c r="D563" s="433" t="s">
        <v>1422</v>
      </c>
      <c r="E563" s="363"/>
      <c r="F563" s="353"/>
      <c r="G563" s="310" t="s">
        <v>338</v>
      </c>
      <c r="H563" s="397"/>
      <c r="I563" s="312">
        <f t="shared" si="24"/>
        <v>275000</v>
      </c>
      <c r="J563" s="273"/>
      <c r="L563" s="8"/>
      <c r="M563" s="8"/>
      <c r="N563" s="434">
        <v>275000</v>
      </c>
      <c r="O563" s="434">
        <v>275000</v>
      </c>
      <c r="P563" s="434">
        <v>275000</v>
      </c>
    </row>
    <row r="564" spans="1:18" x14ac:dyDescent="0.2">
      <c r="B564" s="258">
        <f t="shared" si="23"/>
        <v>108</v>
      </c>
      <c r="C564" s="343"/>
      <c r="D564" s="433" t="s">
        <v>1423</v>
      </c>
      <c r="E564" s="363"/>
      <c r="F564" s="353"/>
      <c r="G564" s="310" t="s">
        <v>338</v>
      </c>
      <c r="H564" s="397"/>
      <c r="I564" s="312">
        <f t="shared" si="24"/>
        <v>255000</v>
      </c>
      <c r="J564" s="273"/>
      <c r="L564" s="8"/>
      <c r="M564" s="8"/>
      <c r="N564" s="434">
        <v>255000</v>
      </c>
      <c r="O564" s="434">
        <v>255000</v>
      </c>
      <c r="P564" s="434">
        <v>255000</v>
      </c>
    </row>
    <row r="565" spans="1:18" x14ac:dyDescent="0.2">
      <c r="B565" s="258">
        <f t="shared" si="23"/>
        <v>109</v>
      </c>
      <c r="C565" s="343"/>
      <c r="D565" s="431" t="s">
        <v>1461</v>
      </c>
      <c r="E565" s="363"/>
      <c r="F565" s="353"/>
      <c r="G565" s="310" t="s">
        <v>338</v>
      </c>
      <c r="H565" s="397"/>
      <c r="I565" s="312">
        <f t="shared" si="24"/>
        <v>225000</v>
      </c>
      <c r="J565" s="273"/>
      <c r="L565" s="8"/>
      <c r="M565" s="8"/>
      <c r="N565" s="8">
        <v>225000</v>
      </c>
      <c r="O565" s="8">
        <v>225000</v>
      </c>
      <c r="P565" s="8">
        <v>225000</v>
      </c>
    </row>
    <row r="566" spans="1:18" s="5" customFormat="1" ht="15.75" x14ac:dyDescent="0.25">
      <c r="A566" s="9"/>
      <c r="B566" s="258">
        <f t="shared" si="23"/>
        <v>110</v>
      </c>
      <c r="C566" s="13"/>
      <c r="D566" s="435" t="s">
        <v>1155</v>
      </c>
      <c r="E566" s="12"/>
      <c r="F566" s="12"/>
      <c r="G566" s="310" t="s">
        <v>268</v>
      </c>
      <c r="H566" s="311"/>
      <c r="I566" s="312">
        <f t="shared" si="24"/>
        <v>5600</v>
      </c>
      <c r="J566" s="273"/>
      <c r="K566" s="210"/>
      <c r="L566" s="8"/>
      <c r="M566" s="8"/>
      <c r="N566" s="8">
        <f>'[4]Usulan 2021'!I642</f>
        <v>5600</v>
      </c>
      <c r="O566" s="8">
        <f>'[4]Usulan 2021'!J642</f>
        <v>5600</v>
      </c>
      <c r="P566" s="8">
        <f>'[4]Usulan 2021'!K642</f>
        <v>5600</v>
      </c>
      <c r="R566" s="6">
        <v>5000</v>
      </c>
    </row>
    <row r="567" spans="1:18" x14ac:dyDescent="0.2">
      <c r="B567" s="258">
        <f t="shared" si="23"/>
        <v>111</v>
      </c>
      <c r="C567" s="268"/>
      <c r="D567" s="436" t="s">
        <v>1154</v>
      </c>
      <c r="E567" s="315"/>
      <c r="F567" s="424"/>
      <c r="G567" s="310" t="s">
        <v>1152</v>
      </c>
      <c r="H567" s="328"/>
      <c r="I567" s="312">
        <f t="shared" si="24"/>
        <v>360000</v>
      </c>
      <c r="J567" s="273"/>
      <c r="L567" s="8"/>
      <c r="M567" s="8"/>
      <c r="N567" s="8">
        <v>360000</v>
      </c>
      <c r="O567" s="8">
        <v>360000</v>
      </c>
      <c r="P567" s="8">
        <v>360000</v>
      </c>
      <c r="R567" s="8">
        <v>330000</v>
      </c>
    </row>
    <row r="568" spans="1:18" x14ac:dyDescent="0.2">
      <c r="B568" s="258">
        <f t="shared" si="23"/>
        <v>112</v>
      </c>
      <c r="C568" s="268"/>
      <c r="D568" s="400" t="s">
        <v>393</v>
      </c>
      <c r="E568" s="437"/>
      <c r="F568" s="424"/>
      <c r="G568" s="310" t="s">
        <v>268</v>
      </c>
      <c r="H568" s="361"/>
      <c r="I568" s="312">
        <f t="shared" si="24"/>
        <v>3000</v>
      </c>
      <c r="J568" s="273"/>
      <c r="L568" s="8"/>
      <c r="M568" s="8"/>
      <c r="N568" s="8">
        <v>3000</v>
      </c>
      <c r="O568" s="8">
        <v>3000</v>
      </c>
      <c r="P568" s="8">
        <v>3000</v>
      </c>
      <c r="R568" s="8">
        <v>3000</v>
      </c>
    </row>
    <row r="569" spans="1:18" x14ac:dyDescent="0.2">
      <c r="B569" s="258">
        <f t="shared" si="23"/>
        <v>113</v>
      </c>
      <c r="C569" s="259"/>
      <c r="D569" s="438" t="s">
        <v>623</v>
      </c>
      <c r="E569" s="261"/>
      <c r="F569" s="262"/>
      <c r="G569" s="335" t="s">
        <v>273</v>
      </c>
      <c r="H569" s="264"/>
      <c r="I569" s="312">
        <f t="shared" si="24"/>
        <v>360000</v>
      </c>
      <c r="J569" s="266"/>
      <c r="L569" s="8"/>
      <c r="M569" s="8"/>
      <c r="N569" s="256">
        <v>360000</v>
      </c>
      <c r="O569" s="8">
        <v>360000</v>
      </c>
      <c r="P569" s="8">
        <v>360000</v>
      </c>
      <c r="R569" s="8">
        <v>330000</v>
      </c>
    </row>
    <row r="570" spans="1:18" x14ac:dyDescent="0.2">
      <c r="B570" s="258">
        <f t="shared" si="23"/>
        <v>114</v>
      </c>
      <c r="C570" s="259"/>
      <c r="D570" s="438" t="s">
        <v>622</v>
      </c>
      <c r="E570" s="261"/>
      <c r="F570" s="262"/>
      <c r="G570" s="335" t="s">
        <v>273</v>
      </c>
      <c r="H570" s="264"/>
      <c r="I570" s="312">
        <f t="shared" si="24"/>
        <v>66000</v>
      </c>
      <c r="J570" s="266"/>
      <c r="L570" s="8"/>
      <c r="M570" s="8"/>
      <c r="N570" s="256">
        <v>66000</v>
      </c>
      <c r="O570" s="8">
        <v>66000</v>
      </c>
      <c r="P570" s="8">
        <v>66000</v>
      </c>
      <c r="R570" s="8">
        <v>60000</v>
      </c>
    </row>
    <row r="571" spans="1:18" x14ac:dyDescent="0.2">
      <c r="B571" s="258">
        <f t="shared" si="23"/>
        <v>115</v>
      </c>
      <c r="C571" s="259"/>
      <c r="D571" s="438" t="s">
        <v>616</v>
      </c>
      <c r="E571" s="261"/>
      <c r="F571" s="262"/>
      <c r="G571" s="335" t="s">
        <v>617</v>
      </c>
      <c r="H571" s="264"/>
      <c r="I571" s="312">
        <f t="shared" si="24"/>
        <v>423000</v>
      </c>
      <c r="J571" s="266"/>
      <c r="L571" s="8"/>
      <c r="M571" s="8"/>
      <c r="N571" s="256">
        <v>423000</v>
      </c>
      <c r="O571" s="8">
        <v>423000</v>
      </c>
      <c r="P571" s="8">
        <v>423000</v>
      </c>
      <c r="R571" s="8">
        <v>385000</v>
      </c>
    </row>
    <row r="572" spans="1:18" x14ac:dyDescent="0.2">
      <c r="B572" s="258">
        <f t="shared" si="23"/>
        <v>116</v>
      </c>
      <c r="C572" s="259"/>
      <c r="D572" s="438" t="s">
        <v>637</v>
      </c>
      <c r="E572" s="261"/>
      <c r="F572" s="262"/>
      <c r="G572" s="335" t="s">
        <v>273</v>
      </c>
      <c r="H572" s="264"/>
      <c r="I572" s="312">
        <f t="shared" si="24"/>
        <v>132000</v>
      </c>
      <c r="J572" s="266"/>
      <c r="L572" s="8"/>
      <c r="M572" s="8"/>
      <c r="N572" s="256">
        <v>132000</v>
      </c>
      <c r="O572" s="8">
        <v>132000</v>
      </c>
      <c r="P572" s="8">
        <v>132000</v>
      </c>
      <c r="R572" s="8">
        <v>120000</v>
      </c>
    </row>
    <row r="573" spans="1:18" x14ac:dyDescent="0.2">
      <c r="B573" s="258">
        <f t="shared" si="23"/>
        <v>117</v>
      </c>
      <c r="C573" s="259"/>
      <c r="D573" s="438" t="s">
        <v>618</v>
      </c>
      <c r="E573" s="261"/>
      <c r="F573" s="262"/>
      <c r="G573" s="335" t="s">
        <v>273</v>
      </c>
      <c r="H573" s="264"/>
      <c r="I573" s="312">
        <f t="shared" si="24"/>
        <v>2400000</v>
      </c>
      <c r="J573" s="266"/>
      <c r="L573" s="8"/>
      <c r="M573" s="8"/>
      <c r="N573" s="8">
        <v>2400000</v>
      </c>
      <c r="O573" s="8">
        <v>2400000</v>
      </c>
      <c r="P573" s="8">
        <v>2400000</v>
      </c>
      <c r="R573" s="8">
        <v>2200000</v>
      </c>
    </row>
    <row r="574" spans="1:18" x14ac:dyDescent="0.2">
      <c r="B574" s="258">
        <f t="shared" si="23"/>
        <v>118</v>
      </c>
      <c r="C574" s="259"/>
      <c r="D574" s="438" t="s">
        <v>621</v>
      </c>
      <c r="E574" s="261"/>
      <c r="F574" s="262"/>
      <c r="G574" s="335" t="s">
        <v>617</v>
      </c>
      <c r="H574" s="264"/>
      <c r="I574" s="312">
        <f t="shared" si="24"/>
        <v>5000000</v>
      </c>
      <c r="J574" s="266"/>
      <c r="L574" s="8"/>
      <c r="M574" s="8"/>
      <c r="N574" s="256">
        <v>5000000</v>
      </c>
      <c r="O574" s="8">
        <v>5000000</v>
      </c>
      <c r="P574" s="8">
        <v>5000000</v>
      </c>
      <c r="R574" s="327">
        <v>880000</v>
      </c>
    </row>
    <row r="575" spans="1:18" x14ac:dyDescent="0.2">
      <c r="B575" s="258">
        <f t="shared" si="23"/>
        <v>119</v>
      </c>
      <c r="C575" s="259"/>
      <c r="D575" s="439" t="s">
        <v>615</v>
      </c>
      <c r="E575" s="261"/>
      <c r="F575" s="262"/>
      <c r="G575" s="335" t="s">
        <v>392</v>
      </c>
      <c r="H575" s="264"/>
      <c r="I575" s="312">
        <f t="shared" si="24"/>
        <v>44000</v>
      </c>
      <c r="J575" s="266"/>
      <c r="L575" s="8"/>
      <c r="M575" s="8"/>
      <c r="N575" s="8">
        <v>44000</v>
      </c>
      <c r="O575" s="8">
        <v>44000</v>
      </c>
      <c r="P575" s="8">
        <v>44000</v>
      </c>
      <c r="R575" s="8">
        <v>40000</v>
      </c>
    </row>
    <row r="576" spans="1:18" x14ac:dyDescent="0.2">
      <c r="B576" s="258">
        <f t="shared" si="23"/>
        <v>120</v>
      </c>
      <c r="C576" s="259"/>
      <c r="D576" s="439" t="s">
        <v>634</v>
      </c>
      <c r="E576" s="261"/>
      <c r="F576" s="262"/>
      <c r="G576" s="335" t="s">
        <v>392</v>
      </c>
      <c r="H576" s="264"/>
      <c r="I576" s="312">
        <f t="shared" si="24"/>
        <v>44000</v>
      </c>
      <c r="J576" s="266"/>
      <c r="L576" s="8"/>
      <c r="M576" s="8"/>
      <c r="N576" s="8">
        <v>44000</v>
      </c>
      <c r="O576" s="8">
        <v>44000</v>
      </c>
      <c r="P576" s="8">
        <v>44000</v>
      </c>
      <c r="R576" s="8">
        <v>40000</v>
      </c>
    </row>
    <row r="577" spans="2:19" x14ac:dyDescent="0.2">
      <c r="B577" s="258">
        <f t="shared" si="23"/>
        <v>121</v>
      </c>
      <c r="C577" s="259"/>
      <c r="D577" s="438" t="s">
        <v>628</v>
      </c>
      <c r="E577" s="261"/>
      <c r="F577" s="262"/>
      <c r="G577" s="335" t="s">
        <v>268</v>
      </c>
      <c r="H577" s="264"/>
      <c r="I577" s="312">
        <f t="shared" si="24"/>
        <v>1320000</v>
      </c>
      <c r="J577" s="266"/>
      <c r="L577" s="8"/>
      <c r="M577" s="8"/>
      <c r="N577" s="8">
        <v>1320000</v>
      </c>
      <c r="O577" s="8">
        <v>1320000</v>
      </c>
      <c r="P577" s="8">
        <v>1320000</v>
      </c>
      <c r="R577" s="8">
        <v>1200000</v>
      </c>
    </row>
    <row r="578" spans="2:19" x14ac:dyDescent="0.2">
      <c r="B578" s="258">
        <f t="shared" si="23"/>
        <v>122</v>
      </c>
      <c r="C578" s="259"/>
      <c r="D578" s="438" t="s">
        <v>629</v>
      </c>
      <c r="E578" s="261"/>
      <c r="F578" s="262"/>
      <c r="G578" s="335" t="s">
        <v>268</v>
      </c>
      <c r="H578" s="264"/>
      <c r="I578" s="312">
        <f t="shared" si="24"/>
        <v>880000</v>
      </c>
      <c r="J578" s="266"/>
      <c r="L578" s="8"/>
      <c r="M578" s="8"/>
      <c r="N578" s="8">
        <v>880000</v>
      </c>
      <c r="O578" s="8">
        <v>880000</v>
      </c>
      <c r="P578" s="8">
        <v>880000</v>
      </c>
      <c r="R578" s="8">
        <v>800000</v>
      </c>
    </row>
    <row r="579" spans="2:19" x14ac:dyDescent="0.2">
      <c r="B579" s="258">
        <f t="shared" si="23"/>
        <v>123</v>
      </c>
      <c r="C579" s="259"/>
      <c r="D579" s="438" t="s">
        <v>630</v>
      </c>
      <c r="E579" s="261"/>
      <c r="F579" s="262"/>
      <c r="G579" s="335" t="s">
        <v>268</v>
      </c>
      <c r="H579" s="264"/>
      <c r="I579" s="312">
        <f t="shared" si="24"/>
        <v>159000</v>
      </c>
      <c r="J579" s="266"/>
      <c r="L579" s="8"/>
      <c r="M579" s="8"/>
      <c r="N579" s="8">
        <v>159000</v>
      </c>
      <c r="O579" s="8">
        <v>159000</v>
      </c>
      <c r="P579" s="8">
        <v>159000</v>
      </c>
      <c r="R579" s="8">
        <v>145000</v>
      </c>
    </row>
    <row r="580" spans="2:19" x14ac:dyDescent="0.2">
      <c r="B580" s="258">
        <f t="shared" si="23"/>
        <v>124</v>
      </c>
      <c r="C580" s="259"/>
      <c r="D580" s="438" t="s">
        <v>631</v>
      </c>
      <c r="E580" s="261"/>
      <c r="F580" s="262"/>
      <c r="G580" s="335" t="s">
        <v>268</v>
      </c>
      <c r="H580" s="264"/>
      <c r="I580" s="312">
        <f t="shared" si="24"/>
        <v>300000</v>
      </c>
      <c r="J580" s="266"/>
      <c r="L580" s="8"/>
      <c r="M580" s="8"/>
      <c r="N580" s="8">
        <v>300000</v>
      </c>
      <c r="O580" s="8">
        <v>300000</v>
      </c>
      <c r="P580" s="8">
        <v>300000</v>
      </c>
      <c r="R580" s="8">
        <v>275000</v>
      </c>
    </row>
    <row r="581" spans="2:19" x14ac:dyDescent="0.2">
      <c r="B581" s="258">
        <f t="shared" si="23"/>
        <v>125</v>
      </c>
      <c r="C581" s="259"/>
      <c r="D581" s="438" t="s">
        <v>626</v>
      </c>
      <c r="E581" s="261"/>
      <c r="F581" s="262"/>
      <c r="G581" s="335" t="s">
        <v>273</v>
      </c>
      <c r="H581" s="264"/>
      <c r="I581" s="312">
        <f t="shared" si="24"/>
        <v>1800000</v>
      </c>
      <c r="J581" s="266"/>
      <c r="L581" s="8"/>
      <c r="M581" s="8"/>
      <c r="N581" s="8">
        <v>1800000</v>
      </c>
      <c r="O581" s="8">
        <v>1800000</v>
      </c>
      <c r="P581" s="8">
        <v>1800000</v>
      </c>
      <c r="R581" s="440">
        <v>1650000</v>
      </c>
    </row>
    <row r="582" spans="2:19" x14ac:dyDescent="0.2">
      <c r="B582" s="258">
        <f t="shared" si="23"/>
        <v>126</v>
      </c>
      <c r="C582" s="259"/>
      <c r="D582" s="438" t="s">
        <v>649</v>
      </c>
      <c r="E582" s="261"/>
      <c r="F582" s="262"/>
      <c r="G582" s="335" t="s">
        <v>273</v>
      </c>
      <c r="H582" s="264"/>
      <c r="I582" s="312">
        <f t="shared" si="24"/>
        <v>600000</v>
      </c>
      <c r="J582" s="266"/>
      <c r="L582" s="8"/>
      <c r="M582" s="8"/>
      <c r="N582" s="8">
        <v>600000</v>
      </c>
      <c r="O582" s="8">
        <v>600000</v>
      </c>
      <c r="P582" s="8">
        <v>600000</v>
      </c>
      <c r="R582" s="8">
        <v>550000</v>
      </c>
    </row>
    <row r="583" spans="2:19" x14ac:dyDescent="0.2">
      <c r="B583" s="258">
        <f t="shared" si="23"/>
        <v>127</v>
      </c>
      <c r="C583" s="259"/>
      <c r="D583" s="438" t="s">
        <v>708</v>
      </c>
      <c r="E583" s="261"/>
      <c r="F583" s="262"/>
      <c r="G583" s="335" t="s">
        <v>273</v>
      </c>
      <c r="H583" s="264"/>
      <c r="I583" s="312">
        <f t="shared" si="24"/>
        <v>900000</v>
      </c>
      <c r="J583" s="266"/>
      <c r="L583" s="8"/>
      <c r="M583" s="8"/>
      <c r="N583" s="8">
        <v>900000</v>
      </c>
      <c r="O583" s="8">
        <v>900000</v>
      </c>
      <c r="P583" s="8">
        <v>900000</v>
      </c>
      <c r="R583" s="8">
        <v>825000</v>
      </c>
    </row>
    <row r="584" spans="2:19" x14ac:dyDescent="0.2">
      <c r="B584" s="258">
        <f t="shared" si="23"/>
        <v>128</v>
      </c>
      <c r="C584" s="259"/>
      <c r="D584" s="441" t="s">
        <v>627</v>
      </c>
      <c r="E584" s="261"/>
      <c r="F584" s="262"/>
      <c r="G584" s="335" t="s">
        <v>268</v>
      </c>
      <c r="H584" s="264"/>
      <c r="I584" s="312">
        <f t="shared" si="24"/>
        <v>6000</v>
      </c>
      <c r="J584" s="442"/>
      <c r="L584" s="8"/>
      <c r="M584" s="8"/>
      <c r="N584" s="8">
        <v>6000</v>
      </c>
      <c r="O584" s="8">
        <v>6000</v>
      </c>
      <c r="P584" s="8">
        <v>6000</v>
      </c>
      <c r="R584" s="8">
        <v>6000</v>
      </c>
    </row>
    <row r="585" spans="2:19" s="449" customFormat="1" ht="15.75" x14ac:dyDescent="0.2">
      <c r="B585" s="258">
        <f t="shared" si="23"/>
        <v>129</v>
      </c>
      <c r="C585" s="443"/>
      <c r="D585" s="444" t="s">
        <v>1144</v>
      </c>
      <c r="E585" s="445"/>
      <c r="F585" s="445"/>
      <c r="G585" s="446" t="s">
        <v>273</v>
      </c>
      <c r="H585" s="447"/>
      <c r="I585" s="312">
        <v>0</v>
      </c>
      <c r="J585" s="448"/>
      <c r="L585" s="8"/>
      <c r="N585" s="450">
        <v>5000000</v>
      </c>
      <c r="O585" s="450">
        <v>5000000</v>
      </c>
      <c r="P585" s="450">
        <v>5000000</v>
      </c>
      <c r="R585" s="451">
        <v>3000000</v>
      </c>
      <c r="S585" s="452"/>
    </row>
    <row r="586" spans="2:19" s="449" customFormat="1" ht="15.75" x14ac:dyDescent="0.2">
      <c r="B586" s="258">
        <f t="shared" si="23"/>
        <v>130</v>
      </c>
      <c r="C586" s="443"/>
      <c r="D586" s="453" t="s">
        <v>1346</v>
      </c>
      <c r="E586" s="445"/>
      <c r="F586" s="445"/>
      <c r="G586" s="446" t="s">
        <v>273</v>
      </c>
      <c r="H586" s="447"/>
      <c r="I586" s="312">
        <f t="shared" si="24"/>
        <v>550000</v>
      </c>
      <c r="J586" s="448"/>
      <c r="L586" s="8"/>
      <c r="N586" s="450">
        <v>550000</v>
      </c>
      <c r="O586" s="450">
        <v>550000</v>
      </c>
      <c r="P586" s="450">
        <v>550000</v>
      </c>
      <c r="R586" s="451">
        <v>500000</v>
      </c>
      <c r="S586" s="452"/>
    </row>
    <row r="587" spans="2:19" s="449" customFormat="1" ht="15.75" x14ac:dyDescent="0.2">
      <c r="B587" s="258">
        <f t="shared" si="23"/>
        <v>131</v>
      </c>
      <c r="C587" s="454"/>
      <c r="D587" s="455" t="s">
        <v>1462</v>
      </c>
      <c r="E587" s="456"/>
      <c r="F587" s="456"/>
      <c r="G587" s="457" t="s">
        <v>273</v>
      </c>
      <c r="H587" s="458"/>
      <c r="I587" s="459">
        <f t="shared" si="24"/>
        <v>550000</v>
      </c>
      <c r="J587" s="448"/>
      <c r="L587" s="8"/>
      <c r="N587" s="450">
        <v>550000</v>
      </c>
      <c r="O587" s="450">
        <v>550000</v>
      </c>
      <c r="P587" s="450">
        <v>550000</v>
      </c>
      <c r="R587" s="451">
        <v>500000</v>
      </c>
      <c r="S587" s="452"/>
    </row>
    <row r="588" spans="2:19" s="449" customFormat="1" ht="15.75" x14ac:dyDescent="0.2">
      <c r="B588" s="258">
        <f t="shared" si="23"/>
        <v>132</v>
      </c>
      <c r="C588" s="443"/>
      <c r="D588" s="460" t="s">
        <v>646</v>
      </c>
      <c r="E588" s="445"/>
      <c r="F588" s="445"/>
      <c r="G588" s="446" t="s">
        <v>275</v>
      </c>
      <c r="H588" s="447"/>
      <c r="I588" s="312">
        <f t="shared" si="24"/>
        <v>7000000</v>
      </c>
      <c r="J588" s="448"/>
      <c r="L588" s="8"/>
      <c r="N588" s="450">
        <v>7000000</v>
      </c>
      <c r="O588" s="450">
        <v>7000000</v>
      </c>
      <c r="P588" s="450">
        <v>7000000</v>
      </c>
      <c r="R588" s="451">
        <v>7000000</v>
      </c>
      <c r="S588" s="452"/>
    </row>
    <row r="589" spans="2:19" s="326" customFormat="1" x14ac:dyDescent="0.2">
      <c r="B589" s="258">
        <f t="shared" si="23"/>
        <v>133</v>
      </c>
      <c r="C589" s="323"/>
      <c r="D589" s="461" t="s">
        <v>1463</v>
      </c>
      <c r="E589" s="383"/>
      <c r="F589" s="462"/>
      <c r="G589" s="463" t="s">
        <v>266</v>
      </c>
      <c r="H589" s="324"/>
      <c r="I589" s="312">
        <f t="shared" si="24"/>
        <v>62500</v>
      </c>
      <c r="J589" s="325"/>
      <c r="L589" s="8"/>
      <c r="M589" s="327"/>
      <c r="N589" s="8">
        <v>62500</v>
      </c>
      <c r="O589" s="8">
        <v>62500</v>
      </c>
      <c r="P589" s="8">
        <v>62500</v>
      </c>
      <c r="R589" s="440">
        <v>62500</v>
      </c>
    </row>
    <row r="590" spans="2:19" s="326" customFormat="1" x14ac:dyDescent="0.2">
      <c r="B590" s="258">
        <f t="shared" si="23"/>
        <v>134</v>
      </c>
      <c r="C590" s="323"/>
      <c r="D590" s="461" t="s">
        <v>1464</v>
      </c>
      <c r="E590" s="383"/>
      <c r="F590" s="462"/>
      <c r="G590" s="463" t="s">
        <v>266</v>
      </c>
      <c r="H590" s="324"/>
      <c r="I590" s="312">
        <f t="shared" si="24"/>
        <v>90000</v>
      </c>
      <c r="J590" s="325"/>
      <c r="L590" s="8"/>
      <c r="M590" s="327"/>
      <c r="N590" s="8">
        <v>90000</v>
      </c>
      <c r="O590" s="8">
        <v>90000</v>
      </c>
      <c r="P590" s="8">
        <v>90000</v>
      </c>
      <c r="R590" s="440">
        <v>90000</v>
      </c>
    </row>
    <row r="591" spans="2:19" s="326" customFormat="1" x14ac:dyDescent="0.2">
      <c r="B591" s="258">
        <f t="shared" si="23"/>
        <v>135</v>
      </c>
      <c r="C591" s="464"/>
      <c r="D591" s="465" t="s">
        <v>1465</v>
      </c>
      <c r="E591" s="466"/>
      <c r="F591" s="467"/>
      <c r="G591" s="468" t="s">
        <v>268</v>
      </c>
      <c r="H591" s="469"/>
      <c r="I591" s="312">
        <f t="shared" si="24"/>
        <v>3200</v>
      </c>
      <c r="J591" s="470"/>
      <c r="L591" s="327"/>
      <c r="M591" s="327"/>
      <c r="N591" s="8">
        <v>3200</v>
      </c>
      <c r="O591" s="8">
        <v>3200</v>
      </c>
      <c r="P591" s="8">
        <v>3200</v>
      </c>
      <c r="R591" s="440">
        <v>3100</v>
      </c>
    </row>
    <row r="592" spans="2:19" x14ac:dyDescent="0.2">
      <c r="B592" s="258">
        <f t="shared" si="23"/>
        <v>136</v>
      </c>
      <c r="C592" s="471"/>
      <c r="D592" s="472" t="s">
        <v>255</v>
      </c>
      <c r="E592" s="473"/>
      <c r="F592" s="474"/>
      <c r="G592" s="475" t="s">
        <v>298</v>
      </c>
      <c r="H592" s="476"/>
      <c r="I592" s="312">
        <f t="shared" si="24"/>
        <v>30000</v>
      </c>
      <c r="J592" s="286"/>
      <c r="L592" s="8"/>
      <c r="M592" s="8"/>
      <c r="N592" s="8">
        <v>30000</v>
      </c>
      <c r="O592" s="8">
        <v>30000</v>
      </c>
      <c r="P592" s="8">
        <v>30000</v>
      </c>
      <c r="R592" s="440">
        <v>30000</v>
      </c>
    </row>
    <row r="593" spans="2:18" x14ac:dyDescent="0.2">
      <c r="B593" s="258">
        <f t="shared" si="23"/>
        <v>137</v>
      </c>
      <c r="C593" s="471"/>
      <c r="D593" s="477" t="s">
        <v>1466</v>
      </c>
      <c r="E593" s="473"/>
      <c r="F593" s="474"/>
      <c r="G593" s="475" t="s">
        <v>277</v>
      </c>
      <c r="H593" s="478"/>
      <c r="I593" s="479">
        <f>N593</f>
        <v>85000</v>
      </c>
      <c r="J593" s="286"/>
      <c r="L593" s="8"/>
      <c r="M593" s="8"/>
      <c r="N593" s="8">
        <v>85000</v>
      </c>
      <c r="O593" s="8">
        <v>85000</v>
      </c>
      <c r="P593" s="8">
        <v>85000</v>
      </c>
    </row>
    <row r="594" spans="2:18" x14ac:dyDescent="0.2">
      <c r="B594" s="258">
        <f t="shared" si="23"/>
        <v>138</v>
      </c>
      <c r="C594" s="471"/>
      <c r="D594" s="477" t="s">
        <v>1467</v>
      </c>
      <c r="E594" s="473"/>
      <c r="F594" s="474"/>
      <c r="G594" s="475" t="s">
        <v>277</v>
      </c>
      <c r="H594" s="478"/>
      <c r="I594" s="479">
        <f t="shared" ref="I594:I602" si="25">N594</f>
        <v>40000</v>
      </c>
      <c r="J594" s="286"/>
      <c r="L594" s="8"/>
      <c r="M594" s="8"/>
      <c r="N594" s="8">
        <v>40000</v>
      </c>
      <c r="O594" s="8">
        <v>40000</v>
      </c>
      <c r="P594" s="8">
        <v>40000</v>
      </c>
    </row>
    <row r="595" spans="2:18" x14ac:dyDescent="0.2">
      <c r="B595" s="258">
        <f t="shared" si="23"/>
        <v>139</v>
      </c>
      <c r="C595" s="471"/>
      <c r="D595" s="480" t="s">
        <v>1447</v>
      </c>
      <c r="E595" s="473"/>
      <c r="F595" s="474"/>
      <c r="G595" s="475" t="s">
        <v>268</v>
      </c>
      <c r="H595" s="478"/>
      <c r="I595" s="479">
        <f t="shared" si="25"/>
        <v>105000</v>
      </c>
      <c r="J595" s="286"/>
      <c r="L595" s="8"/>
      <c r="M595" s="8"/>
      <c r="N595" s="8">
        <v>105000</v>
      </c>
      <c r="O595" s="8">
        <v>105000</v>
      </c>
      <c r="P595" s="8">
        <v>105000</v>
      </c>
      <c r="R595" s="210">
        <v>105000</v>
      </c>
    </row>
    <row r="596" spans="2:18" x14ac:dyDescent="0.2">
      <c r="B596" s="258">
        <f t="shared" si="23"/>
        <v>140</v>
      </c>
      <c r="C596" s="471"/>
      <c r="D596" s="480" t="s">
        <v>1448</v>
      </c>
      <c r="E596" s="473"/>
      <c r="F596" s="474"/>
      <c r="G596" s="475" t="s">
        <v>268</v>
      </c>
      <c r="H596" s="478"/>
      <c r="I596" s="479">
        <f t="shared" si="25"/>
        <v>7200</v>
      </c>
      <c r="J596" s="286"/>
      <c r="L596" s="8"/>
      <c r="M596" s="8"/>
      <c r="N596" s="8">
        <v>7200</v>
      </c>
      <c r="O596" s="8">
        <v>7200</v>
      </c>
      <c r="P596" s="8">
        <v>7200</v>
      </c>
      <c r="R596" s="210">
        <v>7200</v>
      </c>
    </row>
    <row r="597" spans="2:18" x14ac:dyDescent="0.2">
      <c r="B597" s="258">
        <f t="shared" si="23"/>
        <v>141</v>
      </c>
      <c r="C597" s="471"/>
      <c r="D597" s="480" t="s">
        <v>1449</v>
      </c>
      <c r="E597" s="473"/>
      <c r="F597" s="474"/>
      <c r="G597" s="475" t="s">
        <v>268</v>
      </c>
      <c r="H597" s="478"/>
      <c r="I597" s="479">
        <f t="shared" si="25"/>
        <v>8800</v>
      </c>
      <c r="J597" s="286"/>
      <c r="L597" s="8"/>
      <c r="M597" s="8"/>
      <c r="N597" s="8">
        <v>8800</v>
      </c>
      <c r="O597" s="8">
        <v>8800</v>
      </c>
      <c r="P597" s="8">
        <v>8800</v>
      </c>
      <c r="R597" s="210">
        <v>8800</v>
      </c>
    </row>
    <row r="598" spans="2:18" x14ac:dyDescent="0.2">
      <c r="B598" s="258">
        <f t="shared" si="23"/>
        <v>142</v>
      </c>
      <c r="C598" s="471"/>
      <c r="D598" s="480" t="s">
        <v>1450</v>
      </c>
      <c r="E598" s="473"/>
      <c r="F598" s="474"/>
      <c r="G598" s="475" t="s">
        <v>268</v>
      </c>
      <c r="H598" s="478"/>
      <c r="I598" s="479">
        <f t="shared" si="25"/>
        <v>7200</v>
      </c>
      <c r="J598" s="286"/>
      <c r="L598" s="8"/>
      <c r="M598" s="8"/>
      <c r="N598" s="8">
        <v>7200</v>
      </c>
      <c r="O598" s="8">
        <v>7200</v>
      </c>
      <c r="P598" s="8">
        <v>7200</v>
      </c>
      <c r="R598" s="210">
        <v>7200</v>
      </c>
    </row>
    <row r="599" spans="2:18" x14ac:dyDescent="0.2">
      <c r="B599" s="258">
        <f t="shared" si="23"/>
        <v>143</v>
      </c>
      <c r="C599" s="471"/>
      <c r="D599" s="480" t="s">
        <v>1451</v>
      </c>
      <c r="E599" s="473"/>
      <c r="F599" s="474"/>
      <c r="G599" s="475" t="s">
        <v>268</v>
      </c>
      <c r="H599" s="478"/>
      <c r="I599" s="479">
        <f t="shared" si="25"/>
        <v>7200</v>
      </c>
      <c r="J599" s="286"/>
      <c r="L599" s="8"/>
      <c r="M599" s="8"/>
      <c r="N599" s="8">
        <v>7200</v>
      </c>
      <c r="O599" s="8">
        <v>7200</v>
      </c>
      <c r="P599" s="8">
        <v>7200</v>
      </c>
      <c r="R599" s="210">
        <v>7200</v>
      </c>
    </row>
    <row r="600" spans="2:18" x14ac:dyDescent="0.2">
      <c r="B600" s="258">
        <f t="shared" si="23"/>
        <v>144</v>
      </c>
      <c r="C600" s="471"/>
      <c r="D600" s="480" t="s">
        <v>1452</v>
      </c>
      <c r="E600" s="473"/>
      <c r="F600" s="474"/>
      <c r="G600" s="475" t="s">
        <v>268</v>
      </c>
      <c r="H600" s="478"/>
      <c r="I600" s="479">
        <f t="shared" si="25"/>
        <v>6600</v>
      </c>
      <c r="J600" s="286"/>
      <c r="L600" s="8"/>
      <c r="M600" s="8"/>
      <c r="N600" s="8">
        <v>6600</v>
      </c>
      <c r="O600" s="8">
        <v>6600</v>
      </c>
      <c r="P600" s="8">
        <v>6600</v>
      </c>
      <c r="R600" s="210">
        <v>6600</v>
      </c>
    </row>
    <row r="601" spans="2:18" x14ac:dyDescent="0.2">
      <c r="B601" s="258">
        <f t="shared" si="23"/>
        <v>145</v>
      </c>
      <c r="C601" s="471"/>
      <c r="D601" s="480" t="s">
        <v>1453</v>
      </c>
      <c r="E601" s="473"/>
      <c r="F601" s="474"/>
      <c r="G601" s="475" t="s">
        <v>268</v>
      </c>
      <c r="H601" s="478"/>
      <c r="I601" s="479">
        <f t="shared" si="25"/>
        <v>38500</v>
      </c>
      <c r="J601" s="286"/>
      <c r="L601" s="8"/>
      <c r="M601" s="8"/>
      <c r="N601" s="8">
        <v>38500</v>
      </c>
      <c r="O601" s="8">
        <v>38500</v>
      </c>
      <c r="P601" s="8">
        <v>38500</v>
      </c>
      <c r="R601" s="210">
        <v>38500</v>
      </c>
    </row>
    <row r="602" spans="2:18" x14ac:dyDescent="0.2">
      <c r="B602" s="258">
        <f t="shared" si="23"/>
        <v>146</v>
      </c>
      <c r="C602" s="471"/>
      <c r="D602" s="480" t="s">
        <v>1454</v>
      </c>
      <c r="E602" s="473"/>
      <c r="F602" s="474"/>
      <c r="G602" s="475" t="s">
        <v>268</v>
      </c>
      <c r="H602" s="478"/>
      <c r="I602" s="479">
        <f t="shared" si="25"/>
        <v>20000</v>
      </c>
      <c r="J602" s="286"/>
      <c r="L602" s="8"/>
      <c r="M602" s="8"/>
      <c r="N602" s="342">
        <v>20000</v>
      </c>
      <c r="O602" s="342">
        <v>20000</v>
      </c>
      <c r="P602" s="342">
        <v>20000</v>
      </c>
      <c r="R602" s="210">
        <v>13000</v>
      </c>
    </row>
    <row r="603" spans="2:18" x14ac:dyDescent="0.2">
      <c r="B603" s="258">
        <f t="shared" si="23"/>
        <v>147</v>
      </c>
      <c r="C603" s="471"/>
      <c r="D603" s="481" t="s">
        <v>1455</v>
      </c>
      <c r="E603" s="473"/>
      <c r="F603" s="474"/>
      <c r="G603" s="475" t="s">
        <v>268</v>
      </c>
      <c r="H603" s="478"/>
      <c r="I603" s="479">
        <v>10700</v>
      </c>
      <c r="J603" s="286"/>
      <c r="L603" s="8"/>
      <c r="M603" s="8"/>
      <c r="N603" s="8"/>
      <c r="O603" s="8"/>
      <c r="P603" s="8"/>
    </row>
    <row r="604" spans="2:18" x14ac:dyDescent="0.2">
      <c r="B604" s="258">
        <f t="shared" si="23"/>
        <v>148</v>
      </c>
      <c r="C604" s="471"/>
      <c r="D604" s="482" t="s">
        <v>1456</v>
      </c>
      <c r="E604" s="473"/>
      <c r="F604" s="474"/>
      <c r="G604" s="475" t="s">
        <v>298</v>
      </c>
      <c r="H604" s="478"/>
      <c r="I604" s="479">
        <v>3125</v>
      </c>
      <c r="J604" s="286"/>
      <c r="L604" s="8"/>
      <c r="M604" s="8"/>
      <c r="N604" s="8">
        <f>125000/40</f>
        <v>3125</v>
      </c>
      <c r="O604" s="8"/>
      <c r="P604" s="8"/>
    </row>
    <row r="605" spans="2:18" x14ac:dyDescent="0.2">
      <c r="B605" s="258">
        <f t="shared" si="23"/>
        <v>149</v>
      </c>
      <c r="C605" s="471"/>
      <c r="D605" s="466" t="s">
        <v>1457</v>
      </c>
      <c r="E605" s="473"/>
      <c r="F605" s="474"/>
      <c r="G605" s="475" t="s">
        <v>298</v>
      </c>
      <c r="H605" s="478"/>
      <c r="I605" s="479">
        <v>4000</v>
      </c>
      <c r="J605" s="286"/>
      <c r="L605" s="8"/>
      <c r="M605" s="8"/>
      <c r="N605" s="8">
        <f>160000/40</f>
        <v>4000</v>
      </c>
      <c r="O605" s="8"/>
      <c r="P605" s="8"/>
    </row>
    <row r="606" spans="2:18" x14ac:dyDescent="0.2">
      <c r="B606" s="258">
        <f t="shared" si="23"/>
        <v>150</v>
      </c>
      <c r="C606" s="471"/>
      <c r="D606" s="466" t="s">
        <v>1458</v>
      </c>
      <c r="E606" s="473"/>
      <c r="F606" s="474"/>
      <c r="G606" s="475" t="s">
        <v>298</v>
      </c>
      <c r="H606" s="478"/>
      <c r="I606" s="479">
        <v>1500</v>
      </c>
      <c r="J606" s="286"/>
      <c r="L606" s="8"/>
      <c r="M606" s="8"/>
      <c r="N606" s="8">
        <f>60000/40</f>
        <v>1500</v>
      </c>
      <c r="O606" s="8"/>
      <c r="P606" s="8"/>
    </row>
    <row r="607" spans="2:18" x14ac:dyDescent="0.2">
      <c r="B607" s="258">
        <f t="shared" si="23"/>
        <v>151</v>
      </c>
      <c r="C607" s="471"/>
      <c r="D607" s="473" t="s">
        <v>1394</v>
      </c>
      <c r="E607" s="473"/>
      <c r="F607" s="474"/>
      <c r="G607" s="475" t="s">
        <v>275</v>
      </c>
      <c r="H607" s="478"/>
      <c r="I607" s="479">
        <v>750000</v>
      </c>
      <c r="J607" s="286"/>
      <c r="L607" s="8"/>
      <c r="M607" s="8"/>
      <c r="N607" s="8"/>
      <c r="O607" s="8"/>
      <c r="P607" s="8"/>
    </row>
    <row r="608" spans="2:18" x14ac:dyDescent="0.2">
      <c r="B608" s="258">
        <f t="shared" si="23"/>
        <v>152</v>
      </c>
      <c r="C608" s="471"/>
      <c r="D608" s="473" t="s">
        <v>1395</v>
      </c>
      <c r="E608" s="473"/>
      <c r="F608" s="474"/>
      <c r="G608" s="475" t="s">
        <v>273</v>
      </c>
      <c r="H608" s="478"/>
      <c r="I608" s="479">
        <v>3000000</v>
      </c>
      <c r="J608" s="286"/>
      <c r="L608" s="8"/>
      <c r="M608" s="8"/>
      <c r="N608" s="8"/>
      <c r="O608" s="8"/>
      <c r="P608" s="8"/>
    </row>
    <row r="609" spans="2:18" x14ac:dyDescent="0.2">
      <c r="B609" s="258">
        <f t="shared" si="23"/>
        <v>153</v>
      </c>
      <c r="C609" s="483"/>
      <c r="D609" s="484" t="s">
        <v>1482</v>
      </c>
      <c r="E609" s="484"/>
      <c r="F609" s="485"/>
      <c r="G609" s="486" t="s">
        <v>273</v>
      </c>
      <c r="H609" s="487"/>
      <c r="I609" s="488">
        <v>1000000</v>
      </c>
      <c r="J609" s="286"/>
      <c r="L609" s="8"/>
      <c r="M609" s="8"/>
      <c r="N609" s="8"/>
      <c r="O609" s="8"/>
      <c r="P609" s="8"/>
    </row>
    <row r="610" spans="2:18" x14ac:dyDescent="0.2">
      <c r="B610" s="258">
        <f t="shared" ref="B610" si="26">B609+1</f>
        <v>154</v>
      </c>
      <c r="C610" s="259"/>
      <c r="D610" s="438" t="s">
        <v>700</v>
      </c>
      <c r="E610" s="261"/>
      <c r="F610" s="262"/>
      <c r="G610" s="335" t="s">
        <v>617</v>
      </c>
      <c r="H610" s="264"/>
      <c r="I610" s="312">
        <v>880000</v>
      </c>
      <c r="J610" s="266"/>
      <c r="L610" s="8"/>
      <c r="M610" s="8"/>
      <c r="N610" s="256">
        <v>5000000</v>
      </c>
      <c r="O610" s="8">
        <v>5000000</v>
      </c>
      <c r="P610" s="8">
        <v>5000000</v>
      </c>
      <c r="R610" s="327">
        <v>880000</v>
      </c>
    </row>
    <row r="611" spans="2:18" x14ac:dyDescent="0.2">
      <c r="B611" s="489"/>
      <c r="C611" s="471"/>
      <c r="D611" s="473"/>
      <c r="E611" s="473"/>
      <c r="F611" s="474"/>
      <c r="G611" s="475"/>
      <c r="H611" s="478"/>
      <c r="I611" s="479"/>
      <c r="J611" s="286"/>
      <c r="L611" s="8"/>
      <c r="M611" s="8"/>
      <c r="N611" s="8"/>
      <c r="O611" s="8"/>
      <c r="P611" s="8"/>
    </row>
    <row r="612" spans="2:18" s="449" customFormat="1" ht="16.5" thickBot="1" x14ac:dyDescent="0.25">
      <c r="B612" s="287"/>
      <c r="C612" s="490"/>
      <c r="D612" s="491"/>
      <c r="E612" s="492"/>
      <c r="F612" s="492"/>
      <c r="G612" s="493"/>
      <c r="H612" s="494"/>
      <c r="I612" s="495"/>
      <c r="J612" s="496"/>
      <c r="L612" s="497"/>
    </row>
    <row r="613" spans="2:18" s="449" customFormat="1" ht="16.5" thickTop="1" x14ac:dyDescent="0.2">
      <c r="B613" s="14"/>
      <c r="C613" s="498"/>
      <c r="D613" s="499"/>
      <c r="E613" s="500"/>
      <c r="F613" s="500"/>
      <c r="G613" s="501"/>
      <c r="H613" s="502"/>
      <c r="I613" s="503"/>
      <c r="J613" s="504"/>
      <c r="L613" s="505"/>
    </row>
    <row r="614" spans="2:18" x14ac:dyDescent="0.2">
      <c r="B614" s="14"/>
      <c r="C614" s="218"/>
      <c r="D614" s="222"/>
      <c r="E614" s="223"/>
      <c r="F614" s="217"/>
      <c r="G614" s="14"/>
      <c r="H614" s="296" t="s">
        <v>1496</v>
      </c>
      <c r="J614" s="220"/>
      <c r="L614" s="8"/>
      <c r="M614" s="8"/>
      <c r="N614" s="8"/>
      <c r="O614" s="8"/>
      <c r="P614" s="8"/>
    </row>
    <row r="615" spans="2:18" x14ac:dyDescent="0.2">
      <c r="B615" s="14"/>
      <c r="C615" s="218"/>
      <c r="D615" s="222"/>
      <c r="E615" s="223"/>
      <c r="F615" s="217"/>
      <c r="G615" s="14"/>
      <c r="H615" s="296"/>
      <c r="J615" s="220"/>
      <c r="L615" s="8"/>
      <c r="M615" s="8"/>
      <c r="N615" s="8"/>
      <c r="O615" s="8"/>
      <c r="P615" s="8"/>
    </row>
    <row r="616" spans="2:18" x14ac:dyDescent="0.2">
      <c r="B616" s="14"/>
      <c r="C616" s="218"/>
      <c r="D616" s="222"/>
      <c r="E616" s="223"/>
      <c r="F616" s="217"/>
      <c r="G616" s="14"/>
      <c r="H616" s="224">
        <f>[4]RAB!K121</f>
        <v>0</v>
      </c>
      <c r="J616" s="220"/>
      <c r="L616" s="8"/>
      <c r="M616" s="8"/>
      <c r="N616" s="8"/>
      <c r="O616" s="8"/>
      <c r="P616" s="8"/>
    </row>
    <row r="617" spans="2:18" x14ac:dyDescent="0.2">
      <c r="B617" s="14"/>
      <c r="C617" s="218"/>
      <c r="D617" s="222"/>
      <c r="E617" s="223"/>
      <c r="F617" s="217"/>
      <c r="G617" s="14"/>
      <c r="H617" s="224">
        <f>[4]RAB!K122</f>
        <v>0</v>
      </c>
      <c r="J617" s="220"/>
      <c r="L617" s="8"/>
      <c r="M617" s="8"/>
      <c r="N617" s="8"/>
      <c r="O617" s="8"/>
      <c r="P617" s="8"/>
    </row>
    <row r="618" spans="2:18" x14ac:dyDescent="0.2">
      <c r="B618" s="14"/>
      <c r="C618" s="218"/>
      <c r="D618" s="222"/>
      <c r="E618" s="223"/>
      <c r="F618" s="217"/>
      <c r="G618" s="14"/>
      <c r="H618" s="224"/>
      <c r="J618" s="220"/>
      <c r="L618" s="8"/>
      <c r="M618" s="8"/>
      <c r="N618" s="8"/>
      <c r="O618" s="8"/>
      <c r="P618" s="8"/>
    </row>
    <row r="619" spans="2:18" x14ac:dyDescent="0.2">
      <c r="B619" s="14"/>
      <c r="C619" s="218"/>
      <c r="D619" s="222"/>
      <c r="E619" s="223"/>
      <c r="F619" s="217"/>
      <c r="G619" s="14"/>
      <c r="H619" s="224"/>
      <c r="J619" s="220"/>
      <c r="L619" s="8"/>
      <c r="M619" s="8"/>
      <c r="N619" s="8"/>
      <c r="O619" s="8"/>
      <c r="P619" s="8"/>
    </row>
    <row r="620" spans="2:18" x14ac:dyDescent="0.2">
      <c r="B620" s="14"/>
      <c r="C620" s="218"/>
      <c r="D620" s="222"/>
      <c r="E620" s="223"/>
      <c r="F620" s="217"/>
      <c r="G620" s="14"/>
      <c r="H620" s="224"/>
      <c r="J620" s="220"/>
      <c r="L620" s="8"/>
      <c r="M620" s="8"/>
      <c r="N620" s="8"/>
      <c r="O620" s="8"/>
      <c r="P620" s="8"/>
    </row>
    <row r="621" spans="2:18" x14ac:dyDescent="0.2">
      <c r="B621" s="14"/>
      <c r="C621" s="218"/>
      <c r="D621" s="222"/>
      <c r="E621" s="223"/>
      <c r="F621" s="217"/>
      <c r="G621" s="14"/>
      <c r="H621" s="224"/>
      <c r="J621" s="220"/>
      <c r="L621" s="8"/>
      <c r="M621" s="8"/>
      <c r="N621" s="8"/>
      <c r="O621" s="8"/>
      <c r="P621" s="8"/>
    </row>
    <row r="622" spans="2:18" x14ac:dyDescent="0.2">
      <c r="B622" s="14"/>
      <c r="C622" s="218"/>
      <c r="D622" s="222"/>
      <c r="E622" s="223"/>
      <c r="F622" s="217"/>
      <c r="G622" s="14"/>
      <c r="H622" s="224">
        <f>[4]RAB!K127</f>
        <v>0</v>
      </c>
      <c r="J622" s="220"/>
      <c r="L622" s="8"/>
      <c r="M622" s="8"/>
      <c r="N622" s="8"/>
      <c r="O622" s="8"/>
      <c r="P622" s="8"/>
    </row>
    <row r="623" spans="2:18" x14ac:dyDescent="0.2">
      <c r="B623" s="14"/>
      <c r="C623" s="218"/>
      <c r="D623" s="222"/>
      <c r="E623" s="223"/>
      <c r="F623" s="217"/>
      <c r="G623" s="14"/>
      <c r="H623" s="296">
        <f>[4]RAB!K128</f>
        <v>0</v>
      </c>
      <c r="J623" s="220"/>
      <c r="L623" s="8"/>
      <c r="M623" s="8"/>
      <c r="N623" s="8"/>
      <c r="O623" s="8"/>
      <c r="P623" s="8"/>
    </row>
    <row r="624" spans="2:18" x14ac:dyDescent="0.2">
      <c r="B624" s="14"/>
      <c r="C624" s="218"/>
      <c r="D624" s="222"/>
      <c r="E624" s="223"/>
      <c r="F624" s="217"/>
      <c r="G624" s="14"/>
      <c r="H624" s="296"/>
      <c r="J624" s="220"/>
      <c r="L624" s="8"/>
      <c r="M624" s="8"/>
      <c r="N624" s="8"/>
      <c r="O624" s="8"/>
      <c r="P624" s="8"/>
    </row>
    <row r="625" spans="2:16" x14ac:dyDescent="0.2">
      <c r="B625" s="14"/>
      <c r="C625" s="218"/>
      <c r="D625" s="222"/>
      <c r="E625" s="223"/>
      <c r="F625" s="217"/>
      <c r="G625" s="14"/>
      <c r="H625" s="296"/>
      <c r="J625" s="220"/>
      <c r="L625" s="8"/>
      <c r="M625" s="8"/>
      <c r="N625" s="8"/>
      <c r="O625" s="8"/>
      <c r="P625" s="8"/>
    </row>
    <row r="628" spans="2:16" x14ac:dyDescent="0.2">
      <c r="B628" s="14"/>
      <c r="C628" s="218"/>
      <c r="D628" s="222"/>
      <c r="E628" s="223"/>
      <c r="F628" s="217"/>
      <c r="G628" s="14"/>
      <c r="H628" s="296"/>
      <c r="J628" s="220"/>
      <c r="L628" s="8"/>
      <c r="M628" s="8"/>
      <c r="N628" s="8"/>
      <c r="O628" s="8"/>
      <c r="P628" s="8"/>
    </row>
    <row r="629" spans="2:16" ht="15" thickBot="1" x14ac:dyDescent="0.25">
      <c r="B629" s="14"/>
      <c r="C629" s="218"/>
      <c r="D629" s="222"/>
      <c r="E629" s="223"/>
      <c r="F629" s="217"/>
      <c r="G629" s="14"/>
      <c r="H629" s="220"/>
      <c r="I629" s="224">
        <f>[4]RAB!K129</f>
        <v>0</v>
      </c>
      <c r="J629" s="220"/>
      <c r="L629" s="8"/>
      <c r="M629" s="8"/>
      <c r="N629" s="8"/>
      <c r="O629" s="8"/>
      <c r="P629" s="8"/>
    </row>
    <row r="630" spans="2:16" ht="15" thickTop="1" x14ac:dyDescent="0.2">
      <c r="B630" s="303"/>
      <c r="C630" s="506"/>
      <c r="D630" s="507"/>
      <c r="E630" s="306"/>
      <c r="F630" s="508"/>
      <c r="G630" s="509"/>
      <c r="H630" s="510"/>
      <c r="I630" s="511"/>
      <c r="J630" s="307"/>
      <c r="L630" s="8"/>
      <c r="M630" s="8"/>
      <c r="N630" s="8"/>
      <c r="O630" s="8"/>
      <c r="P630" s="8"/>
    </row>
    <row r="631" spans="2:16" x14ac:dyDescent="0.2">
      <c r="B631" s="512">
        <f t="shared" ref="B631:B694" si="27">B630+1</f>
        <v>1</v>
      </c>
      <c r="C631" s="513"/>
      <c r="D631" s="514" t="s">
        <v>1396</v>
      </c>
      <c r="E631" s="515"/>
      <c r="F631" s="516"/>
      <c r="G631" s="517" t="s">
        <v>265</v>
      </c>
      <c r="H631" s="476"/>
      <c r="I631" s="518"/>
      <c r="J631" s="273"/>
      <c r="L631" s="8"/>
      <c r="M631" s="8"/>
      <c r="N631" s="8"/>
      <c r="O631" s="8"/>
      <c r="P631" s="8"/>
    </row>
    <row r="632" spans="2:16" x14ac:dyDescent="0.2">
      <c r="B632" s="519">
        <f t="shared" si="27"/>
        <v>2</v>
      </c>
      <c r="C632" s="513"/>
      <c r="D632" s="514" t="s">
        <v>1088</v>
      </c>
      <c r="E632" s="515"/>
      <c r="F632" s="516"/>
      <c r="G632" s="517" t="s">
        <v>265</v>
      </c>
      <c r="H632" s="476"/>
      <c r="I632" s="518"/>
      <c r="J632" s="520"/>
      <c r="L632" s="8"/>
      <c r="M632" s="8"/>
      <c r="N632" s="8"/>
      <c r="O632" s="8"/>
      <c r="P632" s="8"/>
    </row>
    <row r="633" spans="2:16" x14ac:dyDescent="0.2">
      <c r="B633" s="519">
        <f t="shared" si="27"/>
        <v>3</v>
      </c>
      <c r="C633" s="513"/>
      <c r="D633" s="514" t="s">
        <v>1089</v>
      </c>
      <c r="E633" s="515"/>
      <c r="F633" s="516"/>
      <c r="G633" s="517" t="s">
        <v>298</v>
      </c>
      <c r="H633" s="476"/>
      <c r="I633" s="518"/>
      <c r="J633" s="520"/>
      <c r="L633" s="8"/>
      <c r="M633" s="8"/>
      <c r="N633" s="8"/>
      <c r="O633" s="8"/>
      <c r="P633" s="8"/>
    </row>
    <row r="634" spans="2:16" x14ac:dyDescent="0.2">
      <c r="B634" s="519">
        <f t="shared" si="27"/>
        <v>4</v>
      </c>
      <c r="C634" s="513"/>
      <c r="D634" s="400" t="s">
        <v>335</v>
      </c>
      <c r="E634" s="383"/>
      <c r="F634" s="462"/>
      <c r="G634" s="385" t="s">
        <v>277</v>
      </c>
      <c r="H634" s="324"/>
      <c r="I634" s="372">
        <v>175000</v>
      </c>
      <c r="J634" s="520"/>
      <c r="L634" s="8"/>
      <c r="M634" s="8"/>
      <c r="N634" s="8" t="s">
        <v>1397</v>
      </c>
      <c r="O634" s="8"/>
      <c r="P634" s="8"/>
    </row>
    <row r="635" spans="2:16" x14ac:dyDescent="0.2">
      <c r="B635" s="519">
        <f t="shared" si="27"/>
        <v>5</v>
      </c>
      <c r="C635" s="513"/>
      <c r="D635" s="521" t="s">
        <v>1398</v>
      </c>
      <c r="E635" s="383"/>
      <c r="F635" s="462"/>
      <c r="G635" s="385" t="s">
        <v>337</v>
      </c>
      <c r="H635" s="324"/>
      <c r="I635" s="372">
        <v>60000</v>
      </c>
      <c r="J635" s="273"/>
      <c r="L635" s="8"/>
      <c r="M635" s="8"/>
      <c r="N635" s="8" t="s">
        <v>1397</v>
      </c>
      <c r="O635" s="8">
        <f>2*3</f>
        <v>6</v>
      </c>
      <c r="P635" s="8"/>
    </row>
    <row r="636" spans="2:16" x14ac:dyDescent="0.2">
      <c r="B636" s="519">
        <f t="shared" si="27"/>
        <v>6</v>
      </c>
      <c r="C636" s="513"/>
      <c r="D636" s="522" t="s">
        <v>310</v>
      </c>
      <c r="E636" s="383"/>
      <c r="F636" s="462"/>
      <c r="G636" s="385" t="s">
        <v>309</v>
      </c>
      <c r="H636" s="324"/>
      <c r="I636" s="372">
        <v>60000</v>
      </c>
      <c r="J636" s="273"/>
      <c r="L636" s="8"/>
      <c r="M636" s="8"/>
      <c r="N636" s="8" t="s">
        <v>1397</v>
      </c>
      <c r="O636" s="8"/>
      <c r="P636" s="8"/>
    </row>
    <row r="637" spans="2:16" x14ac:dyDescent="0.2">
      <c r="B637" s="519">
        <f t="shared" si="27"/>
        <v>7</v>
      </c>
      <c r="C637" s="513"/>
      <c r="D637" s="522" t="s">
        <v>308</v>
      </c>
      <c r="E637" s="383"/>
      <c r="F637" s="462"/>
      <c r="G637" s="385" t="s">
        <v>309</v>
      </c>
      <c r="H637" s="324"/>
      <c r="I637" s="372">
        <v>80000</v>
      </c>
      <c r="J637" s="273"/>
      <c r="L637" s="8"/>
      <c r="M637" s="8"/>
      <c r="N637" s="8" t="s">
        <v>1397</v>
      </c>
      <c r="O637" s="8"/>
      <c r="P637" s="8"/>
    </row>
    <row r="638" spans="2:16" x14ac:dyDescent="0.2">
      <c r="B638" s="519">
        <f t="shared" si="27"/>
        <v>8</v>
      </c>
      <c r="C638" s="513"/>
      <c r="D638" s="523" t="s">
        <v>311</v>
      </c>
      <c r="E638" s="515"/>
      <c r="F638" s="516"/>
      <c r="G638" s="517" t="s">
        <v>309</v>
      </c>
      <c r="H638" s="476"/>
      <c r="I638" s="518"/>
      <c r="J638" s="273"/>
      <c r="L638" s="8"/>
      <c r="M638" s="8"/>
      <c r="N638" s="8"/>
      <c r="O638" s="8"/>
      <c r="P638" s="8"/>
    </row>
    <row r="639" spans="2:16" x14ac:dyDescent="0.2">
      <c r="B639" s="519">
        <f t="shared" si="27"/>
        <v>9</v>
      </c>
      <c r="C639" s="513"/>
      <c r="D639" s="523" t="s">
        <v>721</v>
      </c>
      <c r="E639" s="515"/>
      <c r="F639" s="516"/>
      <c r="G639" s="517" t="s">
        <v>277</v>
      </c>
      <c r="H639" s="476"/>
      <c r="I639" s="518"/>
      <c r="J639" s="273"/>
      <c r="L639" s="8"/>
      <c r="M639" s="8"/>
      <c r="N639" s="8"/>
      <c r="O639" s="8"/>
      <c r="P639" s="8"/>
    </row>
    <row r="640" spans="2:16" x14ac:dyDescent="0.2">
      <c r="B640" s="519">
        <f t="shared" si="27"/>
        <v>10</v>
      </c>
      <c r="C640" s="513"/>
      <c r="D640" s="523" t="s">
        <v>722</v>
      </c>
      <c r="E640" s="515"/>
      <c r="F640" s="516"/>
      <c r="G640" s="517" t="s">
        <v>277</v>
      </c>
      <c r="H640" s="476"/>
      <c r="I640" s="518"/>
      <c r="J640" s="273"/>
      <c r="L640" s="8"/>
      <c r="M640" s="8"/>
      <c r="N640" s="8"/>
      <c r="O640" s="8"/>
      <c r="P640" s="8"/>
    </row>
    <row r="641" spans="2:16" x14ac:dyDescent="0.2">
      <c r="B641" s="519">
        <f t="shared" si="27"/>
        <v>11</v>
      </c>
      <c r="C641" s="513"/>
      <c r="D641" s="522" t="s">
        <v>723</v>
      </c>
      <c r="E641" s="383"/>
      <c r="F641" s="462"/>
      <c r="G641" s="385" t="s">
        <v>277</v>
      </c>
      <c r="H641" s="324"/>
      <c r="I641" s="372">
        <v>41000</v>
      </c>
      <c r="J641" s="273"/>
      <c r="L641" s="8"/>
      <c r="M641" s="8"/>
      <c r="N641" s="8" t="s">
        <v>1397</v>
      </c>
      <c r="O641" s="8"/>
      <c r="P641" s="8"/>
    </row>
    <row r="642" spans="2:16" x14ac:dyDescent="0.2">
      <c r="B642" s="519">
        <f t="shared" si="27"/>
        <v>12</v>
      </c>
      <c r="C642" s="513"/>
      <c r="D642" s="522" t="s">
        <v>1399</v>
      </c>
      <c r="E642" s="383"/>
      <c r="F642" s="462"/>
      <c r="G642" s="385" t="s">
        <v>293</v>
      </c>
      <c r="H642" s="324"/>
      <c r="I642" s="372">
        <v>22700000</v>
      </c>
      <c r="J642" s="273"/>
      <c r="L642" s="8"/>
      <c r="M642" s="8"/>
      <c r="N642" s="8"/>
      <c r="O642" s="8"/>
      <c r="P642" s="8"/>
    </row>
    <row r="643" spans="2:16" x14ac:dyDescent="0.2">
      <c r="B643" s="519">
        <f t="shared" si="27"/>
        <v>13</v>
      </c>
      <c r="C643" s="513"/>
      <c r="D643" s="524" t="s">
        <v>246</v>
      </c>
      <c r="E643" s="515"/>
      <c r="F643" s="516"/>
      <c r="G643" s="517" t="s">
        <v>268</v>
      </c>
      <c r="H643" s="476"/>
      <c r="I643" s="518"/>
      <c r="J643" s="273"/>
      <c r="L643" s="8"/>
      <c r="M643" s="8"/>
      <c r="N643" s="8"/>
      <c r="O643" s="8"/>
      <c r="P643" s="8"/>
    </row>
    <row r="644" spans="2:16" x14ac:dyDescent="0.2">
      <c r="B644" s="519">
        <f t="shared" si="27"/>
        <v>14</v>
      </c>
      <c r="C644" s="513"/>
      <c r="D644" s="525" t="s">
        <v>244</v>
      </c>
      <c r="E644" s="515"/>
      <c r="F644" s="516"/>
      <c r="G644" s="517" t="s">
        <v>247</v>
      </c>
      <c r="H644" s="476"/>
      <c r="I644" s="518"/>
      <c r="J644" s="273"/>
      <c r="L644" s="8"/>
      <c r="M644" s="8"/>
      <c r="N644" s="8"/>
      <c r="O644" s="8"/>
      <c r="P644" s="8"/>
    </row>
    <row r="645" spans="2:16" x14ac:dyDescent="0.2">
      <c r="B645" s="519">
        <f t="shared" si="27"/>
        <v>15</v>
      </c>
      <c r="C645" s="513"/>
      <c r="D645" s="526" t="s">
        <v>251</v>
      </c>
      <c r="E645" s="515"/>
      <c r="F645" s="516"/>
      <c r="G645" s="517" t="s">
        <v>309</v>
      </c>
      <c r="H645" s="476"/>
      <c r="I645" s="518"/>
      <c r="J645" s="273"/>
      <c r="L645" s="8"/>
      <c r="M645" s="8"/>
      <c r="N645" s="8"/>
      <c r="O645" s="8"/>
      <c r="P645" s="8"/>
    </row>
    <row r="646" spans="2:16" x14ac:dyDescent="0.2">
      <c r="B646" s="519">
        <f t="shared" si="27"/>
        <v>16</v>
      </c>
      <c r="C646" s="513"/>
      <c r="D646" s="526" t="s">
        <v>252</v>
      </c>
      <c r="E646" s="515"/>
      <c r="F646" s="516"/>
      <c r="G646" s="517" t="s">
        <v>309</v>
      </c>
      <c r="H646" s="476"/>
      <c r="I646" s="518"/>
      <c r="J646" s="273"/>
      <c r="L646" s="8"/>
      <c r="M646" s="8"/>
      <c r="N646" s="8"/>
      <c r="O646" s="8"/>
      <c r="P646" s="8"/>
    </row>
    <row r="647" spans="2:16" x14ac:dyDescent="0.2">
      <c r="B647" s="519">
        <f t="shared" si="27"/>
        <v>17</v>
      </c>
      <c r="C647" s="513"/>
      <c r="D647" s="527" t="s">
        <v>254</v>
      </c>
      <c r="E647" s="383"/>
      <c r="F647" s="462"/>
      <c r="G647" s="385" t="s">
        <v>338</v>
      </c>
      <c r="H647" s="324"/>
      <c r="I647" s="372">
        <v>325000</v>
      </c>
      <c r="J647" s="273"/>
      <c r="L647" s="8"/>
      <c r="M647" s="8"/>
      <c r="N647" s="8" t="s">
        <v>1397</v>
      </c>
      <c r="O647" s="8"/>
      <c r="P647" s="8"/>
    </row>
    <row r="648" spans="2:16" x14ac:dyDescent="0.2">
      <c r="B648" s="519">
        <f t="shared" si="27"/>
        <v>18</v>
      </c>
      <c r="C648" s="513"/>
      <c r="D648" s="526" t="s">
        <v>1090</v>
      </c>
      <c r="E648" s="515"/>
      <c r="F648" s="516"/>
      <c r="G648" s="517" t="s">
        <v>338</v>
      </c>
      <c r="H648" s="476"/>
      <c r="I648" s="372">
        <v>550000</v>
      </c>
      <c r="J648" s="273"/>
      <c r="L648" s="8"/>
      <c r="M648" s="8"/>
      <c r="N648" s="8"/>
      <c r="O648" s="8"/>
      <c r="P648" s="8"/>
    </row>
    <row r="649" spans="2:16" x14ac:dyDescent="0.2">
      <c r="B649" s="519">
        <f t="shared" si="27"/>
        <v>19</v>
      </c>
      <c r="C649" s="513"/>
      <c r="D649" s="528" t="s">
        <v>1091</v>
      </c>
      <c r="E649" s="383"/>
      <c r="F649" s="462"/>
      <c r="G649" s="385" t="s">
        <v>338</v>
      </c>
      <c r="H649" s="324"/>
      <c r="I649" s="372">
        <v>20000</v>
      </c>
      <c r="J649" s="273"/>
      <c r="L649" s="8"/>
      <c r="M649" s="8"/>
      <c r="N649" s="8" t="s">
        <v>1397</v>
      </c>
      <c r="O649" s="8"/>
      <c r="P649" s="8"/>
    </row>
    <row r="650" spans="2:16" x14ac:dyDescent="0.2">
      <c r="B650" s="519">
        <f t="shared" si="27"/>
        <v>20</v>
      </c>
      <c r="C650" s="513"/>
      <c r="D650" s="527" t="s">
        <v>724</v>
      </c>
      <c r="E650" s="383"/>
      <c r="F650" s="462"/>
      <c r="G650" s="385" t="s">
        <v>309</v>
      </c>
      <c r="H650" s="324"/>
      <c r="I650" s="372">
        <v>25000</v>
      </c>
      <c r="J650" s="273"/>
      <c r="L650" s="8"/>
      <c r="M650" s="8"/>
      <c r="N650" s="8" t="s">
        <v>1400</v>
      </c>
      <c r="O650" s="8"/>
      <c r="P650" s="8"/>
    </row>
    <row r="651" spans="2:16" x14ac:dyDescent="0.2">
      <c r="B651" s="519">
        <f t="shared" si="27"/>
        <v>21</v>
      </c>
      <c r="C651" s="513"/>
      <c r="D651" s="523" t="s">
        <v>725</v>
      </c>
      <c r="E651" s="515"/>
      <c r="F651" s="516"/>
      <c r="G651" s="517" t="s">
        <v>268</v>
      </c>
      <c r="H651" s="476"/>
      <c r="I651" s="518"/>
      <c r="J651" s="273"/>
      <c r="L651" s="8"/>
      <c r="M651" s="8"/>
      <c r="N651" s="8"/>
      <c r="O651" s="8"/>
      <c r="P651" s="8"/>
    </row>
    <row r="652" spans="2:16" x14ac:dyDescent="0.2">
      <c r="B652" s="519">
        <f t="shared" si="27"/>
        <v>22</v>
      </c>
      <c r="C652" s="513"/>
      <c r="D652" s="523" t="s">
        <v>726</v>
      </c>
      <c r="E652" s="515"/>
      <c r="F652" s="516"/>
      <c r="G652" s="517" t="s">
        <v>268</v>
      </c>
      <c r="H652" s="476"/>
      <c r="I652" s="518"/>
      <c r="J652" s="273"/>
      <c r="L652" s="8"/>
      <c r="M652" s="8"/>
      <c r="N652" s="8"/>
      <c r="O652" s="8"/>
      <c r="P652" s="8"/>
    </row>
    <row r="653" spans="2:16" x14ac:dyDescent="0.2">
      <c r="B653" s="519">
        <f t="shared" si="27"/>
        <v>23</v>
      </c>
      <c r="C653" s="513"/>
      <c r="D653" s="523" t="s">
        <v>727</v>
      </c>
      <c r="E653" s="515"/>
      <c r="F653" s="516"/>
      <c r="G653" s="517" t="s">
        <v>268</v>
      </c>
      <c r="H653" s="476"/>
      <c r="I653" s="518"/>
      <c r="J653" s="273"/>
      <c r="L653" s="8"/>
      <c r="M653" s="8"/>
      <c r="N653" s="8"/>
      <c r="O653" s="8"/>
      <c r="P653" s="8"/>
    </row>
    <row r="654" spans="2:16" x14ac:dyDescent="0.2">
      <c r="B654" s="519">
        <f t="shared" si="27"/>
        <v>24</v>
      </c>
      <c r="C654" s="513"/>
      <c r="D654" s="523" t="s">
        <v>1093</v>
      </c>
      <c r="E654" s="515"/>
      <c r="F654" s="516"/>
      <c r="G654" s="517" t="s">
        <v>268</v>
      </c>
      <c r="H654" s="476"/>
      <c r="I654" s="518"/>
      <c r="J654" s="273"/>
      <c r="L654" s="8"/>
      <c r="M654" s="8"/>
      <c r="N654" s="8"/>
      <c r="O654" s="8"/>
      <c r="P654" s="8"/>
    </row>
    <row r="655" spans="2:16" x14ac:dyDescent="0.2">
      <c r="B655" s="519">
        <f t="shared" si="27"/>
        <v>25</v>
      </c>
      <c r="C655" s="513"/>
      <c r="D655" s="523" t="s">
        <v>1092</v>
      </c>
      <c r="E655" s="515"/>
      <c r="F655" s="516"/>
      <c r="G655" s="517" t="s">
        <v>268</v>
      </c>
      <c r="H655" s="476"/>
      <c r="I655" s="518"/>
      <c r="J655" s="273"/>
      <c r="L655" s="8"/>
      <c r="M655" s="8"/>
      <c r="N655" s="8"/>
      <c r="O655" s="8"/>
      <c r="P655" s="8"/>
    </row>
    <row r="656" spans="2:16" x14ac:dyDescent="0.2">
      <c r="B656" s="519">
        <f t="shared" si="27"/>
        <v>26</v>
      </c>
      <c r="C656" s="513"/>
      <c r="D656" s="523" t="s">
        <v>1094</v>
      </c>
      <c r="E656" s="515"/>
      <c r="F656" s="516"/>
      <c r="G656" s="517" t="s">
        <v>268</v>
      </c>
      <c r="H656" s="476"/>
      <c r="I656" s="518"/>
      <c r="J656" s="273"/>
      <c r="L656" s="8"/>
      <c r="M656" s="8"/>
      <c r="N656" s="8"/>
      <c r="O656" s="8"/>
      <c r="P656" s="8"/>
    </row>
    <row r="657" spans="2:16" x14ac:dyDescent="0.2">
      <c r="B657" s="519">
        <f t="shared" si="27"/>
        <v>27</v>
      </c>
      <c r="C657" s="513"/>
      <c r="D657" s="523" t="s">
        <v>1095</v>
      </c>
      <c r="E657" s="515"/>
      <c r="F657" s="516"/>
      <c r="G657" s="517" t="s">
        <v>268</v>
      </c>
      <c r="H657" s="476"/>
      <c r="I657" s="518"/>
      <c r="J657" s="273"/>
      <c r="L657" s="8"/>
      <c r="M657" s="8"/>
      <c r="N657" s="8"/>
      <c r="O657" s="8"/>
      <c r="P657" s="8"/>
    </row>
    <row r="658" spans="2:16" x14ac:dyDescent="0.2">
      <c r="B658" s="519">
        <f t="shared" si="27"/>
        <v>28</v>
      </c>
      <c r="C658" s="513"/>
      <c r="D658" s="523" t="s">
        <v>1096</v>
      </c>
      <c r="E658" s="515"/>
      <c r="F658" s="516"/>
      <c r="G658" s="517" t="s">
        <v>268</v>
      </c>
      <c r="H658" s="476"/>
      <c r="I658" s="518"/>
      <c r="J658" s="273"/>
      <c r="L658" s="8"/>
      <c r="M658" s="8"/>
      <c r="N658" s="8"/>
      <c r="O658" s="8"/>
      <c r="P658" s="8"/>
    </row>
    <row r="659" spans="2:16" x14ac:dyDescent="0.2">
      <c r="B659" s="519">
        <f t="shared" si="27"/>
        <v>29</v>
      </c>
      <c r="C659" s="513"/>
      <c r="D659" s="523" t="s">
        <v>728</v>
      </c>
      <c r="E659" s="515"/>
      <c r="F659" s="516"/>
      <c r="G659" s="517"/>
      <c r="H659" s="476"/>
      <c r="I659" s="518"/>
      <c r="J659" s="273"/>
      <c r="L659" s="8"/>
      <c r="M659" s="8"/>
      <c r="N659" s="8"/>
      <c r="O659" s="8"/>
      <c r="P659" s="8"/>
    </row>
    <row r="660" spans="2:16" x14ac:dyDescent="0.2">
      <c r="B660" s="519">
        <f t="shared" si="27"/>
        <v>30</v>
      </c>
      <c r="C660" s="513"/>
      <c r="D660" s="523" t="s">
        <v>729</v>
      </c>
      <c r="E660" s="515"/>
      <c r="F660" s="516"/>
      <c r="G660" s="517" t="s">
        <v>268</v>
      </c>
      <c r="H660" s="476"/>
      <c r="I660" s="518"/>
      <c r="J660" s="273"/>
      <c r="L660" s="8"/>
      <c r="M660" s="8"/>
      <c r="N660" s="8"/>
      <c r="O660" s="8"/>
      <c r="P660" s="8"/>
    </row>
    <row r="661" spans="2:16" x14ac:dyDescent="0.2">
      <c r="B661" s="519">
        <f t="shared" si="27"/>
        <v>31</v>
      </c>
      <c r="C661" s="513"/>
      <c r="D661" s="523" t="s">
        <v>730</v>
      </c>
      <c r="E661" s="515"/>
      <c r="F661" s="516"/>
      <c r="G661" s="517" t="s">
        <v>268</v>
      </c>
      <c r="H661" s="476"/>
      <c r="I661" s="518"/>
      <c r="J661" s="273"/>
      <c r="L661" s="8"/>
      <c r="M661" s="8"/>
      <c r="N661" s="8"/>
      <c r="O661" s="8"/>
      <c r="P661" s="8"/>
    </row>
    <row r="662" spans="2:16" x14ac:dyDescent="0.2">
      <c r="B662" s="519">
        <f t="shared" si="27"/>
        <v>32</v>
      </c>
      <c r="C662" s="513"/>
      <c r="D662" s="523" t="s">
        <v>207</v>
      </c>
      <c r="E662" s="515"/>
      <c r="F662" s="516"/>
      <c r="G662" s="517" t="s">
        <v>268</v>
      </c>
      <c r="H662" s="476"/>
      <c r="I662" s="518"/>
      <c r="J662" s="273"/>
      <c r="L662" s="8"/>
      <c r="M662" s="8"/>
      <c r="N662" s="8"/>
      <c r="O662" s="8"/>
      <c r="P662" s="8"/>
    </row>
    <row r="663" spans="2:16" x14ac:dyDescent="0.2">
      <c r="B663" s="519">
        <f t="shared" si="27"/>
        <v>33</v>
      </c>
      <c r="C663" s="513"/>
      <c r="D663" s="523" t="s">
        <v>1097</v>
      </c>
      <c r="E663" s="515"/>
      <c r="F663" s="516"/>
      <c r="G663" s="517" t="s">
        <v>268</v>
      </c>
      <c r="H663" s="476"/>
      <c r="I663" s="518"/>
      <c r="J663" s="273"/>
      <c r="L663" s="8"/>
      <c r="M663" s="8"/>
      <c r="N663" s="8"/>
      <c r="O663" s="8"/>
      <c r="P663" s="8"/>
    </row>
    <row r="664" spans="2:16" x14ac:dyDescent="0.2">
      <c r="B664" s="519">
        <f t="shared" si="27"/>
        <v>34</v>
      </c>
      <c r="C664" s="513"/>
      <c r="D664" s="523" t="s">
        <v>208</v>
      </c>
      <c r="E664" s="515"/>
      <c r="F664" s="516"/>
      <c r="G664" s="517" t="s">
        <v>268</v>
      </c>
      <c r="H664" s="476"/>
      <c r="I664" s="518"/>
      <c r="J664" s="273"/>
      <c r="L664" s="8"/>
      <c r="M664" s="8"/>
      <c r="N664" s="8"/>
      <c r="O664" s="8"/>
      <c r="P664" s="8"/>
    </row>
    <row r="665" spans="2:16" x14ac:dyDescent="0.2">
      <c r="B665" s="519">
        <f t="shared" si="27"/>
        <v>35</v>
      </c>
      <c r="C665" s="513"/>
      <c r="D665" s="523" t="s">
        <v>209</v>
      </c>
      <c r="E665" s="515"/>
      <c r="F665" s="516"/>
      <c r="G665" s="517" t="s">
        <v>268</v>
      </c>
      <c r="H665" s="476"/>
      <c r="I665" s="518"/>
      <c r="J665" s="273"/>
      <c r="L665" s="8"/>
      <c r="M665" s="8"/>
      <c r="N665" s="8"/>
      <c r="O665" s="8"/>
      <c r="P665" s="8"/>
    </row>
    <row r="666" spans="2:16" x14ac:dyDescent="0.2">
      <c r="B666" s="519">
        <f t="shared" si="27"/>
        <v>36</v>
      </c>
      <c r="C666" s="513"/>
      <c r="D666" s="523" t="s">
        <v>210</v>
      </c>
      <c r="E666" s="515"/>
      <c r="F666" s="516"/>
      <c r="G666" s="517" t="s">
        <v>268</v>
      </c>
      <c r="H666" s="476"/>
      <c r="I666" s="518"/>
      <c r="J666" s="273"/>
      <c r="L666" s="8"/>
      <c r="M666" s="8"/>
      <c r="N666" s="8"/>
      <c r="O666" s="8"/>
      <c r="P666" s="8"/>
    </row>
    <row r="667" spans="2:16" x14ac:dyDescent="0.2">
      <c r="B667" s="519">
        <f t="shared" si="27"/>
        <v>37</v>
      </c>
      <c r="C667" s="513"/>
      <c r="D667" s="523" t="s">
        <v>211</v>
      </c>
      <c r="E667" s="515"/>
      <c r="F667" s="516"/>
      <c r="G667" s="517" t="s">
        <v>268</v>
      </c>
      <c r="H667" s="476"/>
      <c r="I667" s="518"/>
      <c r="J667" s="273"/>
      <c r="L667" s="8"/>
      <c r="M667" s="8"/>
      <c r="N667" s="8"/>
      <c r="O667" s="8"/>
      <c r="P667" s="8"/>
    </row>
    <row r="668" spans="2:16" x14ac:dyDescent="0.2">
      <c r="B668" s="519">
        <f t="shared" si="27"/>
        <v>38</v>
      </c>
      <c r="C668" s="513"/>
      <c r="D668" s="523" t="s">
        <v>212</v>
      </c>
      <c r="E668" s="515"/>
      <c r="F668" s="516"/>
      <c r="G668" s="517" t="s">
        <v>268</v>
      </c>
      <c r="H668" s="476"/>
      <c r="I668" s="518"/>
      <c r="J668" s="273"/>
      <c r="L668" s="8"/>
      <c r="M668" s="8"/>
      <c r="N668" s="8"/>
      <c r="O668" s="8"/>
      <c r="P668" s="8"/>
    </row>
    <row r="669" spans="2:16" x14ac:dyDescent="0.2">
      <c r="B669" s="519">
        <f t="shared" si="27"/>
        <v>39</v>
      </c>
      <c r="C669" s="513"/>
      <c r="D669" s="523" t="s">
        <v>213</v>
      </c>
      <c r="E669" s="515"/>
      <c r="F669" s="516"/>
      <c r="G669" s="517" t="s">
        <v>268</v>
      </c>
      <c r="H669" s="476"/>
      <c r="I669" s="518"/>
      <c r="J669" s="273"/>
      <c r="L669" s="8"/>
      <c r="M669" s="8"/>
      <c r="N669" s="8"/>
      <c r="O669" s="8"/>
      <c r="P669" s="8"/>
    </row>
    <row r="670" spans="2:16" x14ac:dyDescent="0.2">
      <c r="B670" s="519">
        <f t="shared" si="27"/>
        <v>40</v>
      </c>
      <c r="C670" s="513"/>
      <c r="D670" s="523" t="s">
        <v>214</v>
      </c>
      <c r="E670" s="515"/>
      <c r="F670" s="516"/>
      <c r="G670" s="517" t="s">
        <v>268</v>
      </c>
      <c r="H670" s="476"/>
      <c r="I670" s="518"/>
      <c r="J670" s="273"/>
      <c r="L670" s="8"/>
      <c r="M670" s="8"/>
      <c r="N670" s="8"/>
      <c r="O670" s="8"/>
      <c r="P670" s="8"/>
    </row>
    <row r="671" spans="2:16" x14ac:dyDescent="0.2">
      <c r="B671" s="519">
        <f t="shared" si="27"/>
        <v>41</v>
      </c>
      <c r="C671" s="513"/>
      <c r="D671" s="523" t="s">
        <v>215</v>
      </c>
      <c r="E671" s="515"/>
      <c r="F671" s="516"/>
      <c r="G671" s="517" t="s">
        <v>268</v>
      </c>
      <c r="H671" s="476"/>
      <c r="I671" s="518"/>
      <c r="J671" s="273"/>
      <c r="L671" s="8"/>
      <c r="M671" s="8"/>
      <c r="N671" s="8"/>
      <c r="O671" s="8"/>
      <c r="P671" s="8"/>
    </row>
    <row r="672" spans="2:16" x14ac:dyDescent="0.2">
      <c r="B672" s="519">
        <f t="shared" si="27"/>
        <v>42</v>
      </c>
      <c r="C672" s="513"/>
      <c r="D672" s="523" t="s">
        <v>216</v>
      </c>
      <c r="E672" s="515"/>
      <c r="F672" s="516"/>
      <c r="G672" s="517" t="s">
        <v>268</v>
      </c>
      <c r="H672" s="476"/>
      <c r="I672" s="518"/>
      <c r="J672" s="273"/>
      <c r="L672" s="8"/>
      <c r="M672" s="8"/>
      <c r="N672" s="8"/>
      <c r="O672" s="8"/>
      <c r="P672" s="8"/>
    </row>
    <row r="673" spans="2:16" x14ac:dyDescent="0.2">
      <c r="B673" s="519">
        <f t="shared" si="27"/>
        <v>43</v>
      </c>
      <c r="C673" s="513"/>
      <c r="D673" s="523" t="s">
        <v>217</v>
      </c>
      <c r="E673" s="515"/>
      <c r="F673" s="516"/>
      <c r="G673" s="517" t="s">
        <v>268</v>
      </c>
      <c r="H673" s="476"/>
      <c r="I673" s="518"/>
      <c r="J673" s="273"/>
      <c r="L673" s="8"/>
      <c r="M673" s="8"/>
      <c r="N673" s="8"/>
      <c r="O673" s="8"/>
      <c r="P673" s="8"/>
    </row>
    <row r="674" spans="2:16" x14ac:dyDescent="0.2">
      <c r="B674" s="519">
        <f t="shared" si="27"/>
        <v>44</v>
      </c>
      <c r="C674" s="513"/>
      <c r="D674" s="523" t="s">
        <v>218</v>
      </c>
      <c r="E674" s="515"/>
      <c r="F674" s="516"/>
      <c r="G674" s="517" t="s">
        <v>268</v>
      </c>
      <c r="H674" s="476"/>
      <c r="I674" s="518"/>
      <c r="J674" s="273"/>
      <c r="L674" s="8"/>
      <c r="M674" s="8"/>
      <c r="N674" s="8"/>
      <c r="O674" s="8"/>
      <c r="P674" s="8"/>
    </row>
    <row r="675" spans="2:16" x14ac:dyDescent="0.2">
      <c r="B675" s="519">
        <f t="shared" si="27"/>
        <v>45</v>
      </c>
      <c r="C675" s="513"/>
      <c r="D675" s="523" t="s">
        <v>219</v>
      </c>
      <c r="E675" s="515"/>
      <c r="F675" s="516"/>
      <c r="G675" s="517" t="s">
        <v>268</v>
      </c>
      <c r="H675" s="476"/>
      <c r="I675" s="518"/>
      <c r="J675" s="273"/>
      <c r="L675" s="8"/>
      <c r="M675" s="8"/>
      <c r="N675" s="8"/>
      <c r="O675" s="8"/>
      <c r="P675" s="8"/>
    </row>
    <row r="676" spans="2:16" x14ac:dyDescent="0.2">
      <c r="B676" s="519">
        <f t="shared" si="27"/>
        <v>46</v>
      </c>
      <c r="C676" s="513"/>
      <c r="D676" s="523" t="s">
        <v>220</v>
      </c>
      <c r="E676" s="515"/>
      <c r="F676" s="516"/>
      <c r="G676" s="517" t="s">
        <v>268</v>
      </c>
      <c r="H676" s="476"/>
      <c r="I676" s="518"/>
      <c r="J676" s="273"/>
      <c r="L676" s="8"/>
      <c r="M676" s="8"/>
      <c r="N676" s="8"/>
      <c r="O676" s="8"/>
      <c r="P676" s="8"/>
    </row>
    <row r="677" spans="2:16" x14ac:dyDescent="0.2">
      <c r="B677" s="519">
        <f t="shared" si="27"/>
        <v>47</v>
      </c>
      <c r="C677" s="513"/>
      <c r="D677" s="524" t="s">
        <v>237</v>
      </c>
      <c r="E677" s="515"/>
      <c r="F677" s="516"/>
      <c r="G677" s="517" t="s">
        <v>338</v>
      </c>
      <c r="H677" s="476"/>
      <c r="I677" s="518"/>
      <c r="J677" s="273"/>
      <c r="L677" s="8"/>
      <c r="M677" s="8"/>
      <c r="N677" s="8"/>
      <c r="O677" s="8"/>
      <c r="P677" s="8"/>
    </row>
    <row r="678" spans="2:16" x14ac:dyDescent="0.2">
      <c r="B678" s="519">
        <f t="shared" si="27"/>
        <v>48</v>
      </c>
      <c r="C678" s="513"/>
      <c r="D678" s="524" t="s">
        <v>238</v>
      </c>
      <c r="E678" s="515"/>
      <c r="F678" s="516"/>
      <c r="G678" s="517" t="s">
        <v>293</v>
      </c>
      <c r="H678" s="476"/>
      <c r="I678" s="518"/>
      <c r="J678" s="273"/>
      <c r="L678" s="8"/>
      <c r="M678" s="8"/>
      <c r="N678" s="8"/>
      <c r="O678" s="8"/>
      <c r="P678" s="8"/>
    </row>
    <row r="679" spans="2:16" x14ac:dyDescent="0.2">
      <c r="B679" s="519">
        <f t="shared" si="27"/>
        <v>49</v>
      </c>
      <c r="C679" s="513"/>
      <c r="D679" s="524" t="s">
        <v>221</v>
      </c>
      <c r="E679" s="515"/>
      <c r="F679" s="516"/>
      <c r="G679" s="517" t="s">
        <v>268</v>
      </c>
      <c r="H679" s="476"/>
      <c r="I679" s="518"/>
      <c r="J679" s="273"/>
      <c r="L679" s="8"/>
      <c r="M679" s="8"/>
      <c r="N679" s="8"/>
      <c r="O679" s="8"/>
      <c r="P679" s="8"/>
    </row>
    <row r="680" spans="2:16" x14ac:dyDescent="0.2">
      <c r="B680" s="519">
        <f t="shared" si="27"/>
        <v>50</v>
      </c>
      <c r="C680" s="513"/>
      <c r="D680" s="524" t="s">
        <v>222</v>
      </c>
      <c r="E680" s="515"/>
      <c r="F680" s="516"/>
      <c r="G680" s="517" t="s">
        <v>268</v>
      </c>
      <c r="H680" s="476"/>
      <c r="I680" s="518"/>
      <c r="J680" s="273"/>
      <c r="L680" s="8"/>
      <c r="M680" s="8"/>
      <c r="N680" s="8"/>
      <c r="O680" s="8"/>
      <c r="P680" s="8"/>
    </row>
    <row r="681" spans="2:16" x14ac:dyDescent="0.2">
      <c r="B681" s="519">
        <f t="shared" si="27"/>
        <v>51</v>
      </c>
      <c r="C681" s="513"/>
      <c r="D681" s="524" t="s">
        <v>223</v>
      </c>
      <c r="E681" s="515"/>
      <c r="F681" s="516"/>
      <c r="G681" s="517" t="s">
        <v>268</v>
      </c>
      <c r="H681" s="476"/>
      <c r="I681" s="518"/>
      <c r="J681" s="273"/>
      <c r="L681" s="8"/>
      <c r="M681" s="8"/>
      <c r="N681" s="8"/>
      <c r="O681" s="8"/>
      <c r="P681" s="8"/>
    </row>
    <row r="682" spans="2:16" x14ac:dyDescent="0.2">
      <c r="B682" s="519">
        <f t="shared" si="27"/>
        <v>52</v>
      </c>
      <c r="C682" s="513"/>
      <c r="D682" s="524" t="s">
        <v>224</v>
      </c>
      <c r="E682" s="515"/>
      <c r="F682" s="516"/>
      <c r="G682" s="517" t="s">
        <v>268</v>
      </c>
      <c r="H682" s="476"/>
      <c r="I682" s="518"/>
      <c r="J682" s="273"/>
      <c r="L682" s="8"/>
      <c r="M682" s="8"/>
      <c r="N682" s="8"/>
      <c r="O682" s="8"/>
      <c r="P682" s="8"/>
    </row>
    <row r="683" spans="2:16" x14ac:dyDescent="0.2">
      <c r="B683" s="519">
        <f t="shared" si="27"/>
        <v>53</v>
      </c>
      <c r="C683" s="513"/>
      <c r="D683" s="524" t="s">
        <v>241</v>
      </c>
      <c r="E683" s="515"/>
      <c r="F683" s="516"/>
      <c r="G683" s="517" t="s">
        <v>268</v>
      </c>
      <c r="H683" s="476"/>
      <c r="I683" s="518"/>
      <c r="J683" s="273"/>
      <c r="L683" s="8"/>
      <c r="M683" s="8"/>
      <c r="N683" s="8"/>
      <c r="O683" s="8"/>
      <c r="P683" s="8"/>
    </row>
    <row r="684" spans="2:16" x14ac:dyDescent="0.2">
      <c r="B684" s="519">
        <f t="shared" si="27"/>
        <v>54</v>
      </c>
      <c r="C684" s="513"/>
      <c r="D684" s="524" t="s">
        <v>242</v>
      </c>
      <c r="E684" s="515"/>
      <c r="F684" s="516"/>
      <c r="G684" s="517" t="s">
        <v>298</v>
      </c>
      <c r="H684" s="476"/>
      <c r="I684" s="372">
        <v>3600</v>
      </c>
      <c r="J684" s="273"/>
      <c r="L684" s="8"/>
      <c r="M684" s="8"/>
      <c r="N684" s="8">
        <f>90000/25</f>
        <v>3600</v>
      </c>
      <c r="O684" s="8"/>
      <c r="P684" s="8"/>
    </row>
    <row r="685" spans="2:16" x14ac:dyDescent="0.2">
      <c r="B685" s="519">
        <f t="shared" si="27"/>
        <v>55</v>
      </c>
      <c r="C685" s="513"/>
      <c r="D685" s="524" t="s">
        <v>243</v>
      </c>
      <c r="E685" s="515"/>
      <c r="F685" s="516"/>
      <c r="G685" s="517" t="s">
        <v>268</v>
      </c>
      <c r="H685" s="476"/>
      <c r="I685" s="518"/>
      <c r="J685" s="273"/>
      <c r="L685" s="8"/>
      <c r="M685" s="8"/>
      <c r="N685" s="8"/>
      <c r="O685" s="8"/>
      <c r="P685" s="8"/>
    </row>
    <row r="686" spans="2:16" x14ac:dyDescent="0.2">
      <c r="B686" s="519">
        <f t="shared" si="27"/>
        <v>56</v>
      </c>
      <c r="C686" s="513"/>
      <c r="D686" s="524" t="s">
        <v>225</v>
      </c>
      <c r="E686" s="515"/>
      <c r="F686" s="516"/>
      <c r="G686" s="517" t="s">
        <v>293</v>
      </c>
      <c r="H686" s="476"/>
      <c r="I686" s="518"/>
      <c r="J686" s="273"/>
      <c r="L686" s="8"/>
      <c r="M686" s="8"/>
      <c r="N686" s="8"/>
      <c r="O686" s="8"/>
      <c r="P686" s="8"/>
    </row>
    <row r="687" spans="2:16" x14ac:dyDescent="0.2">
      <c r="B687" s="519">
        <f t="shared" si="27"/>
        <v>57</v>
      </c>
      <c r="C687" s="513"/>
      <c r="D687" s="529" t="s">
        <v>1098</v>
      </c>
      <c r="E687" s="383"/>
      <c r="F687" s="462"/>
      <c r="G687" s="385" t="s">
        <v>277</v>
      </c>
      <c r="H687" s="324"/>
      <c r="I687" s="372">
        <v>81000</v>
      </c>
      <c r="J687" s="273"/>
      <c r="L687" s="8"/>
      <c r="M687" s="8"/>
      <c r="N687" s="8"/>
      <c r="O687" s="8"/>
      <c r="P687" s="8"/>
    </row>
    <row r="688" spans="2:16" x14ac:dyDescent="0.2">
      <c r="B688" s="519">
        <f t="shared" si="27"/>
        <v>58</v>
      </c>
      <c r="C688" s="513"/>
      <c r="D688" s="524" t="s">
        <v>1099</v>
      </c>
      <c r="E688" s="515"/>
      <c r="F688" s="516"/>
      <c r="G688" s="517" t="s">
        <v>277</v>
      </c>
      <c r="H688" s="476"/>
      <c r="I688" s="518"/>
      <c r="J688" s="273"/>
      <c r="L688" s="8"/>
      <c r="M688" s="8"/>
      <c r="N688" s="8"/>
      <c r="O688" s="8"/>
      <c r="P688" s="8"/>
    </row>
    <row r="689" spans="2:16" x14ac:dyDescent="0.2">
      <c r="B689" s="519">
        <f t="shared" si="27"/>
        <v>59</v>
      </c>
      <c r="C689" s="513"/>
      <c r="D689" s="529" t="s">
        <v>1085</v>
      </c>
      <c r="E689" s="383"/>
      <c r="F689" s="462"/>
      <c r="G689" s="385" t="s">
        <v>275</v>
      </c>
      <c r="H689" s="324"/>
      <c r="I689" s="372">
        <v>8500000</v>
      </c>
      <c r="J689" s="273"/>
      <c r="L689" s="8"/>
      <c r="M689" s="8"/>
      <c r="N689" s="8"/>
      <c r="O689" s="8"/>
      <c r="P689" s="8"/>
    </row>
    <row r="690" spans="2:16" x14ac:dyDescent="0.2">
      <c r="B690" s="519">
        <f t="shared" si="27"/>
        <v>60</v>
      </c>
      <c r="C690" s="513"/>
      <c r="D690" s="524" t="s">
        <v>1100</v>
      </c>
      <c r="E690" s="515"/>
      <c r="F690" s="516"/>
      <c r="G690" s="517" t="s">
        <v>268</v>
      </c>
      <c r="H690" s="476"/>
      <c r="I690" s="518"/>
      <c r="J690" s="273"/>
      <c r="L690" s="8"/>
      <c r="M690" s="8"/>
      <c r="N690" s="8"/>
      <c r="O690" s="8"/>
      <c r="P690" s="8"/>
    </row>
    <row r="691" spans="2:16" x14ac:dyDescent="0.2">
      <c r="B691" s="519">
        <f t="shared" si="27"/>
        <v>61</v>
      </c>
      <c r="C691" s="513"/>
      <c r="D691" s="529" t="s">
        <v>1401</v>
      </c>
      <c r="E691" s="515"/>
      <c r="F691" s="516"/>
      <c r="G691" s="517" t="s">
        <v>268</v>
      </c>
      <c r="H691" s="476"/>
      <c r="I691" s="372">
        <v>110000</v>
      </c>
      <c r="J691" s="273"/>
      <c r="L691" s="8"/>
      <c r="M691" s="8"/>
      <c r="N691" s="8"/>
      <c r="O691" s="8"/>
      <c r="P691" s="8"/>
    </row>
    <row r="692" spans="2:16" x14ac:dyDescent="0.2">
      <c r="B692" s="519">
        <f t="shared" si="27"/>
        <v>62</v>
      </c>
      <c r="C692" s="513"/>
      <c r="D692" s="529" t="s">
        <v>464</v>
      </c>
      <c r="E692" s="383"/>
      <c r="F692" s="462"/>
      <c r="G692" s="385" t="s">
        <v>268</v>
      </c>
      <c r="H692" s="324"/>
      <c r="I692" s="372">
        <v>85000</v>
      </c>
      <c r="J692" s="273"/>
      <c r="L692" s="8"/>
      <c r="M692" s="8"/>
      <c r="N692" s="8"/>
      <c r="O692" s="8"/>
      <c r="P692" s="8"/>
    </row>
    <row r="693" spans="2:16" x14ac:dyDescent="0.2">
      <c r="B693" s="519">
        <f t="shared" si="27"/>
        <v>63</v>
      </c>
      <c r="C693" s="513"/>
      <c r="D693" s="530" t="s">
        <v>1074</v>
      </c>
      <c r="E693" s="515"/>
      <c r="F693" s="516"/>
      <c r="G693" s="517" t="s">
        <v>274</v>
      </c>
      <c r="H693" s="476"/>
      <c r="I693" s="518"/>
      <c r="J693" s="273"/>
      <c r="L693" s="8"/>
      <c r="M693" s="8"/>
      <c r="N693" s="8"/>
      <c r="O693" s="8"/>
      <c r="P693" s="8"/>
    </row>
    <row r="694" spans="2:16" x14ac:dyDescent="0.2">
      <c r="B694" s="519">
        <f t="shared" si="27"/>
        <v>64</v>
      </c>
      <c r="C694" s="513"/>
      <c r="D694" s="530" t="s">
        <v>1075</v>
      </c>
      <c r="E694" s="515"/>
      <c r="F694" s="516"/>
      <c r="G694" s="517" t="s">
        <v>268</v>
      </c>
      <c r="H694" s="476"/>
      <c r="I694" s="518"/>
      <c r="J694" s="273"/>
      <c r="L694" s="8"/>
      <c r="M694" s="8"/>
      <c r="N694" s="8"/>
      <c r="O694" s="8"/>
      <c r="P694" s="8"/>
    </row>
    <row r="695" spans="2:16" x14ac:dyDescent="0.2">
      <c r="B695" s="519">
        <f t="shared" ref="B695:B749" si="28">B694+1</f>
        <v>65</v>
      </c>
      <c r="C695" s="513"/>
      <c r="D695" s="530" t="s">
        <v>1076</v>
      </c>
      <c r="E695" s="515"/>
      <c r="F695" s="516"/>
      <c r="G695" s="517" t="s">
        <v>268</v>
      </c>
      <c r="H695" s="476"/>
      <c r="I695" s="518"/>
      <c r="J695" s="273"/>
      <c r="L695" s="8"/>
      <c r="M695" s="8"/>
      <c r="N695" s="8"/>
      <c r="O695" s="8"/>
      <c r="P695" s="8"/>
    </row>
    <row r="696" spans="2:16" x14ac:dyDescent="0.2">
      <c r="B696" s="519">
        <f t="shared" si="28"/>
        <v>66</v>
      </c>
      <c r="C696" s="513"/>
      <c r="D696" s="530" t="s">
        <v>1077</v>
      </c>
      <c r="E696" s="515"/>
      <c r="F696" s="516"/>
      <c r="G696" s="517" t="s">
        <v>268</v>
      </c>
      <c r="H696" s="476"/>
      <c r="I696" s="518"/>
      <c r="J696" s="273"/>
      <c r="L696" s="8"/>
      <c r="M696" s="8"/>
      <c r="N696" s="8"/>
      <c r="O696" s="8"/>
      <c r="P696" s="8"/>
    </row>
    <row r="697" spans="2:16" x14ac:dyDescent="0.2">
      <c r="B697" s="519">
        <f t="shared" si="28"/>
        <v>67</v>
      </c>
      <c r="C697" s="513"/>
      <c r="D697" s="530" t="s">
        <v>1078</v>
      </c>
      <c r="E697" s="515"/>
      <c r="F697" s="516"/>
      <c r="G697" s="517" t="s">
        <v>268</v>
      </c>
      <c r="H697" s="476"/>
      <c r="I697" s="518"/>
      <c r="J697" s="273"/>
      <c r="L697" s="8"/>
      <c r="M697" s="8"/>
      <c r="N697" s="8"/>
      <c r="O697" s="8"/>
      <c r="P697" s="8"/>
    </row>
    <row r="698" spans="2:16" x14ac:dyDescent="0.2">
      <c r="B698" s="519">
        <f t="shared" si="28"/>
        <v>68</v>
      </c>
      <c r="C698" s="513"/>
      <c r="D698" s="530" t="s">
        <v>1079</v>
      </c>
      <c r="E698" s="515"/>
      <c r="F698" s="516"/>
      <c r="G698" s="517" t="s">
        <v>268</v>
      </c>
      <c r="H698" s="476"/>
      <c r="I698" s="518"/>
      <c r="J698" s="273"/>
      <c r="L698" s="8"/>
      <c r="M698" s="8"/>
      <c r="N698" s="8"/>
      <c r="O698" s="8"/>
      <c r="P698" s="8"/>
    </row>
    <row r="699" spans="2:16" x14ac:dyDescent="0.2">
      <c r="B699" s="519">
        <f t="shared" si="28"/>
        <v>69</v>
      </c>
      <c r="C699" s="323"/>
      <c r="D699" s="531" t="s">
        <v>1402</v>
      </c>
      <c r="E699" s="383"/>
      <c r="F699" s="462"/>
      <c r="G699" s="385" t="s">
        <v>338</v>
      </c>
      <c r="H699" s="324"/>
      <c r="I699" s="372">
        <v>100000</v>
      </c>
      <c r="J699" s="273"/>
      <c r="L699" s="8"/>
      <c r="M699" s="8"/>
      <c r="N699" s="8" t="s">
        <v>1397</v>
      </c>
      <c r="O699" s="8"/>
      <c r="P699" s="8"/>
    </row>
    <row r="700" spans="2:16" x14ac:dyDescent="0.2">
      <c r="B700" s="519">
        <f t="shared" si="28"/>
        <v>70</v>
      </c>
      <c r="C700" s="513"/>
      <c r="D700" s="532" t="s">
        <v>1403</v>
      </c>
      <c r="E700" s="515"/>
      <c r="F700" s="516"/>
      <c r="G700" s="517" t="s">
        <v>298</v>
      </c>
      <c r="H700" s="476"/>
      <c r="I700" s="518">
        <v>13000</v>
      </c>
      <c r="J700" s="273"/>
      <c r="L700" s="8"/>
      <c r="M700" s="8"/>
      <c r="N700" s="8"/>
      <c r="O700" s="8"/>
      <c r="P700" s="8"/>
    </row>
    <row r="701" spans="2:16" x14ac:dyDescent="0.2">
      <c r="B701" s="519">
        <f t="shared" si="28"/>
        <v>71</v>
      </c>
      <c r="C701" s="513"/>
      <c r="D701" s="533" t="s">
        <v>1404</v>
      </c>
      <c r="E701" s="515"/>
      <c r="F701" s="516"/>
      <c r="G701" s="517" t="s">
        <v>247</v>
      </c>
      <c r="H701" s="476"/>
      <c r="I701" s="518">
        <v>35000</v>
      </c>
      <c r="J701" s="273"/>
      <c r="L701" s="8"/>
      <c r="M701" s="8"/>
      <c r="N701" s="8"/>
      <c r="O701" s="8"/>
      <c r="P701" s="8"/>
    </row>
    <row r="702" spans="2:16" x14ac:dyDescent="0.2">
      <c r="B702" s="519">
        <f t="shared" si="28"/>
        <v>72</v>
      </c>
      <c r="C702" s="268"/>
      <c r="D702" s="430" t="s">
        <v>447</v>
      </c>
      <c r="E702" s="437"/>
      <c r="F702" s="424"/>
      <c r="G702" s="310" t="s">
        <v>463</v>
      </c>
      <c r="H702" s="361"/>
      <c r="I702" s="312">
        <v>45000</v>
      </c>
      <c r="J702" s="273"/>
      <c r="L702" s="8"/>
      <c r="M702" s="8"/>
      <c r="N702" s="8"/>
      <c r="O702" s="8"/>
      <c r="P702" s="8"/>
    </row>
    <row r="703" spans="2:16" x14ac:dyDescent="0.2">
      <c r="B703" s="519">
        <f t="shared" si="28"/>
        <v>73</v>
      </c>
      <c r="C703" s="268"/>
      <c r="D703" s="430" t="s">
        <v>368</v>
      </c>
      <c r="E703" s="437"/>
      <c r="F703" s="424"/>
      <c r="G703" s="310" t="s">
        <v>383</v>
      </c>
      <c r="H703" s="361"/>
      <c r="I703" s="312">
        <v>40000</v>
      </c>
      <c r="J703" s="273"/>
      <c r="L703" s="8"/>
      <c r="M703" s="8"/>
      <c r="N703" s="8"/>
      <c r="O703" s="8"/>
      <c r="P703" s="8"/>
    </row>
    <row r="704" spans="2:16" x14ac:dyDescent="0.2">
      <c r="B704" s="519">
        <f t="shared" si="28"/>
        <v>74</v>
      </c>
      <c r="C704" s="268"/>
      <c r="D704" s="430" t="s">
        <v>394</v>
      </c>
      <c r="E704" s="437"/>
      <c r="F704" s="424"/>
      <c r="G704" s="310" t="s">
        <v>268</v>
      </c>
      <c r="H704" s="361"/>
      <c r="I704" s="312">
        <v>1250</v>
      </c>
      <c r="J704" s="273"/>
      <c r="L704" s="8"/>
      <c r="M704" s="8"/>
      <c r="N704" s="8"/>
      <c r="O704" s="8"/>
      <c r="P704" s="8"/>
    </row>
    <row r="705" spans="2:16" x14ac:dyDescent="0.2">
      <c r="B705" s="519">
        <f t="shared" si="28"/>
        <v>75</v>
      </c>
      <c r="C705" s="268"/>
      <c r="D705" s="430" t="s">
        <v>395</v>
      </c>
      <c r="E705" s="437"/>
      <c r="F705" s="424"/>
      <c r="G705" s="310" t="s">
        <v>268</v>
      </c>
      <c r="H705" s="361"/>
      <c r="I705" s="312">
        <v>50000</v>
      </c>
      <c r="J705" s="273"/>
      <c r="L705" s="8"/>
      <c r="M705" s="8"/>
      <c r="N705" s="8"/>
      <c r="O705" s="8"/>
      <c r="P705" s="8"/>
    </row>
    <row r="706" spans="2:16" x14ac:dyDescent="0.2">
      <c r="B706" s="519">
        <f t="shared" si="28"/>
        <v>76</v>
      </c>
      <c r="C706" s="268"/>
      <c r="D706" s="430" t="s">
        <v>592</v>
      </c>
      <c r="E706" s="437"/>
      <c r="F706" s="424"/>
      <c r="G706" s="310" t="s">
        <v>338</v>
      </c>
      <c r="H706" s="361"/>
      <c r="I706" s="312">
        <v>35000</v>
      </c>
      <c r="J706" s="273"/>
      <c r="L706" s="8"/>
      <c r="M706" s="8"/>
      <c r="N706" s="8"/>
      <c r="O706" s="8"/>
      <c r="P706" s="8"/>
    </row>
    <row r="707" spans="2:16" x14ac:dyDescent="0.2">
      <c r="B707" s="519">
        <f t="shared" si="28"/>
        <v>77</v>
      </c>
      <c r="C707" s="268"/>
      <c r="D707" s="534" t="s">
        <v>655</v>
      </c>
      <c r="E707" s="270"/>
      <c r="F707" s="424"/>
      <c r="G707" s="387" t="s">
        <v>463</v>
      </c>
      <c r="H707" s="311"/>
      <c r="I707" s="312">
        <v>75000</v>
      </c>
      <c r="J707" s="273"/>
      <c r="L707" s="8"/>
      <c r="M707" s="8"/>
      <c r="N707" s="8"/>
      <c r="O707" s="8"/>
      <c r="P707" s="8"/>
    </row>
    <row r="708" spans="2:16" x14ac:dyDescent="0.2">
      <c r="B708" s="519">
        <f t="shared" si="28"/>
        <v>78</v>
      </c>
      <c r="C708" s="268"/>
      <c r="D708" s="534" t="s">
        <v>656</v>
      </c>
      <c r="E708" s="270"/>
      <c r="F708" s="535"/>
      <c r="G708" s="387" t="s">
        <v>463</v>
      </c>
      <c r="H708" s="311"/>
      <c r="I708" s="312">
        <v>75000</v>
      </c>
      <c r="J708" s="273"/>
      <c r="L708" s="8"/>
      <c r="M708" s="8"/>
      <c r="N708" s="8"/>
      <c r="O708" s="8"/>
      <c r="P708" s="8"/>
    </row>
    <row r="709" spans="2:16" x14ac:dyDescent="0.2">
      <c r="B709" s="519">
        <f t="shared" si="28"/>
        <v>79</v>
      </c>
      <c r="C709" s="268"/>
      <c r="D709" s="534" t="s">
        <v>657</v>
      </c>
      <c r="E709" s="270"/>
      <c r="F709" s="279"/>
      <c r="G709" s="387" t="s">
        <v>430</v>
      </c>
      <c r="H709" s="311"/>
      <c r="I709" s="312">
        <v>0</v>
      </c>
      <c r="J709" s="273"/>
      <c r="L709" s="8"/>
      <c r="M709" s="8"/>
      <c r="N709" s="8"/>
      <c r="O709" s="8"/>
      <c r="P709" s="8"/>
    </row>
    <row r="710" spans="2:16" x14ac:dyDescent="0.2">
      <c r="B710" s="519">
        <f t="shared" si="28"/>
        <v>80</v>
      </c>
      <c r="C710" s="268"/>
      <c r="D710" s="534" t="s">
        <v>658</v>
      </c>
      <c r="E710" s="270"/>
      <c r="F710" s="269"/>
      <c r="G710" s="387" t="s">
        <v>268</v>
      </c>
      <c r="H710" s="311"/>
      <c r="I710" s="312">
        <v>0</v>
      </c>
      <c r="J710" s="273"/>
      <c r="L710" s="8"/>
      <c r="M710" s="8"/>
      <c r="N710" s="8"/>
      <c r="O710" s="8"/>
      <c r="P710" s="8"/>
    </row>
    <row r="711" spans="2:16" x14ac:dyDescent="0.2">
      <c r="B711" s="519">
        <f t="shared" si="28"/>
        <v>81</v>
      </c>
      <c r="C711" s="268"/>
      <c r="D711" s="534" t="s">
        <v>659</v>
      </c>
      <c r="E711" s="315"/>
      <c r="F711" s="279"/>
      <c r="G711" s="387" t="s">
        <v>662</v>
      </c>
      <c r="H711" s="328"/>
      <c r="I711" s="312">
        <v>0</v>
      </c>
      <c r="J711" s="273"/>
      <c r="L711" s="8"/>
      <c r="M711" s="8"/>
      <c r="N711" s="8"/>
      <c r="O711" s="8"/>
      <c r="P711" s="8"/>
    </row>
    <row r="712" spans="2:16" x14ac:dyDescent="0.2">
      <c r="B712" s="519">
        <f t="shared" si="28"/>
        <v>82</v>
      </c>
      <c r="C712" s="268"/>
      <c r="D712" s="534" t="s">
        <v>660</v>
      </c>
      <c r="E712" s="270"/>
      <c r="F712" s="270"/>
      <c r="G712" s="387" t="s">
        <v>662</v>
      </c>
      <c r="H712" s="311"/>
      <c r="I712" s="312">
        <v>0</v>
      </c>
      <c r="J712" s="273"/>
      <c r="L712" s="8"/>
      <c r="M712" s="8"/>
      <c r="N712" s="8"/>
      <c r="O712" s="8"/>
      <c r="P712" s="8"/>
    </row>
    <row r="713" spans="2:16" x14ac:dyDescent="0.2">
      <c r="B713" s="519">
        <f t="shared" si="28"/>
        <v>83</v>
      </c>
      <c r="C713" s="268"/>
      <c r="D713" s="534" t="s">
        <v>661</v>
      </c>
      <c r="E713" s="270"/>
      <c r="F713" s="270"/>
      <c r="G713" s="387" t="s">
        <v>650</v>
      </c>
      <c r="H713" s="311"/>
      <c r="I713" s="312">
        <v>0</v>
      </c>
      <c r="J713" s="273"/>
      <c r="L713" s="8"/>
      <c r="M713" s="8"/>
      <c r="N713" s="8"/>
      <c r="O713" s="8"/>
      <c r="P713" s="8"/>
    </row>
    <row r="714" spans="2:16" x14ac:dyDescent="0.2">
      <c r="B714" s="519">
        <f t="shared" si="28"/>
        <v>84</v>
      </c>
      <c r="C714" s="268"/>
      <c r="D714" s="534" t="s">
        <v>603</v>
      </c>
      <c r="E714" s="270"/>
      <c r="F714" s="270"/>
      <c r="G714" s="387" t="s">
        <v>662</v>
      </c>
      <c r="H714" s="311"/>
      <c r="I714" s="312">
        <v>0</v>
      </c>
      <c r="J714" s="273"/>
      <c r="L714" s="8"/>
      <c r="M714" s="8"/>
      <c r="N714" s="536" t="s">
        <v>1405</v>
      </c>
      <c r="O714" s="8"/>
      <c r="P714" s="8"/>
    </row>
    <row r="715" spans="2:16" ht="16.5" x14ac:dyDescent="0.2">
      <c r="B715" s="519">
        <f t="shared" si="28"/>
        <v>85</v>
      </c>
      <c r="C715" s="537"/>
      <c r="D715" s="222" t="s">
        <v>801</v>
      </c>
      <c r="E715" s="223"/>
      <c r="F715" s="251"/>
      <c r="G715" s="310" t="s">
        <v>1494</v>
      </c>
      <c r="H715" s="220"/>
      <c r="I715" s="538">
        <f t="shared" ref="I715:I722" si="29">O715</f>
        <v>660000</v>
      </c>
      <c r="J715" s="255"/>
      <c r="L715" s="8"/>
      <c r="M715" s="8"/>
      <c r="N715" s="8">
        <v>600000</v>
      </c>
      <c r="O715" s="539">
        <f>ROUNDDOWN((N715*1.1),-3)</f>
        <v>660000</v>
      </c>
      <c r="P715" s="8"/>
    </row>
    <row r="716" spans="2:16" ht="16.5" x14ac:dyDescent="0.2">
      <c r="B716" s="519">
        <f t="shared" si="28"/>
        <v>86</v>
      </c>
      <c r="C716" s="410"/>
      <c r="D716" s="540" t="s">
        <v>802</v>
      </c>
      <c r="E716" s="541"/>
      <c r="F716" s="284"/>
      <c r="G716" s="310" t="s">
        <v>1494</v>
      </c>
      <c r="H716" s="542"/>
      <c r="I716" s="281">
        <f t="shared" si="29"/>
        <v>825000</v>
      </c>
      <c r="J716" s="286"/>
      <c r="L716" s="8"/>
      <c r="M716" s="8"/>
      <c r="N716" s="8">
        <v>750000</v>
      </c>
      <c r="O716" s="539">
        <f t="shared" ref="O716:O746" si="30">ROUNDDOWN((N716*1.1),-3)</f>
        <v>825000</v>
      </c>
      <c r="P716" s="8"/>
    </row>
    <row r="717" spans="2:16" ht="16.5" x14ac:dyDescent="0.2">
      <c r="B717" s="519">
        <f t="shared" si="28"/>
        <v>87</v>
      </c>
      <c r="C717" s="410"/>
      <c r="D717" s="540" t="s">
        <v>796</v>
      </c>
      <c r="E717" s="541"/>
      <c r="F717" s="284"/>
      <c r="G717" s="310" t="s">
        <v>1494</v>
      </c>
      <c r="H717" s="542"/>
      <c r="I717" s="281">
        <f t="shared" si="29"/>
        <v>440000</v>
      </c>
      <c r="J717" s="286"/>
      <c r="L717" s="8"/>
      <c r="M717" s="8"/>
      <c r="N717" s="8">
        <v>400000</v>
      </c>
      <c r="O717" s="539">
        <f t="shared" si="30"/>
        <v>440000</v>
      </c>
      <c r="P717" s="8"/>
    </row>
    <row r="718" spans="2:16" ht="16.5" x14ac:dyDescent="0.2">
      <c r="B718" s="519">
        <f t="shared" si="28"/>
        <v>88</v>
      </c>
      <c r="C718" s="410"/>
      <c r="D718" s="540" t="s">
        <v>804</v>
      </c>
      <c r="E718" s="541"/>
      <c r="F718" s="284"/>
      <c r="G718" s="310" t="s">
        <v>1494</v>
      </c>
      <c r="H718" s="542"/>
      <c r="I718" s="281">
        <f t="shared" si="29"/>
        <v>440000</v>
      </c>
      <c r="J718" s="286"/>
      <c r="L718" s="8"/>
      <c r="M718" s="8"/>
      <c r="N718" s="8">
        <v>400000</v>
      </c>
      <c r="O718" s="539">
        <f t="shared" si="30"/>
        <v>440000</v>
      </c>
      <c r="P718" s="8"/>
    </row>
    <row r="719" spans="2:16" ht="16.5" x14ac:dyDescent="0.2">
      <c r="B719" s="519">
        <f t="shared" si="28"/>
        <v>89</v>
      </c>
      <c r="C719" s="410"/>
      <c r="D719" s="540" t="s">
        <v>798</v>
      </c>
      <c r="E719" s="541"/>
      <c r="F719" s="284"/>
      <c r="G719" s="310" t="s">
        <v>1494</v>
      </c>
      <c r="H719" s="542"/>
      <c r="I719" s="281">
        <f>O719</f>
        <v>695000</v>
      </c>
      <c r="J719" s="286"/>
      <c r="L719" s="8"/>
      <c r="M719" s="8"/>
      <c r="N719" s="8">
        <v>632500</v>
      </c>
      <c r="O719" s="539">
        <f t="shared" si="30"/>
        <v>695000</v>
      </c>
      <c r="P719" s="8"/>
    </row>
    <row r="720" spans="2:16" ht="16.5" x14ac:dyDescent="0.2">
      <c r="B720" s="519">
        <f t="shared" si="28"/>
        <v>90</v>
      </c>
      <c r="C720" s="410"/>
      <c r="D720" s="540" t="s">
        <v>799</v>
      </c>
      <c r="E720" s="541"/>
      <c r="F720" s="284"/>
      <c r="G720" s="310" t="s">
        <v>1494</v>
      </c>
      <c r="H720" s="542"/>
      <c r="I720" s="281">
        <f t="shared" si="29"/>
        <v>715000</v>
      </c>
      <c r="J720" s="286"/>
      <c r="L720" s="8"/>
      <c r="M720" s="8"/>
      <c r="N720" s="8">
        <v>650000</v>
      </c>
      <c r="O720" s="539">
        <f t="shared" si="30"/>
        <v>715000</v>
      </c>
      <c r="P720" s="8"/>
    </row>
    <row r="721" spans="2:18" ht="16.5" x14ac:dyDescent="0.2">
      <c r="B721" s="519">
        <f t="shared" si="28"/>
        <v>91</v>
      </c>
      <c r="C721" s="410"/>
      <c r="D721" s="540" t="s">
        <v>800</v>
      </c>
      <c r="E721" s="541"/>
      <c r="F721" s="284"/>
      <c r="G721" s="310" t="s">
        <v>1494</v>
      </c>
      <c r="H721" s="542"/>
      <c r="I721" s="281">
        <f t="shared" si="29"/>
        <v>935000</v>
      </c>
      <c r="J721" s="286"/>
      <c r="L721" s="8"/>
      <c r="M721" s="8"/>
      <c r="N721" s="8">
        <v>850000</v>
      </c>
      <c r="O721" s="539">
        <f t="shared" si="30"/>
        <v>935000</v>
      </c>
      <c r="P721" s="8"/>
    </row>
    <row r="722" spans="2:18" ht="16.5" x14ac:dyDescent="0.2">
      <c r="B722" s="519">
        <f t="shared" si="28"/>
        <v>92</v>
      </c>
      <c r="C722" s="410"/>
      <c r="D722" s="540" t="s">
        <v>797</v>
      </c>
      <c r="E722" s="541"/>
      <c r="F722" s="284"/>
      <c r="G722" s="310" t="s">
        <v>1494</v>
      </c>
      <c r="H722" s="542"/>
      <c r="I722" s="281">
        <f t="shared" si="29"/>
        <v>935000</v>
      </c>
      <c r="J722" s="286"/>
      <c r="L722" s="8"/>
      <c r="M722" s="8"/>
      <c r="N722" s="8">
        <v>850000</v>
      </c>
      <c r="O722" s="539">
        <f t="shared" si="30"/>
        <v>935000</v>
      </c>
      <c r="P722" s="8"/>
    </row>
    <row r="723" spans="2:18" x14ac:dyDescent="0.2">
      <c r="B723" s="519">
        <f t="shared" si="28"/>
        <v>93</v>
      </c>
      <c r="C723" s="410"/>
      <c r="D723" s="540" t="s">
        <v>1406</v>
      </c>
      <c r="E723" s="541"/>
      <c r="F723" s="284"/>
      <c r="G723" s="310" t="s">
        <v>463</v>
      </c>
      <c r="H723" s="542"/>
      <c r="I723" s="281">
        <v>55000</v>
      </c>
      <c r="J723" s="286"/>
      <c r="L723" s="8"/>
      <c r="M723" s="8"/>
      <c r="N723" s="8">
        <v>200000</v>
      </c>
      <c r="O723" s="539">
        <f t="shared" si="30"/>
        <v>220000</v>
      </c>
      <c r="P723" s="8"/>
    </row>
    <row r="724" spans="2:18" x14ac:dyDescent="0.2">
      <c r="B724" s="519">
        <f t="shared" si="28"/>
        <v>94</v>
      </c>
      <c r="C724" s="268"/>
      <c r="D724" s="425" t="s">
        <v>589</v>
      </c>
      <c r="E724" s="315"/>
      <c r="F724" s="315"/>
      <c r="G724" s="310" t="s">
        <v>309</v>
      </c>
      <c r="H724" s="311"/>
      <c r="I724" s="281">
        <f>O724</f>
        <v>695000</v>
      </c>
      <c r="J724" s="273"/>
      <c r="L724" s="8"/>
      <c r="M724" s="8"/>
      <c r="N724" s="8">
        <v>632500</v>
      </c>
      <c r="O724" s="539">
        <f t="shared" si="30"/>
        <v>695000</v>
      </c>
      <c r="P724" s="8"/>
    </row>
    <row r="725" spans="2:18" x14ac:dyDescent="0.2">
      <c r="B725" s="519">
        <f t="shared" si="28"/>
        <v>95</v>
      </c>
      <c r="C725" s="268"/>
      <c r="D725" s="425" t="s">
        <v>3</v>
      </c>
      <c r="E725" s="315"/>
      <c r="F725" s="315"/>
      <c r="G725" s="310" t="s">
        <v>273</v>
      </c>
      <c r="H725" s="311"/>
      <c r="I725" s="281">
        <v>5000000</v>
      </c>
      <c r="J725" s="273"/>
      <c r="L725" s="8"/>
      <c r="M725" s="8"/>
      <c r="N725" s="8">
        <v>5000000</v>
      </c>
      <c r="O725" s="539">
        <f t="shared" si="30"/>
        <v>5500000</v>
      </c>
      <c r="P725" s="8"/>
    </row>
    <row r="726" spans="2:18" x14ac:dyDescent="0.2">
      <c r="B726" s="519">
        <f t="shared" si="28"/>
        <v>96</v>
      </c>
      <c r="C726" s="268"/>
      <c r="D726" s="425" t="s">
        <v>1407</v>
      </c>
      <c r="E726" s="315"/>
      <c r="F726" s="315"/>
      <c r="G726" s="310" t="s">
        <v>247</v>
      </c>
      <c r="H726" s="311"/>
      <c r="I726" s="281">
        <v>25000</v>
      </c>
      <c r="J726" s="273"/>
      <c r="L726" s="8"/>
      <c r="M726" s="8"/>
      <c r="N726" s="543">
        <v>20000</v>
      </c>
      <c r="O726" s="539">
        <f t="shared" si="30"/>
        <v>22000</v>
      </c>
      <c r="P726" s="8"/>
      <c r="R726" s="210">
        <f>900000/50</f>
        <v>18000</v>
      </c>
    </row>
    <row r="727" spans="2:18" x14ac:dyDescent="0.2">
      <c r="B727" s="519">
        <f t="shared" si="28"/>
        <v>97</v>
      </c>
      <c r="C727" s="268"/>
      <c r="D727" s="425" t="s">
        <v>817</v>
      </c>
      <c r="E727" s="315"/>
      <c r="F727" s="315"/>
      <c r="G727" s="310" t="s">
        <v>273</v>
      </c>
      <c r="H727" s="311"/>
      <c r="I727" s="312">
        <v>3500000</v>
      </c>
      <c r="J727" s="273"/>
      <c r="L727" s="8"/>
      <c r="M727" s="8"/>
      <c r="N727" s="543">
        <v>3500000</v>
      </c>
      <c r="O727" s="539">
        <f t="shared" si="30"/>
        <v>3850000</v>
      </c>
      <c r="P727" s="8"/>
    </row>
    <row r="728" spans="2:18" x14ac:dyDescent="0.2">
      <c r="B728" s="519">
        <f t="shared" si="28"/>
        <v>98</v>
      </c>
      <c r="C728" s="268"/>
      <c r="D728" s="425" t="s">
        <v>602</v>
      </c>
      <c r="E728" s="315"/>
      <c r="F728" s="315"/>
      <c r="G728" s="310" t="s">
        <v>273</v>
      </c>
      <c r="H728" s="311"/>
      <c r="I728" s="281">
        <f>O728</f>
        <v>38500000</v>
      </c>
      <c r="J728" s="544"/>
      <c r="L728" s="8"/>
      <c r="M728" s="8"/>
      <c r="N728" s="8">
        <v>35000000</v>
      </c>
      <c r="O728" s="539">
        <f t="shared" si="30"/>
        <v>38500000</v>
      </c>
      <c r="P728" s="8"/>
    </row>
    <row r="729" spans="2:18" x14ac:dyDescent="0.2">
      <c r="B729" s="519">
        <f t="shared" si="28"/>
        <v>99</v>
      </c>
      <c r="C729" s="268"/>
      <c r="D729" s="425" t="s">
        <v>593</v>
      </c>
      <c r="E729" s="315"/>
      <c r="F729" s="315"/>
      <c r="G729" s="310" t="s">
        <v>268</v>
      </c>
      <c r="H729" s="311"/>
      <c r="I729" s="312">
        <v>86300</v>
      </c>
      <c r="J729" s="273"/>
      <c r="L729" s="8"/>
      <c r="M729" s="8"/>
      <c r="N729" s="8">
        <v>86300</v>
      </c>
      <c r="O729" s="539">
        <f t="shared" si="30"/>
        <v>94000</v>
      </c>
      <c r="P729" s="8"/>
    </row>
    <row r="730" spans="2:18" x14ac:dyDescent="0.2">
      <c r="B730" s="519">
        <f t="shared" si="28"/>
        <v>100</v>
      </c>
      <c r="C730" s="268"/>
      <c r="D730" s="425" t="s">
        <v>596</v>
      </c>
      <c r="E730" s="315"/>
      <c r="F730" s="315"/>
      <c r="G730" s="310" t="s">
        <v>273</v>
      </c>
      <c r="H730" s="311"/>
      <c r="I730" s="312">
        <v>5750000</v>
      </c>
      <c r="J730" s="273"/>
      <c r="L730" s="8"/>
      <c r="M730" s="8"/>
      <c r="N730" s="8">
        <v>5750000</v>
      </c>
      <c r="O730" s="539">
        <f t="shared" si="30"/>
        <v>6325000</v>
      </c>
      <c r="P730" s="8"/>
    </row>
    <row r="731" spans="2:18" x14ac:dyDescent="0.2">
      <c r="B731" s="519">
        <f t="shared" si="28"/>
        <v>101</v>
      </c>
      <c r="C731" s="268"/>
      <c r="D731" s="425" t="s">
        <v>597</v>
      </c>
      <c r="E731" s="315"/>
      <c r="F731" s="315"/>
      <c r="G731" s="310" t="s">
        <v>247</v>
      </c>
      <c r="H731" s="311"/>
      <c r="I731" s="312">
        <v>110000</v>
      </c>
      <c r="J731" s="273"/>
      <c r="L731" s="8"/>
      <c r="M731" s="8"/>
      <c r="N731" s="8">
        <v>110000</v>
      </c>
      <c r="O731" s="539">
        <f t="shared" si="30"/>
        <v>121000</v>
      </c>
      <c r="P731" s="8"/>
    </row>
    <row r="732" spans="2:18" x14ac:dyDescent="0.2">
      <c r="B732" s="519">
        <f t="shared" si="28"/>
        <v>102</v>
      </c>
      <c r="C732" s="268"/>
      <c r="D732" s="430" t="s">
        <v>2</v>
      </c>
      <c r="E732" s="270"/>
      <c r="F732" s="420"/>
      <c r="G732" s="310" t="s">
        <v>273</v>
      </c>
      <c r="H732" s="311"/>
      <c r="I732" s="312">
        <v>10000000</v>
      </c>
      <c r="J732" s="273"/>
      <c r="L732" s="8"/>
      <c r="M732" s="8"/>
      <c r="N732" s="8">
        <v>10000000</v>
      </c>
      <c r="O732" s="539">
        <f t="shared" si="30"/>
        <v>11000000</v>
      </c>
      <c r="P732" s="8"/>
    </row>
    <row r="733" spans="2:18" x14ac:dyDescent="0.2">
      <c r="B733" s="519">
        <f t="shared" si="28"/>
        <v>103</v>
      </c>
      <c r="C733" s="268"/>
      <c r="D733" s="430" t="s">
        <v>790</v>
      </c>
      <c r="E733" s="270"/>
      <c r="F733" s="270"/>
      <c r="G733" s="310" t="s">
        <v>268</v>
      </c>
      <c r="H733" s="311"/>
      <c r="I733" s="312">
        <v>3500000</v>
      </c>
      <c r="J733" s="273"/>
      <c r="L733" s="8"/>
      <c r="M733" s="8"/>
      <c r="N733" s="8">
        <v>3500000</v>
      </c>
      <c r="O733" s="539">
        <f t="shared" si="30"/>
        <v>3850000</v>
      </c>
      <c r="P733" s="8"/>
    </row>
    <row r="734" spans="2:18" x14ac:dyDescent="0.2">
      <c r="B734" s="519">
        <f t="shared" si="28"/>
        <v>104</v>
      </c>
      <c r="C734" s="268"/>
      <c r="D734" s="425" t="s">
        <v>823</v>
      </c>
      <c r="E734" s="315"/>
      <c r="F734" s="315"/>
      <c r="G734" s="310" t="s">
        <v>268</v>
      </c>
      <c r="H734" s="311"/>
      <c r="I734" s="312">
        <v>50000</v>
      </c>
      <c r="J734" s="273"/>
      <c r="L734" s="8"/>
      <c r="M734" s="8"/>
      <c r="N734" s="543">
        <v>50000</v>
      </c>
      <c r="O734" s="539">
        <f t="shared" si="30"/>
        <v>55000</v>
      </c>
      <c r="P734" s="8"/>
    </row>
    <row r="735" spans="2:18" x14ac:dyDescent="0.2">
      <c r="B735" s="519">
        <f t="shared" si="28"/>
        <v>105</v>
      </c>
      <c r="C735" s="268"/>
      <c r="D735" s="425" t="s">
        <v>591</v>
      </c>
      <c r="E735" s="315"/>
      <c r="F735" s="315"/>
      <c r="G735" s="310" t="s">
        <v>338</v>
      </c>
      <c r="H735" s="311"/>
      <c r="I735" s="312">
        <f>O735</f>
        <v>385000</v>
      </c>
      <c r="J735" s="273"/>
      <c r="L735" s="8"/>
      <c r="M735" s="8"/>
      <c r="N735" s="543">
        <v>350000</v>
      </c>
      <c r="O735" s="539">
        <f t="shared" si="30"/>
        <v>385000</v>
      </c>
      <c r="P735" s="8"/>
    </row>
    <row r="736" spans="2:18" x14ac:dyDescent="0.2">
      <c r="B736" s="519">
        <f t="shared" si="28"/>
        <v>106</v>
      </c>
      <c r="C736" s="268"/>
      <c r="D736" s="425" t="s">
        <v>826</v>
      </c>
      <c r="E736" s="315"/>
      <c r="F736" s="315"/>
      <c r="G736" s="310" t="s">
        <v>268</v>
      </c>
      <c r="H736" s="311"/>
      <c r="I736" s="312">
        <v>25000</v>
      </c>
      <c r="J736" s="273"/>
      <c r="L736" s="8"/>
      <c r="M736" s="8"/>
      <c r="N736" s="543">
        <v>25000</v>
      </c>
      <c r="O736" s="539">
        <f t="shared" si="30"/>
        <v>27000</v>
      </c>
      <c r="P736" s="8"/>
    </row>
    <row r="737" spans="2:16" x14ac:dyDescent="0.2">
      <c r="B737" s="519">
        <f t="shared" si="28"/>
        <v>107</v>
      </c>
      <c r="C737" s="268"/>
      <c r="D737" s="425" t="s">
        <v>831</v>
      </c>
      <c r="E737" s="315"/>
      <c r="F737" s="315"/>
      <c r="G737" s="310" t="s">
        <v>247</v>
      </c>
      <c r="H737" s="311"/>
      <c r="I737" s="312">
        <f>O737</f>
        <v>22000</v>
      </c>
      <c r="J737" s="273"/>
      <c r="L737" s="8"/>
      <c r="M737" s="8"/>
      <c r="N737" s="543">
        <v>20000</v>
      </c>
      <c r="O737" s="539">
        <f t="shared" si="30"/>
        <v>22000</v>
      </c>
      <c r="P737" s="8"/>
    </row>
    <row r="738" spans="2:16" x14ac:dyDescent="0.2">
      <c r="B738" s="519">
        <f t="shared" si="28"/>
        <v>108</v>
      </c>
      <c r="C738" s="268"/>
      <c r="D738" s="430" t="s">
        <v>585</v>
      </c>
      <c r="E738" s="270"/>
      <c r="F738" s="420"/>
      <c r="G738" s="310" t="s">
        <v>247</v>
      </c>
      <c r="H738" s="311"/>
      <c r="I738" s="312">
        <v>15000</v>
      </c>
      <c r="J738" s="273"/>
      <c r="L738" s="8"/>
      <c r="M738" s="8"/>
      <c r="N738" s="8">
        <v>15000</v>
      </c>
      <c r="O738" s="539">
        <f t="shared" si="30"/>
        <v>16000</v>
      </c>
      <c r="P738" s="8"/>
    </row>
    <row r="739" spans="2:16" x14ac:dyDescent="0.2">
      <c r="B739" s="519">
        <f t="shared" si="28"/>
        <v>109</v>
      </c>
      <c r="C739" s="268"/>
      <c r="D739" s="430" t="s">
        <v>588</v>
      </c>
      <c r="E739" s="437"/>
      <c r="F739" s="271"/>
      <c r="G739" s="423" t="s">
        <v>268</v>
      </c>
      <c r="H739" s="361"/>
      <c r="I739" s="281">
        <f>O739</f>
        <v>3000000</v>
      </c>
      <c r="J739" s="273"/>
      <c r="L739" s="8"/>
      <c r="M739" s="8"/>
      <c r="N739" s="8">
        <v>2500000</v>
      </c>
      <c r="O739" s="539">
        <v>3000000</v>
      </c>
      <c r="P739" s="8"/>
    </row>
    <row r="740" spans="2:16" x14ac:dyDescent="0.2">
      <c r="B740" s="519">
        <f t="shared" si="28"/>
        <v>110</v>
      </c>
      <c r="C740" s="268"/>
      <c r="D740" s="430" t="s">
        <v>376</v>
      </c>
      <c r="E740" s="437"/>
      <c r="F740" s="271"/>
      <c r="G740" s="423" t="s">
        <v>273</v>
      </c>
      <c r="H740" s="361"/>
      <c r="I740" s="312">
        <v>500000</v>
      </c>
      <c r="J740" s="273"/>
      <c r="L740" s="8"/>
      <c r="M740" s="8"/>
      <c r="N740" s="8">
        <v>500000</v>
      </c>
      <c r="O740" s="539">
        <f t="shared" si="30"/>
        <v>550000</v>
      </c>
      <c r="P740" s="8"/>
    </row>
    <row r="741" spans="2:16" x14ac:dyDescent="0.2">
      <c r="B741" s="519">
        <f t="shared" si="28"/>
        <v>111</v>
      </c>
      <c r="C741" s="410"/>
      <c r="D741" s="540" t="s">
        <v>571</v>
      </c>
      <c r="E741" s="541"/>
      <c r="F741" s="284"/>
      <c r="G741" s="545" t="s">
        <v>268</v>
      </c>
      <c r="H741" s="542"/>
      <c r="I741" s="479">
        <v>45000</v>
      </c>
      <c r="J741" s="286"/>
      <c r="L741" s="8"/>
      <c r="M741" s="8"/>
      <c r="N741" s="8">
        <v>45000</v>
      </c>
      <c r="O741" s="539">
        <f t="shared" si="30"/>
        <v>49000</v>
      </c>
      <c r="P741" s="8"/>
    </row>
    <row r="742" spans="2:16" x14ac:dyDescent="0.2">
      <c r="B742" s="519">
        <f t="shared" si="28"/>
        <v>112</v>
      </c>
      <c r="C742" s="268"/>
      <c r="D742" s="425" t="s">
        <v>594</v>
      </c>
      <c r="E742" s="315"/>
      <c r="F742" s="315"/>
      <c r="G742" s="310" t="s">
        <v>338</v>
      </c>
      <c r="H742" s="311"/>
      <c r="I742" s="312">
        <v>52000</v>
      </c>
      <c r="J742" s="273"/>
      <c r="L742" s="8"/>
      <c r="M742" s="8"/>
      <c r="N742" s="8">
        <v>52000</v>
      </c>
      <c r="O742" s="539">
        <f t="shared" si="30"/>
        <v>57000</v>
      </c>
      <c r="P742" s="8"/>
    </row>
    <row r="743" spans="2:16" x14ac:dyDescent="0.2">
      <c r="B743" s="519">
        <f t="shared" si="28"/>
        <v>113</v>
      </c>
      <c r="C743" s="268"/>
      <c r="D743" s="430" t="s">
        <v>707</v>
      </c>
      <c r="E743" s="270"/>
      <c r="F743" s="279"/>
      <c r="G743" s="310" t="s">
        <v>268</v>
      </c>
      <c r="H743" s="361"/>
      <c r="I743" s="312">
        <v>0</v>
      </c>
      <c r="J743" s="273"/>
      <c r="L743" s="8"/>
      <c r="M743" s="8"/>
      <c r="N743" s="8">
        <v>0</v>
      </c>
      <c r="O743" s="539">
        <f t="shared" si="30"/>
        <v>0</v>
      </c>
      <c r="P743" s="8"/>
    </row>
    <row r="744" spans="2:16" x14ac:dyDescent="0.2">
      <c r="B744" s="519">
        <f t="shared" si="28"/>
        <v>114</v>
      </c>
      <c r="C744" s="268"/>
      <c r="D744" s="430" t="s">
        <v>706</v>
      </c>
      <c r="E744" s="270"/>
      <c r="F744" s="279"/>
      <c r="G744" s="310" t="s">
        <v>268</v>
      </c>
      <c r="H744" s="361"/>
      <c r="I744" s="312">
        <v>0</v>
      </c>
      <c r="J744" s="273"/>
      <c r="L744" s="8"/>
      <c r="M744" s="8"/>
      <c r="N744" s="8">
        <v>0</v>
      </c>
      <c r="O744" s="539">
        <f t="shared" si="30"/>
        <v>0</v>
      </c>
      <c r="P744" s="8"/>
    </row>
    <row r="745" spans="2:16" x14ac:dyDescent="0.2">
      <c r="B745" s="519">
        <f t="shared" si="28"/>
        <v>115</v>
      </c>
      <c r="C745" s="323"/>
      <c r="D745" s="400" t="s">
        <v>427</v>
      </c>
      <c r="E745" s="546"/>
      <c r="F745" s="547"/>
      <c r="G745" s="548" t="s">
        <v>268</v>
      </c>
      <c r="H745" s="549"/>
      <c r="I745" s="281">
        <f>O745</f>
        <v>350000</v>
      </c>
      <c r="J745" s="273"/>
      <c r="L745" s="8"/>
      <c r="M745" s="8"/>
      <c r="N745" s="8">
        <v>300000</v>
      </c>
      <c r="O745" s="539">
        <v>350000</v>
      </c>
      <c r="P745" s="8"/>
    </row>
    <row r="746" spans="2:16" x14ac:dyDescent="0.2">
      <c r="B746" s="519">
        <f t="shared" si="28"/>
        <v>116</v>
      </c>
      <c r="C746" s="323"/>
      <c r="D746" s="521" t="s">
        <v>428</v>
      </c>
      <c r="E746" s="546"/>
      <c r="F746" s="547"/>
      <c r="G746" s="548" t="s">
        <v>268</v>
      </c>
      <c r="H746" s="549"/>
      <c r="I746" s="281">
        <f>O746</f>
        <v>275000</v>
      </c>
      <c r="J746" s="273"/>
      <c r="L746" s="8"/>
      <c r="M746" s="8"/>
      <c r="N746" s="8">
        <v>250000</v>
      </c>
      <c r="O746" s="539">
        <f t="shared" si="30"/>
        <v>275000</v>
      </c>
      <c r="P746" s="8"/>
    </row>
    <row r="747" spans="2:16" x14ac:dyDescent="0.2">
      <c r="B747" s="519">
        <f t="shared" si="28"/>
        <v>117</v>
      </c>
      <c r="C747" s="268"/>
      <c r="D747" s="550" t="s">
        <v>1408</v>
      </c>
      <c r="E747" s="270"/>
      <c r="F747" s="279"/>
      <c r="G747" s="310" t="s">
        <v>268</v>
      </c>
      <c r="H747" s="311"/>
      <c r="I747" s="312">
        <v>2100</v>
      </c>
      <c r="J747" s="273"/>
      <c r="L747" s="8"/>
      <c r="M747" s="8"/>
      <c r="N747" s="8"/>
      <c r="O747" s="8"/>
      <c r="P747" s="8"/>
    </row>
    <row r="748" spans="2:16" x14ac:dyDescent="0.2">
      <c r="B748" s="519">
        <f t="shared" si="28"/>
        <v>118</v>
      </c>
      <c r="C748" s="410"/>
      <c r="D748" s="550" t="s">
        <v>1409</v>
      </c>
      <c r="E748" s="283"/>
      <c r="F748" s="551"/>
      <c r="G748" s="310" t="s">
        <v>268</v>
      </c>
      <c r="H748" s="552"/>
      <c r="I748" s="479">
        <v>25000</v>
      </c>
      <c r="J748" s="286"/>
      <c r="L748" s="8"/>
      <c r="M748" s="8"/>
      <c r="N748" s="8"/>
      <c r="O748" s="8"/>
      <c r="P748" s="8"/>
    </row>
    <row r="749" spans="2:16" x14ac:dyDescent="0.2">
      <c r="B749" s="519">
        <f t="shared" si="28"/>
        <v>119</v>
      </c>
      <c r="C749" s="268"/>
      <c r="D749" s="550" t="s">
        <v>1410</v>
      </c>
      <c r="E749" s="270"/>
      <c r="F749" s="279"/>
      <c r="G749" s="310" t="s">
        <v>273</v>
      </c>
      <c r="H749" s="311"/>
      <c r="I749" s="312">
        <v>420000</v>
      </c>
      <c r="J749" s="273"/>
      <c r="L749" s="8"/>
      <c r="M749" s="8"/>
      <c r="N749" s="8"/>
      <c r="O749" s="8"/>
      <c r="P749" s="8"/>
    </row>
    <row r="750" spans="2:16" ht="15" thickBot="1" x14ac:dyDescent="0.25">
      <c r="B750" s="258"/>
      <c r="C750" s="288"/>
      <c r="D750" s="553"/>
      <c r="E750" s="554"/>
      <c r="F750" s="291"/>
      <c r="G750" s="555"/>
      <c r="H750" s="556"/>
      <c r="I750" s="557"/>
      <c r="J750" s="295"/>
      <c r="L750" s="8"/>
      <c r="M750" s="8"/>
      <c r="N750" s="8"/>
      <c r="O750" s="8"/>
      <c r="P750" s="8"/>
    </row>
    <row r="751" spans="2:16" ht="15" thickTop="1" x14ac:dyDescent="0.2">
      <c r="B751" s="558"/>
      <c r="C751" s="559"/>
      <c r="D751" s="560"/>
      <c r="E751" s="561"/>
      <c r="F751" s="254"/>
      <c r="G751" s="558"/>
      <c r="H751" s="562"/>
      <c r="I751" s="563"/>
      <c r="J751" s="562"/>
      <c r="L751" s="8"/>
      <c r="M751" s="8"/>
      <c r="N751" s="8"/>
      <c r="O751" s="8"/>
      <c r="P751" s="8"/>
    </row>
    <row r="752" spans="2:16" x14ac:dyDescent="0.2">
      <c r="B752" s="14"/>
      <c r="C752" s="218"/>
      <c r="D752" s="564" t="s">
        <v>595</v>
      </c>
      <c r="E752" s="223"/>
      <c r="F752" s="217"/>
      <c r="G752" s="14" t="s">
        <v>338</v>
      </c>
      <c r="H752" s="296"/>
      <c r="I752" s="210">
        <v>150000</v>
      </c>
      <c r="J752" s="220"/>
      <c r="L752" s="8"/>
      <c r="M752" s="8"/>
      <c r="N752" s="8"/>
      <c r="O752" s="8"/>
      <c r="P752" s="8"/>
    </row>
    <row r="753" spans="2:16" x14ac:dyDescent="0.2">
      <c r="B753" s="14"/>
      <c r="C753" s="218"/>
      <c r="D753" s="564" t="s">
        <v>785</v>
      </c>
      <c r="E753" s="223"/>
      <c r="F753" s="217"/>
      <c r="G753" s="14" t="s">
        <v>247</v>
      </c>
      <c r="H753" s="296"/>
      <c r="I753" s="210">
        <v>45000</v>
      </c>
      <c r="J753" s="220"/>
      <c r="L753" s="8"/>
      <c r="M753" s="8"/>
      <c r="N753" s="8"/>
      <c r="O753" s="8"/>
      <c r="P753" s="8"/>
    </row>
    <row r="754" spans="2:16" x14ac:dyDescent="0.2">
      <c r="B754" s="14"/>
      <c r="C754" s="218"/>
      <c r="D754" s="222"/>
      <c r="E754" s="223"/>
      <c r="F754" s="217"/>
      <c r="G754" s="14"/>
      <c r="H754" s="220"/>
      <c r="I754" s="296"/>
      <c r="J754" s="220"/>
      <c r="L754" s="8"/>
      <c r="M754" s="8"/>
      <c r="N754" s="8"/>
      <c r="O754" s="8"/>
      <c r="P754" s="8"/>
    </row>
    <row r="755" spans="2:16" x14ac:dyDescent="0.2">
      <c r="B755" s="14"/>
      <c r="C755" s="218"/>
      <c r="D755" s="565"/>
      <c r="E755" s="15"/>
      <c r="F755" s="15"/>
      <c r="G755" s="14"/>
      <c r="H755" s="355"/>
      <c r="I755" s="566"/>
      <c r="J755" s="220"/>
      <c r="L755" s="8"/>
      <c r="M755" s="8"/>
    </row>
    <row r="756" spans="2:16" x14ac:dyDescent="0.2">
      <c r="B756" s="14"/>
      <c r="C756" s="218"/>
      <c r="D756" s="565"/>
      <c r="E756" s="15"/>
      <c r="F756" s="15"/>
      <c r="G756" s="14"/>
      <c r="H756" s="355"/>
      <c r="I756" s="566"/>
      <c r="J756" s="220"/>
      <c r="L756" s="8"/>
      <c r="M756" s="8"/>
    </row>
    <row r="757" spans="2:16" x14ac:dyDescent="0.2">
      <c r="B757" s="225" t="s">
        <v>227</v>
      </c>
      <c r="C757" s="226"/>
      <c r="D757" s="219"/>
      <c r="E757" s="217"/>
      <c r="F757" s="217"/>
      <c r="G757" s="14"/>
      <c r="H757" s="220"/>
      <c r="I757" s="221"/>
      <c r="J757" s="220"/>
      <c r="L757" s="8"/>
      <c r="M757" s="8"/>
    </row>
    <row r="758" spans="2:16" ht="15" thickBot="1" x14ac:dyDescent="0.25">
      <c r="C758" s="220"/>
      <c r="H758" s="220"/>
      <c r="L758" s="8"/>
      <c r="M758" s="8"/>
    </row>
    <row r="759" spans="2:16" ht="15" thickTop="1" x14ac:dyDescent="0.2">
      <c r="B759" s="231"/>
      <c r="C759" s="232"/>
      <c r="D759" s="233"/>
      <c r="E759" s="234"/>
      <c r="F759" s="235"/>
      <c r="G759" s="236"/>
      <c r="H759" s="232"/>
      <c r="I759" s="299"/>
      <c r="J759" s="237"/>
      <c r="L759" s="8"/>
      <c r="M759" s="8"/>
    </row>
    <row r="760" spans="2:16" x14ac:dyDescent="0.2">
      <c r="B760" s="238" t="s">
        <v>261</v>
      </c>
      <c r="C760" s="201"/>
      <c r="D760" s="3540" t="s">
        <v>449</v>
      </c>
      <c r="E760" s="3540"/>
      <c r="F760" s="3541"/>
      <c r="G760" s="239" t="s">
        <v>262</v>
      </c>
      <c r="H760" s="201"/>
      <c r="I760" s="202" t="s">
        <v>263</v>
      </c>
      <c r="J760" s="240" t="s">
        <v>396</v>
      </c>
      <c r="L760" s="8"/>
      <c r="M760" s="8"/>
    </row>
    <row r="761" spans="2:16" ht="15" thickBot="1" x14ac:dyDescent="0.25">
      <c r="B761" s="300"/>
      <c r="C761" s="242"/>
      <c r="D761" s="243"/>
      <c r="E761" s="244"/>
      <c r="F761" s="245"/>
      <c r="G761" s="246"/>
      <c r="H761" s="301"/>
      <c r="I761" s="302"/>
      <c r="J761" s="247"/>
      <c r="L761" s="8"/>
      <c r="M761" s="8"/>
    </row>
    <row r="762" spans="2:16" ht="15" thickTop="1" x14ac:dyDescent="0.2">
      <c r="B762" s="567"/>
      <c r="C762" s="364"/>
      <c r="D762" s="568"/>
      <c r="E762" s="363"/>
      <c r="F762" s="363"/>
      <c r="G762" s="364"/>
      <c r="H762" s="364"/>
      <c r="I762" s="363"/>
      <c r="J762" s="569"/>
      <c r="L762" s="8"/>
      <c r="M762" s="8"/>
    </row>
    <row r="763" spans="2:16" x14ac:dyDescent="0.2">
      <c r="B763" s="570">
        <v>1</v>
      </c>
      <c r="C763" s="259"/>
      <c r="D763" s="441" t="s">
        <v>550</v>
      </c>
      <c r="E763" s="261"/>
      <c r="F763" s="262"/>
      <c r="G763" s="335" t="s">
        <v>275</v>
      </c>
      <c r="H763" s="264"/>
      <c r="I763" s="571">
        <v>1794000</v>
      </c>
      <c r="J763" s="266"/>
      <c r="L763" s="8"/>
      <c r="M763" s="8"/>
    </row>
    <row r="764" spans="2:16" x14ac:dyDescent="0.2">
      <c r="B764" s="570">
        <f t="shared" ref="B764:B767" si="31">B763+1</f>
        <v>2</v>
      </c>
      <c r="C764" s="259"/>
      <c r="D764" s="441" t="s">
        <v>638</v>
      </c>
      <c r="E764" s="261"/>
      <c r="F764" s="262"/>
      <c r="G764" s="335" t="s">
        <v>275</v>
      </c>
      <c r="H764" s="264"/>
      <c r="I764" s="571">
        <v>16301000</v>
      </c>
      <c r="J764" s="266"/>
      <c r="L764" s="8"/>
      <c r="M764" s="8"/>
    </row>
    <row r="765" spans="2:16" x14ac:dyDescent="0.2">
      <c r="B765" s="570">
        <f t="shared" si="31"/>
        <v>3</v>
      </c>
      <c r="C765" s="259"/>
      <c r="D765" s="441" t="s">
        <v>709</v>
      </c>
      <c r="E765" s="261"/>
      <c r="F765" s="262"/>
      <c r="G765" s="335" t="s">
        <v>275</v>
      </c>
      <c r="H765" s="264"/>
      <c r="I765" s="571">
        <v>4945000</v>
      </c>
      <c r="J765" s="266"/>
      <c r="L765" s="8"/>
      <c r="M765" s="8"/>
    </row>
    <row r="766" spans="2:16" x14ac:dyDescent="0.2">
      <c r="B766" s="570">
        <f t="shared" si="31"/>
        <v>4</v>
      </c>
      <c r="C766" s="378"/>
      <c r="D766" s="572" t="s">
        <v>620</v>
      </c>
      <c r="E766" s="379"/>
      <c r="F766" s="380"/>
      <c r="G766" s="573" t="s">
        <v>273</v>
      </c>
      <c r="H766" s="381"/>
      <c r="I766" s="571">
        <v>34500</v>
      </c>
      <c r="J766" s="574"/>
      <c r="L766" s="8"/>
      <c r="M766" s="8"/>
    </row>
    <row r="767" spans="2:16" x14ac:dyDescent="0.2">
      <c r="B767" s="570">
        <f t="shared" si="31"/>
        <v>5</v>
      </c>
      <c r="C767" s="259"/>
      <c r="D767" s="441" t="s">
        <v>646</v>
      </c>
      <c r="E767" s="261"/>
      <c r="F767" s="262"/>
      <c r="G767" s="335" t="s">
        <v>473</v>
      </c>
      <c r="H767" s="264"/>
      <c r="I767" s="571">
        <v>4500000</v>
      </c>
      <c r="J767" s="266"/>
      <c r="L767" s="8"/>
      <c r="M767" s="8"/>
    </row>
    <row r="768" spans="2:16" ht="15" thickBot="1" x14ac:dyDescent="0.25">
      <c r="B768" s="575"/>
      <c r="C768" s="378"/>
      <c r="D768" s="576"/>
      <c r="E768" s="379"/>
      <c r="F768" s="380"/>
      <c r="G768" s="573"/>
      <c r="H768" s="381"/>
      <c r="I768" s="577"/>
      <c r="J768" s="574"/>
      <c r="L768" s="8"/>
      <c r="M768" s="8"/>
      <c r="N768" s="578"/>
    </row>
    <row r="769" spans="2:16" ht="15" thickTop="1" x14ac:dyDescent="0.2">
      <c r="B769" s="579"/>
      <c r="C769" s="580"/>
      <c r="D769" s="581"/>
      <c r="E769" s="582"/>
      <c r="F769" s="582"/>
      <c r="G769" s="579"/>
      <c r="H769" s="583"/>
      <c r="I769" s="584"/>
      <c r="J769" s="585"/>
      <c r="L769" s="8"/>
      <c r="M769" s="8"/>
    </row>
    <row r="770" spans="2:16" x14ac:dyDescent="0.2">
      <c r="B770" s="14"/>
      <c r="C770" s="218"/>
      <c r="D770" s="565"/>
      <c r="E770" s="15"/>
      <c r="F770" s="15"/>
      <c r="G770" s="14"/>
      <c r="H770" s="355"/>
      <c r="I770" s="566"/>
      <c r="J770" s="220"/>
      <c r="L770" s="8"/>
      <c r="M770" s="8"/>
    </row>
    <row r="771" spans="2:16" x14ac:dyDescent="0.2">
      <c r="B771" s="16" t="s">
        <v>791</v>
      </c>
      <c r="C771" s="218"/>
      <c r="D771" s="565"/>
      <c r="E771" s="15"/>
      <c r="F771" s="15"/>
      <c r="G771" s="14"/>
      <c r="H771" s="355"/>
      <c r="I771" s="566"/>
      <c r="J771" s="220"/>
      <c r="L771" s="8"/>
      <c r="M771" s="8"/>
    </row>
    <row r="772" spans="2:16" x14ac:dyDescent="0.2">
      <c r="B772" s="16" t="s">
        <v>793</v>
      </c>
      <c r="C772" s="218"/>
      <c r="D772" s="565"/>
      <c r="E772" s="15"/>
      <c r="F772" s="15"/>
      <c r="G772" s="14"/>
      <c r="H772" s="355"/>
      <c r="I772" s="566"/>
      <c r="J772" s="220"/>
    </row>
    <row r="773" spans="2:16" x14ac:dyDescent="0.2">
      <c r="B773" s="16" t="s">
        <v>828</v>
      </c>
      <c r="C773" s="218"/>
      <c r="D773" s="565"/>
      <c r="E773" s="15"/>
      <c r="F773" s="15"/>
      <c r="G773" s="14"/>
      <c r="H773" s="355"/>
      <c r="I773" s="566"/>
      <c r="J773" s="220"/>
    </row>
    <row r="774" spans="2:16" x14ac:dyDescent="0.2">
      <c r="B774" s="14"/>
      <c r="C774" s="218"/>
      <c r="D774" s="565"/>
      <c r="E774" s="15"/>
      <c r="F774" s="15"/>
      <c r="G774" s="14"/>
      <c r="H774" s="355"/>
      <c r="I774" s="566"/>
      <c r="J774" s="220"/>
    </row>
    <row r="775" spans="2:16" x14ac:dyDescent="0.2">
      <c r="B775" s="14"/>
      <c r="C775" s="218"/>
      <c r="D775" s="565"/>
      <c r="E775" s="15"/>
      <c r="F775" s="15"/>
      <c r="G775" s="14"/>
      <c r="H775" s="355"/>
      <c r="I775" s="566"/>
      <c r="J775" s="220"/>
    </row>
    <row r="776" spans="2:16" ht="15" thickBot="1" x14ac:dyDescent="0.25">
      <c r="B776" s="14"/>
      <c r="C776" s="218"/>
      <c r="D776" s="565"/>
      <c r="E776" s="15"/>
      <c r="F776" s="15"/>
      <c r="G776" s="14"/>
      <c r="H776" s="355"/>
      <c r="I776" s="566"/>
      <c r="J776" s="220"/>
    </row>
    <row r="777" spans="2:16" ht="15" thickTop="1" x14ac:dyDescent="0.2">
      <c r="B777" s="586"/>
      <c r="C777" s="587"/>
      <c r="D777" s="588" t="s">
        <v>140</v>
      </c>
      <c r="E777" s="589"/>
      <c r="F777" s="589"/>
      <c r="G777" s="590"/>
      <c r="H777" s="591"/>
      <c r="I777" s="592"/>
      <c r="J777" s="593"/>
    </row>
    <row r="778" spans="2:16" x14ac:dyDescent="0.2">
      <c r="B778" s="83"/>
      <c r="C778" s="218"/>
      <c r="D778" s="123" t="s">
        <v>141</v>
      </c>
      <c r="E778" s="15"/>
      <c r="F778" s="15"/>
      <c r="G778" s="594"/>
      <c r="H778" s="595"/>
      <c r="I778" s="596"/>
      <c r="J778" s="597"/>
    </row>
    <row r="779" spans="2:16" x14ac:dyDescent="0.2">
      <c r="B779" s="125">
        <v>1</v>
      </c>
      <c r="C779" s="598"/>
      <c r="D779" s="599" t="s">
        <v>142</v>
      </c>
      <c r="E779" s="275"/>
      <c r="F779" s="275"/>
      <c r="G779" s="600" t="s">
        <v>275</v>
      </c>
      <c r="H779" s="601"/>
      <c r="I779" s="602">
        <f>N779</f>
        <v>787000</v>
      </c>
      <c r="J779" s="278"/>
      <c r="N779" s="603">
        <f>'[4]Usulan 2021'!I574</f>
        <v>787000</v>
      </c>
      <c r="O779" s="603">
        <f>'[4]Usulan 2021'!J574</f>
        <v>787000</v>
      </c>
      <c r="P779" s="603">
        <f>'[4]Usulan 2021'!K574</f>
        <v>787000</v>
      </c>
    </row>
    <row r="780" spans="2:16" x14ac:dyDescent="0.2">
      <c r="B780" s="604">
        <f t="shared" ref="B780:B789" si="32">SUM(B779+1)</f>
        <v>2</v>
      </c>
      <c r="C780" s="605"/>
      <c r="D780" s="606" t="s">
        <v>143</v>
      </c>
      <c r="E780" s="607"/>
      <c r="F780" s="607"/>
      <c r="G780" s="608" t="s">
        <v>275</v>
      </c>
      <c r="H780" s="609"/>
      <c r="I780" s="610">
        <f>N780</f>
        <v>1039000</v>
      </c>
      <c r="J780" s="611"/>
      <c r="N780" s="603">
        <f>'[4]Usulan 2021'!I575</f>
        <v>1039000</v>
      </c>
      <c r="O780" s="603">
        <f>'[4]Usulan 2021'!J575</f>
        <v>1039000</v>
      </c>
      <c r="P780" s="603">
        <f>'[4]Usulan 2021'!K575</f>
        <v>1039000</v>
      </c>
    </row>
    <row r="781" spans="2:16" x14ac:dyDescent="0.2">
      <c r="B781" s="604">
        <f t="shared" si="32"/>
        <v>3</v>
      </c>
      <c r="C781" s="605"/>
      <c r="D781" s="606" t="s">
        <v>144</v>
      </c>
      <c r="E781" s="607"/>
      <c r="F781" s="607"/>
      <c r="G781" s="608" t="s">
        <v>275</v>
      </c>
      <c r="H781" s="609"/>
      <c r="I781" s="610">
        <f t="shared" ref="I781:I844" si="33">N781</f>
        <v>1315000</v>
      </c>
      <c r="J781" s="611"/>
      <c r="N781" s="603">
        <f>'[4]Usulan 2021'!I576</f>
        <v>1315000</v>
      </c>
      <c r="O781" s="603">
        <f>'[4]Usulan 2021'!J576</f>
        <v>1315000</v>
      </c>
      <c r="P781" s="603">
        <f>'[4]Usulan 2021'!K576</f>
        <v>1315000</v>
      </c>
    </row>
    <row r="782" spans="2:16" x14ac:dyDescent="0.2">
      <c r="B782" s="604">
        <f t="shared" si="32"/>
        <v>4</v>
      </c>
      <c r="C782" s="605"/>
      <c r="D782" s="606" t="s">
        <v>145</v>
      </c>
      <c r="E782" s="607"/>
      <c r="F782" s="607"/>
      <c r="G782" s="608" t="s">
        <v>275</v>
      </c>
      <c r="H782" s="609"/>
      <c r="I782" s="610">
        <f t="shared" si="33"/>
        <v>2484000</v>
      </c>
      <c r="J782" s="611"/>
      <c r="N782" s="603">
        <f>'[4]Usulan 2021'!I577</f>
        <v>2484000</v>
      </c>
      <c r="O782" s="603">
        <f>'[4]Usulan 2021'!J577</f>
        <v>2484000</v>
      </c>
      <c r="P782" s="603">
        <f>'[4]Usulan 2021'!K577</f>
        <v>2484000</v>
      </c>
    </row>
    <row r="783" spans="2:16" x14ac:dyDescent="0.2">
      <c r="B783" s="604">
        <f t="shared" si="32"/>
        <v>5</v>
      </c>
      <c r="C783" s="605"/>
      <c r="D783" s="606" t="s">
        <v>146</v>
      </c>
      <c r="E783" s="607"/>
      <c r="F783" s="607"/>
      <c r="G783" s="608" t="s">
        <v>275</v>
      </c>
      <c r="H783" s="609"/>
      <c r="I783" s="610">
        <f t="shared" si="33"/>
        <v>3079000</v>
      </c>
      <c r="J783" s="611"/>
      <c r="N783" s="603">
        <f>'[4]Usulan 2021'!I578</f>
        <v>3079000</v>
      </c>
      <c r="O783" s="603">
        <f>'[4]Usulan 2021'!J578</f>
        <v>3079000</v>
      </c>
      <c r="P783" s="603">
        <f>'[4]Usulan 2021'!K578</f>
        <v>3079000</v>
      </c>
    </row>
    <row r="784" spans="2:16" x14ac:dyDescent="0.2">
      <c r="B784" s="604">
        <f t="shared" si="32"/>
        <v>6</v>
      </c>
      <c r="C784" s="605"/>
      <c r="D784" s="606" t="s">
        <v>147</v>
      </c>
      <c r="E784" s="607"/>
      <c r="F784" s="607"/>
      <c r="G784" s="608" t="s">
        <v>275</v>
      </c>
      <c r="H784" s="609"/>
      <c r="I784" s="610">
        <f t="shared" si="33"/>
        <v>4013000</v>
      </c>
      <c r="J784" s="611"/>
      <c r="N784" s="603">
        <f>'[4]Usulan 2021'!I579</f>
        <v>4013000</v>
      </c>
      <c r="O784" s="603">
        <f>'[4]Usulan 2021'!J579</f>
        <v>4013000</v>
      </c>
      <c r="P784" s="603">
        <f>'[4]Usulan 2021'!K579</f>
        <v>4013000</v>
      </c>
    </row>
    <row r="785" spans="2:16" x14ac:dyDescent="0.2">
      <c r="B785" s="604">
        <f t="shared" si="32"/>
        <v>7</v>
      </c>
      <c r="C785" s="605"/>
      <c r="D785" s="606" t="s">
        <v>148</v>
      </c>
      <c r="E785" s="607"/>
      <c r="F785" s="607"/>
      <c r="G785" s="608" t="s">
        <v>275</v>
      </c>
      <c r="H785" s="609"/>
      <c r="I785" s="610">
        <f t="shared" si="33"/>
        <v>5336000</v>
      </c>
      <c r="J785" s="611"/>
      <c r="N785" s="603">
        <f>'[4]Usulan 2021'!I580</f>
        <v>5336000</v>
      </c>
      <c r="O785" s="603">
        <f>'[4]Usulan 2021'!J580</f>
        <v>5336000</v>
      </c>
      <c r="P785" s="603">
        <f>'[4]Usulan 2021'!K580</f>
        <v>5336000</v>
      </c>
    </row>
    <row r="786" spans="2:16" x14ac:dyDescent="0.2">
      <c r="B786" s="604">
        <f t="shared" si="32"/>
        <v>8</v>
      </c>
      <c r="C786" s="605"/>
      <c r="D786" s="606" t="s">
        <v>149</v>
      </c>
      <c r="E786" s="607"/>
      <c r="F786" s="607"/>
      <c r="G786" s="608" t="s">
        <v>275</v>
      </c>
      <c r="H786" s="609"/>
      <c r="I786" s="610">
        <f t="shared" si="33"/>
        <v>6343000</v>
      </c>
      <c r="J786" s="611"/>
      <c r="N786" s="603">
        <f>'[4]Usulan 2021'!I581</f>
        <v>6343000</v>
      </c>
      <c r="O786" s="603">
        <f>'[4]Usulan 2021'!J581</f>
        <v>6343000</v>
      </c>
      <c r="P786" s="603">
        <f>'[4]Usulan 2021'!K581</f>
        <v>6343000</v>
      </c>
    </row>
    <row r="787" spans="2:16" x14ac:dyDescent="0.2">
      <c r="B787" s="604">
        <f t="shared" si="32"/>
        <v>9</v>
      </c>
      <c r="C787" s="605"/>
      <c r="D787" s="606" t="s">
        <v>150</v>
      </c>
      <c r="E787" s="607"/>
      <c r="F787" s="607"/>
      <c r="G787" s="608" t="s">
        <v>275</v>
      </c>
      <c r="H787" s="609"/>
      <c r="I787" s="610">
        <f t="shared" si="33"/>
        <v>7006000</v>
      </c>
      <c r="J787" s="611"/>
      <c r="N787" s="603">
        <f>'[4]Usulan 2021'!I582</f>
        <v>7006000</v>
      </c>
      <c r="O787" s="603">
        <f>'[4]Usulan 2021'!J582</f>
        <v>7006000</v>
      </c>
      <c r="P787" s="603">
        <f>'[4]Usulan 2021'!K582</f>
        <v>7006000</v>
      </c>
    </row>
    <row r="788" spans="2:16" x14ac:dyDescent="0.2">
      <c r="B788" s="604">
        <f t="shared" si="32"/>
        <v>10</v>
      </c>
      <c r="C788" s="605"/>
      <c r="D788" s="606" t="s">
        <v>151</v>
      </c>
      <c r="E788" s="607"/>
      <c r="F788" s="607"/>
      <c r="G788" s="608" t="s">
        <v>275</v>
      </c>
      <c r="H788" s="609"/>
      <c r="I788" s="610">
        <f t="shared" si="33"/>
        <v>7828000</v>
      </c>
      <c r="J788" s="611"/>
      <c r="N788" s="603">
        <f>'[4]Usulan 2021'!I583</f>
        <v>7828000</v>
      </c>
      <c r="O788" s="603">
        <f>'[4]Usulan 2021'!J583</f>
        <v>7828000</v>
      </c>
      <c r="P788" s="603">
        <f>'[4]Usulan 2021'!K583</f>
        <v>7828000</v>
      </c>
    </row>
    <row r="789" spans="2:16" x14ac:dyDescent="0.2">
      <c r="B789" s="604">
        <f t="shared" si="32"/>
        <v>11</v>
      </c>
      <c r="C789" s="605"/>
      <c r="D789" s="606" t="s">
        <v>152</v>
      </c>
      <c r="E789" s="607"/>
      <c r="F789" s="607"/>
      <c r="G789" s="608" t="s">
        <v>275</v>
      </c>
      <c r="H789" s="609"/>
      <c r="I789" s="610">
        <f t="shared" si="33"/>
        <v>8751000</v>
      </c>
      <c r="J789" s="611"/>
      <c r="N789" s="603">
        <f>'[4]Usulan 2021'!I584</f>
        <v>8751000</v>
      </c>
      <c r="O789" s="603">
        <f>'[4]Usulan 2021'!J584</f>
        <v>8751000</v>
      </c>
      <c r="P789" s="603">
        <f>'[4]Usulan 2021'!K584</f>
        <v>8751000</v>
      </c>
    </row>
    <row r="790" spans="2:16" x14ac:dyDescent="0.2">
      <c r="B790" s="83"/>
      <c r="C790" s="218"/>
      <c r="D790" s="77"/>
      <c r="E790" s="15"/>
      <c r="F790" s="15"/>
      <c r="G790" s="157"/>
      <c r="H790" s="355"/>
      <c r="I790" s="566"/>
      <c r="J790" s="597"/>
      <c r="N790" s="603"/>
      <c r="O790" s="603"/>
      <c r="P790" s="603"/>
    </row>
    <row r="791" spans="2:16" x14ac:dyDescent="0.2">
      <c r="B791" s="83"/>
      <c r="C791" s="218"/>
      <c r="D791" s="123" t="s">
        <v>964</v>
      </c>
      <c r="E791" s="15"/>
      <c r="F791" s="15"/>
      <c r="G791" s="157"/>
      <c r="H791" s="355"/>
      <c r="I791" s="566"/>
      <c r="J791" s="597"/>
      <c r="N791" s="603"/>
      <c r="O791" s="603"/>
      <c r="P791" s="603"/>
    </row>
    <row r="792" spans="2:16" x14ac:dyDescent="0.2">
      <c r="B792" s="612">
        <v>1</v>
      </c>
      <c r="C792" s="605"/>
      <c r="D792" s="606" t="s">
        <v>965</v>
      </c>
      <c r="E792" s="607"/>
      <c r="F792" s="607"/>
      <c r="G792" s="608" t="s">
        <v>266</v>
      </c>
      <c r="H792" s="609"/>
      <c r="I792" s="613">
        <f t="shared" si="33"/>
        <v>1966000</v>
      </c>
      <c r="J792" s="597"/>
      <c r="N792" s="603">
        <f>'[4]Usulan 2021'!I617</f>
        <v>1966000</v>
      </c>
      <c r="O792" s="603">
        <f>'[4]Usulan 2021'!J617</f>
        <v>1966000</v>
      </c>
      <c r="P792" s="603">
        <f>'[4]Usulan 2021'!K617</f>
        <v>1966000</v>
      </c>
    </row>
    <row r="793" spans="2:16" x14ac:dyDescent="0.2">
      <c r="B793" s="604">
        <f t="shared" ref="B793:B832" si="34">SUM(B792+1)</f>
        <v>2</v>
      </c>
      <c r="C793" s="605"/>
      <c r="D793" s="606" t="s">
        <v>966</v>
      </c>
      <c r="E793" s="607"/>
      <c r="F793" s="607"/>
      <c r="G793" s="608" t="s">
        <v>247</v>
      </c>
      <c r="H793" s="609"/>
      <c r="I793" s="613">
        <f t="shared" si="33"/>
        <v>1685000</v>
      </c>
      <c r="J793" s="597"/>
      <c r="N793" s="603">
        <f>'[4]Usulan 2021'!I618</f>
        <v>1685000</v>
      </c>
      <c r="O793" s="603">
        <f>'[4]Usulan 2021'!J618</f>
        <v>1685000</v>
      </c>
      <c r="P793" s="603">
        <f>'[4]Usulan 2021'!K618</f>
        <v>1685000</v>
      </c>
    </row>
    <row r="794" spans="2:16" x14ac:dyDescent="0.2">
      <c r="B794" s="604">
        <f t="shared" si="34"/>
        <v>3</v>
      </c>
      <c r="C794" s="605"/>
      <c r="D794" s="606" t="s">
        <v>1288</v>
      </c>
      <c r="E794" s="607"/>
      <c r="F794" s="607"/>
      <c r="G794" s="608" t="s">
        <v>247</v>
      </c>
      <c r="H794" s="609"/>
      <c r="I794" s="613">
        <f t="shared" si="33"/>
        <v>861000</v>
      </c>
      <c r="J794" s="597"/>
      <c r="N794" s="603">
        <f>'[4]Usulan 2021'!I619</f>
        <v>861000</v>
      </c>
      <c r="O794" s="603">
        <f>'[4]Usulan 2021'!J619</f>
        <v>861000</v>
      </c>
      <c r="P794" s="603">
        <f>'[4]Usulan 2021'!K619</f>
        <v>861000</v>
      </c>
    </row>
    <row r="795" spans="2:16" x14ac:dyDescent="0.2">
      <c r="B795" s="604">
        <f t="shared" si="34"/>
        <v>4</v>
      </c>
      <c r="C795" s="605"/>
      <c r="D795" s="606" t="s">
        <v>967</v>
      </c>
      <c r="E795" s="607"/>
      <c r="F795" s="607"/>
      <c r="G795" s="608" t="s">
        <v>247</v>
      </c>
      <c r="H795" s="609"/>
      <c r="I795" s="613">
        <f t="shared" si="33"/>
        <v>2247000</v>
      </c>
      <c r="J795" s="597"/>
      <c r="N795" s="603">
        <f>'[4]Usulan 2021'!I620</f>
        <v>2247000</v>
      </c>
      <c r="O795" s="603">
        <f>'[4]Usulan 2021'!J620</f>
        <v>2247000</v>
      </c>
      <c r="P795" s="603">
        <f>'[4]Usulan 2021'!K620</f>
        <v>2247000</v>
      </c>
    </row>
    <row r="796" spans="2:16" x14ac:dyDescent="0.2">
      <c r="B796" s="604">
        <f t="shared" si="34"/>
        <v>5</v>
      </c>
      <c r="C796" s="605"/>
      <c r="D796" s="606" t="s">
        <v>968</v>
      </c>
      <c r="E796" s="607"/>
      <c r="F796" s="607"/>
      <c r="G796" s="608" t="s">
        <v>276</v>
      </c>
      <c r="H796" s="609"/>
      <c r="I796" s="613">
        <f t="shared" si="33"/>
        <v>393000</v>
      </c>
      <c r="J796" s="597"/>
      <c r="N796" s="603">
        <f>'[4]Usulan 2021'!I621</f>
        <v>393000</v>
      </c>
      <c r="O796" s="603">
        <f>'[4]Usulan 2021'!J621</f>
        <v>393000</v>
      </c>
      <c r="P796" s="603">
        <f>'[4]Usulan 2021'!K621</f>
        <v>393000</v>
      </c>
    </row>
    <row r="797" spans="2:16" x14ac:dyDescent="0.2">
      <c r="B797" s="604">
        <f t="shared" si="34"/>
        <v>6</v>
      </c>
      <c r="C797" s="605"/>
      <c r="D797" s="606" t="s">
        <v>1289</v>
      </c>
      <c r="E797" s="607"/>
      <c r="F797" s="607"/>
      <c r="G797" s="608" t="s">
        <v>247</v>
      </c>
      <c r="H797" s="609"/>
      <c r="I797" s="613">
        <f t="shared" si="33"/>
        <v>121000</v>
      </c>
      <c r="J797" s="597"/>
      <c r="N797" s="603">
        <f>'[4]Usulan 2021'!I622</f>
        <v>121000</v>
      </c>
      <c r="O797" s="603">
        <f>'[4]Usulan 2021'!J622</f>
        <v>121000</v>
      </c>
      <c r="P797" s="603">
        <f>'[4]Usulan 2021'!K622</f>
        <v>121000</v>
      </c>
    </row>
    <row r="798" spans="2:16" x14ac:dyDescent="0.2">
      <c r="B798" s="604">
        <f t="shared" si="34"/>
        <v>7</v>
      </c>
      <c r="C798" s="605"/>
      <c r="D798" s="606" t="s">
        <v>969</v>
      </c>
      <c r="E798" s="607"/>
      <c r="F798" s="607"/>
      <c r="G798" s="608" t="s">
        <v>268</v>
      </c>
      <c r="H798" s="609"/>
      <c r="I798" s="613">
        <f t="shared" si="33"/>
        <v>280000</v>
      </c>
      <c r="J798" s="597"/>
      <c r="N798" s="603">
        <f>'[4]Usulan 2021'!I623</f>
        <v>280000</v>
      </c>
      <c r="O798" s="603">
        <f>'[4]Usulan 2021'!J623</f>
        <v>280000</v>
      </c>
      <c r="P798" s="603">
        <f>'[4]Usulan 2021'!K623</f>
        <v>280000</v>
      </c>
    </row>
    <row r="799" spans="2:16" x14ac:dyDescent="0.2">
      <c r="B799" s="604">
        <f t="shared" si="34"/>
        <v>8</v>
      </c>
      <c r="C799" s="605"/>
      <c r="D799" s="606" t="s">
        <v>969</v>
      </c>
      <c r="E799" s="607"/>
      <c r="F799" s="607"/>
      <c r="G799" s="608" t="s">
        <v>268</v>
      </c>
      <c r="H799" s="609"/>
      <c r="I799" s="613">
        <f t="shared" si="33"/>
        <v>112000</v>
      </c>
      <c r="J799" s="597"/>
      <c r="N799" s="603">
        <f>'[4]Usulan 2021'!I624</f>
        <v>112000</v>
      </c>
      <c r="O799" s="603">
        <f>'[4]Usulan 2021'!J624</f>
        <v>112000</v>
      </c>
      <c r="P799" s="603">
        <f>'[4]Usulan 2021'!K624</f>
        <v>112000</v>
      </c>
    </row>
    <row r="800" spans="2:16" x14ac:dyDescent="0.2">
      <c r="B800" s="604">
        <f t="shared" si="34"/>
        <v>9</v>
      </c>
      <c r="C800" s="605"/>
      <c r="D800" s="606" t="s">
        <v>970</v>
      </c>
      <c r="E800" s="607"/>
      <c r="F800" s="607"/>
      <c r="G800" s="608" t="s">
        <v>268</v>
      </c>
      <c r="H800" s="609"/>
      <c r="I800" s="613">
        <f t="shared" si="33"/>
        <v>1123000</v>
      </c>
      <c r="J800" s="597"/>
      <c r="N800" s="603">
        <f>'[4]Usulan 2021'!I625</f>
        <v>1123000</v>
      </c>
      <c r="O800" s="603">
        <f>'[4]Usulan 2021'!J625</f>
        <v>1123000</v>
      </c>
      <c r="P800" s="603">
        <f>'[4]Usulan 2021'!K625</f>
        <v>1123000</v>
      </c>
    </row>
    <row r="801" spans="2:16" x14ac:dyDescent="0.2">
      <c r="B801" s="604">
        <f t="shared" si="34"/>
        <v>10</v>
      </c>
      <c r="C801" s="605"/>
      <c r="D801" s="606" t="s">
        <v>971</v>
      </c>
      <c r="E801" s="607"/>
      <c r="F801" s="607"/>
      <c r="G801" s="608" t="s">
        <v>268</v>
      </c>
      <c r="H801" s="609"/>
      <c r="I801" s="613">
        <f t="shared" si="33"/>
        <v>842000</v>
      </c>
      <c r="J801" s="597"/>
      <c r="N801" s="603">
        <f>'[4]Usulan 2021'!I626</f>
        <v>842000</v>
      </c>
      <c r="O801" s="603">
        <f>'[4]Usulan 2021'!J626</f>
        <v>842000</v>
      </c>
      <c r="P801" s="603">
        <f>'[4]Usulan 2021'!K626</f>
        <v>842000</v>
      </c>
    </row>
    <row r="802" spans="2:16" x14ac:dyDescent="0.2">
      <c r="B802" s="604">
        <f t="shared" si="34"/>
        <v>11</v>
      </c>
      <c r="C802" s="605"/>
      <c r="D802" s="606" t="s">
        <v>972</v>
      </c>
      <c r="E802" s="607"/>
      <c r="F802" s="607"/>
      <c r="G802" s="608" t="s">
        <v>268</v>
      </c>
      <c r="H802" s="609"/>
      <c r="I802" s="613">
        <f t="shared" si="33"/>
        <v>7000</v>
      </c>
      <c r="J802" s="597"/>
      <c r="N802" s="603">
        <f>'[4]Usulan 2021'!I627</f>
        <v>7000</v>
      </c>
      <c r="O802" s="603">
        <f>'[4]Usulan 2021'!J627</f>
        <v>7000</v>
      </c>
      <c r="P802" s="603">
        <f>'[4]Usulan 2021'!K627</f>
        <v>7000</v>
      </c>
    </row>
    <row r="803" spans="2:16" x14ac:dyDescent="0.2">
      <c r="B803" s="604">
        <f t="shared" si="34"/>
        <v>12</v>
      </c>
      <c r="C803" s="605"/>
      <c r="D803" s="606" t="s">
        <v>973</v>
      </c>
      <c r="E803" s="607"/>
      <c r="F803" s="607"/>
      <c r="G803" s="608" t="s">
        <v>268</v>
      </c>
      <c r="H803" s="609"/>
      <c r="I803" s="613">
        <f t="shared" si="33"/>
        <v>224000</v>
      </c>
      <c r="J803" s="597"/>
      <c r="N803" s="603">
        <f>'[4]Usulan 2021'!I628</f>
        <v>224000</v>
      </c>
      <c r="O803" s="603">
        <f>'[4]Usulan 2021'!J628</f>
        <v>224000</v>
      </c>
      <c r="P803" s="603">
        <f>'[4]Usulan 2021'!K628</f>
        <v>224000</v>
      </c>
    </row>
    <row r="804" spans="2:16" x14ac:dyDescent="0.2">
      <c r="B804" s="604">
        <f t="shared" si="34"/>
        <v>13</v>
      </c>
      <c r="C804" s="605"/>
      <c r="D804" s="606" t="s">
        <v>974</v>
      </c>
      <c r="E804" s="607"/>
      <c r="F804" s="607"/>
      <c r="G804" s="608" t="s">
        <v>268</v>
      </c>
      <c r="H804" s="609"/>
      <c r="I804" s="613">
        <f t="shared" si="33"/>
        <v>112000</v>
      </c>
      <c r="J804" s="597"/>
      <c r="N804" s="603">
        <f>'[4]Usulan 2021'!I629</f>
        <v>112000</v>
      </c>
      <c r="O804" s="603">
        <f>'[4]Usulan 2021'!J629</f>
        <v>112000</v>
      </c>
      <c r="P804" s="603">
        <f>'[4]Usulan 2021'!K629</f>
        <v>112000</v>
      </c>
    </row>
    <row r="805" spans="2:16" x14ac:dyDescent="0.2">
      <c r="B805" s="604">
        <f t="shared" si="34"/>
        <v>14</v>
      </c>
      <c r="C805" s="605"/>
      <c r="D805" s="606" t="s">
        <v>975</v>
      </c>
      <c r="E805" s="607"/>
      <c r="F805" s="607"/>
      <c r="G805" s="608" t="s">
        <v>268</v>
      </c>
      <c r="H805" s="609"/>
      <c r="I805" s="613">
        <f t="shared" si="33"/>
        <v>1123000</v>
      </c>
      <c r="J805" s="597"/>
      <c r="N805" s="603">
        <f>'[4]Usulan 2021'!I630</f>
        <v>1123000</v>
      </c>
      <c r="O805" s="603">
        <f>'[4]Usulan 2021'!J630</f>
        <v>1123000</v>
      </c>
      <c r="P805" s="603">
        <f>'[4]Usulan 2021'!K630</f>
        <v>1123000</v>
      </c>
    </row>
    <row r="806" spans="2:16" x14ac:dyDescent="0.2">
      <c r="B806" s="604">
        <f t="shared" si="34"/>
        <v>15</v>
      </c>
      <c r="C806" s="605"/>
      <c r="D806" s="606" t="s">
        <v>976</v>
      </c>
      <c r="E806" s="607"/>
      <c r="F806" s="607"/>
      <c r="G806" s="608" t="s">
        <v>247</v>
      </c>
      <c r="H806" s="609"/>
      <c r="I806" s="613">
        <f t="shared" si="33"/>
        <v>168000</v>
      </c>
      <c r="J806" s="597"/>
      <c r="N806" s="603">
        <f>'[4]Usulan 2021'!I631</f>
        <v>168000</v>
      </c>
      <c r="O806" s="603">
        <f>'[4]Usulan 2021'!J631</f>
        <v>168000</v>
      </c>
      <c r="P806" s="603">
        <f>'[4]Usulan 2021'!K631</f>
        <v>168000</v>
      </c>
    </row>
    <row r="807" spans="2:16" x14ac:dyDescent="0.2">
      <c r="B807" s="604">
        <f t="shared" si="34"/>
        <v>16</v>
      </c>
      <c r="C807" s="605"/>
      <c r="D807" s="606" t="s">
        <v>977</v>
      </c>
      <c r="E807" s="607"/>
      <c r="F807" s="607"/>
      <c r="G807" s="608" t="s">
        <v>276</v>
      </c>
      <c r="H807" s="609"/>
      <c r="I807" s="613">
        <f>N807</f>
        <v>618000</v>
      </c>
      <c r="J807" s="597"/>
      <c r="N807" s="603">
        <f>'[4]Usulan 2021'!I632</f>
        <v>618000</v>
      </c>
      <c r="O807" s="603">
        <f>'[4]Usulan 2021'!J632</f>
        <v>618000</v>
      </c>
      <c r="P807" s="603">
        <f>'[4]Usulan 2021'!K632</f>
        <v>618000</v>
      </c>
    </row>
    <row r="808" spans="2:16" x14ac:dyDescent="0.2">
      <c r="B808" s="604">
        <f t="shared" si="34"/>
        <v>17</v>
      </c>
      <c r="C808" s="605"/>
      <c r="D808" s="606" t="s">
        <v>978</v>
      </c>
      <c r="E808" s="607"/>
      <c r="F808" s="607"/>
      <c r="G808" s="608" t="s">
        <v>276</v>
      </c>
      <c r="H808" s="609"/>
      <c r="I808" s="613">
        <f t="shared" si="33"/>
        <v>674000</v>
      </c>
      <c r="J808" s="597"/>
      <c r="N808" s="603">
        <f>'[4]Usulan 2021'!I633</f>
        <v>674000</v>
      </c>
      <c r="O808" s="603">
        <f>'[4]Usulan 2021'!J633</f>
        <v>674000</v>
      </c>
      <c r="P808" s="603">
        <f>'[4]Usulan 2021'!K633</f>
        <v>674000</v>
      </c>
    </row>
    <row r="809" spans="2:16" x14ac:dyDescent="0.2">
      <c r="B809" s="604">
        <f t="shared" si="34"/>
        <v>18</v>
      </c>
      <c r="C809" s="605"/>
      <c r="D809" s="606" t="s">
        <v>979</v>
      </c>
      <c r="E809" s="607"/>
      <c r="F809" s="607"/>
      <c r="G809" s="608" t="s">
        <v>277</v>
      </c>
      <c r="H809" s="609"/>
      <c r="I809" s="613">
        <f t="shared" si="33"/>
        <v>1292000</v>
      </c>
      <c r="J809" s="597"/>
      <c r="N809" s="603">
        <f>'[4]Usulan 2021'!I634</f>
        <v>1292000</v>
      </c>
      <c r="O809" s="603">
        <f>'[4]Usulan 2021'!J634</f>
        <v>1292000</v>
      </c>
      <c r="P809" s="603">
        <f>'[4]Usulan 2021'!K634</f>
        <v>1292000</v>
      </c>
    </row>
    <row r="810" spans="2:16" x14ac:dyDescent="0.2">
      <c r="B810" s="604">
        <f t="shared" si="34"/>
        <v>19</v>
      </c>
      <c r="C810" s="605"/>
      <c r="D810" s="606" t="s">
        <v>980</v>
      </c>
      <c r="E810" s="607"/>
      <c r="F810" s="607"/>
      <c r="G810" s="608" t="s">
        <v>268</v>
      </c>
      <c r="H810" s="609"/>
      <c r="I810" s="613">
        <f t="shared" si="33"/>
        <v>393000</v>
      </c>
      <c r="J810" s="597"/>
      <c r="N810" s="603">
        <f>'[4]Usulan 2021'!I635</f>
        <v>393000</v>
      </c>
      <c r="O810" s="603">
        <f>'[4]Usulan 2021'!J635</f>
        <v>393000</v>
      </c>
      <c r="P810" s="603">
        <f>'[4]Usulan 2021'!K635</f>
        <v>393000</v>
      </c>
    </row>
    <row r="811" spans="2:16" x14ac:dyDescent="0.2">
      <c r="B811" s="604">
        <f t="shared" si="34"/>
        <v>20</v>
      </c>
      <c r="C811" s="605"/>
      <c r="D811" s="606" t="s">
        <v>981</v>
      </c>
      <c r="E811" s="607"/>
      <c r="F811" s="607"/>
      <c r="G811" s="608" t="s">
        <v>268</v>
      </c>
      <c r="H811" s="609"/>
      <c r="I811" s="613">
        <f t="shared" si="33"/>
        <v>109000</v>
      </c>
      <c r="J811" s="597"/>
      <c r="N811" s="603">
        <f>'[4]Usulan 2021'!I636</f>
        <v>109000</v>
      </c>
      <c r="O811" s="603">
        <f>'[4]Usulan 2021'!J636</f>
        <v>109000</v>
      </c>
      <c r="P811" s="603">
        <f>'[4]Usulan 2021'!K636</f>
        <v>109000</v>
      </c>
    </row>
    <row r="812" spans="2:16" x14ac:dyDescent="0.2">
      <c r="B812" s="604">
        <f t="shared" si="34"/>
        <v>21</v>
      </c>
      <c r="C812" s="605"/>
      <c r="D812" s="606" t="s">
        <v>982</v>
      </c>
      <c r="E812" s="607"/>
      <c r="F812" s="607"/>
      <c r="G812" s="608" t="s">
        <v>268</v>
      </c>
      <c r="H812" s="609"/>
      <c r="I812" s="613">
        <f t="shared" si="33"/>
        <v>3000</v>
      </c>
      <c r="J812" s="597"/>
      <c r="N812" s="603">
        <f>'[4]Usulan 2021'!I637</f>
        <v>3000</v>
      </c>
      <c r="O812" s="603">
        <f>'[4]Usulan 2021'!J637</f>
        <v>3000</v>
      </c>
      <c r="P812" s="603">
        <f>'[4]Usulan 2021'!K637</f>
        <v>3000</v>
      </c>
    </row>
    <row r="813" spans="2:16" x14ac:dyDescent="0.2">
      <c r="B813" s="604">
        <f t="shared" si="34"/>
        <v>22</v>
      </c>
      <c r="C813" s="605"/>
      <c r="D813" s="606" t="s">
        <v>983</v>
      </c>
      <c r="E813" s="607"/>
      <c r="F813" s="607"/>
      <c r="G813" s="608" t="s">
        <v>268</v>
      </c>
      <c r="H813" s="609"/>
      <c r="I813" s="613">
        <f t="shared" si="33"/>
        <v>3000</v>
      </c>
      <c r="J813" s="597"/>
      <c r="N813" s="603">
        <f>'[4]Usulan 2021'!I638</f>
        <v>3000</v>
      </c>
      <c r="O813" s="603">
        <f>'[4]Usulan 2021'!J638</f>
        <v>3000</v>
      </c>
      <c r="P813" s="603">
        <f>'[4]Usulan 2021'!K638</f>
        <v>3000</v>
      </c>
    </row>
    <row r="814" spans="2:16" x14ac:dyDescent="0.2">
      <c r="B814" s="604">
        <f t="shared" si="34"/>
        <v>23</v>
      </c>
      <c r="C814" s="605"/>
      <c r="D814" s="606" t="s">
        <v>984</v>
      </c>
      <c r="E814" s="607"/>
      <c r="F814" s="607"/>
      <c r="G814" s="608" t="s">
        <v>268</v>
      </c>
      <c r="H814" s="609"/>
      <c r="I814" s="613">
        <f t="shared" si="33"/>
        <v>280000</v>
      </c>
      <c r="J814" s="597"/>
      <c r="N814" s="603">
        <f>'[4]Usulan 2021'!I639</f>
        <v>280000</v>
      </c>
      <c r="O814" s="603">
        <f>'[4]Usulan 2021'!J639</f>
        <v>280000</v>
      </c>
      <c r="P814" s="603">
        <f>'[4]Usulan 2021'!K639</f>
        <v>280000</v>
      </c>
    </row>
    <row r="815" spans="2:16" x14ac:dyDescent="0.2">
      <c r="B815" s="604">
        <f t="shared" si="34"/>
        <v>24</v>
      </c>
      <c r="C815" s="605"/>
      <c r="D815" s="606" t="s">
        <v>985</v>
      </c>
      <c r="E815" s="607"/>
      <c r="F815" s="607"/>
      <c r="G815" s="608" t="s">
        <v>268</v>
      </c>
      <c r="H815" s="609"/>
      <c r="I815" s="613">
        <f t="shared" si="33"/>
        <v>224000</v>
      </c>
      <c r="J815" s="597"/>
      <c r="N815" s="603">
        <f>'[4]Usulan 2021'!I640</f>
        <v>224000</v>
      </c>
      <c r="O815" s="603">
        <f>'[4]Usulan 2021'!J640</f>
        <v>224000</v>
      </c>
      <c r="P815" s="603">
        <f>'[4]Usulan 2021'!K640</f>
        <v>224000</v>
      </c>
    </row>
    <row r="816" spans="2:16" x14ac:dyDescent="0.2">
      <c r="B816" s="604">
        <f t="shared" si="34"/>
        <v>25</v>
      </c>
      <c r="C816" s="614"/>
      <c r="D816" s="606" t="s">
        <v>986</v>
      </c>
      <c r="E816" s="614"/>
      <c r="F816" s="614"/>
      <c r="G816" s="608" t="s">
        <v>268</v>
      </c>
      <c r="H816" s="614"/>
      <c r="I816" s="613">
        <f t="shared" si="33"/>
        <v>5000</v>
      </c>
      <c r="J816" s="597"/>
      <c r="N816" s="603">
        <f>'[4]Usulan 2021'!I641</f>
        <v>5000</v>
      </c>
      <c r="O816" s="603">
        <f>'[4]Usulan 2021'!J641</f>
        <v>5000</v>
      </c>
      <c r="P816" s="603">
        <f>'[4]Usulan 2021'!K641</f>
        <v>5000</v>
      </c>
    </row>
    <row r="817" spans="2:16" x14ac:dyDescent="0.2">
      <c r="B817" s="604">
        <f t="shared" si="34"/>
        <v>26</v>
      </c>
      <c r="C817" s="614"/>
      <c r="D817" s="606" t="s">
        <v>987</v>
      </c>
      <c r="E817" s="614"/>
      <c r="F817" s="614"/>
      <c r="G817" s="608" t="s">
        <v>268</v>
      </c>
      <c r="H817" s="614"/>
      <c r="I817" s="613">
        <f t="shared" si="33"/>
        <v>5600</v>
      </c>
      <c r="J817" s="597"/>
      <c r="N817" s="603">
        <f>'[4]Usulan 2021'!I642</f>
        <v>5600</v>
      </c>
      <c r="O817" s="603">
        <f>'[4]Usulan 2021'!J642</f>
        <v>5600</v>
      </c>
      <c r="P817" s="603">
        <f>'[4]Usulan 2021'!K642</f>
        <v>5600</v>
      </c>
    </row>
    <row r="818" spans="2:16" x14ac:dyDescent="0.2">
      <c r="B818" s="604">
        <f t="shared" si="34"/>
        <v>27</v>
      </c>
      <c r="C818" s="614"/>
      <c r="D818" s="606" t="s">
        <v>988</v>
      </c>
      <c r="E818" s="614"/>
      <c r="F818" s="614"/>
      <c r="G818" s="608" t="s">
        <v>276</v>
      </c>
      <c r="H818" s="614"/>
      <c r="I818" s="613">
        <f t="shared" si="33"/>
        <v>1629000</v>
      </c>
      <c r="J818" s="597"/>
      <c r="N818" s="603">
        <f>'[4]Usulan 2021'!I643</f>
        <v>1629000</v>
      </c>
      <c r="O818" s="603">
        <f>'[4]Usulan 2021'!J643</f>
        <v>1629000</v>
      </c>
      <c r="P818" s="603">
        <f>'[4]Usulan 2021'!K643</f>
        <v>1629000</v>
      </c>
    </row>
    <row r="819" spans="2:16" x14ac:dyDescent="0.2">
      <c r="B819" s="604">
        <f t="shared" si="34"/>
        <v>28</v>
      </c>
      <c r="C819" s="614"/>
      <c r="D819" s="606" t="s">
        <v>989</v>
      </c>
      <c r="E819" s="614"/>
      <c r="F819" s="614"/>
      <c r="G819" s="608" t="s">
        <v>277</v>
      </c>
      <c r="H819" s="614"/>
      <c r="I819" s="613">
        <f t="shared" si="33"/>
        <v>1517000</v>
      </c>
      <c r="J819" s="597"/>
      <c r="N819" s="603">
        <f>'[4]Usulan 2021'!I644</f>
        <v>1517000</v>
      </c>
      <c r="O819" s="603">
        <f>'[4]Usulan 2021'!J644</f>
        <v>1517000</v>
      </c>
      <c r="P819" s="603">
        <f>'[4]Usulan 2021'!K644</f>
        <v>1517000</v>
      </c>
    </row>
    <row r="820" spans="2:16" x14ac:dyDescent="0.2">
      <c r="B820" s="604">
        <f t="shared" si="34"/>
        <v>29</v>
      </c>
      <c r="C820" s="614"/>
      <c r="D820" s="606" t="s">
        <v>990</v>
      </c>
      <c r="E820" s="614"/>
      <c r="F820" s="614"/>
      <c r="G820" s="608" t="s">
        <v>268</v>
      </c>
      <c r="H820" s="614"/>
      <c r="I820" s="613">
        <f t="shared" si="33"/>
        <v>5000</v>
      </c>
      <c r="J820" s="597"/>
      <c r="N820" s="603">
        <f>'[4]Usulan 2021'!I645</f>
        <v>5000</v>
      </c>
      <c r="O820" s="603">
        <f>'[4]Usulan 2021'!J645</f>
        <v>5000</v>
      </c>
      <c r="P820" s="603">
        <f>'[4]Usulan 2021'!K645</f>
        <v>5000</v>
      </c>
    </row>
    <row r="821" spans="2:16" x14ac:dyDescent="0.2">
      <c r="B821" s="604">
        <f t="shared" si="34"/>
        <v>30</v>
      </c>
      <c r="C821" s="614"/>
      <c r="D821" s="606" t="s">
        <v>991</v>
      </c>
      <c r="E821" s="614"/>
      <c r="F821" s="614"/>
      <c r="G821" s="608" t="s">
        <v>268</v>
      </c>
      <c r="H821" s="614"/>
      <c r="I821" s="613">
        <f t="shared" si="33"/>
        <v>2247000</v>
      </c>
      <c r="J821" s="597"/>
      <c r="N821" s="603">
        <f>'[4]Usulan 2021'!I646</f>
        <v>2247000</v>
      </c>
      <c r="O821" s="603">
        <f>'[4]Usulan 2021'!J646</f>
        <v>2247000</v>
      </c>
      <c r="P821" s="603">
        <f>'[4]Usulan 2021'!K646</f>
        <v>2247000</v>
      </c>
    </row>
    <row r="822" spans="2:16" x14ac:dyDescent="0.2">
      <c r="B822" s="604">
        <f t="shared" si="34"/>
        <v>31</v>
      </c>
      <c r="C822" s="614"/>
      <c r="D822" s="606" t="s">
        <v>991</v>
      </c>
      <c r="E822" s="614"/>
      <c r="F822" s="614"/>
      <c r="G822" s="608" t="s">
        <v>268</v>
      </c>
      <c r="H822" s="614"/>
      <c r="I822" s="613">
        <f t="shared" si="33"/>
        <v>561000</v>
      </c>
      <c r="J822" s="597"/>
      <c r="N822" s="603">
        <f>'[4]Usulan 2021'!I647</f>
        <v>561000</v>
      </c>
      <c r="O822" s="603">
        <f>'[4]Usulan 2021'!J647</f>
        <v>561000</v>
      </c>
      <c r="P822" s="603">
        <f>'[4]Usulan 2021'!K647</f>
        <v>561000</v>
      </c>
    </row>
    <row r="823" spans="2:16" x14ac:dyDescent="0.2">
      <c r="B823" s="604">
        <f t="shared" si="34"/>
        <v>32</v>
      </c>
      <c r="C823" s="614"/>
      <c r="D823" s="606" t="s">
        <v>992</v>
      </c>
      <c r="E823" s="614"/>
      <c r="F823" s="614"/>
      <c r="G823" s="608" t="s">
        <v>268</v>
      </c>
      <c r="H823" s="614"/>
      <c r="I823" s="613">
        <f t="shared" si="33"/>
        <v>1517000</v>
      </c>
      <c r="J823" s="597"/>
      <c r="N823" s="603">
        <f>'[4]Usulan 2021'!I648</f>
        <v>1517000</v>
      </c>
      <c r="O823" s="603">
        <f>'[4]Usulan 2021'!J648</f>
        <v>1517000</v>
      </c>
      <c r="P823" s="603">
        <f>'[4]Usulan 2021'!K648</f>
        <v>1517000</v>
      </c>
    </row>
    <row r="824" spans="2:16" x14ac:dyDescent="0.2">
      <c r="B824" s="604">
        <f t="shared" si="34"/>
        <v>33</v>
      </c>
      <c r="C824" s="614"/>
      <c r="D824" s="606" t="s">
        <v>993</v>
      </c>
      <c r="E824" s="614"/>
      <c r="F824" s="614"/>
      <c r="G824" s="608" t="s">
        <v>268</v>
      </c>
      <c r="H824" s="614"/>
      <c r="I824" s="613">
        <f t="shared" si="33"/>
        <v>618000</v>
      </c>
      <c r="J824" s="597"/>
      <c r="N824" s="603">
        <f>'[4]Usulan 2021'!I649</f>
        <v>618000</v>
      </c>
      <c r="O824" s="603">
        <f>'[4]Usulan 2021'!J649</f>
        <v>618000</v>
      </c>
      <c r="P824" s="603">
        <f>'[4]Usulan 2021'!K649</f>
        <v>618000</v>
      </c>
    </row>
    <row r="825" spans="2:16" x14ac:dyDescent="0.2">
      <c r="B825" s="604">
        <f t="shared" si="34"/>
        <v>34</v>
      </c>
      <c r="C825" s="614"/>
      <c r="D825" s="606" t="s">
        <v>994</v>
      </c>
      <c r="E825" s="614"/>
      <c r="F825" s="614"/>
      <c r="G825" s="608" t="s">
        <v>268</v>
      </c>
      <c r="H825" s="614"/>
      <c r="I825" s="613">
        <f t="shared" si="33"/>
        <v>842000</v>
      </c>
      <c r="J825" s="597"/>
      <c r="N825" s="603">
        <f>'[4]Usulan 2021'!I650</f>
        <v>842000</v>
      </c>
      <c r="O825" s="603">
        <f>'[4]Usulan 2021'!J650</f>
        <v>842000</v>
      </c>
      <c r="P825" s="603">
        <f>'[4]Usulan 2021'!K650</f>
        <v>842000</v>
      </c>
    </row>
    <row r="826" spans="2:16" x14ac:dyDescent="0.2">
      <c r="B826" s="604">
        <f t="shared" si="34"/>
        <v>35</v>
      </c>
      <c r="C826" s="614"/>
      <c r="D826" s="606" t="s">
        <v>995</v>
      </c>
      <c r="E826" s="614"/>
      <c r="F826" s="614"/>
      <c r="G826" s="608" t="s">
        <v>247</v>
      </c>
      <c r="H826" s="614"/>
      <c r="I826" s="613">
        <f t="shared" si="33"/>
        <v>233000</v>
      </c>
      <c r="J826" s="597"/>
      <c r="N826" s="603">
        <f>'[4]Usulan 2021'!I651</f>
        <v>233000</v>
      </c>
      <c r="O826" s="603">
        <f>'[4]Usulan 2021'!J651</f>
        <v>233000</v>
      </c>
      <c r="P826" s="603">
        <f>'[4]Usulan 2021'!K651</f>
        <v>233000</v>
      </c>
    </row>
    <row r="827" spans="2:16" x14ac:dyDescent="0.2">
      <c r="B827" s="604">
        <f t="shared" si="34"/>
        <v>36</v>
      </c>
      <c r="C827" s="614"/>
      <c r="D827" s="606" t="s">
        <v>996</v>
      </c>
      <c r="E827" s="614"/>
      <c r="F827" s="614"/>
      <c r="G827" s="608" t="s">
        <v>268</v>
      </c>
      <c r="H827" s="614"/>
      <c r="I827" s="613">
        <f t="shared" si="33"/>
        <v>842000</v>
      </c>
      <c r="J827" s="597"/>
      <c r="N827" s="603">
        <f>'[4]Usulan 2021'!I652</f>
        <v>842000</v>
      </c>
      <c r="O827" s="603">
        <f>'[4]Usulan 2021'!J652</f>
        <v>842000</v>
      </c>
      <c r="P827" s="603">
        <f>'[4]Usulan 2021'!K652</f>
        <v>842000</v>
      </c>
    </row>
    <row r="828" spans="2:16" x14ac:dyDescent="0.2">
      <c r="B828" s="604">
        <f t="shared" si="34"/>
        <v>37</v>
      </c>
      <c r="C828" s="614"/>
      <c r="D828" s="606" t="s">
        <v>984</v>
      </c>
      <c r="E828" s="614"/>
      <c r="F828" s="614"/>
      <c r="G828" s="608" t="s">
        <v>268</v>
      </c>
      <c r="H828" s="614"/>
      <c r="I828" s="613">
        <f t="shared" si="33"/>
        <v>280000</v>
      </c>
      <c r="J828" s="597"/>
      <c r="N828" s="603">
        <f>'[4]Usulan 2021'!I653</f>
        <v>280000</v>
      </c>
      <c r="O828" s="603">
        <f>'[4]Usulan 2021'!J653</f>
        <v>280000</v>
      </c>
      <c r="P828" s="603">
        <f>'[4]Usulan 2021'!K653</f>
        <v>280000</v>
      </c>
    </row>
    <row r="829" spans="2:16" x14ac:dyDescent="0.2">
      <c r="B829" s="604">
        <f t="shared" si="34"/>
        <v>38</v>
      </c>
      <c r="C829" s="614"/>
      <c r="D829" s="606" t="s">
        <v>985</v>
      </c>
      <c r="E829" s="614"/>
      <c r="F829" s="614"/>
      <c r="G829" s="608" t="s">
        <v>268</v>
      </c>
      <c r="H829" s="614"/>
      <c r="I829" s="613">
        <f t="shared" si="33"/>
        <v>224000</v>
      </c>
      <c r="J829" s="597"/>
      <c r="N829" s="603">
        <f>'[4]Usulan 2021'!I654</f>
        <v>224000</v>
      </c>
      <c r="O829" s="603">
        <f>'[4]Usulan 2021'!J654</f>
        <v>224000</v>
      </c>
      <c r="P829" s="603">
        <f>'[4]Usulan 2021'!K654</f>
        <v>224000</v>
      </c>
    </row>
    <row r="830" spans="2:16" x14ac:dyDescent="0.2">
      <c r="B830" s="604">
        <f t="shared" si="34"/>
        <v>39</v>
      </c>
      <c r="C830" s="614"/>
      <c r="D830" s="606" t="s">
        <v>997</v>
      </c>
      <c r="E830" s="614"/>
      <c r="F830" s="614"/>
      <c r="G830" s="608" t="s">
        <v>268</v>
      </c>
      <c r="H830" s="614"/>
      <c r="I830" s="613">
        <f t="shared" si="33"/>
        <v>842000</v>
      </c>
      <c r="J830" s="597"/>
      <c r="N830" s="603">
        <f>'[4]Usulan 2021'!I655</f>
        <v>842000</v>
      </c>
      <c r="O830" s="603">
        <f>'[4]Usulan 2021'!J655</f>
        <v>842000</v>
      </c>
      <c r="P830" s="603">
        <f>'[4]Usulan 2021'!K655</f>
        <v>842000</v>
      </c>
    </row>
    <row r="831" spans="2:16" x14ac:dyDescent="0.2">
      <c r="B831" s="604">
        <f t="shared" si="34"/>
        <v>40</v>
      </c>
      <c r="C831" s="614"/>
      <c r="D831" s="606" t="s">
        <v>998</v>
      </c>
      <c r="E831" s="614"/>
      <c r="F831" s="614"/>
      <c r="G831" s="608" t="s">
        <v>268</v>
      </c>
      <c r="H831" s="614"/>
      <c r="I831" s="613">
        <f t="shared" si="33"/>
        <v>561000</v>
      </c>
      <c r="J831" s="597"/>
      <c r="N831" s="603">
        <f>'[4]Usulan 2021'!I656</f>
        <v>561000</v>
      </c>
      <c r="O831" s="603">
        <f>'[4]Usulan 2021'!J656</f>
        <v>561000</v>
      </c>
      <c r="P831" s="603">
        <f>'[4]Usulan 2021'!K656</f>
        <v>561000</v>
      </c>
    </row>
    <row r="832" spans="2:16" x14ac:dyDescent="0.2">
      <c r="B832" s="604">
        <f t="shared" si="34"/>
        <v>41</v>
      </c>
      <c r="C832" s="614"/>
      <c r="D832" s="606" t="s">
        <v>999</v>
      </c>
      <c r="E832" s="614"/>
      <c r="F832" s="614"/>
      <c r="G832" s="608" t="s">
        <v>268</v>
      </c>
      <c r="H832" s="614"/>
      <c r="I832" s="613">
        <f t="shared" si="33"/>
        <v>280000</v>
      </c>
      <c r="J832" s="597"/>
      <c r="N832" s="603">
        <f>'[4]Usulan 2021'!I657</f>
        <v>280000</v>
      </c>
      <c r="O832" s="603">
        <f>'[4]Usulan 2021'!J657</f>
        <v>280000</v>
      </c>
      <c r="P832" s="603">
        <f>'[4]Usulan 2021'!K657</f>
        <v>280000</v>
      </c>
    </row>
    <row r="833" spans="2:16" x14ac:dyDescent="0.2">
      <c r="B833" s="615">
        <f>SUM(B832+1)</f>
        <v>42</v>
      </c>
      <c r="C833" s="614"/>
      <c r="D833" s="606" t="s">
        <v>1290</v>
      </c>
      <c r="E833" s="614"/>
      <c r="F833" s="614"/>
      <c r="G833" s="608" t="s">
        <v>274</v>
      </c>
      <c r="H833" s="614"/>
      <c r="I833" s="613">
        <f t="shared" si="33"/>
        <v>768000</v>
      </c>
      <c r="J833" s="597"/>
      <c r="N833" s="603">
        <f>'[4]Usulan 2021'!I658</f>
        <v>768000</v>
      </c>
      <c r="O833" s="603">
        <f>'[4]Usulan 2021'!J658</f>
        <v>768000</v>
      </c>
      <c r="P833" s="603">
        <f>'[4]Usulan 2021'!K658</f>
        <v>768000</v>
      </c>
    </row>
    <row r="834" spans="2:16" x14ac:dyDescent="0.2">
      <c r="B834" s="604">
        <f t="shared" ref="B834:B879" si="35">SUM(B833+1)</f>
        <v>43</v>
      </c>
      <c r="C834" s="614"/>
      <c r="D834" s="606" t="s">
        <v>1291</v>
      </c>
      <c r="E834" s="614"/>
      <c r="F834" s="614"/>
      <c r="G834" s="608" t="s">
        <v>274</v>
      </c>
      <c r="H834" s="614"/>
      <c r="I834" s="613">
        <f t="shared" si="33"/>
        <v>960000</v>
      </c>
      <c r="J834" s="597"/>
      <c r="N834" s="603">
        <f>'[4]Usulan 2021'!I659</f>
        <v>960000</v>
      </c>
      <c r="O834" s="603">
        <f>'[4]Usulan 2021'!J659</f>
        <v>960000</v>
      </c>
      <c r="P834" s="603">
        <f>'[4]Usulan 2021'!K659</f>
        <v>960000</v>
      </c>
    </row>
    <row r="835" spans="2:16" x14ac:dyDescent="0.2">
      <c r="B835" s="604">
        <f t="shared" si="35"/>
        <v>44</v>
      </c>
      <c r="C835" s="614"/>
      <c r="D835" s="606" t="s">
        <v>1291</v>
      </c>
      <c r="E835" s="614"/>
      <c r="F835" s="614"/>
      <c r="G835" s="608" t="s">
        <v>274</v>
      </c>
      <c r="H835" s="614"/>
      <c r="I835" s="613">
        <f t="shared" si="33"/>
        <v>1019000</v>
      </c>
      <c r="J835" s="597"/>
      <c r="N835" s="603">
        <f>'[4]Usulan 2021'!I660</f>
        <v>1019000</v>
      </c>
      <c r="O835" s="603">
        <f>'[4]Usulan 2021'!J660</f>
        <v>1019000</v>
      </c>
      <c r="P835" s="603">
        <f>'[4]Usulan 2021'!K660</f>
        <v>1019000</v>
      </c>
    </row>
    <row r="836" spans="2:16" x14ac:dyDescent="0.2">
      <c r="B836" s="604">
        <f t="shared" si="35"/>
        <v>45</v>
      </c>
      <c r="C836" s="614"/>
      <c r="D836" s="606" t="s">
        <v>1292</v>
      </c>
      <c r="E836" s="614"/>
      <c r="F836" s="614"/>
      <c r="G836" s="608" t="s">
        <v>274</v>
      </c>
      <c r="H836" s="614"/>
      <c r="I836" s="613">
        <f t="shared" si="33"/>
        <v>51000</v>
      </c>
      <c r="J836" s="597"/>
      <c r="N836" s="603">
        <f>'[4]Usulan 2021'!I661</f>
        <v>51000</v>
      </c>
      <c r="O836" s="603">
        <f>'[4]Usulan 2021'!J661</f>
        <v>51000</v>
      </c>
      <c r="P836" s="603">
        <f>'[4]Usulan 2021'!K661</f>
        <v>51000</v>
      </c>
    </row>
    <row r="837" spans="2:16" x14ac:dyDescent="0.2">
      <c r="B837" s="604">
        <f t="shared" si="35"/>
        <v>46</v>
      </c>
      <c r="C837" s="614"/>
      <c r="D837" s="606" t="s">
        <v>1293</v>
      </c>
      <c r="E837" s="614"/>
      <c r="F837" s="614"/>
      <c r="G837" s="608" t="s">
        <v>309</v>
      </c>
      <c r="H837" s="614"/>
      <c r="I837" s="613">
        <f t="shared" si="33"/>
        <v>109000</v>
      </c>
      <c r="J837" s="597"/>
      <c r="N837" s="603">
        <f>'[4]Usulan 2021'!I662</f>
        <v>109000</v>
      </c>
      <c r="O837" s="603">
        <f>'[4]Usulan 2021'!J662</f>
        <v>109000</v>
      </c>
      <c r="P837" s="603">
        <f>'[4]Usulan 2021'!K662</f>
        <v>109000</v>
      </c>
    </row>
    <row r="838" spans="2:16" x14ac:dyDescent="0.2">
      <c r="B838" s="604">
        <f t="shared" si="35"/>
        <v>47</v>
      </c>
      <c r="C838" s="614"/>
      <c r="D838" s="606" t="s">
        <v>1294</v>
      </c>
      <c r="E838" s="614"/>
      <c r="F838" s="614"/>
      <c r="G838" s="608" t="s">
        <v>309</v>
      </c>
      <c r="H838" s="614"/>
      <c r="I838" s="613">
        <f t="shared" si="33"/>
        <v>104000</v>
      </c>
      <c r="J838" s="597"/>
      <c r="N838" s="603">
        <f>'[4]Usulan 2021'!I663</f>
        <v>104000</v>
      </c>
      <c r="O838" s="603">
        <f>'[4]Usulan 2021'!J663</f>
        <v>104000</v>
      </c>
      <c r="P838" s="603">
        <f>'[4]Usulan 2021'!K663</f>
        <v>104000</v>
      </c>
    </row>
    <row r="839" spans="2:16" x14ac:dyDescent="0.2">
      <c r="B839" s="604">
        <f t="shared" si="35"/>
        <v>48</v>
      </c>
      <c r="C839" s="614"/>
      <c r="D839" s="606" t="s">
        <v>1295</v>
      </c>
      <c r="E839" s="614"/>
      <c r="F839" s="614"/>
      <c r="G839" s="608" t="s">
        <v>274</v>
      </c>
      <c r="H839" s="614"/>
      <c r="I839" s="613">
        <f t="shared" si="33"/>
        <v>7000</v>
      </c>
      <c r="J839" s="597"/>
      <c r="N839" s="603">
        <f>'[4]Usulan 2021'!I664</f>
        <v>7000</v>
      </c>
      <c r="O839" s="603">
        <f>'[4]Usulan 2021'!J664</f>
        <v>7000</v>
      </c>
      <c r="P839" s="603">
        <f>'[4]Usulan 2021'!K664</f>
        <v>7000</v>
      </c>
    </row>
    <row r="840" spans="2:16" x14ac:dyDescent="0.2">
      <c r="B840" s="604">
        <f t="shared" si="35"/>
        <v>49</v>
      </c>
      <c r="C840" s="614"/>
      <c r="D840" s="606" t="s">
        <v>1296</v>
      </c>
      <c r="E840" s="614"/>
      <c r="F840" s="614"/>
      <c r="G840" s="608" t="s">
        <v>1297</v>
      </c>
      <c r="H840" s="614"/>
      <c r="I840" s="613">
        <f t="shared" si="33"/>
        <v>81000</v>
      </c>
      <c r="J840" s="597"/>
      <c r="N840" s="603">
        <f>'[4]Usulan 2021'!I665</f>
        <v>81000</v>
      </c>
      <c r="O840" s="603">
        <f>'[4]Usulan 2021'!J665</f>
        <v>81000</v>
      </c>
      <c r="P840" s="603">
        <f>'[4]Usulan 2021'!K665</f>
        <v>81000</v>
      </c>
    </row>
    <row r="841" spans="2:16" x14ac:dyDescent="0.2">
      <c r="B841" s="604">
        <f t="shared" si="35"/>
        <v>50</v>
      </c>
      <c r="C841" s="614"/>
      <c r="D841" s="606" t="s">
        <v>1298</v>
      </c>
      <c r="E841" s="614"/>
      <c r="F841" s="614"/>
      <c r="G841" s="608" t="s">
        <v>309</v>
      </c>
      <c r="H841" s="614"/>
      <c r="I841" s="613">
        <f t="shared" si="33"/>
        <v>824000</v>
      </c>
      <c r="J841" s="597"/>
      <c r="N841" s="603">
        <f>'[4]Usulan 2021'!I666</f>
        <v>824000</v>
      </c>
      <c r="O841" s="603">
        <f>'[4]Usulan 2021'!J666</f>
        <v>824000</v>
      </c>
      <c r="P841" s="603">
        <f>'[4]Usulan 2021'!K666</f>
        <v>824000</v>
      </c>
    </row>
    <row r="842" spans="2:16" x14ac:dyDescent="0.2">
      <c r="B842" s="604">
        <f t="shared" si="35"/>
        <v>51</v>
      </c>
      <c r="C842" s="614"/>
      <c r="D842" s="606" t="s">
        <v>1299</v>
      </c>
      <c r="E842" s="614"/>
      <c r="F842" s="614"/>
      <c r="G842" s="608" t="s">
        <v>273</v>
      </c>
      <c r="H842" s="614"/>
      <c r="I842" s="613">
        <f t="shared" si="33"/>
        <v>145000</v>
      </c>
      <c r="J842" s="597"/>
      <c r="N842" s="603">
        <f>'[4]Usulan 2021'!I667</f>
        <v>145000</v>
      </c>
      <c r="O842" s="603">
        <f>'[4]Usulan 2021'!J667</f>
        <v>145000</v>
      </c>
      <c r="P842" s="603">
        <f>'[4]Usulan 2021'!K667</f>
        <v>145000</v>
      </c>
    </row>
    <row r="843" spans="2:16" x14ac:dyDescent="0.2">
      <c r="B843" s="604">
        <f t="shared" si="35"/>
        <v>52</v>
      </c>
      <c r="C843" s="614"/>
      <c r="D843" s="606" t="s">
        <v>1300</v>
      </c>
      <c r="E843" s="614"/>
      <c r="F843" s="614"/>
      <c r="G843" s="608" t="s">
        <v>268</v>
      </c>
      <c r="H843" s="614"/>
      <c r="I843" s="613">
        <f t="shared" si="33"/>
        <v>646000</v>
      </c>
      <c r="J843" s="597"/>
      <c r="N843" s="603">
        <f>'[4]Usulan 2021'!I668</f>
        <v>646000</v>
      </c>
      <c r="O843" s="603">
        <f>'[4]Usulan 2021'!J668</f>
        <v>646000</v>
      </c>
      <c r="P843" s="603">
        <f>'[4]Usulan 2021'!K668</f>
        <v>646000</v>
      </c>
    </row>
    <row r="844" spans="2:16" x14ac:dyDescent="0.2">
      <c r="B844" s="604">
        <f t="shared" si="35"/>
        <v>53</v>
      </c>
      <c r="C844" s="614"/>
      <c r="D844" s="606" t="s">
        <v>1301</v>
      </c>
      <c r="E844" s="614"/>
      <c r="F844" s="614"/>
      <c r="G844" s="608" t="s">
        <v>268</v>
      </c>
      <c r="H844" s="614"/>
      <c r="I844" s="613">
        <f t="shared" si="33"/>
        <v>1130000</v>
      </c>
      <c r="J844" s="597"/>
      <c r="N844" s="603">
        <f>'[4]Usulan 2021'!I669</f>
        <v>1130000</v>
      </c>
      <c r="O844" s="603">
        <f>'[4]Usulan 2021'!J669</f>
        <v>1130000</v>
      </c>
      <c r="P844" s="603">
        <f>'[4]Usulan 2021'!K669</f>
        <v>1130000</v>
      </c>
    </row>
    <row r="845" spans="2:16" x14ac:dyDescent="0.2">
      <c r="B845" s="604">
        <f t="shared" si="35"/>
        <v>54</v>
      </c>
      <c r="C845" s="614"/>
      <c r="D845" s="606" t="s">
        <v>1302</v>
      </c>
      <c r="E845" s="614"/>
      <c r="F845" s="614"/>
      <c r="G845" s="608" t="s">
        <v>268</v>
      </c>
      <c r="H845" s="614"/>
      <c r="I845" s="613">
        <f t="shared" ref="I845:I905" si="36">N845</f>
        <v>215000</v>
      </c>
      <c r="J845" s="597"/>
      <c r="N845" s="603">
        <f>'[4]Usulan 2021'!I670</f>
        <v>215000</v>
      </c>
      <c r="O845" s="603">
        <f>'[4]Usulan 2021'!J670</f>
        <v>215000</v>
      </c>
      <c r="P845" s="603">
        <f>'[4]Usulan 2021'!K670</f>
        <v>215000</v>
      </c>
    </row>
    <row r="846" spans="2:16" x14ac:dyDescent="0.2">
      <c r="B846" s="604">
        <f t="shared" si="35"/>
        <v>55</v>
      </c>
      <c r="C846" s="614"/>
      <c r="D846" s="606" t="s">
        <v>1303</v>
      </c>
      <c r="E846" s="614"/>
      <c r="F846" s="614"/>
      <c r="G846" s="608" t="s">
        <v>309</v>
      </c>
      <c r="H846" s="614"/>
      <c r="I846" s="613">
        <f t="shared" si="36"/>
        <v>861000</v>
      </c>
      <c r="J846" s="597"/>
      <c r="N846" s="603">
        <f>'[4]Usulan 2021'!I671</f>
        <v>861000</v>
      </c>
      <c r="O846" s="603">
        <f>'[4]Usulan 2021'!J671</f>
        <v>861000</v>
      </c>
      <c r="P846" s="603">
        <f>'[4]Usulan 2021'!K671</f>
        <v>861000</v>
      </c>
    </row>
    <row r="847" spans="2:16" x14ac:dyDescent="0.2">
      <c r="B847" s="604">
        <f t="shared" si="35"/>
        <v>56</v>
      </c>
      <c r="C847" s="614"/>
      <c r="D847" s="606" t="s">
        <v>1304</v>
      </c>
      <c r="E847" s="614"/>
      <c r="F847" s="614"/>
      <c r="G847" s="608" t="s">
        <v>309</v>
      </c>
      <c r="H847" s="614"/>
      <c r="I847" s="613">
        <f t="shared" si="36"/>
        <v>80000</v>
      </c>
      <c r="J847" s="597"/>
      <c r="N847" s="603">
        <f>'[4]Usulan 2021'!I672</f>
        <v>80000</v>
      </c>
      <c r="O847" s="603">
        <f>'[4]Usulan 2021'!J672</f>
        <v>80000</v>
      </c>
      <c r="P847" s="603">
        <f>'[4]Usulan 2021'!K672</f>
        <v>80000</v>
      </c>
    </row>
    <row r="848" spans="2:16" x14ac:dyDescent="0.2">
      <c r="B848" s="604">
        <f t="shared" si="35"/>
        <v>57</v>
      </c>
      <c r="C848" s="614"/>
      <c r="D848" s="606" t="s">
        <v>1305</v>
      </c>
      <c r="E848" s="614"/>
      <c r="F848" s="614"/>
      <c r="G848" s="608" t="s">
        <v>268</v>
      </c>
      <c r="H848" s="614"/>
      <c r="I848" s="613">
        <f t="shared" si="36"/>
        <v>376000</v>
      </c>
      <c r="J848" s="597"/>
      <c r="N848" s="603">
        <f>'[4]Usulan 2021'!I673</f>
        <v>376000</v>
      </c>
      <c r="O848" s="603">
        <f>'[4]Usulan 2021'!J673</f>
        <v>376000</v>
      </c>
      <c r="P848" s="603">
        <f>'[4]Usulan 2021'!K673</f>
        <v>376000</v>
      </c>
    </row>
    <row r="849" spans="2:16" x14ac:dyDescent="0.2">
      <c r="B849" s="604">
        <f t="shared" si="35"/>
        <v>58</v>
      </c>
      <c r="C849" s="614"/>
      <c r="D849" s="606" t="s">
        <v>1306</v>
      </c>
      <c r="E849" s="614"/>
      <c r="F849" s="614"/>
      <c r="G849" s="608" t="s">
        <v>268</v>
      </c>
      <c r="H849" s="614"/>
      <c r="I849" s="613">
        <f t="shared" si="36"/>
        <v>60000</v>
      </c>
      <c r="J849" s="597"/>
      <c r="N849" s="603">
        <f>'[4]Usulan 2021'!I674</f>
        <v>60000</v>
      </c>
      <c r="O849" s="603">
        <f>'[4]Usulan 2021'!J674</f>
        <v>60000</v>
      </c>
      <c r="P849" s="603">
        <f>'[4]Usulan 2021'!K674</f>
        <v>60000</v>
      </c>
    </row>
    <row r="850" spans="2:16" x14ac:dyDescent="0.2">
      <c r="B850" s="604">
        <f t="shared" si="35"/>
        <v>59</v>
      </c>
      <c r="C850" s="614"/>
      <c r="D850" s="606" t="s">
        <v>1307</v>
      </c>
      <c r="E850" s="614"/>
      <c r="F850" s="614"/>
      <c r="G850" s="608" t="s">
        <v>268</v>
      </c>
      <c r="H850" s="614"/>
      <c r="I850" s="613">
        <f t="shared" si="36"/>
        <v>8000</v>
      </c>
      <c r="J850" s="597"/>
      <c r="N850" s="603">
        <f>'[4]Usulan 2021'!I675</f>
        <v>8000</v>
      </c>
      <c r="O850" s="603">
        <f>'[4]Usulan 2021'!J675</f>
        <v>8000</v>
      </c>
      <c r="P850" s="603">
        <f>'[4]Usulan 2021'!K675</f>
        <v>8000</v>
      </c>
    </row>
    <row r="851" spans="2:16" x14ac:dyDescent="0.2">
      <c r="B851" s="604">
        <f t="shared" si="35"/>
        <v>60</v>
      </c>
      <c r="C851" s="614"/>
      <c r="D851" s="606" t="s">
        <v>1308</v>
      </c>
      <c r="E851" s="614"/>
      <c r="F851" s="614"/>
      <c r="G851" s="608" t="s">
        <v>268</v>
      </c>
      <c r="H851" s="614"/>
      <c r="I851" s="613">
        <f t="shared" si="36"/>
        <v>5000</v>
      </c>
      <c r="J851" s="597"/>
      <c r="N851" s="603">
        <f>'[4]Usulan 2021'!I676</f>
        <v>5000</v>
      </c>
      <c r="O851" s="603">
        <f>'[4]Usulan 2021'!J676</f>
        <v>5000</v>
      </c>
      <c r="P851" s="603">
        <f>'[4]Usulan 2021'!K676</f>
        <v>5000</v>
      </c>
    </row>
    <row r="852" spans="2:16" x14ac:dyDescent="0.2">
      <c r="B852" s="604">
        <f t="shared" si="35"/>
        <v>61</v>
      </c>
      <c r="C852" s="614"/>
      <c r="D852" s="606" t="s">
        <v>1000</v>
      </c>
      <c r="E852" s="614"/>
      <c r="F852" s="614"/>
      <c r="G852" s="608" t="s">
        <v>268</v>
      </c>
      <c r="H852" s="614"/>
      <c r="I852" s="613">
        <f t="shared" si="36"/>
        <v>526000</v>
      </c>
      <c r="J852" s="597"/>
      <c r="N852" s="603">
        <f>'[4]Usulan 2021'!I677</f>
        <v>526000</v>
      </c>
      <c r="O852" s="603">
        <f>'[4]Usulan 2021'!J677</f>
        <v>526000</v>
      </c>
      <c r="P852" s="603">
        <f>'[4]Usulan 2021'!K677</f>
        <v>526000</v>
      </c>
    </row>
    <row r="853" spans="2:16" x14ac:dyDescent="0.2">
      <c r="B853" s="604">
        <f t="shared" si="35"/>
        <v>62</v>
      </c>
      <c r="C853" s="614"/>
      <c r="D853" s="606" t="s">
        <v>1001</v>
      </c>
      <c r="E853" s="614"/>
      <c r="F853" s="614"/>
      <c r="G853" s="608" t="s">
        <v>273</v>
      </c>
      <c r="H853" s="614"/>
      <c r="I853" s="613">
        <f t="shared" si="36"/>
        <v>112000</v>
      </c>
      <c r="J853" s="597"/>
      <c r="N853" s="603">
        <f>'[4]Usulan 2021'!I678</f>
        <v>112000</v>
      </c>
      <c r="O853" s="603">
        <f>'[4]Usulan 2021'!J678</f>
        <v>112000</v>
      </c>
      <c r="P853" s="603">
        <f>'[4]Usulan 2021'!K678</f>
        <v>112000</v>
      </c>
    </row>
    <row r="854" spans="2:16" x14ac:dyDescent="0.2">
      <c r="B854" s="604">
        <f t="shared" si="35"/>
        <v>63</v>
      </c>
      <c r="C854" s="614"/>
      <c r="D854" s="606" t="s">
        <v>1002</v>
      </c>
      <c r="E854" s="614"/>
      <c r="F854" s="614"/>
      <c r="G854" s="608" t="s">
        <v>268</v>
      </c>
      <c r="H854" s="614"/>
      <c r="I854" s="613">
        <f t="shared" si="36"/>
        <v>84000</v>
      </c>
      <c r="J854" s="597"/>
      <c r="N854" s="603">
        <f>'[4]Usulan 2021'!I679</f>
        <v>84000</v>
      </c>
      <c r="O854" s="603">
        <f>'[4]Usulan 2021'!J679</f>
        <v>84000</v>
      </c>
      <c r="P854" s="603">
        <f>'[4]Usulan 2021'!K679</f>
        <v>84000</v>
      </c>
    </row>
    <row r="855" spans="2:16" x14ac:dyDescent="0.2">
      <c r="B855" s="604">
        <f t="shared" si="35"/>
        <v>64</v>
      </c>
      <c r="C855" s="614"/>
      <c r="D855" s="606" t="s">
        <v>1003</v>
      </c>
      <c r="E855" s="614"/>
      <c r="F855" s="614"/>
      <c r="G855" s="608" t="s">
        <v>266</v>
      </c>
      <c r="H855" s="614"/>
      <c r="I855" s="613">
        <f t="shared" si="36"/>
        <v>2416000</v>
      </c>
      <c r="J855" s="597"/>
      <c r="N855" s="603">
        <f>'[4]Usulan 2021'!I680</f>
        <v>2416000</v>
      </c>
      <c r="O855" s="603">
        <f>'[4]Usulan 2021'!J680</f>
        <v>2416000</v>
      </c>
      <c r="P855" s="603">
        <f>'[4]Usulan 2021'!K680</f>
        <v>2416000</v>
      </c>
    </row>
    <row r="856" spans="2:16" x14ac:dyDescent="0.2">
      <c r="B856" s="604">
        <f t="shared" si="35"/>
        <v>65</v>
      </c>
      <c r="C856" s="614"/>
      <c r="D856" s="606" t="s">
        <v>1004</v>
      </c>
      <c r="E856" s="614"/>
      <c r="F856" s="614"/>
      <c r="G856" s="608" t="s">
        <v>268</v>
      </c>
      <c r="H856" s="614"/>
      <c r="I856" s="613">
        <f t="shared" si="36"/>
        <v>842000</v>
      </c>
      <c r="J856" s="597"/>
      <c r="N856" s="603">
        <f>'[4]Usulan 2021'!I681</f>
        <v>842000</v>
      </c>
      <c r="O856" s="603">
        <f>'[4]Usulan 2021'!J681</f>
        <v>842000</v>
      </c>
      <c r="P856" s="603">
        <f>'[4]Usulan 2021'!K681</f>
        <v>842000</v>
      </c>
    </row>
    <row r="857" spans="2:16" x14ac:dyDescent="0.2">
      <c r="B857" s="604">
        <f t="shared" si="35"/>
        <v>66</v>
      </c>
      <c r="C857" s="614"/>
      <c r="D857" s="606" t="s">
        <v>1005</v>
      </c>
      <c r="E857" s="614"/>
      <c r="F857" s="614"/>
      <c r="G857" s="608" t="s">
        <v>268</v>
      </c>
      <c r="H857" s="614"/>
      <c r="I857" s="613">
        <f t="shared" si="36"/>
        <v>1123000</v>
      </c>
      <c r="J857" s="597"/>
      <c r="N857" s="603">
        <f>'[4]Usulan 2021'!I682</f>
        <v>1123000</v>
      </c>
      <c r="O857" s="603">
        <f>'[4]Usulan 2021'!J682</f>
        <v>1123000</v>
      </c>
      <c r="P857" s="603">
        <f>'[4]Usulan 2021'!K682</f>
        <v>1123000</v>
      </c>
    </row>
    <row r="858" spans="2:16" x14ac:dyDescent="0.2">
      <c r="B858" s="604">
        <f t="shared" si="35"/>
        <v>67</v>
      </c>
      <c r="C858" s="614"/>
      <c r="D858" s="606" t="s">
        <v>1164</v>
      </c>
      <c r="E858" s="614"/>
      <c r="F858" s="614"/>
      <c r="G858" s="608" t="s">
        <v>268</v>
      </c>
      <c r="H858" s="614"/>
      <c r="I858" s="613">
        <f t="shared" si="36"/>
        <v>1685000</v>
      </c>
      <c r="J858" s="597"/>
      <c r="N858" s="603">
        <f>'[4]Usulan 2021'!I683</f>
        <v>1685000</v>
      </c>
      <c r="O858" s="603">
        <f>'[4]Usulan 2021'!J683</f>
        <v>1685000</v>
      </c>
      <c r="P858" s="603">
        <f>'[4]Usulan 2021'!K683</f>
        <v>1685000</v>
      </c>
    </row>
    <row r="859" spans="2:16" x14ac:dyDescent="0.2">
      <c r="B859" s="604">
        <f t="shared" si="35"/>
        <v>68</v>
      </c>
      <c r="C859" s="614"/>
      <c r="D859" s="606" t="s">
        <v>1006</v>
      </c>
      <c r="E859" s="614"/>
      <c r="F859" s="614"/>
      <c r="G859" s="608" t="s">
        <v>268</v>
      </c>
      <c r="H859" s="614"/>
      <c r="I859" s="613">
        <f t="shared" si="36"/>
        <v>2247000</v>
      </c>
      <c r="J859" s="597"/>
      <c r="N859" s="603">
        <f>'[4]Usulan 2021'!I684</f>
        <v>2247000</v>
      </c>
      <c r="O859" s="603">
        <f>'[4]Usulan 2021'!J684</f>
        <v>2247000</v>
      </c>
      <c r="P859" s="603">
        <f>'[4]Usulan 2021'!K684</f>
        <v>2247000</v>
      </c>
    </row>
    <row r="860" spans="2:16" x14ac:dyDescent="0.2">
      <c r="B860" s="604">
        <f t="shared" si="35"/>
        <v>69</v>
      </c>
      <c r="C860" s="614"/>
      <c r="D860" s="606" t="s">
        <v>1007</v>
      </c>
      <c r="E860" s="614"/>
      <c r="F860" s="614"/>
      <c r="G860" s="608" t="s">
        <v>268</v>
      </c>
      <c r="H860" s="614"/>
      <c r="I860" s="613">
        <f t="shared" si="36"/>
        <v>2809000</v>
      </c>
      <c r="J860" s="597"/>
      <c r="N860" s="603">
        <f>'[4]Usulan 2021'!I685</f>
        <v>2809000</v>
      </c>
      <c r="O860" s="603">
        <f>'[4]Usulan 2021'!J685</f>
        <v>2809000</v>
      </c>
      <c r="P860" s="603">
        <f>'[4]Usulan 2021'!K685</f>
        <v>2809000</v>
      </c>
    </row>
    <row r="861" spans="2:16" x14ac:dyDescent="0.2">
      <c r="B861" s="604">
        <f t="shared" si="35"/>
        <v>70</v>
      </c>
      <c r="C861" s="614"/>
      <c r="D861" s="606" t="s">
        <v>1008</v>
      </c>
      <c r="E861" s="614"/>
      <c r="F861" s="614"/>
      <c r="G861" s="608" t="s">
        <v>247</v>
      </c>
      <c r="H861" s="614"/>
      <c r="I861" s="613">
        <f t="shared" si="36"/>
        <v>1685000</v>
      </c>
      <c r="J861" s="597"/>
      <c r="N861" s="603">
        <f>'[4]Usulan 2021'!I686</f>
        <v>1685000</v>
      </c>
      <c r="O861" s="603">
        <f>'[4]Usulan 2021'!J686</f>
        <v>1685000</v>
      </c>
      <c r="P861" s="603">
        <f>'[4]Usulan 2021'!K686</f>
        <v>1685000</v>
      </c>
    </row>
    <row r="862" spans="2:16" x14ac:dyDescent="0.2">
      <c r="B862" s="604">
        <f t="shared" si="35"/>
        <v>71</v>
      </c>
      <c r="C862" s="614"/>
      <c r="D862" s="606" t="s">
        <v>1009</v>
      </c>
      <c r="E862" s="614"/>
      <c r="F862" s="614"/>
      <c r="G862" s="608" t="s">
        <v>247</v>
      </c>
      <c r="H862" s="614"/>
      <c r="I862" s="613">
        <f t="shared" si="36"/>
        <v>2247000</v>
      </c>
      <c r="J862" s="597"/>
      <c r="N862" s="603">
        <f>'[4]Usulan 2021'!I687</f>
        <v>2247000</v>
      </c>
      <c r="O862" s="603">
        <f>'[4]Usulan 2021'!J687</f>
        <v>2247000</v>
      </c>
      <c r="P862" s="603">
        <f>'[4]Usulan 2021'!K687</f>
        <v>2247000</v>
      </c>
    </row>
    <row r="863" spans="2:16" x14ac:dyDescent="0.2">
      <c r="B863" s="604">
        <f t="shared" si="35"/>
        <v>72</v>
      </c>
      <c r="C863" s="614"/>
      <c r="D863" s="606" t="s">
        <v>1010</v>
      </c>
      <c r="E863" s="614"/>
      <c r="F863" s="614"/>
      <c r="G863" s="608" t="s">
        <v>247</v>
      </c>
      <c r="H863" s="614"/>
      <c r="I863" s="613">
        <f t="shared" si="36"/>
        <v>2809000</v>
      </c>
      <c r="J863" s="597"/>
      <c r="N863" s="603">
        <f>'[4]Usulan 2021'!I688</f>
        <v>2809000</v>
      </c>
      <c r="O863" s="603">
        <f>'[4]Usulan 2021'!J688</f>
        <v>2809000</v>
      </c>
      <c r="P863" s="603">
        <f>'[4]Usulan 2021'!K688</f>
        <v>2809000</v>
      </c>
    </row>
    <row r="864" spans="2:16" x14ac:dyDescent="0.2">
      <c r="B864" s="604">
        <f t="shared" si="35"/>
        <v>73</v>
      </c>
      <c r="C864" s="614"/>
      <c r="D864" s="606" t="s">
        <v>1011</v>
      </c>
      <c r="E864" s="614"/>
      <c r="F864" s="614"/>
      <c r="G864" s="608" t="s">
        <v>268</v>
      </c>
      <c r="H864" s="614"/>
      <c r="I864" s="613">
        <f t="shared" si="36"/>
        <v>1123000</v>
      </c>
      <c r="J864" s="597"/>
      <c r="N864" s="603">
        <f>'[4]Usulan 2021'!I689</f>
        <v>1123000</v>
      </c>
      <c r="O864" s="603">
        <f>'[4]Usulan 2021'!J689</f>
        <v>1123000</v>
      </c>
      <c r="P864" s="603">
        <f>'[4]Usulan 2021'!K689</f>
        <v>1123000</v>
      </c>
    </row>
    <row r="865" spans="2:16" x14ac:dyDescent="0.2">
      <c r="B865" s="604">
        <f t="shared" si="35"/>
        <v>74</v>
      </c>
      <c r="C865" s="614"/>
      <c r="D865" s="606" t="s">
        <v>1012</v>
      </c>
      <c r="E865" s="614"/>
      <c r="F865" s="614"/>
      <c r="G865" s="608" t="s">
        <v>268</v>
      </c>
      <c r="H865" s="614"/>
      <c r="I865" s="613">
        <f t="shared" si="36"/>
        <v>1685000</v>
      </c>
      <c r="J865" s="597"/>
      <c r="N865" s="603">
        <f>'[4]Usulan 2021'!I690</f>
        <v>1685000</v>
      </c>
      <c r="O865" s="603">
        <f>'[4]Usulan 2021'!J690</f>
        <v>1685000</v>
      </c>
      <c r="P865" s="603">
        <f>'[4]Usulan 2021'!K690</f>
        <v>1685000</v>
      </c>
    </row>
    <row r="866" spans="2:16" x14ac:dyDescent="0.2">
      <c r="B866" s="604">
        <f t="shared" si="35"/>
        <v>75</v>
      </c>
      <c r="C866" s="614"/>
      <c r="D866" s="606" t="s">
        <v>1013</v>
      </c>
      <c r="E866" s="614"/>
      <c r="F866" s="614"/>
      <c r="G866" s="608" t="s">
        <v>268</v>
      </c>
      <c r="H866" s="614"/>
      <c r="I866" s="613">
        <f t="shared" si="36"/>
        <v>2809000</v>
      </c>
      <c r="J866" s="597"/>
      <c r="N866" s="603">
        <f>'[4]Usulan 2021'!I691</f>
        <v>2809000</v>
      </c>
      <c r="O866" s="603">
        <f>'[4]Usulan 2021'!J691</f>
        <v>2809000</v>
      </c>
      <c r="P866" s="603">
        <f>'[4]Usulan 2021'!K691</f>
        <v>2809000</v>
      </c>
    </row>
    <row r="867" spans="2:16" x14ac:dyDescent="0.2">
      <c r="B867" s="604">
        <f t="shared" si="35"/>
        <v>76</v>
      </c>
      <c r="C867" s="614"/>
      <c r="D867" s="606" t="s">
        <v>1014</v>
      </c>
      <c r="E867" s="614"/>
      <c r="F867" s="614"/>
      <c r="G867" s="608" t="s">
        <v>268</v>
      </c>
      <c r="H867" s="614"/>
      <c r="I867" s="613">
        <f t="shared" si="36"/>
        <v>3933000</v>
      </c>
      <c r="J867" s="597"/>
      <c r="N867" s="603">
        <f>'[4]Usulan 2021'!I692</f>
        <v>3933000</v>
      </c>
      <c r="O867" s="603">
        <f>'[4]Usulan 2021'!J692</f>
        <v>3933000</v>
      </c>
      <c r="P867" s="603">
        <f>'[4]Usulan 2021'!K692</f>
        <v>3933000</v>
      </c>
    </row>
    <row r="868" spans="2:16" x14ac:dyDescent="0.2">
      <c r="B868" s="604">
        <f t="shared" si="35"/>
        <v>77</v>
      </c>
      <c r="C868" s="614"/>
      <c r="D868" s="606" t="s">
        <v>1015</v>
      </c>
      <c r="E868" s="614"/>
      <c r="F868" s="614"/>
      <c r="G868" s="608" t="s">
        <v>268</v>
      </c>
      <c r="H868" s="614"/>
      <c r="I868" s="613">
        <f t="shared" si="36"/>
        <v>1123000</v>
      </c>
      <c r="J868" s="597"/>
      <c r="N868" s="603">
        <f>'[4]Usulan 2021'!I693</f>
        <v>1123000</v>
      </c>
      <c r="O868" s="603">
        <f>'[4]Usulan 2021'!J693</f>
        <v>1123000</v>
      </c>
      <c r="P868" s="603">
        <f>'[4]Usulan 2021'!K693</f>
        <v>1123000</v>
      </c>
    </row>
    <row r="869" spans="2:16" x14ac:dyDescent="0.2">
      <c r="B869" s="604">
        <f t="shared" si="35"/>
        <v>78</v>
      </c>
      <c r="C869" s="614"/>
      <c r="D869" s="606" t="s">
        <v>1016</v>
      </c>
      <c r="E869" s="614"/>
      <c r="F869" s="614"/>
      <c r="G869" s="608" t="s">
        <v>268</v>
      </c>
      <c r="H869" s="614"/>
      <c r="I869" s="613">
        <f t="shared" si="36"/>
        <v>2247000</v>
      </c>
      <c r="J869" s="597"/>
      <c r="N869" s="603">
        <f>'[4]Usulan 2021'!I694</f>
        <v>2247000</v>
      </c>
      <c r="O869" s="603">
        <f>'[4]Usulan 2021'!J694</f>
        <v>2247000</v>
      </c>
      <c r="P869" s="603">
        <f>'[4]Usulan 2021'!K694</f>
        <v>2247000</v>
      </c>
    </row>
    <row r="870" spans="2:16" x14ac:dyDescent="0.2">
      <c r="B870" s="604">
        <f t="shared" si="35"/>
        <v>79</v>
      </c>
      <c r="C870" s="614"/>
      <c r="D870" s="606" t="s">
        <v>1165</v>
      </c>
      <c r="E870" s="614"/>
      <c r="F870" s="614"/>
      <c r="G870" s="608" t="s">
        <v>309</v>
      </c>
      <c r="H870" s="614"/>
      <c r="I870" s="613">
        <f t="shared" si="36"/>
        <v>1685000</v>
      </c>
      <c r="J870" s="597"/>
      <c r="N870" s="603">
        <f>'[4]Usulan 2021'!I695</f>
        <v>1685000</v>
      </c>
      <c r="O870" s="603">
        <f>'[4]Usulan 2021'!J695</f>
        <v>1685000</v>
      </c>
      <c r="P870" s="603">
        <f>'[4]Usulan 2021'!K695</f>
        <v>1685000</v>
      </c>
    </row>
    <row r="871" spans="2:16" x14ac:dyDescent="0.2">
      <c r="B871" s="604">
        <f t="shared" si="35"/>
        <v>80</v>
      </c>
      <c r="C871" s="614"/>
      <c r="D871" s="606" t="s">
        <v>1017</v>
      </c>
      <c r="E871" s="614"/>
      <c r="F871" s="614"/>
      <c r="G871" s="608" t="s">
        <v>309</v>
      </c>
      <c r="H871" s="614"/>
      <c r="I871" s="613">
        <f t="shared" si="36"/>
        <v>5057000</v>
      </c>
      <c r="J871" s="597"/>
      <c r="N871" s="603">
        <f>'[4]Usulan 2021'!I696</f>
        <v>5057000</v>
      </c>
      <c r="O871" s="603">
        <f>'[4]Usulan 2021'!J696</f>
        <v>5057000</v>
      </c>
      <c r="P871" s="603">
        <f>'[4]Usulan 2021'!K696</f>
        <v>5057000</v>
      </c>
    </row>
    <row r="872" spans="2:16" x14ac:dyDescent="0.2">
      <c r="B872" s="604">
        <f t="shared" si="35"/>
        <v>81</v>
      </c>
      <c r="C872" s="614"/>
      <c r="D872" s="606" t="s">
        <v>1018</v>
      </c>
      <c r="E872" s="614"/>
      <c r="F872" s="614"/>
      <c r="G872" s="608" t="s">
        <v>268</v>
      </c>
      <c r="H872" s="614"/>
      <c r="I872" s="613">
        <f t="shared" si="36"/>
        <v>1123000</v>
      </c>
      <c r="J872" s="597"/>
      <c r="N872" s="603">
        <f>'[4]Usulan 2021'!I697</f>
        <v>1123000</v>
      </c>
      <c r="O872" s="603">
        <f>'[4]Usulan 2021'!J697</f>
        <v>1123000</v>
      </c>
      <c r="P872" s="603">
        <f>'[4]Usulan 2021'!K697</f>
        <v>1123000</v>
      </c>
    </row>
    <row r="873" spans="2:16" x14ac:dyDescent="0.2">
      <c r="B873" s="604">
        <f t="shared" si="35"/>
        <v>82</v>
      </c>
      <c r="C873" s="614"/>
      <c r="D873" s="606" t="s">
        <v>1019</v>
      </c>
      <c r="E873" s="614"/>
      <c r="F873" s="614"/>
      <c r="G873" s="608" t="s">
        <v>268</v>
      </c>
      <c r="H873" s="614"/>
      <c r="I873" s="613">
        <f t="shared" si="36"/>
        <v>561000</v>
      </c>
      <c r="J873" s="597"/>
      <c r="N873" s="603">
        <f>'[4]Usulan 2021'!I698</f>
        <v>561000</v>
      </c>
      <c r="O873" s="603">
        <f>'[4]Usulan 2021'!J698</f>
        <v>561000</v>
      </c>
      <c r="P873" s="603">
        <f>'[4]Usulan 2021'!K698</f>
        <v>561000</v>
      </c>
    </row>
    <row r="874" spans="2:16" x14ac:dyDescent="0.2">
      <c r="B874" s="604">
        <f t="shared" si="35"/>
        <v>83</v>
      </c>
      <c r="C874" s="614"/>
      <c r="D874" s="606" t="s">
        <v>1020</v>
      </c>
      <c r="E874" s="614"/>
      <c r="F874" s="614"/>
      <c r="G874" s="608" t="s">
        <v>275</v>
      </c>
      <c r="H874" s="614"/>
      <c r="I874" s="613">
        <f t="shared" si="36"/>
        <v>393000</v>
      </c>
      <c r="J874" s="597"/>
      <c r="N874" s="603">
        <f>'[4]Usulan 2021'!I699</f>
        <v>393000</v>
      </c>
      <c r="O874" s="603">
        <f>'[4]Usulan 2021'!J699</f>
        <v>393000</v>
      </c>
      <c r="P874" s="603">
        <f>'[4]Usulan 2021'!K699</f>
        <v>393000</v>
      </c>
    </row>
    <row r="875" spans="2:16" x14ac:dyDescent="0.2">
      <c r="B875" s="604">
        <f t="shared" si="35"/>
        <v>84</v>
      </c>
      <c r="C875" s="614"/>
      <c r="D875" s="606" t="s">
        <v>1021</v>
      </c>
      <c r="E875" s="614"/>
      <c r="F875" s="614"/>
      <c r="G875" s="608" t="s">
        <v>275</v>
      </c>
      <c r="H875" s="614"/>
      <c r="I875" s="613">
        <f t="shared" si="36"/>
        <v>108000</v>
      </c>
      <c r="J875" s="597"/>
      <c r="N875" s="603">
        <f>'[4]Usulan 2021'!I700</f>
        <v>108000</v>
      </c>
      <c r="O875" s="603">
        <f>'[4]Usulan 2021'!J700</f>
        <v>108000</v>
      </c>
      <c r="P875" s="603">
        <f>'[4]Usulan 2021'!K700</f>
        <v>108000</v>
      </c>
    </row>
    <row r="876" spans="2:16" x14ac:dyDescent="0.2">
      <c r="B876" s="604">
        <f t="shared" si="35"/>
        <v>85</v>
      </c>
      <c r="C876" s="614"/>
      <c r="D876" s="606" t="s">
        <v>1022</v>
      </c>
      <c r="E876" s="614"/>
      <c r="F876" s="614"/>
      <c r="G876" s="608" t="s">
        <v>275</v>
      </c>
      <c r="H876" s="614"/>
      <c r="I876" s="613">
        <f t="shared" si="36"/>
        <v>1180000</v>
      </c>
      <c r="J876" s="597"/>
      <c r="N876" s="603">
        <f>'[4]Usulan 2021'!I701</f>
        <v>1180000</v>
      </c>
      <c r="O876" s="603">
        <f>'[4]Usulan 2021'!J701</f>
        <v>1180000</v>
      </c>
      <c r="P876" s="603">
        <f>'[4]Usulan 2021'!K701</f>
        <v>1180000</v>
      </c>
    </row>
    <row r="877" spans="2:16" x14ac:dyDescent="0.2">
      <c r="B877" s="604">
        <f t="shared" si="35"/>
        <v>86</v>
      </c>
      <c r="C877" s="614"/>
      <c r="D877" s="606" t="s">
        <v>1023</v>
      </c>
      <c r="E877" s="614"/>
      <c r="F877" s="614"/>
      <c r="G877" s="608" t="s">
        <v>275</v>
      </c>
      <c r="H877" s="614"/>
      <c r="I877" s="613">
        <f t="shared" si="36"/>
        <v>618000</v>
      </c>
      <c r="J877" s="597"/>
      <c r="N877" s="603">
        <f>'[4]Usulan 2021'!I702</f>
        <v>618000</v>
      </c>
      <c r="O877" s="603">
        <f>'[4]Usulan 2021'!J702</f>
        <v>618000</v>
      </c>
      <c r="P877" s="603">
        <f>'[4]Usulan 2021'!K702</f>
        <v>618000</v>
      </c>
    </row>
    <row r="878" spans="2:16" x14ac:dyDescent="0.2">
      <c r="B878" s="604">
        <f t="shared" si="35"/>
        <v>87</v>
      </c>
      <c r="C878" s="614"/>
      <c r="D878" s="606" t="s">
        <v>1024</v>
      </c>
      <c r="E878" s="614"/>
      <c r="F878" s="614"/>
      <c r="G878" s="608" t="s">
        <v>275</v>
      </c>
      <c r="H878" s="614"/>
      <c r="I878" s="613">
        <f t="shared" si="36"/>
        <v>1123000</v>
      </c>
      <c r="J878" s="597"/>
      <c r="N878" s="603">
        <f>'[4]Usulan 2021'!I703</f>
        <v>1123000</v>
      </c>
      <c r="O878" s="603">
        <f>'[4]Usulan 2021'!J703</f>
        <v>1123000</v>
      </c>
      <c r="P878" s="603">
        <f>'[4]Usulan 2021'!K703</f>
        <v>1123000</v>
      </c>
    </row>
    <row r="879" spans="2:16" x14ac:dyDescent="0.2">
      <c r="B879" s="604">
        <f t="shared" si="35"/>
        <v>88</v>
      </c>
      <c r="C879" s="614"/>
      <c r="D879" s="606" t="s">
        <v>1025</v>
      </c>
      <c r="E879" s="614"/>
      <c r="F879" s="614"/>
      <c r="G879" s="608" t="s">
        <v>275</v>
      </c>
      <c r="H879" s="614"/>
      <c r="I879" s="613">
        <f t="shared" si="36"/>
        <v>561000</v>
      </c>
      <c r="J879" s="597"/>
      <c r="N879" s="603">
        <f>'[4]Usulan 2021'!I704</f>
        <v>561000</v>
      </c>
      <c r="O879" s="603">
        <f>'[4]Usulan 2021'!J704</f>
        <v>561000</v>
      </c>
      <c r="P879" s="603">
        <f>'[4]Usulan 2021'!K704</f>
        <v>561000</v>
      </c>
    </row>
    <row r="880" spans="2:16" x14ac:dyDescent="0.2">
      <c r="B880" s="168"/>
      <c r="D880" s="77"/>
      <c r="G880" s="157"/>
      <c r="I880" s="566"/>
      <c r="J880" s="597"/>
      <c r="N880" s="603">
        <f>'[4]Usulan 2021'!I705</f>
        <v>0</v>
      </c>
      <c r="O880" s="603">
        <f>'[4]Usulan 2021'!J705</f>
        <v>0</v>
      </c>
      <c r="P880" s="603">
        <f>'[4]Usulan 2021'!K705</f>
        <v>0</v>
      </c>
    </row>
    <row r="881" spans="2:16" x14ac:dyDescent="0.2">
      <c r="B881" s="83"/>
      <c r="D881" s="123" t="s">
        <v>1026</v>
      </c>
      <c r="G881" s="157"/>
      <c r="I881" s="566"/>
      <c r="J881" s="597"/>
      <c r="N881" s="603">
        <f>'[4]Usulan 2021'!I706</f>
        <v>0</v>
      </c>
      <c r="O881" s="603">
        <f>'[4]Usulan 2021'!J706</f>
        <v>0</v>
      </c>
      <c r="P881" s="603">
        <f>'[4]Usulan 2021'!K706</f>
        <v>0</v>
      </c>
    </row>
    <row r="882" spans="2:16" x14ac:dyDescent="0.2">
      <c r="B882" s="612">
        <v>1</v>
      </c>
      <c r="C882" s="614"/>
      <c r="D882" s="606" t="s">
        <v>1027</v>
      </c>
      <c r="E882" s="614"/>
      <c r="F882" s="614"/>
      <c r="G882" s="608" t="s">
        <v>268</v>
      </c>
      <c r="H882" s="614"/>
      <c r="I882" s="610">
        <f t="shared" si="36"/>
        <v>7305000</v>
      </c>
      <c r="J882" s="611"/>
      <c r="N882" s="603">
        <f>'[4]Usulan 2021'!I707</f>
        <v>7305000</v>
      </c>
      <c r="O882" s="603">
        <f>'[4]Usulan 2021'!J707</f>
        <v>7305000</v>
      </c>
      <c r="P882" s="603">
        <f>'[4]Usulan 2021'!K707</f>
        <v>7305000</v>
      </c>
    </row>
    <row r="883" spans="2:16" x14ac:dyDescent="0.2">
      <c r="B883" s="604">
        <f t="shared" ref="B883:B897" si="37">SUM(B882+1)</f>
        <v>2</v>
      </c>
      <c r="C883" s="614"/>
      <c r="D883" s="606" t="s">
        <v>1309</v>
      </c>
      <c r="E883" s="614"/>
      <c r="F883" s="614"/>
      <c r="G883" s="608" t="s">
        <v>268</v>
      </c>
      <c r="H883" s="614"/>
      <c r="I883" s="610">
        <f t="shared" si="36"/>
        <v>8670000</v>
      </c>
      <c r="J883" s="611"/>
      <c r="N883" s="603">
        <f>'[4]Usulan 2021'!I708</f>
        <v>8670000</v>
      </c>
      <c r="O883" s="603">
        <f>'[4]Usulan 2021'!J708</f>
        <v>8670000</v>
      </c>
      <c r="P883" s="603">
        <f>'[4]Usulan 2021'!K708</f>
        <v>8670000</v>
      </c>
    </row>
    <row r="884" spans="2:16" x14ac:dyDescent="0.2">
      <c r="B884" s="604">
        <f t="shared" si="37"/>
        <v>3</v>
      </c>
      <c r="C884" s="614"/>
      <c r="D884" s="606" t="s">
        <v>1310</v>
      </c>
      <c r="E884" s="614"/>
      <c r="F884" s="614"/>
      <c r="G884" s="608" t="s">
        <v>268</v>
      </c>
      <c r="H884" s="614"/>
      <c r="I884" s="610">
        <f t="shared" si="36"/>
        <v>8207000</v>
      </c>
      <c r="J884" s="611"/>
      <c r="N884" s="603">
        <f>'[4]Usulan 2021'!I709</f>
        <v>8207000</v>
      </c>
      <c r="O884" s="603">
        <f>'[4]Usulan 2021'!J709</f>
        <v>8207000</v>
      </c>
      <c r="P884" s="603">
        <f>'[4]Usulan 2021'!K709</f>
        <v>8207000</v>
      </c>
    </row>
    <row r="885" spans="2:16" x14ac:dyDescent="0.2">
      <c r="B885" s="604">
        <f t="shared" si="37"/>
        <v>4</v>
      </c>
      <c r="C885" s="614"/>
      <c r="D885" s="606" t="s">
        <v>1028</v>
      </c>
      <c r="E885" s="614"/>
      <c r="F885" s="614"/>
      <c r="G885" s="608" t="s">
        <v>268</v>
      </c>
      <c r="H885" s="614"/>
      <c r="I885" s="610">
        <f t="shared" si="36"/>
        <v>7866000</v>
      </c>
      <c r="J885" s="611"/>
      <c r="N885" s="603">
        <f>'[4]Usulan 2021'!I710</f>
        <v>7866000</v>
      </c>
      <c r="O885" s="603">
        <f>'[4]Usulan 2021'!J710</f>
        <v>7866000</v>
      </c>
      <c r="P885" s="603">
        <f>'[4]Usulan 2021'!K710</f>
        <v>7866000</v>
      </c>
    </row>
    <row r="886" spans="2:16" x14ac:dyDescent="0.2">
      <c r="B886" s="604">
        <f t="shared" si="37"/>
        <v>5</v>
      </c>
      <c r="C886" s="614"/>
      <c r="D886" s="606" t="s">
        <v>1311</v>
      </c>
      <c r="E886" s="614"/>
      <c r="F886" s="614"/>
      <c r="G886" s="608" t="s">
        <v>268</v>
      </c>
      <c r="H886" s="614"/>
      <c r="I886" s="610">
        <f t="shared" si="36"/>
        <v>7216000</v>
      </c>
      <c r="J886" s="611"/>
      <c r="N886" s="603">
        <f>'[4]Usulan 2021'!I711</f>
        <v>7216000</v>
      </c>
      <c r="O886" s="603">
        <f>'[4]Usulan 2021'!J711</f>
        <v>7216000</v>
      </c>
      <c r="P886" s="603">
        <f>'[4]Usulan 2021'!K711</f>
        <v>7216000</v>
      </c>
    </row>
    <row r="887" spans="2:16" x14ac:dyDescent="0.2">
      <c r="B887" s="604">
        <f t="shared" si="37"/>
        <v>6</v>
      </c>
      <c r="C887" s="614"/>
      <c r="D887" s="606" t="s">
        <v>1312</v>
      </c>
      <c r="E887" s="614"/>
      <c r="F887" s="614"/>
      <c r="G887" s="608" t="s">
        <v>268</v>
      </c>
      <c r="H887" s="614"/>
      <c r="I887" s="610">
        <f t="shared" si="36"/>
        <v>7808000</v>
      </c>
      <c r="J887" s="611"/>
      <c r="N887" s="603">
        <f>'[4]Usulan 2021'!I712</f>
        <v>7808000</v>
      </c>
      <c r="O887" s="603">
        <f>'[4]Usulan 2021'!J712</f>
        <v>7808000</v>
      </c>
      <c r="P887" s="603">
        <f>'[4]Usulan 2021'!K712</f>
        <v>7808000</v>
      </c>
    </row>
    <row r="888" spans="2:16" x14ac:dyDescent="0.2">
      <c r="B888" s="604">
        <f t="shared" si="37"/>
        <v>7</v>
      </c>
      <c r="C888" s="614"/>
      <c r="D888" s="606" t="s">
        <v>1029</v>
      </c>
      <c r="E888" s="614"/>
      <c r="F888" s="614"/>
      <c r="G888" s="608" t="s">
        <v>268</v>
      </c>
      <c r="H888" s="614"/>
      <c r="I888" s="610">
        <f t="shared" si="36"/>
        <v>9552000</v>
      </c>
      <c r="J888" s="611"/>
      <c r="N888" s="603">
        <f>'[4]Usulan 2021'!I713</f>
        <v>9552000</v>
      </c>
      <c r="O888" s="603">
        <f>'[4]Usulan 2021'!J713</f>
        <v>9552000</v>
      </c>
      <c r="P888" s="603">
        <f>'[4]Usulan 2021'!K713</f>
        <v>9552000</v>
      </c>
    </row>
    <row r="889" spans="2:16" x14ac:dyDescent="0.2">
      <c r="B889" s="604">
        <f t="shared" si="37"/>
        <v>8</v>
      </c>
      <c r="C889" s="614"/>
      <c r="D889" s="606" t="s">
        <v>1313</v>
      </c>
      <c r="E889" s="614"/>
      <c r="F889" s="614"/>
      <c r="G889" s="608" t="s">
        <v>268</v>
      </c>
      <c r="H889" s="614"/>
      <c r="I889" s="610">
        <f t="shared" si="36"/>
        <v>8078000</v>
      </c>
      <c r="J889" s="611"/>
      <c r="N889" s="603">
        <f>'[4]Usulan 2021'!I714</f>
        <v>8078000</v>
      </c>
      <c r="O889" s="603">
        <f>'[4]Usulan 2021'!J714</f>
        <v>8078000</v>
      </c>
      <c r="P889" s="603">
        <f>'[4]Usulan 2021'!K714</f>
        <v>8078000</v>
      </c>
    </row>
    <row r="890" spans="2:16" x14ac:dyDescent="0.2">
      <c r="B890" s="604">
        <f t="shared" si="37"/>
        <v>9</v>
      </c>
      <c r="C890" s="614"/>
      <c r="D890" s="606" t="s">
        <v>1314</v>
      </c>
      <c r="E890" s="614"/>
      <c r="F890" s="614"/>
      <c r="G890" s="608" t="s">
        <v>268</v>
      </c>
      <c r="H890" s="614"/>
      <c r="I890" s="610">
        <f t="shared" si="36"/>
        <v>10986000</v>
      </c>
      <c r="J890" s="611"/>
      <c r="N890" s="603">
        <f>'[4]Usulan 2021'!I715</f>
        <v>10986000</v>
      </c>
      <c r="O890" s="603">
        <f>'[4]Usulan 2021'!J715</f>
        <v>10986000</v>
      </c>
      <c r="P890" s="603">
        <f>'[4]Usulan 2021'!K715</f>
        <v>10986000</v>
      </c>
    </row>
    <row r="891" spans="2:16" x14ac:dyDescent="0.2">
      <c r="B891" s="604">
        <f t="shared" si="37"/>
        <v>10</v>
      </c>
      <c r="C891" s="614"/>
      <c r="D891" s="606" t="s">
        <v>1030</v>
      </c>
      <c r="E891" s="614"/>
      <c r="F891" s="614"/>
      <c r="G891" s="608" t="s">
        <v>268</v>
      </c>
      <c r="H891" s="614"/>
      <c r="I891" s="610">
        <f t="shared" si="36"/>
        <v>10114000</v>
      </c>
      <c r="J891" s="611"/>
      <c r="N891" s="603">
        <f>'[4]Usulan 2021'!I716</f>
        <v>10114000</v>
      </c>
      <c r="O891" s="603">
        <f>'[4]Usulan 2021'!J716</f>
        <v>10114000</v>
      </c>
      <c r="P891" s="603">
        <f>'[4]Usulan 2021'!K716</f>
        <v>10114000</v>
      </c>
    </row>
    <row r="892" spans="2:16" x14ac:dyDescent="0.2">
      <c r="B892" s="604">
        <f t="shared" si="37"/>
        <v>11</v>
      </c>
      <c r="C892" s="614"/>
      <c r="D892" s="606" t="s">
        <v>1315</v>
      </c>
      <c r="E892" s="614"/>
      <c r="F892" s="614"/>
      <c r="G892" s="608" t="s">
        <v>268</v>
      </c>
      <c r="H892" s="614"/>
      <c r="I892" s="610">
        <f t="shared" si="36"/>
        <v>9659000</v>
      </c>
      <c r="J892" s="611"/>
      <c r="N892" s="603">
        <f>'[4]Usulan 2021'!I717</f>
        <v>9659000</v>
      </c>
      <c r="O892" s="603">
        <f>'[4]Usulan 2021'!J717</f>
        <v>9659000</v>
      </c>
      <c r="P892" s="603">
        <f>'[4]Usulan 2021'!K717</f>
        <v>9659000</v>
      </c>
    </row>
    <row r="893" spans="2:16" x14ac:dyDescent="0.2">
      <c r="B893" s="604">
        <f t="shared" si="37"/>
        <v>12</v>
      </c>
      <c r="C893" s="614"/>
      <c r="D893" s="606" t="s">
        <v>1316</v>
      </c>
      <c r="E893" s="614"/>
      <c r="F893" s="614"/>
      <c r="G893" s="608" t="s">
        <v>268</v>
      </c>
      <c r="H893" s="614"/>
      <c r="I893" s="610">
        <f t="shared" si="36"/>
        <v>12332000</v>
      </c>
      <c r="J893" s="611"/>
      <c r="N893" s="603">
        <f>'[4]Usulan 2021'!I718</f>
        <v>12332000</v>
      </c>
      <c r="O893" s="603">
        <f>'[4]Usulan 2021'!J718</f>
        <v>12332000</v>
      </c>
      <c r="P893" s="603">
        <f>'[4]Usulan 2021'!K718</f>
        <v>12332000</v>
      </c>
    </row>
    <row r="894" spans="2:16" x14ac:dyDescent="0.2">
      <c r="B894" s="604">
        <f t="shared" si="37"/>
        <v>13</v>
      </c>
      <c r="C894" s="614"/>
      <c r="D894" s="606" t="s">
        <v>1031</v>
      </c>
      <c r="E894" s="614"/>
      <c r="F894" s="614"/>
      <c r="G894" s="608" t="s">
        <v>268</v>
      </c>
      <c r="H894" s="614"/>
      <c r="I894" s="610">
        <f t="shared" si="36"/>
        <v>11800000</v>
      </c>
      <c r="J894" s="611"/>
      <c r="N894" s="603">
        <f>'[4]Usulan 2021'!I719</f>
        <v>11800000</v>
      </c>
      <c r="O894" s="603">
        <f>'[4]Usulan 2021'!J719</f>
        <v>11800000</v>
      </c>
      <c r="P894" s="603">
        <f>'[4]Usulan 2021'!K719</f>
        <v>11800000</v>
      </c>
    </row>
    <row r="895" spans="2:16" x14ac:dyDescent="0.2">
      <c r="B895" s="604">
        <f t="shared" si="37"/>
        <v>14</v>
      </c>
      <c r="C895" s="614"/>
      <c r="D895" s="606" t="s">
        <v>1317</v>
      </c>
      <c r="E895" s="614"/>
      <c r="F895" s="614"/>
      <c r="G895" s="608" t="s">
        <v>268</v>
      </c>
      <c r="H895" s="614"/>
      <c r="I895" s="610">
        <f t="shared" si="36"/>
        <v>8401000</v>
      </c>
      <c r="J895" s="611"/>
      <c r="N895" s="603">
        <f>'[4]Usulan 2021'!I720</f>
        <v>8401000</v>
      </c>
      <c r="O895" s="603">
        <f>'[4]Usulan 2021'!J720</f>
        <v>8401000</v>
      </c>
      <c r="P895" s="603">
        <f>'[4]Usulan 2021'!K720</f>
        <v>8401000</v>
      </c>
    </row>
    <row r="896" spans="2:16" x14ac:dyDescent="0.2">
      <c r="B896" s="604">
        <f t="shared" si="37"/>
        <v>15</v>
      </c>
      <c r="C896" s="614"/>
      <c r="D896" s="606" t="s">
        <v>1318</v>
      </c>
      <c r="E896" s="614"/>
      <c r="F896" s="614"/>
      <c r="G896" s="608" t="s">
        <v>268</v>
      </c>
      <c r="H896" s="614"/>
      <c r="I896" s="610">
        <f t="shared" si="36"/>
        <v>8611000</v>
      </c>
      <c r="J896" s="611"/>
      <c r="N896" s="603">
        <f>'[4]Usulan 2021'!I721</f>
        <v>8611000</v>
      </c>
      <c r="O896" s="603">
        <f>'[4]Usulan 2021'!J721</f>
        <v>8611000</v>
      </c>
      <c r="P896" s="603">
        <f>'[4]Usulan 2021'!K721</f>
        <v>8611000</v>
      </c>
    </row>
    <row r="897" spans="2:16" x14ac:dyDescent="0.2">
      <c r="B897" s="604">
        <f t="shared" si="37"/>
        <v>16</v>
      </c>
      <c r="C897" s="614"/>
      <c r="D897" s="606" t="s">
        <v>1319</v>
      </c>
      <c r="E897" s="614"/>
      <c r="F897" s="614"/>
      <c r="G897" s="608" t="s">
        <v>268</v>
      </c>
      <c r="H897" s="614"/>
      <c r="I897" s="610">
        <f t="shared" si="36"/>
        <v>10878000</v>
      </c>
      <c r="J897" s="611"/>
      <c r="N897" s="603">
        <f>'[4]Usulan 2021'!I722</f>
        <v>10878000</v>
      </c>
      <c r="O897" s="603">
        <f>'[4]Usulan 2021'!J722</f>
        <v>10878000</v>
      </c>
      <c r="P897" s="603">
        <f>'[4]Usulan 2021'!K722</f>
        <v>10878000</v>
      </c>
    </row>
    <row r="898" spans="2:16" x14ac:dyDescent="0.2">
      <c r="B898" s="168"/>
      <c r="D898" s="77"/>
      <c r="G898" s="157"/>
      <c r="I898" s="566"/>
      <c r="J898" s="597"/>
      <c r="N898" s="603">
        <f>'[4]Usulan 2021'!I723</f>
        <v>0</v>
      </c>
      <c r="O898" s="603">
        <f>'[4]Usulan 2021'!J723</f>
        <v>0</v>
      </c>
      <c r="P898" s="603">
        <f>'[4]Usulan 2021'!K723</f>
        <v>0</v>
      </c>
    </row>
    <row r="899" spans="2:16" x14ac:dyDescent="0.2">
      <c r="B899" s="83"/>
      <c r="D899" s="123" t="s">
        <v>1032</v>
      </c>
      <c r="G899" s="157"/>
      <c r="I899" s="566"/>
      <c r="J899" s="597"/>
      <c r="N899" s="603">
        <f>'[4]Usulan 2021'!I724</f>
        <v>0</v>
      </c>
      <c r="O899" s="603">
        <f>'[4]Usulan 2021'!J724</f>
        <v>0</v>
      </c>
      <c r="P899" s="603">
        <f>'[4]Usulan 2021'!K724</f>
        <v>0</v>
      </c>
    </row>
    <row r="900" spans="2:16" x14ac:dyDescent="0.2">
      <c r="B900" s="612">
        <v>1</v>
      </c>
      <c r="C900" s="614"/>
      <c r="D900" s="606" t="s">
        <v>1033</v>
      </c>
      <c r="E900" s="614"/>
      <c r="F900" s="614"/>
      <c r="G900" s="608" t="s">
        <v>268</v>
      </c>
      <c r="H900" s="614"/>
      <c r="I900" s="610">
        <f t="shared" si="36"/>
        <v>1404000</v>
      </c>
      <c r="J900" s="611"/>
      <c r="N900" s="603">
        <f>'[4]Usulan 2021'!I725</f>
        <v>1404000</v>
      </c>
      <c r="O900" s="603">
        <f>'[4]Usulan 2021'!J725</f>
        <v>1404000</v>
      </c>
      <c r="P900" s="603">
        <f>'[4]Usulan 2021'!K725</f>
        <v>1404000</v>
      </c>
    </row>
    <row r="901" spans="2:16" x14ac:dyDescent="0.2">
      <c r="B901" s="604">
        <f>SUM(B900+1)</f>
        <v>2</v>
      </c>
      <c r="C901" s="614"/>
      <c r="D901" s="606" t="s">
        <v>1034</v>
      </c>
      <c r="E901" s="614"/>
      <c r="F901" s="614"/>
      <c r="G901" s="608" t="s">
        <v>268</v>
      </c>
      <c r="H901" s="614"/>
      <c r="I901" s="610">
        <f t="shared" si="36"/>
        <v>1685000</v>
      </c>
      <c r="J901" s="611"/>
      <c r="N901" s="603">
        <f>'[4]Usulan 2021'!I726</f>
        <v>1685000</v>
      </c>
      <c r="O901" s="603">
        <f>'[4]Usulan 2021'!J726</f>
        <v>1685000</v>
      </c>
      <c r="P901" s="603">
        <f>'[4]Usulan 2021'!K726</f>
        <v>1685000</v>
      </c>
    </row>
    <row r="902" spans="2:16" x14ac:dyDescent="0.2">
      <c r="B902" s="604">
        <f>SUM(B901+1)</f>
        <v>3</v>
      </c>
      <c r="C902" s="614"/>
      <c r="D902" s="606" t="s">
        <v>1035</v>
      </c>
      <c r="E902" s="614"/>
      <c r="F902" s="614"/>
      <c r="G902" s="608" t="s">
        <v>268</v>
      </c>
      <c r="H902" s="614"/>
      <c r="I902" s="610">
        <f t="shared" si="36"/>
        <v>1966000</v>
      </c>
      <c r="J902" s="611"/>
      <c r="N902" s="603">
        <f>'[4]Usulan 2021'!I727</f>
        <v>1966000</v>
      </c>
      <c r="O902" s="603">
        <f>'[4]Usulan 2021'!J727</f>
        <v>1966000</v>
      </c>
      <c r="P902" s="603">
        <f>'[4]Usulan 2021'!K727</f>
        <v>1966000</v>
      </c>
    </row>
    <row r="903" spans="2:16" x14ac:dyDescent="0.2">
      <c r="B903" s="168"/>
      <c r="D903" s="77"/>
      <c r="G903" s="157"/>
      <c r="I903" s="566"/>
      <c r="J903" s="597"/>
      <c r="N903" s="603"/>
      <c r="O903" s="603"/>
      <c r="P903" s="603"/>
    </row>
    <row r="904" spans="2:16" x14ac:dyDescent="0.2">
      <c r="B904" s="168"/>
      <c r="D904" s="123" t="s">
        <v>1320</v>
      </c>
      <c r="G904" s="157"/>
      <c r="I904" s="566"/>
      <c r="J904" s="597"/>
      <c r="N904" s="603"/>
      <c r="O904" s="603"/>
      <c r="P904" s="603"/>
    </row>
    <row r="905" spans="2:16" x14ac:dyDescent="0.2">
      <c r="B905" s="604">
        <v>1</v>
      </c>
      <c r="C905" s="614"/>
      <c r="D905" s="606" t="s">
        <v>1321</v>
      </c>
      <c r="E905" s="614"/>
      <c r="F905" s="614"/>
      <c r="G905" s="608"/>
      <c r="H905" s="614"/>
      <c r="I905" s="610">
        <f t="shared" si="36"/>
        <v>53569000</v>
      </c>
      <c r="J905" s="611"/>
      <c r="N905" s="603">
        <f>'[4]Usulan 2021'!I730</f>
        <v>53569000</v>
      </c>
      <c r="O905" s="603">
        <f>'[4]Usulan 2021'!J730</f>
        <v>53569000</v>
      </c>
      <c r="P905" s="603">
        <f>'[4]Usulan 2021'!K730</f>
        <v>53569000</v>
      </c>
    </row>
    <row r="906" spans="2:16" x14ac:dyDescent="0.2">
      <c r="B906" s="168"/>
      <c r="D906" s="77"/>
      <c r="G906" s="157"/>
      <c r="I906" s="566"/>
      <c r="J906" s="597"/>
      <c r="N906" s="603"/>
      <c r="O906" s="603"/>
      <c r="P906" s="603"/>
    </row>
    <row r="907" spans="2:16" x14ac:dyDescent="0.2">
      <c r="B907" s="83"/>
      <c r="D907" s="123" t="s">
        <v>1036</v>
      </c>
      <c r="G907" s="157"/>
      <c r="I907" s="566"/>
      <c r="J907" s="597"/>
      <c r="N907" s="603"/>
      <c r="O907" s="603"/>
      <c r="P907" s="603"/>
    </row>
    <row r="908" spans="2:16" x14ac:dyDescent="0.2">
      <c r="B908" s="612">
        <v>1</v>
      </c>
      <c r="C908" s="614"/>
      <c r="D908" s="606" t="s">
        <v>1037</v>
      </c>
      <c r="E908" s="614"/>
      <c r="F908" s="614"/>
      <c r="G908" s="608" t="s">
        <v>268</v>
      </c>
      <c r="H908" s="614"/>
      <c r="I908" s="610">
        <f t="shared" ref="I908:I971" si="38">N908</f>
        <v>56192000</v>
      </c>
      <c r="J908" s="611"/>
      <c r="N908" s="603">
        <f>'[4]Usulan 2021'!I733</f>
        <v>56192000</v>
      </c>
      <c r="O908" s="603">
        <f>'[4]Usulan 2021'!J733</f>
        <v>56192000</v>
      </c>
      <c r="P908" s="603">
        <f>'[4]Usulan 2021'!K733</f>
        <v>56192000</v>
      </c>
    </row>
    <row r="909" spans="2:16" x14ac:dyDescent="0.2">
      <c r="B909" s="604">
        <f>SUM(B908+1)</f>
        <v>2</v>
      </c>
      <c r="C909" s="614"/>
      <c r="D909" s="606" t="s">
        <v>1038</v>
      </c>
      <c r="E909" s="614"/>
      <c r="F909" s="614"/>
      <c r="G909" s="608" t="s">
        <v>268</v>
      </c>
      <c r="H909" s="614"/>
      <c r="I909" s="610">
        <f t="shared" si="38"/>
        <v>61812000</v>
      </c>
      <c r="J909" s="611"/>
      <c r="N909" s="603">
        <f>'[4]Usulan 2021'!I734</f>
        <v>61812000</v>
      </c>
      <c r="O909" s="603">
        <f>'[4]Usulan 2021'!J734</f>
        <v>61812000</v>
      </c>
      <c r="P909" s="603">
        <f>'[4]Usulan 2021'!K734</f>
        <v>61812000</v>
      </c>
    </row>
    <row r="910" spans="2:16" x14ac:dyDescent="0.2">
      <c r="B910" s="604">
        <f>SUM(B909+1)</f>
        <v>3</v>
      </c>
      <c r="C910" s="614"/>
      <c r="D910" s="606" t="s">
        <v>1039</v>
      </c>
      <c r="E910" s="614"/>
      <c r="F910" s="614"/>
      <c r="G910" s="608" t="s">
        <v>268</v>
      </c>
      <c r="H910" s="614"/>
      <c r="I910" s="610">
        <f t="shared" si="38"/>
        <v>78670000</v>
      </c>
      <c r="J910" s="611"/>
      <c r="N910" s="603">
        <f>'[4]Usulan 2021'!I735</f>
        <v>78670000</v>
      </c>
      <c r="O910" s="603">
        <f>'[4]Usulan 2021'!J735</f>
        <v>78670000</v>
      </c>
      <c r="P910" s="603">
        <f>'[4]Usulan 2021'!K735</f>
        <v>78670000</v>
      </c>
    </row>
    <row r="911" spans="2:16" x14ac:dyDescent="0.2">
      <c r="B911" s="604">
        <f>SUM(B910+1)</f>
        <v>4</v>
      </c>
      <c r="C911" s="614"/>
      <c r="D911" s="606" t="s">
        <v>1040</v>
      </c>
      <c r="E911" s="614"/>
      <c r="F911" s="614"/>
      <c r="G911" s="608" t="s">
        <v>268</v>
      </c>
      <c r="H911" s="614"/>
      <c r="I911" s="610">
        <f t="shared" si="38"/>
        <v>84289000</v>
      </c>
      <c r="J911" s="611"/>
      <c r="N911" s="603">
        <f>'[4]Usulan 2021'!I736</f>
        <v>84289000</v>
      </c>
      <c r="O911" s="603">
        <f>'[4]Usulan 2021'!J736</f>
        <v>84289000</v>
      </c>
      <c r="P911" s="603">
        <f>'[4]Usulan 2021'!K736</f>
        <v>84289000</v>
      </c>
    </row>
    <row r="912" spans="2:16" x14ac:dyDescent="0.2">
      <c r="B912" s="168"/>
      <c r="D912" s="77"/>
      <c r="G912" s="157"/>
      <c r="I912" s="566"/>
      <c r="J912" s="597"/>
      <c r="N912" s="603"/>
      <c r="O912" s="603"/>
      <c r="P912" s="603"/>
    </row>
    <row r="913" spans="2:16" x14ac:dyDescent="0.2">
      <c r="B913" s="83"/>
      <c r="D913" s="123" t="s">
        <v>1041</v>
      </c>
      <c r="G913" s="157"/>
      <c r="I913" s="566"/>
      <c r="J913" s="597"/>
      <c r="N913" s="603"/>
      <c r="O913" s="603"/>
      <c r="P913" s="603"/>
    </row>
    <row r="914" spans="2:16" x14ac:dyDescent="0.2">
      <c r="B914" s="612">
        <v>1</v>
      </c>
      <c r="C914" s="614"/>
      <c r="D914" s="606" t="s">
        <v>1042</v>
      </c>
      <c r="E914" s="614"/>
      <c r="F914" s="614"/>
      <c r="G914" s="608" t="s">
        <v>268</v>
      </c>
      <c r="H914" s="614"/>
      <c r="I914" s="613">
        <f t="shared" si="38"/>
        <v>67431000</v>
      </c>
      <c r="J914" s="611"/>
      <c r="N914" s="603">
        <f>'[4]Usulan 2021'!I739</f>
        <v>67431000</v>
      </c>
      <c r="O914" s="603">
        <f>'[4]Usulan 2021'!J739</f>
        <v>67431000</v>
      </c>
      <c r="P914" s="603">
        <f>'[4]Usulan 2021'!K739</f>
        <v>67431000</v>
      </c>
    </row>
    <row r="915" spans="2:16" x14ac:dyDescent="0.2">
      <c r="B915" s="604">
        <f>SUM(B914+1)</f>
        <v>2</v>
      </c>
      <c r="C915" s="614"/>
      <c r="D915" s="606" t="s">
        <v>1037</v>
      </c>
      <c r="E915" s="614"/>
      <c r="F915" s="614"/>
      <c r="G915" s="608" t="s">
        <v>268</v>
      </c>
      <c r="H915" s="614"/>
      <c r="I915" s="613">
        <f t="shared" si="38"/>
        <v>73050000</v>
      </c>
      <c r="J915" s="611"/>
      <c r="N915" s="603">
        <f>'[4]Usulan 2021'!I740</f>
        <v>73050000</v>
      </c>
      <c r="O915" s="603">
        <f>'[4]Usulan 2021'!J740</f>
        <v>73050000</v>
      </c>
      <c r="P915" s="603">
        <f>'[4]Usulan 2021'!K740</f>
        <v>73050000</v>
      </c>
    </row>
    <row r="916" spans="2:16" x14ac:dyDescent="0.2">
      <c r="B916" s="604">
        <f>SUM(B915+1)</f>
        <v>3</v>
      </c>
      <c r="C916" s="614"/>
      <c r="D916" s="606" t="s">
        <v>1043</v>
      </c>
      <c r="E916" s="614"/>
      <c r="F916" s="614"/>
      <c r="G916" s="608" t="s">
        <v>268</v>
      </c>
      <c r="H916" s="614"/>
      <c r="I916" s="613">
        <f t="shared" si="38"/>
        <v>78670000</v>
      </c>
      <c r="J916" s="611"/>
      <c r="N916" s="603">
        <f>'[4]Usulan 2021'!I741</f>
        <v>78670000</v>
      </c>
      <c r="O916" s="603">
        <f>'[4]Usulan 2021'!J741</f>
        <v>78670000</v>
      </c>
      <c r="P916" s="603">
        <f>'[4]Usulan 2021'!K741</f>
        <v>78670000</v>
      </c>
    </row>
    <row r="917" spans="2:16" x14ac:dyDescent="0.2">
      <c r="B917" s="604">
        <f>SUM(B916+1)</f>
        <v>4</v>
      </c>
      <c r="C917" s="614"/>
      <c r="D917" s="606" t="s">
        <v>1039</v>
      </c>
      <c r="E917" s="614"/>
      <c r="F917" s="614"/>
      <c r="G917" s="608" t="s">
        <v>268</v>
      </c>
      <c r="H917" s="614"/>
      <c r="I917" s="613">
        <f t="shared" si="38"/>
        <v>89908000</v>
      </c>
      <c r="J917" s="611"/>
      <c r="N917" s="603">
        <f>'[4]Usulan 2021'!I742</f>
        <v>89908000</v>
      </c>
      <c r="O917" s="603">
        <f>'[4]Usulan 2021'!J742</f>
        <v>89908000</v>
      </c>
      <c r="P917" s="603">
        <f>'[4]Usulan 2021'!K742</f>
        <v>89908000</v>
      </c>
    </row>
    <row r="918" spans="2:16" x14ac:dyDescent="0.2">
      <c r="B918" s="83"/>
      <c r="D918" s="77"/>
      <c r="G918" s="157"/>
      <c r="I918" s="566"/>
      <c r="J918" s="597"/>
      <c r="N918" s="603"/>
      <c r="O918" s="603"/>
      <c r="P918" s="603"/>
    </row>
    <row r="919" spans="2:16" x14ac:dyDescent="0.2">
      <c r="B919" s="83"/>
      <c r="D919" s="123" t="s">
        <v>1166</v>
      </c>
      <c r="G919" s="157"/>
      <c r="I919" s="566"/>
      <c r="J919" s="597"/>
      <c r="N919" s="603"/>
      <c r="O919" s="603"/>
      <c r="P919" s="603"/>
    </row>
    <row r="920" spans="2:16" x14ac:dyDescent="0.2">
      <c r="B920" s="83"/>
      <c r="D920" s="77"/>
      <c r="G920" s="2" t="s">
        <v>1060</v>
      </c>
      <c r="I920" s="566"/>
      <c r="J920" s="597"/>
      <c r="N920" s="603"/>
      <c r="O920" s="603"/>
      <c r="P920" s="603"/>
    </row>
    <row r="921" spans="2:16" x14ac:dyDescent="0.2">
      <c r="B921" s="612">
        <v>1</v>
      </c>
      <c r="C921" s="614"/>
      <c r="D921" s="606" t="s">
        <v>1167</v>
      </c>
      <c r="E921" s="614"/>
      <c r="F921" s="614"/>
      <c r="G921" s="608" t="s">
        <v>1168</v>
      </c>
      <c r="H921" s="614"/>
      <c r="I921" s="610">
        <f t="shared" si="38"/>
        <v>7404000</v>
      </c>
      <c r="J921" s="611"/>
      <c r="N921" s="603">
        <f>'[4]Usulan 2021'!I746</f>
        <v>7404000</v>
      </c>
      <c r="O921" s="603">
        <f>'[4]Usulan 2021'!J746</f>
        <v>7404000</v>
      </c>
      <c r="P921" s="603">
        <f>'[4]Usulan 2021'!K746</f>
        <v>7404000</v>
      </c>
    </row>
    <row r="922" spans="2:16" x14ac:dyDescent="0.2">
      <c r="B922" s="604">
        <f>SUM(B921+1)</f>
        <v>2</v>
      </c>
      <c r="C922" s="614"/>
      <c r="D922" s="606" t="s">
        <v>1169</v>
      </c>
      <c r="E922" s="614"/>
      <c r="F922" s="614"/>
      <c r="G922" s="608" t="s">
        <v>1170</v>
      </c>
      <c r="H922" s="614"/>
      <c r="I922" s="610">
        <f t="shared" si="38"/>
        <v>359000</v>
      </c>
      <c r="J922" s="611"/>
      <c r="N922" s="603">
        <f>'[4]Usulan 2021'!I747</f>
        <v>359000</v>
      </c>
      <c r="O922" s="603">
        <f>'[4]Usulan 2021'!J747</f>
        <v>359000</v>
      </c>
      <c r="P922" s="603">
        <f>'[4]Usulan 2021'!K747</f>
        <v>359000</v>
      </c>
    </row>
    <row r="923" spans="2:16" x14ac:dyDescent="0.2">
      <c r="B923" s="604">
        <f>SUM(B922+1)</f>
        <v>3</v>
      </c>
      <c r="C923" s="614"/>
      <c r="D923" s="606" t="s">
        <v>1171</v>
      </c>
      <c r="E923" s="614"/>
      <c r="F923" s="614"/>
      <c r="G923" s="608" t="s">
        <v>1172</v>
      </c>
      <c r="H923" s="614"/>
      <c r="I923" s="610">
        <f t="shared" si="38"/>
        <v>150000</v>
      </c>
      <c r="J923" s="611"/>
      <c r="N923" s="603">
        <f>'[4]Usulan 2021'!I748</f>
        <v>150000</v>
      </c>
      <c r="O923" s="603">
        <f>'[4]Usulan 2021'!J748</f>
        <v>150000</v>
      </c>
      <c r="P923" s="603">
        <f>'[4]Usulan 2021'!K748</f>
        <v>150000</v>
      </c>
    </row>
    <row r="924" spans="2:16" x14ac:dyDescent="0.2">
      <c r="B924" s="604">
        <f>SUM(B923+1)</f>
        <v>4</v>
      </c>
      <c r="C924" s="614"/>
      <c r="D924" s="606" t="s">
        <v>1173</v>
      </c>
      <c r="E924" s="614"/>
      <c r="F924" s="614"/>
      <c r="G924" s="608" t="s">
        <v>1062</v>
      </c>
      <c r="H924" s="614"/>
      <c r="I924" s="610">
        <f t="shared" si="38"/>
        <v>704000</v>
      </c>
      <c r="J924" s="611"/>
      <c r="N924" s="603">
        <f>'[4]Usulan 2021'!I749</f>
        <v>704000</v>
      </c>
      <c r="O924" s="603">
        <f>'[4]Usulan 2021'!J749</f>
        <v>704000</v>
      </c>
      <c r="P924" s="603">
        <f>'[4]Usulan 2021'!K749</f>
        <v>704000</v>
      </c>
    </row>
    <row r="925" spans="2:16" x14ac:dyDescent="0.2">
      <c r="B925" s="612">
        <f>SUM(B924+1)</f>
        <v>5</v>
      </c>
      <c r="C925" s="614"/>
      <c r="D925" s="606" t="s">
        <v>1174</v>
      </c>
      <c r="E925" s="614"/>
      <c r="F925" s="614"/>
      <c r="G925" s="608" t="s">
        <v>1175</v>
      </c>
      <c r="H925" s="614"/>
      <c r="I925" s="610">
        <f t="shared" si="38"/>
        <v>240000</v>
      </c>
      <c r="J925" s="611"/>
      <c r="N925" s="603">
        <f>'[4]Usulan 2021'!I750</f>
        <v>240000</v>
      </c>
      <c r="O925" s="603">
        <f>'[4]Usulan 2021'!J750</f>
        <v>240000</v>
      </c>
      <c r="P925" s="603">
        <f>'[4]Usulan 2021'!K750</f>
        <v>240000</v>
      </c>
    </row>
    <row r="926" spans="2:16" x14ac:dyDescent="0.2">
      <c r="B926" s="604">
        <f t="shared" ref="B926:B980" si="39">SUM(B925+1)</f>
        <v>6</v>
      </c>
      <c r="C926" s="614"/>
      <c r="D926" s="606" t="s">
        <v>1176</v>
      </c>
      <c r="E926" s="614"/>
      <c r="F926" s="614"/>
      <c r="G926" s="608" t="s">
        <v>1177</v>
      </c>
      <c r="H926" s="614"/>
      <c r="I926" s="610">
        <f t="shared" si="38"/>
        <v>69000</v>
      </c>
      <c r="J926" s="611"/>
      <c r="N926" s="603">
        <f>'[4]Usulan 2021'!I751</f>
        <v>69000</v>
      </c>
      <c r="O926" s="603">
        <f>'[4]Usulan 2021'!J751</f>
        <v>69000</v>
      </c>
      <c r="P926" s="603">
        <f>'[4]Usulan 2021'!K751</f>
        <v>69000</v>
      </c>
    </row>
    <row r="927" spans="2:16" x14ac:dyDescent="0.2">
      <c r="B927" s="604">
        <f t="shared" si="39"/>
        <v>7</v>
      </c>
      <c r="C927" s="614"/>
      <c r="D927" s="606" t="s">
        <v>1178</v>
      </c>
      <c r="E927" s="614"/>
      <c r="F927" s="614"/>
      <c r="G927" s="608" t="s">
        <v>1179</v>
      </c>
      <c r="H927" s="614"/>
      <c r="I927" s="610">
        <f t="shared" si="38"/>
        <v>531000</v>
      </c>
      <c r="J927" s="611"/>
      <c r="N927" s="603">
        <f>'[4]Usulan 2021'!I752</f>
        <v>531000</v>
      </c>
      <c r="O927" s="603">
        <f>'[4]Usulan 2021'!J752</f>
        <v>531000</v>
      </c>
      <c r="P927" s="603">
        <f>'[4]Usulan 2021'!K752</f>
        <v>531000</v>
      </c>
    </row>
    <row r="928" spans="2:16" x14ac:dyDescent="0.2">
      <c r="B928" s="604">
        <f t="shared" si="39"/>
        <v>8</v>
      </c>
      <c r="C928" s="614"/>
      <c r="D928" s="606" t="s">
        <v>1180</v>
      </c>
      <c r="E928" s="614"/>
      <c r="F928" s="614"/>
      <c r="G928" s="608" t="s">
        <v>1181</v>
      </c>
      <c r="H928" s="614"/>
      <c r="I928" s="610">
        <f t="shared" si="38"/>
        <v>359000</v>
      </c>
      <c r="J928" s="611"/>
      <c r="N928" s="603">
        <f>'[4]Usulan 2021'!I753</f>
        <v>359000</v>
      </c>
      <c r="O928" s="603">
        <f>'[4]Usulan 2021'!J753</f>
        <v>359000</v>
      </c>
      <c r="P928" s="603">
        <f>'[4]Usulan 2021'!K753</f>
        <v>359000</v>
      </c>
    </row>
    <row r="929" spans="2:16" x14ac:dyDescent="0.2">
      <c r="B929" s="604">
        <f t="shared" si="39"/>
        <v>9</v>
      </c>
      <c r="C929" s="614"/>
      <c r="D929" s="606" t="s">
        <v>1182</v>
      </c>
      <c r="E929" s="614"/>
      <c r="F929" s="614"/>
      <c r="G929" s="608" t="s">
        <v>1170</v>
      </c>
      <c r="H929" s="614"/>
      <c r="I929" s="610">
        <f t="shared" si="38"/>
        <v>678000</v>
      </c>
      <c r="J929" s="611"/>
      <c r="N929" s="603">
        <f>'[4]Usulan 2021'!I754</f>
        <v>678000</v>
      </c>
      <c r="O929" s="603">
        <f>'[4]Usulan 2021'!J754</f>
        <v>678000</v>
      </c>
      <c r="P929" s="603">
        <f>'[4]Usulan 2021'!K754</f>
        <v>678000</v>
      </c>
    </row>
    <row r="930" spans="2:16" x14ac:dyDescent="0.2">
      <c r="B930" s="604">
        <f t="shared" si="39"/>
        <v>10</v>
      </c>
      <c r="C930" s="614"/>
      <c r="D930" s="606" t="s">
        <v>1183</v>
      </c>
      <c r="E930" s="614"/>
      <c r="F930" s="614"/>
      <c r="G930" s="608" t="s">
        <v>1184</v>
      </c>
      <c r="H930" s="614"/>
      <c r="I930" s="610">
        <f t="shared" si="38"/>
        <v>558000</v>
      </c>
      <c r="J930" s="611"/>
      <c r="N930" s="603">
        <f>'[4]Usulan 2021'!I755</f>
        <v>558000</v>
      </c>
      <c r="O930" s="603">
        <f>'[4]Usulan 2021'!J755</f>
        <v>558000</v>
      </c>
      <c r="P930" s="603">
        <f>'[4]Usulan 2021'!K755</f>
        <v>558000</v>
      </c>
    </row>
    <row r="931" spans="2:16" x14ac:dyDescent="0.2">
      <c r="B931" s="604">
        <f t="shared" si="39"/>
        <v>11</v>
      </c>
      <c r="C931" s="614"/>
      <c r="D931" s="606" t="s">
        <v>1185</v>
      </c>
      <c r="E931" s="614"/>
      <c r="F931" s="614"/>
      <c r="G931" s="608" t="s">
        <v>1186</v>
      </c>
      <c r="H931" s="614"/>
      <c r="I931" s="610">
        <f t="shared" si="38"/>
        <v>605000</v>
      </c>
      <c r="J931" s="611"/>
      <c r="N931" s="603">
        <f>'[4]Usulan 2021'!I756</f>
        <v>605000</v>
      </c>
      <c r="O931" s="603">
        <f>'[4]Usulan 2021'!J756</f>
        <v>605000</v>
      </c>
      <c r="P931" s="603">
        <f>'[4]Usulan 2021'!K756</f>
        <v>605000</v>
      </c>
    </row>
    <row r="932" spans="2:16" x14ac:dyDescent="0.2">
      <c r="B932" s="604">
        <f t="shared" si="39"/>
        <v>12</v>
      </c>
      <c r="C932" s="614"/>
      <c r="D932" s="606" t="s">
        <v>1187</v>
      </c>
      <c r="E932" s="614"/>
      <c r="F932" s="614"/>
      <c r="G932" s="608" t="s">
        <v>1188</v>
      </c>
      <c r="H932" s="614"/>
      <c r="I932" s="610">
        <f t="shared" si="38"/>
        <v>652000</v>
      </c>
      <c r="J932" s="611"/>
      <c r="N932" s="603">
        <f>'[4]Usulan 2021'!I757</f>
        <v>652000</v>
      </c>
      <c r="O932" s="603">
        <f>'[4]Usulan 2021'!J757</f>
        <v>652000</v>
      </c>
      <c r="P932" s="603">
        <f>'[4]Usulan 2021'!K757</f>
        <v>652000</v>
      </c>
    </row>
    <row r="933" spans="2:16" x14ac:dyDescent="0.2">
      <c r="B933" s="604">
        <f t="shared" si="39"/>
        <v>13</v>
      </c>
      <c r="C933" s="614"/>
      <c r="D933" s="606" t="s">
        <v>1189</v>
      </c>
      <c r="E933" s="614"/>
      <c r="F933" s="614"/>
      <c r="G933" s="616">
        <v>10800</v>
      </c>
      <c r="H933" s="614"/>
      <c r="I933" s="610">
        <f t="shared" si="38"/>
        <v>623000</v>
      </c>
      <c r="J933" s="611"/>
      <c r="N933" s="603">
        <f>'[4]Usulan 2021'!I758</f>
        <v>623000</v>
      </c>
      <c r="O933" s="603">
        <f>'[4]Usulan 2021'!J758</f>
        <v>623000</v>
      </c>
      <c r="P933" s="603">
        <f>'[4]Usulan 2021'!K758</f>
        <v>623000</v>
      </c>
    </row>
    <row r="934" spans="2:16" x14ac:dyDescent="0.2">
      <c r="B934" s="604">
        <f t="shared" si="39"/>
        <v>14</v>
      </c>
      <c r="C934" s="614"/>
      <c r="D934" s="606" t="s">
        <v>1190</v>
      </c>
      <c r="E934" s="614"/>
      <c r="F934" s="614"/>
      <c r="G934" s="608" t="s">
        <v>1191</v>
      </c>
      <c r="H934" s="614"/>
      <c r="I934" s="610">
        <f t="shared" si="38"/>
        <v>295000</v>
      </c>
      <c r="J934" s="611"/>
      <c r="N934" s="603">
        <f>'[4]Usulan 2021'!I759</f>
        <v>295000</v>
      </c>
      <c r="O934" s="603">
        <f>'[4]Usulan 2021'!J759</f>
        <v>295000</v>
      </c>
      <c r="P934" s="603">
        <f>'[4]Usulan 2021'!K759</f>
        <v>295000</v>
      </c>
    </row>
    <row r="935" spans="2:16" x14ac:dyDescent="0.2">
      <c r="B935" s="604">
        <f t="shared" si="39"/>
        <v>15</v>
      </c>
      <c r="C935" s="614"/>
      <c r="D935" s="606" t="s">
        <v>1192</v>
      </c>
      <c r="E935" s="614"/>
      <c r="F935" s="614"/>
      <c r="G935" s="608" t="s">
        <v>1193</v>
      </c>
      <c r="H935" s="614"/>
      <c r="I935" s="610">
        <f t="shared" si="38"/>
        <v>460000</v>
      </c>
      <c r="J935" s="611"/>
      <c r="N935" s="603">
        <f>'[4]Usulan 2021'!I760</f>
        <v>460000</v>
      </c>
      <c r="O935" s="603">
        <f>'[4]Usulan 2021'!J760</f>
        <v>460000</v>
      </c>
      <c r="P935" s="603">
        <f>'[4]Usulan 2021'!K760</f>
        <v>460000</v>
      </c>
    </row>
    <row r="936" spans="2:16" x14ac:dyDescent="0.2">
      <c r="B936" s="604">
        <f t="shared" si="39"/>
        <v>16</v>
      </c>
      <c r="C936" s="614"/>
      <c r="D936" s="606" t="s">
        <v>1194</v>
      </c>
      <c r="E936" s="614"/>
      <c r="F936" s="614"/>
      <c r="G936" s="608" t="s">
        <v>1195</v>
      </c>
      <c r="H936" s="614"/>
      <c r="I936" s="610">
        <f t="shared" si="38"/>
        <v>238000</v>
      </c>
      <c r="J936" s="611"/>
      <c r="N936" s="603">
        <f>'[4]Usulan 2021'!I761</f>
        <v>238000</v>
      </c>
      <c r="O936" s="603">
        <f>'[4]Usulan 2021'!J761</f>
        <v>238000</v>
      </c>
      <c r="P936" s="603">
        <f>'[4]Usulan 2021'!K761</f>
        <v>238000</v>
      </c>
    </row>
    <row r="937" spans="2:16" x14ac:dyDescent="0.2">
      <c r="B937" s="604">
        <f t="shared" si="39"/>
        <v>17</v>
      </c>
      <c r="C937" s="614"/>
      <c r="D937" s="606" t="s">
        <v>1196</v>
      </c>
      <c r="E937" s="614"/>
      <c r="F937" s="614"/>
      <c r="G937" s="608" t="s">
        <v>1197</v>
      </c>
      <c r="H937" s="614"/>
      <c r="I937" s="610">
        <f t="shared" si="38"/>
        <v>393000</v>
      </c>
      <c r="J937" s="611"/>
      <c r="N937" s="603">
        <f>'[4]Usulan 2021'!I762</f>
        <v>393000</v>
      </c>
      <c r="O937" s="603">
        <f>'[4]Usulan 2021'!J762</f>
        <v>393000</v>
      </c>
      <c r="P937" s="603">
        <f>'[4]Usulan 2021'!K762</f>
        <v>393000</v>
      </c>
    </row>
    <row r="938" spans="2:16" x14ac:dyDescent="0.2">
      <c r="B938" s="604">
        <f t="shared" si="39"/>
        <v>18</v>
      </c>
      <c r="C938" s="614"/>
      <c r="D938" s="606" t="s">
        <v>1198</v>
      </c>
      <c r="E938" s="614"/>
      <c r="F938" s="614"/>
      <c r="G938" s="608" t="s">
        <v>1199</v>
      </c>
      <c r="H938" s="614"/>
      <c r="I938" s="610">
        <f t="shared" si="38"/>
        <v>436000</v>
      </c>
      <c r="J938" s="611"/>
      <c r="N938" s="603">
        <f>'[4]Usulan 2021'!I763</f>
        <v>436000</v>
      </c>
      <c r="O938" s="603">
        <f>'[4]Usulan 2021'!J763</f>
        <v>436000</v>
      </c>
      <c r="P938" s="603">
        <f>'[4]Usulan 2021'!K763</f>
        <v>436000</v>
      </c>
    </row>
    <row r="939" spans="2:16" x14ac:dyDescent="0.2">
      <c r="B939" s="604">
        <f t="shared" si="39"/>
        <v>19</v>
      </c>
      <c r="C939" s="614"/>
      <c r="D939" s="606" t="s">
        <v>1200</v>
      </c>
      <c r="E939" s="614"/>
      <c r="F939" s="614"/>
      <c r="G939" s="608" t="s">
        <v>1201</v>
      </c>
      <c r="H939" s="614"/>
      <c r="I939" s="610">
        <f t="shared" si="38"/>
        <v>360000</v>
      </c>
      <c r="J939" s="611"/>
      <c r="N939" s="603">
        <f>'[4]Usulan 2021'!I764</f>
        <v>360000</v>
      </c>
      <c r="O939" s="603">
        <f>'[4]Usulan 2021'!J764</f>
        <v>360000</v>
      </c>
      <c r="P939" s="603">
        <f>'[4]Usulan 2021'!K764</f>
        <v>360000</v>
      </c>
    </row>
    <row r="940" spans="2:16" x14ac:dyDescent="0.2">
      <c r="B940" s="604">
        <f t="shared" si="39"/>
        <v>20</v>
      </c>
      <c r="C940" s="614"/>
      <c r="D940" s="606" t="s">
        <v>1202</v>
      </c>
      <c r="E940" s="614"/>
      <c r="F940" s="614"/>
      <c r="G940" s="608" t="s">
        <v>1203</v>
      </c>
      <c r="H940" s="614"/>
      <c r="I940" s="610">
        <f t="shared" si="38"/>
        <v>46000</v>
      </c>
      <c r="J940" s="611"/>
      <c r="N940" s="603">
        <f>'[4]Usulan 2021'!I765</f>
        <v>46000</v>
      </c>
      <c r="O940" s="603">
        <f>'[4]Usulan 2021'!J765</f>
        <v>46000</v>
      </c>
      <c r="P940" s="603">
        <f>'[4]Usulan 2021'!K765</f>
        <v>46000</v>
      </c>
    </row>
    <row r="941" spans="2:16" x14ac:dyDescent="0.2">
      <c r="B941" s="604">
        <f t="shared" si="39"/>
        <v>21</v>
      </c>
      <c r="C941" s="614"/>
      <c r="D941" s="606" t="s">
        <v>1204</v>
      </c>
      <c r="E941" s="614"/>
      <c r="F941" s="614"/>
      <c r="G941" s="608" t="s">
        <v>1061</v>
      </c>
      <c r="H941" s="614"/>
      <c r="I941" s="610">
        <f t="shared" si="38"/>
        <v>1076000</v>
      </c>
      <c r="J941" s="611"/>
      <c r="N941" s="603">
        <f>'[4]Usulan 2021'!I766</f>
        <v>1076000</v>
      </c>
      <c r="O941" s="603">
        <f>'[4]Usulan 2021'!J766</f>
        <v>1076000</v>
      </c>
      <c r="P941" s="603">
        <f>'[4]Usulan 2021'!K766</f>
        <v>1076000</v>
      </c>
    </row>
    <row r="942" spans="2:16" x14ac:dyDescent="0.2">
      <c r="B942" s="604">
        <f t="shared" si="39"/>
        <v>22</v>
      </c>
      <c r="C942" s="614"/>
      <c r="D942" s="606" t="s">
        <v>1205</v>
      </c>
      <c r="E942" s="614"/>
      <c r="F942" s="614"/>
      <c r="G942" s="608" t="s">
        <v>1062</v>
      </c>
      <c r="H942" s="614"/>
      <c r="I942" s="610">
        <f t="shared" si="38"/>
        <v>51000</v>
      </c>
      <c r="J942" s="611"/>
      <c r="N942" s="603">
        <f>'[4]Usulan 2021'!I767</f>
        <v>51000</v>
      </c>
      <c r="O942" s="603">
        <f>'[4]Usulan 2021'!J767</f>
        <v>51000</v>
      </c>
      <c r="P942" s="603">
        <f>'[4]Usulan 2021'!K767</f>
        <v>51000</v>
      </c>
    </row>
    <row r="943" spans="2:16" x14ac:dyDescent="0.2">
      <c r="B943" s="604">
        <f t="shared" si="39"/>
        <v>23</v>
      </c>
      <c r="C943" s="614"/>
      <c r="D943" s="606" t="s">
        <v>1206</v>
      </c>
      <c r="E943" s="614"/>
      <c r="F943" s="614"/>
      <c r="G943" s="608" t="s">
        <v>1207</v>
      </c>
      <c r="H943" s="614"/>
      <c r="I943" s="610">
        <f t="shared" si="38"/>
        <v>193000</v>
      </c>
      <c r="J943" s="611"/>
      <c r="N943" s="603">
        <f>'[4]Usulan 2021'!I768</f>
        <v>193000</v>
      </c>
      <c r="O943" s="603">
        <f>'[4]Usulan 2021'!J768</f>
        <v>193000</v>
      </c>
      <c r="P943" s="603">
        <f>'[4]Usulan 2021'!K768</f>
        <v>193000</v>
      </c>
    </row>
    <row r="944" spans="2:16" x14ac:dyDescent="0.2">
      <c r="B944" s="604">
        <f t="shared" si="39"/>
        <v>24</v>
      </c>
      <c r="C944" s="614"/>
      <c r="D944" s="606" t="s">
        <v>1208</v>
      </c>
      <c r="E944" s="614"/>
      <c r="F944" s="614"/>
      <c r="G944" s="608" t="s">
        <v>1209</v>
      </c>
      <c r="H944" s="614"/>
      <c r="I944" s="610">
        <f t="shared" si="38"/>
        <v>115000</v>
      </c>
      <c r="J944" s="611"/>
      <c r="N944" s="603">
        <f>'[4]Usulan 2021'!I769</f>
        <v>115000</v>
      </c>
      <c r="O944" s="603">
        <f>'[4]Usulan 2021'!J769</f>
        <v>115000</v>
      </c>
      <c r="P944" s="603">
        <f>'[4]Usulan 2021'!K769</f>
        <v>115000</v>
      </c>
    </row>
    <row r="945" spans="2:16" x14ac:dyDescent="0.2">
      <c r="B945" s="604">
        <f t="shared" si="39"/>
        <v>25</v>
      </c>
      <c r="C945" s="614"/>
      <c r="D945" s="606" t="s">
        <v>1210</v>
      </c>
      <c r="E945" s="614"/>
      <c r="F945" s="614"/>
      <c r="G945" s="608" t="s">
        <v>1211</v>
      </c>
      <c r="H945" s="614"/>
      <c r="I945" s="610">
        <f t="shared" si="38"/>
        <v>46000</v>
      </c>
      <c r="J945" s="611"/>
      <c r="N945" s="603">
        <f>'[4]Usulan 2021'!I770</f>
        <v>46000</v>
      </c>
      <c r="O945" s="603">
        <f>'[4]Usulan 2021'!J770</f>
        <v>46000</v>
      </c>
      <c r="P945" s="603">
        <f>'[4]Usulan 2021'!K770</f>
        <v>46000</v>
      </c>
    </row>
    <row r="946" spans="2:16" x14ac:dyDescent="0.2">
      <c r="B946" s="604">
        <f t="shared" si="39"/>
        <v>26</v>
      </c>
      <c r="C946" s="614"/>
      <c r="D946" s="606" t="s">
        <v>1212</v>
      </c>
      <c r="E946" s="614"/>
      <c r="F946" s="614"/>
      <c r="G946" s="617">
        <v>1330</v>
      </c>
      <c r="H946" s="614"/>
      <c r="I946" s="610">
        <f t="shared" si="38"/>
        <v>59000</v>
      </c>
      <c r="J946" s="611"/>
      <c r="N946" s="603">
        <f>'[4]Usulan 2021'!I771</f>
        <v>59000</v>
      </c>
      <c r="O946" s="603">
        <f>'[4]Usulan 2021'!J771</f>
        <v>59000</v>
      </c>
      <c r="P946" s="603">
        <f>'[4]Usulan 2021'!K771</f>
        <v>59000</v>
      </c>
    </row>
    <row r="947" spans="2:16" x14ac:dyDescent="0.2">
      <c r="B947" s="604">
        <f t="shared" si="39"/>
        <v>27</v>
      </c>
      <c r="C947" s="614"/>
      <c r="D947" s="606" t="s">
        <v>1213</v>
      </c>
      <c r="E947" s="614"/>
      <c r="F947" s="614"/>
      <c r="G947" s="617">
        <v>2005</v>
      </c>
      <c r="H947" s="614"/>
      <c r="I947" s="610">
        <f t="shared" si="38"/>
        <v>1252000</v>
      </c>
      <c r="J947" s="611"/>
      <c r="N947" s="603">
        <f>'[4]Usulan 2021'!I772</f>
        <v>1252000</v>
      </c>
      <c r="O947" s="603">
        <f>'[4]Usulan 2021'!J772</f>
        <v>1252000</v>
      </c>
      <c r="P947" s="603">
        <f>'[4]Usulan 2021'!K772</f>
        <v>1252000</v>
      </c>
    </row>
    <row r="948" spans="2:16" x14ac:dyDescent="0.2">
      <c r="B948" s="604">
        <f t="shared" si="39"/>
        <v>28</v>
      </c>
      <c r="C948" s="614"/>
      <c r="D948" s="606" t="s">
        <v>1214</v>
      </c>
      <c r="E948" s="614"/>
      <c r="F948" s="614"/>
      <c r="G948" s="608" t="s">
        <v>1215</v>
      </c>
      <c r="H948" s="614"/>
      <c r="I948" s="610">
        <f t="shared" si="38"/>
        <v>402000</v>
      </c>
      <c r="J948" s="611"/>
      <c r="N948" s="603">
        <f>'[4]Usulan 2021'!I773</f>
        <v>402000</v>
      </c>
      <c r="O948" s="603">
        <f>'[4]Usulan 2021'!J773</f>
        <v>402000</v>
      </c>
      <c r="P948" s="603">
        <f>'[4]Usulan 2021'!K773</f>
        <v>402000</v>
      </c>
    </row>
    <row r="949" spans="2:16" x14ac:dyDescent="0.2">
      <c r="B949" s="604">
        <f t="shared" si="39"/>
        <v>29</v>
      </c>
      <c r="C949" s="614"/>
      <c r="D949" s="606" t="s">
        <v>1216</v>
      </c>
      <c r="E949" s="614"/>
      <c r="F949" s="614"/>
      <c r="G949" s="608" t="s">
        <v>1217</v>
      </c>
      <c r="H949" s="614"/>
      <c r="I949" s="610">
        <f t="shared" si="38"/>
        <v>606000</v>
      </c>
      <c r="J949" s="611"/>
      <c r="N949" s="603">
        <f>'[4]Usulan 2021'!I774</f>
        <v>606000</v>
      </c>
      <c r="O949" s="603">
        <f>'[4]Usulan 2021'!J774</f>
        <v>606000</v>
      </c>
      <c r="P949" s="603">
        <f>'[4]Usulan 2021'!K774</f>
        <v>606000</v>
      </c>
    </row>
    <row r="950" spans="2:16" x14ac:dyDescent="0.2">
      <c r="B950" s="604">
        <f t="shared" si="39"/>
        <v>30</v>
      </c>
      <c r="C950" s="614"/>
      <c r="D950" s="606" t="s">
        <v>1218</v>
      </c>
      <c r="E950" s="614"/>
      <c r="F950" s="614"/>
      <c r="G950" s="608" t="s">
        <v>1219</v>
      </c>
      <c r="H950" s="614"/>
      <c r="I950" s="610">
        <f t="shared" si="38"/>
        <v>139000</v>
      </c>
      <c r="J950" s="611"/>
      <c r="N950" s="603">
        <f>'[4]Usulan 2021'!I775</f>
        <v>139000</v>
      </c>
      <c r="O950" s="603">
        <f>'[4]Usulan 2021'!J775</f>
        <v>139000</v>
      </c>
      <c r="P950" s="603">
        <f>'[4]Usulan 2021'!K775</f>
        <v>139000</v>
      </c>
    </row>
    <row r="951" spans="2:16" x14ac:dyDescent="0.2">
      <c r="B951" s="604">
        <f t="shared" si="39"/>
        <v>31</v>
      </c>
      <c r="C951" s="614"/>
      <c r="D951" s="606" t="s">
        <v>1220</v>
      </c>
      <c r="E951" s="614"/>
      <c r="F951" s="614"/>
      <c r="G951" s="608" t="s">
        <v>1221</v>
      </c>
      <c r="H951" s="614"/>
      <c r="I951" s="610">
        <f t="shared" si="38"/>
        <v>601000</v>
      </c>
      <c r="J951" s="611"/>
      <c r="N951" s="603">
        <f>'[4]Usulan 2021'!I776</f>
        <v>601000</v>
      </c>
      <c r="O951" s="603">
        <f>'[4]Usulan 2021'!J776</f>
        <v>601000</v>
      </c>
      <c r="P951" s="603">
        <f>'[4]Usulan 2021'!K776</f>
        <v>601000</v>
      </c>
    </row>
    <row r="952" spans="2:16" x14ac:dyDescent="0.2">
      <c r="B952" s="604">
        <f t="shared" si="39"/>
        <v>32</v>
      </c>
      <c r="C952" s="614"/>
      <c r="D952" s="606" t="s">
        <v>1222</v>
      </c>
      <c r="E952" s="614"/>
      <c r="F952" s="614"/>
      <c r="G952" s="608" t="s">
        <v>1223</v>
      </c>
      <c r="H952" s="614"/>
      <c r="I952" s="610">
        <f t="shared" si="38"/>
        <v>146000</v>
      </c>
      <c r="J952" s="611"/>
      <c r="N952" s="603">
        <f>'[4]Usulan 2021'!I777</f>
        <v>146000</v>
      </c>
      <c r="O952" s="603">
        <f>'[4]Usulan 2021'!J777</f>
        <v>146000</v>
      </c>
      <c r="P952" s="603">
        <f>'[4]Usulan 2021'!K777</f>
        <v>146000</v>
      </c>
    </row>
    <row r="953" spans="2:16" x14ac:dyDescent="0.2">
      <c r="B953" s="604">
        <f t="shared" si="39"/>
        <v>33</v>
      </c>
      <c r="C953" s="614"/>
      <c r="D953" s="606" t="s">
        <v>1224</v>
      </c>
      <c r="E953" s="614"/>
      <c r="F953" s="614"/>
      <c r="G953" s="608" t="s">
        <v>1225</v>
      </c>
      <c r="H953" s="614"/>
      <c r="I953" s="610">
        <f t="shared" si="38"/>
        <v>2064000</v>
      </c>
      <c r="J953" s="611"/>
      <c r="N953" s="603">
        <f>'[4]Usulan 2021'!I778</f>
        <v>2064000</v>
      </c>
      <c r="O953" s="603">
        <f>'[4]Usulan 2021'!J778</f>
        <v>2064000</v>
      </c>
      <c r="P953" s="603">
        <f>'[4]Usulan 2021'!K778</f>
        <v>2064000</v>
      </c>
    </row>
    <row r="954" spans="2:16" x14ac:dyDescent="0.2">
      <c r="B954" s="604">
        <f t="shared" si="39"/>
        <v>34</v>
      </c>
      <c r="C954" s="614"/>
      <c r="D954" s="606" t="s">
        <v>1226</v>
      </c>
      <c r="E954" s="614"/>
      <c r="F954" s="614"/>
      <c r="G954" s="608" t="s">
        <v>1227</v>
      </c>
      <c r="H954" s="614"/>
      <c r="I954" s="610">
        <f t="shared" si="38"/>
        <v>106000</v>
      </c>
      <c r="J954" s="611"/>
      <c r="N954" s="603">
        <f>'[4]Usulan 2021'!I779</f>
        <v>106000</v>
      </c>
      <c r="O954" s="603">
        <f>'[4]Usulan 2021'!J779</f>
        <v>106000</v>
      </c>
      <c r="P954" s="603">
        <f>'[4]Usulan 2021'!K779</f>
        <v>106000</v>
      </c>
    </row>
    <row r="955" spans="2:16" x14ac:dyDescent="0.2">
      <c r="B955" s="604">
        <f t="shared" si="39"/>
        <v>35</v>
      </c>
      <c r="C955" s="614"/>
      <c r="D955" s="606" t="s">
        <v>1228</v>
      </c>
      <c r="E955" s="614"/>
      <c r="F955" s="614"/>
      <c r="G955" s="608" t="s">
        <v>1179</v>
      </c>
      <c r="H955" s="614"/>
      <c r="I955" s="610">
        <f t="shared" si="38"/>
        <v>694000</v>
      </c>
      <c r="J955" s="611"/>
      <c r="N955" s="603">
        <f>'[4]Usulan 2021'!I780</f>
        <v>694000</v>
      </c>
      <c r="O955" s="603">
        <f>'[4]Usulan 2021'!J780</f>
        <v>694000</v>
      </c>
      <c r="P955" s="603">
        <f>'[4]Usulan 2021'!K780</f>
        <v>694000</v>
      </c>
    </row>
    <row r="956" spans="2:16" x14ac:dyDescent="0.2">
      <c r="B956" s="604">
        <f t="shared" si="39"/>
        <v>36</v>
      </c>
      <c r="C956" s="614"/>
      <c r="D956" s="606" t="s">
        <v>1229</v>
      </c>
      <c r="E956" s="614"/>
      <c r="F956" s="614"/>
      <c r="G956" s="608" t="s">
        <v>805</v>
      </c>
      <c r="H956" s="614"/>
      <c r="I956" s="610">
        <f t="shared" si="38"/>
        <v>252000</v>
      </c>
      <c r="J956" s="611"/>
      <c r="N956" s="603">
        <f>'[4]Usulan 2021'!I781</f>
        <v>252000</v>
      </c>
      <c r="O956" s="603">
        <f>'[4]Usulan 2021'!J781</f>
        <v>252000</v>
      </c>
      <c r="P956" s="603">
        <f>'[4]Usulan 2021'!K781</f>
        <v>252000</v>
      </c>
    </row>
    <row r="957" spans="2:16" x14ac:dyDescent="0.2">
      <c r="B957" s="604">
        <f t="shared" si="39"/>
        <v>37</v>
      </c>
      <c r="C957" s="614"/>
      <c r="D957" s="606" t="s">
        <v>1230</v>
      </c>
      <c r="E957" s="614"/>
      <c r="F957" s="614"/>
      <c r="G957" s="608" t="s">
        <v>1231</v>
      </c>
      <c r="H957" s="614"/>
      <c r="I957" s="610">
        <f t="shared" si="38"/>
        <v>1625000</v>
      </c>
      <c r="J957" s="611"/>
      <c r="N957" s="603">
        <f>'[4]Usulan 2021'!I782</f>
        <v>1625000</v>
      </c>
      <c r="O957" s="603">
        <f>'[4]Usulan 2021'!J782</f>
        <v>1625000</v>
      </c>
      <c r="P957" s="603">
        <f>'[4]Usulan 2021'!K782</f>
        <v>1625000</v>
      </c>
    </row>
    <row r="958" spans="2:16" x14ac:dyDescent="0.2">
      <c r="B958" s="604">
        <f t="shared" si="39"/>
        <v>38</v>
      </c>
      <c r="C958" s="614"/>
      <c r="D958" s="606" t="s">
        <v>1232</v>
      </c>
      <c r="E958" s="614"/>
      <c r="F958" s="614"/>
      <c r="G958" s="608" t="s">
        <v>1233</v>
      </c>
      <c r="H958" s="614"/>
      <c r="I958" s="610">
        <f t="shared" si="38"/>
        <v>3461000</v>
      </c>
      <c r="J958" s="611"/>
      <c r="N958" s="603">
        <f>'[4]Usulan 2021'!I783</f>
        <v>3461000</v>
      </c>
      <c r="O958" s="603">
        <f>'[4]Usulan 2021'!J783</f>
        <v>3461000</v>
      </c>
      <c r="P958" s="603">
        <f>'[4]Usulan 2021'!K783</f>
        <v>3461000</v>
      </c>
    </row>
    <row r="959" spans="2:16" x14ac:dyDescent="0.2">
      <c r="B959" s="604">
        <f t="shared" si="39"/>
        <v>39</v>
      </c>
      <c r="C959" s="614"/>
      <c r="D959" s="606" t="s">
        <v>1234</v>
      </c>
      <c r="E959" s="614"/>
      <c r="F959" s="614"/>
      <c r="G959" s="608" t="s">
        <v>1235</v>
      </c>
      <c r="H959" s="614"/>
      <c r="I959" s="610">
        <f t="shared" si="38"/>
        <v>2055000</v>
      </c>
      <c r="J959" s="611"/>
      <c r="N959" s="603">
        <f>'[4]Usulan 2021'!I784</f>
        <v>2055000</v>
      </c>
      <c r="O959" s="603">
        <f>'[4]Usulan 2021'!J784</f>
        <v>2055000</v>
      </c>
      <c r="P959" s="603">
        <f>'[4]Usulan 2021'!K784</f>
        <v>2055000</v>
      </c>
    </row>
    <row r="960" spans="2:16" x14ac:dyDescent="0.2">
      <c r="B960" s="604">
        <f t="shared" si="39"/>
        <v>40</v>
      </c>
      <c r="C960" s="614"/>
      <c r="D960" s="606" t="s">
        <v>1236</v>
      </c>
      <c r="E960" s="614"/>
      <c r="F960" s="614"/>
      <c r="G960" s="608" t="s">
        <v>1237</v>
      </c>
      <c r="H960" s="614"/>
      <c r="I960" s="610">
        <f t="shared" si="38"/>
        <v>623000</v>
      </c>
      <c r="J960" s="611"/>
      <c r="N960" s="603">
        <f>'[4]Usulan 2021'!I785</f>
        <v>623000</v>
      </c>
      <c r="O960" s="603">
        <f>'[4]Usulan 2021'!J785</f>
        <v>623000</v>
      </c>
      <c r="P960" s="603">
        <f>'[4]Usulan 2021'!K785</f>
        <v>623000</v>
      </c>
    </row>
    <row r="961" spans="2:16" x14ac:dyDescent="0.2">
      <c r="B961" s="604">
        <f t="shared" si="39"/>
        <v>41</v>
      </c>
      <c r="C961" s="614"/>
      <c r="D961" s="606" t="s">
        <v>1238</v>
      </c>
      <c r="E961" s="614"/>
      <c r="F961" s="614"/>
      <c r="G961" s="608" t="s">
        <v>1207</v>
      </c>
      <c r="H961" s="614"/>
      <c r="I961" s="610">
        <f t="shared" si="38"/>
        <v>416000</v>
      </c>
      <c r="J961" s="611"/>
      <c r="N961" s="603">
        <f>'[4]Usulan 2021'!I786</f>
        <v>416000</v>
      </c>
      <c r="O961" s="603">
        <f>'[4]Usulan 2021'!J786</f>
        <v>416000</v>
      </c>
      <c r="P961" s="603">
        <f>'[4]Usulan 2021'!K786</f>
        <v>416000</v>
      </c>
    </row>
    <row r="962" spans="2:16" x14ac:dyDescent="0.2">
      <c r="B962" s="604">
        <f t="shared" si="39"/>
        <v>42</v>
      </c>
      <c r="C962" s="614"/>
      <c r="D962" s="606" t="s">
        <v>1239</v>
      </c>
      <c r="E962" s="614"/>
      <c r="F962" s="614"/>
      <c r="G962" s="608" t="s">
        <v>1240</v>
      </c>
      <c r="H962" s="614"/>
      <c r="I962" s="610">
        <f t="shared" si="38"/>
        <v>348000</v>
      </c>
      <c r="J962" s="611"/>
      <c r="N962" s="603">
        <f>'[4]Usulan 2021'!I787</f>
        <v>348000</v>
      </c>
      <c r="O962" s="603">
        <f>'[4]Usulan 2021'!J787</f>
        <v>348000</v>
      </c>
      <c r="P962" s="603">
        <f>'[4]Usulan 2021'!K787</f>
        <v>348000</v>
      </c>
    </row>
    <row r="963" spans="2:16" x14ac:dyDescent="0.2">
      <c r="B963" s="604">
        <f t="shared" si="39"/>
        <v>43</v>
      </c>
      <c r="C963" s="614"/>
      <c r="D963" s="606" t="s">
        <v>1241</v>
      </c>
      <c r="E963" s="614"/>
      <c r="F963" s="614"/>
      <c r="G963" s="608" t="s">
        <v>1242</v>
      </c>
      <c r="H963" s="614"/>
      <c r="I963" s="610">
        <f t="shared" si="38"/>
        <v>531000</v>
      </c>
      <c r="J963" s="611"/>
      <c r="N963" s="603">
        <f>'[4]Usulan 2021'!I788</f>
        <v>531000</v>
      </c>
      <c r="O963" s="603">
        <f>'[4]Usulan 2021'!J788</f>
        <v>531000</v>
      </c>
      <c r="P963" s="603">
        <f>'[4]Usulan 2021'!K788</f>
        <v>531000</v>
      </c>
    </row>
    <row r="964" spans="2:16" x14ac:dyDescent="0.2">
      <c r="B964" s="604">
        <f t="shared" si="39"/>
        <v>44</v>
      </c>
      <c r="C964" s="614"/>
      <c r="D964" s="606" t="s">
        <v>1243</v>
      </c>
      <c r="E964" s="614"/>
      <c r="F964" s="614"/>
      <c r="G964" s="608" t="s">
        <v>1244</v>
      </c>
      <c r="H964" s="614"/>
      <c r="I964" s="610">
        <f t="shared" si="38"/>
        <v>1024000</v>
      </c>
      <c r="J964" s="611"/>
      <c r="N964" s="603">
        <f>'[4]Usulan 2021'!I789</f>
        <v>1024000</v>
      </c>
      <c r="O964" s="603">
        <f>'[4]Usulan 2021'!J789</f>
        <v>1024000</v>
      </c>
      <c r="P964" s="603">
        <f>'[4]Usulan 2021'!K789</f>
        <v>1024000</v>
      </c>
    </row>
    <row r="965" spans="2:16" x14ac:dyDescent="0.2">
      <c r="B965" s="604">
        <f t="shared" si="39"/>
        <v>45</v>
      </c>
      <c r="C965" s="614"/>
      <c r="D965" s="606" t="s">
        <v>1245</v>
      </c>
      <c r="E965" s="614"/>
      <c r="F965" s="614"/>
      <c r="G965" s="608" t="s">
        <v>1246</v>
      </c>
      <c r="H965" s="614"/>
      <c r="I965" s="610">
        <f t="shared" si="38"/>
        <v>625000</v>
      </c>
      <c r="J965" s="611"/>
      <c r="N965" s="603">
        <f>'[4]Usulan 2021'!I790</f>
        <v>625000</v>
      </c>
      <c r="O965" s="603">
        <f>'[4]Usulan 2021'!J790</f>
        <v>625000</v>
      </c>
      <c r="P965" s="603">
        <f>'[4]Usulan 2021'!K790</f>
        <v>625000</v>
      </c>
    </row>
    <row r="966" spans="2:16" x14ac:dyDescent="0.2">
      <c r="B966" s="604">
        <f t="shared" si="39"/>
        <v>46</v>
      </c>
      <c r="C966" s="614"/>
      <c r="D966" s="606" t="s">
        <v>1247</v>
      </c>
      <c r="E966" s="614"/>
      <c r="F966" s="614"/>
      <c r="G966" s="608" t="s">
        <v>1246</v>
      </c>
      <c r="H966" s="614"/>
      <c r="I966" s="610">
        <f t="shared" si="38"/>
        <v>573000</v>
      </c>
      <c r="J966" s="611"/>
      <c r="N966" s="603">
        <f>'[4]Usulan 2021'!I791</f>
        <v>573000</v>
      </c>
      <c r="O966" s="603">
        <f>'[4]Usulan 2021'!J791</f>
        <v>573000</v>
      </c>
      <c r="P966" s="603">
        <f>'[4]Usulan 2021'!K791</f>
        <v>573000</v>
      </c>
    </row>
    <row r="967" spans="2:16" x14ac:dyDescent="0.2">
      <c r="B967" s="604">
        <f t="shared" si="39"/>
        <v>47</v>
      </c>
      <c r="C967" s="614"/>
      <c r="D967" s="606" t="s">
        <v>1248</v>
      </c>
      <c r="E967" s="614"/>
      <c r="F967" s="614"/>
      <c r="G967" s="608" t="s">
        <v>1249</v>
      </c>
      <c r="H967" s="614"/>
      <c r="I967" s="610">
        <f t="shared" si="38"/>
        <v>48000</v>
      </c>
      <c r="J967" s="611"/>
      <c r="N967" s="603">
        <f>'[4]Usulan 2021'!I792</f>
        <v>48000</v>
      </c>
      <c r="O967" s="603">
        <f>'[4]Usulan 2021'!J792</f>
        <v>48000</v>
      </c>
      <c r="P967" s="603">
        <f>'[4]Usulan 2021'!K792</f>
        <v>48000</v>
      </c>
    </row>
    <row r="968" spans="2:16" x14ac:dyDescent="0.2">
      <c r="B968" s="604">
        <f t="shared" si="39"/>
        <v>48</v>
      </c>
      <c r="C968" s="614"/>
      <c r="D968" s="606" t="s">
        <v>1250</v>
      </c>
      <c r="E968" s="614"/>
      <c r="F968" s="614"/>
      <c r="G968" s="608" t="s">
        <v>1251</v>
      </c>
      <c r="H968" s="614"/>
      <c r="I968" s="610">
        <f t="shared" si="38"/>
        <v>48000</v>
      </c>
      <c r="J968" s="611"/>
      <c r="N968" s="603">
        <f>'[4]Usulan 2021'!I793</f>
        <v>48000</v>
      </c>
      <c r="O968" s="603">
        <f>'[4]Usulan 2021'!J793</f>
        <v>48000</v>
      </c>
      <c r="P968" s="603">
        <f>'[4]Usulan 2021'!K793</f>
        <v>48000</v>
      </c>
    </row>
    <row r="969" spans="2:16" x14ac:dyDescent="0.2">
      <c r="B969" s="604">
        <f t="shared" si="39"/>
        <v>49</v>
      </c>
      <c r="C969" s="614"/>
      <c r="D969" s="606" t="s">
        <v>1252</v>
      </c>
      <c r="E969" s="614"/>
      <c r="F969" s="614"/>
      <c r="G969" s="608" t="s">
        <v>1253</v>
      </c>
      <c r="H969" s="614"/>
      <c r="I969" s="610">
        <f t="shared" si="38"/>
        <v>431000</v>
      </c>
      <c r="J969" s="611"/>
      <c r="N969" s="603">
        <f>'[4]Usulan 2021'!I794</f>
        <v>431000</v>
      </c>
      <c r="O969" s="603">
        <f>'[4]Usulan 2021'!J794</f>
        <v>431000</v>
      </c>
      <c r="P969" s="603">
        <f>'[4]Usulan 2021'!K794</f>
        <v>431000</v>
      </c>
    </row>
    <row r="970" spans="2:16" x14ac:dyDescent="0.2">
      <c r="B970" s="604">
        <f t="shared" si="39"/>
        <v>50</v>
      </c>
      <c r="C970" s="614"/>
      <c r="D970" s="606" t="s">
        <v>1224</v>
      </c>
      <c r="E970" s="614"/>
      <c r="F970" s="614"/>
      <c r="G970" s="608" t="s">
        <v>1254</v>
      </c>
      <c r="H970" s="614"/>
      <c r="I970" s="610">
        <f t="shared" si="38"/>
        <v>2557000</v>
      </c>
      <c r="J970" s="611"/>
      <c r="N970" s="603">
        <f>'[4]Usulan 2021'!I795</f>
        <v>2557000</v>
      </c>
      <c r="O970" s="603">
        <f>'[4]Usulan 2021'!J795</f>
        <v>2557000</v>
      </c>
      <c r="P970" s="603">
        <f>'[4]Usulan 2021'!K795</f>
        <v>2557000</v>
      </c>
    </row>
    <row r="971" spans="2:16" x14ac:dyDescent="0.2">
      <c r="B971" s="604">
        <f t="shared" si="39"/>
        <v>51</v>
      </c>
      <c r="C971" s="614"/>
      <c r="D971" s="606" t="s">
        <v>1255</v>
      </c>
      <c r="E971" s="614"/>
      <c r="F971" s="614"/>
      <c r="G971" s="608" t="s">
        <v>1256</v>
      </c>
      <c r="H971" s="614"/>
      <c r="I971" s="610">
        <f t="shared" si="38"/>
        <v>858000</v>
      </c>
      <c r="J971" s="611"/>
      <c r="N971" s="603">
        <f>'[4]Usulan 2021'!I796</f>
        <v>858000</v>
      </c>
      <c r="O971" s="603">
        <f>'[4]Usulan 2021'!J796</f>
        <v>858000</v>
      </c>
      <c r="P971" s="603">
        <f>'[4]Usulan 2021'!K796</f>
        <v>858000</v>
      </c>
    </row>
    <row r="972" spans="2:16" x14ac:dyDescent="0.2">
      <c r="B972" s="604">
        <f t="shared" si="39"/>
        <v>52</v>
      </c>
      <c r="C972" s="614"/>
      <c r="D972" s="606" t="s">
        <v>1257</v>
      </c>
      <c r="E972" s="614"/>
      <c r="F972" s="614"/>
      <c r="G972" s="608" t="s">
        <v>1258</v>
      </c>
      <c r="H972" s="614"/>
      <c r="I972" s="610">
        <f t="shared" ref="I972:I1006" si="40">N972</f>
        <v>219000</v>
      </c>
      <c r="J972" s="611"/>
      <c r="N972" s="603">
        <f>'[4]Usulan 2021'!I797</f>
        <v>219000</v>
      </c>
      <c r="O972" s="603">
        <f>'[4]Usulan 2021'!J797</f>
        <v>219000</v>
      </c>
      <c r="P972" s="603">
        <f>'[4]Usulan 2021'!K797</f>
        <v>219000</v>
      </c>
    </row>
    <row r="973" spans="2:16" x14ac:dyDescent="0.2">
      <c r="B973" s="604">
        <f t="shared" si="39"/>
        <v>53</v>
      </c>
      <c r="C973" s="614"/>
      <c r="D973" s="606" t="s">
        <v>1226</v>
      </c>
      <c r="E973" s="614"/>
      <c r="F973" s="614"/>
      <c r="G973" s="608" t="s">
        <v>1259</v>
      </c>
      <c r="H973" s="614"/>
      <c r="I973" s="610">
        <f t="shared" si="40"/>
        <v>205000</v>
      </c>
      <c r="J973" s="611"/>
      <c r="N973" s="603">
        <f>'[4]Usulan 2021'!I798</f>
        <v>205000</v>
      </c>
      <c r="O973" s="603">
        <f>'[4]Usulan 2021'!J798</f>
        <v>205000</v>
      </c>
      <c r="P973" s="603">
        <f>'[4]Usulan 2021'!K798</f>
        <v>205000</v>
      </c>
    </row>
    <row r="974" spans="2:16" x14ac:dyDescent="0.2">
      <c r="B974" s="604">
        <f t="shared" si="39"/>
        <v>54</v>
      </c>
      <c r="C974" s="614"/>
      <c r="D974" s="606" t="s">
        <v>1063</v>
      </c>
      <c r="E974" s="614"/>
      <c r="F974" s="614"/>
      <c r="G974" s="608"/>
      <c r="H974" s="614"/>
      <c r="I974" s="610">
        <f t="shared" si="40"/>
        <v>54000</v>
      </c>
      <c r="J974" s="611"/>
      <c r="N974" s="603">
        <f>'[4]Usulan 2021'!I799</f>
        <v>54000</v>
      </c>
      <c r="O974" s="603">
        <f>'[4]Usulan 2021'!J799</f>
        <v>54000</v>
      </c>
      <c r="P974" s="603">
        <f>'[4]Usulan 2021'!K799</f>
        <v>54000</v>
      </c>
    </row>
    <row r="975" spans="2:16" x14ac:dyDescent="0.2">
      <c r="B975" s="604">
        <f t="shared" si="39"/>
        <v>55</v>
      </c>
      <c r="C975" s="614"/>
      <c r="D975" s="606" t="s">
        <v>1260</v>
      </c>
      <c r="E975" s="614"/>
      <c r="F975" s="614"/>
      <c r="G975" s="608"/>
      <c r="H975" s="614"/>
      <c r="I975" s="610">
        <f t="shared" si="40"/>
        <v>69000</v>
      </c>
      <c r="J975" s="611"/>
      <c r="N975" s="603">
        <f>'[4]Usulan 2021'!I800</f>
        <v>69000</v>
      </c>
      <c r="O975" s="603">
        <f>'[4]Usulan 2021'!J800</f>
        <v>69000</v>
      </c>
      <c r="P975" s="603">
        <f>'[4]Usulan 2021'!K800</f>
        <v>69000</v>
      </c>
    </row>
    <row r="976" spans="2:16" x14ac:dyDescent="0.2">
      <c r="B976" s="604">
        <f t="shared" si="39"/>
        <v>56</v>
      </c>
      <c r="C976" s="614"/>
      <c r="D976" s="606" t="s">
        <v>1261</v>
      </c>
      <c r="E976" s="614"/>
      <c r="F976" s="614"/>
      <c r="G976" s="608"/>
      <c r="H976" s="614"/>
      <c r="I976" s="610">
        <f t="shared" si="40"/>
        <v>798000</v>
      </c>
      <c r="J976" s="611"/>
      <c r="N976" s="603">
        <f>'[4]Usulan 2021'!I801</f>
        <v>798000</v>
      </c>
      <c r="O976" s="603">
        <f>'[4]Usulan 2021'!J801</f>
        <v>798000</v>
      </c>
      <c r="P976" s="603">
        <f>'[4]Usulan 2021'!K801</f>
        <v>798000</v>
      </c>
    </row>
    <row r="977" spans="2:16" x14ac:dyDescent="0.2">
      <c r="B977" s="604">
        <f t="shared" si="39"/>
        <v>57</v>
      </c>
      <c r="C977" s="614"/>
      <c r="D977" s="606" t="s">
        <v>1262</v>
      </c>
      <c r="E977" s="614"/>
      <c r="F977" s="614"/>
      <c r="G977" s="608"/>
      <c r="H977" s="614"/>
      <c r="I977" s="610">
        <f t="shared" si="40"/>
        <v>414000</v>
      </c>
      <c r="J977" s="611"/>
      <c r="N977" s="603">
        <f>'[4]Usulan 2021'!I802</f>
        <v>414000</v>
      </c>
      <c r="O977" s="603">
        <f>'[4]Usulan 2021'!J802</f>
        <v>414000</v>
      </c>
      <c r="P977" s="603">
        <f>'[4]Usulan 2021'!K802</f>
        <v>414000</v>
      </c>
    </row>
    <row r="978" spans="2:16" x14ac:dyDescent="0.2">
      <c r="B978" s="604">
        <f t="shared" si="39"/>
        <v>58</v>
      </c>
      <c r="C978" s="614"/>
      <c r="D978" s="606" t="s">
        <v>1263</v>
      </c>
      <c r="E978" s="614"/>
      <c r="F978" s="614"/>
      <c r="G978" s="608"/>
      <c r="H978" s="614"/>
      <c r="I978" s="610">
        <f t="shared" si="40"/>
        <v>477000</v>
      </c>
      <c r="J978" s="611"/>
      <c r="N978" s="603">
        <f>'[4]Usulan 2021'!I803</f>
        <v>477000</v>
      </c>
      <c r="O978" s="603">
        <f>'[4]Usulan 2021'!J803</f>
        <v>477000</v>
      </c>
      <c r="P978" s="603">
        <f>'[4]Usulan 2021'!K803</f>
        <v>477000</v>
      </c>
    </row>
    <row r="979" spans="2:16" x14ac:dyDescent="0.2">
      <c r="B979" s="604">
        <f t="shared" si="39"/>
        <v>59</v>
      </c>
      <c r="C979" s="614"/>
      <c r="D979" s="606" t="s">
        <v>1264</v>
      </c>
      <c r="E979" s="614"/>
      <c r="F979" s="614"/>
      <c r="G979" s="608"/>
      <c r="H979" s="614"/>
      <c r="I979" s="610">
        <f t="shared" si="40"/>
        <v>494000</v>
      </c>
      <c r="J979" s="611"/>
      <c r="N979" s="603">
        <f>'[4]Usulan 2021'!I804</f>
        <v>494000</v>
      </c>
      <c r="O979" s="603">
        <f>'[4]Usulan 2021'!J804</f>
        <v>494000</v>
      </c>
      <c r="P979" s="603">
        <f>'[4]Usulan 2021'!K804</f>
        <v>494000</v>
      </c>
    </row>
    <row r="980" spans="2:16" x14ac:dyDescent="0.2">
      <c r="B980" s="604">
        <f t="shared" si="39"/>
        <v>60</v>
      </c>
      <c r="C980" s="614"/>
      <c r="D980" s="606" t="s">
        <v>1265</v>
      </c>
      <c r="E980" s="614"/>
      <c r="F980" s="614"/>
      <c r="G980" s="608"/>
      <c r="H980" s="614"/>
      <c r="I980" s="610">
        <f t="shared" si="40"/>
        <v>986000</v>
      </c>
      <c r="J980" s="611"/>
      <c r="N980" s="603">
        <f>'[4]Usulan 2021'!I805</f>
        <v>986000</v>
      </c>
      <c r="O980" s="603">
        <f>'[4]Usulan 2021'!J805</f>
        <v>986000</v>
      </c>
      <c r="P980" s="603">
        <f>'[4]Usulan 2021'!K805</f>
        <v>986000</v>
      </c>
    </row>
    <row r="981" spans="2:16" x14ac:dyDescent="0.2">
      <c r="B981" s="618"/>
      <c r="C981" s="619"/>
      <c r="D981" s="620"/>
      <c r="E981" s="619"/>
      <c r="F981" s="619"/>
      <c r="G981" s="621"/>
      <c r="H981" s="619"/>
      <c r="I981" s="622"/>
      <c r="J981" s="574"/>
      <c r="N981" s="603"/>
      <c r="O981" s="603"/>
      <c r="P981" s="603"/>
    </row>
    <row r="982" spans="2:16" x14ac:dyDescent="0.2">
      <c r="B982" s="125"/>
      <c r="C982" s="623"/>
      <c r="D982" s="624" t="s">
        <v>1322</v>
      </c>
      <c r="E982" s="623"/>
      <c r="F982" s="623"/>
      <c r="G982" s="600"/>
      <c r="H982" s="623"/>
      <c r="I982" s="602"/>
      <c r="J982" s="278"/>
      <c r="N982" s="603"/>
      <c r="O982" s="603"/>
      <c r="P982" s="603"/>
    </row>
    <row r="983" spans="2:16" x14ac:dyDescent="0.2">
      <c r="B983" s="604">
        <f t="shared" ref="B983:B1006" si="41">SUM(B982+1)</f>
        <v>1</v>
      </c>
      <c r="C983" s="614"/>
      <c r="D983" s="606" t="s">
        <v>1323</v>
      </c>
      <c r="E983" s="614"/>
      <c r="F983" s="614"/>
      <c r="G983" s="608" t="s">
        <v>240</v>
      </c>
      <c r="H983" s="614"/>
      <c r="I983" s="610">
        <f t="shared" si="40"/>
        <v>21000</v>
      </c>
      <c r="J983" s="611"/>
      <c r="N983" s="603">
        <f>'[4]Usulan 2021'!I808</f>
        <v>21000</v>
      </c>
      <c r="O983" s="603">
        <f>'[4]Usulan 2021'!J808</f>
        <v>21000</v>
      </c>
      <c r="P983" s="603">
        <f>'[4]Usulan 2021'!K808</f>
        <v>21000</v>
      </c>
    </row>
    <row r="984" spans="2:16" x14ac:dyDescent="0.2">
      <c r="B984" s="604">
        <f t="shared" si="41"/>
        <v>2</v>
      </c>
      <c r="C984" s="614"/>
      <c r="D984" s="606" t="s">
        <v>1324</v>
      </c>
      <c r="E984" s="614"/>
      <c r="F984" s="614"/>
      <c r="G984" s="608" t="s">
        <v>240</v>
      </c>
      <c r="H984" s="614"/>
      <c r="I984" s="610">
        <f t="shared" si="40"/>
        <v>16000</v>
      </c>
      <c r="J984" s="611"/>
      <c r="N984" s="603">
        <f>'[4]Usulan 2021'!I809</f>
        <v>16000</v>
      </c>
      <c r="O984" s="603">
        <f>'[4]Usulan 2021'!J809</f>
        <v>16000</v>
      </c>
      <c r="P984" s="603">
        <f>'[4]Usulan 2021'!K809</f>
        <v>16000</v>
      </c>
    </row>
    <row r="985" spans="2:16" x14ac:dyDescent="0.2">
      <c r="B985" s="604">
        <f t="shared" si="41"/>
        <v>3</v>
      </c>
      <c r="C985" s="614"/>
      <c r="D985" s="606" t="s">
        <v>1325</v>
      </c>
      <c r="E985" s="614"/>
      <c r="F985" s="614"/>
      <c r="G985" s="608" t="s">
        <v>240</v>
      </c>
      <c r="H985" s="614"/>
      <c r="I985" s="610">
        <f t="shared" si="40"/>
        <v>13000</v>
      </c>
      <c r="J985" s="611"/>
      <c r="N985" s="603">
        <f>'[4]Usulan 2021'!I810</f>
        <v>13000</v>
      </c>
      <c r="O985" s="603">
        <f>'[4]Usulan 2021'!J810</f>
        <v>13000</v>
      </c>
      <c r="P985" s="603">
        <f>'[4]Usulan 2021'!K810</f>
        <v>13000</v>
      </c>
    </row>
    <row r="986" spans="2:16" x14ac:dyDescent="0.2">
      <c r="B986" s="604">
        <f t="shared" si="41"/>
        <v>4</v>
      </c>
      <c r="C986" s="614"/>
      <c r="D986" s="606" t="s">
        <v>1326</v>
      </c>
      <c r="E986" s="614"/>
      <c r="F986" s="614"/>
      <c r="G986" s="608" t="s">
        <v>240</v>
      </c>
      <c r="H986" s="614"/>
      <c r="I986" s="610">
        <f t="shared" si="40"/>
        <v>54000</v>
      </c>
      <c r="J986" s="611"/>
      <c r="N986" s="603">
        <f>'[4]Usulan 2021'!I811</f>
        <v>54000</v>
      </c>
      <c r="O986" s="603">
        <f>'[4]Usulan 2021'!J811</f>
        <v>54000</v>
      </c>
      <c r="P986" s="603">
        <f>'[4]Usulan 2021'!K811</f>
        <v>54000</v>
      </c>
    </row>
    <row r="987" spans="2:16" x14ac:dyDescent="0.2">
      <c r="B987" s="604">
        <f t="shared" si="41"/>
        <v>5</v>
      </c>
      <c r="C987" s="614"/>
      <c r="D987" s="606" t="s">
        <v>1327</v>
      </c>
      <c r="E987" s="614"/>
      <c r="F987" s="614"/>
      <c r="G987" s="608" t="s">
        <v>240</v>
      </c>
      <c r="H987" s="614"/>
      <c r="I987" s="610">
        <f t="shared" si="40"/>
        <v>108000</v>
      </c>
      <c r="J987" s="611"/>
      <c r="N987" s="603">
        <f>'[4]Usulan 2021'!I819</f>
        <v>108000</v>
      </c>
      <c r="O987" s="603">
        <f>'[4]Usulan 2021'!J819</f>
        <v>108000</v>
      </c>
      <c r="P987" s="603">
        <f>'[4]Usulan 2021'!K819</f>
        <v>108000</v>
      </c>
    </row>
    <row r="988" spans="2:16" x14ac:dyDescent="0.2">
      <c r="B988" s="604">
        <f t="shared" si="41"/>
        <v>6</v>
      </c>
      <c r="C988" s="614"/>
      <c r="D988" s="606" t="s">
        <v>1328</v>
      </c>
      <c r="E988" s="614"/>
      <c r="F988" s="614"/>
      <c r="G988" s="608" t="s">
        <v>240</v>
      </c>
      <c r="H988" s="614"/>
      <c r="I988" s="610">
        <f t="shared" si="40"/>
        <v>81000</v>
      </c>
      <c r="J988" s="611"/>
      <c r="N988" s="603">
        <f>'[4]Usulan 2021'!I828</f>
        <v>81000</v>
      </c>
      <c r="O988" s="603">
        <f>'[4]Usulan 2021'!J828</f>
        <v>81000</v>
      </c>
      <c r="P988" s="603">
        <f>'[4]Usulan 2021'!K828</f>
        <v>81000</v>
      </c>
    </row>
    <row r="989" spans="2:16" x14ac:dyDescent="0.2">
      <c r="B989" s="604">
        <f t="shared" si="41"/>
        <v>7</v>
      </c>
      <c r="C989" s="614"/>
      <c r="D989" s="606" t="s">
        <v>1329</v>
      </c>
      <c r="E989" s="614"/>
      <c r="F989" s="614"/>
      <c r="G989" s="608" t="s">
        <v>240</v>
      </c>
      <c r="H989" s="614"/>
      <c r="I989" s="610">
        <f t="shared" si="40"/>
        <v>86000</v>
      </c>
      <c r="J989" s="611"/>
      <c r="N989" s="603">
        <f>'[4]Usulan 2021'!I822</f>
        <v>86000</v>
      </c>
      <c r="O989" s="603">
        <f>'[4]Usulan 2021'!J822</f>
        <v>86000</v>
      </c>
      <c r="P989" s="603">
        <f>'[4]Usulan 2021'!K822</f>
        <v>86000</v>
      </c>
    </row>
    <row r="990" spans="2:16" x14ac:dyDescent="0.2">
      <c r="B990" s="604">
        <f t="shared" si="41"/>
        <v>8</v>
      </c>
      <c r="C990" s="614"/>
      <c r="D990" s="606" t="s">
        <v>1330</v>
      </c>
      <c r="E990" s="614"/>
      <c r="F990" s="614"/>
      <c r="G990" s="608" t="s">
        <v>240</v>
      </c>
      <c r="H990" s="614"/>
      <c r="I990" s="610">
        <f t="shared" si="40"/>
        <v>13000</v>
      </c>
      <c r="J990" s="611"/>
      <c r="N990" s="603">
        <f>'[4]Usulan 2021'!I830</f>
        <v>13000</v>
      </c>
      <c r="O990" s="603">
        <f>'[4]Usulan 2021'!J830</f>
        <v>13000</v>
      </c>
      <c r="P990" s="603">
        <f>'[4]Usulan 2021'!K830</f>
        <v>13000</v>
      </c>
    </row>
    <row r="991" spans="2:16" x14ac:dyDescent="0.2">
      <c r="B991" s="604">
        <f t="shared" si="41"/>
        <v>9</v>
      </c>
      <c r="C991" s="614"/>
      <c r="D991" s="606" t="s">
        <v>1331</v>
      </c>
      <c r="E991" s="614"/>
      <c r="F991" s="614"/>
      <c r="G991" s="608" t="s">
        <v>240</v>
      </c>
      <c r="H991" s="614"/>
      <c r="I991" s="610">
        <f t="shared" si="40"/>
        <v>21000</v>
      </c>
      <c r="J991" s="611"/>
      <c r="N991" s="603">
        <f>'[4]Usulan 2021'!I823</f>
        <v>21000</v>
      </c>
      <c r="O991" s="603">
        <f>'[4]Usulan 2021'!J823</f>
        <v>21000</v>
      </c>
      <c r="P991" s="603">
        <f>'[4]Usulan 2021'!K823</f>
        <v>21000</v>
      </c>
    </row>
    <row r="992" spans="2:16" x14ac:dyDescent="0.2">
      <c r="B992" s="604">
        <f t="shared" si="41"/>
        <v>10</v>
      </c>
      <c r="C992" s="614"/>
      <c r="D992" s="606" t="s">
        <v>1332</v>
      </c>
      <c r="E992" s="614"/>
      <c r="F992" s="614"/>
      <c r="G992" s="608" t="s">
        <v>240</v>
      </c>
      <c r="H992" s="614"/>
      <c r="I992" s="610">
        <f t="shared" si="40"/>
        <v>37000</v>
      </c>
      <c r="J992" s="611"/>
      <c r="N992" s="603">
        <f>'[4]Usulan 2021'!I824</f>
        <v>37000</v>
      </c>
      <c r="O992" s="603">
        <f>'[4]Usulan 2021'!J824</f>
        <v>37000</v>
      </c>
      <c r="P992" s="603">
        <f>'[4]Usulan 2021'!K824</f>
        <v>37000</v>
      </c>
    </row>
    <row r="993" spans="2:16" x14ac:dyDescent="0.2">
      <c r="B993" s="604">
        <f t="shared" si="41"/>
        <v>11</v>
      </c>
      <c r="C993" s="614"/>
      <c r="D993" s="606" t="s">
        <v>1333</v>
      </c>
      <c r="E993" s="614"/>
      <c r="F993" s="614"/>
      <c r="G993" s="608" t="s">
        <v>240</v>
      </c>
      <c r="H993" s="614"/>
      <c r="I993" s="610">
        <f t="shared" si="40"/>
        <v>51000</v>
      </c>
      <c r="J993" s="611"/>
      <c r="N993" s="603">
        <f>'[4]Usulan 2021'!I825</f>
        <v>51000</v>
      </c>
      <c r="O993" s="603">
        <f>'[4]Usulan 2021'!J825</f>
        <v>51000</v>
      </c>
      <c r="P993" s="603">
        <f>'[4]Usulan 2021'!K825</f>
        <v>51000</v>
      </c>
    </row>
    <row r="994" spans="2:16" x14ac:dyDescent="0.2">
      <c r="B994" s="604">
        <f t="shared" si="41"/>
        <v>12</v>
      </c>
      <c r="C994" s="614"/>
      <c r="D994" s="606" t="s">
        <v>1334</v>
      </c>
      <c r="E994" s="614"/>
      <c r="F994" s="614"/>
      <c r="G994" s="608" t="s">
        <v>240</v>
      </c>
      <c r="H994" s="614"/>
      <c r="I994" s="610">
        <f t="shared" si="40"/>
        <v>71000</v>
      </c>
      <c r="J994" s="611"/>
      <c r="N994" s="603">
        <f>'[4]Usulan 2021'!I826</f>
        <v>71000</v>
      </c>
      <c r="O994" s="603">
        <f>'[4]Usulan 2021'!J826</f>
        <v>71000</v>
      </c>
      <c r="P994" s="603">
        <f>'[4]Usulan 2021'!K826</f>
        <v>71000</v>
      </c>
    </row>
    <row r="995" spans="2:16" x14ac:dyDescent="0.2">
      <c r="B995" s="168"/>
      <c r="D995" s="77"/>
      <c r="G995" s="157"/>
      <c r="I995" s="566"/>
      <c r="J995" s="597"/>
      <c r="N995" s="603"/>
      <c r="O995" s="603"/>
      <c r="P995" s="603"/>
    </row>
    <row r="996" spans="2:16" x14ac:dyDescent="0.2">
      <c r="B996" s="168"/>
      <c r="D996" s="625" t="s">
        <v>1335</v>
      </c>
      <c r="G996" s="157"/>
      <c r="I996" s="566"/>
      <c r="J996" s="597"/>
      <c r="N996" s="603"/>
      <c r="O996" s="603"/>
      <c r="P996" s="603"/>
    </row>
    <row r="997" spans="2:16" x14ac:dyDescent="0.2">
      <c r="B997" s="604">
        <f t="shared" si="41"/>
        <v>1</v>
      </c>
      <c r="C997" s="614"/>
      <c r="D997" s="626" t="s">
        <v>1274</v>
      </c>
      <c r="E997" s="614"/>
      <c r="F997" s="614"/>
      <c r="G997" s="627" t="s">
        <v>268</v>
      </c>
      <c r="H997" s="614"/>
      <c r="I997" s="628">
        <f t="shared" si="40"/>
        <v>71000</v>
      </c>
      <c r="J997" s="611"/>
      <c r="N997" s="603">
        <f>'[4]Usulan 2021'!I587</f>
        <v>71000</v>
      </c>
      <c r="O997" s="603">
        <f>'[4]Usulan 2021'!J587</f>
        <v>71000</v>
      </c>
      <c r="P997" s="603">
        <f>'[4]Usulan 2021'!K587</f>
        <v>71000</v>
      </c>
    </row>
    <row r="998" spans="2:16" x14ac:dyDescent="0.2">
      <c r="B998" s="604">
        <f t="shared" si="41"/>
        <v>2</v>
      </c>
      <c r="C998" s="614"/>
      <c r="D998" s="629" t="s">
        <v>1336</v>
      </c>
      <c r="E998" s="614"/>
      <c r="F998" s="614"/>
      <c r="G998" s="627" t="s">
        <v>268</v>
      </c>
      <c r="H998" s="614"/>
      <c r="I998" s="628">
        <f t="shared" si="40"/>
        <v>1909000</v>
      </c>
      <c r="J998" s="611"/>
      <c r="N998" s="603">
        <f>'[4]Usulan 2021'!I588</f>
        <v>1909000</v>
      </c>
      <c r="O998" s="603">
        <f>'[4]Usulan 2021'!J588</f>
        <v>1909000</v>
      </c>
      <c r="P998" s="603">
        <f>'[4]Usulan 2021'!K588</f>
        <v>1909000</v>
      </c>
    </row>
    <row r="999" spans="2:16" x14ac:dyDescent="0.2">
      <c r="B999" s="604">
        <f t="shared" si="41"/>
        <v>3</v>
      </c>
      <c r="C999" s="614"/>
      <c r="D999" s="630" t="s">
        <v>1150</v>
      </c>
      <c r="E999" s="614"/>
      <c r="F999" s="614"/>
      <c r="G999" s="627" t="s">
        <v>268</v>
      </c>
      <c r="H999" s="614"/>
      <c r="I999" s="628">
        <f t="shared" si="40"/>
        <v>22000</v>
      </c>
      <c r="J999" s="611"/>
      <c r="N999" s="603">
        <f>'[4]Usulan 2021'!I589</f>
        <v>22000</v>
      </c>
      <c r="O999" s="603">
        <f>'[4]Usulan 2021'!J589</f>
        <v>22000</v>
      </c>
      <c r="P999" s="603">
        <f>'[4]Usulan 2021'!K589</f>
        <v>22000</v>
      </c>
    </row>
    <row r="1000" spans="2:16" x14ac:dyDescent="0.2">
      <c r="B1000" s="604">
        <f t="shared" si="41"/>
        <v>4</v>
      </c>
      <c r="C1000" s="614"/>
      <c r="D1000" s="631" t="s">
        <v>1151</v>
      </c>
      <c r="E1000" s="614"/>
      <c r="F1000" s="614"/>
      <c r="G1000" s="627" t="s">
        <v>268</v>
      </c>
      <c r="H1000" s="614"/>
      <c r="I1000" s="610">
        <f t="shared" si="40"/>
        <v>317000</v>
      </c>
      <c r="J1000" s="611"/>
      <c r="N1000" s="603">
        <f>'[4]Usulan 2021'!I590</f>
        <v>317000</v>
      </c>
      <c r="O1000" s="603">
        <f>'[4]Usulan 2021'!J590</f>
        <v>317000</v>
      </c>
      <c r="P1000" s="603">
        <f>'[4]Usulan 2021'!K590</f>
        <v>317000</v>
      </c>
    </row>
    <row r="1001" spans="2:16" x14ac:dyDescent="0.2">
      <c r="B1001" s="604">
        <f t="shared" si="41"/>
        <v>5</v>
      </c>
      <c r="C1001" s="614"/>
      <c r="D1001" s="630" t="s">
        <v>1337</v>
      </c>
      <c r="E1001" s="614"/>
      <c r="F1001" s="614"/>
      <c r="G1001" s="627" t="s">
        <v>268</v>
      </c>
      <c r="H1001" s="614"/>
      <c r="I1001" s="628">
        <f t="shared" si="40"/>
        <v>49900</v>
      </c>
      <c r="J1001" s="611"/>
      <c r="N1001" s="603">
        <f>'[4]Usulan 2021'!I591</f>
        <v>49900</v>
      </c>
      <c r="O1001" s="603">
        <f>'[4]Usulan 2021'!J591</f>
        <v>49900</v>
      </c>
      <c r="P1001" s="603">
        <f>'[4]Usulan 2021'!K591</f>
        <v>49900</v>
      </c>
    </row>
    <row r="1002" spans="2:16" x14ac:dyDescent="0.2">
      <c r="B1002" s="604">
        <f t="shared" si="41"/>
        <v>6</v>
      </c>
      <c r="C1002" s="614"/>
      <c r="D1002" s="632" t="s">
        <v>1338</v>
      </c>
      <c r="E1002" s="614"/>
      <c r="F1002" s="614"/>
      <c r="G1002" s="627" t="s">
        <v>268</v>
      </c>
      <c r="H1002" s="614"/>
      <c r="I1002" s="628">
        <f t="shared" si="40"/>
        <v>79400</v>
      </c>
      <c r="J1002" s="611"/>
      <c r="N1002" s="603">
        <f>'[4]Usulan 2021'!I592</f>
        <v>79400</v>
      </c>
      <c r="O1002" s="603">
        <f>'[4]Usulan 2021'!J592</f>
        <v>79400</v>
      </c>
      <c r="P1002" s="603">
        <f>'[4]Usulan 2021'!K592</f>
        <v>79400</v>
      </c>
    </row>
    <row r="1003" spans="2:16" x14ac:dyDescent="0.2">
      <c r="B1003" s="604">
        <f t="shared" si="41"/>
        <v>7</v>
      </c>
      <c r="C1003" s="614"/>
      <c r="D1003" s="630" t="s">
        <v>1272</v>
      </c>
      <c r="E1003" s="614"/>
      <c r="F1003" s="614"/>
      <c r="G1003" s="627" t="s">
        <v>268</v>
      </c>
      <c r="H1003" s="614"/>
      <c r="I1003" s="628">
        <f t="shared" si="40"/>
        <v>23000</v>
      </c>
      <c r="J1003" s="611"/>
      <c r="N1003" s="603">
        <f>'[4]Usulan 2021'!I593</f>
        <v>23000</v>
      </c>
      <c r="O1003" s="603">
        <f>'[4]Usulan 2021'!J593</f>
        <v>23000</v>
      </c>
      <c r="P1003" s="603">
        <f>'[4]Usulan 2021'!K593</f>
        <v>23000</v>
      </c>
    </row>
    <row r="1004" spans="2:16" x14ac:dyDescent="0.2">
      <c r="B1004" s="604">
        <f t="shared" si="41"/>
        <v>8</v>
      </c>
      <c r="C1004" s="614"/>
      <c r="D1004" s="633" t="s">
        <v>1273</v>
      </c>
      <c r="E1004" s="614"/>
      <c r="F1004" s="614"/>
      <c r="G1004" s="627" t="s">
        <v>268</v>
      </c>
      <c r="H1004" s="614"/>
      <c r="I1004" s="628">
        <f t="shared" si="40"/>
        <v>27700</v>
      </c>
      <c r="J1004" s="611"/>
      <c r="N1004" s="603">
        <f>'[4]Usulan 2021'!I594</f>
        <v>27700</v>
      </c>
      <c r="O1004" s="603">
        <f>'[4]Usulan 2021'!J594</f>
        <v>27700</v>
      </c>
      <c r="P1004" s="603">
        <f>'[4]Usulan 2021'!K594</f>
        <v>27700</v>
      </c>
    </row>
    <row r="1005" spans="2:16" x14ac:dyDescent="0.2">
      <c r="B1005" s="604">
        <f t="shared" si="41"/>
        <v>9</v>
      </c>
      <c r="C1005" s="614"/>
      <c r="D1005" s="633" t="s">
        <v>1275</v>
      </c>
      <c r="E1005" s="614"/>
      <c r="F1005" s="614"/>
      <c r="G1005" s="627" t="s">
        <v>268</v>
      </c>
      <c r="H1005" s="614"/>
      <c r="I1005" s="628">
        <f t="shared" si="40"/>
        <v>28600</v>
      </c>
      <c r="J1005" s="611"/>
      <c r="N1005" s="603">
        <f>'[4]Usulan 2021'!I595</f>
        <v>28600</v>
      </c>
      <c r="O1005" s="603">
        <f>'[4]Usulan 2021'!J595</f>
        <v>28600</v>
      </c>
      <c r="P1005" s="603">
        <f>'[4]Usulan 2021'!K595</f>
        <v>28600</v>
      </c>
    </row>
    <row r="1006" spans="2:16" x14ac:dyDescent="0.2">
      <c r="B1006" s="604">
        <f t="shared" si="41"/>
        <v>10</v>
      </c>
      <c r="C1006" s="614"/>
      <c r="D1006" s="633" t="s">
        <v>1276</v>
      </c>
      <c r="E1006" s="614"/>
      <c r="F1006" s="614"/>
      <c r="G1006" s="627" t="s">
        <v>268</v>
      </c>
      <c r="H1006" s="614"/>
      <c r="I1006" s="628">
        <f t="shared" si="40"/>
        <v>63400</v>
      </c>
      <c r="J1006" s="611"/>
      <c r="N1006" s="603">
        <f>'[4]Usulan 2021'!I596</f>
        <v>63400</v>
      </c>
      <c r="O1006" s="603">
        <f>'[4]Usulan 2021'!J596</f>
        <v>63400</v>
      </c>
      <c r="P1006" s="603">
        <f>'[4]Usulan 2021'!K596</f>
        <v>63400</v>
      </c>
    </row>
    <row r="1007" spans="2:16" ht="15" thickBot="1" x14ac:dyDescent="0.25">
      <c r="B1007" s="181"/>
      <c r="C1007" s="634"/>
      <c r="D1007" s="635"/>
      <c r="E1007" s="634"/>
      <c r="F1007" s="634"/>
      <c r="G1007" s="636"/>
      <c r="H1007" s="634"/>
      <c r="I1007" s="637"/>
      <c r="J1007" s="638"/>
      <c r="N1007" s="77"/>
      <c r="O1007" s="77"/>
      <c r="P1007" s="77"/>
    </row>
    <row r="1008" spans="2:16" ht="15" thickTop="1" x14ac:dyDescent="0.2">
      <c r="B1008" s="58"/>
      <c r="D1008" s="58"/>
      <c r="G1008" s="58"/>
      <c r="N1008" s="77"/>
      <c r="O1008" s="77"/>
      <c r="P1008" s="77"/>
    </row>
    <row r="1009" spans="14:16" s="210" customFormat="1" x14ac:dyDescent="0.2">
      <c r="N1009" s="220"/>
      <c r="O1009" s="220"/>
      <c r="P1009" s="220"/>
    </row>
    <row r="1011" spans="14:16" s="210" customFormat="1" x14ac:dyDescent="0.2">
      <c r="N1011" s="210">
        <f>I126*6</f>
        <v>51600</v>
      </c>
    </row>
  </sheetData>
  <autoFilter ref="D20:F1011"/>
  <mergeCells count="5">
    <mergeCell ref="B2:J2"/>
    <mergeCell ref="B3:J3"/>
    <mergeCell ref="D18:F18"/>
    <mergeCell ref="D62:F62"/>
    <mergeCell ref="D760:F76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9"/>
  <sheetViews>
    <sheetView topLeftCell="G374" workbookViewId="0">
      <selection activeCell="T281" sqref="T281"/>
    </sheetView>
  </sheetViews>
  <sheetFormatPr defaultRowHeight="14.25" x14ac:dyDescent="0.2"/>
  <cols>
    <col min="1" max="1" width="5.7109375" style="210" customWidth="1"/>
    <col min="2" max="2" width="5.7109375" style="206" customWidth="1"/>
    <col min="3" max="3" width="2.7109375" style="210" customWidth="1"/>
    <col min="4" max="4" width="12.7109375" style="298" customWidth="1"/>
    <col min="5" max="5" width="3.7109375" style="210" customWidth="1"/>
    <col min="6" max="6" width="43.42578125" style="220" customWidth="1"/>
    <col min="7" max="7" width="13.85546875" style="210" customWidth="1"/>
    <col min="8" max="8" width="3.7109375" style="210" customWidth="1"/>
    <col min="9" max="9" width="23.7109375" style="210" customWidth="1"/>
    <col min="10" max="10" width="10.7109375" style="210" customWidth="1"/>
    <col min="11" max="13" width="2.140625" style="210" customWidth="1"/>
    <col min="14" max="14" width="16.42578125" style="210" customWidth="1"/>
    <col min="15" max="16" width="16.85546875" style="210" customWidth="1"/>
    <col min="17" max="17" width="5.7109375" style="210" customWidth="1"/>
    <col min="18" max="20" width="16.140625" style="210" customWidth="1"/>
    <col min="21" max="16384" width="9.140625" style="210"/>
  </cols>
  <sheetData>
    <row r="1" spans="2:16" x14ac:dyDescent="0.2">
      <c r="C1" s="207"/>
      <c r="D1" s="208"/>
      <c r="E1" s="207"/>
      <c r="F1" s="209"/>
      <c r="G1" s="207"/>
      <c r="H1" s="207"/>
      <c r="I1" s="207"/>
    </row>
    <row r="2" spans="2:16" ht="20.25" x14ac:dyDescent="0.2">
      <c r="B2" s="3538" t="s">
        <v>601</v>
      </c>
      <c r="C2" s="3538"/>
      <c r="D2" s="3538"/>
      <c r="E2" s="3538"/>
      <c r="F2" s="3538"/>
      <c r="G2" s="3538"/>
      <c r="H2" s="3538"/>
      <c r="I2" s="3538"/>
      <c r="J2" s="3538"/>
    </row>
    <row r="3" spans="2:16" x14ac:dyDescent="0.2">
      <c r="B3" s="3539"/>
      <c r="C3" s="3539"/>
      <c r="D3" s="3539"/>
      <c r="E3" s="3539"/>
      <c r="F3" s="3539"/>
      <c r="G3" s="3539"/>
      <c r="H3" s="3539"/>
      <c r="I3" s="3539"/>
      <c r="J3" s="3539"/>
    </row>
    <row r="4" spans="2:16" ht="15.75" x14ac:dyDescent="0.2">
      <c r="B4" s="211" t="str">
        <f>'[5]RAB SUMUR'!D5</f>
        <v>PROGRAM</v>
      </c>
      <c r="C4" s="212"/>
      <c r="D4" s="213"/>
      <c r="E4" s="200" t="str">
        <f>'[5]RAB SUMUR'!E5</f>
        <v>:</v>
      </c>
      <c r="F4" s="214">
        <f>'[5]RAB SUMUR'!F5</f>
        <v>0</v>
      </c>
      <c r="H4" s="206"/>
      <c r="I4" s="206"/>
      <c r="J4" s="206"/>
    </row>
    <row r="5" spans="2:16" ht="15.75" x14ac:dyDescent="0.2">
      <c r="B5" s="211" t="str">
        <f>'[5]RAB SUMUR'!D6</f>
        <v>KEGIATAN</v>
      </c>
      <c r="C5" s="212"/>
      <c r="D5" s="213"/>
      <c r="E5" s="200" t="str">
        <f>'[5]RAB SUMUR'!E6</f>
        <v>:</v>
      </c>
      <c r="F5" s="214">
        <f>'[5]RAB SUMUR'!F6</f>
        <v>0</v>
      </c>
      <c r="H5" s="207"/>
      <c r="I5" s="207"/>
    </row>
    <row r="6" spans="2:16" ht="15.75" x14ac:dyDescent="0.2">
      <c r="B6" s="211"/>
      <c r="C6" s="212"/>
      <c r="D6" s="213"/>
      <c r="E6" s="200"/>
      <c r="F6" s="214">
        <f>'[5]RAB SUMUR'!F7</f>
        <v>0</v>
      </c>
      <c r="H6" s="207"/>
      <c r="I6" s="207"/>
    </row>
    <row r="7" spans="2:16" ht="15.75" x14ac:dyDescent="0.2">
      <c r="B7" s="211" t="str">
        <f>'[5]RAB SUMUR'!D8</f>
        <v>VOLUME</v>
      </c>
      <c r="C7" s="212"/>
      <c r="D7" s="213"/>
      <c r="E7" s="200" t="str">
        <f>'[5]RAB SUMUR'!E8</f>
        <v>:</v>
      </c>
      <c r="F7" s="214">
        <f>'[5]RAB SUMUR'!F8</f>
        <v>0</v>
      </c>
      <c r="H7" s="207"/>
      <c r="I7" s="207"/>
    </row>
    <row r="8" spans="2:16" ht="15.75" x14ac:dyDescent="0.2">
      <c r="B8" s="211" t="str">
        <f>'[5]RAB SUMUR'!D9</f>
        <v>L O K A S I</v>
      </c>
      <c r="C8" s="212"/>
      <c r="D8" s="213"/>
      <c r="E8" s="200" t="str">
        <f>'[5]RAB SUMUR'!E9</f>
        <v>:</v>
      </c>
      <c r="F8" s="214">
        <f>'[5]RAB SUMUR'!F9</f>
        <v>0</v>
      </c>
      <c r="H8" s="207"/>
      <c r="I8" s="207"/>
    </row>
    <row r="9" spans="2:16" ht="15.75" x14ac:dyDescent="0.2">
      <c r="B9" s="211" t="str">
        <f>'[5]RAB SUMUR'!D10</f>
        <v>KABUPATEN</v>
      </c>
      <c r="C9" s="212"/>
      <c r="D9" s="213"/>
      <c r="E9" s="200" t="str">
        <f>'[5]RAB SUMUR'!E10</f>
        <v>:</v>
      </c>
      <c r="F9" s="214">
        <f>'[5]RAB SUMUR'!F10</f>
        <v>0</v>
      </c>
      <c r="H9" s="207"/>
      <c r="I9" s="207"/>
    </row>
    <row r="10" spans="2:16" ht="15.75" x14ac:dyDescent="0.2">
      <c r="B10" s="211" t="str">
        <f>'[5]RAB SUMUR'!D11</f>
        <v>SUMBER DANA</v>
      </c>
      <c r="C10" s="212"/>
      <c r="D10" s="213"/>
      <c r="E10" s="200" t="str">
        <f>'[5]RAB SUMUR'!E11</f>
        <v>:</v>
      </c>
      <c r="F10" s="214">
        <f>'[5]RAB SUMUR'!F11</f>
        <v>0</v>
      </c>
      <c r="G10" s="215"/>
      <c r="H10" s="207"/>
      <c r="I10" s="207"/>
    </row>
    <row r="11" spans="2:16" ht="15.75" x14ac:dyDescent="0.2">
      <c r="B11" s="211" t="str">
        <f>'[5]RAB SUMUR'!D12</f>
        <v>TAHUN ANGGARAN</v>
      </c>
      <c r="C11" s="212"/>
      <c r="D11" s="213"/>
      <c r="E11" s="200" t="str">
        <f>'[5]RAB SUMUR'!E12</f>
        <v>:</v>
      </c>
      <c r="F11" s="214">
        <f>'[5]RAB SUMUR'!F12</f>
        <v>2020</v>
      </c>
      <c r="G11" s="215"/>
      <c r="H11" s="207"/>
      <c r="I11" s="207"/>
    </row>
    <row r="12" spans="2:16" x14ac:dyDescent="0.2">
      <c r="C12" s="207"/>
      <c r="D12" s="216"/>
      <c r="E12" s="215"/>
      <c r="F12" s="217"/>
      <c r="G12" s="215"/>
      <c r="H12" s="207"/>
      <c r="I12" s="207"/>
    </row>
    <row r="13" spans="2:16" x14ac:dyDescent="0.2">
      <c r="B13" s="14"/>
      <c r="C13" s="218"/>
      <c r="D13" s="219"/>
      <c r="E13" s="217"/>
      <c r="F13" s="217"/>
      <c r="G13" s="14"/>
      <c r="H13" s="220"/>
      <c r="I13" s="221"/>
      <c r="L13" s="8"/>
      <c r="M13" s="8"/>
      <c r="N13" s="8"/>
      <c r="O13" s="8"/>
      <c r="P13" s="8"/>
    </row>
    <row r="14" spans="2:16" x14ac:dyDescent="0.2">
      <c r="B14" s="14"/>
      <c r="C14" s="218"/>
      <c r="D14" s="222"/>
      <c r="E14" s="223"/>
      <c r="F14" s="217"/>
      <c r="G14" s="14"/>
      <c r="H14" s="220"/>
      <c r="I14" s="224"/>
      <c r="J14" s="220"/>
      <c r="L14" s="8"/>
      <c r="M14" s="8"/>
      <c r="N14" s="8"/>
      <c r="O14" s="8"/>
      <c r="P14" s="8"/>
    </row>
    <row r="15" spans="2:16" x14ac:dyDescent="0.2">
      <c r="B15" s="225" t="s">
        <v>1492</v>
      </c>
      <c r="C15" s="226"/>
      <c r="D15" s="227"/>
      <c r="E15" s="228"/>
      <c r="F15" s="229"/>
      <c r="G15" s="228"/>
      <c r="H15" s="228"/>
      <c r="I15" s="228"/>
    </row>
    <row r="16" spans="2:16" ht="15" thickBot="1" x14ac:dyDescent="0.25">
      <c r="B16" s="230"/>
      <c r="C16" s="226"/>
      <c r="D16" s="227"/>
      <c r="E16" s="228"/>
      <c r="F16" s="229"/>
      <c r="G16" s="228"/>
      <c r="H16" s="228"/>
      <c r="I16" s="228"/>
    </row>
    <row r="17" spans="2:16" ht="15" thickTop="1" x14ac:dyDescent="0.2">
      <c r="B17" s="950"/>
      <c r="C17" s="951"/>
      <c r="D17" s="952"/>
      <c r="E17" s="953"/>
      <c r="F17" s="954"/>
      <c r="G17" s="955"/>
      <c r="H17" s="951"/>
      <c r="I17" s="954"/>
      <c r="J17" s="956"/>
    </row>
    <row r="18" spans="2:16" x14ac:dyDescent="0.2">
      <c r="B18" s="238" t="s">
        <v>261</v>
      </c>
      <c r="C18" s="957"/>
      <c r="D18" s="3540" t="s">
        <v>449</v>
      </c>
      <c r="E18" s="3540"/>
      <c r="F18" s="3541"/>
      <c r="G18" s="958" t="s">
        <v>262</v>
      </c>
      <c r="H18" s="957"/>
      <c r="I18" s="202" t="s">
        <v>263</v>
      </c>
      <c r="J18" s="959" t="s">
        <v>396</v>
      </c>
    </row>
    <row r="19" spans="2:16" ht="15" thickBot="1" x14ac:dyDescent="0.25">
      <c r="B19" s="241"/>
      <c r="C19" s="960"/>
      <c r="D19" s="961"/>
      <c r="E19" s="962"/>
      <c r="F19" s="963"/>
      <c r="G19" s="964"/>
      <c r="H19" s="960"/>
      <c r="I19" s="963"/>
      <c r="J19" s="965"/>
      <c r="L19" s="248"/>
      <c r="M19" s="248"/>
    </row>
    <row r="20" spans="2:16" ht="15" thickTop="1" x14ac:dyDescent="0.2">
      <c r="B20" s="249"/>
      <c r="C20" s="966"/>
      <c r="D20" s="219"/>
      <c r="E20" s="217"/>
      <c r="F20" s="251"/>
      <c r="G20" s="967"/>
      <c r="H20" s="968"/>
      <c r="I20" s="969"/>
      <c r="J20" s="970"/>
      <c r="L20" s="256"/>
      <c r="M20" s="256"/>
      <c r="N20" s="257" t="s">
        <v>111</v>
      </c>
      <c r="O20" s="257" t="s">
        <v>112</v>
      </c>
      <c r="P20" s="257" t="s">
        <v>113</v>
      </c>
    </row>
    <row r="21" spans="2:16" x14ac:dyDescent="0.2">
      <c r="B21" s="971">
        <v>1</v>
      </c>
      <c r="C21" s="972"/>
      <c r="D21" s="973" t="s">
        <v>632</v>
      </c>
      <c r="E21" s="974"/>
      <c r="F21" s="975"/>
      <c r="G21" s="976" t="s">
        <v>291</v>
      </c>
      <c r="H21" s="977"/>
      <c r="I21" s="978">
        <f>N21</f>
        <v>119000</v>
      </c>
      <c r="J21" s="979"/>
      <c r="L21" s="8"/>
      <c r="M21" s="8"/>
      <c r="N21" s="267">
        <f>'[5]Usulan 2021'!I18</f>
        <v>119000</v>
      </c>
      <c r="O21" s="8">
        <f>'[5]Usulan 2021'!J18</f>
        <v>119000</v>
      </c>
      <c r="P21" s="8">
        <f>'[5]Usulan 2021'!K18</f>
        <v>119000</v>
      </c>
    </row>
    <row r="22" spans="2:16" x14ac:dyDescent="0.2">
      <c r="B22" s="980">
        <f>B21+1</f>
        <v>2</v>
      </c>
      <c r="C22" s="981"/>
      <c r="D22" s="982" t="s">
        <v>5</v>
      </c>
      <c r="E22" s="983"/>
      <c r="F22" s="984"/>
      <c r="G22" s="985" t="s">
        <v>291</v>
      </c>
      <c r="H22" s="986"/>
      <c r="I22" s="978">
        <f t="shared" ref="I22:I56" si="0">N22</f>
        <v>85500</v>
      </c>
      <c r="J22" s="987"/>
      <c r="L22" s="8"/>
      <c r="M22" s="8"/>
      <c r="N22" s="267">
        <f>'[5]Usulan 2021'!I19</f>
        <v>85500</v>
      </c>
      <c r="O22" s="8">
        <f>'[5]Usulan 2021'!J19</f>
        <v>85500</v>
      </c>
      <c r="P22" s="8">
        <f>'[5]Usulan 2021'!K19</f>
        <v>85500</v>
      </c>
    </row>
    <row r="23" spans="2:16" x14ac:dyDescent="0.2">
      <c r="B23" s="980">
        <f t="shared" ref="B23:B56" si="1">B22+1</f>
        <v>3</v>
      </c>
      <c r="C23" s="981"/>
      <c r="D23" s="982" t="s">
        <v>187</v>
      </c>
      <c r="E23" s="983"/>
      <c r="F23" s="984"/>
      <c r="G23" s="985" t="s">
        <v>291</v>
      </c>
      <c r="H23" s="986"/>
      <c r="I23" s="978">
        <f t="shared" si="0"/>
        <v>85500</v>
      </c>
      <c r="J23" s="987"/>
      <c r="L23" s="8"/>
      <c r="M23" s="8"/>
      <c r="N23" s="267">
        <f>'[5]Usulan 2021'!I20</f>
        <v>85500</v>
      </c>
      <c r="O23" s="8">
        <f>'[5]Usulan 2021'!J20</f>
        <v>85500</v>
      </c>
      <c r="P23" s="8">
        <f>'[5]Usulan 2021'!K20</f>
        <v>85500</v>
      </c>
    </row>
    <row r="24" spans="2:16" x14ac:dyDescent="0.2">
      <c r="B24" s="980">
        <f t="shared" si="1"/>
        <v>4</v>
      </c>
      <c r="C24" s="981"/>
      <c r="D24" s="982" t="s">
        <v>6</v>
      </c>
      <c r="E24" s="983"/>
      <c r="F24" s="984"/>
      <c r="G24" s="985" t="s">
        <v>291</v>
      </c>
      <c r="H24" s="986"/>
      <c r="I24" s="978">
        <f t="shared" si="0"/>
        <v>86800</v>
      </c>
      <c r="J24" s="987"/>
      <c r="L24" s="8"/>
      <c r="M24" s="8"/>
      <c r="N24" s="267">
        <f>'[5]Usulan 2021'!I21</f>
        <v>86800</v>
      </c>
      <c r="O24" s="8">
        <f>'[5]Usulan 2021'!J21</f>
        <v>86800</v>
      </c>
      <c r="P24" s="8">
        <f>'[5]Usulan 2021'!K21</f>
        <v>86800</v>
      </c>
    </row>
    <row r="25" spans="2:16" x14ac:dyDescent="0.2">
      <c r="B25" s="980">
        <f t="shared" si="1"/>
        <v>5</v>
      </c>
      <c r="C25" s="981"/>
      <c r="D25" s="988" t="s">
        <v>544</v>
      </c>
      <c r="E25" s="989"/>
      <c r="F25" s="990"/>
      <c r="G25" s="985" t="s">
        <v>291</v>
      </c>
      <c r="H25" s="991"/>
      <c r="I25" s="978">
        <f t="shared" si="0"/>
        <v>85500</v>
      </c>
      <c r="J25" s="979"/>
      <c r="L25" s="8"/>
      <c r="M25" s="8"/>
      <c r="N25" s="267">
        <f>'[5]Usulan 2021'!I22</f>
        <v>85500</v>
      </c>
      <c r="O25" s="8">
        <f>'[5]Usulan 2021'!J22</f>
        <v>85500</v>
      </c>
      <c r="P25" s="8">
        <f>'[5]Usulan 2021'!K22</f>
        <v>85500</v>
      </c>
    </row>
    <row r="26" spans="2:16" x14ac:dyDescent="0.2">
      <c r="B26" s="980">
        <f t="shared" si="1"/>
        <v>6</v>
      </c>
      <c r="C26" s="981"/>
      <c r="D26" s="988" t="s">
        <v>545</v>
      </c>
      <c r="E26" s="989"/>
      <c r="F26" s="990"/>
      <c r="G26" s="985" t="s">
        <v>291</v>
      </c>
      <c r="H26" s="991"/>
      <c r="I26" s="978">
        <f t="shared" si="0"/>
        <v>169000</v>
      </c>
      <c r="J26" s="979"/>
      <c r="L26" s="8"/>
      <c r="M26" s="8"/>
      <c r="N26" s="267">
        <f>'[5]Usulan 2021'!I23</f>
        <v>169000</v>
      </c>
      <c r="O26" s="8">
        <f>'[5]Usulan 2021'!J23</f>
        <v>169000</v>
      </c>
      <c r="P26" s="8">
        <f>'[5]Usulan 2021'!K23</f>
        <v>169000</v>
      </c>
    </row>
    <row r="27" spans="2:16" x14ac:dyDescent="0.2">
      <c r="B27" s="980">
        <f t="shared" si="1"/>
        <v>7</v>
      </c>
      <c r="C27" s="981"/>
      <c r="D27" s="992" t="s">
        <v>614</v>
      </c>
      <c r="E27" s="993"/>
      <c r="F27" s="276"/>
      <c r="G27" s="985" t="s">
        <v>291</v>
      </c>
      <c r="H27" s="277"/>
      <c r="I27" s="978">
        <f t="shared" si="0"/>
        <v>211000</v>
      </c>
      <c r="J27" s="278"/>
      <c r="L27" s="8"/>
      <c r="M27" s="8"/>
      <c r="N27" s="267">
        <f>'[5]Usulan 2021'!I24</f>
        <v>211000</v>
      </c>
      <c r="O27" s="8">
        <f>'[5]Usulan 2021'!J24</f>
        <v>211000</v>
      </c>
      <c r="P27" s="8">
        <f>'[5]Usulan 2021'!K24</f>
        <v>211000</v>
      </c>
    </row>
    <row r="28" spans="2:16" x14ac:dyDescent="0.2">
      <c r="B28" s="980">
        <f t="shared" si="1"/>
        <v>8</v>
      </c>
      <c r="C28" s="981"/>
      <c r="D28" s="982" t="s">
        <v>7</v>
      </c>
      <c r="E28" s="983"/>
      <c r="F28" s="984"/>
      <c r="G28" s="985" t="s">
        <v>291</v>
      </c>
      <c r="H28" s="986"/>
      <c r="I28" s="978">
        <f t="shared" si="0"/>
        <v>96000</v>
      </c>
      <c r="J28" s="987"/>
      <c r="L28" s="8"/>
      <c r="M28" s="8"/>
      <c r="N28" s="267">
        <f>'[5]Usulan 2021'!I25</f>
        <v>96000</v>
      </c>
      <c r="O28" s="8">
        <f>'[5]Usulan 2021'!J25</f>
        <v>96000</v>
      </c>
      <c r="P28" s="8">
        <f>'[5]Usulan 2021'!K25</f>
        <v>96000</v>
      </c>
    </row>
    <row r="29" spans="2:16" x14ac:dyDescent="0.2">
      <c r="B29" s="980">
        <f t="shared" si="1"/>
        <v>9</v>
      </c>
      <c r="C29" s="981"/>
      <c r="D29" s="982" t="s">
        <v>8</v>
      </c>
      <c r="E29" s="983"/>
      <c r="F29" s="984"/>
      <c r="G29" s="985" t="s">
        <v>291</v>
      </c>
      <c r="H29" s="986"/>
      <c r="I29" s="978">
        <f t="shared" si="0"/>
        <v>96000</v>
      </c>
      <c r="J29" s="987"/>
      <c r="L29" s="8"/>
      <c r="M29" s="8"/>
      <c r="N29" s="267">
        <f>'[5]Usulan 2021'!I26</f>
        <v>96000</v>
      </c>
      <c r="O29" s="8">
        <f>'[5]Usulan 2021'!J26</f>
        <v>96000</v>
      </c>
      <c r="P29" s="8">
        <f>'[5]Usulan 2021'!K26</f>
        <v>96000</v>
      </c>
    </row>
    <row r="30" spans="2:16" x14ac:dyDescent="0.2">
      <c r="B30" s="980">
        <f t="shared" si="1"/>
        <v>10</v>
      </c>
      <c r="C30" s="981"/>
      <c r="D30" s="982" t="s">
        <v>9</v>
      </c>
      <c r="E30" s="983"/>
      <c r="F30" s="984"/>
      <c r="G30" s="985" t="s">
        <v>291</v>
      </c>
      <c r="H30" s="986"/>
      <c r="I30" s="978">
        <f t="shared" si="0"/>
        <v>96000</v>
      </c>
      <c r="J30" s="987"/>
      <c r="L30" s="8"/>
      <c r="M30" s="8"/>
      <c r="N30" s="267">
        <f>'[5]Usulan 2021'!I27</f>
        <v>96000</v>
      </c>
      <c r="O30" s="8">
        <f>'[5]Usulan 2021'!J27</f>
        <v>96000</v>
      </c>
      <c r="P30" s="8">
        <f>'[5]Usulan 2021'!K27</f>
        <v>96000</v>
      </c>
    </row>
    <row r="31" spans="2:16" x14ac:dyDescent="0.2">
      <c r="B31" s="980">
        <f t="shared" si="1"/>
        <v>11</v>
      </c>
      <c r="C31" s="981"/>
      <c r="D31" s="982" t="s">
        <v>10</v>
      </c>
      <c r="E31" s="983"/>
      <c r="F31" s="984"/>
      <c r="G31" s="985" t="s">
        <v>291</v>
      </c>
      <c r="H31" s="986"/>
      <c r="I31" s="978">
        <f t="shared" si="0"/>
        <v>96000</v>
      </c>
      <c r="J31" s="987"/>
      <c r="L31" s="8"/>
      <c r="M31" s="8"/>
      <c r="N31" s="267">
        <f>'[5]Usulan 2021'!I28</f>
        <v>96000</v>
      </c>
      <c r="O31" s="8">
        <f>'[5]Usulan 2021'!J28</f>
        <v>96000</v>
      </c>
      <c r="P31" s="8">
        <f>'[5]Usulan 2021'!K28</f>
        <v>96000</v>
      </c>
    </row>
    <row r="32" spans="2:16" x14ac:dyDescent="0.2">
      <c r="B32" s="980">
        <f t="shared" si="1"/>
        <v>12</v>
      </c>
      <c r="C32" s="981"/>
      <c r="D32" s="982" t="s">
        <v>11</v>
      </c>
      <c r="E32" s="983"/>
      <c r="F32" s="984"/>
      <c r="G32" s="985" t="s">
        <v>291</v>
      </c>
      <c r="H32" s="986"/>
      <c r="I32" s="978">
        <f t="shared" si="0"/>
        <v>96000</v>
      </c>
      <c r="J32" s="987"/>
      <c r="L32" s="8"/>
      <c r="M32" s="8"/>
      <c r="N32" s="267">
        <f>'[5]Usulan 2021'!I29</f>
        <v>96000</v>
      </c>
      <c r="O32" s="8">
        <f>'[5]Usulan 2021'!J29</f>
        <v>96000</v>
      </c>
      <c r="P32" s="8">
        <f>'[5]Usulan 2021'!K29</f>
        <v>96000</v>
      </c>
    </row>
    <row r="33" spans="2:16" x14ac:dyDescent="0.2">
      <c r="B33" s="980">
        <f t="shared" si="1"/>
        <v>13</v>
      </c>
      <c r="C33" s="981"/>
      <c r="D33" s="988" t="s">
        <v>633</v>
      </c>
      <c r="E33" s="989"/>
      <c r="F33" s="990"/>
      <c r="G33" s="985" t="s">
        <v>291</v>
      </c>
      <c r="H33" s="991"/>
      <c r="I33" s="978">
        <f t="shared" si="0"/>
        <v>206000</v>
      </c>
      <c r="J33" s="979"/>
      <c r="L33" s="8"/>
      <c r="M33" s="8"/>
      <c r="N33" s="267">
        <f>'[5]Usulan 2021'!I30</f>
        <v>206000</v>
      </c>
      <c r="O33" s="8">
        <f>'[5]Usulan 2021'!J30</f>
        <v>206000</v>
      </c>
      <c r="P33" s="8">
        <f>'[5]Usulan 2021'!K30</f>
        <v>206000</v>
      </c>
    </row>
    <row r="34" spans="2:16" x14ac:dyDescent="0.2">
      <c r="B34" s="980">
        <f t="shared" si="1"/>
        <v>14</v>
      </c>
      <c r="C34" s="981"/>
      <c r="D34" s="982" t="s">
        <v>290</v>
      </c>
      <c r="E34" s="983"/>
      <c r="F34" s="984"/>
      <c r="G34" s="985" t="s">
        <v>291</v>
      </c>
      <c r="H34" s="986"/>
      <c r="I34" s="978">
        <f t="shared" si="0"/>
        <v>87000</v>
      </c>
      <c r="J34" s="987"/>
      <c r="L34" s="8"/>
      <c r="M34" s="8"/>
      <c r="N34" s="267">
        <f>'[5]Usulan 2021'!I31</f>
        <v>87000</v>
      </c>
      <c r="O34" s="8">
        <f>'[5]Usulan 2021'!J31</f>
        <v>87000</v>
      </c>
      <c r="P34" s="8">
        <f>'[5]Usulan 2021'!K31</f>
        <v>87000</v>
      </c>
    </row>
    <row r="35" spans="2:16" x14ac:dyDescent="0.2">
      <c r="B35" s="980">
        <f t="shared" si="1"/>
        <v>15</v>
      </c>
      <c r="C35" s="981"/>
      <c r="D35" s="982" t="s">
        <v>559</v>
      </c>
      <c r="E35" s="983"/>
      <c r="F35" s="984"/>
      <c r="G35" s="985" t="s">
        <v>291</v>
      </c>
      <c r="H35" s="986"/>
      <c r="I35" s="978">
        <f t="shared" si="0"/>
        <v>87000</v>
      </c>
      <c r="J35" s="987"/>
      <c r="L35" s="8"/>
      <c r="M35" s="8"/>
      <c r="N35" s="267">
        <f>'[5]Usulan 2021'!I32</f>
        <v>87000</v>
      </c>
      <c r="O35" s="8">
        <f>'[5]Usulan 2021'!J32</f>
        <v>87000</v>
      </c>
      <c r="P35" s="8">
        <f>'[5]Usulan 2021'!K32</f>
        <v>87000</v>
      </c>
    </row>
    <row r="36" spans="2:16" x14ac:dyDescent="0.2">
      <c r="B36" s="980">
        <f t="shared" si="1"/>
        <v>16</v>
      </c>
      <c r="C36" s="981"/>
      <c r="D36" s="988" t="s">
        <v>557</v>
      </c>
      <c r="E36" s="989"/>
      <c r="F36" s="990"/>
      <c r="G36" s="985" t="s">
        <v>291</v>
      </c>
      <c r="H36" s="991"/>
      <c r="I36" s="978">
        <f t="shared" si="0"/>
        <v>87000</v>
      </c>
      <c r="J36" s="979"/>
      <c r="L36" s="8"/>
      <c r="M36" s="8"/>
      <c r="N36" s="267">
        <f>'[5]Usulan 2021'!I33</f>
        <v>87000</v>
      </c>
      <c r="O36" s="8">
        <f>'[5]Usulan 2021'!J33</f>
        <v>87000</v>
      </c>
      <c r="P36" s="8">
        <f>'[5]Usulan 2021'!K33</f>
        <v>87000</v>
      </c>
    </row>
    <row r="37" spans="2:16" x14ac:dyDescent="0.2">
      <c r="B37" s="980">
        <f t="shared" si="1"/>
        <v>17</v>
      </c>
      <c r="C37" s="981"/>
      <c r="D37" s="988" t="s">
        <v>13</v>
      </c>
      <c r="E37" s="989"/>
      <c r="F37" s="990"/>
      <c r="G37" s="985" t="s">
        <v>291</v>
      </c>
      <c r="H37" s="991"/>
      <c r="I37" s="978">
        <f t="shared" si="0"/>
        <v>87000</v>
      </c>
      <c r="J37" s="979"/>
      <c r="L37" s="8"/>
      <c r="M37" s="8"/>
      <c r="N37" s="267">
        <f>'[5]Usulan 2021'!I34</f>
        <v>87000</v>
      </c>
      <c r="O37" s="8">
        <f>'[5]Usulan 2021'!J34</f>
        <v>87000</v>
      </c>
      <c r="P37" s="8">
        <f>'[5]Usulan 2021'!K34</f>
        <v>87000</v>
      </c>
    </row>
    <row r="38" spans="2:16" x14ac:dyDescent="0.2">
      <c r="B38" s="980">
        <f t="shared" si="1"/>
        <v>18</v>
      </c>
      <c r="C38" s="981"/>
      <c r="D38" s="988" t="s">
        <v>619</v>
      </c>
      <c r="E38" s="989"/>
      <c r="F38" s="990"/>
      <c r="G38" s="985" t="s">
        <v>291</v>
      </c>
      <c r="H38" s="991"/>
      <c r="I38" s="978">
        <f t="shared" si="0"/>
        <v>87000</v>
      </c>
      <c r="J38" s="979"/>
      <c r="L38" s="8"/>
      <c r="M38" s="8"/>
      <c r="N38" s="267">
        <f>'[5]Usulan 2021'!I35</f>
        <v>87000</v>
      </c>
      <c r="O38" s="8">
        <f>'[5]Usulan 2021'!J35</f>
        <v>87000</v>
      </c>
      <c r="P38" s="8">
        <f>'[5]Usulan 2021'!K35</f>
        <v>87000</v>
      </c>
    </row>
    <row r="39" spans="2:16" x14ac:dyDescent="0.2">
      <c r="B39" s="980">
        <f t="shared" si="1"/>
        <v>19</v>
      </c>
      <c r="C39" s="981"/>
      <c r="D39" s="994" t="s">
        <v>14</v>
      </c>
      <c r="E39" s="989"/>
      <c r="F39" s="990"/>
      <c r="G39" s="985" t="s">
        <v>291</v>
      </c>
      <c r="H39" s="991"/>
      <c r="I39" s="978">
        <f t="shared" si="0"/>
        <v>85500</v>
      </c>
      <c r="J39" s="979"/>
      <c r="L39" s="8"/>
      <c r="M39" s="8"/>
      <c r="N39" s="267">
        <f>'[5]Usulan 2021'!I36</f>
        <v>85500</v>
      </c>
      <c r="O39" s="8">
        <f>'[5]Usulan 2021'!J36</f>
        <v>85500</v>
      </c>
      <c r="P39" s="8">
        <f>'[5]Usulan 2021'!K36</f>
        <v>85500</v>
      </c>
    </row>
    <row r="40" spans="2:16" x14ac:dyDescent="0.2">
      <c r="B40" s="980">
        <f t="shared" si="1"/>
        <v>20</v>
      </c>
      <c r="C40" s="981"/>
      <c r="D40" s="994" t="s">
        <v>15</v>
      </c>
      <c r="E40" s="989"/>
      <c r="F40" s="990"/>
      <c r="G40" s="985" t="s">
        <v>291</v>
      </c>
      <c r="H40" s="991"/>
      <c r="I40" s="978">
        <f t="shared" si="0"/>
        <v>87000</v>
      </c>
      <c r="J40" s="979"/>
      <c r="L40" s="8"/>
      <c r="M40" s="8"/>
      <c r="N40" s="267">
        <f>'[5]Usulan 2021'!I37</f>
        <v>87000</v>
      </c>
      <c r="O40" s="8">
        <f>'[5]Usulan 2021'!J37</f>
        <v>87000</v>
      </c>
      <c r="P40" s="8">
        <f>'[5]Usulan 2021'!K37</f>
        <v>87000</v>
      </c>
    </row>
    <row r="41" spans="2:16" x14ac:dyDescent="0.2">
      <c r="B41" s="980">
        <f t="shared" si="1"/>
        <v>21</v>
      </c>
      <c r="C41" s="981"/>
      <c r="D41" s="988" t="s">
        <v>115</v>
      </c>
      <c r="E41" s="989"/>
      <c r="F41" s="990"/>
      <c r="G41" s="985" t="s">
        <v>291</v>
      </c>
      <c r="H41" s="991"/>
      <c r="I41" s="978">
        <f t="shared" si="0"/>
        <v>182000</v>
      </c>
      <c r="J41" s="979"/>
      <c r="L41" s="8"/>
      <c r="M41" s="8"/>
      <c r="N41" s="267">
        <f>'[5]Usulan 2021'!I38</f>
        <v>182000</v>
      </c>
      <c r="O41" s="8">
        <f>'[5]Usulan 2021'!J38</f>
        <v>182000</v>
      </c>
      <c r="P41" s="8">
        <f>'[5]Usulan 2021'!K38</f>
        <v>182000</v>
      </c>
    </row>
    <row r="42" spans="2:16" x14ac:dyDescent="0.2">
      <c r="B42" s="980">
        <f t="shared" si="1"/>
        <v>22</v>
      </c>
      <c r="C42" s="981"/>
      <c r="D42" s="982" t="s">
        <v>558</v>
      </c>
      <c r="E42" s="983"/>
      <c r="F42" s="984"/>
      <c r="G42" s="985" t="s">
        <v>291</v>
      </c>
      <c r="H42" s="986"/>
      <c r="I42" s="978">
        <f t="shared" si="0"/>
        <v>85500</v>
      </c>
      <c r="J42" s="987"/>
      <c r="L42" s="8"/>
      <c r="M42" s="8"/>
      <c r="N42" s="267">
        <f>'[5]Usulan 2021'!I39</f>
        <v>85500</v>
      </c>
      <c r="O42" s="8">
        <f>'[5]Usulan 2021'!J39</f>
        <v>85500</v>
      </c>
      <c r="P42" s="8">
        <f>'[5]Usulan 2021'!K39</f>
        <v>85500</v>
      </c>
    </row>
    <row r="43" spans="2:16" x14ac:dyDescent="0.2">
      <c r="B43" s="980">
        <f t="shared" si="1"/>
        <v>23</v>
      </c>
      <c r="C43" s="981"/>
      <c r="D43" s="982" t="s">
        <v>16</v>
      </c>
      <c r="E43" s="983"/>
      <c r="F43" s="984"/>
      <c r="G43" s="985" t="s">
        <v>291</v>
      </c>
      <c r="H43" s="986"/>
      <c r="I43" s="978">
        <f t="shared" si="0"/>
        <v>85500</v>
      </c>
      <c r="J43" s="987"/>
      <c r="L43" s="8"/>
      <c r="M43" s="8"/>
      <c r="N43" s="267">
        <f>'[5]Usulan 2021'!I40</f>
        <v>85500</v>
      </c>
      <c r="O43" s="8">
        <f>'[5]Usulan 2021'!J40</f>
        <v>85500</v>
      </c>
      <c r="P43" s="8">
        <f>'[5]Usulan 2021'!K40</f>
        <v>85500</v>
      </c>
    </row>
    <row r="44" spans="2:16" x14ac:dyDescent="0.2">
      <c r="B44" s="980">
        <f t="shared" si="1"/>
        <v>24</v>
      </c>
      <c r="C44" s="981"/>
      <c r="D44" s="982" t="s">
        <v>546</v>
      </c>
      <c r="E44" s="983"/>
      <c r="F44" s="984"/>
      <c r="G44" s="985" t="s">
        <v>291</v>
      </c>
      <c r="H44" s="986"/>
      <c r="I44" s="978">
        <f t="shared" si="0"/>
        <v>85500</v>
      </c>
      <c r="J44" s="987"/>
      <c r="L44" s="8"/>
      <c r="M44" s="8"/>
      <c r="N44" s="267">
        <f>'[5]Usulan 2021'!I41</f>
        <v>85500</v>
      </c>
      <c r="O44" s="8">
        <f>'[5]Usulan 2021'!J41</f>
        <v>85500</v>
      </c>
      <c r="P44" s="8">
        <f>'[5]Usulan 2021'!K41</f>
        <v>85500</v>
      </c>
    </row>
    <row r="45" spans="2:16" x14ac:dyDescent="0.2">
      <c r="B45" s="980">
        <f t="shared" si="1"/>
        <v>25</v>
      </c>
      <c r="C45" s="981"/>
      <c r="D45" s="982" t="s">
        <v>18</v>
      </c>
      <c r="E45" s="983"/>
      <c r="F45" s="984"/>
      <c r="G45" s="985" t="s">
        <v>291</v>
      </c>
      <c r="H45" s="986"/>
      <c r="I45" s="978">
        <f t="shared" si="0"/>
        <v>85500</v>
      </c>
      <c r="J45" s="987"/>
      <c r="L45" s="8"/>
      <c r="M45" s="8"/>
      <c r="N45" s="267">
        <f>'[5]Usulan 2021'!I42</f>
        <v>85500</v>
      </c>
      <c r="O45" s="8">
        <f>'[5]Usulan 2021'!J42</f>
        <v>85500</v>
      </c>
      <c r="P45" s="8">
        <f>'[5]Usulan 2021'!K42</f>
        <v>85500</v>
      </c>
    </row>
    <row r="46" spans="2:16" x14ac:dyDescent="0.2">
      <c r="B46" s="980">
        <f t="shared" si="1"/>
        <v>26</v>
      </c>
      <c r="C46" s="981"/>
      <c r="D46" s="982" t="s">
        <v>17</v>
      </c>
      <c r="E46" s="983"/>
      <c r="F46" s="984"/>
      <c r="G46" s="985" t="s">
        <v>291</v>
      </c>
      <c r="H46" s="986"/>
      <c r="I46" s="978">
        <f t="shared" si="0"/>
        <v>86800</v>
      </c>
      <c r="J46" s="987"/>
      <c r="L46" s="8"/>
      <c r="M46" s="8"/>
      <c r="N46" s="267">
        <f>'[5]Usulan 2021'!I43</f>
        <v>86800</v>
      </c>
      <c r="O46" s="8">
        <f>'[5]Usulan 2021'!J43</f>
        <v>86800</v>
      </c>
      <c r="P46" s="8">
        <f>'[5]Usulan 2021'!K43</f>
        <v>86800</v>
      </c>
    </row>
    <row r="47" spans="2:16" x14ac:dyDescent="0.2">
      <c r="B47" s="980">
        <f t="shared" si="1"/>
        <v>27</v>
      </c>
      <c r="C47" s="981"/>
      <c r="D47" s="982" t="s">
        <v>370</v>
      </c>
      <c r="E47" s="983"/>
      <c r="F47" s="984"/>
      <c r="G47" s="985" t="s">
        <v>291</v>
      </c>
      <c r="H47" s="986"/>
      <c r="I47" s="978">
        <f t="shared" si="0"/>
        <v>87000</v>
      </c>
      <c r="J47" s="987"/>
      <c r="L47" s="8"/>
      <c r="M47" s="8"/>
      <c r="N47" s="267">
        <f>'[5]Usulan 2021'!I44</f>
        <v>87000</v>
      </c>
      <c r="O47" s="8">
        <f>'[5]Usulan 2021'!J44</f>
        <v>87000</v>
      </c>
      <c r="P47" s="8">
        <f>'[5]Usulan 2021'!K44</f>
        <v>87000</v>
      </c>
    </row>
    <row r="48" spans="2:16" x14ac:dyDescent="0.2">
      <c r="B48" s="980">
        <f t="shared" si="1"/>
        <v>28</v>
      </c>
      <c r="C48" s="981"/>
      <c r="D48" s="982" t="s">
        <v>249</v>
      </c>
      <c r="E48" s="983"/>
      <c r="F48" s="984"/>
      <c r="G48" s="985" t="s">
        <v>291</v>
      </c>
      <c r="H48" s="986"/>
      <c r="I48" s="978">
        <f t="shared" si="0"/>
        <v>87000</v>
      </c>
      <c r="J48" s="987"/>
      <c r="L48" s="8"/>
      <c r="M48" s="8"/>
      <c r="N48" s="267">
        <f>'[5]Usulan 2021'!I45</f>
        <v>87000</v>
      </c>
      <c r="O48" s="8">
        <f>'[5]Usulan 2021'!J45</f>
        <v>87000</v>
      </c>
      <c r="P48" s="8">
        <f>'[5]Usulan 2021'!K45</f>
        <v>87000</v>
      </c>
    </row>
    <row r="49" spans="2:16" x14ac:dyDescent="0.2">
      <c r="B49" s="980">
        <f t="shared" si="1"/>
        <v>29</v>
      </c>
      <c r="C49" s="981"/>
      <c r="D49" s="982" t="s">
        <v>371</v>
      </c>
      <c r="E49" s="983"/>
      <c r="F49" s="984"/>
      <c r="G49" s="985" t="s">
        <v>291</v>
      </c>
      <c r="H49" s="986"/>
      <c r="I49" s="978">
        <f t="shared" si="0"/>
        <v>87000</v>
      </c>
      <c r="J49" s="987"/>
      <c r="L49" s="8"/>
      <c r="M49" s="8"/>
      <c r="N49" s="267">
        <f>'[5]Usulan 2021'!I46</f>
        <v>87000</v>
      </c>
      <c r="O49" s="8">
        <f>'[5]Usulan 2021'!J46</f>
        <v>87000</v>
      </c>
      <c r="P49" s="8">
        <f>'[5]Usulan 2021'!K46</f>
        <v>87000</v>
      </c>
    </row>
    <row r="50" spans="2:16" x14ac:dyDescent="0.2">
      <c r="B50" s="980">
        <f t="shared" si="1"/>
        <v>30</v>
      </c>
      <c r="C50" s="981"/>
      <c r="D50" s="995" t="s">
        <v>1358</v>
      </c>
      <c r="E50" s="983"/>
      <c r="F50" s="984"/>
      <c r="G50" s="985" t="s">
        <v>291</v>
      </c>
      <c r="H50" s="986"/>
      <c r="I50" s="996">
        <f t="shared" si="0"/>
        <v>87000</v>
      </c>
      <c r="J50" s="987"/>
      <c r="L50" s="8"/>
      <c r="M50" s="8"/>
      <c r="N50" s="267">
        <f>'[5]Usulan 2021'!I47</f>
        <v>87000</v>
      </c>
      <c r="O50" s="8"/>
      <c r="P50" s="8"/>
    </row>
    <row r="51" spans="2:16" x14ac:dyDescent="0.2">
      <c r="B51" s="980">
        <f t="shared" si="1"/>
        <v>31</v>
      </c>
      <c r="C51" s="981"/>
      <c r="D51" s="982" t="s">
        <v>19</v>
      </c>
      <c r="E51" s="983"/>
      <c r="F51" s="984"/>
      <c r="G51" s="985" t="s">
        <v>291</v>
      </c>
      <c r="H51" s="986"/>
      <c r="I51" s="978">
        <f t="shared" si="0"/>
        <v>87000</v>
      </c>
      <c r="J51" s="987"/>
      <c r="L51" s="8"/>
      <c r="M51" s="8"/>
      <c r="N51" s="267">
        <f>'[5]Usulan 2021'!I48</f>
        <v>87000</v>
      </c>
      <c r="O51" s="8">
        <f>'[5]Usulan 2021'!J48</f>
        <v>87000</v>
      </c>
      <c r="P51" s="8">
        <f>'[5]Usulan 2021'!K48</f>
        <v>87000</v>
      </c>
    </row>
    <row r="52" spans="2:16" x14ac:dyDescent="0.2">
      <c r="B52" s="980">
        <f t="shared" si="1"/>
        <v>32</v>
      </c>
      <c r="C52" s="981"/>
      <c r="D52" s="982" t="s">
        <v>334</v>
      </c>
      <c r="E52" s="983"/>
      <c r="F52" s="984"/>
      <c r="G52" s="985" t="s">
        <v>291</v>
      </c>
      <c r="H52" s="986"/>
      <c r="I52" s="978">
        <f t="shared" si="0"/>
        <v>92000</v>
      </c>
      <c r="J52" s="987"/>
      <c r="L52" s="8"/>
      <c r="M52" s="8"/>
      <c r="N52" s="267">
        <f>'[5]Usulan 2021'!I49</f>
        <v>92000</v>
      </c>
      <c r="O52" s="8">
        <f>'[5]Usulan 2021'!J49</f>
        <v>92000</v>
      </c>
      <c r="P52" s="8">
        <f>'[5]Usulan 2021'!K49</f>
        <v>92000</v>
      </c>
    </row>
    <row r="53" spans="2:16" x14ac:dyDescent="0.2">
      <c r="B53" s="980">
        <f t="shared" si="1"/>
        <v>33</v>
      </c>
      <c r="C53" s="981"/>
      <c r="D53" s="982" t="s">
        <v>248</v>
      </c>
      <c r="E53" s="983"/>
      <c r="F53" s="984"/>
      <c r="G53" s="985" t="s">
        <v>291</v>
      </c>
      <c r="H53" s="986"/>
      <c r="I53" s="978">
        <f t="shared" si="0"/>
        <v>87000</v>
      </c>
      <c r="J53" s="987"/>
      <c r="L53" s="8"/>
      <c r="M53" s="8"/>
      <c r="N53" s="267">
        <f>'[5]Usulan 2021'!I50</f>
        <v>87000</v>
      </c>
      <c r="O53" s="8">
        <f>'[5]Usulan 2021'!J50</f>
        <v>87000</v>
      </c>
      <c r="P53" s="8">
        <f>'[5]Usulan 2021'!K50</f>
        <v>87000</v>
      </c>
    </row>
    <row r="54" spans="2:16" x14ac:dyDescent="0.2">
      <c r="B54" s="980">
        <f t="shared" si="1"/>
        <v>34</v>
      </c>
      <c r="C54" s="981"/>
      <c r="D54" s="982" t="s">
        <v>20</v>
      </c>
      <c r="E54" s="983"/>
      <c r="F54" s="984"/>
      <c r="G54" s="985" t="s">
        <v>291</v>
      </c>
      <c r="H54" s="986"/>
      <c r="I54" s="978">
        <f t="shared" si="0"/>
        <v>87000</v>
      </c>
      <c r="J54" s="987"/>
      <c r="L54" s="8"/>
      <c r="M54" s="8"/>
      <c r="N54" s="267">
        <f>'[5]Usulan 2021'!I51</f>
        <v>87000</v>
      </c>
      <c r="O54" s="8">
        <f>'[5]Usulan 2021'!J51</f>
        <v>87000</v>
      </c>
      <c r="P54" s="8">
        <f>'[5]Usulan 2021'!K51</f>
        <v>87000</v>
      </c>
    </row>
    <row r="55" spans="2:16" x14ac:dyDescent="0.2">
      <c r="B55" s="980">
        <f t="shared" si="1"/>
        <v>35</v>
      </c>
      <c r="C55" s="981"/>
      <c r="D55" s="997" t="s">
        <v>116</v>
      </c>
      <c r="E55" s="998"/>
      <c r="F55" s="999"/>
      <c r="G55" s="985" t="s">
        <v>291</v>
      </c>
      <c r="H55" s="1000"/>
      <c r="I55" s="978">
        <f t="shared" si="0"/>
        <v>87000</v>
      </c>
      <c r="J55" s="1001"/>
      <c r="L55" s="8"/>
      <c r="M55" s="8"/>
      <c r="N55" s="267">
        <f>'[5]Usulan 2021'!I52</f>
        <v>87000</v>
      </c>
      <c r="O55" s="8">
        <f>'[5]Usulan 2021'!J52</f>
        <v>87000</v>
      </c>
      <c r="P55" s="8">
        <f>'[5]Usulan 2021'!K52</f>
        <v>87000</v>
      </c>
    </row>
    <row r="56" spans="2:16" x14ac:dyDescent="0.2">
      <c r="B56" s="980">
        <f t="shared" si="1"/>
        <v>36</v>
      </c>
      <c r="C56" s="981"/>
      <c r="D56" s="982" t="s">
        <v>825</v>
      </c>
      <c r="E56" s="983"/>
      <c r="F56" s="984"/>
      <c r="G56" s="985" t="s">
        <v>291</v>
      </c>
      <c r="H56" s="986"/>
      <c r="I56" s="978">
        <f t="shared" si="0"/>
        <v>87000</v>
      </c>
      <c r="J56" s="987"/>
      <c r="L56" s="8"/>
      <c r="M56" s="8"/>
      <c r="N56" s="267">
        <f>'[5]Usulan 2021'!I53</f>
        <v>87000</v>
      </c>
      <c r="O56" s="8">
        <f>'[5]Usulan 2021'!J53</f>
        <v>87000</v>
      </c>
      <c r="P56" s="8">
        <f>'[5]Usulan 2021'!K53</f>
        <v>87000</v>
      </c>
    </row>
    <row r="57" spans="2:16" ht="15" thickBot="1" x14ac:dyDescent="0.25">
      <c r="B57" s="1002"/>
      <c r="C57" s="1003"/>
      <c r="D57" s="1004"/>
      <c r="E57" s="1005"/>
      <c r="F57" s="1006"/>
      <c r="G57" s="1007"/>
      <c r="H57" s="1008"/>
      <c r="I57" s="1009" t="s">
        <v>279</v>
      </c>
      <c r="J57" s="1010"/>
      <c r="L57" s="8"/>
      <c r="M57" s="8"/>
      <c r="N57" s="8"/>
      <c r="O57" s="8"/>
      <c r="P57" s="8"/>
    </row>
    <row r="58" spans="2:16" ht="15" thickTop="1" x14ac:dyDescent="0.2">
      <c r="B58" s="14"/>
      <c r="C58" s="218"/>
      <c r="D58" s="222"/>
      <c r="E58" s="223"/>
      <c r="F58" s="217"/>
      <c r="G58" s="14"/>
      <c r="H58" s="220"/>
      <c r="I58" s="296"/>
      <c r="J58" s="220"/>
      <c r="L58" s="8"/>
      <c r="M58" s="8"/>
      <c r="N58" s="8"/>
      <c r="O58" s="8"/>
      <c r="P58" s="8"/>
    </row>
    <row r="59" spans="2:16" x14ac:dyDescent="0.2">
      <c r="B59" s="225" t="s">
        <v>1493</v>
      </c>
      <c r="C59" s="226"/>
      <c r="D59" s="219"/>
      <c r="E59" s="217"/>
      <c r="F59" s="217"/>
      <c r="G59" s="297"/>
      <c r="H59" s="220"/>
      <c r="I59" s="221"/>
      <c r="L59" s="8"/>
      <c r="M59" s="8"/>
      <c r="N59" s="8"/>
      <c r="O59" s="8"/>
      <c r="P59" s="8"/>
    </row>
    <row r="60" spans="2:16" ht="15" thickBot="1" x14ac:dyDescent="0.25">
      <c r="C60" s="220"/>
      <c r="H60" s="220"/>
      <c r="L60" s="8"/>
      <c r="M60" s="8"/>
      <c r="N60" s="8"/>
      <c r="O60" s="8"/>
      <c r="P60" s="8"/>
    </row>
    <row r="61" spans="2:16" ht="15" thickTop="1" x14ac:dyDescent="0.2">
      <c r="B61" s="950"/>
      <c r="C61" s="951"/>
      <c r="D61" s="952"/>
      <c r="E61" s="953"/>
      <c r="F61" s="954"/>
      <c r="G61" s="955"/>
      <c r="H61" s="951"/>
      <c r="I61" s="1011"/>
      <c r="J61" s="956"/>
      <c r="L61" s="8"/>
      <c r="M61" s="8"/>
      <c r="N61" s="8"/>
      <c r="O61" s="8"/>
      <c r="P61" s="8"/>
    </row>
    <row r="62" spans="2:16" x14ac:dyDescent="0.2">
      <c r="B62" s="238" t="s">
        <v>261</v>
      </c>
      <c r="C62" s="957"/>
      <c r="D62" s="3540" t="s">
        <v>819</v>
      </c>
      <c r="E62" s="3540"/>
      <c r="F62" s="3541"/>
      <c r="G62" s="958" t="s">
        <v>262</v>
      </c>
      <c r="H62" s="957"/>
      <c r="I62" s="202" t="s">
        <v>263</v>
      </c>
      <c r="J62" s="959" t="s">
        <v>396</v>
      </c>
      <c r="L62" s="8"/>
      <c r="M62" s="8"/>
      <c r="N62" s="8"/>
      <c r="O62" s="8"/>
      <c r="P62" s="8"/>
    </row>
    <row r="63" spans="2:16" ht="15" thickBot="1" x14ac:dyDescent="0.25">
      <c r="B63" s="1012"/>
      <c r="C63" s="960"/>
      <c r="D63" s="961"/>
      <c r="E63" s="962"/>
      <c r="F63" s="963"/>
      <c r="G63" s="964"/>
      <c r="H63" s="1013"/>
      <c r="I63" s="1014"/>
      <c r="J63" s="965"/>
      <c r="L63" s="8"/>
      <c r="M63" s="8"/>
      <c r="N63" s="8"/>
      <c r="O63" s="8"/>
      <c r="P63" s="8"/>
    </row>
    <row r="64" spans="2:16" ht="15" thickTop="1" x14ac:dyDescent="0.2">
      <c r="B64" s="1015"/>
      <c r="C64" s="1016"/>
      <c r="D64" s="1017"/>
      <c r="E64" s="1018"/>
      <c r="F64" s="1018"/>
      <c r="G64" s="1016"/>
      <c r="H64" s="1016"/>
      <c r="I64" s="1018"/>
      <c r="J64" s="1019"/>
      <c r="L64" s="8"/>
      <c r="M64" s="308"/>
      <c r="N64" s="257" t="str">
        <f>N20</f>
        <v>WILAYAH 1</v>
      </c>
      <c r="O64" s="257" t="str">
        <f>O20</f>
        <v>WILAYAH 2</v>
      </c>
      <c r="P64" s="257" t="str">
        <f>P20</f>
        <v>WILAYAH 3</v>
      </c>
    </row>
    <row r="65" spans="2:17" x14ac:dyDescent="0.2">
      <c r="B65" s="980">
        <v>1</v>
      </c>
      <c r="C65" s="981"/>
      <c r="D65" s="1020" t="s">
        <v>163</v>
      </c>
      <c r="E65" s="983"/>
      <c r="F65" s="994"/>
      <c r="G65" s="1021" t="s">
        <v>264</v>
      </c>
      <c r="H65" s="1022"/>
      <c r="I65" s="1023">
        <f>N65</f>
        <v>204100</v>
      </c>
      <c r="J65" s="987"/>
      <c r="L65" s="8"/>
      <c r="M65" s="8"/>
      <c r="N65" s="8">
        <f>'[5]Usulan 2021'!I64</f>
        <v>204100</v>
      </c>
      <c r="O65" s="8">
        <f>'[5]Usulan 2021'!J64</f>
        <v>204100</v>
      </c>
      <c r="P65" s="8">
        <f>'[5]Usulan 2021'!K64</f>
        <v>204100</v>
      </c>
      <c r="Q65" s="8"/>
    </row>
    <row r="66" spans="2:17" x14ac:dyDescent="0.2">
      <c r="B66" s="980">
        <f>B65+1</f>
        <v>2</v>
      </c>
      <c r="C66" s="981"/>
      <c r="D66" s="1020" t="s">
        <v>305</v>
      </c>
      <c r="E66" s="983"/>
      <c r="F66" s="994"/>
      <c r="G66" s="1021" t="s">
        <v>392</v>
      </c>
      <c r="H66" s="1022"/>
      <c r="I66" s="1023">
        <f t="shared" ref="I66:I139" si="2">N66</f>
        <v>47</v>
      </c>
      <c r="J66" s="987"/>
      <c r="L66" s="8"/>
      <c r="M66" s="8"/>
      <c r="N66" s="8">
        <f>'[5]Usulan 2021'!I65</f>
        <v>47</v>
      </c>
      <c r="O66" s="8">
        <f>'[5]Usulan 2021'!J65</f>
        <v>47</v>
      </c>
      <c r="P66" s="8">
        <f>'[5]Usulan 2021'!K65</f>
        <v>47</v>
      </c>
    </row>
    <row r="67" spans="2:17" x14ac:dyDescent="0.2">
      <c r="B67" s="980">
        <f t="shared" ref="B67:B130" si="3">B66+1</f>
        <v>3</v>
      </c>
      <c r="C67" s="1024"/>
      <c r="D67" s="1025" t="s">
        <v>157</v>
      </c>
      <c r="E67" s="1026"/>
      <c r="F67" s="1027"/>
      <c r="G67" s="1021" t="s">
        <v>266</v>
      </c>
      <c r="H67" s="1028"/>
      <c r="I67" s="1023">
        <f t="shared" si="2"/>
        <v>14600</v>
      </c>
      <c r="J67" s="987"/>
      <c r="L67" s="8"/>
      <c r="M67" s="8"/>
      <c r="N67" s="8">
        <f>'[5]Usulan 2021'!I66</f>
        <v>14600</v>
      </c>
      <c r="O67" s="8">
        <f>'[5]Usulan 2021'!J66</f>
        <v>14600</v>
      </c>
      <c r="P67" s="8">
        <f>'[5]Usulan 2021'!K66</f>
        <v>14600</v>
      </c>
    </row>
    <row r="68" spans="2:17" x14ac:dyDescent="0.2">
      <c r="B68" s="980">
        <f t="shared" si="3"/>
        <v>4</v>
      </c>
      <c r="C68" s="981"/>
      <c r="D68" s="1025" t="s">
        <v>677</v>
      </c>
      <c r="E68" s="1026"/>
      <c r="F68" s="1027"/>
      <c r="G68" s="1021" t="s">
        <v>247</v>
      </c>
      <c r="H68" s="1022"/>
      <c r="I68" s="1023">
        <f t="shared" si="2"/>
        <v>9400</v>
      </c>
      <c r="J68" s="987"/>
      <c r="L68" s="8"/>
      <c r="M68" s="8"/>
      <c r="N68" s="8">
        <f>'[5]Usulan 2021'!I67</f>
        <v>9400</v>
      </c>
      <c r="O68" s="8">
        <f>'[5]Usulan 2021'!J67</f>
        <v>9400</v>
      </c>
      <c r="P68" s="8">
        <f>'[5]Usulan 2021'!K67</f>
        <v>9400</v>
      </c>
    </row>
    <row r="69" spans="2:17" x14ac:dyDescent="0.2">
      <c r="B69" s="980">
        <f t="shared" si="3"/>
        <v>5</v>
      </c>
      <c r="C69" s="981"/>
      <c r="D69" s="1020" t="s">
        <v>476</v>
      </c>
      <c r="E69" s="983"/>
      <c r="F69" s="994"/>
      <c r="G69" s="985" t="s">
        <v>277</v>
      </c>
      <c r="H69" s="1022"/>
      <c r="I69" s="1023">
        <f t="shared" si="2"/>
        <v>5700</v>
      </c>
      <c r="J69" s="987"/>
      <c r="L69" s="8"/>
      <c r="M69" s="8"/>
      <c r="N69" s="8">
        <f>'[5]Usulan 2021'!I68</f>
        <v>5700</v>
      </c>
      <c r="O69" s="8">
        <f>'[5]Usulan 2021'!J68</f>
        <v>5700</v>
      </c>
      <c r="P69" s="8">
        <f>'[5]Usulan 2021'!K68</f>
        <v>5700</v>
      </c>
    </row>
    <row r="70" spans="2:17" x14ac:dyDescent="0.2">
      <c r="B70" s="980">
        <f t="shared" si="3"/>
        <v>6</v>
      </c>
      <c r="C70" s="981"/>
      <c r="D70" s="1020"/>
      <c r="E70" s="983"/>
      <c r="F70" s="994"/>
      <c r="G70" s="985"/>
      <c r="H70" s="1022"/>
      <c r="I70" s="1023"/>
      <c r="J70" s="987"/>
      <c r="L70" s="8"/>
      <c r="M70" s="8"/>
      <c r="N70" s="8"/>
      <c r="O70" s="8"/>
      <c r="P70" s="8"/>
    </row>
    <row r="71" spans="2:17" x14ac:dyDescent="0.2">
      <c r="B71" s="980">
        <f t="shared" si="3"/>
        <v>7</v>
      </c>
      <c r="C71" s="981"/>
      <c r="D71" s="1029" t="s">
        <v>566</v>
      </c>
      <c r="E71" s="983"/>
      <c r="F71" s="994"/>
      <c r="G71" s="985" t="s">
        <v>247</v>
      </c>
      <c r="H71" s="1022"/>
      <c r="I71" s="1023">
        <f t="shared" si="2"/>
        <v>33400</v>
      </c>
      <c r="J71" s="987"/>
      <c r="L71" s="8"/>
      <c r="M71" s="8"/>
      <c r="N71" s="8">
        <f>'[5]Usulan 2021'!I70</f>
        <v>33400</v>
      </c>
      <c r="O71" s="8">
        <f>'[5]Usulan 2021'!J70</f>
        <v>33400</v>
      </c>
      <c r="P71" s="8">
        <f>'[5]Usulan 2021'!K70</f>
        <v>33400</v>
      </c>
    </row>
    <row r="72" spans="2:17" x14ac:dyDescent="0.2">
      <c r="B72" s="980">
        <f t="shared" si="3"/>
        <v>8</v>
      </c>
      <c r="C72" s="981"/>
      <c r="D72" s="1030" t="s">
        <v>22</v>
      </c>
      <c r="E72" s="1026"/>
      <c r="F72" s="1027"/>
      <c r="G72" s="1021" t="s">
        <v>277</v>
      </c>
      <c r="H72" s="1022"/>
      <c r="I72" s="1023">
        <f t="shared" si="2"/>
        <v>122700</v>
      </c>
      <c r="J72" s="987"/>
      <c r="L72" s="8"/>
      <c r="M72" s="8"/>
      <c r="N72" s="8">
        <f>'[5]Usulan 2021'!I71</f>
        <v>122700</v>
      </c>
      <c r="O72" s="8">
        <f>'[5]Usulan 2021'!J71</f>
        <v>122700</v>
      </c>
      <c r="P72" s="8">
        <f>'[5]Usulan 2021'!K71</f>
        <v>122700</v>
      </c>
    </row>
    <row r="73" spans="2:17" x14ac:dyDescent="0.2">
      <c r="B73" s="980">
        <f t="shared" si="3"/>
        <v>9</v>
      </c>
      <c r="C73" s="981"/>
      <c r="D73" s="1030" t="s">
        <v>23</v>
      </c>
      <c r="E73" s="1026"/>
      <c r="F73" s="1027"/>
      <c r="G73" s="1021" t="s">
        <v>277</v>
      </c>
      <c r="H73" s="1022"/>
      <c r="I73" s="1023">
        <f t="shared" si="2"/>
        <v>116800</v>
      </c>
      <c r="J73" s="987"/>
      <c r="L73" s="8"/>
      <c r="M73" s="8"/>
      <c r="N73" s="8">
        <f>'[5]Usulan 2021'!I72</f>
        <v>116800</v>
      </c>
      <c r="O73" s="8">
        <f>'[5]Usulan 2021'!J72</f>
        <v>116800</v>
      </c>
      <c r="P73" s="8">
        <f>'[5]Usulan 2021'!K72</f>
        <v>116800</v>
      </c>
    </row>
    <row r="74" spans="2:17" x14ac:dyDescent="0.2">
      <c r="B74" s="980">
        <f t="shared" si="3"/>
        <v>10</v>
      </c>
      <c r="C74" s="981"/>
      <c r="D74" s="1030" t="s">
        <v>548</v>
      </c>
      <c r="E74" s="1026"/>
      <c r="F74" s="1027"/>
      <c r="G74" s="1021" t="s">
        <v>298</v>
      </c>
      <c r="H74" s="1022"/>
      <c r="I74" s="1023">
        <f t="shared" si="2"/>
        <v>9730</v>
      </c>
      <c r="J74" s="987"/>
      <c r="L74" s="8"/>
      <c r="M74" s="8"/>
      <c r="N74" s="8">
        <f>'[5]Usulan 2021'!I73</f>
        <v>9730</v>
      </c>
      <c r="O74" s="8">
        <f>'[5]Usulan 2021'!J73</f>
        <v>9730</v>
      </c>
      <c r="P74" s="8">
        <f>'[5]Usulan 2021'!K73</f>
        <v>9730</v>
      </c>
    </row>
    <row r="75" spans="2:17" x14ac:dyDescent="0.2">
      <c r="B75" s="980">
        <f t="shared" si="3"/>
        <v>11</v>
      </c>
      <c r="C75" s="981"/>
      <c r="D75" s="1030" t="s">
        <v>549</v>
      </c>
      <c r="E75" s="1026"/>
      <c r="F75" s="1027"/>
      <c r="G75" s="1021" t="s">
        <v>298</v>
      </c>
      <c r="H75" s="1022"/>
      <c r="I75" s="1023">
        <f t="shared" si="2"/>
        <v>0</v>
      </c>
      <c r="J75" s="987"/>
      <c r="L75" s="8"/>
      <c r="M75" s="8"/>
      <c r="N75" s="8">
        <f>'[5]Usulan 2021'!I74</f>
        <v>0</v>
      </c>
      <c r="O75" s="8">
        <f>'[5]Usulan 2021'!J74</f>
        <v>0</v>
      </c>
      <c r="P75" s="8">
        <f>'[5]Usulan 2021'!K74</f>
        <v>0</v>
      </c>
    </row>
    <row r="76" spans="2:17" x14ac:dyDescent="0.2">
      <c r="B76" s="980">
        <f t="shared" si="3"/>
        <v>12</v>
      </c>
      <c r="C76" s="981"/>
      <c r="D76" s="1029" t="s">
        <v>841</v>
      </c>
      <c r="E76" s="983"/>
      <c r="F76" s="994"/>
      <c r="G76" s="1021" t="s">
        <v>266</v>
      </c>
      <c r="H76" s="1022"/>
      <c r="I76" s="1023">
        <f>N76</f>
        <v>110000</v>
      </c>
      <c r="J76" s="987"/>
      <c r="L76" s="8"/>
      <c r="M76" s="8"/>
      <c r="N76" s="8">
        <f>'[5]Usulan 2021'!I75</f>
        <v>110000</v>
      </c>
      <c r="O76" s="8">
        <f>'[5]Usulan 2021'!J75</f>
        <v>110000</v>
      </c>
      <c r="P76" s="8">
        <f>'[5]Usulan 2021'!K75</f>
        <v>110000</v>
      </c>
    </row>
    <row r="77" spans="2:17" x14ac:dyDescent="0.2">
      <c r="B77" s="980">
        <f t="shared" si="3"/>
        <v>13</v>
      </c>
      <c r="C77" s="981"/>
      <c r="D77" s="1029" t="s">
        <v>824</v>
      </c>
      <c r="E77" s="983"/>
      <c r="F77" s="994"/>
      <c r="G77" s="1021" t="s">
        <v>266</v>
      </c>
      <c r="H77" s="1022"/>
      <c r="I77" s="1023">
        <f t="shared" si="2"/>
        <v>55000</v>
      </c>
      <c r="J77" s="987"/>
      <c r="L77" s="8"/>
      <c r="M77" s="8"/>
      <c r="N77" s="8">
        <f>'[5]Usulan 2021'!I76</f>
        <v>55000</v>
      </c>
      <c r="O77" s="8">
        <f>'[5]Usulan 2021'!J76</f>
        <v>55000</v>
      </c>
      <c r="P77" s="8">
        <f>'[5]Usulan 2021'!K76</f>
        <v>55000</v>
      </c>
    </row>
    <row r="78" spans="2:17" x14ac:dyDescent="0.2">
      <c r="B78" s="980">
        <f t="shared" si="3"/>
        <v>14</v>
      </c>
      <c r="C78" s="981"/>
      <c r="G78" s="1031"/>
      <c r="H78" s="986"/>
      <c r="I78" s="1032"/>
      <c r="J78" s="987"/>
    </row>
    <row r="79" spans="2:17" x14ac:dyDescent="0.2">
      <c r="B79" s="980">
        <f t="shared" si="3"/>
        <v>15</v>
      </c>
      <c r="C79" s="981"/>
      <c r="D79" s="1029" t="s">
        <v>567</v>
      </c>
      <c r="E79" s="983"/>
      <c r="F79" s="994"/>
      <c r="G79" s="1021" t="s">
        <v>266</v>
      </c>
      <c r="H79" s="1022"/>
      <c r="I79" s="1023">
        <f t="shared" si="2"/>
        <v>315000</v>
      </c>
      <c r="J79" s="1033"/>
      <c r="L79" s="8"/>
      <c r="M79" s="8"/>
      <c r="N79" s="8">
        <f>'[5]Usulan 2021'!I78</f>
        <v>315000</v>
      </c>
      <c r="O79" s="8">
        <f>'[5]Usulan 2021'!J78</f>
        <v>315000</v>
      </c>
      <c r="P79" s="8">
        <f>'[5]Usulan 2021'!K78</f>
        <v>315000</v>
      </c>
    </row>
    <row r="80" spans="2:17" x14ac:dyDescent="0.2">
      <c r="B80" s="980">
        <f t="shared" si="3"/>
        <v>16</v>
      </c>
      <c r="C80" s="981"/>
      <c r="D80" s="1029" t="s">
        <v>189</v>
      </c>
      <c r="E80" s="983"/>
      <c r="F80" s="994"/>
      <c r="G80" s="1021" t="s">
        <v>266</v>
      </c>
      <c r="H80" s="1022"/>
      <c r="I80" s="1023">
        <f t="shared" si="2"/>
        <v>292000</v>
      </c>
      <c r="J80" s="987"/>
      <c r="L80" s="8"/>
      <c r="M80" s="8"/>
      <c r="N80" s="8">
        <f>'[5]Usulan 2021'!I79</f>
        <v>292000</v>
      </c>
      <c r="O80" s="8">
        <f>'[5]Usulan 2021'!J79</f>
        <v>292000</v>
      </c>
      <c r="P80" s="8">
        <f>'[5]Usulan 2021'!K79</f>
        <v>292000</v>
      </c>
    </row>
    <row r="81" spans="2:16" x14ac:dyDescent="0.2">
      <c r="B81" s="980">
        <f t="shared" si="3"/>
        <v>17</v>
      </c>
      <c r="C81" s="981"/>
      <c r="D81" s="1029" t="s">
        <v>788</v>
      </c>
      <c r="E81" s="983"/>
      <c r="F81" s="994"/>
      <c r="G81" s="1021" t="s">
        <v>247</v>
      </c>
      <c r="H81" s="1022"/>
      <c r="I81" s="1023">
        <f t="shared" si="2"/>
        <v>105000</v>
      </c>
      <c r="J81" s="987"/>
      <c r="L81" s="8"/>
      <c r="M81" s="8"/>
      <c r="N81" s="8">
        <f>'[5]Usulan 2021'!I80</f>
        <v>105000</v>
      </c>
      <c r="O81" s="8">
        <f>'[5]Usulan 2021'!J80</f>
        <v>105000</v>
      </c>
      <c r="P81" s="8">
        <f>'[5]Usulan 2021'!K80</f>
        <v>105000</v>
      </c>
    </row>
    <row r="82" spans="2:16" x14ac:dyDescent="0.2">
      <c r="B82" s="980">
        <f t="shared" si="3"/>
        <v>18</v>
      </c>
      <c r="C82" s="981"/>
      <c r="D82" s="1029"/>
      <c r="E82" s="983"/>
      <c r="F82" s="994"/>
      <c r="G82" s="1021"/>
      <c r="H82" s="1022"/>
      <c r="I82" s="1023">
        <f t="shared" si="2"/>
        <v>30000</v>
      </c>
      <c r="J82" s="987"/>
      <c r="L82" s="8"/>
      <c r="M82" s="8"/>
      <c r="N82" s="8">
        <f>'[5]Usulan 2021'!I81</f>
        <v>30000</v>
      </c>
      <c r="O82" s="8"/>
      <c r="P82" s="8"/>
    </row>
    <row r="83" spans="2:16" x14ac:dyDescent="0.2">
      <c r="B83" s="980">
        <f t="shared" si="3"/>
        <v>19</v>
      </c>
      <c r="C83" s="981"/>
      <c r="D83" s="1029" t="s">
        <v>1411</v>
      </c>
      <c r="E83" s="983"/>
      <c r="F83" s="994"/>
      <c r="G83" s="1021" t="str">
        <f>'[5]Usulan 2021'!G82</f>
        <v>lbr</v>
      </c>
      <c r="H83" s="1022"/>
      <c r="I83" s="1023">
        <f t="shared" si="2"/>
        <v>61000</v>
      </c>
      <c r="J83" s="987"/>
      <c r="L83" s="8"/>
      <c r="M83" s="8"/>
      <c r="N83" s="8">
        <f>'[5]Usulan 2021'!I82</f>
        <v>61000</v>
      </c>
      <c r="O83" s="8"/>
      <c r="P83" s="8"/>
    </row>
    <row r="84" spans="2:16" x14ac:dyDescent="0.2">
      <c r="B84" s="980">
        <f t="shared" si="3"/>
        <v>20</v>
      </c>
      <c r="C84" s="981"/>
      <c r="D84" s="1029" t="s">
        <v>1412</v>
      </c>
      <c r="E84" s="983"/>
      <c r="F84" s="994"/>
      <c r="G84" s="1021" t="str">
        <f>'[5]Usulan 2021'!G83</f>
        <v>lbr</v>
      </c>
      <c r="H84" s="1022"/>
      <c r="I84" s="1023">
        <f t="shared" si="2"/>
        <v>97000</v>
      </c>
      <c r="J84" s="987"/>
      <c r="L84" s="8"/>
      <c r="M84" s="8"/>
      <c r="N84" s="8">
        <f>'[5]Usulan 2021'!I83</f>
        <v>97000</v>
      </c>
      <c r="O84" s="8"/>
      <c r="P84" s="8"/>
    </row>
    <row r="85" spans="2:16" x14ac:dyDescent="0.2">
      <c r="B85" s="980">
        <f t="shared" si="3"/>
        <v>21</v>
      </c>
      <c r="C85" s="981"/>
      <c r="D85" s="1029" t="s">
        <v>843</v>
      </c>
      <c r="E85" s="983"/>
      <c r="F85" s="994"/>
      <c r="G85" s="1021" t="s">
        <v>277</v>
      </c>
      <c r="H85" s="1022"/>
      <c r="I85" s="1023">
        <f>N85</f>
        <v>116000</v>
      </c>
      <c r="J85" s="987"/>
      <c r="L85" s="8"/>
      <c r="M85" s="8"/>
      <c r="N85" s="8">
        <f>'[5]Usulan 2021'!I84</f>
        <v>116000</v>
      </c>
      <c r="O85" s="8">
        <f>'[5]Usulan 2021'!J84</f>
        <v>116000</v>
      </c>
      <c r="P85" s="8">
        <f>'[5]Usulan 2021'!K84</f>
        <v>116000</v>
      </c>
    </row>
    <row r="86" spans="2:16" x14ac:dyDescent="0.2">
      <c r="B86" s="980">
        <f>B85+1</f>
        <v>22</v>
      </c>
      <c r="C86" s="981"/>
      <c r="D86" s="1029" t="s">
        <v>844</v>
      </c>
      <c r="E86" s="983"/>
      <c r="F86" s="994"/>
      <c r="G86" s="1021" t="s">
        <v>247</v>
      </c>
      <c r="H86" s="1022"/>
      <c r="I86" s="1023">
        <f>N86</f>
        <v>35000</v>
      </c>
      <c r="J86" s="987"/>
      <c r="L86" s="8"/>
      <c r="M86" s="8"/>
      <c r="N86" s="8">
        <f>'[5]Usulan 2021'!I85</f>
        <v>35000</v>
      </c>
      <c r="O86" s="8">
        <f>'[5]Usulan 2021'!J85</f>
        <v>35000</v>
      </c>
      <c r="P86" s="8">
        <f>'[5]Usulan 2021'!K85</f>
        <v>35000</v>
      </c>
    </row>
    <row r="87" spans="2:16" x14ac:dyDescent="0.2">
      <c r="B87" s="980">
        <f>B86+1</f>
        <v>23</v>
      </c>
      <c r="C87" s="981"/>
      <c r="D87" s="1029" t="s">
        <v>842</v>
      </c>
      <c r="E87" s="983"/>
      <c r="F87" s="994"/>
      <c r="G87" s="1021" t="s">
        <v>277</v>
      </c>
      <c r="H87" s="1022"/>
      <c r="I87" s="1023">
        <f t="shared" si="2"/>
        <v>186000</v>
      </c>
      <c r="J87" s="987"/>
      <c r="L87" s="8"/>
      <c r="M87" s="8"/>
      <c r="N87" s="8">
        <f>'[5]Usulan 2021'!I86</f>
        <v>186000</v>
      </c>
      <c r="O87" s="8">
        <f>'[5]Usulan 2021'!J86</f>
        <v>186000</v>
      </c>
      <c r="P87" s="8">
        <f>'[5]Usulan 2021'!K86</f>
        <v>186000</v>
      </c>
    </row>
    <row r="88" spans="2:16" x14ac:dyDescent="0.2">
      <c r="B88" s="980">
        <f>B87+1</f>
        <v>24</v>
      </c>
      <c r="C88" s="981"/>
      <c r="D88" s="1029" t="s">
        <v>845</v>
      </c>
      <c r="E88" s="983"/>
      <c r="F88" s="994"/>
      <c r="G88" s="1021" t="s">
        <v>266</v>
      </c>
      <c r="H88" s="1022"/>
      <c r="I88" s="1023">
        <f t="shared" si="2"/>
        <v>70100</v>
      </c>
      <c r="J88" s="987"/>
      <c r="L88" s="8"/>
      <c r="M88" s="8"/>
      <c r="N88" s="8">
        <f>'[5]Usulan 2021'!I87</f>
        <v>70100</v>
      </c>
      <c r="O88" s="8">
        <f>'[5]Usulan 2021'!J87</f>
        <v>70100</v>
      </c>
      <c r="P88" s="8">
        <f>'[5]Usulan 2021'!K87</f>
        <v>70100</v>
      </c>
    </row>
    <row r="89" spans="2:16" x14ac:dyDescent="0.2">
      <c r="B89" s="980">
        <f t="shared" si="3"/>
        <v>25</v>
      </c>
      <c r="C89" s="981"/>
      <c r="D89" s="1029" t="s">
        <v>846</v>
      </c>
      <c r="E89" s="983"/>
      <c r="F89" s="994"/>
      <c r="G89" s="1021" t="s">
        <v>266</v>
      </c>
      <c r="H89" s="1022"/>
      <c r="I89" s="1023">
        <f t="shared" si="2"/>
        <v>526000</v>
      </c>
      <c r="J89" s="987"/>
      <c r="L89" s="8"/>
      <c r="M89" s="8"/>
      <c r="N89" s="8">
        <f>'[5]Usulan 2021'!I88</f>
        <v>526000</v>
      </c>
      <c r="O89" s="8">
        <f>'[5]Usulan 2021'!J88</f>
        <v>526000</v>
      </c>
      <c r="P89" s="8">
        <f>'[5]Usulan 2021'!K88</f>
        <v>526000</v>
      </c>
    </row>
    <row r="90" spans="2:16" x14ac:dyDescent="0.2">
      <c r="B90" s="980">
        <f t="shared" si="3"/>
        <v>26</v>
      </c>
      <c r="C90" s="981"/>
      <c r="D90" s="1029" t="s">
        <v>191</v>
      </c>
      <c r="E90" s="983"/>
      <c r="F90" s="994"/>
      <c r="G90" s="1021" t="s">
        <v>266</v>
      </c>
      <c r="H90" s="1022"/>
      <c r="I90" s="1023">
        <f t="shared" si="2"/>
        <v>467000</v>
      </c>
      <c r="J90" s="987"/>
      <c r="L90" s="8"/>
      <c r="M90" s="8"/>
      <c r="N90" s="8">
        <f>'[5]Usulan 2021'!I89</f>
        <v>467000</v>
      </c>
      <c r="O90" s="8">
        <f>'[5]Usulan 2021'!J89</f>
        <v>467000</v>
      </c>
      <c r="P90" s="8">
        <f>'[5]Usulan 2021'!K89</f>
        <v>467000</v>
      </c>
    </row>
    <row r="91" spans="2:16" x14ac:dyDescent="0.2">
      <c r="B91" s="980">
        <f t="shared" si="3"/>
        <v>27</v>
      </c>
      <c r="C91" s="981"/>
      <c r="D91" s="1029" t="s">
        <v>188</v>
      </c>
      <c r="E91" s="983"/>
      <c r="F91" s="994"/>
      <c r="G91" s="1021" t="s">
        <v>266</v>
      </c>
      <c r="H91" s="1022"/>
      <c r="I91" s="1023">
        <f t="shared" si="2"/>
        <v>818000</v>
      </c>
      <c r="J91" s="987"/>
      <c r="L91" s="8"/>
      <c r="M91" s="8"/>
      <c r="N91" s="8">
        <f>'[5]Usulan 2021'!I90</f>
        <v>818000</v>
      </c>
      <c r="O91" s="8">
        <f>'[5]Usulan 2021'!J90</f>
        <v>818000</v>
      </c>
      <c r="P91" s="8">
        <f>'[5]Usulan 2021'!K90</f>
        <v>818000</v>
      </c>
    </row>
    <row r="92" spans="2:16" x14ac:dyDescent="0.2">
      <c r="B92" s="980">
        <f t="shared" si="3"/>
        <v>28</v>
      </c>
      <c r="C92" s="981"/>
      <c r="D92" s="1029" t="s">
        <v>550</v>
      </c>
      <c r="E92" s="983"/>
      <c r="F92" s="994"/>
      <c r="G92" s="1021" t="s">
        <v>275</v>
      </c>
      <c r="H92" s="1022"/>
      <c r="I92" s="1023">
        <f t="shared" si="2"/>
        <v>2046000</v>
      </c>
      <c r="J92" s="987"/>
      <c r="L92" s="8"/>
      <c r="M92" s="8"/>
      <c r="N92" s="8">
        <f>'[5]Usulan 2021'!I91</f>
        <v>2046000</v>
      </c>
      <c r="O92" s="8">
        <f>'[5]Usulan 2021'!J91</f>
        <v>2046000</v>
      </c>
      <c r="P92" s="8">
        <f>'[5]Usulan 2021'!K91</f>
        <v>2046000</v>
      </c>
    </row>
    <row r="93" spans="2:16" x14ac:dyDescent="0.2">
      <c r="B93" s="980">
        <f t="shared" si="3"/>
        <v>29</v>
      </c>
      <c r="C93" s="981"/>
      <c r="D93" s="1029" t="s">
        <v>161</v>
      </c>
      <c r="E93" s="983"/>
      <c r="F93" s="994"/>
      <c r="G93" s="1021" t="s">
        <v>268</v>
      </c>
      <c r="H93" s="1022"/>
      <c r="I93" s="1023">
        <f t="shared" si="2"/>
        <v>81700</v>
      </c>
      <c r="J93" s="987"/>
      <c r="L93" s="8"/>
      <c r="M93" s="8"/>
      <c r="N93" s="8">
        <f>'[5]Usulan 2021'!I92</f>
        <v>81700</v>
      </c>
      <c r="O93" s="8">
        <f>'[5]Usulan 2021'!J92</f>
        <v>81700</v>
      </c>
      <c r="P93" s="8">
        <f>'[5]Usulan 2021'!K92</f>
        <v>81700</v>
      </c>
    </row>
    <row r="94" spans="2:16" x14ac:dyDescent="0.2">
      <c r="B94" s="980">
        <f t="shared" si="3"/>
        <v>30</v>
      </c>
      <c r="C94" s="981"/>
      <c r="D94" s="1030" t="s">
        <v>678</v>
      </c>
      <c r="E94" s="1026"/>
      <c r="F94" s="1027"/>
      <c r="G94" s="1021" t="s">
        <v>298</v>
      </c>
      <c r="H94" s="1022"/>
      <c r="I94" s="1023">
        <f t="shared" si="2"/>
        <v>15200</v>
      </c>
      <c r="J94" s="987"/>
      <c r="L94" s="8"/>
      <c r="M94" s="8"/>
      <c r="N94" s="8">
        <f>'[5]Usulan 2021'!I93</f>
        <v>15200</v>
      </c>
      <c r="O94" s="8">
        <f>'[5]Usulan 2021'!J93</f>
        <v>15200</v>
      </c>
      <c r="P94" s="8">
        <f>'[5]Usulan 2021'!K93</f>
        <v>15200</v>
      </c>
    </row>
    <row r="95" spans="2:16" x14ac:dyDescent="0.2">
      <c r="B95" s="980">
        <f t="shared" si="3"/>
        <v>31</v>
      </c>
      <c r="C95" s="981"/>
      <c r="D95" s="1030" t="s">
        <v>26</v>
      </c>
      <c r="E95" s="1026"/>
      <c r="F95" s="1027"/>
      <c r="G95" s="985" t="s">
        <v>276</v>
      </c>
      <c r="H95" s="1022"/>
      <c r="I95" s="1023">
        <f t="shared" si="2"/>
        <v>11000</v>
      </c>
      <c r="J95" s="987"/>
      <c r="L95" s="8"/>
      <c r="M95" s="8"/>
      <c r="N95" s="8">
        <f>'[5]Usulan 2021'!I94</f>
        <v>11000</v>
      </c>
      <c r="O95" s="8">
        <f>'[5]Usulan 2021'!J94</f>
        <v>11000</v>
      </c>
      <c r="P95" s="8">
        <f>'[5]Usulan 2021'!K94</f>
        <v>11000</v>
      </c>
    </row>
    <row r="96" spans="2:16" x14ac:dyDescent="0.2">
      <c r="B96" s="980">
        <f t="shared" si="3"/>
        <v>32</v>
      </c>
      <c r="C96" s="981"/>
      <c r="D96" s="1030" t="s">
        <v>27</v>
      </c>
      <c r="E96" s="1026"/>
      <c r="F96" s="1027"/>
      <c r="G96" s="985" t="s">
        <v>276</v>
      </c>
      <c r="H96" s="1022"/>
      <c r="I96" s="1023">
        <f t="shared" si="2"/>
        <v>20000</v>
      </c>
      <c r="J96" s="987"/>
      <c r="L96" s="8"/>
      <c r="M96" s="8"/>
      <c r="N96" s="8">
        <f>'[5]Usulan 2021'!I95</f>
        <v>20000</v>
      </c>
      <c r="O96" s="8">
        <f>'[5]Usulan 2021'!J95</f>
        <v>20000</v>
      </c>
      <c r="P96" s="8">
        <f>'[5]Usulan 2021'!K95</f>
        <v>20000</v>
      </c>
    </row>
    <row r="97" spans="2:16" x14ac:dyDescent="0.2">
      <c r="B97" s="980">
        <f t="shared" si="3"/>
        <v>33</v>
      </c>
      <c r="C97" s="981"/>
      <c r="D97" s="1030" t="s">
        <v>1471</v>
      </c>
      <c r="E97" s="1026"/>
      <c r="F97" s="1027"/>
      <c r="G97" s="985" t="s">
        <v>276</v>
      </c>
      <c r="H97" s="1022"/>
      <c r="I97" s="1023">
        <f t="shared" si="2"/>
        <v>12000</v>
      </c>
      <c r="J97" s="987"/>
      <c r="L97" s="8"/>
      <c r="M97" s="8"/>
      <c r="N97" s="8">
        <f>'[5]Usulan 2021'!I96</f>
        <v>12000</v>
      </c>
      <c r="O97" s="8"/>
      <c r="P97" s="8"/>
    </row>
    <row r="98" spans="2:16" x14ac:dyDescent="0.2">
      <c r="B98" s="980">
        <f t="shared" si="3"/>
        <v>34</v>
      </c>
      <c r="C98" s="981"/>
      <c r="D98" s="1030" t="s">
        <v>477</v>
      </c>
      <c r="E98" s="1026"/>
      <c r="F98" s="994"/>
      <c r="G98" s="985" t="s">
        <v>265</v>
      </c>
      <c r="H98" s="1022"/>
      <c r="I98" s="1023">
        <f t="shared" si="2"/>
        <v>3600</v>
      </c>
      <c r="J98" s="987"/>
      <c r="L98" s="8"/>
      <c r="M98" s="8"/>
      <c r="N98" s="8">
        <f>'[5]Usulan 2021'!I97</f>
        <v>3600</v>
      </c>
      <c r="O98" s="8">
        <f>'[5]Usulan 2021'!J97</f>
        <v>3600</v>
      </c>
      <c r="P98" s="8">
        <f>'[5]Usulan 2021'!K97</f>
        <v>3600</v>
      </c>
    </row>
    <row r="99" spans="2:16" x14ac:dyDescent="0.2">
      <c r="B99" s="980">
        <f t="shared" si="3"/>
        <v>35</v>
      </c>
      <c r="C99" s="1034"/>
      <c r="D99" s="1029" t="s">
        <v>1270</v>
      </c>
      <c r="E99" s="983"/>
      <c r="F99" s="994"/>
      <c r="G99" s="985" t="s">
        <v>298</v>
      </c>
      <c r="H99" s="1035"/>
      <c r="I99" s="1023">
        <f>N99</f>
        <v>876000</v>
      </c>
      <c r="J99" s="987"/>
      <c r="L99" s="8"/>
      <c r="M99" s="8"/>
      <c r="N99" s="8">
        <f>'[5]Usulan 2021'!I98</f>
        <v>876000</v>
      </c>
      <c r="O99" s="8">
        <f>'[5]Usulan 2021'!J98</f>
        <v>876000</v>
      </c>
      <c r="P99" s="8">
        <f>'[5]Usulan 2021'!K98</f>
        <v>876000</v>
      </c>
    </row>
    <row r="100" spans="2:16" x14ac:dyDescent="0.2">
      <c r="B100" s="980">
        <f t="shared" si="3"/>
        <v>36</v>
      </c>
      <c r="C100" s="1034"/>
      <c r="D100" s="1029" t="s">
        <v>710</v>
      </c>
      <c r="E100" s="983"/>
      <c r="F100" s="994"/>
      <c r="G100" s="985" t="s">
        <v>266</v>
      </c>
      <c r="H100" s="1035"/>
      <c r="I100" s="1023">
        <f t="shared" si="2"/>
        <v>204000</v>
      </c>
      <c r="J100" s="987"/>
      <c r="L100" s="8"/>
      <c r="M100" s="8"/>
      <c r="N100" s="8">
        <f>'[5]Usulan 2021'!I99</f>
        <v>204000</v>
      </c>
      <c r="O100" s="8">
        <f>'[5]Usulan 2021'!J99</f>
        <v>204000</v>
      </c>
      <c r="P100" s="8">
        <f>'[5]Usulan 2021'!K99</f>
        <v>204000</v>
      </c>
    </row>
    <row r="101" spans="2:16" x14ac:dyDescent="0.2">
      <c r="B101" s="980">
        <f t="shared" si="3"/>
        <v>37</v>
      </c>
      <c r="C101" s="1034"/>
      <c r="D101" s="1029" t="s">
        <v>847</v>
      </c>
      <c r="E101" s="983"/>
      <c r="F101" s="994"/>
      <c r="G101" s="985" t="s">
        <v>298</v>
      </c>
      <c r="H101" s="1035"/>
      <c r="I101" s="1023">
        <f t="shared" si="2"/>
        <v>12800</v>
      </c>
      <c r="J101" s="987"/>
      <c r="L101" s="8"/>
      <c r="M101" s="8"/>
      <c r="N101" s="8">
        <f>'[5]Usulan 2021'!I100</f>
        <v>12800</v>
      </c>
      <c r="O101" s="8">
        <f>'[5]Usulan 2021'!J100</f>
        <v>12800</v>
      </c>
      <c r="P101" s="8">
        <f>'[5]Usulan 2021'!K100</f>
        <v>12800</v>
      </c>
    </row>
    <row r="102" spans="2:16" x14ac:dyDescent="0.2">
      <c r="B102" s="980">
        <f t="shared" si="3"/>
        <v>38</v>
      </c>
      <c r="C102" s="981"/>
      <c r="D102" s="1029" t="s">
        <v>30</v>
      </c>
      <c r="E102" s="983"/>
      <c r="F102" s="983"/>
      <c r="G102" s="985" t="s">
        <v>268</v>
      </c>
      <c r="H102" s="1022"/>
      <c r="I102" s="1023">
        <f t="shared" si="2"/>
        <v>810</v>
      </c>
      <c r="J102" s="987"/>
      <c r="L102" s="8"/>
      <c r="M102" s="8"/>
      <c r="N102" s="8">
        <f>'[5]Usulan 2021'!I101</f>
        <v>810</v>
      </c>
      <c r="O102" s="8">
        <f>'[5]Usulan 2021'!J101</f>
        <v>810</v>
      </c>
      <c r="P102" s="8">
        <f>'[5]Usulan 2021'!K101</f>
        <v>810</v>
      </c>
    </row>
    <row r="103" spans="2:16" s="326" customFormat="1" x14ac:dyDescent="0.2">
      <c r="B103" s="980">
        <f t="shared" si="3"/>
        <v>39</v>
      </c>
      <c r="C103" s="981"/>
      <c r="D103" s="1029" t="s">
        <v>893</v>
      </c>
      <c r="E103" s="983"/>
      <c r="F103" s="983"/>
      <c r="G103" s="985" t="s">
        <v>268</v>
      </c>
      <c r="H103" s="1022"/>
      <c r="I103" s="1023">
        <f t="shared" si="2"/>
        <v>0</v>
      </c>
      <c r="J103" s="1036"/>
      <c r="L103" s="327"/>
      <c r="M103" s="327"/>
      <c r="N103" s="8"/>
      <c r="O103" s="8"/>
      <c r="P103" s="8"/>
    </row>
    <row r="104" spans="2:16" x14ac:dyDescent="0.2">
      <c r="B104" s="980">
        <f t="shared" si="3"/>
        <v>40</v>
      </c>
      <c r="C104" s="981"/>
      <c r="D104" s="1029" t="s">
        <v>28</v>
      </c>
      <c r="E104" s="983"/>
      <c r="F104" s="983"/>
      <c r="G104" s="985" t="s">
        <v>266</v>
      </c>
      <c r="H104" s="1022"/>
      <c r="I104" s="1023">
        <f t="shared" si="2"/>
        <v>291000</v>
      </c>
      <c r="J104" s="987"/>
      <c r="L104" s="8"/>
      <c r="M104" s="8"/>
      <c r="N104" s="8">
        <f>'[5]Usulan 2021'!I103</f>
        <v>291000</v>
      </c>
      <c r="O104" s="8">
        <f>'[5]Usulan 2021'!J103</f>
        <v>291000</v>
      </c>
      <c r="P104" s="8">
        <f>'[5]Usulan 2021'!K103</f>
        <v>291000</v>
      </c>
    </row>
    <row r="105" spans="2:16" x14ac:dyDescent="0.2">
      <c r="B105" s="980">
        <f t="shared" si="3"/>
        <v>41</v>
      </c>
      <c r="C105" s="981"/>
      <c r="D105" s="1029" t="s">
        <v>560</v>
      </c>
      <c r="E105" s="983"/>
      <c r="F105" s="983"/>
      <c r="G105" s="985" t="s">
        <v>266</v>
      </c>
      <c r="H105" s="1022"/>
      <c r="I105" s="1023">
        <f t="shared" si="2"/>
        <v>104000</v>
      </c>
      <c r="J105" s="987"/>
      <c r="L105" s="8"/>
      <c r="M105" s="8"/>
      <c r="N105" s="8">
        <f>'[5]Usulan 2021'!I104</f>
        <v>104000</v>
      </c>
      <c r="O105" s="8">
        <f>'[5]Usulan 2021'!J104</f>
        <v>104000</v>
      </c>
      <c r="P105" s="8">
        <f>'[5]Usulan 2021'!K104</f>
        <v>104000</v>
      </c>
    </row>
    <row r="106" spans="2:16" x14ac:dyDescent="0.2">
      <c r="B106" s="980">
        <f t="shared" si="3"/>
        <v>42</v>
      </c>
      <c r="C106" s="981"/>
      <c r="D106" s="1029" t="s">
        <v>29</v>
      </c>
      <c r="E106" s="983"/>
      <c r="F106" s="983"/>
      <c r="G106" s="1021" t="s">
        <v>264</v>
      </c>
      <c r="H106" s="1022"/>
      <c r="I106" s="1023">
        <f t="shared" si="2"/>
        <v>285000</v>
      </c>
      <c r="J106" s="987"/>
      <c r="L106" s="8"/>
      <c r="M106" s="8"/>
      <c r="N106" s="8">
        <f>'[5]Usulan 2021'!I105</f>
        <v>285000</v>
      </c>
      <c r="O106" s="8">
        <f>'[5]Usulan 2021'!J105</f>
        <v>285000</v>
      </c>
      <c r="P106" s="8">
        <f>'[5]Usulan 2021'!K105</f>
        <v>285000</v>
      </c>
    </row>
    <row r="107" spans="2:16" x14ac:dyDescent="0.2">
      <c r="B107" s="980">
        <f t="shared" si="3"/>
        <v>43</v>
      </c>
      <c r="C107" s="981"/>
      <c r="D107" s="1029" t="s">
        <v>33</v>
      </c>
      <c r="E107" s="983"/>
      <c r="F107" s="983"/>
      <c r="G107" s="1021" t="s">
        <v>298</v>
      </c>
      <c r="H107" s="1037"/>
      <c r="I107" s="1023">
        <f t="shared" si="2"/>
        <v>93000</v>
      </c>
      <c r="J107" s="987"/>
      <c r="L107" s="8"/>
      <c r="M107" s="8"/>
      <c r="N107" s="8">
        <f>'[5]Usulan 2021'!I106</f>
        <v>93000</v>
      </c>
      <c r="O107" s="8">
        <f>'[5]Usulan 2021'!J106</f>
        <v>93000</v>
      </c>
      <c r="P107" s="8">
        <f>'[5]Usulan 2021'!K106</f>
        <v>93000</v>
      </c>
    </row>
    <row r="108" spans="2:16" x14ac:dyDescent="0.2">
      <c r="B108" s="980">
        <f t="shared" si="3"/>
        <v>44</v>
      </c>
      <c r="C108" s="981"/>
      <c r="D108" s="1029" t="s">
        <v>1472</v>
      </c>
      <c r="E108" s="983"/>
      <c r="F108" s="983"/>
      <c r="G108" s="1021" t="s">
        <v>268</v>
      </c>
      <c r="H108" s="1037"/>
      <c r="I108" s="1023">
        <v>2000</v>
      </c>
      <c r="J108" s="987"/>
      <c r="L108" s="8"/>
      <c r="M108" s="8"/>
      <c r="N108" s="8"/>
      <c r="O108" s="8"/>
      <c r="P108" s="8"/>
    </row>
    <row r="109" spans="2:16" x14ac:dyDescent="0.2">
      <c r="B109" s="980">
        <f t="shared" si="3"/>
        <v>45</v>
      </c>
      <c r="C109" s="981"/>
      <c r="D109" s="1029" t="s">
        <v>31</v>
      </c>
      <c r="E109" s="983"/>
      <c r="F109" s="983"/>
      <c r="G109" s="985" t="s">
        <v>266</v>
      </c>
      <c r="H109" s="1022"/>
      <c r="I109" s="1023">
        <f t="shared" si="2"/>
        <v>155000</v>
      </c>
      <c r="J109" s="987"/>
      <c r="L109" s="8"/>
      <c r="M109" s="8"/>
      <c r="N109" s="8">
        <f>'[5]Usulan 2021'!I108</f>
        <v>155000</v>
      </c>
      <c r="O109" s="8">
        <f>'[5]Usulan 2021'!J108</f>
        <v>155000</v>
      </c>
      <c r="P109" s="8">
        <f>'[5]Usulan 2021'!K108</f>
        <v>155000</v>
      </c>
    </row>
    <row r="110" spans="2:16" x14ac:dyDescent="0.2">
      <c r="B110" s="980">
        <f t="shared" si="3"/>
        <v>46</v>
      </c>
      <c r="C110" s="981"/>
      <c r="D110" s="1029" t="s">
        <v>32</v>
      </c>
      <c r="E110" s="983"/>
      <c r="F110" s="983"/>
      <c r="G110" s="985" t="s">
        <v>266</v>
      </c>
      <c r="H110" s="1022"/>
      <c r="I110" s="1023">
        <f t="shared" si="2"/>
        <v>116000</v>
      </c>
      <c r="J110" s="987"/>
      <c r="L110" s="8"/>
      <c r="M110" s="8"/>
      <c r="N110" s="8">
        <f>'[5]Usulan 2021'!I109</f>
        <v>116000</v>
      </c>
      <c r="O110" s="8">
        <f>'[5]Usulan 2021'!J109</f>
        <v>116000</v>
      </c>
      <c r="P110" s="8">
        <f>'[5]Usulan 2021'!K109</f>
        <v>116000</v>
      </c>
    </row>
    <row r="111" spans="2:16" x14ac:dyDescent="0.2">
      <c r="B111" s="980">
        <f t="shared" si="3"/>
        <v>47</v>
      </c>
      <c r="C111" s="981"/>
      <c r="D111" s="1029" t="s">
        <v>675</v>
      </c>
      <c r="E111" s="983"/>
      <c r="F111" s="994"/>
      <c r="G111" s="1021" t="s">
        <v>264</v>
      </c>
      <c r="H111" s="1022"/>
      <c r="I111" s="1023">
        <f t="shared" si="2"/>
        <v>280000</v>
      </c>
      <c r="J111" s="987"/>
      <c r="L111" s="8"/>
      <c r="M111" s="8"/>
      <c r="N111" s="8">
        <f>'[5]Usulan 2021'!I110</f>
        <v>280000</v>
      </c>
      <c r="O111" s="8">
        <f>'[5]Usulan 2021'!J110</f>
        <v>280000</v>
      </c>
      <c r="P111" s="8">
        <f>'[5]Usulan 2021'!K110</f>
        <v>280000</v>
      </c>
    </row>
    <row r="112" spans="2:16" x14ac:dyDescent="0.2">
      <c r="B112" s="980">
        <f t="shared" si="3"/>
        <v>48</v>
      </c>
      <c r="C112" s="981"/>
      <c r="D112" s="1029" t="s">
        <v>676</v>
      </c>
      <c r="E112" s="983"/>
      <c r="F112" s="994"/>
      <c r="G112" s="1021" t="s">
        <v>264</v>
      </c>
      <c r="H112" s="1022"/>
      <c r="I112" s="1023">
        <f t="shared" si="2"/>
        <v>280000</v>
      </c>
      <c r="J112" s="987"/>
      <c r="L112" s="8"/>
      <c r="M112" s="8"/>
      <c r="N112" s="8">
        <f>'[5]Usulan 2021'!I111</f>
        <v>280000</v>
      </c>
      <c r="O112" s="8">
        <f>'[5]Usulan 2021'!J111</f>
        <v>280000</v>
      </c>
      <c r="P112" s="8">
        <f>'[5]Usulan 2021'!K111</f>
        <v>280000</v>
      </c>
    </row>
    <row r="113" spans="2:17" x14ac:dyDescent="0.2">
      <c r="B113" s="980">
        <f t="shared" si="3"/>
        <v>49</v>
      </c>
      <c r="C113" s="981"/>
      <c r="D113" s="1029" t="s">
        <v>670</v>
      </c>
      <c r="E113" s="983"/>
      <c r="F113" s="994"/>
      <c r="G113" s="1021" t="s">
        <v>264</v>
      </c>
      <c r="H113" s="1022"/>
      <c r="I113" s="1023">
        <f t="shared" si="2"/>
        <v>280000</v>
      </c>
      <c r="J113" s="987"/>
      <c r="L113" s="8"/>
      <c r="M113" s="8"/>
      <c r="N113" s="8">
        <f>'[5]Usulan 2021'!I112</f>
        <v>280000</v>
      </c>
      <c r="O113" s="8">
        <f>'[5]Usulan 2021'!J112</f>
        <v>280000</v>
      </c>
      <c r="P113" s="8">
        <f>'[5]Usulan 2021'!K112</f>
        <v>280000</v>
      </c>
    </row>
    <row r="114" spans="2:17" x14ac:dyDescent="0.2">
      <c r="B114" s="980">
        <f t="shared" si="3"/>
        <v>50</v>
      </c>
      <c r="C114" s="981"/>
      <c r="D114" s="1029" t="s">
        <v>193</v>
      </c>
      <c r="E114" s="983"/>
      <c r="F114" s="994"/>
      <c r="G114" s="1021" t="s">
        <v>264</v>
      </c>
      <c r="H114" s="1022"/>
      <c r="I114" s="1023">
        <f>N114</f>
        <v>280000</v>
      </c>
      <c r="J114" s="987"/>
      <c r="L114" s="8"/>
      <c r="M114" s="8"/>
      <c r="N114" s="8">
        <f>'[5]Usulan 2021'!I113</f>
        <v>280000</v>
      </c>
      <c r="O114" s="8">
        <f>'[5]Usulan 2021'!J113</f>
        <v>280000</v>
      </c>
      <c r="P114" s="8">
        <f>'[5]Usulan 2021'!K113</f>
        <v>280000</v>
      </c>
    </row>
    <row r="115" spans="2:17" x14ac:dyDescent="0.2">
      <c r="B115" s="980">
        <f t="shared" si="3"/>
        <v>51</v>
      </c>
      <c r="C115" s="981"/>
      <c r="D115" s="1029" t="s">
        <v>192</v>
      </c>
      <c r="E115" s="983"/>
      <c r="F115" s="994"/>
      <c r="G115" s="1021" t="s">
        <v>264</v>
      </c>
      <c r="H115" s="1022"/>
      <c r="I115" s="1023">
        <f t="shared" si="2"/>
        <v>280000</v>
      </c>
      <c r="J115" s="987"/>
      <c r="L115" s="8"/>
      <c r="M115" s="8"/>
      <c r="N115" s="8">
        <f>'[5]Usulan 2021'!I114</f>
        <v>280000</v>
      </c>
      <c r="O115" s="8">
        <f>'[5]Usulan 2021'!J114</f>
        <v>280000</v>
      </c>
      <c r="P115" s="8">
        <f>'[5]Usulan 2021'!K114</f>
        <v>280000</v>
      </c>
    </row>
    <row r="116" spans="2:17" x14ac:dyDescent="0.2">
      <c r="B116" s="980">
        <f t="shared" si="3"/>
        <v>52</v>
      </c>
      <c r="C116" s="981"/>
      <c r="D116" s="1029" t="s">
        <v>671</v>
      </c>
      <c r="E116" s="983"/>
      <c r="F116" s="994"/>
      <c r="G116" s="1021" t="s">
        <v>264</v>
      </c>
      <c r="H116" s="1022"/>
      <c r="I116" s="1023">
        <f t="shared" si="2"/>
        <v>280000</v>
      </c>
      <c r="J116" s="987"/>
      <c r="L116" s="8"/>
      <c r="M116" s="8"/>
      <c r="N116" s="8">
        <f>'[5]Usulan 2021'!I115</f>
        <v>280000</v>
      </c>
      <c r="O116" s="8">
        <f>'[5]Usulan 2021'!J115</f>
        <v>280000</v>
      </c>
      <c r="P116" s="8">
        <f>'[5]Usulan 2021'!K115</f>
        <v>280000</v>
      </c>
    </row>
    <row r="117" spans="2:17" x14ac:dyDescent="0.2">
      <c r="B117" s="980">
        <f t="shared" si="3"/>
        <v>53</v>
      </c>
      <c r="C117" s="981"/>
      <c r="D117" s="1029" t="s">
        <v>672</v>
      </c>
      <c r="E117" s="983"/>
      <c r="F117" s="994"/>
      <c r="G117" s="1021" t="s">
        <v>264</v>
      </c>
      <c r="H117" s="1022"/>
      <c r="I117" s="1023">
        <f t="shared" si="2"/>
        <v>280000</v>
      </c>
      <c r="J117" s="987"/>
      <c r="L117" s="8"/>
      <c r="M117" s="8"/>
      <c r="N117" s="8">
        <f>'[5]Usulan 2021'!I116</f>
        <v>280000</v>
      </c>
      <c r="O117" s="8">
        <f>'[5]Usulan 2021'!J116</f>
        <v>280000</v>
      </c>
      <c r="P117" s="8">
        <f>'[5]Usulan 2021'!K116</f>
        <v>280000</v>
      </c>
    </row>
    <row r="118" spans="2:17" x14ac:dyDescent="0.2">
      <c r="B118" s="980">
        <f t="shared" si="3"/>
        <v>54</v>
      </c>
      <c r="C118" s="981"/>
      <c r="D118" s="1029" t="s">
        <v>673</v>
      </c>
      <c r="E118" s="983"/>
      <c r="F118" s="994"/>
      <c r="G118" s="1021" t="s">
        <v>264</v>
      </c>
      <c r="H118" s="1022"/>
      <c r="I118" s="1023">
        <f t="shared" si="2"/>
        <v>280000</v>
      </c>
      <c r="J118" s="987"/>
      <c r="L118" s="8"/>
      <c r="M118" s="8"/>
      <c r="N118" s="8">
        <f>'[5]Usulan 2021'!I117</f>
        <v>280000</v>
      </c>
      <c r="O118" s="8">
        <f>'[5]Usulan 2021'!J117</f>
        <v>280000</v>
      </c>
      <c r="P118" s="8">
        <f>'[5]Usulan 2021'!K117</f>
        <v>280000</v>
      </c>
    </row>
    <row r="119" spans="2:17" x14ac:dyDescent="0.2">
      <c r="B119" s="980">
        <f t="shared" si="3"/>
        <v>55</v>
      </c>
      <c r="C119" s="981"/>
      <c r="D119" s="1029" t="s">
        <v>674</v>
      </c>
      <c r="E119" s="983"/>
      <c r="F119" s="994"/>
      <c r="G119" s="1021" t="s">
        <v>264</v>
      </c>
      <c r="H119" s="1022"/>
      <c r="I119" s="1023">
        <f t="shared" si="2"/>
        <v>280000</v>
      </c>
      <c r="J119" s="987"/>
      <c r="L119" s="8"/>
      <c r="M119" s="8"/>
      <c r="N119" s="8">
        <f>'[5]Usulan 2021'!I118</f>
        <v>280000</v>
      </c>
      <c r="O119" s="8">
        <f>'[5]Usulan 2021'!J118</f>
        <v>280000</v>
      </c>
      <c r="P119" s="8">
        <f>'[5]Usulan 2021'!K118</f>
        <v>280000</v>
      </c>
    </row>
    <row r="120" spans="2:17" x14ac:dyDescent="0.2">
      <c r="B120" s="980">
        <f t="shared" si="3"/>
        <v>56</v>
      </c>
      <c r="C120" s="329"/>
      <c r="D120" s="1038" t="s">
        <v>648</v>
      </c>
      <c r="E120" s="993"/>
      <c r="F120" s="1039"/>
      <c r="G120" s="332" t="s">
        <v>298</v>
      </c>
      <c r="H120" s="277"/>
      <c r="I120" s="1023">
        <f t="shared" si="2"/>
        <v>35000</v>
      </c>
      <c r="J120" s="333"/>
      <c r="L120" s="8"/>
      <c r="M120" s="8"/>
      <c r="N120" s="8">
        <f>'[5]Usulan 2021'!I119</f>
        <v>35000</v>
      </c>
      <c r="O120" s="8">
        <f>'[5]Usulan 2021'!J119</f>
        <v>35000</v>
      </c>
      <c r="P120" s="8">
        <f>'[5]Usulan 2021'!K119</f>
        <v>35000</v>
      </c>
    </row>
    <row r="121" spans="2:17" x14ac:dyDescent="0.2">
      <c r="B121" s="980">
        <f t="shared" si="3"/>
        <v>57</v>
      </c>
      <c r="C121" s="1040"/>
      <c r="D121" s="1041" t="s">
        <v>1413</v>
      </c>
      <c r="E121" s="989"/>
      <c r="F121" s="1039"/>
      <c r="G121" s="1042" t="s">
        <v>298</v>
      </c>
      <c r="H121" s="1043"/>
      <c r="I121" s="1023">
        <f t="shared" si="2"/>
        <v>58100</v>
      </c>
      <c r="J121" s="333"/>
      <c r="L121" s="8"/>
      <c r="M121" s="8"/>
      <c r="N121" s="8">
        <f>'[5]Usulan 2021'!I120</f>
        <v>58100</v>
      </c>
      <c r="O121" s="8"/>
      <c r="P121" s="8"/>
    </row>
    <row r="122" spans="2:17" x14ac:dyDescent="0.2">
      <c r="B122" s="980">
        <f t="shared" si="3"/>
        <v>58</v>
      </c>
      <c r="C122" s="1040"/>
      <c r="D122" s="1041" t="s">
        <v>1414</v>
      </c>
      <c r="E122" s="989"/>
      <c r="F122" s="1039"/>
      <c r="G122" s="1042" t="s">
        <v>268</v>
      </c>
      <c r="H122" s="1043"/>
      <c r="I122" s="1023">
        <f t="shared" si="2"/>
        <v>6500</v>
      </c>
      <c r="J122" s="333"/>
      <c r="L122" s="8"/>
      <c r="M122" s="8"/>
      <c r="N122" s="8">
        <f>'[5]Usulan 2021'!I121</f>
        <v>6500</v>
      </c>
      <c r="O122" s="8"/>
      <c r="P122" s="8"/>
    </row>
    <row r="123" spans="2:17" x14ac:dyDescent="0.2">
      <c r="B123" s="980">
        <f t="shared" si="3"/>
        <v>59</v>
      </c>
      <c r="C123" s="1044"/>
      <c r="D123" s="1045" t="s">
        <v>1415</v>
      </c>
      <c r="E123" s="1046"/>
      <c r="F123" s="1039"/>
      <c r="G123" s="1047" t="s">
        <v>268</v>
      </c>
      <c r="H123" s="1048"/>
      <c r="I123" s="1023">
        <f t="shared" si="2"/>
        <v>2500</v>
      </c>
      <c r="J123" s="333"/>
      <c r="L123" s="8"/>
      <c r="M123" s="8"/>
      <c r="N123" s="8">
        <f>'[5]Usulan 2021'!I122</f>
        <v>2500</v>
      </c>
      <c r="O123" s="8"/>
      <c r="P123" s="8"/>
    </row>
    <row r="124" spans="2:17" x14ac:dyDescent="0.2">
      <c r="B124" s="980">
        <f t="shared" si="3"/>
        <v>60</v>
      </c>
      <c r="C124" s="981"/>
      <c r="D124" s="1030" t="s">
        <v>454</v>
      </c>
      <c r="E124" s="1026"/>
      <c r="F124" s="1027"/>
      <c r="G124" s="1021" t="s">
        <v>298</v>
      </c>
      <c r="H124" s="1037"/>
      <c r="I124" s="1023">
        <f>N124</f>
        <v>11500</v>
      </c>
      <c r="J124" s="987"/>
      <c r="L124" s="8"/>
      <c r="M124" s="8"/>
      <c r="N124" s="342">
        <f>'[5]Usulan 2021'!I123</f>
        <v>11500</v>
      </c>
      <c r="O124" s="342">
        <f>'[5]Usulan 2021'!J123</f>
        <v>11500</v>
      </c>
      <c r="P124" s="342">
        <f>'[5]Usulan 2021'!K123</f>
        <v>11500</v>
      </c>
    </row>
    <row r="125" spans="2:17" x14ac:dyDescent="0.2">
      <c r="B125" s="980">
        <f t="shared" si="3"/>
        <v>61</v>
      </c>
      <c r="C125" s="1049"/>
      <c r="D125" s="1050" t="s">
        <v>848</v>
      </c>
      <c r="E125" s="1051"/>
      <c r="F125" s="1027"/>
      <c r="G125" s="1052" t="s">
        <v>247</v>
      </c>
      <c r="H125" s="1053"/>
      <c r="I125" s="1023">
        <f t="shared" si="2"/>
        <v>5200</v>
      </c>
      <c r="J125" s="987"/>
      <c r="L125" s="8"/>
      <c r="M125" s="8"/>
      <c r="N125" s="8">
        <f>'[5]Usulan 2021'!I124</f>
        <v>5200</v>
      </c>
      <c r="O125" s="8">
        <f>'[5]Usulan 2021'!J124</f>
        <v>5200</v>
      </c>
      <c r="P125" s="8">
        <f>'[5]Usulan 2021'!K124</f>
        <v>5200</v>
      </c>
    </row>
    <row r="126" spans="2:17" x14ac:dyDescent="0.2">
      <c r="B126" s="980">
        <f t="shared" si="3"/>
        <v>62</v>
      </c>
      <c r="C126" s="1049"/>
      <c r="D126" s="1050" t="s">
        <v>849</v>
      </c>
      <c r="E126" s="1051"/>
      <c r="F126" s="1027"/>
      <c r="G126" s="1052" t="s">
        <v>247</v>
      </c>
      <c r="H126" s="1053"/>
      <c r="I126" s="1023">
        <f t="shared" si="2"/>
        <v>8600</v>
      </c>
      <c r="J126" s="987"/>
      <c r="L126" s="8"/>
      <c r="M126" s="8"/>
      <c r="N126" s="8">
        <f>'[5]Usulan 2021'!I125</f>
        <v>8600</v>
      </c>
      <c r="O126" s="8">
        <f>'[5]Usulan 2021'!J125</f>
        <v>8600</v>
      </c>
      <c r="P126" s="8">
        <f>'[5]Usulan 2021'!K125</f>
        <v>8600</v>
      </c>
      <c r="Q126" s="8"/>
    </row>
    <row r="127" spans="2:17" x14ac:dyDescent="0.2">
      <c r="B127" s="980">
        <f t="shared" si="3"/>
        <v>63</v>
      </c>
      <c r="C127" s="981"/>
      <c r="D127" s="1029" t="s">
        <v>850</v>
      </c>
      <c r="E127" s="983"/>
      <c r="F127" s="1027"/>
      <c r="G127" s="985" t="s">
        <v>247</v>
      </c>
      <c r="H127" s="1022"/>
      <c r="I127" s="1023">
        <f t="shared" si="2"/>
        <v>9400</v>
      </c>
      <c r="J127" s="987"/>
      <c r="L127" s="8"/>
      <c r="M127" s="8"/>
      <c r="N127" s="8">
        <f>'[5]Usulan 2021'!I126</f>
        <v>9400</v>
      </c>
      <c r="O127" s="8">
        <f>'[5]Usulan 2021'!J126</f>
        <v>9400</v>
      </c>
      <c r="P127" s="8">
        <f>'[5]Usulan 2021'!K126</f>
        <v>9400</v>
      </c>
    </row>
    <row r="128" spans="2:17" x14ac:dyDescent="0.2">
      <c r="B128" s="980">
        <f t="shared" si="3"/>
        <v>64</v>
      </c>
      <c r="C128" s="981"/>
      <c r="D128" s="1029" t="s">
        <v>851</v>
      </c>
      <c r="E128" s="983"/>
      <c r="F128" s="1027"/>
      <c r="G128" s="985" t="s">
        <v>247</v>
      </c>
      <c r="H128" s="1022"/>
      <c r="I128" s="1023">
        <f t="shared" si="2"/>
        <v>14100</v>
      </c>
      <c r="J128" s="1054"/>
      <c r="L128" s="8"/>
      <c r="M128" s="8"/>
      <c r="N128" s="8">
        <f>'[5]Usulan 2021'!I127</f>
        <v>14100</v>
      </c>
      <c r="O128" s="8">
        <f>'[5]Usulan 2021'!J127</f>
        <v>14100</v>
      </c>
      <c r="P128" s="8">
        <f>'[5]Usulan 2021'!K127</f>
        <v>14100</v>
      </c>
    </row>
    <row r="129" spans="2:20" ht="15" customHeight="1" x14ac:dyDescent="0.2">
      <c r="B129" s="980">
        <f t="shared" si="3"/>
        <v>65</v>
      </c>
      <c r="C129" s="1049"/>
      <c r="D129" s="1055" t="s">
        <v>647</v>
      </c>
      <c r="E129" s="1051"/>
      <c r="F129" s="1039"/>
      <c r="G129" s="1056" t="s">
        <v>298</v>
      </c>
      <c r="H129" s="1057"/>
      <c r="I129" s="1023">
        <f t="shared" si="2"/>
        <v>15000</v>
      </c>
      <c r="J129" s="333"/>
      <c r="L129" s="8"/>
      <c r="M129" s="8"/>
      <c r="N129" s="8">
        <f>'[5]Usulan 2021'!I128</f>
        <v>15000</v>
      </c>
      <c r="O129" s="8">
        <f>'[5]Usulan 2021'!J128</f>
        <v>15000</v>
      </c>
      <c r="P129" s="8">
        <f>'[5]Usulan 2021'!K128</f>
        <v>15000</v>
      </c>
    </row>
    <row r="130" spans="2:20" ht="15" customHeight="1" x14ac:dyDescent="0.2">
      <c r="B130" s="980">
        <f t="shared" si="3"/>
        <v>66</v>
      </c>
      <c r="C130" s="981"/>
      <c r="D130" s="1030" t="s">
        <v>852</v>
      </c>
      <c r="E130" s="1026"/>
      <c r="F130" s="1027"/>
      <c r="G130" s="1021" t="s">
        <v>298</v>
      </c>
      <c r="H130" s="1022"/>
      <c r="I130" s="1023">
        <f t="shared" si="2"/>
        <v>15000</v>
      </c>
      <c r="J130" s="987"/>
      <c r="L130" s="8"/>
      <c r="M130" s="8"/>
      <c r="N130" s="8">
        <f>'[5]Usulan 2021'!I129</f>
        <v>15000</v>
      </c>
      <c r="O130" s="8">
        <f>'[5]Usulan 2021'!J129</f>
        <v>15000</v>
      </c>
      <c r="P130" s="8">
        <f>'[5]Usulan 2021'!K129</f>
        <v>15000</v>
      </c>
    </row>
    <row r="131" spans="2:20" ht="15" customHeight="1" x14ac:dyDescent="0.2">
      <c r="B131" s="980">
        <f t="shared" ref="B131:B194" si="4">B130+1</f>
        <v>67</v>
      </c>
      <c r="C131" s="981"/>
      <c r="D131" s="1029" t="s">
        <v>853</v>
      </c>
      <c r="E131" s="983"/>
      <c r="F131" s="1027"/>
      <c r="G131" s="985" t="s">
        <v>277</v>
      </c>
      <c r="H131" s="1022"/>
      <c r="I131" s="1023">
        <f t="shared" si="2"/>
        <v>270000</v>
      </c>
      <c r="J131" s="1054"/>
      <c r="L131" s="8"/>
      <c r="M131" s="8"/>
      <c r="N131" s="8">
        <f>'[5]Usulan 2021'!I130</f>
        <v>270000</v>
      </c>
      <c r="O131" s="8">
        <f>'[5]Usulan 2021'!J130</f>
        <v>270000</v>
      </c>
      <c r="P131" s="8">
        <f>'[5]Usulan 2021'!K130</f>
        <v>270000</v>
      </c>
      <c r="R131" s="210">
        <v>24.14</v>
      </c>
      <c r="S131" s="352">
        <f>N131/R131</f>
        <v>11184.755592377796</v>
      </c>
    </row>
    <row r="132" spans="2:20" ht="15" customHeight="1" x14ac:dyDescent="0.2">
      <c r="B132" s="980">
        <f t="shared" si="4"/>
        <v>68</v>
      </c>
      <c r="C132" s="981"/>
      <c r="D132" s="1029" t="s">
        <v>854</v>
      </c>
      <c r="E132" s="983"/>
      <c r="F132" s="1027"/>
      <c r="G132" s="985" t="s">
        <v>277</v>
      </c>
      <c r="H132" s="1022"/>
      <c r="I132" s="1023">
        <f t="shared" si="2"/>
        <v>385000</v>
      </c>
      <c r="J132" s="1054"/>
      <c r="L132" s="8"/>
      <c r="M132" s="8"/>
      <c r="N132" s="8">
        <f>'[5]Usulan 2021'!I131</f>
        <v>385000</v>
      </c>
      <c r="O132" s="8">
        <f>'[5]Usulan 2021'!J131</f>
        <v>385000</v>
      </c>
      <c r="P132" s="8">
        <f>'[5]Usulan 2021'!K131</f>
        <v>385000</v>
      </c>
    </row>
    <row r="133" spans="2:20" ht="15" customHeight="1" x14ac:dyDescent="0.2">
      <c r="B133" s="980">
        <f t="shared" si="4"/>
        <v>69</v>
      </c>
      <c r="C133" s="981"/>
      <c r="D133" s="1029" t="s">
        <v>855</v>
      </c>
      <c r="E133" s="983"/>
      <c r="F133" s="1027"/>
      <c r="G133" s="985" t="s">
        <v>277</v>
      </c>
      <c r="H133" s="1022"/>
      <c r="I133" s="1023">
        <f t="shared" si="2"/>
        <v>414000</v>
      </c>
      <c r="J133" s="1054"/>
      <c r="L133" s="8"/>
      <c r="M133" s="8"/>
      <c r="N133" s="8">
        <f>'[5]Usulan 2021'!I132</f>
        <v>414000</v>
      </c>
      <c r="O133" s="8">
        <f>'[5]Usulan 2021'!J132</f>
        <v>414000</v>
      </c>
      <c r="P133" s="8">
        <f>'[5]Usulan 2021'!K132</f>
        <v>414000</v>
      </c>
    </row>
    <row r="134" spans="2:20" ht="15" customHeight="1" x14ac:dyDescent="0.2">
      <c r="B134" s="980">
        <f t="shared" si="4"/>
        <v>70</v>
      </c>
      <c r="C134" s="981"/>
      <c r="D134" s="1029" t="s">
        <v>856</v>
      </c>
      <c r="E134" s="983"/>
      <c r="F134" s="1027"/>
      <c r="G134" s="985" t="s">
        <v>277</v>
      </c>
      <c r="H134" s="1022"/>
      <c r="I134" s="1023">
        <f t="shared" si="2"/>
        <v>445000</v>
      </c>
      <c r="J134" s="1054"/>
      <c r="L134" s="8"/>
      <c r="M134" s="8"/>
      <c r="N134" s="8">
        <f>'[5]Usulan 2021'!I133</f>
        <v>445000</v>
      </c>
      <c r="O134" s="8">
        <f>'[5]Usulan 2021'!J133</f>
        <v>445000</v>
      </c>
      <c r="P134" s="8">
        <f>'[5]Usulan 2021'!K133</f>
        <v>445000</v>
      </c>
      <c r="R134" s="210">
        <v>34.76</v>
      </c>
      <c r="S134" s="352">
        <f>N134/R134</f>
        <v>12802.071346375145</v>
      </c>
    </row>
    <row r="135" spans="2:20" ht="15" customHeight="1" x14ac:dyDescent="0.2">
      <c r="B135" s="980">
        <f t="shared" si="4"/>
        <v>71</v>
      </c>
      <c r="C135" s="981"/>
      <c r="D135" s="1029" t="s">
        <v>857</v>
      </c>
      <c r="E135" s="983"/>
      <c r="F135" s="1027"/>
      <c r="G135" s="985" t="s">
        <v>277</v>
      </c>
      <c r="H135" s="1022"/>
      <c r="I135" s="1023">
        <f t="shared" si="2"/>
        <v>578000</v>
      </c>
      <c r="J135" s="1054"/>
      <c r="L135" s="8"/>
      <c r="M135" s="8"/>
      <c r="N135" s="8">
        <f>'[5]Usulan 2021'!I134</f>
        <v>578000</v>
      </c>
      <c r="O135" s="8">
        <f>'[5]Usulan 2021'!J134</f>
        <v>578000</v>
      </c>
      <c r="P135" s="8">
        <f>'[5]Usulan 2021'!K134</f>
        <v>578000</v>
      </c>
    </row>
    <row r="136" spans="2:20" ht="15" customHeight="1" x14ac:dyDescent="0.2">
      <c r="B136" s="980">
        <f t="shared" si="4"/>
        <v>72</v>
      </c>
      <c r="C136" s="981"/>
      <c r="D136" s="1029" t="s">
        <v>858</v>
      </c>
      <c r="E136" s="983"/>
      <c r="F136" s="1027"/>
      <c r="G136" s="985" t="s">
        <v>277</v>
      </c>
      <c r="H136" s="1022"/>
      <c r="I136" s="1023">
        <f t="shared" si="2"/>
        <v>730000</v>
      </c>
      <c r="J136" s="1054"/>
      <c r="L136" s="8"/>
      <c r="M136" s="8"/>
      <c r="N136" s="8">
        <f>'[5]Usulan 2021'!I135</f>
        <v>730000</v>
      </c>
      <c r="O136" s="8">
        <f>'[5]Usulan 2021'!J135</f>
        <v>730000</v>
      </c>
      <c r="P136" s="8">
        <f>'[5]Usulan 2021'!K135</f>
        <v>730000</v>
      </c>
    </row>
    <row r="137" spans="2:20" ht="15" customHeight="1" x14ac:dyDescent="0.2">
      <c r="B137" s="980">
        <f t="shared" si="4"/>
        <v>73</v>
      </c>
      <c r="C137" s="981"/>
      <c r="D137" s="1029" t="s">
        <v>859</v>
      </c>
      <c r="E137" s="983"/>
      <c r="F137" s="1027"/>
      <c r="G137" s="985" t="s">
        <v>277</v>
      </c>
      <c r="H137" s="1022"/>
      <c r="I137" s="1023">
        <f t="shared" si="2"/>
        <v>770000</v>
      </c>
      <c r="J137" s="1054"/>
      <c r="L137" s="8"/>
      <c r="M137" s="8"/>
      <c r="N137" s="8">
        <f>'[5]Usulan 2021'!I136</f>
        <v>770000</v>
      </c>
      <c r="O137" s="8">
        <f>'[5]Usulan 2021'!J136</f>
        <v>770000</v>
      </c>
      <c r="P137" s="8">
        <f>'[5]Usulan 2021'!K136</f>
        <v>770000</v>
      </c>
    </row>
    <row r="138" spans="2:20" ht="15" customHeight="1" x14ac:dyDescent="0.2">
      <c r="B138" s="980">
        <f t="shared" si="4"/>
        <v>74</v>
      </c>
      <c r="C138" s="981"/>
      <c r="D138" s="1029" t="s">
        <v>860</v>
      </c>
      <c r="E138" s="983"/>
      <c r="F138" s="1027"/>
      <c r="G138" s="985" t="s">
        <v>277</v>
      </c>
      <c r="H138" s="1022"/>
      <c r="I138" s="1023">
        <f t="shared" si="2"/>
        <v>812000</v>
      </c>
      <c r="J138" s="1054"/>
      <c r="L138" s="8"/>
      <c r="M138" s="8"/>
      <c r="N138" s="8">
        <f>'[5]Usulan 2021'!I137</f>
        <v>812000</v>
      </c>
      <c r="O138" s="8">
        <f>'[5]Usulan 2021'!J137</f>
        <v>812000</v>
      </c>
      <c r="P138" s="8">
        <f>'[5]Usulan 2021'!K137</f>
        <v>812000</v>
      </c>
      <c r="R138" s="210">
        <v>61.79</v>
      </c>
      <c r="S138" s="352">
        <f>N138/R138</f>
        <v>13141.284997572422</v>
      </c>
      <c r="T138" s="210">
        <f>2.1*5.4</f>
        <v>11.340000000000002</v>
      </c>
    </row>
    <row r="139" spans="2:20" ht="15" customHeight="1" x14ac:dyDescent="0.2">
      <c r="B139" s="980">
        <f t="shared" si="4"/>
        <v>75</v>
      </c>
      <c r="C139" s="981"/>
      <c r="D139" s="1029" t="s">
        <v>861</v>
      </c>
      <c r="E139" s="983"/>
      <c r="F139" s="1027"/>
      <c r="G139" s="985" t="s">
        <v>277</v>
      </c>
      <c r="H139" s="1022"/>
      <c r="I139" s="1023">
        <f t="shared" si="2"/>
        <v>1267000</v>
      </c>
      <c r="J139" s="1054"/>
      <c r="L139" s="8"/>
      <c r="M139" s="8"/>
      <c r="N139" s="8">
        <f>'[5]Usulan 2021'!I138</f>
        <v>1267000</v>
      </c>
      <c r="O139" s="8">
        <f>'[5]Usulan 2021'!J138</f>
        <v>1267000</v>
      </c>
      <c r="P139" s="8">
        <f>'[5]Usulan 2021'!K138</f>
        <v>1267000</v>
      </c>
      <c r="R139" s="210">
        <v>96.54</v>
      </c>
      <c r="S139" s="352">
        <f t="shared" ref="S139:S140" si="5">N139/R139</f>
        <v>13124.093639941992</v>
      </c>
    </row>
    <row r="140" spans="2:20" ht="15" customHeight="1" x14ac:dyDescent="0.2">
      <c r="B140" s="980">
        <f t="shared" si="4"/>
        <v>76</v>
      </c>
      <c r="C140" s="981"/>
      <c r="D140" s="1029" t="s">
        <v>862</v>
      </c>
      <c r="E140" s="983"/>
      <c r="F140" s="1027"/>
      <c r="G140" s="985" t="s">
        <v>277</v>
      </c>
      <c r="H140" s="1022"/>
      <c r="I140" s="1023">
        <f t="shared" ref="I140:I220" si="6">N140</f>
        <v>1972000</v>
      </c>
      <c r="J140" s="1054"/>
      <c r="L140" s="8"/>
      <c r="M140" s="8"/>
      <c r="N140" s="8">
        <f>'[5]Usulan 2021'!I139</f>
        <v>1972000</v>
      </c>
      <c r="O140" s="8">
        <f>'[5]Usulan 2021'!J139</f>
        <v>1972000</v>
      </c>
      <c r="P140" s="8">
        <f>'[5]Usulan 2021'!K139</f>
        <v>1972000</v>
      </c>
      <c r="R140" s="210">
        <v>139.02000000000001</v>
      </c>
      <c r="S140" s="352">
        <f t="shared" si="5"/>
        <v>14185.009351172492</v>
      </c>
    </row>
    <row r="141" spans="2:20" ht="15" customHeight="1" x14ac:dyDescent="0.2">
      <c r="B141" s="980">
        <f t="shared" si="4"/>
        <v>77</v>
      </c>
      <c r="C141" s="1034"/>
      <c r="D141" s="1029" t="s">
        <v>435</v>
      </c>
      <c r="E141" s="983"/>
      <c r="F141" s="994"/>
      <c r="G141" s="1021" t="s">
        <v>247</v>
      </c>
      <c r="H141" s="1022"/>
      <c r="I141" s="1023">
        <f t="shared" si="6"/>
        <v>32000</v>
      </c>
      <c r="J141" s="987"/>
      <c r="L141" s="8"/>
      <c r="M141" s="8"/>
      <c r="N141" s="8">
        <f>'[5]Usulan 2021'!I140</f>
        <v>32000</v>
      </c>
      <c r="O141" s="8">
        <f>'[5]Usulan 2021'!J140</f>
        <v>32000</v>
      </c>
      <c r="P141" s="8">
        <f>'[5]Usulan 2021'!K140</f>
        <v>32000</v>
      </c>
    </row>
    <row r="142" spans="2:20" ht="15" customHeight="1" x14ac:dyDescent="0.2">
      <c r="B142" s="980">
        <f t="shared" si="4"/>
        <v>78</v>
      </c>
      <c r="C142" s="981"/>
      <c r="D142" s="1029" t="s">
        <v>482</v>
      </c>
      <c r="E142" s="983"/>
      <c r="F142" s="994"/>
      <c r="G142" s="1021" t="s">
        <v>247</v>
      </c>
      <c r="H142" s="1022"/>
      <c r="I142" s="1023">
        <f t="shared" si="6"/>
        <v>41000</v>
      </c>
      <c r="J142" s="987"/>
      <c r="L142" s="8"/>
      <c r="M142" s="8"/>
      <c r="N142" s="8">
        <f>'[5]Usulan 2021'!I141</f>
        <v>41000</v>
      </c>
      <c r="O142" s="8">
        <f>'[5]Usulan 2021'!J141</f>
        <v>41000</v>
      </c>
      <c r="P142" s="8">
        <f>'[5]Usulan 2021'!K141</f>
        <v>41000</v>
      </c>
    </row>
    <row r="143" spans="2:20" ht="15" customHeight="1" x14ac:dyDescent="0.2">
      <c r="B143" s="980">
        <f t="shared" si="4"/>
        <v>79</v>
      </c>
      <c r="C143" s="1034"/>
      <c r="D143" s="1029" t="s">
        <v>434</v>
      </c>
      <c r="E143" s="983"/>
      <c r="F143" s="994"/>
      <c r="G143" s="1021" t="s">
        <v>247</v>
      </c>
      <c r="H143" s="1022"/>
      <c r="I143" s="1023">
        <f t="shared" si="6"/>
        <v>41000</v>
      </c>
      <c r="J143" s="987"/>
      <c r="L143" s="8"/>
      <c r="M143" s="8"/>
      <c r="N143" s="8">
        <f>'[5]Usulan 2021'!I142</f>
        <v>41000</v>
      </c>
      <c r="O143" s="8">
        <f>'[5]Usulan 2021'!J142</f>
        <v>41000</v>
      </c>
      <c r="P143" s="8">
        <f>'[5]Usulan 2021'!K142</f>
        <v>41000</v>
      </c>
    </row>
    <row r="144" spans="2:20" ht="15" customHeight="1" x14ac:dyDescent="0.2">
      <c r="B144" s="980">
        <f t="shared" si="4"/>
        <v>80</v>
      </c>
      <c r="C144" s="981"/>
      <c r="D144" s="1029" t="s">
        <v>478</v>
      </c>
      <c r="E144" s="983"/>
      <c r="F144" s="994"/>
      <c r="G144" s="1021" t="s">
        <v>247</v>
      </c>
      <c r="H144" s="1022"/>
      <c r="I144" s="1023">
        <f t="shared" si="6"/>
        <v>58000</v>
      </c>
      <c r="J144" s="987"/>
      <c r="L144" s="8"/>
      <c r="M144" s="8"/>
      <c r="N144" s="8">
        <f>'[5]Usulan 2021'!I143</f>
        <v>58000</v>
      </c>
      <c r="O144" s="8">
        <f>'[5]Usulan 2021'!J143</f>
        <v>58000</v>
      </c>
      <c r="P144" s="8">
        <f>'[5]Usulan 2021'!K143</f>
        <v>58000</v>
      </c>
    </row>
    <row r="145" spans="2:16" x14ac:dyDescent="0.2">
      <c r="B145" s="980">
        <f t="shared" si="4"/>
        <v>81</v>
      </c>
      <c r="C145" s="981"/>
      <c r="D145" s="1029" t="s">
        <v>479</v>
      </c>
      <c r="E145" s="983"/>
      <c r="F145" s="994"/>
      <c r="G145" s="1021" t="s">
        <v>247</v>
      </c>
      <c r="H145" s="1022"/>
      <c r="I145" s="1023">
        <f t="shared" si="6"/>
        <v>61000</v>
      </c>
      <c r="J145" s="987"/>
      <c r="L145" s="8"/>
      <c r="M145" s="8"/>
      <c r="N145" s="8">
        <f>'[5]Usulan 2021'!I144</f>
        <v>61000</v>
      </c>
      <c r="O145" s="8">
        <f>'[5]Usulan 2021'!J144</f>
        <v>61000</v>
      </c>
      <c r="P145" s="8">
        <f>'[5]Usulan 2021'!K144</f>
        <v>61000</v>
      </c>
    </row>
    <row r="146" spans="2:16" x14ac:dyDescent="0.2">
      <c r="B146" s="980">
        <f t="shared" si="4"/>
        <v>82</v>
      </c>
      <c r="C146" s="981"/>
      <c r="D146" s="1029" t="s">
        <v>480</v>
      </c>
      <c r="E146" s="983"/>
      <c r="F146" s="994"/>
      <c r="G146" s="1021" t="s">
        <v>247</v>
      </c>
      <c r="H146" s="1022"/>
      <c r="I146" s="1023">
        <f t="shared" si="6"/>
        <v>84000</v>
      </c>
      <c r="J146" s="987"/>
      <c r="L146" s="8"/>
      <c r="M146" s="8"/>
      <c r="N146" s="8">
        <f>'[5]Usulan 2021'!I145</f>
        <v>84000</v>
      </c>
      <c r="O146" s="8">
        <f>'[5]Usulan 2021'!J145</f>
        <v>84000</v>
      </c>
      <c r="P146" s="8">
        <f>'[5]Usulan 2021'!K145</f>
        <v>84000</v>
      </c>
    </row>
    <row r="147" spans="2:16" x14ac:dyDescent="0.2">
      <c r="B147" s="980">
        <f t="shared" si="4"/>
        <v>83</v>
      </c>
      <c r="C147" s="981"/>
      <c r="D147" s="1029" t="s">
        <v>481</v>
      </c>
      <c r="E147" s="983"/>
      <c r="F147" s="994"/>
      <c r="G147" s="1021" t="s">
        <v>247</v>
      </c>
      <c r="H147" s="1022"/>
      <c r="I147" s="1023">
        <f t="shared" si="6"/>
        <v>96000</v>
      </c>
      <c r="J147" s="987"/>
      <c r="L147" s="8"/>
      <c r="M147" s="8"/>
      <c r="N147" s="8">
        <f>'[5]Usulan 2021'!I146</f>
        <v>96000</v>
      </c>
      <c r="O147" s="8">
        <f>'[5]Usulan 2021'!J146</f>
        <v>96000</v>
      </c>
      <c r="P147" s="8">
        <f>'[5]Usulan 2021'!K146</f>
        <v>96000</v>
      </c>
    </row>
    <row r="148" spans="2:16" x14ac:dyDescent="0.2">
      <c r="B148" s="980">
        <f t="shared" si="4"/>
        <v>84</v>
      </c>
      <c r="C148" s="981"/>
      <c r="D148" s="1029" t="s">
        <v>691</v>
      </c>
      <c r="E148" s="983"/>
      <c r="F148" s="994"/>
      <c r="G148" s="1021" t="s">
        <v>265</v>
      </c>
      <c r="H148" s="1022"/>
      <c r="I148" s="1023">
        <f t="shared" si="6"/>
        <v>102000</v>
      </c>
      <c r="J148" s="987"/>
      <c r="L148" s="8"/>
      <c r="M148" s="8"/>
      <c r="N148" s="8">
        <f>'[5]Usulan 2021'!I147</f>
        <v>102000</v>
      </c>
      <c r="O148" s="8">
        <f>'[5]Usulan 2021'!J147</f>
        <v>102000</v>
      </c>
      <c r="P148" s="8">
        <f>'[5]Usulan 2021'!K147</f>
        <v>102000</v>
      </c>
    </row>
    <row r="149" spans="2:16" x14ac:dyDescent="0.2">
      <c r="B149" s="980">
        <f t="shared" si="4"/>
        <v>85</v>
      </c>
      <c r="C149" s="981"/>
      <c r="D149" s="1029" t="s">
        <v>692</v>
      </c>
      <c r="E149" s="983"/>
      <c r="F149" s="994"/>
      <c r="G149" s="1021" t="s">
        <v>265</v>
      </c>
      <c r="H149" s="1022"/>
      <c r="I149" s="1023">
        <f t="shared" si="6"/>
        <v>149000</v>
      </c>
      <c r="J149" s="987"/>
      <c r="L149" s="8"/>
      <c r="M149" s="8"/>
      <c r="N149" s="8">
        <f>'[5]Usulan 2021'!I148</f>
        <v>149000</v>
      </c>
      <c r="O149" s="8">
        <f>'[5]Usulan 2021'!J148</f>
        <v>149000</v>
      </c>
      <c r="P149" s="8">
        <f>'[5]Usulan 2021'!K148</f>
        <v>149000</v>
      </c>
    </row>
    <row r="150" spans="2:16" x14ac:dyDescent="0.2">
      <c r="B150" s="980">
        <f t="shared" si="4"/>
        <v>86</v>
      </c>
      <c r="C150" s="981"/>
      <c r="D150" s="1029" t="s">
        <v>1359</v>
      </c>
      <c r="E150" s="983"/>
      <c r="F150" s="994"/>
      <c r="G150" s="1021" t="s">
        <v>277</v>
      </c>
      <c r="H150" s="1022"/>
      <c r="I150" s="1023">
        <f t="shared" si="6"/>
        <v>17400</v>
      </c>
      <c r="J150" s="987"/>
      <c r="L150" s="8"/>
      <c r="M150" s="8"/>
      <c r="N150" s="8">
        <f>'[5]Usulan 2021'!I149</f>
        <v>17400</v>
      </c>
      <c r="O150" s="8"/>
      <c r="P150" s="8"/>
    </row>
    <row r="151" spans="2:16" x14ac:dyDescent="0.2">
      <c r="B151" s="980">
        <f t="shared" si="4"/>
        <v>87</v>
      </c>
      <c r="C151" s="981"/>
      <c r="D151" s="1029" t="s">
        <v>1360</v>
      </c>
      <c r="E151" s="983"/>
      <c r="F151" s="994"/>
      <c r="G151" s="1021" t="s">
        <v>268</v>
      </c>
      <c r="H151" s="1022"/>
      <c r="I151" s="1023">
        <f t="shared" si="6"/>
        <v>157000</v>
      </c>
      <c r="J151" s="987"/>
      <c r="L151" s="8"/>
      <c r="M151" s="8"/>
      <c r="N151" s="8">
        <f>'[5]Usulan 2021'!I150</f>
        <v>157000</v>
      </c>
      <c r="O151" s="8"/>
      <c r="P151" s="8"/>
    </row>
    <row r="152" spans="2:16" x14ac:dyDescent="0.2">
      <c r="B152" s="980">
        <f t="shared" si="4"/>
        <v>88</v>
      </c>
      <c r="C152" s="981"/>
      <c r="D152" s="1030" t="s">
        <v>624</v>
      </c>
      <c r="E152" s="1026"/>
      <c r="F152" s="1027"/>
      <c r="G152" s="1021" t="s">
        <v>298</v>
      </c>
      <c r="H152" s="1022"/>
      <c r="I152" s="1023">
        <f t="shared" si="6"/>
        <v>64000</v>
      </c>
      <c r="J152" s="987"/>
      <c r="L152" s="8"/>
      <c r="M152" s="8"/>
      <c r="N152" s="8">
        <f>'[5]Usulan 2021'!I151</f>
        <v>64000</v>
      </c>
      <c r="O152" s="8">
        <f>'[5]Usulan 2021'!J151</f>
        <v>64000</v>
      </c>
      <c r="P152" s="8">
        <f>'[5]Usulan 2021'!K151</f>
        <v>64000</v>
      </c>
    </row>
    <row r="153" spans="2:16" x14ac:dyDescent="0.2">
      <c r="B153" s="980">
        <f t="shared" si="4"/>
        <v>89</v>
      </c>
      <c r="C153" s="981"/>
      <c r="D153" s="1030" t="s">
        <v>436</v>
      </c>
      <c r="E153" s="1026"/>
      <c r="F153" s="1027"/>
      <c r="G153" s="1021" t="s">
        <v>298</v>
      </c>
      <c r="H153" s="1022"/>
      <c r="I153" s="1023">
        <f>N153</f>
        <v>64000</v>
      </c>
      <c r="J153" s="987"/>
      <c r="L153" s="8"/>
      <c r="M153" s="8"/>
      <c r="N153" s="8">
        <f>'[5]Usulan 2021'!I152</f>
        <v>64000</v>
      </c>
      <c r="O153" s="8">
        <f>'[5]Usulan 2021'!J152</f>
        <v>64000</v>
      </c>
      <c r="P153" s="8">
        <f>'[5]Usulan 2021'!K152</f>
        <v>64000</v>
      </c>
    </row>
    <row r="154" spans="2:16" x14ac:dyDescent="0.2">
      <c r="B154" s="980">
        <f t="shared" si="4"/>
        <v>90</v>
      </c>
      <c r="C154" s="981"/>
      <c r="D154" s="1030" t="s">
        <v>483</v>
      </c>
      <c r="E154" s="1026"/>
      <c r="F154" s="1027"/>
      <c r="G154" s="1021" t="s">
        <v>298</v>
      </c>
      <c r="H154" s="1022"/>
      <c r="I154" s="1023">
        <f t="shared" si="6"/>
        <v>64000</v>
      </c>
      <c r="J154" s="987"/>
      <c r="L154" s="8"/>
      <c r="M154" s="8"/>
      <c r="N154" s="8">
        <f>'[5]Usulan 2021'!I153</f>
        <v>64000</v>
      </c>
      <c r="O154" s="8">
        <f>'[5]Usulan 2021'!J153</f>
        <v>64000</v>
      </c>
      <c r="P154" s="8">
        <f>'[5]Usulan 2021'!K153</f>
        <v>64000</v>
      </c>
    </row>
    <row r="155" spans="2:16" x14ac:dyDescent="0.2">
      <c r="B155" s="980">
        <f t="shared" si="4"/>
        <v>91</v>
      </c>
      <c r="C155" s="981"/>
      <c r="D155" s="1029" t="s">
        <v>1361</v>
      </c>
      <c r="E155" s="983"/>
      <c r="F155" s="983"/>
      <c r="G155" s="1021" t="s">
        <v>298</v>
      </c>
      <c r="H155" s="1022"/>
      <c r="I155" s="1023">
        <f>N155</f>
        <v>29000</v>
      </c>
      <c r="J155" s="987"/>
      <c r="L155" s="8"/>
      <c r="M155" s="8"/>
      <c r="N155" s="8">
        <f>'[5]Usulan 2021'!I154</f>
        <v>29000</v>
      </c>
      <c r="O155" s="8">
        <f>'[5]Usulan 2021'!J154</f>
        <v>29000</v>
      </c>
      <c r="P155" s="8">
        <f>'[5]Usulan 2021'!K154</f>
        <v>29000</v>
      </c>
    </row>
    <row r="156" spans="2:16" x14ac:dyDescent="0.2">
      <c r="B156" s="980">
        <f t="shared" si="4"/>
        <v>92</v>
      </c>
      <c r="C156" s="981"/>
      <c r="D156" s="1029" t="s">
        <v>1362</v>
      </c>
      <c r="E156" s="983"/>
      <c r="F156" s="983"/>
      <c r="G156" s="1021" t="s">
        <v>298</v>
      </c>
      <c r="H156" s="1022"/>
      <c r="I156" s="1023">
        <f>N156</f>
        <v>29000</v>
      </c>
      <c r="J156" s="987"/>
      <c r="L156" s="8"/>
      <c r="M156" s="8"/>
      <c r="N156" s="8">
        <f>'[5]Usulan 2021'!I155</f>
        <v>29000</v>
      </c>
      <c r="O156" s="8">
        <f>'[5]Usulan 2021'!J155</f>
        <v>29000</v>
      </c>
      <c r="P156" s="8">
        <f>'[5]Usulan 2021'!K155</f>
        <v>29000</v>
      </c>
    </row>
    <row r="157" spans="2:16" x14ac:dyDescent="0.2">
      <c r="B157" s="980">
        <f t="shared" si="4"/>
        <v>93</v>
      </c>
      <c r="C157" s="981"/>
      <c r="D157" s="1030" t="s">
        <v>437</v>
      </c>
      <c r="E157" s="1026"/>
      <c r="F157" s="1027"/>
      <c r="G157" s="1021" t="s">
        <v>298</v>
      </c>
      <c r="H157" s="1022"/>
      <c r="I157" s="1023">
        <f t="shared" si="6"/>
        <v>29000</v>
      </c>
      <c r="J157" s="987"/>
      <c r="L157" s="8"/>
      <c r="M157" s="8"/>
      <c r="N157" s="8">
        <f>'[5]Usulan 2021'!I156</f>
        <v>29000</v>
      </c>
      <c r="O157" s="8">
        <f>'[5]Usulan 2021'!J156</f>
        <v>29000</v>
      </c>
      <c r="P157" s="8">
        <f>'[5]Usulan 2021'!K156</f>
        <v>29000</v>
      </c>
    </row>
    <row r="158" spans="2:16" x14ac:dyDescent="0.2">
      <c r="B158" s="980">
        <f t="shared" si="4"/>
        <v>94</v>
      </c>
      <c r="C158" s="1049"/>
      <c r="D158" s="1055" t="s">
        <v>484</v>
      </c>
      <c r="E158" s="1051"/>
      <c r="F158" s="1058"/>
      <c r="G158" s="1056" t="s">
        <v>298</v>
      </c>
      <c r="H158" s="1057"/>
      <c r="I158" s="1023">
        <f t="shared" si="6"/>
        <v>146000</v>
      </c>
      <c r="J158" s="333"/>
      <c r="L158" s="8"/>
      <c r="M158" s="8"/>
      <c r="N158" s="8">
        <f>'[5]Usulan 2021'!I157</f>
        <v>146000</v>
      </c>
      <c r="O158" s="8">
        <f>'[5]Usulan 2021'!J157</f>
        <v>146000</v>
      </c>
      <c r="P158" s="8">
        <f>'[5]Usulan 2021'!K157</f>
        <v>146000</v>
      </c>
    </row>
    <row r="159" spans="2:16" x14ac:dyDescent="0.2">
      <c r="B159" s="980">
        <f t="shared" si="4"/>
        <v>95</v>
      </c>
      <c r="C159" s="1040"/>
      <c r="D159" s="1059" t="s">
        <v>625</v>
      </c>
      <c r="E159" s="989"/>
      <c r="F159" s="1027"/>
      <c r="G159" s="1042" t="s">
        <v>268</v>
      </c>
      <c r="H159" s="991"/>
      <c r="I159" s="1023">
        <f t="shared" si="6"/>
        <v>500000</v>
      </c>
      <c r="J159" s="987"/>
      <c r="L159" s="8"/>
      <c r="M159" s="8"/>
      <c r="N159" s="8">
        <f>'[5]Usulan 2021'!I158</f>
        <v>500000</v>
      </c>
      <c r="O159" s="8">
        <f>'[5]Usulan 2021'!J158</f>
        <v>500000</v>
      </c>
      <c r="P159" s="8">
        <f>'[5]Usulan 2021'!K158</f>
        <v>500000</v>
      </c>
    </row>
    <row r="160" spans="2:16" x14ac:dyDescent="0.2">
      <c r="B160" s="980">
        <f t="shared" si="4"/>
        <v>96</v>
      </c>
      <c r="C160" s="1040"/>
      <c r="D160" s="1059" t="s">
        <v>1473</v>
      </c>
      <c r="E160" s="989"/>
      <c r="F160" s="994"/>
      <c r="G160" s="1042" t="s">
        <v>268</v>
      </c>
      <c r="H160" s="1022"/>
      <c r="I160" s="1023">
        <f t="shared" si="6"/>
        <v>1300000</v>
      </c>
      <c r="J160" s="987"/>
      <c r="L160" s="8"/>
      <c r="M160" s="8"/>
      <c r="N160" s="8">
        <f>'[5]Usulan 2021'!I159</f>
        <v>1300000</v>
      </c>
      <c r="O160" s="8">
        <f>'[5]Usulan 2021'!J159</f>
        <v>1300000</v>
      </c>
      <c r="P160" s="8">
        <f>'[5]Usulan 2021'!K159</f>
        <v>1300000</v>
      </c>
    </row>
    <row r="161" spans="2:16" x14ac:dyDescent="0.2">
      <c r="B161" s="980">
        <f t="shared" si="4"/>
        <v>97</v>
      </c>
      <c r="C161" s="1040"/>
      <c r="D161" s="1059" t="s">
        <v>1474</v>
      </c>
      <c r="E161" s="989"/>
      <c r="F161" s="1027"/>
      <c r="G161" s="1042" t="s">
        <v>268</v>
      </c>
      <c r="H161" s="355"/>
      <c r="I161" s="1023">
        <f t="shared" si="6"/>
        <v>2150000</v>
      </c>
      <c r="J161" s="987"/>
      <c r="L161" s="8"/>
      <c r="M161" s="8"/>
      <c r="N161" s="8">
        <f>'[5]Usulan 2021'!I160</f>
        <v>2150000</v>
      </c>
      <c r="O161" s="8">
        <f>'[5]Usulan 2021'!J160</f>
        <v>2150000</v>
      </c>
      <c r="P161" s="8">
        <f>'[5]Usulan 2021'!K160</f>
        <v>2150000</v>
      </c>
    </row>
    <row r="162" spans="2:16" x14ac:dyDescent="0.2">
      <c r="B162" s="980">
        <f t="shared" si="4"/>
        <v>98</v>
      </c>
      <c r="C162" s="981"/>
      <c r="D162" s="1029" t="s">
        <v>865</v>
      </c>
      <c r="E162" s="983"/>
      <c r="F162" s="1027"/>
      <c r="G162" s="985" t="s">
        <v>268</v>
      </c>
      <c r="H162" s="1022"/>
      <c r="I162" s="1023">
        <f t="shared" si="6"/>
        <v>1169000</v>
      </c>
      <c r="J162" s="987"/>
      <c r="L162" s="8"/>
      <c r="M162" s="8"/>
      <c r="N162" s="8">
        <f>'[5]Usulan 2021'!I161</f>
        <v>1169000</v>
      </c>
      <c r="O162" s="8">
        <f>'[5]Usulan 2021'!J161</f>
        <v>1169000</v>
      </c>
      <c r="P162" s="8">
        <f>'[5]Usulan 2021'!K161</f>
        <v>1169000</v>
      </c>
    </row>
    <row r="163" spans="2:16" x14ac:dyDescent="0.2">
      <c r="B163" s="980">
        <f t="shared" si="4"/>
        <v>99</v>
      </c>
      <c r="C163" s="1040"/>
      <c r="D163" s="1059" t="s">
        <v>866</v>
      </c>
      <c r="E163" s="989"/>
      <c r="F163" s="994"/>
      <c r="G163" s="1042" t="s">
        <v>268</v>
      </c>
      <c r="H163" s="991"/>
      <c r="I163" s="1023">
        <f t="shared" si="6"/>
        <v>120000</v>
      </c>
      <c r="J163" s="987"/>
      <c r="L163" s="8"/>
      <c r="M163" s="8"/>
      <c r="N163" s="8">
        <f>'[5]Usulan 2021'!I162</f>
        <v>120000</v>
      </c>
      <c r="O163" s="8">
        <f>'[5]Usulan 2021'!J162</f>
        <v>120000</v>
      </c>
      <c r="P163" s="8">
        <f>'[5]Usulan 2021'!K162</f>
        <v>120000</v>
      </c>
    </row>
    <row r="164" spans="2:16" x14ac:dyDescent="0.2">
      <c r="B164" s="980">
        <f t="shared" si="4"/>
        <v>100</v>
      </c>
      <c r="C164" s="981"/>
      <c r="D164" s="1029" t="s">
        <v>1475</v>
      </c>
      <c r="E164" s="983"/>
      <c r="F164" s="983"/>
      <c r="G164" s="1042" t="s">
        <v>268</v>
      </c>
      <c r="H164" s="1022"/>
      <c r="I164" s="1023">
        <f t="shared" si="6"/>
        <v>175000</v>
      </c>
      <c r="J164" s="987"/>
      <c r="L164" s="8"/>
      <c r="M164" s="8"/>
      <c r="N164" s="8">
        <f>'[5]Usulan 2021'!I163</f>
        <v>175000</v>
      </c>
      <c r="O164" s="8">
        <f>'[5]Usulan 2021'!J163</f>
        <v>175000</v>
      </c>
      <c r="P164" s="8">
        <f>'[5]Usulan 2021'!K163</f>
        <v>175000</v>
      </c>
    </row>
    <row r="165" spans="2:16" x14ac:dyDescent="0.2">
      <c r="B165" s="980">
        <f t="shared" si="4"/>
        <v>101</v>
      </c>
      <c r="C165" s="981"/>
      <c r="D165" s="1029" t="s">
        <v>1363</v>
      </c>
      <c r="E165" s="983"/>
      <c r="F165" s="983"/>
      <c r="G165" s="1042" t="s">
        <v>268</v>
      </c>
      <c r="H165" s="1022"/>
      <c r="I165" s="1023">
        <f t="shared" si="6"/>
        <v>1219000</v>
      </c>
      <c r="J165" s="987"/>
      <c r="L165" s="8"/>
      <c r="M165" s="8"/>
      <c r="N165" s="8">
        <f>'[5]Usulan 2021'!I164</f>
        <v>1219000</v>
      </c>
      <c r="O165" s="8"/>
      <c r="P165" s="8"/>
    </row>
    <row r="166" spans="2:16" x14ac:dyDescent="0.2">
      <c r="B166" s="980">
        <f t="shared" si="4"/>
        <v>102</v>
      </c>
      <c r="C166" s="981"/>
      <c r="D166" s="1029" t="s">
        <v>1364</v>
      </c>
      <c r="E166" s="983"/>
      <c r="F166" s="983"/>
      <c r="G166" s="1042" t="s">
        <v>268</v>
      </c>
      <c r="H166" s="1022"/>
      <c r="I166" s="1023">
        <f t="shared" si="6"/>
        <v>1056000</v>
      </c>
      <c r="J166" s="987"/>
      <c r="L166" s="8"/>
      <c r="M166" s="8"/>
      <c r="N166" s="8">
        <f>'[5]Usulan 2021'!I165</f>
        <v>1056000</v>
      </c>
      <c r="O166" s="8"/>
      <c r="P166" s="8"/>
    </row>
    <row r="167" spans="2:16" x14ac:dyDescent="0.2">
      <c r="B167" s="980">
        <f t="shared" si="4"/>
        <v>103</v>
      </c>
      <c r="C167" s="981"/>
      <c r="D167" s="1029" t="s">
        <v>156</v>
      </c>
      <c r="E167" s="983"/>
      <c r="F167" s="994"/>
      <c r="G167" s="1021" t="s">
        <v>298</v>
      </c>
      <c r="H167" s="1022"/>
      <c r="I167" s="1023">
        <f t="shared" si="6"/>
        <v>23300</v>
      </c>
      <c r="J167" s="987"/>
      <c r="L167" s="8"/>
      <c r="M167" s="8"/>
      <c r="N167" s="8">
        <f>'[5]Usulan 2021'!I166</f>
        <v>23300</v>
      </c>
      <c r="O167" s="8">
        <f>'[5]Usulan 2021'!J166</f>
        <v>23300</v>
      </c>
      <c r="P167" s="8">
        <f>'[5]Usulan 2021'!K166</f>
        <v>23300</v>
      </c>
    </row>
    <row r="168" spans="2:16" x14ac:dyDescent="0.2">
      <c r="B168" s="980">
        <f t="shared" si="4"/>
        <v>104</v>
      </c>
      <c r="C168" s="1040"/>
      <c r="D168" s="1059" t="s">
        <v>714</v>
      </c>
      <c r="E168" s="989"/>
      <c r="F168" s="994"/>
      <c r="G168" s="1042" t="s">
        <v>268</v>
      </c>
      <c r="H168" s="991"/>
      <c r="I168" s="1023">
        <f t="shared" si="6"/>
        <v>35000</v>
      </c>
      <c r="J168" s="987"/>
      <c r="L168" s="8"/>
      <c r="M168" s="8"/>
      <c r="N168" s="8">
        <f>'[5]Usulan 2021'!I167</f>
        <v>35000</v>
      </c>
      <c r="O168" s="8">
        <f>'[5]Usulan 2021'!J167</f>
        <v>35000</v>
      </c>
      <c r="P168" s="8">
        <f>'[5]Usulan 2021'!K167</f>
        <v>35000</v>
      </c>
    </row>
    <row r="169" spans="2:16" x14ac:dyDescent="0.2">
      <c r="B169" s="1060">
        <f t="shared" si="4"/>
        <v>105</v>
      </c>
      <c r="C169" s="218"/>
      <c r="D169" s="1061" t="s">
        <v>1365</v>
      </c>
      <c r="E169" s="15"/>
      <c r="F169" s="994"/>
      <c r="G169" s="1042" t="s">
        <v>268</v>
      </c>
      <c r="H169" s="355"/>
      <c r="I169" s="1023">
        <f t="shared" si="6"/>
        <v>15800</v>
      </c>
      <c r="J169" s="987"/>
      <c r="L169" s="8"/>
      <c r="M169" s="8"/>
      <c r="N169" s="8">
        <f>'[5]Usulan 2021'!I168</f>
        <v>15800</v>
      </c>
      <c r="O169" s="8"/>
      <c r="P169" s="8"/>
    </row>
    <row r="170" spans="2:16" x14ac:dyDescent="0.2">
      <c r="B170" s="1060">
        <f t="shared" si="4"/>
        <v>106</v>
      </c>
      <c r="C170" s="218"/>
      <c r="D170" s="1062" t="s">
        <v>1366</v>
      </c>
      <c r="E170" s="15"/>
      <c r="F170" s="1063"/>
      <c r="G170" s="1042" t="s">
        <v>268</v>
      </c>
      <c r="H170" s="355"/>
      <c r="I170" s="1064">
        <f t="shared" si="6"/>
        <v>406000</v>
      </c>
      <c r="J170" s="1065"/>
      <c r="L170" s="8"/>
      <c r="M170" s="8"/>
      <c r="N170" s="8">
        <f>'[5]Usulan 2021'!I169</f>
        <v>406000</v>
      </c>
      <c r="O170" s="8"/>
      <c r="P170" s="8"/>
    </row>
    <row r="171" spans="2:16" x14ac:dyDescent="0.2">
      <c r="B171" s="1066">
        <f t="shared" si="4"/>
        <v>107</v>
      </c>
      <c r="C171" s="1067"/>
      <c r="D171" s="1068" t="s">
        <v>582</v>
      </c>
      <c r="E171" s="1069"/>
      <c r="F171" s="1063"/>
      <c r="G171" s="1070" t="s">
        <v>268</v>
      </c>
      <c r="H171" s="1071"/>
      <c r="I171" s="1064">
        <f t="shared" si="6"/>
        <v>11000</v>
      </c>
      <c r="J171" s="1065"/>
      <c r="L171" s="8"/>
      <c r="M171" s="8"/>
      <c r="N171" s="8">
        <f>'[5]Usulan 2021'!I170</f>
        <v>11000</v>
      </c>
      <c r="O171" s="8">
        <f>'[5]Usulan 2021'!J170</f>
        <v>11000</v>
      </c>
      <c r="P171" s="8">
        <f>'[5]Usulan 2021'!K170</f>
        <v>11000</v>
      </c>
    </row>
    <row r="172" spans="2:16" x14ac:dyDescent="0.2">
      <c r="B172" s="1072">
        <f t="shared" si="4"/>
        <v>108</v>
      </c>
      <c r="C172" s="1067"/>
      <c r="D172" s="1068" t="s">
        <v>583</v>
      </c>
      <c r="E172" s="1069"/>
      <c r="F172" s="1063"/>
      <c r="G172" s="1070" t="s">
        <v>268</v>
      </c>
      <c r="H172" s="1071"/>
      <c r="I172" s="1064">
        <f t="shared" si="6"/>
        <v>20000</v>
      </c>
      <c r="J172" s="1065"/>
      <c r="L172" s="8"/>
      <c r="M172" s="8"/>
      <c r="N172" s="8">
        <f>'[5]Usulan 2021'!I171</f>
        <v>20000</v>
      </c>
      <c r="O172" s="8">
        <f>'[5]Usulan 2021'!J171</f>
        <v>20000</v>
      </c>
      <c r="P172" s="8">
        <f>'[5]Usulan 2021'!K171</f>
        <v>20000</v>
      </c>
    </row>
    <row r="173" spans="2:16" x14ac:dyDescent="0.2">
      <c r="B173" s="1072">
        <f t="shared" si="4"/>
        <v>109</v>
      </c>
      <c r="C173" s="1067"/>
      <c r="D173" s="1068" t="s">
        <v>584</v>
      </c>
      <c r="E173" s="1069"/>
      <c r="F173" s="1063"/>
      <c r="G173" s="1070" t="s">
        <v>268</v>
      </c>
      <c r="H173" s="1071"/>
      <c r="I173" s="1064">
        <f t="shared" si="6"/>
        <v>17000</v>
      </c>
      <c r="J173" s="1065"/>
      <c r="L173" s="8"/>
      <c r="M173" s="8"/>
      <c r="N173" s="8">
        <f>'[5]Usulan 2021'!I172</f>
        <v>17000</v>
      </c>
      <c r="O173" s="8">
        <f>'[5]Usulan 2021'!J172</f>
        <v>17000</v>
      </c>
      <c r="P173" s="8">
        <f>'[5]Usulan 2021'!K172</f>
        <v>17000</v>
      </c>
    </row>
    <row r="174" spans="2:16" x14ac:dyDescent="0.2">
      <c r="B174" s="1072">
        <f t="shared" si="4"/>
        <v>110</v>
      </c>
      <c r="C174" s="1067"/>
      <c r="D174" s="1068" t="s">
        <v>579</v>
      </c>
      <c r="E174" s="1069"/>
      <c r="F174" s="1063"/>
      <c r="G174" s="1070" t="s">
        <v>268</v>
      </c>
      <c r="H174" s="1071"/>
      <c r="I174" s="1064">
        <f t="shared" si="6"/>
        <v>11000</v>
      </c>
      <c r="J174" s="1065"/>
      <c r="L174" s="8"/>
      <c r="M174" s="8"/>
      <c r="N174" s="8">
        <f>'[5]Usulan 2021'!I173</f>
        <v>11000</v>
      </c>
      <c r="O174" s="8">
        <f>'[5]Usulan 2021'!J173</f>
        <v>11000</v>
      </c>
      <c r="P174" s="8">
        <f>'[5]Usulan 2021'!K173</f>
        <v>11000</v>
      </c>
    </row>
    <row r="175" spans="2:16" x14ac:dyDescent="0.2">
      <c r="B175" s="1072">
        <f t="shared" si="4"/>
        <v>111</v>
      </c>
      <c r="C175" s="1067"/>
      <c r="D175" s="1068" t="s">
        <v>580</v>
      </c>
      <c r="E175" s="1069"/>
      <c r="F175" s="1063"/>
      <c r="G175" s="1070" t="s">
        <v>268</v>
      </c>
      <c r="H175" s="1071"/>
      <c r="I175" s="1064">
        <f t="shared" si="6"/>
        <v>17000</v>
      </c>
      <c r="J175" s="1065"/>
      <c r="L175" s="8"/>
      <c r="M175" s="8"/>
      <c r="N175" s="8">
        <f>'[5]Usulan 2021'!I174</f>
        <v>17000</v>
      </c>
      <c r="O175" s="8">
        <f>'[5]Usulan 2021'!J174</f>
        <v>17000</v>
      </c>
      <c r="P175" s="8">
        <f>'[5]Usulan 2021'!K174</f>
        <v>17000</v>
      </c>
    </row>
    <row r="176" spans="2:16" x14ac:dyDescent="0.2">
      <c r="B176" s="1072">
        <f t="shared" si="4"/>
        <v>112</v>
      </c>
      <c r="C176" s="1067"/>
      <c r="D176" s="1068" t="s">
        <v>581</v>
      </c>
      <c r="E176" s="1069"/>
      <c r="F176" s="1063"/>
      <c r="G176" s="1073" t="s">
        <v>268</v>
      </c>
      <c r="H176" s="1071"/>
      <c r="I176" s="1064">
        <f t="shared" si="6"/>
        <v>23000</v>
      </c>
      <c r="J176" s="1065"/>
      <c r="L176" s="8"/>
      <c r="M176" s="8"/>
      <c r="N176" s="8">
        <f>'[5]Usulan 2021'!I175</f>
        <v>23000</v>
      </c>
      <c r="O176" s="8">
        <f>'[5]Usulan 2021'!J175</f>
        <v>23000</v>
      </c>
      <c r="P176" s="8">
        <f>'[5]Usulan 2021'!K175</f>
        <v>23000</v>
      </c>
    </row>
    <row r="177" spans="2:16" x14ac:dyDescent="0.2">
      <c r="B177" s="1072">
        <f t="shared" si="4"/>
        <v>113</v>
      </c>
      <c r="C177" s="1067"/>
      <c r="D177" s="1074" t="s">
        <v>446</v>
      </c>
      <c r="E177" s="1075"/>
      <c r="F177" s="1076"/>
      <c r="G177" s="1073" t="s">
        <v>277</v>
      </c>
      <c r="H177" s="1071"/>
      <c r="I177" s="1064">
        <f t="shared" si="6"/>
        <v>16000</v>
      </c>
      <c r="J177" s="1065"/>
      <c r="L177" s="8"/>
      <c r="M177" s="8"/>
      <c r="N177" s="8">
        <f>'[5]Usulan 2021'!I176</f>
        <v>16000</v>
      </c>
      <c r="O177" s="8">
        <f>'[5]Usulan 2021'!J176</f>
        <v>16000</v>
      </c>
      <c r="P177" s="8">
        <f>'[5]Usulan 2021'!K176</f>
        <v>16000</v>
      </c>
    </row>
    <row r="178" spans="2:16" x14ac:dyDescent="0.2">
      <c r="B178" s="1072">
        <f t="shared" si="4"/>
        <v>114</v>
      </c>
      <c r="C178" s="1067"/>
      <c r="D178" s="1077" t="s">
        <v>233</v>
      </c>
      <c r="E178" s="1069"/>
      <c r="F178" s="1076"/>
      <c r="G178" s="1073" t="s">
        <v>268</v>
      </c>
      <c r="H178" s="1071"/>
      <c r="I178" s="1064">
        <f t="shared" si="6"/>
        <v>701000</v>
      </c>
      <c r="J178" s="1065"/>
      <c r="L178" s="8"/>
      <c r="M178" s="8"/>
      <c r="N178" s="8">
        <f>'[5]Usulan 2021'!I177</f>
        <v>701000</v>
      </c>
      <c r="O178" s="8">
        <f>'[5]Usulan 2021'!J177</f>
        <v>701000</v>
      </c>
      <c r="P178" s="8">
        <f>'[5]Usulan 2021'!K177</f>
        <v>701000</v>
      </c>
    </row>
    <row r="179" spans="2:16" x14ac:dyDescent="0.2">
      <c r="B179" s="1072">
        <f t="shared" si="4"/>
        <v>115</v>
      </c>
      <c r="C179" s="1067"/>
      <c r="D179" s="1077" t="s">
        <v>195</v>
      </c>
      <c r="E179" s="1069"/>
      <c r="F179" s="1076"/>
      <c r="G179" s="1073" t="s">
        <v>268</v>
      </c>
      <c r="H179" s="1071"/>
      <c r="I179" s="1064">
        <f t="shared" si="6"/>
        <v>1169000</v>
      </c>
      <c r="J179" s="1065"/>
      <c r="L179" s="8"/>
      <c r="M179" s="8"/>
      <c r="N179" s="8">
        <f>'[5]Usulan 2021'!I178</f>
        <v>1169000</v>
      </c>
      <c r="O179" s="8">
        <f>'[5]Usulan 2021'!J178</f>
        <v>1169000</v>
      </c>
      <c r="P179" s="8">
        <f>'[5]Usulan 2021'!K178</f>
        <v>1169000</v>
      </c>
    </row>
    <row r="180" spans="2:16" x14ac:dyDescent="0.2">
      <c r="B180" s="1072">
        <f t="shared" si="4"/>
        <v>116</v>
      </c>
      <c r="C180" s="1067"/>
      <c r="D180" s="1074" t="s">
        <v>438</v>
      </c>
      <c r="E180" s="1075"/>
      <c r="F180" s="1076"/>
      <c r="G180" s="1073" t="s">
        <v>268</v>
      </c>
      <c r="H180" s="1078"/>
      <c r="I180" s="1064">
        <f t="shared" si="6"/>
        <v>8600</v>
      </c>
      <c r="J180" s="1065"/>
      <c r="L180" s="8"/>
      <c r="M180" s="8"/>
      <c r="N180" s="8">
        <f>'[5]Usulan 2021'!I179</f>
        <v>8600</v>
      </c>
      <c r="O180" s="8">
        <f>'[5]Usulan 2021'!J179</f>
        <v>8600</v>
      </c>
      <c r="P180" s="8">
        <f>'[5]Usulan 2021'!K179</f>
        <v>8600</v>
      </c>
    </row>
    <row r="181" spans="2:16" x14ac:dyDescent="0.2">
      <c r="B181" s="1072">
        <f t="shared" si="4"/>
        <v>117</v>
      </c>
      <c r="C181" s="1040"/>
      <c r="D181" s="1079" t="s">
        <v>639</v>
      </c>
      <c r="E181" s="607"/>
      <c r="F181" s="1076"/>
      <c r="G181" s="1042" t="s">
        <v>268</v>
      </c>
      <c r="H181" s="991"/>
      <c r="I181" s="1064">
        <f t="shared" si="6"/>
        <v>76000</v>
      </c>
      <c r="J181" s="1065"/>
      <c r="L181" s="8"/>
      <c r="M181" s="8"/>
      <c r="N181" s="8">
        <f>'[5]Usulan 2021'!I180</f>
        <v>76000</v>
      </c>
      <c r="O181" s="8">
        <f>'[5]Usulan 2021'!J180</f>
        <v>76000</v>
      </c>
      <c r="P181" s="8">
        <f>'[5]Usulan 2021'!K180</f>
        <v>76000</v>
      </c>
    </row>
    <row r="182" spans="2:16" x14ac:dyDescent="0.2">
      <c r="B182" s="1072">
        <f t="shared" si="4"/>
        <v>118</v>
      </c>
      <c r="C182" s="1040"/>
      <c r="D182" s="359" t="s">
        <v>779</v>
      </c>
      <c r="E182" s="15"/>
      <c r="F182" s="1076"/>
      <c r="G182" s="1042" t="s">
        <v>268</v>
      </c>
      <c r="H182" s="355"/>
      <c r="I182" s="1064">
        <f t="shared" si="6"/>
        <v>61000</v>
      </c>
      <c r="J182" s="1065"/>
      <c r="L182" s="8"/>
      <c r="M182" s="8"/>
      <c r="N182" s="8">
        <f>'[5]Usulan 2021'!I181</f>
        <v>61000</v>
      </c>
      <c r="O182" s="8"/>
      <c r="P182" s="8"/>
    </row>
    <row r="183" spans="2:16" x14ac:dyDescent="0.2">
      <c r="B183" s="1072">
        <f t="shared" si="4"/>
        <v>119</v>
      </c>
      <c r="C183" s="1040"/>
      <c r="D183" s="359" t="s">
        <v>1160</v>
      </c>
      <c r="E183" s="15"/>
      <c r="F183" s="1076"/>
      <c r="G183" s="1042" t="s">
        <v>268</v>
      </c>
      <c r="H183" s="355"/>
      <c r="I183" s="1064">
        <f t="shared" si="6"/>
        <v>81000</v>
      </c>
      <c r="J183" s="1065"/>
      <c r="L183" s="8"/>
      <c r="M183" s="8"/>
      <c r="N183" s="8">
        <f>'[5]Usulan 2021'!I182</f>
        <v>81000</v>
      </c>
      <c r="O183" s="8">
        <f>'[5]Usulan 2021'!J182</f>
        <v>81000</v>
      </c>
      <c r="P183" s="8">
        <f>'[5]Usulan 2021'!K182</f>
        <v>81000</v>
      </c>
    </row>
    <row r="184" spans="2:16" x14ac:dyDescent="0.2">
      <c r="B184" s="1072">
        <f t="shared" si="4"/>
        <v>120</v>
      </c>
      <c r="C184" s="1067"/>
      <c r="D184" s="1074" t="s">
        <v>199</v>
      </c>
      <c r="E184" s="1075"/>
      <c r="F184" s="1063"/>
      <c r="G184" s="1073" t="s">
        <v>266</v>
      </c>
      <c r="H184" s="1071"/>
      <c r="I184" s="1064">
        <f>N184</f>
        <v>759000</v>
      </c>
      <c r="J184" s="1065"/>
      <c r="L184" s="8"/>
      <c r="M184" s="8"/>
      <c r="N184" s="8">
        <f>'[5]Usulan 2021'!I183</f>
        <v>759000</v>
      </c>
      <c r="O184" s="8">
        <f>'[5]Usulan 2021'!J183</f>
        <v>759000</v>
      </c>
      <c r="P184" s="8">
        <f>'[5]Usulan 2021'!K183</f>
        <v>759000</v>
      </c>
    </row>
    <row r="185" spans="2:16" x14ac:dyDescent="0.2">
      <c r="B185" s="1072">
        <f t="shared" si="4"/>
        <v>121</v>
      </c>
      <c r="C185" s="1067"/>
      <c r="D185" s="1074" t="s">
        <v>198</v>
      </c>
      <c r="E185" s="1075"/>
      <c r="F185" s="1076"/>
      <c r="G185" s="1073" t="s">
        <v>266</v>
      </c>
      <c r="H185" s="1071"/>
      <c r="I185" s="1064">
        <f>N185</f>
        <v>935000</v>
      </c>
      <c r="J185" s="1065"/>
      <c r="L185" s="8"/>
      <c r="M185" s="8"/>
      <c r="N185" s="8">
        <f>'[5]Usulan 2021'!I184</f>
        <v>935000</v>
      </c>
      <c r="O185" s="8">
        <f>'[5]Usulan 2021'!J184</f>
        <v>935000</v>
      </c>
      <c r="P185" s="8">
        <f>'[5]Usulan 2021'!K184</f>
        <v>935000</v>
      </c>
    </row>
    <row r="186" spans="2:16" x14ac:dyDescent="0.2">
      <c r="B186" s="1072">
        <f t="shared" si="4"/>
        <v>122</v>
      </c>
      <c r="C186" s="1067"/>
      <c r="D186" s="1074" t="s">
        <v>197</v>
      </c>
      <c r="E186" s="1075"/>
      <c r="F186" s="1076"/>
      <c r="G186" s="1073" t="s">
        <v>266</v>
      </c>
      <c r="H186" s="1071"/>
      <c r="I186" s="1064">
        <f>N186</f>
        <v>1169000</v>
      </c>
      <c r="J186" s="1065"/>
      <c r="L186" s="8"/>
      <c r="M186" s="8"/>
      <c r="N186" s="8">
        <f>'[5]Usulan 2021'!I185</f>
        <v>1169000</v>
      </c>
      <c r="O186" s="8">
        <f>'[5]Usulan 2021'!J185</f>
        <v>1169000</v>
      </c>
      <c r="P186" s="8">
        <f>'[5]Usulan 2021'!K185</f>
        <v>1169000</v>
      </c>
    </row>
    <row r="187" spans="2:16" x14ac:dyDescent="0.2">
      <c r="B187" s="1072">
        <f t="shared" si="4"/>
        <v>123</v>
      </c>
      <c r="C187" s="1040"/>
      <c r="D187" s="1074" t="s">
        <v>196</v>
      </c>
      <c r="E187" s="1075"/>
      <c r="F187" s="1076"/>
      <c r="G187" s="1073" t="s">
        <v>266</v>
      </c>
      <c r="H187" s="1071"/>
      <c r="I187" s="1064">
        <f t="shared" si="6"/>
        <v>1403000</v>
      </c>
      <c r="J187" s="1065"/>
      <c r="L187" s="8"/>
      <c r="M187" s="8"/>
      <c r="N187" s="8">
        <f>'[5]Usulan 2021'!I186</f>
        <v>1403000</v>
      </c>
      <c r="O187" s="8">
        <f>'[5]Usulan 2021'!J186</f>
        <v>1403000</v>
      </c>
      <c r="P187" s="8">
        <f>'[5]Usulan 2021'!K186</f>
        <v>1403000</v>
      </c>
    </row>
    <row r="188" spans="2:16" x14ac:dyDescent="0.2">
      <c r="B188" s="1072">
        <f t="shared" si="4"/>
        <v>124</v>
      </c>
      <c r="C188" s="1067"/>
      <c r="D188" s="1077" t="s">
        <v>1424</v>
      </c>
      <c r="E188" s="1069"/>
      <c r="F188" s="1063"/>
      <c r="G188" s="1073" t="s">
        <v>268</v>
      </c>
      <c r="H188" s="1071"/>
      <c r="I188" s="1064">
        <f>N188</f>
        <v>2100</v>
      </c>
      <c r="J188" s="1065"/>
      <c r="L188" s="8"/>
      <c r="M188" s="8"/>
      <c r="N188" s="8">
        <f>'[5]Usulan 2021'!I187</f>
        <v>2100</v>
      </c>
      <c r="O188" s="8">
        <f>'[5]Usulan 2021'!J187</f>
        <v>2100</v>
      </c>
      <c r="P188" s="8">
        <f>'[5]Usulan 2021'!K187</f>
        <v>2100</v>
      </c>
    </row>
    <row r="189" spans="2:16" x14ac:dyDescent="0.2">
      <c r="B189" s="1072">
        <f t="shared" si="4"/>
        <v>125</v>
      </c>
      <c r="C189" s="1067"/>
      <c r="D189" s="1077" t="s">
        <v>1425</v>
      </c>
      <c r="E189" s="1069"/>
      <c r="F189" s="1063"/>
      <c r="G189" s="1073" t="s">
        <v>268</v>
      </c>
      <c r="H189" s="1071"/>
      <c r="I189" s="1064"/>
      <c r="J189" s="1065"/>
      <c r="L189" s="8"/>
      <c r="M189" s="8"/>
      <c r="N189" s="8"/>
      <c r="O189" s="8"/>
      <c r="P189" s="8"/>
    </row>
    <row r="190" spans="2:16" x14ac:dyDescent="0.2">
      <c r="B190" s="1072">
        <f t="shared" si="4"/>
        <v>126</v>
      </c>
      <c r="C190" s="1067"/>
      <c r="D190" s="1077" t="s">
        <v>183</v>
      </c>
      <c r="E190" s="1069"/>
      <c r="F190" s="1063"/>
      <c r="G190" s="1073" t="s">
        <v>268</v>
      </c>
      <c r="H190" s="1071"/>
      <c r="I190" s="1064"/>
      <c r="J190" s="1065"/>
      <c r="L190" s="8"/>
      <c r="M190" s="8"/>
      <c r="N190" s="8"/>
      <c r="O190" s="8"/>
      <c r="P190" s="8"/>
    </row>
    <row r="191" spans="2:16" x14ac:dyDescent="0.2">
      <c r="B191" s="1072">
        <f t="shared" si="4"/>
        <v>127</v>
      </c>
      <c r="C191" s="1067"/>
      <c r="D191" s="1077" t="s">
        <v>1426</v>
      </c>
      <c r="E191" s="1069"/>
      <c r="F191" s="1063"/>
      <c r="G191" s="1073" t="s">
        <v>268</v>
      </c>
      <c r="H191" s="1071"/>
      <c r="I191" s="1064">
        <f>N191</f>
        <v>8200</v>
      </c>
      <c r="J191" s="1065"/>
      <c r="L191" s="8"/>
      <c r="M191" s="8"/>
      <c r="N191" s="8">
        <f>'[5]Usulan 2021'!I190</f>
        <v>8200</v>
      </c>
      <c r="O191" s="8">
        <f>'[5]Usulan 2021'!J190</f>
        <v>8200</v>
      </c>
      <c r="P191" s="8">
        <f>'[5]Usulan 2021'!K190</f>
        <v>8200</v>
      </c>
    </row>
    <row r="192" spans="2:16" x14ac:dyDescent="0.2">
      <c r="B192" s="1072">
        <f t="shared" si="4"/>
        <v>128</v>
      </c>
      <c r="C192" s="1067"/>
      <c r="D192" s="1077" t="s">
        <v>173</v>
      </c>
      <c r="E192" s="1069"/>
      <c r="F192" s="1063"/>
      <c r="G192" s="1073" t="s">
        <v>268</v>
      </c>
      <c r="H192" s="1071"/>
      <c r="I192" s="1064">
        <f>N192</f>
        <v>14100</v>
      </c>
      <c r="J192" s="1065"/>
      <c r="L192" s="8"/>
      <c r="M192" s="8"/>
      <c r="N192" s="8">
        <f>'[5]Usulan 2021'!I191</f>
        <v>14100</v>
      </c>
      <c r="O192" s="8">
        <f>'[5]Usulan 2021'!J191</f>
        <v>14100</v>
      </c>
      <c r="P192" s="8">
        <f>'[5]Usulan 2021'!K191</f>
        <v>14100</v>
      </c>
    </row>
    <row r="193" spans="2:18" x14ac:dyDescent="0.2">
      <c r="B193" s="1072">
        <f t="shared" si="4"/>
        <v>129</v>
      </c>
      <c r="C193" s="1067"/>
      <c r="D193" s="1077" t="s">
        <v>174</v>
      </c>
      <c r="E193" s="1069"/>
      <c r="F193" s="1063"/>
      <c r="G193" s="1073" t="s">
        <v>268</v>
      </c>
      <c r="H193" s="1071"/>
      <c r="I193" s="1064">
        <f>N193</f>
        <v>11600</v>
      </c>
      <c r="J193" s="1065"/>
      <c r="L193" s="8"/>
      <c r="M193" s="8"/>
      <c r="N193" s="8">
        <f>'[5]Usulan 2021'!I192</f>
        <v>11600</v>
      </c>
      <c r="O193" s="8">
        <f>'[5]Usulan 2021'!J192</f>
        <v>11600</v>
      </c>
      <c r="P193" s="8">
        <f>'[5]Usulan 2021'!K192</f>
        <v>11600</v>
      </c>
    </row>
    <row r="194" spans="2:18" x14ac:dyDescent="0.2">
      <c r="B194" s="1072">
        <f t="shared" si="4"/>
        <v>130</v>
      </c>
      <c r="C194" s="1067"/>
      <c r="D194" s="1077" t="s">
        <v>172</v>
      </c>
      <c r="E194" s="1069"/>
      <c r="F194" s="1063"/>
      <c r="G194" s="1073" t="s">
        <v>268</v>
      </c>
      <c r="H194" s="1071"/>
      <c r="I194" s="1064">
        <f>N194</f>
        <v>9400</v>
      </c>
      <c r="J194" s="1065"/>
      <c r="L194" s="8"/>
      <c r="M194" s="8"/>
      <c r="N194" s="8">
        <f>'[5]Usulan 2021'!I193</f>
        <v>9400</v>
      </c>
      <c r="O194" s="8">
        <f>'[5]Usulan 2021'!J193</f>
        <v>9400</v>
      </c>
      <c r="P194" s="8">
        <f>'[5]Usulan 2021'!K193</f>
        <v>9400</v>
      </c>
    </row>
    <row r="195" spans="2:18" x14ac:dyDescent="0.2">
      <c r="B195" s="1072">
        <f t="shared" ref="B195:B243" si="7">B194+1</f>
        <v>131</v>
      </c>
      <c r="C195" s="1067"/>
      <c r="D195" s="1077" t="s">
        <v>565</v>
      </c>
      <c r="E195" s="1069"/>
      <c r="F195" s="1063"/>
      <c r="G195" s="1073" t="s">
        <v>268</v>
      </c>
      <c r="H195" s="1071"/>
      <c r="I195" s="1064">
        <f>N195</f>
        <v>19500</v>
      </c>
      <c r="J195" s="1065"/>
      <c r="L195" s="8"/>
      <c r="M195" s="8"/>
      <c r="N195" s="342">
        <f>'[5]Usulan 2021'!I194</f>
        <v>19500</v>
      </c>
      <c r="O195" s="342">
        <f>'[5]Usulan 2021'!J194</f>
        <v>19500</v>
      </c>
      <c r="P195" s="342">
        <f>'[5]Usulan 2021'!K194</f>
        <v>19500</v>
      </c>
      <c r="R195" s="210" t="s">
        <v>1427</v>
      </c>
    </row>
    <row r="196" spans="2:18" x14ac:dyDescent="0.2">
      <c r="B196" s="1072">
        <f t="shared" si="7"/>
        <v>132</v>
      </c>
      <c r="C196" s="1067"/>
      <c r="D196" s="1077" t="s">
        <v>599</v>
      </c>
      <c r="E196" s="1069"/>
      <c r="F196" s="1063"/>
      <c r="G196" s="1073"/>
      <c r="H196" s="1071"/>
      <c r="I196" s="1064"/>
      <c r="J196" s="1065"/>
      <c r="L196" s="8"/>
      <c r="M196" s="8"/>
      <c r="N196" s="8"/>
      <c r="O196" s="8"/>
      <c r="P196" s="8"/>
    </row>
    <row r="197" spans="2:18" x14ac:dyDescent="0.2">
      <c r="B197" s="1072">
        <f t="shared" si="7"/>
        <v>133</v>
      </c>
      <c r="C197" s="1067"/>
      <c r="D197" s="1074" t="s">
        <v>868</v>
      </c>
      <c r="E197" s="1075"/>
      <c r="F197" s="1063"/>
      <c r="G197" s="1073" t="s">
        <v>268</v>
      </c>
      <c r="H197" s="1071"/>
      <c r="I197" s="1064">
        <f t="shared" si="6"/>
        <v>5700</v>
      </c>
      <c r="J197" s="1065"/>
      <c r="L197" s="8"/>
      <c r="M197" s="8"/>
      <c r="N197" s="8">
        <f>'[5]Usulan 2021'!I196</f>
        <v>5700</v>
      </c>
      <c r="O197" s="8">
        <f>'[5]Usulan 2021'!J196</f>
        <v>5700</v>
      </c>
      <c r="P197" s="8">
        <f>'[5]Usulan 2021'!K196</f>
        <v>5700</v>
      </c>
    </row>
    <row r="198" spans="2:18" x14ac:dyDescent="0.2">
      <c r="B198" s="1072">
        <f t="shared" si="7"/>
        <v>134</v>
      </c>
      <c r="C198" s="1067"/>
      <c r="D198" s="1077" t="s">
        <v>562</v>
      </c>
      <c r="E198" s="1069"/>
      <c r="F198" s="1063"/>
      <c r="G198" s="1073" t="s">
        <v>268</v>
      </c>
      <c r="H198" s="1071"/>
      <c r="I198" s="1064">
        <f>N198</f>
        <v>6000</v>
      </c>
      <c r="J198" s="1065"/>
      <c r="L198" s="8"/>
      <c r="M198" s="8"/>
      <c r="N198" s="8">
        <f>'[5]Usulan 2021'!I197</f>
        <v>6000</v>
      </c>
      <c r="O198" s="8">
        <f>'[5]Usulan 2021'!J197</f>
        <v>6000</v>
      </c>
      <c r="P198" s="8">
        <f>'[5]Usulan 2021'!K197</f>
        <v>6000</v>
      </c>
    </row>
    <row r="199" spans="2:18" x14ac:dyDescent="0.2">
      <c r="B199" s="1072">
        <f t="shared" si="7"/>
        <v>135</v>
      </c>
      <c r="C199" s="1067"/>
      <c r="D199" s="1077" t="s">
        <v>563</v>
      </c>
      <c r="E199" s="1069"/>
      <c r="F199" s="1063"/>
      <c r="G199" s="1073" t="s">
        <v>268</v>
      </c>
      <c r="H199" s="1071"/>
      <c r="I199" s="1064">
        <f>N199</f>
        <v>8600</v>
      </c>
      <c r="J199" s="1065"/>
      <c r="L199" s="8"/>
      <c r="M199" s="8"/>
      <c r="N199" s="8">
        <f>'[5]Usulan 2021'!I198</f>
        <v>8600</v>
      </c>
      <c r="O199" s="8">
        <f>'[5]Usulan 2021'!J198</f>
        <v>8600</v>
      </c>
      <c r="P199" s="8">
        <f>'[5]Usulan 2021'!K198</f>
        <v>8600</v>
      </c>
    </row>
    <row r="200" spans="2:18" x14ac:dyDescent="0.2">
      <c r="B200" s="1072">
        <f t="shared" si="7"/>
        <v>136</v>
      </c>
      <c r="C200" s="1067"/>
      <c r="D200" s="1077" t="s">
        <v>564</v>
      </c>
      <c r="E200" s="1069"/>
      <c r="F200" s="1063"/>
      <c r="G200" s="1073" t="s">
        <v>268</v>
      </c>
      <c r="H200" s="1071"/>
      <c r="I200" s="1064">
        <f>N200</f>
        <v>14100</v>
      </c>
      <c r="J200" s="1065"/>
      <c r="L200" s="8"/>
      <c r="M200" s="8"/>
      <c r="N200" s="8">
        <f>'[5]Usulan 2021'!I199</f>
        <v>14100</v>
      </c>
      <c r="O200" s="8">
        <f>'[5]Usulan 2021'!J199</f>
        <v>14100</v>
      </c>
      <c r="P200" s="8">
        <f>'[5]Usulan 2021'!K199</f>
        <v>14100</v>
      </c>
    </row>
    <row r="201" spans="2:18" x14ac:dyDescent="0.2">
      <c r="B201" s="1072">
        <f t="shared" si="7"/>
        <v>137</v>
      </c>
      <c r="C201" s="1067"/>
      <c r="D201" s="1077" t="s">
        <v>202</v>
      </c>
      <c r="E201" s="1069"/>
      <c r="F201" s="1063"/>
      <c r="G201" s="1073" t="s">
        <v>268</v>
      </c>
      <c r="H201" s="1071"/>
      <c r="I201" s="1064">
        <f>N201</f>
        <v>9400</v>
      </c>
      <c r="J201" s="1065"/>
      <c r="L201" s="8"/>
      <c r="M201" s="8"/>
      <c r="N201" s="8">
        <f>'[5]Usulan 2021'!I200</f>
        <v>9400</v>
      </c>
      <c r="O201" s="8">
        <f>'[5]Usulan 2021'!J200</f>
        <v>9400</v>
      </c>
      <c r="P201" s="8">
        <f>'[5]Usulan 2021'!K200</f>
        <v>9400</v>
      </c>
    </row>
    <row r="202" spans="2:18" x14ac:dyDescent="0.2">
      <c r="B202" s="1072">
        <f t="shared" si="7"/>
        <v>138</v>
      </c>
      <c r="C202" s="1067"/>
      <c r="D202" s="1077" t="s">
        <v>1428</v>
      </c>
      <c r="E202" s="1069"/>
      <c r="F202" s="1063"/>
      <c r="G202" s="1073" t="s">
        <v>268</v>
      </c>
      <c r="H202" s="1071"/>
      <c r="I202" s="1064">
        <f>N202</f>
        <v>8100</v>
      </c>
      <c r="J202" s="1065"/>
      <c r="L202" s="8"/>
      <c r="M202" s="8"/>
      <c r="N202" s="8">
        <f>'[5]Usulan 2021'!I201</f>
        <v>8100</v>
      </c>
      <c r="O202" s="8"/>
      <c r="P202" s="8"/>
    </row>
    <row r="203" spans="2:18" x14ac:dyDescent="0.2">
      <c r="B203" s="1072">
        <f t="shared" si="7"/>
        <v>139</v>
      </c>
      <c r="C203" s="1067"/>
      <c r="D203" s="1074" t="s">
        <v>869</v>
      </c>
      <c r="E203" s="1075"/>
      <c r="F203" s="1063"/>
      <c r="G203" s="1073" t="s">
        <v>268</v>
      </c>
      <c r="H203" s="1071"/>
      <c r="I203" s="1064">
        <f t="shared" si="6"/>
        <v>8200</v>
      </c>
      <c r="J203" s="1065"/>
      <c r="L203" s="8"/>
      <c r="M203" s="8"/>
      <c r="N203" s="8">
        <f>'[5]Usulan 2021'!I202</f>
        <v>8200</v>
      </c>
      <c r="O203" s="8">
        <f>'[5]Usulan 2021'!J202</f>
        <v>8200</v>
      </c>
      <c r="P203" s="8">
        <f>'[5]Usulan 2021'!K202</f>
        <v>8200</v>
      </c>
    </row>
    <row r="204" spans="2:18" x14ac:dyDescent="0.2">
      <c r="B204" s="1072">
        <f t="shared" si="7"/>
        <v>140</v>
      </c>
      <c r="C204" s="1067"/>
      <c r="D204" s="1077" t="s">
        <v>175</v>
      </c>
      <c r="E204" s="1069"/>
      <c r="F204" s="1063"/>
      <c r="G204" s="1073" t="s">
        <v>268</v>
      </c>
      <c r="H204" s="1071"/>
      <c r="I204" s="1064">
        <f t="shared" si="6"/>
        <v>3300</v>
      </c>
      <c r="J204" s="1065"/>
      <c r="L204" s="8"/>
      <c r="M204" s="8"/>
      <c r="N204" s="8">
        <f>'[5]Usulan 2021'!I203</f>
        <v>3300</v>
      </c>
      <c r="O204" s="8">
        <f>'[5]Usulan 2021'!J203</f>
        <v>3300</v>
      </c>
      <c r="P204" s="8">
        <f>'[5]Usulan 2021'!K203</f>
        <v>3300</v>
      </c>
    </row>
    <row r="205" spans="2:18" x14ac:dyDescent="0.2">
      <c r="B205" s="1072">
        <f t="shared" si="7"/>
        <v>141</v>
      </c>
      <c r="C205" s="1067"/>
      <c r="D205" s="1077" t="s">
        <v>201</v>
      </c>
      <c r="E205" s="1069"/>
      <c r="F205" s="1063"/>
      <c r="G205" s="1073" t="s">
        <v>268</v>
      </c>
      <c r="H205" s="1071"/>
      <c r="I205" s="1064">
        <f>N205</f>
        <v>4800</v>
      </c>
      <c r="J205" s="1065"/>
      <c r="L205" s="8"/>
      <c r="M205" s="8"/>
      <c r="N205" s="8">
        <f>'[5]Usulan 2021'!I204</f>
        <v>4800</v>
      </c>
      <c r="O205" s="8">
        <f>'[5]Usulan 2021'!J204</f>
        <v>4800</v>
      </c>
      <c r="P205" s="8">
        <f>'[5]Usulan 2021'!K204</f>
        <v>4800</v>
      </c>
    </row>
    <row r="206" spans="2:18" x14ac:dyDescent="0.2">
      <c r="B206" s="1072">
        <f t="shared" si="7"/>
        <v>142</v>
      </c>
      <c r="C206" s="1067"/>
      <c r="D206" s="1077" t="s">
        <v>200</v>
      </c>
      <c r="E206" s="1069"/>
      <c r="F206" s="1063"/>
      <c r="G206" s="1073" t="s">
        <v>268</v>
      </c>
      <c r="H206" s="1071"/>
      <c r="I206" s="1064">
        <f t="shared" si="6"/>
        <v>4800</v>
      </c>
      <c r="J206" s="1065"/>
      <c r="L206" s="8"/>
      <c r="M206" s="8"/>
      <c r="N206" s="8">
        <f>'[5]Usulan 2021'!I205</f>
        <v>4800</v>
      </c>
      <c r="O206" s="8">
        <f>'[5]Usulan 2021'!J205</f>
        <v>4800</v>
      </c>
      <c r="P206" s="8">
        <f>'[5]Usulan 2021'!K205</f>
        <v>4800</v>
      </c>
    </row>
    <row r="207" spans="2:18" x14ac:dyDescent="0.2">
      <c r="B207" s="1072">
        <f t="shared" si="7"/>
        <v>143</v>
      </c>
      <c r="C207" s="1067"/>
      <c r="D207" s="1080" t="s">
        <v>1429</v>
      </c>
      <c r="E207" s="1081"/>
      <c r="F207" s="1082"/>
      <c r="G207" s="1073" t="s">
        <v>268</v>
      </c>
      <c r="H207" s="1071"/>
      <c r="I207" s="1064">
        <f t="shared" si="6"/>
        <v>1200</v>
      </c>
      <c r="J207" s="1065"/>
      <c r="N207" s="8">
        <f>'[5]Usulan 2021'!I206</f>
        <v>1200</v>
      </c>
    </row>
    <row r="208" spans="2:18" x14ac:dyDescent="0.2">
      <c r="B208" s="1072">
        <f t="shared" si="7"/>
        <v>144</v>
      </c>
      <c r="C208" s="1067"/>
      <c r="D208" s="1080" t="s">
        <v>1367</v>
      </c>
      <c r="E208" s="1081"/>
      <c r="F208" s="1082"/>
      <c r="G208" s="1073" t="s">
        <v>268</v>
      </c>
      <c r="H208" s="1071"/>
      <c r="I208" s="1064">
        <f t="shared" si="6"/>
        <v>75000</v>
      </c>
      <c r="J208" s="1065"/>
      <c r="N208" s="8">
        <f>'[5]Usulan 2021'!I207</f>
        <v>75000</v>
      </c>
    </row>
    <row r="209" spans="2:16" x14ac:dyDescent="0.2">
      <c r="B209" s="1072">
        <f t="shared" si="7"/>
        <v>145</v>
      </c>
      <c r="C209" s="1067"/>
      <c r="D209" s="1080" t="s">
        <v>1368</v>
      </c>
      <c r="E209" s="1081"/>
      <c r="F209" s="1082"/>
      <c r="G209" s="1073" t="s">
        <v>268</v>
      </c>
      <c r="H209" s="1071"/>
      <c r="I209" s="1064">
        <f t="shared" si="6"/>
        <v>5040000</v>
      </c>
      <c r="J209" s="1065"/>
      <c r="N209" s="8">
        <f>'[5]Usulan 2021'!I208</f>
        <v>5040000</v>
      </c>
    </row>
    <row r="210" spans="2:16" x14ac:dyDescent="0.2">
      <c r="B210" s="1072">
        <f t="shared" si="7"/>
        <v>146</v>
      </c>
      <c r="C210" s="1067"/>
      <c r="D210" s="1083" t="s">
        <v>870</v>
      </c>
      <c r="E210" s="1084"/>
      <c r="F210" s="1084"/>
      <c r="G210" s="1052" t="s">
        <v>268</v>
      </c>
      <c r="H210" s="1071"/>
      <c r="I210" s="1064">
        <f t="shared" si="6"/>
        <v>23300</v>
      </c>
      <c r="J210" s="333"/>
      <c r="L210" s="8"/>
      <c r="M210" s="308"/>
      <c r="N210" s="8">
        <f>'[5]Usulan 2021'!I209</f>
        <v>23300</v>
      </c>
      <c r="O210" s="8">
        <f>'[5]Usulan 2021'!J209</f>
        <v>23300</v>
      </c>
      <c r="P210" s="8">
        <f>'[5]Usulan 2021'!K209</f>
        <v>23300</v>
      </c>
    </row>
    <row r="211" spans="2:16" x14ac:dyDescent="0.2">
      <c r="B211" s="1072">
        <f t="shared" si="7"/>
        <v>147</v>
      </c>
      <c r="C211" s="1085"/>
      <c r="D211" s="1083" t="s">
        <v>871</v>
      </c>
      <c r="E211" s="1084"/>
      <c r="F211" s="1084"/>
      <c r="G211" s="1052" t="s">
        <v>268</v>
      </c>
      <c r="H211" s="1085"/>
      <c r="I211" s="1064">
        <f t="shared" si="6"/>
        <v>35000</v>
      </c>
      <c r="J211" s="333"/>
      <c r="L211" s="8"/>
      <c r="M211" s="308"/>
      <c r="N211" s="8">
        <f>'[5]Usulan 2021'!I210</f>
        <v>35000</v>
      </c>
      <c r="O211" s="8">
        <f>'[5]Usulan 2021'!J210</f>
        <v>35000</v>
      </c>
      <c r="P211" s="8">
        <f>'[5]Usulan 2021'!K210</f>
        <v>35000</v>
      </c>
    </row>
    <row r="212" spans="2:16" x14ac:dyDescent="0.2">
      <c r="B212" s="1072">
        <f t="shared" si="7"/>
        <v>148</v>
      </c>
      <c r="C212" s="1085"/>
      <c r="D212" s="1086" t="s">
        <v>1369</v>
      </c>
      <c r="E212" s="1075"/>
      <c r="F212" s="1087"/>
      <c r="G212" s="1073" t="s">
        <v>277</v>
      </c>
      <c r="H212" s="1071"/>
      <c r="I212" s="1064">
        <f>N212</f>
        <v>93000</v>
      </c>
      <c r="J212" s="1065"/>
      <c r="L212" s="8"/>
      <c r="M212" s="8"/>
      <c r="N212" s="8">
        <f>'[5]Usulan 2021'!I211</f>
        <v>93000</v>
      </c>
      <c r="O212" s="8">
        <f>'[5]Usulan 2021'!J211</f>
        <v>93000</v>
      </c>
      <c r="P212" s="8">
        <f>'[5]Usulan 2021'!K211</f>
        <v>93000</v>
      </c>
    </row>
    <row r="213" spans="2:16" ht="16.5" x14ac:dyDescent="0.2">
      <c r="B213" s="1072">
        <f t="shared" si="7"/>
        <v>149</v>
      </c>
      <c r="C213" s="1085"/>
      <c r="D213" s="1077" t="s">
        <v>873</v>
      </c>
      <c r="E213" s="1069"/>
      <c r="F213" s="1063"/>
      <c r="G213" s="1073" t="s">
        <v>1494</v>
      </c>
      <c r="H213" s="1071"/>
      <c r="I213" s="1064">
        <f>N213</f>
        <v>285000</v>
      </c>
      <c r="J213" s="1065"/>
      <c r="L213" s="8"/>
      <c r="M213" s="8"/>
      <c r="N213" s="8">
        <f>'[5]Usulan 2021'!I212</f>
        <v>285000</v>
      </c>
      <c r="O213" s="8">
        <f>'[5]Usulan 2021'!J212</f>
        <v>285000</v>
      </c>
      <c r="P213" s="8">
        <f>'[5]Usulan 2021'!K212</f>
        <v>285000</v>
      </c>
    </row>
    <row r="214" spans="2:16" ht="16.5" x14ac:dyDescent="0.2">
      <c r="B214" s="1072">
        <f t="shared" si="7"/>
        <v>150</v>
      </c>
      <c r="C214" s="1085"/>
      <c r="D214" s="1077" t="s">
        <v>872</v>
      </c>
      <c r="E214" s="1069"/>
      <c r="F214" s="1063"/>
      <c r="G214" s="1073" t="s">
        <v>1494</v>
      </c>
      <c r="H214" s="1071"/>
      <c r="I214" s="1064">
        <f t="shared" si="6"/>
        <v>306000</v>
      </c>
      <c r="J214" s="1065"/>
      <c r="L214" s="8"/>
      <c r="M214" s="8"/>
      <c r="N214" s="8">
        <f>'[5]Usulan 2021'!I213</f>
        <v>306000</v>
      </c>
      <c r="O214" s="8">
        <f>'[5]Usulan 2021'!J213</f>
        <v>306000</v>
      </c>
      <c r="P214" s="8">
        <f>'[5]Usulan 2021'!K213</f>
        <v>306000</v>
      </c>
    </row>
    <row r="215" spans="2:16" ht="16.5" x14ac:dyDescent="0.2">
      <c r="B215" s="1072">
        <f t="shared" si="7"/>
        <v>151</v>
      </c>
      <c r="C215" s="1067"/>
      <c r="D215" s="1077" t="s">
        <v>875</v>
      </c>
      <c r="E215" s="1069"/>
      <c r="F215" s="1076"/>
      <c r="G215" s="1073" t="s">
        <v>1494</v>
      </c>
      <c r="H215" s="1071"/>
      <c r="I215" s="1064">
        <f>N215</f>
        <v>137000</v>
      </c>
      <c r="J215" s="1065"/>
      <c r="L215" s="8"/>
      <c r="M215" s="8"/>
      <c r="N215" s="8">
        <f>'[5]Usulan 2021'!I214</f>
        <v>137000</v>
      </c>
      <c r="O215" s="8">
        <f>'[5]Usulan 2021'!J214</f>
        <v>137000</v>
      </c>
      <c r="P215" s="8">
        <f>'[5]Usulan 2021'!K214</f>
        <v>137000</v>
      </c>
    </row>
    <row r="216" spans="2:16" ht="16.5" x14ac:dyDescent="0.2">
      <c r="B216" s="1072">
        <f t="shared" si="7"/>
        <v>152</v>
      </c>
      <c r="C216" s="1085"/>
      <c r="D216" s="1077" t="s">
        <v>874</v>
      </c>
      <c r="E216" s="1069"/>
      <c r="F216" s="1063"/>
      <c r="G216" s="1073" t="s">
        <v>1494</v>
      </c>
      <c r="H216" s="1071"/>
      <c r="I216" s="1064">
        <f t="shared" si="6"/>
        <v>341000</v>
      </c>
      <c r="J216" s="1065"/>
      <c r="L216" s="8"/>
      <c r="M216" s="8"/>
      <c r="N216" s="8">
        <f>'[5]Usulan 2021'!I215</f>
        <v>341000</v>
      </c>
      <c r="O216" s="8">
        <f>'[5]Usulan 2021'!J215</f>
        <v>341000</v>
      </c>
      <c r="P216" s="8">
        <f>'[5]Usulan 2021'!K215</f>
        <v>341000</v>
      </c>
    </row>
    <row r="217" spans="2:16" ht="16.5" x14ac:dyDescent="0.2">
      <c r="B217" s="1072">
        <f t="shared" si="7"/>
        <v>153</v>
      </c>
      <c r="C217" s="1085"/>
      <c r="D217" s="1077" t="s">
        <v>877</v>
      </c>
      <c r="E217" s="1069"/>
      <c r="F217" s="1063"/>
      <c r="G217" s="1073" t="s">
        <v>1494</v>
      </c>
      <c r="H217" s="1071"/>
      <c r="I217" s="1064">
        <f>N217</f>
        <v>257000</v>
      </c>
      <c r="J217" s="1065"/>
      <c r="L217" s="8"/>
      <c r="M217" s="8"/>
      <c r="N217" s="8">
        <f>'[5]Usulan 2021'!I216</f>
        <v>257000</v>
      </c>
      <c r="O217" s="8">
        <f>'[5]Usulan 2021'!J216</f>
        <v>257000</v>
      </c>
      <c r="P217" s="8">
        <f>'[5]Usulan 2021'!K216</f>
        <v>257000</v>
      </c>
    </row>
    <row r="218" spans="2:16" ht="16.5" x14ac:dyDescent="0.2">
      <c r="B218" s="1072">
        <f t="shared" si="7"/>
        <v>154</v>
      </c>
      <c r="C218" s="1085"/>
      <c r="D218" s="1077" t="s">
        <v>876</v>
      </c>
      <c r="E218" s="1069"/>
      <c r="F218" s="1063"/>
      <c r="G218" s="1073" t="s">
        <v>1494</v>
      </c>
      <c r="H218" s="1071"/>
      <c r="I218" s="1064">
        <f t="shared" si="6"/>
        <v>417000</v>
      </c>
      <c r="J218" s="1065"/>
      <c r="L218" s="8"/>
      <c r="M218" s="8"/>
      <c r="N218" s="8">
        <f>'[5]Usulan 2021'!I217</f>
        <v>417000</v>
      </c>
      <c r="O218" s="8">
        <f>'[5]Usulan 2021'!J217</f>
        <v>417000</v>
      </c>
      <c r="P218" s="8">
        <f>'[5]Usulan 2021'!K217</f>
        <v>417000</v>
      </c>
    </row>
    <row r="219" spans="2:16" ht="16.5" x14ac:dyDescent="0.2">
      <c r="B219" s="1072">
        <f t="shared" si="7"/>
        <v>155</v>
      </c>
      <c r="C219" s="1085"/>
      <c r="D219" s="1077" t="s">
        <v>879</v>
      </c>
      <c r="E219" s="1069"/>
      <c r="F219" s="1063"/>
      <c r="G219" s="1073" t="s">
        <v>1494</v>
      </c>
      <c r="H219" s="1071"/>
      <c r="I219" s="1064">
        <f>N219</f>
        <v>514000</v>
      </c>
      <c r="J219" s="1065"/>
      <c r="L219" s="8"/>
      <c r="M219" s="8"/>
      <c r="N219" s="8">
        <f>'[5]Usulan 2021'!I218</f>
        <v>514000</v>
      </c>
      <c r="O219" s="8">
        <f>'[5]Usulan 2021'!J218</f>
        <v>514000</v>
      </c>
      <c r="P219" s="8">
        <f>'[5]Usulan 2021'!K218</f>
        <v>514000</v>
      </c>
    </row>
    <row r="220" spans="2:16" ht="16.5" x14ac:dyDescent="0.2">
      <c r="B220" s="1072">
        <f t="shared" si="7"/>
        <v>156</v>
      </c>
      <c r="C220" s="1085"/>
      <c r="D220" s="1077" t="s">
        <v>878</v>
      </c>
      <c r="E220" s="1069"/>
      <c r="F220" s="1063"/>
      <c r="G220" s="1073" t="s">
        <v>1494</v>
      </c>
      <c r="H220" s="1071"/>
      <c r="I220" s="1064">
        <f t="shared" si="6"/>
        <v>642000</v>
      </c>
      <c r="J220" s="1065"/>
      <c r="L220" s="8"/>
      <c r="M220" s="8"/>
      <c r="N220" s="8">
        <f>'[5]Usulan 2021'!I219</f>
        <v>642000</v>
      </c>
      <c r="O220" s="8">
        <f>'[5]Usulan 2021'!J219</f>
        <v>642000</v>
      </c>
      <c r="P220" s="8">
        <f>'[5]Usulan 2021'!K219</f>
        <v>642000</v>
      </c>
    </row>
    <row r="221" spans="2:16" ht="16.5" x14ac:dyDescent="0.2">
      <c r="B221" s="1072">
        <f t="shared" si="7"/>
        <v>157</v>
      </c>
      <c r="C221" s="1085"/>
      <c r="D221" s="367" t="s">
        <v>1484</v>
      </c>
      <c r="E221" s="217"/>
      <c r="F221" s="1063"/>
      <c r="G221" s="1073" t="s">
        <v>1494</v>
      </c>
      <c r="H221" s="221"/>
      <c r="I221" s="1064">
        <f t="shared" ref="I221:I293" si="8">N221</f>
        <v>1021000</v>
      </c>
      <c r="J221" s="1065"/>
      <c r="L221" s="8"/>
      <c r="M221" s="8"/>
      <c r="N221" s="8">
        <f>'[5]Usulan 2021'!I220</f>
        <v>1021000</v>
      </c>
      <c r="O221" s="8">
        <f>'[5]Usulan 2021'!J220</f>
        <v>1021000</v>
      </c>
      <c r="P221" s="8">
        <f>'[5]Usulan 2021'!K220</f>
        <v>1021000</v>
      </c>
    </row>
    <row r="222" spans="2:16" x14ac:dyDescent="0.2">
      <c r="B222" s="1072">
        <f t="shared" si="7"/>
        <v>158</v>
      </c>
      <c r="C222" s="1085"/>
      <c r="D222" s="1079" t="s">
        <v>636</v>
      </c>
      <c r="E222" s="607"/>
      <c r="F222" s="1063"/>
      <c r="G222" s="1070" t="s">
        <v>264</v>
      </c>
      <c r="H222" s="991"/>
      <c r="I222" s="1064">
        <f t="shared" si="8"/>
        <v>466000</v>
      </c>
      <c r="J222" s="1065"/>
      <c r="L222" s="8"/>
      <c r="M222" s="8"/>
      <c r="N222" s="8">
        <f>'[5]Usulan 2021'!I221</f>
        <v>466000</v>
      </c>
      <c r="O222" s="8">
        <f>'[5]Usulan 2021'!J221</f>
        <v>466000</v>
      </c>
      <c r="P222" s="8">
        <f>'[5]Usulan 2021'!K221</f>
        <v>466000</v>
      </c>
    </row>
    <row r="223" spans="2:16" x14ac:dyDescent="0.2">
      <c r="B223" s="1072">
        <f t="shared" si="7"/>
        <v>159</v>
      </c>
      <c r="C223" s="1085"/>
      <c r="D223" s="1079" t="s">
        <v>60</v>
      </c>
      <c r="E223" s="607"/>
      <c r="F223" s="1063"/>
      <c r="G223" s="1088" t="s">
        <v>298</v>
      </c>
      <c r="H223" s="991"/>
      <c r="I223" s="1064">
        <f t="shared" si="8"/>
        <v>52000</v>
      </c>
      <c r="J223" s="1065"/>
      <c r="L223" s="8"/>
      <c r="M223" s="8"/>
      <c r="N223" s="8">
        <f>'[5]Usulan 2021'!I222</f>
        <v>52000</v>
      </c>
      <c r="O223" s="8">
        <f>'[5]Usulan 2021'!J222</f>
        <v>52000</v>
      </c>
      <c r="P223" s="8">
        <f>'[5]Usulan 2021'!K222</f>
        <v>52000</v>
      </c>
    </row>
    <row r="224" spans="2:16" x14ac:dyDescent="0.2">
      <c r="B224" s="1072">
        <f t="shared" si="7"/>
        <v>160</v>
      </c>
      <c r="C224" s="1085"/>
      <c r="D224" s="1068" t="s">
        <v>485</v>
      </c>
      <c r="E224" s="1069"/>
      <c r="F224" s="1063"/>
      <c r="G224" s="1070" t="s">
        <v>268</v>
      </c>
      <c r="H224" s="1071"/>
      <c r="I224" s="1064">
        <f t="shared" si="8"/>
        <v>6900</v>
      </c>
      <c r="J224" s="1065"/>
      <c r="L224" s="8"/>
      <c r="M224" s="8"/>
      <c r="N224" s="8">
        <f>'[5]Usulan 2021'!I223</f>
        <v>6900</v>
      </c>
      <c r="O224" s="8">
        <f>'[5]Usulan 2021'!J223</f>
        <v>6900</v>
      </c>
      <c r="P224" s="8">
        <f>'[5]Usulan 2021'!K223</f>
        <v>6900</v>
      </c>
    </row>
    <row r="225" spans="2:16" x14ac:dyDescent="0.2">
      <c r="B225" s="1072">
        <f t="shared" si="7"/>
        <v>161</v>
      </c>
      <c r="C225" s="1085"/>
      <c r="D225" s="1068" t="s">
        <v>433</v>
      </c>
      <c r="E225" s="1069"/>
      <c r="F225" s="1063"/>
      <c r="G225" s="1070" t="s">
        <v>268</v>
      </c>
      <c r="H225" s="1071"/>
      <c r="I225" s="1064">
        <f t="shared" si="8"/>
        <v>9400</v>
      </c>
      <c r="J225" s="1065"/>
      <c r="L225" s="8"/>
      <c r="M225" s="8"/>
      <c r="N225" s="8">
        <f>'[5]Usulan 2021'!I224</f>
        <v>9400</v>
      </c>
      <c r="O225" s="8">
        <f>'[5]Usulan 2021'!J224</f>
        <v>9400</v>
      </c>
      <c r="P225" s="8">
        <f>'[5]Usulan 2021'!K224</f>
        <v>9400</v>
      </c>
    </row>
    <row r="226" spans="2:16" x14ac:dyDescent="0.2">
      <c r="B226" s="1072">
        <f t="shared" si="7"/>
        <v>162</v>
      </c>
      <c r="C226" s="1085"/>
      <c r="D226" s="1068" t="s">
        <v>486</v>
      </c>
      <c r="E226" s="1069"/>
      <c r="F226" s="1063"/>
      <c r="G226" s="1070" t="s">
        <v>268</v>
      </c>
      <c r="H226" s="1071"/>
      <c r="I226" s="1064">
        <f t="shared" si="8"/>
        <v>11600</v>
      </c>
      <c r="J226" s="1065"/>
      <c r="L226" s="8"/>
      <c r="M226" s="8"/>
      <c r="N226" s="8">
        <f>'[5]Usulan 2021'!I225</f>
        <v>11600</v>
      </c>
      <c r="O226" s="8">
        <f>'[5]Usulan 2021'!J225</f>
        <v>11600</v>
      </c>
      <c r="P226" s="8">
        <f>'[5]Usulan 2021'!K225</f>
        <v>11600</v>
      </c>
    </row>
    <row r="227" spans="2:16" x14ac:dyDescent="0.2">
      <c r="B227" s="1072">
        <f t="shared" si="7"/>
        <v>163</v>
      </c>
      <c r="C227" s="1085"/>
      <c r="D227" s="1068" t="s">
        <v>881</v>
      </c>
      <c r="E227" s="1069"/>
      <c r="F227" s="1063"/>
      <c r="G227" s="1070" t="s">
        <v>264</v>
      </c>
      <c r="H227" s="1071"/>
      <c r="I227" s="1064">
        <f t="shared" si="8"/>
        <v>233000</v>
      </c>
      <c r="J227" s="1065"/>
      <c r="L227" s="8"/>
      <c r="M227" s="8"/>
      <c r="N227" s="8">
        <f>'[5]Usulan 2021'!I226</f>
        <v>233000</v>
      </c>
      <c r="O227" s="8">
        <f>'[5]Usulan 2021'!J226</f>
        <v>233000</v>
      </c>
      <c r="P227" s="8">
        <f>'[5]Usulan 2021'!K226</f>
        <v>233000</v>
      </c>
    </row>
    <row r="228" spans="2:16" x14ac:dyDescent="0.2">
      <c r="B228" s="1072">
        <f t="shared" si="7"/>
        <v>164</v>
      </c>
      <c r="C228" s="1085"/>
      <c r="D228" s="1068" t="s">
        <v>59</v>
      </c>
      <c r="E228" s="1069"/>
      <c r="F228" s="1063"/>
      <c r="G228" s="1070" t="s">
        <v>264</v>
      </c>
      <c r="H228" s="1071"/>
      <c r="I228" s="1064">
        <f t="shared" si="8"/>
        <v>233000</v>
      </c>
      <c r="J228" s="1065"/>
      <c r="L228" s="8"/>
      <c r="M228" s="8"/>
      <c r="N228" s="8">
        <f>'[5]Usulan 2021'!I227</f>
        <v>233000</v>
      </c>
      <c r="O228" s="8">
        <f>'[5]Usulan 2021'!J227</f>
        <v>233000</v>
      </c>
      <c r="P228" s="8">
        <f>'[5]Usulan 2021'!K227</f>
        <v>233000</v>
      </c>
    </row>
    <row r="229" spans="2:16" x14ac:dyDescent="0.2">
      <c r="B229" s="1072">
        <f t="shared" si="7"/>
        <v>165</v>
      </c>
      <c r="C229" s="1085"/>
      <c r="D229" s="369" t="s">
        <v>1370</v>
      </c>
      <c r="G229" s="1070" t="s">
        <v>268</v>
      </c>
      <c r="H229" s="1071"/>
      <c r="I229" s="1064">
        <f t="shared" si="8"/>
        <v>158000</v>
      </c>
      <c r="J229" s="1065"/>
      <c r="N229" s="8">
        <f>'[5]Usulan 2021'!I228</f>
        <v>158000</v>
      </c>
    </row>
    <row r="230" spans="2:16" x14ac:dyDescent="0.2">
      <c r="B230" s="1072">
        <f t="shared" si="7"/>
        <v>166</v>
      </c>
      <c r="C230" s="1067"/>
      <c r="D230" s="1074" t="s">
        <v>883</v>
      </c>
      <c r="E230" s="1075"/>
      <c r="F230" s="1087"/>
      <c r="G230" s="1070" t="s">
        <v>277</v>
      </c>
      <c r="H230" s="1071"/>
      <c r="I230" s="1064">
        <f>N230</f>
        <v>87000</v>
      </c>
      <c r="J230" s="1065"/>
      <c r="K230" s="370"/>
      <c r="L230" s="8"/>
      <c r="M230" s="8"/>
      <c r="N230" s="8">
        <f>'[5]Usulan 2021'!I229</f>
        <v>87000</v>
      </c>
      <c r="O230" s="8">
        <f>'[5]Usulan 2021'!J229</f>
        <v>87000</v>
      </c>
      <c r="P230" s="8">
        <f>'[5]Usulan 2021'!K229</f>
        <v>87000</v>
      </c>
    </row>
    <row r="231" spans="2:16" x14ac:dyDescent="0.2">
      <c r="B231" s="1072">
        <f t="shared" si="7"/>
        <v>167</v>
      </c>
      <c r="C231" s="1067"/>
      <c r="D231" s="1074" t="s">
        <v>882</v>
      </c>
      <c r="E231" s="1075"/>
      <c r="F231" s="1087"/>
      <c r="G231" s="1073" t="s">
        <v>277</v>
      </c>
      <c r="H231" s="1071"/>
      <c r="I231" s="1064">
        <f t="shared" si="8"/>
        <v>69000</v>
      </c>
      <c r="J231" s="1065"/>
      <c r="L231" s="8"/>
      <c r="M231" s="8"/>
      <c r="N231" s="8">
        <f>'[5]Usulan 2021'!I230</f>
        <v>69000</v>
      </c>
      <c r="O231" s="8">
        <f>'[5]Usulan 2021'!J230</f>
        <v>69000</v>
      </c>
      <c r="P231" s="8">
        <f>'[5]Usulan 2021'!K230</f>
        <v>69000</v>
      </c>
    </row>
    <row r="232" spans="2:16" x14ac:dyDescent="0.2">
      <c r="B232" s="1072">
        <f t="shared" si="7"/>
        <v>168</v>
      </c>
      <c r="C232" s="1067"/>
      <c r="D232" s="1068" t="s">
        <v>432</v>
      </c>
      <c r="E232" s="1069"/>
      <c r="F232" s="1063"/>
      <c r="G232" s="1070" t="s">
        <v>268</v>
      </c>
      <c r="H232" s="1071"/>
      <c r="I232" s="1064">
        <f t="shared" si="8"/>
        <v>5200</v>
      </c>
      <c r="J232" s="1065"/>
      <c r="L232" s="8"/>
      <c r="M232" s="8"/>
      <c r="N232" s="8">
        <f>'[5]Usulan 2021'!I231</f>
        <v>5200</v>
      </c>
      <c r="O232" s="8">
        <f>'[5]Usulan 2021'!J231</f>
        <v>5200</v>
      </c>
      <c r="P232" s="8">
        <f>'[5]Usulan 2021'!K231</f>
        <v>5200</v>
      </c>
    </row>
    <row r="233" spans="2:16" x14ac:dyDescent="0.2">
      <c r="B233" s="1072">
        <f t="shared" si="7"/>
        <v>169</v>
      </c>
      <c r="C233" s="1067"/>
      <c r="D233" s="1068" t="s">
        <v>487</v>
      </c>
      <c r="E233" s="1069"/>
      <c r="F233" s="1063"/>
      <c r="G233" s="1070" t="s">
        <v>268</v>
      </c>
      <c r="H233" s="1071"/>
      <c r="I233" s="1064">
        <f t="shared" si="8"/>
        <v>10000</v>
      </c>
      <c r="J233" s="1065"/>
      <c r="L233" s="8"/>
      <c r="M233" s="8"/>
      <c r="N233" s="8">
        <f>'[5]Usulan 2021'!I232</f>
        <v>10000</v>
      </c>
      <c r="O233" s="8">
        <f>'[5]Usulan 2021'!J232</f>
        <v>10000</v>
      </c>
      <c r="P233" s="8">
        <f>'[5]Usulan 2021'!K232</f>
        <v>10000</v>
      </c>
    </row>
    <row r="234" spans="2:16" x14ac:dyDescent="0.2">
      <c r="B234" s="1072">
        <f t="shared" si="7"/>
        <v>170</v>
      </c>
      <c r="C234" s="1067"/>
      <c r="D234" s="1068" t="s">
        <v>488</v>
      </c>
      <c r="E234" s="1069"/>
      <c r="F234" s="1063"/>
      <c r="G234" s="1070" t="s">
        <v>268</v>
      </c>
      <c r="H234" s="1071"/>
      <c r="I234" s="1064">
        <f t="shared" si="8"/>
        <v>15800</v>
      </c>
      <c r="J234" s="1065"/>
      <c r="L234" s="8"/>
      <c r="M234" s="8"/>
      <c r="N234" s="8">
        <f>'[5]Usulan 2021'!I233</f>
        <v>15800</v>
      </c>
      <c r="O234" s="8">
        <f>'[5]Usulan 2021'!J233</f>
        <v>15800</v>
      </c>
      <c r="P234" s="8">
        <f>'[5]Usulan 2021'!K233</f>
        <v>15800</v>
      </c>
    </row>
    <row r="235" spans="2:16" x14ac:dyDescent="0.2">
      <c r="B235" s="1072">
        <f t="shared" si="7"/>
        <v>171</v>
      </c>
      <c r="C235" s="1067"/>
      <c r="D235" s="1089" t="s">
        <v>389</v>
      </c>
      <c r="E235" s="1075"/>
      <c r="F235" s="1076"/>
      <c r="G235" s="1073" t="s">
        <v>268</v>
      </c>
      <c r="H235" s="1071"/>
      <c r="I235" s="1064">
        <f t="shared" si="8"/>
        <v>11600</v>
      </c>
      <c r="J235" s="1065"/>
      <c r="L235" s="8"/>
      <c r="M235" s="8"/>
      <c r="N235" s="8">
        <f>'[5]Usulan 2021'!I234</f>
        <v>11600</v>
      </c>
      <c r="O235" s="8">
        <f>'[5]Usulan 2021'!J234</f>
        <v>11600</v>
      </c>
      <c r="P235" s="8">
        <f>'[5]Usulan 2021'!K234</f>
        <v>11600</v>
      </c>
    </row>
    <row r="236" spans="2:16" x14ac:dyDescent="0.2">
      <c r="B236" s="1072">
        <f t="shared" si="7"/>
        <v>172</v>
      </c>
      <c r="C236" s="1067"/>
      <c r="D236" s="1074" t="s">
        <v>885</v>
      </c>
      <c r="E236" s="1075"/>
      <c r="F236" s="1076"/>
      <c r="G236" s="1070" t="s">
        <v>277</v>
      </c>
      <c r="H236" s="1071"/>
      <c r="I236" s="1064">
        <f t="shared" si="8"/>
        <v>20400</v>
      </c>
      <c r="J236" s="1065"/>
      <c r="L236" s="8"/>
      <c r="M236" s="8"/>
      <c r="N236" s="8">
        <f>'[5]Usulan 2021'!I235</f>
        <v>20400</v>
      </c>
      <c r="O236" s="8">
        <f>'[5]Usulan 2021'!J235</f>
        <v>20400</v>
      </c>
      <c r="P236" s="8">
        <f>'[5]Usulan 2021'!K235</f>
        <v>20400</v>
      </c>
    </row>
    <row r="237" spans="2:16" x14ac:dyDescent="0.2">
      <c r="B237" s="1072">
        <f t="shared" si="7"/>
        <v>173</v>
      </c>
      <c r="C237" s="1067"/>
      <c r="D237" s="1077" t="s">
        <v>236</v>
      </c>
      <c r="E237" s="1069"/>
      <c r="F237" s="1076"/>
      <c r="G237" s="1070" t="s">
        <v>265</v>
      </c>
      <c r="H237" s="1071"/>
      <c r="I237" s="1090">
        <f t="shared" si="8"/>
        <v>10500</v>
      </c>
      <c r="J237" s="1065"/>
      <c r="L237" s="8"/>
      <c r="M237" s="8"/>
      <c r="N237" s="8">
        <f>'[5]Usulan 2021'!I236</f>
        <v>10500</v>
      </c>
      <c r="O237" s="8">
        <f>'[5]Usulan 2021'!J236</f>
        <v>10500</v>
      </c>
      <c r="P237" s="8">
        <f>'[5]Usulan 2021'!K236</f>
        <v>10500</v>
      </c>
    </row>
    <row r="238" spans="2:16" x14ac:dyDescent="0.2">
      <c r="B238" s="1072">
        <f t="shared" si="7"/>
        <v>174</v>
      </c>
      <c r="C238" s="1067"/>
      <c r="D238" s="1077" t="s">
        <v>886</v>
      </c>
      <c r="E238" s="1069"/>
      <c r="F238" s="1076"/>
      <c r="G238" s="1070" t="s">
        <v>268</v>
      </c>
      <c r="H238" s="1071"/>
      <c r="I238" s="1064">
        <f t="shared" si="8"/>
        <v>21300</v>
      </c>
      <c r="J238" s="1065"/>
      <c r="L238" s="8"/>
      <c r="M238" s="8"/>
      <c r="N238" s="8">
        <f>'[5]Usulan 2021'!I237</f>
        <v>21300</v>
      </c>
      <c r="O238" s="8">
        <f>'[5]Usulan 2021'!J237</f>
        <v>21300</v>
      </c>
      <c r="P238" s="8">
        <f>'[5]Usulan 2021'!K237</f>
        <v>21300</v>
      </c>
    </row>
    <row r="239" spans="2:16" x14ac:dyDescent="0.2">
      <c r="B239" s="1072">
        <f t="shared" si="7"/>
        <v>175</v>
      </c>
      <c r="C239" s="1067"/>
      <c r="D239" s="1077" t="s">
        <v>887</v>
      </c>
      <c r="E239" s="1069"/>
      <c r="F239" s="1076"/>
      <c r="G239" s="1070" t="s">
        <v>268</v>
      </c>
      <c r="H239" s="1071"/>
      <c r="I239" s="1064">
        <f t="shared" si="8"/>
        <v>46700</v>
      </c>
      <c r="J239" s="1065"/>
      <c r="L239" s="8"/>
      <c r="M239" s="8"/>
      <c r="N239" s="8">
        <f>'[5]Usulan 2021'!I238</f>
        <v>46700</v>
      </c>
      <c r="O239" s="8">
        <f>'[5]Usulan 2021'!J238</f>
        <v>46700</v>
      </c>
      <c r="P239" s="8">
        <f>'[5]Usulan 2021'!K238</f>
        <v>46700</v>
      </c>
    </row>
    <row r="240" spans="2:16" x14ac:dyDescent="0.2">
      <c r="B240" s="1072">
        <f t="shared" si="7"/>
        <v>176</v>
      </c>
      <c r="C240" s="1067"/>
      <c r="D240" s="1077" t="s">
        <v>1371</v>
      </c>
      <c r="E240" s="1069"/>
      <c r="F240" s="1076"/>
      <c r="G240" s="1070" t="s">
        <v>268</v>
      </c>
      <c r="H240" s="1071"/>
      <c r="I240" s="1064">
        <f t="shared" si="8"/>
        <v>569000</v>
      </c>
      <c r="J240" s="1065"/>
      <c r="L240" s="8"/>
      <c r="M240" s="8"/>
      <c r="N240" s="8">
        <f>'[5]Usulan 2021'!I239</f>
        <v>569000</v>
      </c>
      <c r="O240" s="8"/>
      <c r="P240" s="8"/>
    </row>
    <row r="241" spans="2:18" x14ac:dyDescent="0.2">
      <c r="B241" s="1072">
        <f t="shared" si="7"/>
        <v>177</v>
      </c>
      <c r="C241" s="1067"/>
      <c r="D241" s="1074" t="s">
        <v>297</v>
      </c>
      <c r="E241" s="1075"/>
      <c r="F241" s="1076"/>
      <c r="G241" s="1073" t="s">
        <v>298</v>
      </c>
      <c r="H241" s="1078"/>
      <c r="I241" s="1064">
        <f t="shared" si="8"/>
        <v>14600</v>
      </c>
      <c r="J241" s="1065"/>
      <c r="L241" s="8"/>
      <c r="M241" s="8"/>
      <c r="N241" s="8">
        <f>'[5]Usulan 2021'!I240</f>
        <v>14600</v>
      </c>
      <c r="O241" s="8">
        <f>'[5]Usulan 2021'!J240</f>
        <v>14600</v>
      </c>
      <c r="P241" s="8">
        <f>'[5]Usulan 2021'!K240</f>
        <v>14600</v>
      </c>
    </row>
    <row r="242" spans="2:18" x14ac:dyDescent="0.2">
      <c r="B242" s="1072">
        <f t="shared" si="7"/>
        <v>178</v>
      </c>
      <c r="C242" s="1067"/>
      <c r="D242" s="1091" t="s">
        <v>1372</v>
      </c>
      <c r="E242" s="1075"/>
      <c r="F242" s="1076"/>
      <c r="G242" s="1073" t="s">
        <v>268</v>
      </c>
      <c r="H242" s="1078"/>
      <c r="I242" s="1064">
        <f t="shared" si="8"/>
        <v>162000</v>
      </c>
      <c r="J242" s="1065"/>
      <c r="L242" s="8"/>
      <c r="M242" s="8"/>
      <c r="N242" s="8">
        <f>'[5]Usulan 2021'!I241</f>
        <v>162000</v>
      </c>
      <c r="O242" s="8"/>
      <c r="P242" s="8"/>
    </row>
    <row r="243" spans="2:18" x14ac:dyDescent="0.2">
      <c r="B243" s="1072">
        <f t="shared" si="7"/>
        <v>179</v>
      </c>
      <c r="C243" s="1067"/>
      <c r="D243" s="1077" t="s">
        <v>717</v>
      </c>
      <c r="E243" s="1069"/>
      <c r="F243" s="1076"/>
      <c r="G243" s="1073" t="s">
        <v>268</v>
      </c>
      <c r="H243" s="1071"/>
      <c r="I243" s="1064">
        <f t="shared" si="8"/>
        <v>139000</v>
      </c>
      <c r="J243" s="1065"/>
      <c r="L243" s="8"/>
      <c r="M243" s="8"/>
      <c r="N243" s="8">
        <f>'[5]Usulan 2021'!I242</f>
        <v>139000</v>
      </c>
      <c r="O243" s="8">
        <f>'[5]Usulan 2021'!J242</f>
        <v>139000</v>
      </c>
      <c r="P243" s="8">
        <f>'[5]Usulan 2021'!K242</f>
        <v>139000</v>
      </c>
    </row>
    <row r="244" spans="2:18" x14ac:dyDescent="0.2">
      <c r="B244" s="1072">
        <f>B243+1</f>
        <v>180</v>
      </c>
      <c r="C244" s="1067"/>
      <c r="D244" s="1077" t="s">
        <v>1373</v>
      </c>
      <c r="E244" s="1069"/>
      <c r="F244" s="1063"/>
      <c r="G244" s="1073" t="s">
        <v>247</v>
      </c>
      <c r="H244" s="1081"/>
      <c r="I244" s="1064">
        <f t="shared" si="8"/>
        <v>5700</v>
      </c>
      <c r="J244" s="1065"/>
      <c r="L244" s="8"/>
      <c r="M244" s="8"/>
      <c r="N244" s="8">
        <f>'[5]Usulan 2021'!I243</f>
        <v>5700</v>
      </c>
      <c r="O244" s="8">
        <f>'[5]Usulan 2021'!J243</f>
        <v>5700</v>
      </c>
      <c r="P244" s="8">
        <f>'[5]Usulan 2021'!K243</f>
        <v>5700</v>
      </c>
      <c r="R244" s="352">
        <f>I244*50</f>
        <v>285000</v>
      </c>
    </row>
    <row r="245" spans="2:18" x14ac:dyDescent="0.2">
      <c r="B245" s="1072">
        <f t="shared" ref="B245:B308" si="9">B244+1</f>
        <v>181</v>
      </c>
      <c r="C245" s="1067"/>
      <c r="D245" s="1077" t="s">
        <v>1374</v>
      </c>
      <c r="E245" s="1069"/>
      <c r="F245" s="1063"/>
      <c r="G245" s="1073" t="s">
        <v>247</v>
      </c>
      <c r="H245" s="1081"/>
      <c r="I245" s="1064">
        <f t="shared" si="8"/>
        <v>6900</v>
      </c>
      <c r="J245" s="1065"/>
      <c r="L245" s="8"/>
      <c r="M245" s="8"/>
      <c r="N245" s="8">
        <f>'[5]Usulan 2021'!I244</f>
        <v>6900</v>
      </c>
      <c r="O245" s="8">
        <f>'[5]Usulan 2021'!J244</f>
        <v>6900</v>
      </c>
      <c r="P245" s="8">
        <f>'[5]Usulan 2021'!K244</f>
        <v>6900</v>
      </c>
      <c r="R245" s="352">
        <f>I245*50</f>
        <v>345000</v>
      </c>
    </row>
    <row r="246" spans="2:18" x14ac:dyDescent="0.2">
      <c r="B246" s="1072">
        <f t="shared" si="9"/>
        <v>182</v>
      </c>
      <c r="C246" s="1040"/>
      <c r="D246" s="1079" t="s">
        <v>640</v>
      </c>
      <c r="E246" s="607"/>
      <c r="F246" s="990"/>
      <c r="G246" s="1042" t="s">
        <v>275</v>
      </c>
      <c r="H246" s="991"/>
      <c r="I246" s="1064">
        <f t="shared" si="8"/>
        <v>1929600</v>
      </c>
      <c r="J246" s="979"/>
      <c r="L246" s="8"/>
      <c r="M246" s="8"/>
      <c r="N246" s="8">
        <f>'[5]Usulan 2021'!I245</f>
        <v>1929600</v>
      </c>
      <c r="O246" s="8">
        <f>'[5]Usulan 2021'!J245</f>
        <v>1929600</v>
      </c>
      <c r="P246" s="8">
        <f>'[5]Usulan 2021'!K245</f>
        <v>1929600</v>
      </c>
    </row>
    <row r="247" spans="2:18" x14ac:dyDescent="0.2">
      <c r="B247" s="1072">
        <f t="shared" si="9"/>
        <v>183</v>
      </c>
      <c r="C247" s="1067"/>
      <c r="D247" s="1089" t="s">
        <v>889</v>
      </c>
      <c r="E247" s="1075"/>
      <c r="F247" s="1063"/>
      <c r="G247" s="1073" t="s">
        <v>247</v>
      </c>
      <c r="H247" s="1071"/>
      <c r="I247" s="1064">
        <f>N247</f>
        <v>935000</v>
      </c>
      <c r="J247" s="1065"/>
      <c r="L247" s="8"/>
      <c r="M247" s="8"/>
      <c r="N247" s="8">
        <f>'[5]Usulan 2021'!I246</f>
        <v>935000</v>
      </c>
      <c r="O247" s="8">
        <f>'[5]Usulan 2021'!J246</f>
        <v>935000</v>
      </c>
      <c r="P247" s="8">
        <f>'[5]Usulan 2021'!K246</f>
        <v>935000</v>
      </c>
    </row>
    <row r="248" spans="2:18" x14ac:dyDescent="0.2">
      <c r="B248" s="1072">
        <f t="shared" si="9"/>
        <v>184</v>
      </c>
      <c r="C248" s="1067"/>
      <c r="D248" s="1089" t="s">
        <v>888</v>
      </c>
      <c r="E248" s="1075"/>
      <c r="F248" s="1063"/>
      <c r="G248" s="1073" t="s">
        <v>247</v>
      </c>
      <c r="H248" s="1071"/>
      <c r="I248" s="1064">
        <f t="shared" si="8"/>
        <v>291000</v>
      </c>
      <c r="J248" s="1065"/>
      <c r="L248" s="8"/>
      <c r="M248" s="8"/>
      <c r="N248" s="8">
        <f>'[5]Usulan 2021'!I247</f>
        <v>291000</v>
      </c>
      <c r="O248" s="8">
        <f>'[5]Usulan 2021'!J247</f>
        <v>291000</v>
      </c>
      <c r="P248" s="8">
        <f>'[5]Usulan 2021'!K247</f>
        <v>291000</v>
      </c>
    </row>
    <row r="249" spans="2:18" ht="16.5" x14ac:dyDescent="0.2">
      <c r="B249" s="1072">
        <f t="shared" si="9"/>
        <v>185</v>
      </c>
      <c r="C249" s="1067"/>
      <c r="D249" s="1089" t="s">
        <v>489</v>
      </c>
      <c r="E249" s="1075"/>
      <c r="F249" s="1076"/>
      <c r="G249" s="1073" t="s">
        <v>1494</v>
      </c>
      <c r="H249" s="1092"/>
      <c r="I249" s="1064">
        <f t="shared" si="8"/>
        <v>93000</v>
      </c>
      <c r="J249" s="1065"/>
      <c r="L249" s="8"/>
      <c r="M249" s="8"/>
      <c r="N249" s="8">
        <f>'[5]Usulan 2021'!I248</f>
        <v>93000</v>
      </c>
      <c r="O249" s="8">
        <f>'[5]Usulan 2021'!J248</f>
        <v>93000</v>
      </c>
      <c r="P249" s="8">
        <f>'[5]Usulan 2021'!K248</f>
        <v>93000</v>
      </c>
    </row>
    <row r="250" spans="2:18" ht="16.5" x14ac:dyDescent="0.2">
      <c r="B250" s="1072">
        <f t="shared" si="9"/>
        <v>186</v>
      </c>
      <c r="C250" s="1067"/>
      <c r="D250" s="1089" t="s">
        <v>431</v>
      </c>
      <c r="E250" s="1075"/>
      <c r="F250" s="1076"/>
      <c r="G250" s="1073" t="s">
        <v>1494</v>
      </c>
      <c r="H250" s="1092"/>
      <c r="I250" s="1064">
        <f t="shared" si="8"/>
        <v>122000</v>
      </c>
      <c r="J250" s="1065"/>
      <c r="L250" s="8"/>
      <c r="M250" s="8"/>
      <c r="N250" s="8">
        <f>'[5]Usulan 2021'!I249</f>
        <v>122000</v>
      </c>
      <c r="O250" s="8">
        <f>'[5]Usulan 2021'!J249</f>
        <v>122000</v>
      </c>
      <c r="P250" s="8">
        <f>'[5]Usulan 2021'!K249</f>
        <v>122000</v>
      </c>
    </row>
    <row r="251" spans="2:18" ht="16.5" x14ac:dyDescent="0.2">
      <c r="B251" s="1072">
        <f t="shared" si="9"/>
        <v>187</v>
      </c>
      <c r="C251" s="1067"/>
      <c r="D251" s="1089" t="s">
        <v>890</v>
      </c>
      <c r="E251" s="1075"/>
      <c r="F251" s="1076"/>
      <c r="G251" s="1073" t="s">
        <v>1494</v>
      </c>
      <c r="H251" s="1092"/>
      <c r="I251" s="1064">
        <f t="shared" si="8"/>
        <v>221000</v>
      </c>
      <c r="J251" s="1065"/>
      <c r="L251" s="8"/>
      <c r="M251" s="8"/>
      <c r="N251" s="8">
        <f>'[5]Usulan 2021'!I250</f>
        <v>221000</v>
      </c>
      <c r="O251" s="8">
        <f>'[5]Usulan 2021'!J250</f>
        <v>221000</v>
      </c>
      <c r="P251" s="8">
        <f>'[5]Usulan 2021'!K250</f>
        <v>221000</v>
      </c>
    </row>
    <row r="252" spans="2:18" ht="16.5" x14ac:dyDescent="0.2">
      <c r="B252" s="1072">
        <f t="shared" si="9"/>
        <v>188</v>
      </c>
      <c r="C252" s="1067"/>
      <c r="D252" s="1089" t="s">
        <v>490</v>
      </c>
      <c r="E252" s="1075"/>
      <c r="F252" s="1076"/>
      <c r="G252" s="1073" t="s">
        <v>1494</v>
      </c>
      <c r="H252" s="1092"/>
      <c r="I252" s="1064">
        <f t="shared" si="8"/>
        <v>280000</v>
      </c>
      <c r="J252" s="1065"/>
      <c r="L252" s="8"/>
      <c r="M252" s="8"/>
      <c r="N252" s="8">
        <f>'[5]Usulan 2021'!I251</f>
        <v>280000</v>
      </c>
      <c r="O252" s="8">
        <f>'[5]Usulan 2021'!J251</f>
        <v>280000</v>
      </c>
      <c r="P252" s="8">
        <f>'[5]Usulan 2021'!K251</f>
        <v>280000</v>
      </c>
    </row>
    <row r="253" spans="2:18" ht="16.5" x14ac:dyDescent="0.2">
      <c r="B253" s="1072">
        <f t="shared" si="9"/>
        <v>189</v>
      </c>
      <c r="C253" s="1067"/>
      <c r="D253" s="1089" t="s">
        <v>232</v>
      </c>
      <c r="E253" s="1075"/>
      <c r="F253" s="1076"/>
      <c r="G253" s="1073" t="s">
        <v>1494</v>
      </c>
      <c r="H253" s="1092"/>
      <c r="I253" s="1064">
        <f t="shared" si="8"/>
        <v>116000</v>
      </c>
      <c r="J253" s="1065"/>
      <c r="L253" s="8"/>
      <c r="M253" s="8"/>
      <c r="N253" s="8">
        <f>'[5]Usulan 2021'!I252</f>
        <v>116000</v>
      </c>
      <c r="O253" s="8">
        <f>'[5]Usulan 2021'!J252</f>
        <v>116000</v>
      </c>
      <c r="P253" s="8">
        <f>'[5]Usulan 2021'!K252</f>
        <v>116000</v>
      </c>
    </row>
    <row r="254" spans="2:18" ht="16.5" x14ac:dyDescent="0.2">
      <c r="B254" s="1072">
        <f t="shared" si="9"/>
        <v>190</v>
      </c>
      <c r="C254" s="1067"/>
      <c r="D254" s="1062" t="s">
        <v>1375</v>
      </c>
      <c r="E254" s="1075"/>
      <c r="F254" s="1076"/>
      <c r="G254" s="1073" t="s">
        <v>1494</v>
      </c>
      <c r="H254" s="1071"/>
      <c r="I254" s="1064">
        <f t="shared" si="8"/>
        <v>982000</v>
      </c>
      <c r="J254" s="1065"/>
      <c r="L254" s="8"/>
      <c r="M254" s="8"/>
      <c r="N254" s="8">
        <f>'[5]Usulan 2021'!I253</f>
        <v>982000</v>
      </c>
      <c r="O254" s="8">
        <f>'[5]Usulan 2021'!J253</f>
        <v>982000</v>
      </c>
      <c r="P254" s="8">
        <f>'[5]Usulan 2021'!K253</f>
        <v>982000</v>
      </c>
    </row>
    <row r="255" spans="2:18" ht="16.5" x14ac:dyDescent="0.2">
      <c r="B255" s="1072">
        <f t="shared" si="9"/>
        <v>191</v>
      </c>
      <c r="C255" s="1067"/>
      <c r="D255" s="1089" t="s">
        <v>1376</v>
      </c>
      <c r="E255" s="1075"/>
      <c r="F255" s="1076"/>
      <c r="G255" s="1073" t="s">
        <v>1494</v>
      </c>
      <c r="H255" s="1092"/>
      <c r="I255" s="1064">
        <f t="shared" si="8"/>
        <v>93000</v>
      </c>
      <c r="J255" s="1065"/>
      <c r="L255" s="8"/>
      <c r="M255" s="8"/>
      <c r="N255" s="8">
        <f>'[5]Usulan 2021'!I254</f>
        <v>93000</v>
      </c>
      <c r="O255" s="8">
        <f>'[5]Usulan 2021'!J254</f>
        <v>93000</v>
      </c>
      <c r="P255" s="8">
        <f>'[5]Usulan 2021'!K254</f>
        <v>93000</v>
      </c>
    </row>
    <row r="256" spans="2:18" ht="16.5" x14ac:dyDescent="0.2">
      <c r="B256" s="1072">
        <f t="shared" si="9"/>
        <v>192</v>
      </c>
      <c r="C256" s="1067"/>
      <c r="D256" s="1089" t="s">
        <v>491</v>
      </c>
      <c r="E256" s="1075"/>
      <c r="F256" s="1076"/>
      <c r="G256" s="1073" t="s">
        <v>1494</v>
      </c>
      <c r="H256" s="1092"/>
      <c r="I256" s="1064">
        <f t="shared" si="8"/>
        <v>104000</v>
      </c>
      <c r="J256" s="1065"/>
      <c r="L256" s="8"/>
      <c r="M256" s="8"/>
      <c r="N256" s="8">
        <f>'[5]Usulan 2021'!I255</f>
        <v>104000</v>
      </c>
      <c r="O256" s="8">
        <f>'[5]Usulan 2021'!J255</f>
        <v>104000</v>
      </c>
      <c r="P256" s="8">
        <f>'[5]Usulan 2021'!K255</f>
        <v>104000</v>
      </c>
    </row>
    <row r="257" spans="2:16" x14ac:dyDescent="0.2">
      <c r="B257" s="1072">
        <f t="shared" si="9"/>
        <v>193</v>
      </c>
      <c r="C257" s="1067"/>
      <c r="D257" s="1074" t="s">
        <v>891</v>
      </c>
      <c r="E257" s="1075"/>
      <c r="F257" s="1076"/>
      <c r="G257" s="1073" t="s">
        <v>273</v>
      </c>
      <c r="H257" s="1071"/>
      <c r="I257" s="1064">
        <f t="shared" si="8"/>
        <v>9353000</v>
      </c>
      <c r="J257" s="1065"/>
      <c r="L257" s="8"/>
      <c r="M257" s="8"/>
      <c r="N257" s="8">
        <f>'[5]Usulan 2021'!I256</f>
        <v>9353000</v>
      </c>
      <c r="O257" s="8">
        <f>'[5]Usulan 2021'!J256</f>
        <v>9353000</v>
      </c>
      <c r="P257" s="8">
        <f>'[5]Usulan 2021'!K256</f>
        <v>9353000</v>
      </c>
    </row>
    <row r="258" spans="2:16" x14ac:dyDescent="0.2">
      <c r="B258" s="1072">
        <f t="shared" si="9"/>
        <v>194</v>
      </c>
      <c r="C258" s="1067"/>
      <c r="D258" s="1074" t="s">
        <v>1377</v>
      </c>
      <c r="E258" s="1075"/>
      <c r="F258" s="1076"/>
      <c r="G258" s="1073" t="s">
        <v>338</v>
      </c>
      <c r="H258" s="1078"/>
      <c r="I258" s="1064">
        <f t="shared" si="8"/>
        <v>252000</v>
      </c>
      <c r="J258" s="1065"/>
      <c r="L258" s="8"/>
      <c r="M258" s="8"/>
      <c r="N258" s="8">
        <f>'[5]Usulan 2021'!I257</f>
        <v>252000</v>
      </c>
      <c r="O258" s="8"/>
      <c r="P258" s="8"/>
    </row>
    <row r="259" spans="2:16" x14ac:dyDescent="0.2">
      <c r="B259" s="1072">
        <f t="shared" si="9"/>
        <v>195</v>
      </c>
      <c r="C259" s="1067"/>
      <c r="D259" s="1074" t="s">
        <v>892</v>
      </c>
      <c r="E259" s="1075"/>
      <c r="F259" s="1076"/>
      <c r="G259" s="1073" t="s">
        <v>268</v>
      </c>
      <c r="H259" s="1078"/>
      <c r="I259" s="1090">
        <f t="shared" si="8"/>
        <v>35000</v>
      </c>
      <c r="J259" s="1065"/>
      <c r="L259" s="8"/>
      <c r="M259" s="8"/>
      <c r="N259" s="8">
        <f>'[5]Usulan 2021'!I258</f>
        <v>35000</v>
      </c>
      <c r="O259" s="8">
        <f>'[5]Usulan 2021'!J258</f>
        <v>35000</v>
      </c>
      <c r="P259" s="8">
        <f>'[5]Usulan 2021'!K258</f>
        <v>35000</v>
      </c>
    </row>
    <row r="260" spans="2:16" x14ac:dyDescent="0.2">
      <c r="B260" s="1072">
        <f t="shared" si="9"/>
        <v>196</v>
      </c>
      <c r="C260" s="1067"/>
      <c r="D260" s="1091" t="s">
        <v>332</v>
      </c>
      <c r="E260" s="1075"/>
      <c r="F260" s="1076"/>
      <c r="G260" s="1073" t="s">
        <v>293</v>
      </c>
      <c r="H260" s="1078"/>
      <c r="I260" s="1093">
        <f t="shared" si="8"/>
        <v>230000</v>
      </c>
      <c r="J260" s="1065"/>
      <c r="L260" s="8"/>
      <c r="M260" s="8"/>
      <c r="N260" s="8">
        <f>'[5]Usulan 2021'!I259</f>
        <v>230000</v>
      </c>
      <c r="O260" s="8"/>
      <c r="P260" s="8"/>
    </row>
    <row r="261" spans="2:16" ht="16.5" x14ac:dyDescent="0.2">
      <c r="B261" s="1072">
        <f t="shared" si="9"/>
        <v>197</v>
      </c>
      <c r="C261" s="1067"/>
      <c r="D261" s="1074" t="s">
        <v>80</v>
      </c>
      <c r="E261" s="1075"/>
      <c r="F261" s="1094"/>
      <c r="G261" s="1073" t="s">
        <v>1494</v>
      </c>
      <c r="H261" s="1071"/>
      <c r="I261" s="1064">
        <f t="shared" si="8"/>
        <v>57000</v>
      </c>
      <c r="J261" s="1065"/>
      <c r="L261" s="8"/>
      <c r="M261" s="8"/>
      <c r="N261" s="8">
        <f>'[5]Usulan 2021'!I260</f>
        <v>57000</v>
      </c>
      <c r="O261" s="8">
        <f>'[5]Usulan 2021'!J260</f>
        <v>57000</v>
      </c>
      <c r="P261" s="8">
        <f>'[5]Usulan 2021'!K260</f>
        <v>57000</v>
      </c>
    </row>
    <row r="262" spans="2:16" ht="16.5" x14ac:dyDescent="0.2">
      <c r="B262" s="1072">
        <f t="shared" si="9"/>
        <v>198</v>
      </c>
      <c r="C262" s="1067"/>
      <c r="D262" s="1074" t="s">
        <v>81</v>
      </c>
      <c r="E262" s="1075"/>
      <c r="F262" s="1076"/>
      <c r="G262" s="1073" t="s">
        <v>1494</v>
      </c>
      <c r="H262" s="1078"/>
      <c r="I262" s="1064">
        <f t="shared" si="8"/>
        <v>99000</v>
      </c>
      <c r="J262" s="1065"/>
      <c r="L262" s="8"/>
      <c r="M262" s="8"/>
      <c r="N262" s="8">
        <f>'[5]Usulan 2021'!I261</f>
        <v>99000</v>
      </c>
      <c r="O262" s="8">
        <f>'[5]Usulan 2021'!J261</f>
        <v>99000</v>
      </c>
      <c r="P262" s="8">
        <f>'[5]Usulan 2021'!K261</f>
        <v>99000</v>
      </c>
    </row>
    <row r="263" spans="2:16" x14ac:dyDescent="0.2">
      <c r="B263" s="1072">
        <f t="shared" si="9"/>
        <v>199</v>
      </c>
      <c r="C263" s="1067"/>
      <c r="D263" s="1074" t="s">
        <v>1487</v>
      </c>
      <c r="E263" s="1075"/>
      <c r="F263" s="1076"/>
      <c r="G263" s="1073" t="s">
        <v>338</v>
      </c>
      <c r="H263" s="1078"/>
      <c r="I263" s="1064">
        <f t="shared" si="8"/>
        <v>162000</v>
      </c>
      <c r="J263" s="1065"/>
      <c r="L263" s="8"/>
      <c r="M263" s="8"/>
      <c r="N263" s="8">
        <f>'[5]Usulan 2021'!I262</f>
        <v>162000</v>
      </c>
      <c r="O263" s="8"/>
      <c r="P263" s="8"/>
    </row>
    <row r="264" spans="2:16" x14ac:dyDescent="0.2">
      <c r="B264" s="1072">
        <f t="shared" si="9"/>
        <v>200</v>
      </c>
      <c r="C264" s="1067"/>
      <c r="D264" s="1074" t="s">
        <v>1488</v>
      </c>
      <c r="E264" s="1075"/>
      <c r="F264" s="1076"/>
      <c r="G264" s="1073" t="s">
        <v>338</v>
      </c>
      <c r="H264" s="1078"/>
      <c r="I264" s="1064">
        <f t="shared" si="8"/>
        <v>1016000</v>
      </c>
      <c r="J264" s="1065"/>
      <c r="L264" s="8"/>
      <c r="M264" s="8"/>
      <c r="N264" s="8">
        <f>'[5]Usulan 2021'!I263</f>
        <v>1016000</v>
      </c>
      <c r="O264" s="8"/>
      <c r="P264" s="8"/>
    </row>
    <row r="265" spans="2:16" x14ac:dyDescent="0.2">
      <c r="B265" s="1072">
        <f t="shared" si="9"/>
        <v>201</v>
      </c>
      <c r="C265" s="1067"/>
      <c r="D265" s="1074" t="s">
        <v>688</v>
      </c>
      <c r="E265" s="1075"/>
      <c r="F265" s="1095"/>
      <c r="G265" s="1073" t="s">
        <v>298</v>
      </c>
      <c r="H265" s="1078"/>
      <c r="I265" s="1064">
        <f t="shared" si="8"/>
        <v>25500</v>
      </c>
      <c r="J265" s="1065"/>
      <c r="L265" s="8"/>
      <c r="M265" s="8"/>
      <c r="N265" s="8">
        <f>'[5]Usulan 2021'!I264</f>
        <v>25500</v>
      </c>
      <c r="O265" s="8">
        <f>'[5]Usulan 2021'!J264</f>
        <v>25500</v>
      </c>
      <c r="P265" s="8">
        <f>'[5]Usulan 2021'!K264</f>
        <v>25500</v>
      </c>
    </row>
    <row r="266" spans="2:16" x14ac:dyDescent="0.2">
      <c r="B266" s="1072">
        <f t="shared" si="9"/>
        <v>202</v>
      </c>
      <c r="C266" s="1067"/>
      <c r="D266" s="1077" t="s">
        <v>561</v>
      </c>
      <c r="E266" s="1069"/>
      <c r="F266" s="1076"/>
      <c r="G266" s="1070" t="s">
        <v>298</v>
      </c>
      <c r="H266" s="1071"/>
      <c r="I266" s="1064">
        <f t="shared" si="8"/>
        <v>12800</v>
      </c>
      <c r="J266" s="1065"/>
      <c r="L266" s="8"/>
      <c r="M266" s="8"/>
      <c r="N266" s="8">
        <f>'[5]Usulan 2021'!I265</f>
        <v>12800</v>
      </c>
      <c r="O266" s="8">
        <f>'[5]Usulan 2021'!J265</f>
        <v>12800</v>
      </c>
      <c r="P266" s="8">
        <f>'[5]Usulan 2021'!K265</f>
        <v>12800</v>
      </c>
    </row>
    <row r="267" spans="2:16" x14ac:dyDescent="0.2">
      <c r="B267" s="1072">
        <f t="shared" si="9"/>
        <v>203</v>
      </c>
      <c r="C267" s="1067"/>
      <c r="D267" s="1077" t="s">
        <v>245</v>
      </c>
      <c r="E267" s="1069"/>
      <c r="F267" s="1063"/>
      <c r="G267" s="1070" t="s">
        <v>298</v>
      </c>
      <c r="H267" s="1071"/>
      <c r="I267" s="1064">
        <f>N267</f>
        <v>19100</v>
      </c>
      <c r="J267" s="1065"/>
      <c r="L267" s="8"/>
      <c r="M267" s="8"/>
      <c r="N267" s="8">
        <f>'[5]Usulan 2021'!I266</f>
        <v>19100</v>
      </c>
      <c r="O267" s="8">
        <f>'[5]Usulan 2021'!J266</f>
        <v>19100</v>
      </c>
      <c r="P267" s="8">
        <f>'[5]Usulan 2021'!K266</f>
        <v>19100</v>
      </c>
    </row>
    <row r="268" spans="2:16" x14ac:dyDescent="0.2">
      <c r="B268" s="1072">
        <f t="shared" si="9"/>
        <v>204</v>
      </c>
      <c r="C268" s="1067"/>
      <c r="D268" s="1077" t="s">
        <v>230</v>
      </c>
      <c r="E268" s="1069"/>
      <c r="F268" s="1063"/>
      <c r="G268" s="1070" t="s">
        <v>679</v>
      </c>
      <c r="H268" s="1071"/>
      <c r="I268" s="1064">
        <f t="shared" si="8"/>
        <v>526000</v>
      </c>
      <c r="J268" s="1065"/>
      <c r="L268" s="8"/>
      <c r="M268" s="8"/>
      <c r="N268" s="8">
        <f>'[5]Usulan 2021'!I267</f>
        <v>526000</v>
      </c>
      <c r="O268" s="8">
        <f>'[5]Usulan 2021'!J267</f>
        <v>526000</v>
      </c>
      <c r="P268" s="8">
        <f>'[5]Usulan 2021'!K267</f>
        <v>526000</v>
      </c>
    </row>
    <row r="269" spans="2:16" x14ac:dyDescent="0.2">
      <c r="B269" s="1072">
        <f t="shared" si="9"/>
        <v>205</v>
      </c>
      <c r="C269" s="1067"/>
      <c r="D269" s="369" t="s">
        <v>1489</v>
      </c>
      <c r="G269" s="1070" t="s">
        <v>338</v>
      </c>
      <c r="H269" s="1071"/>
      <c r="I269" s="1064">
        <f t="shared" si="8"/>
        <v>25000</v>
      </c>
      <c r="J269" s="1065"/>
      <c r="N269" s="8">
        <f>'[5]Usulan 2021'!I268</f>
        <v>25000</v>
      </c>
    </row>
    <row r="270" spans="2:16" x14ac:dyDescent="0.2">
      <c r="B270" s="1072">
        <f t="shared" si="9"/>
        <v>206</v>
      </c>
      <c r="C270" s="1067"/>
      <c r="D270" s="1074" t="s">
        <v>949</v>
      </c>
      <c r="E270" s="1075"/>
      <c r="F270" s="1075"/>
      <c r="G270" s="1073" t="s">
        <v>298</v>
      </c>
      <c r="H270" s="1078"/>
      <c r="I270" s="1064">
        <f t="shared" si="8"/>
        <v>29000</v>
      </c>
      <c r="J270" s="1065"/>
      <c r="L270" s="8"/>
      <c r="M270" s="8"/>
      <c r="N270" s="8">
        <f>'[5]Usulan 2021'!I269</f>
        <v>29000</v>
      </c>
      <c r="O270" s="8">
        <f>'[5]Usulan 2021'!J269</f>
        <v>29000</v>
      </c>
      <c r="P270" s="8">
        <f>'[5]Usulan 2021'!K269</f>
        <v>29000</v>
      </c>
    </row>
    <row r="271" spans="2:16" x14ac:dyDescent="0.2">
      <c r="B271" s="1072">
        <f t="shared" si="9"/>
        <v>207</v>
      </c>
      <c r="C271" s="1067"/>
      <c r="D271" s="1074" t="s">
        <v>1490</v>
      </c>
      <c r="E271" s="1075"/>
      <c r="F271" s="1075"/>
      <c r="G271" s="1073" t="s">
        <v>338</v>
      </c>
      <c r="H271" s="1078"/>
      <c r="I271" s="1064">
        <f t="shared" si="8"/>
        <v>16000</v>
      </c>
      <c r="J271" s="1065"/>
      <c r="L271" s="8"/>
      <c r="M271" s="8"/>
      <c r="N271" s="8">
        <f>'[5]Usulan 2021'!I270</f>
        <v>16000</v>
      </c>
      <c r="O271" s="8"/>
      <c r="P271" s="8"/>
    </row>
    <row r="272" spans="2:16" x14ac:dyDescent="0.2">
      <c r="B272" s="1072">
        <f t="shared" si="9"/>
        <v>208</v>
      </c>
      <c r="C272" s="1067"/>
      <c r="D272" s="1077" t="s">
        <v>164</v>
      </c>
      <c r="E272" s="1069"/>
      <c r="F272" s="1069"/>
      <c r="G272" s="1073" t="s">
        <v>264</v>
      </c>
      <c r="H272" s="1071"/>
      <c r="I272" s="1064">
        <f t="shared" si="8"/>
        <v>262000</v>
      </c>
      <c r="J272" s="1065"/>
      <c r="L272" s="8"/>
      <c r="M272" s="8"/>
      <c r="N272" s="8">
        <f>'[5]Usulan 2021'!I271</f>
        <v>262000</v>
      </c>
      <c r="O272" s="8">
        <f>'[5]Usulan 2021'!J271</f>
        <v>262000</v>
      </c>
      <c r="P272" s="8">
        <f>'[5]Usulan 2021'!K271</f>
        <v>262000</v>
      </c>
    </row>
    <row r="273" spans="2:16" x14ac:dyDescent="0.2">
      <c r="B273" s="1072">
        <f t="shared" si="9"/>
        <v>209</v>
      </c>
      <c r="C273" s="1067"/>
      <c r="D273" s="1077" t="s">
        <v>64</v>
      </c>
      <c r="E273" s="1069"/>
      <c r="F273" s="1069"/>
      <c r="G273" s="1073" t="s">
        <v>298</v>
      </c>
      <c r="H273" s="1071"/>
      <c r="I273" s="1064">
        <f t="shared" si="8"/>
        <v>1200</v>
      </c>
      <c r="J273" s="1065"/>
      <c r="L273" s="8"/>
      <c r="M273" s="8"/>
      <c r="N273" s="8">
        <f>'[5]Usulan 2021'!I272</f>
        <v>1200</v>
      </c>
      <c r="O273" s="8">
        <f>'[5]Usulan 2021'!J272</f>
        <v>1200</v>
      </c>
      <c r="P273" s="8">
        <f>'[5]Usulan 2021'!K272</f>
        <v>1200</v>
      </c>
    </row>
    <row r="274" spans="2:16" x14ac:dyDescent="0.2">
      <c r="B274" s="1072">
        <f t="shared" si="9"/>
        <v>210</v>
      </c>
      <c r="C274" s="1067"/>
      <c r="D274" s="1077" t="s">
        <v>67</v>
      </c>
      <c r="E274" s="1069"/>
      <c r="F274" s="1069"/>
      <c r="G274" s="1073" t="s">
        <v>264</v>
      </c>
      <c r="H274" s="1071"/>
      <c r="I274" s="1064">
        <f>N274</f>
        <v>16807000</v>
      </c>
      <c r="J274" s="1065"/>
      <c r="L274" s="8"/>
      <c r="M274" s="8"/>
      <c r="N274" s="8">
        <f>'[5]Usulan 2021'!I273</f>
        <v>16807000</v>
      </c>
      <c r="O274" s="8">
        <f>'[5]Usulan 2021'!J273</f>
        <v>16807000</v>
      </c>
      <c r="P274" s="8">
        <f>'[5]Usulan 2021'!K273</f>
        <v>16807000</v>
      </c>
    </row>
    <row r="275" spans="2:16" x14ac:dyDescent="0.2">
      <c r="B275" s="1072">
        <f t="shared" si="9"/>
        <v>211</v>
      </c>
      <c r="C275" s="1067"/>
      <c r="D275" s="1077" t="s">
        <v>68</v>
      </c>
      <c r="E275" s="1069"/>
      <c r="F275" s="1069"/>
      <c r="G275" s="1073" t="s">
        <v>264</v>
      </c>
      <c r="H275" s="1071"/>
      <c r="I275" s="1064">
        <f>N275</f>
        <v>18269000</v>
      </c>
      <c r="J275" s="1065"/>
      <c r="L275" s="8"/>
      <c r="M275" s="8"/>
      <c r="N275" s="8">
        <f>'[5]Usulan 2021'!I274</f>
        <v>18269000</v>
      </c>
      <c r="O275" s="8">
        <f>'[5]Usulan 2021'!J274</f>
        <v>18269000</v>
      </c>
      <c r="P275" s="8">
        <f>'[5]Usulan 2021'!K274</f>
        <v>18269000</v>
      </c>
    </row>
    <row r="276" spans="2:16" x14ac:dyDescent="0.2">
      <c r="B276" s="1072">
        <f t="shared" si="9"/>
        <v>212</v>
      </c>
      <c r="C276" s="1096"/>
      <c r="D276" s="1077" t="s">
        <v>894</v>
      </c>
      <c r="E276" s="1097"/>
      <c r="F276" s="1098"/>
      <c r="G276" s="1073" t="s">
        <v>268</v>
      </c>
      <c r="H276" s="1099"/>
      <c r="I276" s="1064">
        <f>N276</f>
        <v>14000</v>
      </c>
      <c r="J276" s="1065"/>
      <c r="L276" s="8"/>
      <c r="M276" s="8"/>
      <c r="N276" s="8">
        <f>'[5]Usulan 2021'!I275</f>
        <v>14000</v>
      </c>
      <c r="O276" s="8">
        <f>'[5]Usulan 2021'!J275</f>
        <v>14000</v>
      </c>
      <c r="P276" s="8">
        <f>'[5]Usulan 2021'!K275</f>
        <v>14000</v>
      </c>
    </row>
    <row r="277" spans="2:16" x14ac:dyDescent="0.2">
      <c r="B277" s="1072">
        <f t="shared" si="9"/>
        <v>213</v>
      </c>
      <c r="C277" s="1067"/>
      <c r="D277" s="1077" t="s">
        <v>1430</v>
      </c>
      <c r="E277" s="1069"/>
      <c r="F277" s="1069"/>
      <c r="G277" s="1073" t="s">
        <v>264</v>
      </c>
      <c r="H277" s="1071"/>
      <c r="I277" s="1064">
        <f t="shared" si="8"/>
        <v>1753000</v>
      </c>
      <c r="J277" s="1065"/>
      <c r="L277" s="8"/>
      <c r="M277" s="8"/>
      <c r="N277" s="8">
        <f>'[5]Usulan 2021'!I276</f>
        <v>1753000</v>
      </c>
      <c r="O277" s="8">
        <f>'[5]Usulan 2021'!J276</f>
        <v>1753000</v>
      </c>
      <c r="P277" s="8">
        <f>'[5]Usulan 2021'!K276</f>
        <v>1753000</v>
      </c>
    </row>
    <row r="278" spans="2:16" x14ac:dyDescent="0.2">
      <c r="B278" s="1072">
        <f t="shared" si="9"/>
        <v>214</v>
      </c>
      <c r="C278" s="1067"/>
      <c r="D278" s="1077" t="s">
        <v>66</v>
      </c>
      <c r="E278" s="1069"/>
      <c r="F278" s="1069"/>
      <c r="G278" s="1073" t="s">
        <v>264</v>
      </c>
      <c r="H278" s="1071"/>
      <c r="I278" s="1064">
        <f t="shared" si="8"/>
        <v>4700</v>
      </c>
      <c r="J278" s="1065"/>
      <c r="L278" s="8"/>
      <c r="M278" s="8"/>
      <c r="N278" s="8">
        <f>'[5]Usulan 2021'!I277</f>
        <v>4700</v>
      </c>
      <c r="O278" s="8">
        <f>'[5]Usulan 2021'!J277</f>
        <v>4700</v>
      </c>
      <c r="P278" s="8">
        <f>'[5]Usulan 2021'!K277</f>
        <v>4700</v>
      </c>
    </row>
    <row r="279" spans="2:16" x14ac:dyDescent="0.2">
      <c r="B279" s="1072">
        <f t="shared" si="9"/>
        <v>215</v>
      </c>
      <c r="C279" s="1067"/>
      <c r="D279" s="1077" t="s">
        <v>167</v>
      </c>
      <c r="E279" s="1069"/>
      <c r="F279" s="1063"/>
      <c r="G279" s="1073" t="s">
        <v>264</v>
      </c>
      <c r="H279" s="1071"/>
      <c r="I279" s="1064">
        <f>N279</f>
        <v>32154000</v>
      </c>
      <c r="J279" s="1065"/>
      <c r="L279" s="8"/>
      <c r="M279" s="8"/>
      <c r="N279" s="8">
        <f>'[5]Usulan 2021'!I278</f>
        <v>32154000</v>
      </c>
      <c r="O279" s="8">
        <f>'[5]Usulan 2021'!J278</f>
        <v>32154000</v>
      </c>
      <c r="P279" s="8">
        <f>'[5]Usulan 2021'!K278</f>
        <v>32154000</v>
      </c>
    </row>
    <row r="280" spans="2:16" x14ac:dyDescent="0.2">
      <c r="B280" s="1072">
        <f t="shared" si="9"/>
        <v>216</v>
      </c>
      <c r="C280" s="1067"/>
      <c r="D280" s="1077" t="s">
        <v>168</v>
      </c>
      <c r="E280" s="1069"/>
      <c r="F280" s="1063"/>
      <c r="G280" s="1073" t="s">
        <v>264</v>
      </c>
      <c r="H280" s="1071"/>
      <c r="I280" s="1064">
        <f>N280</f>
        <v>32154000</v>
      </c>
      <c r="J280" s="1065"/>
      <c r="L280" s="8"/>
      <c r="M280" s="8"/>
      <c r="N280" s="8">
        <f>'[5]Usulan 2021'!I279</f>
        <v>32154000</v>
      </c>
      <c r="O280" s="8">
        <f>'[5]Usulan 2021'!J279</f>
        <v>32154000</v>
      </c>
      <c r="P280" s="8">
        <f>'[5]Usulan 2021'!K279</f>
        <v>32154000</v>
      </c>
    </row>
    <row r="281" spans="2:16" x14ac:dyDescent="0.2">
      <c r="B281" s="1072">
        <f t="shared" si="9"/>
        <v>217</v>
      </c>
      <c r="C281" s="1067"/>
      <c r="D281" s="1077" t="s">
        <v>166</v>
      </c>
      <c r="E281" s="1069"/>
      <c r="F281" s="1063"/>
      <c r="G281" s="1073" t="s">
        <v>264</v>
      </c>
      <c r="H281" s="1071"/>
      <c r="I281" s="1064">
        <f>N281</f>
        <v>23384000</v>
      </c>
      <c r="J281" s="1065"/>
      <c r="L281" s="8"/>
      <c r="M281" s="8"/>
      <c r="N281" s="8">
        <f>'[5]Usulan 2021'!I280</f>
        <v>23384000</v>
      </c>
      <c r="O281" s="8">
        <f>'[5]Usulan 2021'!J280</f>
        <v>23384000</v>
      </c>
      <c r="P281" s="8">
        <f>'[5]Usulan 2021'!K280</f>
        <v>23384000</v>
      </c>
    </row>
    <row r="282" spans="2:16" x14ac:dyDescent="0.2">
      <c r="B282" s="1072">
        <f t="shared" si="9"/>
        <v>218</v>
      </c>
      <c r="C282" s="1067"/>
      <c r="D282" s="1077" t="s">
        <v>895</v>
      </c>
      <c r="E282" s="1069"/>
      <c r="F282" s="1063"/>
      <c r="G282" s="1073" t="s">
        <v>264</v>
      </c>
      <c r="H282" s="1071"/>
      <c r="I282" s="1064">
        <f>N282</f>
        <v>21922000</v>
      </c>
      <c r="J282" s="1065"/>
      <c r="L282" s="8"/>
      <c r="M282" s="8"/>
      <c r="N282" s="8">
        <f>'[5]Usulan 2021'!I281</f>
        <v>21922000</v>
      </c>
      <c r="O282" s="8">
        <f>'[5]Usulan 2021'!J281</f>
        <v>21922000</v>
      </c>
      <c r="P282" s="8">
        <f>'[5]Usulan 2021'!K281</f>
        <v>21922000</v>
      </c>
    </row>
    <row r="283" spans="2:16" x14ac:dyDescent="0.2">
      <c r="B283" s="1072">
        <f t="shared" si="9"/>
        <v>219</v>
      </c>
      <c r="C283" s="1067"/>
      <c r="D283" s="1077" t="s">
        <v>169</v>
      </c>
      <c r="E283" s="1069"/>
      <c r="F283" s="1063"/>
      <c r="G283" s="1073" t="s">
        <v>264</v>
      </c>
      <c r="H283" s="1071"/>
      <c r="I283" s="1064">
        <f>N283</f>
        <v>34799000</v>
      </c>
      <c r="J283" s="1065"/>
      <c r="L283" s="8"/>
      <c r="M283" s="8"/>
      <c r="N283" s="8">
        <f>'[5]Usulan 2021'!I282</f>
        <v>34799000</v>
      </c>
      <c r="O283" s="8">
        <f>'[5]Usulan 2021'!J282</f>
        <v>34799000</v>
      </c>
      <c r="P283" s="8">
        <f>'[5]Usulan 2021'!K282</f>
        <v>34799000</v>
      </c>
    </row>
    <row r="284" spans="2:16" x14ac:dyDescent="0.2">
      <c r="B284" s="1072">
        <f t="shared" si="9"/>
        <v>220</v>
      </c>
      <c r="C284" s="1067"/>
      <c r="D284" s="1077" t="s">
        <v>165</v>
      </c>
      <c r="E284" s="1069"/>
      <c r="F284" s="1063"/>
      <c r="G284" s="1073" t="s">
        <v>266</v>
      </c>
      <c r="H284" s="1071"/>
      <c r="I284" s="1064">
        <f t="shared" si="8"/>
        <v>466000</v>
      </c>
      <c r="J284" s="1065"/>
      <c r="L284" s="8"/>
      <c r="M284" s="8"/>
      <c r="N284" s="8">
        <f>'[5]Usulan 2021'!I283</f>
        <v>466000</v>
      </c>
      <c r="O284" s="8">
        <f>'[5]Usulan 2021'!J283</f>
        <v>466000</v>
      </c>
      <c r="P284" s="8">
        <f>'[5]Usulan 2021'!K283</f>
        <v>466000</v>
      </c>
    </row>
    <row r="285" spans="2:16" x14ac:dyDescent="0.2">
      <c r="B285" s="1072">
        <f t="shared" si="9"/>
        <v>221</v>
      </c>
      <c r="C285" s="1067"/>
      <c r="D285" s="1077" t="s">
        <v>74</v>
      </c>
      <c r="E285" s="1069"/>
      <c r="F285" s="1063"/>
      <c r="G285" s="1073" t="s">
        <v>264</v>
      </c>
      <c r="H285" s="1071"/>
      <c r="I285" s="1064">
        <f t="shared" si="8"/>
        <v>13884000</v>
      </c>
      <c r="J285" s="1065"/>
      <c r="L285" s="8"/>
      <c r="M285" s="8"/>
      <c r="N285" s="8">
        <f>'[5]Usulan 2021'!I284</f>
        <v>13884000</v>
      </c>
      <c r="O285" s="8">
        <f>'[5]Usulan 2021'!J284</f>
        <v>13884000</v>
      </c>
      <c r="P285" s="8">
        <f>'[5]Usulan 2021'!K284</f>
        <v>13884000</v>
      </c>
    </row>
    <row r="286" spans="2:16" x14ac:dyDescent="0.2">
      <c r="B286" s="1072">
        <f t="shared" si="9"/>
        <v>222</v>
      </c>
      <c r="C286" s="1067"/>
      <c r="D286" s="1077" t="s">
        <v>75</v>
      </c>
      <c r="E286" s="1069"/>
      <c r="F286" s="1063"/>
      <c r="G286" s="1073" t="s">
        <v>264</v>
      </c>
      <c r="H286" s="1071"/>
      <c r="I286" s="1064">
        <f t="shared" si="8"/>
        <v>15346000</v>
      </c>
      <c r="J286" s="1065"/>
      <c r="L286" s="8"/>
      <c r="M286" s="8"/>
      <c r="N286" s="8">
        <f>'[5]Usulan 2021'!I285</f>
        <v>15346000</v>
      </c>
      <c r="O286" s="8">
        <f>'[5]Usulan 2021'!J285</f>
        <v>15346000</v>
      </c>
      <c r="P286" s="8">
        <f>'[5]Usulan 2021'!K285</f>
        <v>15346000</v>
      </c>
    </row>
    <row r="287" spans="2:16" x14ac:dyDescent="0.2">
      <c r="B287" s="1072">
        <f t="shared" si="9"/>
        <v>223</v>
      </c>
      <c r="C287" s="1067"/>
      <c r="D287" s="1077" t="s">
        <v>1431</v>
      </c>
      <c r="E287" s="1069"/>
      <c r="F287" s="1063"/>
      <c r="G287" s="1073" t="s">
        <v>293</v>
      </c>
      <c r="H287" s="1071"/>
      <c r="I287" s="1064">
        <f t="shared" si="8"/>
        <v>1463000</v>
      </c>
      <c r="J287" s="1065"/>
      <c r="L287" s="8"/>
      <c r="M287" s="8"/>
      <c r="N287" s="8">
        <f>'[5]Usulan 2021'!I286</f>
        <v>1463000</v>
      </c>
      <c r="O287" s="8"/>
      <c r="P287" s="8"/>
    </row>
    <row r="288" spans="2:16" x14ac:dyDescent="0.2">
      <c r="B288" s="1072">
        <f t="shared" si="9"/>
        <v>224</v>
      </c>
      <c r="C288" s="1067"/>
      <c r="D288" s="1077" t="s">
        <v>76</v>
      </c>
      <c r="E288" s="1069"/>
      <c r="F288" s="1063"/>
      <c r="G288" s="1073" t="s">
        <v>264</v>
      </c>
      <c r="H288" s="1071"/>
      <c r="I288" s="1064">
        <f t="shared" si="8"/>
        <v>10230000</v>
      </c>
      <c r="J288" s="1065"/>
      <c r="L288" s="8"/>
      <c r="M288" s="8"/>
      <c r="N288" s="8">
        <f>'[5]Usulan 2021'!I287</f>
        <v>10230000</v>
      </c>
      <c r="O288" s="8">
        <f>'[5]Usulan 2021'!J287</f>
        <v>10230000</v>
      </c>
      <c r="P288" s="8">
        <f>'[5]Usulan 2021'!K287</f>
        <v>10230000</v>
      </c>
    </row>
    <row r="289" spans="2:16" x14ac:dyDescent="0.2">
      <c r="B289" s="1072">
        <f t="shared" si="9"/>
        <v>225</v>
      </c>
      <c r="C289" s="1067"/>
      <c r="D289" s="1077" t="s">
        <v>77</v>
      </c>
      <c r="E289" s="1069"/>
      <c r="F289" s="1063"/>
      <c r="G289" s="1073" t="s">
        <v>264</v>
      </c>
      <c r="H289" s="1071"/>
      <c r="I289" s="1064">
        <f t="shared" si="8"/>
        <v>10960000</v>
      </c>
      <c r="J289" s="1065"/>
      <c r="L289" s="8"/>
      <c r="M289" s="8"/>
      <c r="N289" s="8">
        <f>'[5]Usulan 2021'!I288</f>
        <v>10960000</v>
      </c>
      <c r="O289" s="8">
        <f>'[5]Usulan 2021'!J288</f>
        <v>10960000</v>
      </c>
      <c r="P289" s="8">
        <f>'[5]Usulan 2021'!K288</f>
        <v>10960000</v>
      </c>
    </row>
    <row r="290" spans="2:16" x14ac:dyDescent="0.2">
      <c r="B290" s="1072">
        <f t="shared" si="9"/>
        <v>226</v>
      </c>
      <c r="C290" s="1067"/>
      <c r="D290" s="1077" t="s">
        <v>445</v>
      </c>
      <c r="E290" s="1069"/>
      <c r="F290" s="1063"/>
      <c r="G290" s="1073" t="s">
        <v>247</v>
      </c>
      <c r="H290" s="1092"/>
      <c r="I290" s="1064">
        <f t="shared" si="8"/>
        <v>8600</v>
      </c>
      <c r="J290" s="1065"/>
      <c r="L290" s="8"/>
      <c r="M290" s="8"/>
      <c r="N290" s="8">
        <f>'[5]Usulan 2021'!I289</f>
        <v>8600</v>
      </c>
      <c r="O290" s="8">
        <f>'[5]Usulan 2021'!J289</f>
        <v>8600</v>
      </c>
      <c r="P290" s="8">
        <f>'[5]Usulan 2021'!K289</f>
        <v>8600</v>
      </c>
    </row>
    <row r="291" spans="2:16" x14ac:dyDescent="0.2">
      <c r="B291" s="1072">
        <f t="shared" si="9"/>
        <v>227</v>
      </c>
      <c r="C291" s="1067"/>
      <c r="D291" s="1077" t="s">
        <v>159</v>
      </c>
      <c r="E291" s="1069"/>
      <c r="F291" s="1063"/>
      <c r="G291" s="1073" t="s">
        <v>264</v>
      </c>
      <c r="H291" s="1092"/>
      <c r="I291" s="1064">
        <f t="shared" si="8"/>
        <v>9500000</v>
      </c>
      <c r="J291" s="1065"/>
      <c r="L291" s="8"/>
      <c r="M291" s="8"/>
      <c r="N291" s="8">
        <f>'[5]Usulan 2021'!I290</f>
        <v>9500000</v>
      </c>
      <c r="O291" s="8">
        <f>'[5]Usulan 2021'!J290</f>
        <v>9500000</v>
      </c>
      <c r="P291" s="8">
        <f>'[5]Usulan 2021'!K290</f>
        <v>9500000</v>
      </c>
    </row>
    <row r="292" spans="2:16" x14ac:dyDescent="0.2">
      <c r="B292" s="1072">
        <f t="shared" si="9"/>
        <v>228</v>
      </c>
      <c r="C292" s="1067"/>
      <c r="D292" s="1077" t="s">
        <v>78</v>
      </c>
      <c r="E292" s="1069"/>
      <c r="F292" s="1063"/>
      <c r="G292" s="1073" t="s">
        <v>264</v>
      </c>
      <c r="H292" s="1092"/>
      <c r="I292" s="1064">
        <f>N292</f>
        <v>10230000</v>
      </c>
      <c r="J292" s="1065"/>
      <c r="L292" s="8"/>
      <c r="M292" s="8"/>
      <c r="N292" s="8">
        <f>'[5]Usulan 2021'!I291</f>
        <v>10230000</v>
      </c>
      <c r="O292" s="8">
        <f>'[5]Usulan 2021'!J291</f>
        <v>10230000</v>
      </c>
      <c r="P292" s="8">
        <f>'[5]Usulan 2021'!K291</f>
        <v>10230000</v>
      </c>
    </row>
    <row r="293" spans="2:16" x14ac:dyDescent="0.2">
      <c r="B293" s="1072">
        <f t="shared" si="9"/>
        <v>229</v>
      </c>
      <c r="C293" s="1067"/>
      <c r="D293" s="1077" t="s">
        <v>160</v>
      </c>
      <c r="E293" s="1069"/>
      <c r="F293" s="1063"/>
      <c r="G293" s="1073" t="s">
        <v>264</v>
      </c>
      <c r="H293" s="1092"/>
      <c r="I293" s="1064">
        <f t="shared" si="8"/>
        <v>7307000</v>
      </c>
      <c r="J293" s="1065"/>
      <c r="L293" s="8"/>
      <c r="M293" s="8"/>
      <c r="N293" s="8">
        <f>'[5]Usulan 2021'!I292</f>
        <v>7307000</v>
      </c>
      <c r="O293" s="8">
        <f>'[5]Usulan 2021'!J292</f>
        <v>7307000</v>
      </c>
      <c r="P293" s="8">
        <f>'[5]Usulan 2021'!K292</f>
        <v>7307000</v>
      </c>
    </row>
    <row r="294" spans="2:16" x14ac:dyDescent="0.2">
      <c r="B294" s="1072">
        <f t="shared" si="9"/>
        <v>230</v>
      </c>
      <c r="C294" s="1067"/>
      <c r="D294" s="1077" t="s">
        <v>896</v>
      </c>
      <c r="E294" s="1069"/>
      <c r="F294" s="1063"/>
      <c r="G294" s="1073" t="s">
        <v>264</v>
      </c>
      <c r="H294" s="1071"/>
      <c r="I294" s="1064">
        <f t="shared" ref="I294:I546" si="10">N294</f>
        <v>2191000</v>
      </c>
      <c r="J294" s="1065"/>
      <c r="L294" s="8"/>
      <c r="M294" s="8"/>
      <c r="N294" s="8">
        <f>'[5]Usulan 2021'!I293</f>
        <v>2191000</v>
      </c>
      <c r="O294" s="8">
        <f>'[5]Usulan 2021'!J293</f>
        <v>2191000</v>
      </c>
      <c r="P294" s="8">
        <f>'[5]Usulan 2021'!K293</f>
        <v>2191000</v>
      </c>
    </row>
    <row r="295" spans="2:16" x14ac:dyDescent="0.2">
      <c r="B295" s="1072">
        <f t="shared" si="9"/>
        <v>231</v>
      </c>
      <c r="C295" s="1067"/>
      <c r="D295" s="1077" t="s">
        <v>121</v>
      </c>
      <c r="E295" s="1069"/>
      <c r="F295" s="1063"/>
      <c r="G295" s="1073" t="s">
        <v>264</v>
      </c>
      <c r="H295" s="1071"/>
      <c r="I295" s="1064">
        <f t="shared" si="10"/>
        <v>2557000</v>
      </c>
      <c r="J295" s="1065"/>
      <c r="L295" s="8"/>
      <c r="M295" s="8"/>
      <c r="N295" s="8">
        <f>'[5]Usulan 2021'!I294</f>
        <v>2557000</v>
      </c>
      <c r="O295" s="8">
        <f>'[5]Usulan 2021'!J294</f>
        <v>2557000</v>
      </c>
      <c r="P295" s="8">
        <f>'[5]Usulan 2021'!K294</f>
        <v>2557000</v>
      </c>
    </row>
    <row r="296" spans="2:16" x14ac:dyDescent="0.2">
      <c r="B296" s="1072">
        <f t="shared" si="9"/>
        <v>232</v>
      </c>
      <c r="C296" s="1067"/>
      <c r="D296" s="1077" t="s">
        <v>79</v>
      </c>
      <c r="E296" s="1069"/>
      <c r="F296" s="1100"/>
      <c r="G296" s="1073" t="s">
        <v>264</v>
      </c>
      <c r="H296" s="1092"/>
      <c r="I296" s="1064">
        <f t="shared" si="10"/>
        <v>2922000</v>
      </c>
      <c r="J296" s="1065"/>
      <c r="L296" s="8"/>
      <c r="M296" s="8"/>
      <c r="N296" s="8">
        <f>'[5]Usulan 2021'!I295</f>
        <v>2922000</v>
      </c>
      <c r="O296" s="8">
        <f>'[5]Usulan 2021'!J295</f>
        <v>2922000</v>
      </c>
      <c r="P296" s="8">
        <f>'[5]Usulan 2021'!K295</f>
        <v>2922000</v>
      </c>
    </row>
    <row r="297" spans="2:16" x14ac:dyDescent="0.2">
      <c r="B297" s="1072">
        <f t="shared" si="9"/>
        <v>233</v>
      </c>
      <c r="C297" s="1067"/>
      <c r="D297" s="1077" t="s">
        <v>1432</v>
      </c>
      <c r="E297" s="1069"/>
      <c r="F297" s="1100"/>
      <c r="G297" s="1073" t="s">
        <v>268</v>
      </c>
      <c r="H297" s="1092"/>
      <c r="I297" s="1064">
        <f t="shared" si="10"/>
        <v>12000</v>
      </c>
      <c r="J297" s="1065"/>
      <c r="L297" s="8"/>
      <c r="M297" s="8"/>
      <c r="N297" s="8">
        <f>'[5]Usulan 2021'!I296</f>
        <v>12000</v>
      </c>
      <c r="O297" s="8"/>
      <c r="P297" s="8"/>
    </row>
    <row r="298" spans="2:16" x14ac:dyDescent="0.2">
      <c r="B298" s="1072">
        <f t="shared" si="9"/>
        <v>234</v>
      </c>
      <c r="C298" s="1067"/>
      <c r="D298" s="1077" t="s">
        <v>733</v>
      </c>
      <c r="E298" s="1069"/>
      <c r="F298" s="1063"/>
      <c r="G298" s="1070" t="s">
        <v>554</v>
      </c>
      <c r="H298" s="1071"/>
      <c r="I298" s="1064">
        <f t="shared" si="10"/>
        <v>181000</v>
      </c>
      <c r="J298" s="1065"/>
      <c r="L298" s="8"/>
      <c r="M298" s="8"/>
      <c r="N298" s="8">
        <f>'[5]Usulan 2021'!I297</f>
        <v>181000</v>
      </c>
      <c r="O298" s="8">
        <f>'[5]Usulan 2021'!J297</f>
        <v>181000</v>
      </c>
      <c r="P298" s="8">
        <f>'[5]Usulan 2021'!K297</f>
        <v>181000</v>
      </c>
    </row>
    <row r="299" spans="2:16" x14ac:dyDescent="0.2">
      <c r="B299" s="1072">
        <f t="shared" si="9"/>
        <v>235</v>
      </c>
      <c r="C299" s="1101"/>
      <c r="D299" s="1077" t="s">
        <v>815</v>
      </c>
      <c r="E299" s="1102"/>
      <c r="F299" s="1103"/>
      <c r="G299" s="1104" t="s">
        <v>268</v>
      </c>
      <c r="H299" s="1105"/>
      <c r="I299" s="1064">
        <f>N299</f>
        <v>7200</v>
      </c>
      <c r="J299" s="1065"/>
      <c r="L299" s="8"/>
      <c r="M299" s="8"/>
      <c r="N299" s="8">
        <f>'[5]Usulan 2021'!I298</f>
        <v>7200</v>
      </c>
      <c r="O299" s="8">
        <f>'[5]Usulan 2021'!J298</f>
        <v>7200</v>
      </c>
      <c r="P299" s="8">
        <f>'[5]Usulan 2021'!K298</f>
        <v>7200</v>
      </c>
    </row>
    <row r="300" spans="2:16" x14ac:dyDescent="0.2">
      <c r="B300" s="1072">
        <f t="shared" si="9"/>
        <v>236</v>
      </c>
      <c r="C300" s="1101"/>
      <c r="D300" s="1077" t="s">
        <v>1433</v>
      </c>
      <c r="E300" s="1102"/>
      <c r="F300" s="1103"/>
      <c r="G300" s="1104" t="s">
        <v>268</v>
      </c>
      <c r="H300" s="1105"/>
      <c r="I300" s="1064">
        <f>N300</f>
        <v>14100</v>
      </c>
      <c r="J300" s="1065"/>
      <c r="L300" s="8"/>
      <c r="M300" s="8"/>
      <c r="N300" s="8">
        <f>'[5]Usulan 2021'!I299</f>
        <v>14100</v>
      </c>
      <c r="O300" s="8"/>
      <c r="P300" s="8"/>
    </row>
    <row r="301" spans="2:16" ht="16.5" x14ac:dyDescent="0.2">
      <c r="B301" s="1072">
        <f t="shared" si="9"/>
        <v>237</v>
      </c>
      <c r="C301" s="1067"/>
      <c r="D301" s="1074" t="s">
        <v>822</v>
      </c>
      <c r="E301" s="1075"/>
      <c r="F301" s="1076"/>
      <c r="G301" s="1073" t="s">
        <v>1495</v>
      </c>
      <c r="H301" s="1071"/>
      <c r="I301" s="1064">
        <f t="shared" si="10"/>
        <v>57000</v>
      </c>
      <c r="J301" s="1065"/>
      <c r="L301" s="8"/>
      <c r="M301" s="8"/>
      <c r="N301" s="8">
        <f>'[5]Usulan 2021'!I300</f>
        <v>57000</v>
      </c>
      <c r="O301" s="8">
        <f>'[5]Usulan 2021'!J300</f>
        <v>57000</v>
      </c>
      <c r="P301" s="8">
        <f>'[5]Usulan 2021'!K300</f>
        <v>57000</v>
      </c>
    </row>
    <row r="302" spans="2:16" ht="16.5" x14ac:dyDescent="0.2">
      <c r="B302" s="1072">
        <f t="shared" si="9"/>
        <v>238</v>
      </c>
      <c r="C302" s="1067"/>
      <c r="D302" s="1074" t="s">
        <v>820</v>
      </c>
      <c r="E302" s="1075"/>
      <c r="F302" s="1076"/>
      <c r="G302" s="1073" t="s">
        <v>1494</v>
      </c>
      <c r="H302" s="1071"/>
      <c r="I302" s="1064">
        <f t="shared" si="10"/>
        <v>63000</v>
      </c>
      <c r="J302" s="1065"/>
      <c r="L302" s="8"/>
      <c r="M302" s="8"/>
      <c r="N302" s="8">
        <f>'[5]Usulan 2021'!I301</f>
        <v>63000</v>
      </c>
      <c r="O302" s="8">
        <f>'[5]Usulan 2021'!J301</f>
        <v>63000</v>
      </c>
      <c r="P302" s="8">
        <f>'[5]Usulan 2021'!K301</f>
        <v>63000</v>
      </c>
    </row>
    <row r="303" spans="2:16" ht="16.5" x14ac:dyDescent="0.2">
      <c r="B303" s="1072">
        <f t="shared" si="9"/>
        <v>239</v>
      </c>
      <c r="C303" s="1067"/>
      <c r="D303" s="1074" t="s">
        <v>794</v>
      </c>
      <c r="E303" s="1075"/>
      <c r="F303" s="1076"/>
      <c r="G303" s="1073" t="s">
        <v>1495</v>
      </c>
      <c r="H303" s="1071"/>
      <c r="I303" s="1064">
        <f>N303</f>
        <v>69000</v>
      </c>
      <c r="J303" s="1065"/>
      <c r="L303" s="8"/>
      <c r="M303" s="8"/>
      <c r="N303" s="8">
        <f>'[5]Usulan 2021'!I302</f>
        <v>69000</v>
      </c>
      <c r="O303" s="8">
        <f>'[5]Usulan 2021'!J302</f>
        <v>69000</v>
      </c>
      <c r="P303" s="8">
        <f>'[5]Usulan 2021'!K302</f>
        <v>69000</v>
      </c>
    </row>
    <row r="304" spans="2:16" ht="16.5" x14ac:dyDescent="0.2">
      <c r="B304" s="1072">
        <f t="shared" si="9"/>
        <v>240</v>
      </c>
      <c r="C304" s="1067"/>
      <c r="D304" s="1074" t="s">
        <v>680</v>
      </c>
      <c r="E304" s="1075"/>
      <c r="F304" s="1076"/>
      <c r="G304" s="1073" t="s">
        <v>1494</v>
      </c>
      <c r="H304" s="1071"/>
      <c r="I304" s="1064">
        <f t="shared" si="10"/>
        <v>51000</v>
      </c>
      <c r="J304" s="1065"/>
      <c r="L304" s="8"/>
      <c r="M304" s="8"/>
      <c r="N304" s="8">
        <f>'[5]Usulan 2021'!I303</f>
        <v>51000</v>
      </c>
      <c r="O304" s="8">
        <f>'[5]Usulan 2021'!J303</f>
        <v>51000</v>
      </c>
      <c r="P304" s="8">
        <f>'[5]Usulan 2021'!K303</f>
        <v>51000</v>
      </c>
    </row>
    <row r="305" spans="2:16" ht="16.5" x14ac:dyDescent="0.2">
      <c r="B305" s="1072">
        <f t="shared" si="9"/>
        <v>241</v>
      </c>
      <c r="C305" s="1067"/>
      <c r="D305" s="1074" t="s">
        <v>898</v>
      </c>
      <c r="E305" s="1075"/>
      <c r="F305" s="1076"/>
      <c r="G305" s="1073" t="s">
        <v>1494</v>
      </c>
      <c r="H305" s="1071"/>
      <c r="I305" s="1064">
        <f t="shared" si="10"/>
        <v>60000</v>
      </c>
      <c r="J305" s="1065"/>
      <c r="L305" s="8"/>
      <c r="M305" s="8"/>
      <c r="N305" s="8">
        <f>'[5]Usulan 2021'!I304</f>
        <v>60000</v>
      </c>
      <c r="O305" s="8">
        <f>'[5]Usulan 2021'!J304</f>
        <v>60000</v>
      </c>
      <c r="P305" s="8">
        <f>'[5]Usulan 2021'!K304</f>
        <v>60000</v>
      </c>
    </row>
    <row r="306" spans="2:16" x14ac:dyDescent="0.2">
      <c r="B306" s="1072">
        <f t="shared" si="9"/>
        <v>242</v>
      </c>
      <c r="C306" s="1067"/>
      <c r="D306" s="1077" t="s">
        <v>897</v>
      </c>
      <c r="E306" s="1069"/>
      <c r="F306" s="1076"/>
      <c r="G306" s="1070" t="s">
        <v>266</v>
      </c>
      <c r="H306" s="1071"/>
      <c r="I306" s="1064">
        <f t="shared" si="10"/>
        <v>102000</v>
      </c>
      <c r="J306" s="1065"/>
      <c r="L306" s="8"/>
      <c r="M306" s="8"/>
      <c r="N306" s="8">
        <f>'[5]Usulan 2021'!I305</f>
        <v>102000</v>
      </c>
      <c r="O306" s="8">
        <f>'[5]Usulan 2021'!J305</f>
        <v>102000</v>
      </c>
      <c r="P306" s="8">
        <f>'[5]Usulan 2021'!K305</f>
        <v>102000</v>
      </c>
    </row>
    <row r="307" spans="2:16" ht="16.5" x14ac:dyDescent="0.2">
      <c r="B307" s="1072">
        <f t="shared" si="9"/>
        <v>243</v>
      </c>
      <c r="C307" s="1067"/>
      <c r="D307" s="1074" t="s">
        <v>821</v>
      </c>
      <c r="E307" s="1075"/>
      <c r="F307" s="1076"/>
      <c r="G307" s="1073" t="s">
        <v>1494</v>
      </c>
      <c r="H307" s="1071"/>
      <c r="I307" s="1064">
        <f>N307</f>
        <v>69000</v>
      </c>
      <c r="J307" s="1065"/>
      <c r="L307" s="8"/>
      <c r="M307" s="8"/>
      <c r="N307" s="8">
        <f>'[5]Usulan 2021'!I306</f>
        <v>69000</v>
      </c>
      <c r="O307" s="8">
        <f>'[5]Usulan 2021'!J306</f>
        <v>69000</v>
      </c>
      <c r="P307" s="8">
        <f>'[5]Usulan 2021'!K306</f>
        <v>69000</v>
      </c>
    </row>
    <row r="308" spans="2:16" ht="16.5" x14ac:dyDescent="0.2">
      <c r="B308" s="1072">
        <f t="shared" si="9"/>
        <v>244</v>
      </c>
      <c r="C308" s="1067"/>
      <c r="D308" s="1074" t="s">
        <v>795</v>
      </c>
      <c r="E308" s="1075"/>
      <c r="F308" s="1076"/>
      <c r="G308" s="1073" t="s">
        <v>1494</v>
      </c>
      <c r="H308" s="1071"/>
      <c r="I308" s="1064">
        <f>N308</f>
        <v>87000</v>
      </c>
      <c r="J308" s="1065"/>
      <c r="L308" s="8"/>
      <c r="M308" s="8"/>
      <c r="N308" s="8">
        <f>'[5]Usulan 2021'!I307</f>
        <v>87000</v>
      </c>
      <c r="O308" s="8">
        <f>'[5]Usulan 2021'!J307</f>
        <v>87000</v>
      </c>
      <c r="P308" s="8">
        <f>'[5]Usulan 2021'!K307</f>
        <v>87000</v>
      </c>
    </row>
    <row r="309" spans="2:16" ht="16.5" x14ac:dyDescent="0.2">
      <c r="B309" s="1072">
        <f t="shared" ref="B309:B372" si="11">B308+1</f>
        <v>245</v>
      </c>
      <c r="C309" s="1067"/>
      <c r="D309" s="1074" t="s">
        <v>123</v>
      </c>
      <c r="E309" s="1075"/>
      <c r="F309" s="1076"/>
      <c r="G309" s="1073" t="s">
        <v>1494</v>
      </c>
      <c r="H309" s="1071"/>
      <c r="I309" s="1064">
        <f t="shared" si="10"/>
        <v>63000</v>
      </c>
      <c r="J309" s="1065"/>
      <c r="L309" s="8"/>
      <c r="M309" s="8"/>
      <c r="N309" s="8">
        <f>'[5]Usulan 2021'!I308</f>
        <v>63000</v>
      </c>
      <c r="O309" s="8">
        <f>'[5]Usulan 2021'!J308</f>
        <v>63000</v>
      </c>
      <c r="P309" s="8">
        <f>'[5]Usulan 2021'!K308</f>
        <v>63000</v>
      </c>
    </row>
    <row r="310" spans="2:16" ht="16.5" x14ac:dyDescent="0.2">
      <c r="B310" s="1072">
        <f t="shared" si="11"/>
        <v>246</v>
      </c>
      <c r="C310" s="1067"/>
      <c r="D310" s="1074" t="s">
        <v>124</v>
      </c>
      <c r="E310" s="1075"/>
      <c r="F310" s="1076"/>
      <c r="G310" s="1073" t="s">
        <v>1494</v>
      </c>
      <c r="H310" s="1071"/>
      <c r="I310" s="1064">
        <f t="shared" si="10"/>
        <v>76000</v>
      </c>
      <c r="J310" s="1065"/>
      <c r="L310" s="8"/>
      <c r="M310" s="8"/>
      <c r="N310" s="8">
        <f>'[5]Usulan 2021'!I309</f>
        <v>76000</v>
      </c>
      <c r="O310" s="8">
        <f>'[5]Usulan 2021'!J309</f>
        <v>76000</v>
      </c>
      <c r="P310" s="8">
        <f>'[5]Usulan 2021'!K309</f>
        <v>76000</v>
      </c>
    </row>
    <row r="311" spans="2:16" ht="16.5" x14ac:dyDescent="0.2">
      <c r="B311" s="1072">
        <f t="shared" si="11"/>
        <v>247</v>
      </c>
      <c r="C311" s="1067"/>
      <c r="D311" s="369" t="s">
        <v>1434</v>
      </c>
      <c r="G311" s="1073" t="s">
        <v>1494</v>
      </c>
      <c r="I311" s="1064">
        <f t="shared" si="10"/>
        <v>231000</v>
      </c>
      <c r="J311" s="1065"/>
      <c r="N311" s="8">
        <f>'[5]Usulan 2021'!I310</f>
        <v>231000</v>
      </c>
    </row>
    <row r="312" spans="2:16" ht="16.5" x14ac:dyDescent="0.2">
      <c r="B312" s="1072">
        <f t="shared" si="11"/>
        <v>248</v>
      </c>
      <c r="C312" s="1067"/>
      <c r="D312" s="1074" t="s">
        <v>899</v>
      </c>
      <c r="E312" s="1075"/>
      <c r="F312" s="1076"/>
      <c r="G312" s="1073" t="s">
        <v>1494</v>
      </c>
      <c r="H312" s="1071"/>
      <c r="I312" s="1064">
        <f t="shared" si="10"/>
        <v>338000</v>
      </c>
      <c r="J312" s="1065"/>
      <c r="L312" s="8"/>
      <c r="M312" s="8"/>
      <c r="N312" s="8">
        <f>'[5]Usulan 2021'!I311</f>
        <v>338000</v>
      </c>
      <c r="O312" s="8">
        <f>'[5]Usulan 2021'!J311</f>
        <v>338000</v>
      </c>
      <c r="P312" s="8">
        <f>'[5]Usulan 2021'!K311</f>
        <v>338000</v>
      </c>
    </row>
    <row r="313" spans="2:16" x14ac:dyDescent="0.2">
      <c r="B313" s="1072">
        <f t="shared" si="11"/>
        <v>249</v>
      </c>
      <c r="C313" s="1067"/>
      <c r="D313" s="1077" t="s">
        <v>162</v>
      </c>
      <c r="E313" s="1069"/>
      <c r="F313" s="1076"/>
      <c r="G313" s="1073" t="s">
        <v>264</v>
      </c>
      <c r="H313" s="1071"/>
      <c r="I313" s="1064">
        <f t="shared" si="10"/>
        <v>29000</v>
      </c>
      <c r="J313" s="1065"/>
      <c r="L313" s="8"/>
      <c r="M313" s="8"/>
      <c r="N313" s="8">
        <f>'[5]Usulan 2021'!I312</f>
        <v>29000</v>
      </c>
      <c r="O313" s="8">
        <f>'[5]Usulan 2021'!J312</f>
        <v>29000</v>
      </c>
      <c r="P313" s="8">
        <f>'[5]Usulan 2021'!K312</f>
        <v>29000</v>
      </c>
    </row>
    <row r="314" spans="2:16" x14ac:dyDescent="0.2">
      <c r="B314" s="1072">
        <f t="shared" si="11"/>
        <v>250</v>
      </c>
      <c r="C314" s="1040"/>
      <c r="D314" s="1079" t="s">
        <v>645</v>
      </c>
      <c r="E314" s="607"/>
      <c r="F314" s="1076"/>
      <c r="G314" s="1042" t="s">
        <v>268</v>
      </c>
      <c r="H314" s="991"/>
      <c r="I314" s="1064">
        <f t="shared" si="10"/>
        <v>72000</v>
      </c>
      <c r="J314" s="1065"/>
      <c r="L314" s="8"/>
      <c r="M314" s="8"/>
      <c r="N314" s="8">
        <f>'[5]Usulan 2021'!I313</f>
        <v>72000</v>
      </c>
      <c r="O314" s="8">
        <f>'[5]Usulan 2021'!J313</f>
        <v>72000</v>
      </c>
      <c r="P314" s="8">
        <f>'[5]Usulan 2021'!K313</f>
        <v>72000</v>
      </c>
    </row>
    <row r="315" spans="2:16" x14ac:dyDescent="0.2">
      <c r="B315" s="1072">
        <f t="shared" si="11"/>
        <v>251</v>
      </c>
      <c r="C315" s="1067"/>
      <c r="D315" s="1074" t="s">
        <v>494</v>
      </c>
      <c r="E315" s="1075"/>
      <c r="F315" s="1076"/>
      <c r="G315" s="1073" t="s">
        <v>268</v>
      </c>
      <c r="H315" s="1071"/>
      <c r="I315" s="1064">
        <f t="shared" si="10"/>
        <v>19000</v>
      </c>
      <c r="J315" s="1065"/>
      <c r="L315" s="8"/>
      <c r="M315" s="8"/>
      <c r="N315" s="8">
        <f>'[5]Usulan 2021'!I314</f>
        <v>19000</v>
      </c>
      <c r="O315" s="8">
        <f>'[5]Usulan 2021'!J314</f>
        <v>19000</v>
      </c>
      <c r="P315" s="8">
        <f>'[5]Usulan 2021'!K314</f>
        <v>19000</v>
      </c>
    </row>
    <row r="316" spans="2:16" x14ac:dyDescent="0.2">
      <c r="B316" s="1072">
        <f t="shared" si="11"/>
        <v>252</v>
      </c>
      <c r="C316" s="1067"/>
      <c r="D316" s="1074" t="s">
        <v>495</v>
      </c>
      <c r="E316" s="1075"/>
      <c r="F316" s="1076"/>
      <c r="G316" s="1073" t="s">
        <v>268</v>
      </c>
      <c r="H316" s="1071"/>
      <c r="I316" s="1064">
        <f t="shared" si="10"/>
        <v>32000</v>
      </c>
      <c r="J316" s="1065"/>
      <c r="L316" s="8"/>
      <c r="M316" s="8"/>
      <c r="N316" s="8">
        <f>'[5]Usulan 2021'!I315</f>
        <v>32000</v>
      </c>
      <c r="O316" s="8">
        <f>'[5]Usulan 2021'!J315</f>
        <v>32000</v>
      </c>
      <c r="P316" s="8">
        <f>'[5]Usulan 2021'!K315</f>
        <v>32000</v>
      </c>
    </row>
    <row r="317" spans="2:16" x14ac:dyDescent="0.2">
      <c r="B317" s="1072">
        <f t="shared" si="11"/>
        <v>253</v>
      </c>
      <c r="C317" s="1067"/>
      <c r="D317" s="1074" t="s">
        <v>493</v>
      </c>
      <c r="E317" s="1075"/>
      <c r="F317" s="1076"/>
      <c r="G317" s="1073" t="s">
        <v>268</v>
      </c>
      <c r="H317" s="1071"/>
      <c r="I317" s="1064">
        <f t="shared" si="10"/>
        <v>64000</v>
      </c>
      <c r="J317" s="1065"/>
      <c r="L317" s="8"/>
      <c r="M317" s="8"/>
      <c r="N317" s="8">
        <f>'[5]Usulan 2021'!I316</f>
        <v>64000</v>
      </c>
      <c r="O317" s="8">
        <f>'[5]Usulan 2021'!J316</f>
        <v>64000</v>
      </c>
      <c r="P317" s="8">
        <f>'[5]Usulan 2021'!K316</f>
        <v>64000</v>
      </c>
    </row>
    <row r="318" spans="2:16" x14ac:dyDescent="0.2">
      <c r="B318" s="1072">
        <f t="shared" si="11"/>
        <v>254</v>
      </c>
      <c r="C318" s="1067"/>
      <c r="D318" s="1074" t="s">
        <v>501</v>
      </c>
      <c r="E318" s="1075"/>
      <c r="F318" s="1076"/>
      <c r="G318" s="1073" t="s">
        <v>268</v>
      </c>
      <c r="H318" s="1071"/>
      <c r="I318" s="1064">
        <f t="shared" si="10"/>
        <v>23000</v>
      </c>
      <c r="J318" s="1065"/>
      <c r="L318" s="8"/>
      <c r="M318" s="8"/>
      <c r="N318" s="8">
        <f>'[5]Usulan 2021'!I317</f>
        <v>23000</v>
      </c>
      <c r="O318" s="8">
        <f>'[5]Usulan 2021'!J317</f>
        <v>23000</v>
      </c>
      <c r="P318" s="8">
        <f>'[5]Usulan 2021'!K317</f>
        <v>23000</v>
      </c>
    </row>
    <row r="319" spans="2:16" x14ac:dyDescent="0.2">
      <c r="B319" s="1072">
        <f t="shared" si="11"/>
        <v>255</v>
      </c>
      <c r="C319" s="1067"/>
      <c r="D319" s="1074" t="s">
        <v>500</v>
      </c>
      <c r="E319" s="1075"/>
      <c r="F319" s="1076"/>
      <c r="G319" s="1073" t="s">
        <v>268</v>
      </c>
      <c r="H319" s="1071"/>
      <c r="I319" s="1064">
        <f t="shared" si="10"/>
        <v>29800</v>
      </c>
      <c r="J319" s="1065"/>
      <c r="L319" s="8"/>
      <c r="M319" s="8"/>
      <c r="N319" s="8">
        <f>'[5]Usulan 2021'!I318</f>
        <v>29800</v>
      </c>
      <c r="O319" s="8">
        <f>'[5]Usulan 2021'!J318</f>
        <v>29800</v>
      </c>
      <c r="P319" s="8">
        <f>'[5]Usulan 2021'!K318</f>
        <v>29800</v>
      </c>
    </row>
    <row r="320" spans="2:16" x14ac:dyDescent="0.2">
      <c r="B320" s="1072">
        <f t="shared" si="11"/>
        <v>256</v>
      </c>
      <c r="C320" s="1067"/>
      <c r="D320" s="1074" t="s">
        <v>499</v>
      </c>
      <c r="E320" s="1075"/>
      <c r="F320" s="1076"/>
      <c r="G320" s="1073" t="s">
        <v>268</v>
      </c>
      <c r="H320" s="1071"/>
      <c r="I320" s="1064">
        <f t="shared" si="10"/>
        <v>73000</v>
      </c>
      <c r="J320" s="1065"/>
      <c r="L320" s="8"/>
      <c r="M320" s="8"/>
      <c r="N320" s="8">
        <f>'[5]Usulan 2021'!I319</f>
        <v>73000</v>
      </c>
      <c r="O320" s="8">
        <f>'[5]Usulan 2021'!J319</f>
        <v>73000</v>
      </c>
      <c r="P320" s="8">
        <f>'[5]Usulan 2021'!K319</f>
        <v>73000</v>
      </c>
    </row>
    <row r="321" spans="2:16" x14ac:dyDescent="0.2">
      <c r="B321" s="1072">
        <f t="shared" si="11"/>
        <v>257</v>
      </c>
      <c r="C321" s="1067"/>
      <c r="D321" s="1074" t="s">
        <v>497</v>
      </c>
      <c r="E321" s="1075"/>
      <c r="F321" s="1076"/>
      <c r="G321" s="1073" t="s">
        <v>268</v>
      </c>
      <c r="H321" s="1071"/>
      <c r="I321" s="1064">
        <f t="shared" si="10"/>
        <v>20000</v>
      </c>
      <c r="J321" s="1065"/>
      <c r="L321" s="8"/>
      <c r="M321" s="8"/>
      <c r="N321" s="8">
        <f>'[5]Usulan 2021'!I320</f>
        <v>20000</v>
      </c>
      <c r="O321" s="8">
        <f>'[5]Usulan 2021'!J320</f>
        <v>20000</v>
      </c>
      <c r="P321" s="8">
        <f>'[5]Usulan 2021'!K320</f>
        <v>20000</v>
      </c>
    </row>
    <row r="322" spans="2:16" x14ac:dyDescent="0.2">
      <c r="B322" s="1072">
        <f t="shared" si="11"/>
        <v>258</v>
      </c>
      <c r="C322" s="1067"/>
      <c r="D322" s="1074" t="s">
        <v>498</v>
      </c>
      <c r="E322" s="1075"/>
      <c r="F322" s="1076"/>
      <c r="G322" s="1073" t="s">
        <v>268</v>
      </c>
      <c r="H322" s="1071"/>
      <c r="I322" s="1064">
        <f t="shared" si="10"/>
        <v>35000</v>
      </c>
      <c r="J322" s="1065"/>
      <c r="L322" s="8"/>
      <c r="M322" s="8"/>
      <c r="N322" s="342">
        <f>'[5]Usulan 2021'!I321</f>
        <v>35000</v>
      </c>
      <c r="O322" s="342">
        <f>'[5]Usulan 2021'!J321</f>
        <v>35000</v>
      </c>
      <c r="P322" s="342">
        <f>'[5]Usulan 2021'!K321</f>
        <v>35000</v>
      </c>
    </row>
    <row r="323" spans="2:16" x14ac:dyDescent="0.2">
      <c r="B323" s="1072">
        <f t="shared" si="11"/>
        <v>259</v>
      </c>
      <c r="C323" s="1067"/>
      <c r="D323" s="1074" t="s">
        <v>496</v>
      </c>
      <c r="E323" s="1075"/>
      <c r="F323" s="1076"/>
      <c r="G323" s="1073" t="s">
        <v>268</v>
      </c>
      <c r="H323" s="1071"/>
      <c r="I323" s="1064">
        <f t="shared" si="10"/>
        <v>52000</v>
      </c>
      <c r="J323" s="1065"/>
      <c r="L323" s="8"/>
      <c r="M323" s="8"/>
      <c r="N323" s="8">
        <f>'[5]Usulan 2021'!I322</f>
        <v>52000</v>
      </c>
      <c r="O323" s="8">
        <f>'[5]Usulan 2021'!J322</f>
        <v>52000</v>
      </c>
      <c r="P323" s="8">
        <f>'[5]Usulan 2021'!K322</f>
        <v>52000</v>
      </c>
    </row>
    <row r="324" spans="2:16" x14ac:dyDescent="0.2">
      <c r="B324" s="1072">
        <f t="shared" si="11"/>
        <v>260</v>
      </c>
      <c r="C324" s="1040"/>
      <c r="D324" s="1079" t="s">
        <v>644</v>
      </c>
      <c r="E324" s="607"/>
      <c r="F324" s="1076"/>
      <c r="G324" s="1042" t="s">
        <v>268</v>
      </c>
      <c r="H324" s="991"/>
      <c r="I324" s="1064">
        <f t="shared" si="10"/>
        <v>46000</v>
      </c>
      <c r="J324" s="1065"/>
      <c r="L324" s="8"/>
      <c r="M324" s="8"/>
      <c r="N324" s="8">
        <f>'[5]Usulan 2021'!I323</f>
        <v>46000</v>
      </c>
      <c r="O324" s="8">
        <f>'[5]Usulan 2021'!J323</f>
        <v>46000</v>
      </c>
      <c r="P324" s="8">
        <f>'[5]Usulan 2021'!K323</f>
        <v>46000</v>
      </c>
    </row>
    <row r="325" spans="2:16" x14ac:dyDescent="0.2">
      <c r="B325" s="1072">
        <f t="shared" si="11"/>
        <v>261</v>
      </c>
      <c r="C325" s="1040"/>
      <c r="D325" s="1062" t="s">
        <v>1479</v>
      </c>
      <c r="E325" s="15"/>
      <c r="F325" s="1076"/>
      <c r="G325" s="1042" t="s">
        <v>268</v>
      </c>
      <c r="H325" s="355"/>
      <c r="I325" s="1064">
        <f t="shared" si="10"/>
        <v>650</v>
      </c>
      <c r="J325" s="1065"/>
      <c r="L325" s="8"/>
      <c r="M325" s="8"/>
      <c r="N325" s="8">
        <f>'[5]Usulan 2021'!I324</f>
        <v>650</v>
      </c>
      <c r="O325" s="8"/>
      <c r="P325" s="8"/>
    </row>
    <row r="326" spans="2:16" x14ac:dyDescent="0.2">
      <c r="B326" s="1072">
        <f t="shared" si="11"/>
        <v>262</v>
      </c>
      <c r="C326" s="1040"/>
      <c r="D326" s="1074" t="s">
        <v>900</v>
      </c>
      <c r="E326" s="1075"/>
      <c r="F326" s="1076"/>
      <c r="G326" s="1073" t="s">
        <v>247</v>
      </c>
      <c r="H326" s="1071"/>
      <c r="I326" s="1064">
        <f t="shared" si="10"/>
        <v>110000</v>
      </c>
      <c r="J326" s="1065"/>
      <c r="L326" s="8"/>
      <c r="M326" s="8"/>
      <c r="N326" s="8">
        <f>'[5]Usulan 2021'!I325</f>
        <v>110000</v>
      </c>
      <c r="O326" s="8">
        <f>'[5]Usulan 2021'!J325</f>
        <v>110000</v>
      </c>
      <c r="P326" s="8">
        <f>'[5]Usulan 2021'!K325</f>
        <v>110000</v>
      </c>
    </row>
    <row r="327" spans="2:16" x14ac:dyDescent="0.2">
      <c r="B327" s="1072">
        <f t="shared" si="11"/>
        <v>263</v>
      </c>
      <c r="C327" s="1067"/>
      <c r="D327" s="1074" t="s">
        <v>901</v>
      </c>
      <c r="E327" s="1075"/>
      <c r="F327" s="1076"/>
      <c r="G327" s="1073" t="s">
        <v>247</v>
      </c>
      <c r="H327" s="1071"/>
      <c r="I327" s="1064">
        <f t="shared" si="10"/>
        <v>81700</v>
      </c>
      <c r="J327" s="1065"/>
      <c r="L327" s="8"/>
      <c r="M327" s="8"/>
      <c r="N327" s="8">
        <f>'[5]Usulan 2021'!I326</f>
        <v>81700</v>
      </c>
      <c r="O327" s="8">
        <f>'[5]Usulan 2021'!J326</f>
        <v>81700</v>
      </c>
      <c r="P327" s="8">
        <f>'[5]Usulan 2021'!K326</f>
        <v>81700</v>
      </c>
    </row>
    <row r="328" spans="2:16" x14ac:dyDescent="0.2">
      <c r="B328" s="1072">
        <f t="shared" si="11"/>
        <v>264</v>
      </c>
      <c r="C328" s="1067"/>
      <c r="D328" s="1074" t="s">
        <v>902</v>
      </c>
      <c r="E328" s="1075"/>
      <c r="F328" s="1076"/>
      <c r="G328" s="1073" t="s">
        <v>247</v>
      </c>
      <c r="H328" s="1071"/>
      <c r="I328" s="1064">
        <f t="shared" si="10"/>
        <v>163000</v>
      </c>
      <c r="J328" s="1065"/>
      <c r="L328" s="8"/>
      <c r="M328" s="8"/>
      <c r="N328" s="8">
        <f>'[5]Usulan 2021'!I327</f>
        <v>163000</v>
      </c>
      <c r="O328" s="8">
        <f>'[5]Usulan 2021'!J327</f>
        <v>163000</v>
      </c>
      <c r="P328" s="8">
        <f>'[5]Usulan 2021'!K327</f>
        <v>163000</v>
      </c>
    </row>
    <row r="329" spans="2:16" x14ac:dyDescent="0.2">
      <c r="B329" s="1072">
        <f t="shared" si="11"/>
        <v>265</v>
      </c>
      <c r="C329" s="1067"/>
      <c r="D329" s="1074" t="s">
        <v>903</v>
      </c>
      <c r="E329" s="1075"/>
      <c r="F329" s="1076"/>
      <c r="G329" s="1073" t="s">
        <v>247</v>
      </c>
      <c r="H329" s="1071"/>
      <c r="I329" s="1064">
        <f t="shared" si="10"/>
        <v>116000</v>
      </c>
      <c r="J329" s="1065"/>
      <c r="L329" s="8"/>
      <c r="M329" s="8"/>
      <c r="N329" s="8">
        <f>'[5]Usulan 2021'!I328</f>
        <v>116000</v>
      </c>
      <c r="O329" s="8">
        <f>'[5]Usulan 2021'!J328</f>
        <v>116000</v>
      </c>
      <c r="P329" s="8">
        <f>'[5]Usulan 2021'!K328</f>
        <v>116000</v>
      </c>
    </row>
    <row r="330" spans="2:16" x14ac:dyDescent="0.2">
      <c r="B330" s="1072">
        <f t="shared" si="11"/>
        <v>266</v>
      </c>
      <c r="C330" s="1067"/>
      <c r="D330" s="1074" t="s">
        <v>904</v>
      </c>
      <c r="E330" s="1075"/>
      <c r="F330" s="1076"/>
      <c r="G330" s="1070" t="s">
        <v>247</v>
      </c>
      <c r="H330" s="1071"/>
      <c r="I330" s="1064">
        <f t="shared" si="10"/>
        <v>93000</v>
      </c>
      <c r="J330" s="1065"/>
      <c r="L330" s="8"/>
      <c r="M330" s="8"/>
      <c r="N330" s="8">
        <f>'[5]Usulan 2021'!I329</f>
        <v>93000</v>
      </c>
      <c r="O330" s="8">
        <f>'[5]Usulan 2021'!J329</f>
        <v>93000</v>
      </c>
      <c r="P330" s="8">
        <f>'[5]Usulan 2021'!K329</f>
        <v>93000</v>
      </c>
    </row>
    <row r="331" spans="2:16" x14ac:dyDescent="0.2">
      <c r="B331" s="1072">
        <f t="shared" si="11"/>
        <v>267</v>
      </c>
      <c r="C331" s="1067"/>
      <c r="D331" s="1074" t="s">
        <v>905</v>
      </c>
      <c r="E331" s="1075"/>
      <c r="F331" s="1076"/>
      <c r="G331" s="1070" t="s">
        <v>247</v>
      </c>
      <c r="H331" s="1071"/>
      <c r="I331" s="1064">
        <f t="shared" si="10"/>
        <v>76000</v>
      </c>
      <c r="J331" s="1065"/>
      <c r="L331" s="8"/>
      <c r="M331" s="8"/>
      <c r="N331" s="8">
        <f>'[5]Usulan 2021'!I330</f>
        <v>76000</v>
      </c>
      <c r="O331" s="8">
        <f>'[5]Usulan 2021'!J330</f>
        <v>76000</v>
      </c>
      <c r="P331" s="8">
        <f>'[5]Usulan 2021'!K330</f>
        <v>76000</v>
      </c>
    </row>
    <row r="332" spans="2:16" x14ac:dyDescent="0.2">
      <c r="B332" s="1072">
        <f t="shared" si="11"/>
        <v>268</v>
      </c>
      <c r="C332" s="1067"/>
      <c r="D332" s="1077" t="s">
        <v>83</v>
      </c>
      <c r="E332" s="1069"/>
      <c r="F332" s="1063"/>
      <c r="G332" s="1070" t="s">
        <v>268</v>
      </c>
      <c r="H332" s="1071"/>
      <c r="I332" s="1064">
        <f t="shared" si="10"/>
        <v>15800</v>
      </c>
      <c r="J332" s="1065"/>
      <c r="L332" s="8"/>
      <c r="M332" s="8"/>
      <c r="N332" s="8">
        <f>'[5]Usulan 2021'!I331</f>
        <v>15800</v>
      </c>
      <c r="O332" s="8">
        <f>'[5]Usulan 2021'!J331</f>
        <v>15800</v>
      </c>
      <c r="P332" s="8">
        <f>'[5]Usulan 2021'!K331</f>
        <v>15800</v>
      </c>
    </row>
    <row r="333" spans="2:16" x14ac:dyDescent="0.2">
      <c r="B333" s="1072">
        <f t="shared" si="11"/>
        <v>269</v>
      </c>
      <c r="C333" s="1067"/>
      <c r="D333" s="1074" t="s">
        <v>415</v>
      </c>
      <c r="E333" s="1075"/>
      <c r="F333" s="1076"/>
      <c r="G333" s="1073" t="s">
        <v>268</v>
      </c>
      <c r="H333" s="1081"/>
      <c r="I333" s="1064">
        <f t="shared" si="10"/>
        <v>40800</v>
      </c>
      <c r="J333" s="1065"/>
      <c r="L333" s="8"/>
      <c r="M333" s="8"/>
      <c r="N333" s="8">
        <f>'[5]Usulan 2021'!I332</f>
        <v>40800</v>
      </c>
      <c r="O333" s="8">
        <f>'[5]Usulan 2021'!J332</f>
        <v>40800</v>
      </c>
      <c r="P333" s="8">
        <f>'[5]Usulan 2021'!K332</f>
        <v>40800</v>
      </c>
    </row>
    <row r="334" spans="2:16" x14ac:dyDescent="0.2">
      <c r="B334" s="1072">
        <f t="shared" si="11"/>
        <v>270</v>
      </c>
      <c r="C334" s="1067"/>
      <c r="D334" s="1074" t="s">
        <v>416</v>
      </c>
      <c r="E334" s="1075"/>
      <c r="F334" s="1076"/>
      <c r="G334" s="1073" t="s">
        <v>268</v>
      </c>
      <c r="H334" s="1081"/>
      <c r="I334" s="1064">
        <f t="shared" si="10"/>
        <v>43900</v>
      </c>
      <c r="J334" s="1065"/>
      <c r="L334" s="8"/>
      <c r="M334" s="8"/>
      <c r="N334" s="8">
        <f>'[5]Usulan 2021'!I333</f>
        <v>43900</v>
      </c>
      <c r="O334" s="8">
        <f>'[5]Usulan 2021'!J333</f>
        <v>43900</v>
      </c>
      <c r="P334" s="8">
        <f>'[5]Usulan 2021'!K333</f>
        <v>43900</v>
      </c>
    </row>
    <row r="335" spans="2:16" x14ac:dyDescent="0.2">
      <c r="B335" s="1072">
        <f t="shared" si="11"/>
        <v>271</v>
      </c>
      <c r="C335" s="1067"/>
      <c r="D335" s="1074" t="s">
        <v>569</v>
      </c>
      <c r="E335" s="1075"/>
      <c r="F335" s="1076"/>
      <c r="G335" s="1073" t="s">
        <v>268</v>
      </c>
      <c r="H335" s="1081"/>
      <c r="I335" s="1064">
        <f t="shared" si="10"/>
        <v>58000</v>
      </c>
      <c r="J335" s="1065"/>
      <c r="L335" s="8"/>
      <c r="M335" s="8"/>
      <c r="N335" s="8">
        <f>'[5]Usulan 2021'!I334</f>
        <v>58000</v>
      </c>
      <c r="O335" s="8">
        <f>'[5]Usulan 2021'!J334</f>
        <v>58000</v>
      </c>
      <c r="P335" s="8">
        <f>'[5]Usulan 2021'!K334</f>
        <v>58000</v>
      </c>
    </row>
    <row r="336" spans="2:16" x14ac:dyDescent="0.2">
      <c r="B336" s="1072">
        <f t="shared" si="11"/>
        <v>272</v>
      </c>
      <c r="C336" s="1067"/>
      <c r="D336" s="1074" t="s">
        <v>1378</v>
      </c>
      <c r="E336" s="1075"/>
      <c r="F336" s="1076"/>
      <c r="G336" s="1073" t="s">
        <v>268</v>
      </c>
      <c r="H336" s="1081"/>
      <c r="I336" s="1064">
        <f t="shared" si="10"/>
        <v>233700</v>
      </c>
      <c r="J336" s="1065"/>
      <c r="L336" s="8"/>
      <c r="M336" s="8"/>
      <c r="N336" s="8">
        <f>'[5]Usulan 2021'!I335</f>
        <v>233700</v>
      </c>
      <c r="O336" s="8"/>
      <c r="P336" s="8"/>
    </row>
    <row r="337" spans="2:16" x14ac:dyDescent="0.2">
      <c r="B337" s="1072">
        <f t="shared" si="11"/>
        <v>273</v>
      </c>
      <c r="C337" s="1067"/>
      <c r="D337" s="1077" t="s">
        <v>203</v>
      </c>
      <c r="E337" s="1069"/>
      <c r="F337" s="1063"/>
      <c r="G337" s="1073" t="s">
        <v>298</v>
      </c>
      <c r="H337" s="1071"/>
      <c r="I337" s="1064">
        <f t="shared" si="10"/>
        <v>14600</v>
      </c>
      <c r="J337" s="1065"/>
      <c r="L337" s="8"/>
      <c r="M337" s="8"/>
      <c r="N337" s="8">
        <f>'[5]Usulan 2021'!I336</f>
        <v>14600</v>
      </c>
      <c r="O337" s="8">
        <f>'[5]Usulan 2021'!J336</f>
        <v>14600</v>
      </c>
      <c r="P337" s="8">
        <f>'[5]Usulan 2021'!K336</f>
        <v>14600</v>
      </c>
    </row>
    <row r="338" spans="2:16" x14ac:dyDescent="0.2">
      <c r="B338" s="1072">
        <f t="shared" si="11"/>
        <v>274</v>
      </c>
      <c r="C338" s="1067"/>
      <c r="D338" s="1077" t="s">
        <v>741</v>
      </c>
      <c r="E338" s="1069"/>
      <c r="F338" s="1063"/>
      <c r="G338" s="1070" t="s">
        <v>298</v>
      </c>
      <c r="H338" s="1071"/>
      <c r="I338" s="1064">
        <f>N338</f>
        <v>14100</v>
      </c>
      <c r="J338" s="1065"/>
      <c r="L338" s="8"/>
      <c r="M338" s="8"/>
      <c r="N338" s="8">
        <f>'[5]Usulan 2021'!I337</f>
        <v>14100</v>
      </c>
      <c r="O338" s="8">
        <f>'[5]Usulan 2021'!J337</f>
        <v>14100</v>
      </c>
      <c r="P338" s="8">
        <f>'[5]Usulan 2021'!K337</f>
        <v>14100</v>
      </c>
    </row>
    <row r="339" spans="2:16" x14ac:dyDescent="0.2">
      <c r="B339" s="1072">
        <f t="shared" si="11"/>
        <v>275</v>
      </c>
      <c r="C339" s="1067"/>
      <c r="D339" s="1077" t="s">
        <v>126</v>
      </c>
      <c r="E339" s="1069"/>
      <c r="F339" s="1106"/>
      <c r="G339" s="1073" t="s">
        <v>298</v>
      </c>
      <c r="H339" s="1071"/>
      <c r="I339" s="1064">
        <f t="shared" si="10"/>
        <v>64300</v>
      </c>
      <c r="J339" s="1065"/>
      <c r="L339" s="8"/>
      <c r="M339" s="8"/>
      <c r="N339" s="8">
        <f>'[5]Usulan 2021'!I338</f>
        <v>64300</v>
      </c>
      <c r="O339" s="8">
        <f>'[5]Usulan 2021'!J338</f>
        <v>64300</v>
      </c>
      <c r="P339" s="8">
        <f>'[5]Usulan 2021'!K338</f>
        <v>64300</v>
      </c>
    </row>
    <row r="340" spans="2:16" x14ac:dyDescent="0.2">
      <c r="B340" s="1072">
        <f t="shared" si="11"/>
        <v>276</v>
      </c>
      <c r="C340" s="1067"/>
      <c r="D340" s="1077" t="s">
        <v>681</v>
      </c>
      <c r="E340" s="1069"/>
      <c r="F340" s="1063"/>
      <c r="G340" s="1073" t="s">
        <v>298</v>
      </c>
      <c r="H340" s="1071"/>
      <c r="I340" s="1064">
        <f t="shared" si="10"/>
        <v>64300</v>
      </c>
      <c r="J340" s="1065"/>
      <c r="L340" s="8"/>
      <c r="M340" s="8"/>
      <c r="N340" s="8">
        <f>'[5]Usulan 2021'!I339</f>
        <v>64300</v>
      </c>
      <c r="O340" s="8">
        <f>'[5]Usulan 2021'!J339</f>
        <v>64300</v>
      </c>
      <c r="P340" s="8">
        <f>'[5]Usulan 2021'!K339</f>
        <v>64300</v>
      </c>
    </row>
    <row r="341" spans="2:16" x14ac:dyDescent="0.2">
      <c r="B341" s="1072">
        <f t="shared" si="11"/>
        <v>277</v>
      </c>
      <c r="C341" s="1067"/>
      <c r="D341" s="1086" t="s">
        <v>397</v>
      </c>
      <c r="E341" s="1075"/>
      <c r="F341" s="1076"/>
      <c r="G341" s="1070" t="s">
        <v>247</v>
      </c>
      <c r="H341" s="1071"/>
      <c r="I341" s="1064">
        <f t="shared" si="10"/>
        <v>14100</v>
      </c>
      <c r="J341" s="1065"/>
      <c r="L341" s="8"/>
      <c r="M341" s="8"/>
      <c r="N341" s="8">
        <f>'[5]Usulan 2021'!I340</f>
        <v>14100</v>
      </c>
      <c r="O341" s="8">
        <f>'[5]Usulan 2021'!J340</f>
        <v>14100</v>
      </c>
      <c r="P341" s="8">
        <f>'[5]Usulan 2021'!K340</f>
        <v>14100</v>
      </c>
    </row>
    <row r="342" spans="2:16" x14ac:dyDescent="0.2">
      <c r="B342" s="1072">
        <f t="shared" si="11"/>
        <v>278</v>
      </c>
      <c r="C342" s="1067"/>
      <c r="D342" s="1077" t="s">
        <v>906</v>
      </c>
      <c r="E342" s="1069"/>
      <c r="F342" s="1107"/>
      <c r="G342" s="1108" t="s">
        <v>266</v>
      </c>
      <c r="H342" s="1071"/>
      <c r="I342" s="1064">
        <f>N342</f>
        <v>3215000</v>
      </c>
      <c r="J342" s="1065"/>
      <c r="L342" s="8"/>
      <c r="M342" s="8"/>
      <c r="N342" s="8">
        <f>'[5]Usulan 2021'!I341</f>
        <v>3215000</v>
      </c>
      <c r="O342" s="8">
        <f>'[5]Usulan 2021'!J341</f>
        <v>3215000</v>
      </c>
      <c r="P342" s="8">
        <f>'[5]Usulan 2021'!K341</f>
        <v>3215000</v>
      </c>
    </row>
    <row r="343" spans="2:16" x14ac:dyDescent="0.2">
      <c r="B343" s="1072">
        <f t="shared" si="11"/>
        <v>279</v>
      </c>
      <c r="C343" s="1067"/>
      <c r="D343" s="1077" t="s">
        <v>907</v>
      </c>
      <c r="E343" s="1069"/>
      <c r="F343" s="1107"/>
      <c r="G343" s="1108" t="s">
        <v>266</v>
      </c>
      <c r="H343" s="1071"/>
      <c r="I343" s="1064">
        <f>N343</f>
        <v>1607000</v>
      </c>
      <c r="J343" s="1065"/>
      <c r="L343" s="8"/>
      <c r="M343" s="8"/>
      <c r="N343" s="8">
        <f>'[5]Usulan 2021'!I342</f>
        <v>1607000</v>
      </c>
      <c r="O343" s="8">
        <f>'[5]Usulan 2021'!J342</f>
        <v>1607000</v>
      </c>
      <c r="P343" s="8">
        <f>'[5]Usulan 2021'!K342</f>
        <v>1607000</v>
      </c>
    </row>
    <row r="344" spans="2:16" x14ac:dyDescent="0.2">
      <c r="B344" s="1072">
        <f t="shared" si="11"/>
        <v>280</v>
      </c>
      <c r="C344" s="1067"/>
      <c r="D344" s="1077" t="s">
        <v>1483</v>
      </c>
      <c r="E344" s="1069"/>
      <c r="F344" s="1069"/>
      <c r="G344" s="1073" t="s">
        <v>268</v>
      </c>
      <c r="H344" s="1071"/>
      <c r="I344" s="1064">
        <f t="shared" ref="I344:I345" si="12">N344</f>
        <v>52800</v>
      </c>
      <c r="J344" s="1065"/>
      <c r="L344" s="8"/>
      <c r="M344" s="8"/>
      <c r="N344" s="8">
        <f>'[5]Usulan 2021'!I343</f>
        <v>52800</v>
      </c>
      <c r="O344" s="8"/>
      <c r="P344" s="8"/>
    </row>
    <row r="345" spans="2:16" x14ac:dyDescent="0.2">
      <c r="B345" s="1072">
        <f t="shared" si="11"/>
        <v>281</v>
      </c>
      <c r="C345" s="1067"/>
      <c r="D345" s="1077" t="s">
        <v>428</v>
      </c>
      <c r="E345" s="1069"/>
      <c r="F345" s="1069"/>
      <c r="G345" s="1073" t="s">
        <v>268</v>
      </c>
      <c r="H345" s="1071"/>
      <c r="I345" s="1064">
        <f t="shared" si="12"/>
        <v>256000</v>
      </c>
      <c r="J345" s="1065"/>
      <c r="L345" s="8"/>
      <c r="M345" s="8"/>
      <c r="N345" s="8">
        <f>'[5]Usulan 2021'!I344</f>
        <v>256000</v>
      </c>
      <c r="O345" s="8"/>
      <c r="P345" s="8"/>
    </row>
    <row r="346" spans="2:16" ht="16.5" x14ac:dyDescent="0.2">
      <c r="B346" s="1072">
        <f t="shared" si="11"/>
        <v>282</v>
      </c>
      <c r="C346" s="1067"/>
      <c r="D346" s="1077" t="s">
        <v>184</v>
      </c>
      <c r="E346" s="1069"/>
      <c r="F346" s="1069"/>
      <c r="G346" s="1073" t="s">
        <v>1494</v>
      </c>
      <c r="H346" s="1071"/>
      <c r="I346" s="1064">
        <f t="shared" si="10"/>
        <v>89000</v>
      </c>
      <c r="J346" s="1065"/>
      <c r="L346" s="8"/>
      <c r="M346" s="8"/>
      <c r="N346" s="8">
        <f>'[5]Usulan 2021'!I345</f>
        <v>89000</v>
      </c>
      <c r="O346" s="8">
        <f>'[5]Usulan 2021'!J345</f>
        <v>89000</v>
      </c>
      <c r="P346" s="8">
        <f>'[5]Usulan 2021'!K345</f>
        <v>89000</v>
      </c>
    </row>
    <row r="347" spans="2:16" ht="16.5" x14ac:dyDescent="0.2">
      <c r="B347" s="1072">
        <f t="shared" si="11"/>
        <v>283</v>
      </c>
      <c r="C347" s="1067"/>
      <c r="D347" s="1077" t="s">
        <v>185</v>
      </c>
      <c r="E347" s="1069"/>
      <c r="F347" s="1069"/>
      <c r="G347" s="1073" t="s">
        <v>1494</v>
      </c>
      <c r="H347" s="1071"/>
      <c r="I347" s="1064">
        <f t="shared" si="10"/>
        <v>108000</v>
      </c>
      <c r="J347" s="1065"/>
      <c r="L347" s="8"/>
      <c r="M347" s="8"/>
      <c r="N347" s="8">
        <f>'[5]Usulan 2021'!I346</f>
        <v>108000</v>
      </c>
      <c r="O347" s="8">
        <f>'[5]Usulan 2021'!J346</f>
        <v>108000</v>
      </c>
      <c r="P347" s="8">
        <f>'[5]Usulan 2021'!K346</f>
        <v>108000</v>
      </c>
    </row>
    <row r="348" spans="2:16" ht="16.5" x14ac:dyDescent="0.2">
      <c r="B348" s="1072">
        <f t="shared" si="11"/>
        <v>284</v>
      </c>
      <c r="C348" s="1067"/>
      <c r="D348" s="1077" t="s">
        <v>186</v>
      </c>
      <c r="E348" s="1069"/>
      <c r="F348" s="1069"/>
      <c r="G348" s="1070" t="s">
        <v>1494</v>
      </c>
      <c r="H348" s="1071"/>
      <c r="I348" s="1064">
        <f t="shared" si="10"/>
        <v>128000</v>
      </c>
      <c r="J348" s="1065"/>
      <c r="L348" s="8"/>
      <c r="M348" s="8"/>
      <c r="N348" s="8">
        <f>'[5]Usulan 2021'!I347</f>
        <v>128000</v>
      </c>
      <c r="O348" s="8">
        <f>'[5]Usulan 2021'!J347</f>
        <v>128000</v>
      </c>
      <c r="P348" s="8">
        <f>'[5]Usulan 2021'!K347</f>
        <v>128000</v>
      </c>
    </row>
    <row r="349" spans="2:16" x14ac:dyDescent="0.2">
      <c r="B349" s="1072">
        <f t="shared" si="11"/>
        <v>285</v>
      </c>
      <c r="C349" s="1067"/>
      <c r="D349" s="1077" t="s">
        <v>85</v>
      </c>
      <c r="E349" s="1069"/>
      <c r="F349" s="1069"/>
      <c r="G349" s="1070" t="s">
        <v>266</v>
      </c>
      <c r="H349" s="1071"/>
      <c r="I349" s="1064">
        <f t="shared" si="10"/>
        <v>257000</v>
      </c>
      <c r="J349" s="1065"/>
      <c r="L349" s="8"/>
      <c r="M349" s="8"/>
      <c r="N349" s="8">
        <f>'[5]Usulan 2021'!I348</f>
        <v>257000</v>
      </c>
      <c r="O349" s="8">
        <f>'[5]Usulan 2021'!J348</f>
        <v>257000</v>
      </c>
      <c r="P349" s="8">
        <f>'[5]Usulan 2021'!K348</f>
        <v>257000</v>
      </c>
    </row>
    <row r="350" spans="2:16" x14ac:dyDescent="0.2">
      <c r="B350" s="1072">
        <f t="shared" si="11"/>
        <v>286</v>
      </c>
      <c r="C350" s="1067"/>
      <c r="D350" s="1077" t="s">
        <v>732</v>
      </c>
      <c r="E350" s="1069"/>
      <c r="F350" s="1107"/>
      <c r="G350" s="1108" t="s">
        <v>266</v>
      </c>
      <c r="H350" s="1071"/>
      <c r="I350" s="1064">
        <f t="shared" si="10"/>
        <v>320000</v>
      </c>
      <c r="J350" s="1065"/>
      <c r="L350" s="8"/>
      <c r="M350" s="8"/>
      <c r="N350" s="8">
        <f>'[5]Usulan 2021'!I349</f>
        <v>320000</v>
      </c>
      <c r="O350" s="8">
        <f>'[5]Usulan 2021'!J349</f>
        <v>320000</v>
      </c>
      <c r="P350" s="8">
        <f>'[5]Usulan 2021'!K349</f>
        <v>320000</v>
      </c>
    </row>
    <row r="351" spans="2:16" x14ac:dyDescent="0.2">
      <c r="B351" s="1072">
        <f t="shared" si="11"/>
        <v>287</v>
      </c>
      <c r="C351" s="1067"/>
      <c r="D351" s="1080" t="s">
        <v>1435</v>
      </c>
      <c r="E351" s="1081"/>
      <c r="F351" s="1081"/>
      <c r="G351" s="1109" t="s">
        <v>268</v>
      </c>
      <c r="H351" s="1071"/>
      <c r="I351" s="1064">
        <f t="shared" si="10"/>
        <v>8000</v>
      </c>
      <c r="J351" s="1065"/>
      <c r="N351" s="8">
        <f>'[5]Usulan 2021'!I350</f>
        <v>8000</v>
      </c>
    </row>
    <row r="352" spans="2:16" x14ac:dyDescent="0.2">
      <c r="B352" s="1072">
        <f t="shared" si="11"/>
        <v>288</v>
      </c>
      <c r="C352" s="1067"/>
      <c r="D352" s="1080" t="s">
        <v>1436</v>
      </c>
      <c r="E352" s="1081"/>
      <c r="F352" s="1081"/>
      <c r="G352" s="1109" t="s">
        <v>268</v>
      </c>
      <c r="H352" s="1071"/>
      <c r="I352" s="1064">
        <f t="shared" si="10"/>
        <v>5796000</v>
      </c>
      <c r="J352" s="1065"/>
      <c r="N352" s="8">
        <f>'[5]Usulan 2021'!I351</f>
        <v>5796000</v>
      </c>
    </row>
    <row r="353" spans="2:16" x14ac:dyDescent="0.2">
      <c r="B353" s="1072">
        <f t="shared" si="11"/>
        <v>289</v>
      </c>
      <c r="C353" s="1067"/>
      <c r="D353" s="1080" t="s">
        <v>1437</v>
      </c>
      <c r="E353" s="1081"/>
      <c r="F353" s="1081"/>
      <c r="G353" s="1109" t="s">
        <v>268</v>
      </c>
      <c r="H353" s="1071"/>
      <c r="I353" s="1064">
        <f t="shared" si="10"/>
        <v>5426000</v>
      </c>
      <c r="J353" s="1065"/>
      <c r="N353" s="8">
        <f>'[5]Usulan 2021'!I352</f>
        <v>5426000</v>
      </c>
    </row>
    <row r="354" spans="2:16" x14ac:dyDescent="0.2">
      <c r="B354" s="1072">
        <f t="shared" si="11"/>
        <v>290</v>
      </c>
      <c r="C354" s="1067"/>
      <c r="D354" s="1077" t="s">
        <v>442</v>
      </c>
      <c r="E354" s="1069"/>
      <c r="F354" s="1069"/>
      <c r="G354" s="1070" t="s">
        <v>392</v>
      </c>
      <c r="H354" s="1071"/>
      <c r="I354" s="1064">
        <f t="shared" si="10"/>
        <v>7900</v>
      </c>
      <c r="J354" s="1065"/>
      <c r="L354" s="8"/>
      <c r="M354" s="8"/>
      <c r="N354" s="8">
        <f>'[5]Usulan 2021'!I353</f>
        <v>7900</v>
      </c>
      <c r="O354" s="8">
        <f>'[5]Usulan 2021'!J353</f>
        <v>7900</v>
      </c>
      <c r="P354" s="8">
        <f>'[5]Usulan 2021'!K353</f>
        <v>7900</v>
      </c>
    </row>
    <row r="355" spans="2:16" x14ac:dyDescent="0.2">
      <c r="B355" s="1072">
        <f t="shared" si="11"/>
        <v>291</v>
      </c>
      <c r="C355" s="1067"/>
      <c r="D355" s="1110" t="s">
        <v>737</v>
      </c>
      <c r="E355" s="1069"/>
      <c r="F355" s="1069"/>
      <c r="G355" s="1070" t="s">
        <v>392</v>
      </c>
      <c r="H355" s="1071"/>
      <c r="I355" s="1064">
        <f t="shared" si="10"/>
        <v>10600</v>
      </c>
      <c r="J355" s="1065"/>
      <c r="L355" s="8"/>
      <c r="M355" s="8"/>
      <c r="N355" s="8">
        <f>'[5]Usulan 2021'!I354</f>
        <v>10600</v>
      </c>
      <c r="O355" s="8">
        <f>'[5]Usulan 2021'!J354</f>
        <v>10600</v>
      </c>
      <c r="P355" s="8">
        <f>'[5]Usulan 2021'!K354</f>
        <v>10600</v>
      </c>
    </row>
    <row r="356" spans="2:16" x14ac:dyDescent="0.2">
      <c r="B356" s="1072">
        <f t="shared" si="11"/>
        <v>292</v>
      </c>
      <c r="C356" s="1067"/>
      <c r="D356" s="1074" t="s">
        <v>1345</v>
      </c>
      <c r="E356" s="1075"/>
      <c r="F356" s="1094"/>
      <c r="G356" s="1070" t="s">
        <v>392</v>
      </c>
      <c r="H356" s="1071"/>
      <c r="I356" s="1064">
        <f t="shared" si="10"/>
        <v>17000</v>
      </c>
      <c r="J356" s="1065"/>
      <c r="L356" s="8"/>
      <c r="M356" s="8"/>
      <c r="N356" s="8">
        <f>'[5]Usulan 2021'!I355</f>
        <v>17000</v>
      </c>
      <c r="O356" s="8">
        <f>'[5]Usulan 2021'!J355</f>
        <v>17000</v>
      </c>
      <c r="P356" s="8">
        <f>'[5]Usulan 2021'!K355</f>
        <v>17000</v>
      </c>
    </row>
    <row r="357" spans="2:16" x14ac:dyDescent="0.2">
      <c r="B357" s="1072">
        <f t="shared" si="11"/>
        <v>293</v>
      </c>
      <c r="C357" s="1067"/>
      <c r="D357" s="1074" t="s">
        <v>114</v>
      </c>
      <c r="E357" s="1075"/>
      <c r="F357" s="1094"/>
      <c r="G357" s="1070" t="s">
        <v>392</v>
      </c>
      <c r="H357" s="1071"/>
      <c r="I357" s="1064">
        <f t="shared" si="10"/>
        <v>10500</v>
      </c>
      <c r="J357" s="1065"/>
      <c r="L357" s="8"/>
      <c r="M357" s="8"/>
      <c r="N357" s="8">
        <f>'[5]Usulan 2021'!I356</f>
        <v>10500</v>
      </c>
      <c r="O357" s="8">
        <f>'[5]Usulan 2021'!J356</f>
        <v>10500</v>
      </c>
      <c r="P357" s="8">
        <f>'[5]Usulan 2021'!K356</f>
        <v>10500</v>
      </c>
    </row>
    <row r="358" spans="2:16" x14ac:dyDescent="0.2">
      <c r="B358" s="1072">
        <f t="shared" si="11"/>
        <v>294</v>
      </c>
      <c r="C358" s="1067"/>
      <c r="D358" s="1074" t="s">
        <v>250</v>
      </c>
      <c r="E358" s="1075"/>
      <c r="F358" s="1094"/>
      <c r="G358" s="1070" t="s">
        <v>392</v>
      </c>
      <c r="H358" s="1071"/>
      <c r="I358" s="1064">
        <f t="shared" si="10"/>
        <v>23000</v>
      </c>
      <c r="J358" s="1065"/>
      <c r="L358" s="8"/>
      <c r="M358" s="8"/>
      <c r="N358" s="8">
        <f>'[5]Usulan 2021'!I357</f>
        <v>23000</v>
      </c>
      <c r="O358" s="8">
        <f>'[5]Usulan 2021'!J357</f>
        <v>23000</v>
      </c>
      <c r="P358" s="8">
        <f>'[5]Usulan 2021'!K357</f>
        <v>23000</v>
      </c>
    </row>
    <row r="359" spans="2:16" x14ac:dyDescent="0.2">
      <c r="B359" s="1072">
        <f t="shared" si="11"/>
        <v>295</v>
      </c>
      <c r="C359" s="1067"/>
      <c r="D359" s="1111" t="s">
        <v>736</v>
      </c>
      <c r="E359" s="1075"/>
      <c r="F359" s="1094"/>
      <c r="G359" s="1070" t="s">
        <v>392</v>
      </c>
      <c r="H359" s="1071"/>
      <c r="I359" s="1064">
        <f t="shared" si="10"/>
        <v>11000</v>
      </c>
      <c r="J359" s="1065"/>
      <c r="L359" s="8"/>
      <c r="M359" s="8"/>
      <c r="N359" s="8">
        <f>'[5]Usulan 2021'!I358</f>
        <v>11000</v>
      </c>
      <c r="O359" s="8">
        <f>'[5]Usulan 2021'!J358</f>
        <v>11000</v>
      </c>
      <c r="P359" s="8">
        <f>'[5]Usulan 2021'!K358</f>
        <v>11000</v>
      </c>
    </row>
    <row r="360" spans="2:16" x14ac:dyDescent="0.2">
      <c r="B360" s="1072">
        <f t="shared" si="11"/>
        <v>296</v>
      </c>
      <c r="C360" s="1067"/>
      <c r="D360" s="1111" t="s">
        <v>735</v>
      </c>
      <c r="E360" s="1075"/>
      <c r="F360" s="1094"/>
      <c r="G360" s="1070" t="s">
        <v>392</v>
      </c>
      <c r="H360" s="1071"/>
      <c r="I360" s="1064">
        <f t="shared" si="10"/>
        <v>9000</v>
      </c>
      <c r="J360" s="1065"/>
      <c r="L360" s="8"/>
      <c r="M360" s="8"/>
      <c r="N360" s="8">
        <f>'[5]Usulan 2021'!I359</f>
        <v>9000</v>
      </c>
      <c r="O360" s="8">
        <f>'[5]Usulan 2021'!J359</f>
        <v>9000</v>
      </c>
      <c r="P360" s="8">
        <f>'[5]Usulan 2021'!K359</f>
        <v>9000</v>
      </c>
    </row>
    <row r="361" spans="2:16" x14ac:dyDescent="0.2">
      <c r="B361" s="1072">
        <f t="shared" si="11"/>
        <v>297</v>
      </c>
      <c r="C361" s="1067"/>
      <c r="D361" s="1112" t="s">
        <v>1480</v>
      </c>
      <c r="E361" s="1075"/>
      <c r="F361" s="1075"/>
      <c r="G361" s="1070" t="s">
        <v>392</v>
      </c>
      <c r="H361" s="1071"/>
      <c r="I361" s="1064">
        <f t="shared" si="10"/>
        <v>8500</v>
      </c>
      <c r="J361" s="1065"/>
      <c r="L361" s="8"/>
      <c r="M361" s="8"/>
      <c r="N361" s="8">
        <f>'[5]Usulan 2021'!I360</f>
        <v>8500</v>
      </c>
      <c r="O361" s="8"/>
      <c r="P361" s="8"/>
    </row>
    <row r="362" spans="2:16" x14ac:dyDescent="0.2">
      <c r="B362" s="1072">
        <f t="shared" si="11"/>
        <v>298</v>
      </c>
      <c r="C362" s="1067"/>
      <c r="D362" s="1112" t="s">
        <v>1481</v>
      </c>
      <c r="E362" s="1075"/>
      <c r="F362" s="1075"/>
      <c r="G362" s="1070" t="s">
        <v>392</v>
      </c>
      <c r="H362" s="1071"/>
      <c r="I362" s="1064">
        <f t="shared" si="10"/>
        <v>10100</v>
      </c>
      <c r="J362" s="1065"/>
      <c r="L362" s="8"/>
      <c r="M362" s="8"/>
      <c r="N362" s="8">
        <f>'[5]Usulan 2021'!I361</f>
        <v>10100</v>
      </c>
      <c r="O362" s="8"/>
      <c r="P362" s="8"/>
    </row>
    <row r="363" spans="2:16" x14ac:dyDescent="0.2">
      <c r="B363" s="1072">
        <f t="shared" si="11"/>
        <v>299</v>
      </c>
      <c r="C363" s="1067"/>
      <c r="D363" s="1074" t="s">
        <v>177</v>
      </c>
      <c r="E363" s="1075"/>
      <c r="F363" s="1075"/>
      <c r="G363" s="1073" t="s">
        <v>277</v>
      </c>
      <c r="H363" s="1075"/>
      <c r="I363" s="1064">
        <f t="shared" si="10"/>
        <v>76000</v>
      </c>
      <c r="J363" s="1065"/>
      <c r="L363" s="8"/>
      <c r="M363" s="8"/>
      <c r="N363" s="8">
        <f>'[5]Usulan 2021'!I362</f>
        <v>76000</v>
      </c>
      <c r="O363" s="8">
        <f>'[5]Usulan 2021'!J362</f>
        <v>76000</v>
      </c>
      <c r="P363" s="8">
        <f>'[5]Usulan 2021'!K362</f>
        <v>76000</v>
      </c>
    </row>
    <row r="364" spans="2:16" x14ac:dyDescent="0.2">
      <c r="B364" s="1072">
        <f t="shared" si="11"/>
        <v>300</v>
      </c>
      <c r="C364" s="1067"/>
      <c r="D364" s="1074" t="s">
        <v>178</v>
      </c>
      <c r="E364" s="1075"/>
      <c r="F364" s="1075"/>
      <c r="G364" s="1073" t="s">
        <v>277</v>
      </c>
      <c r="H364" s="1071"/>
      <c r="I364" s="1064">
        <f t="shared" si="10"/>
        <v>116000</v>
      </c>
      <c r="J364" s="1065"/>
      <c r="L364" s="8"/>
      <c r="M364" s="8"/>
      <c r="N364" s="8">
        <f>'[5]Usulan 2021'!I363</f>
        <v>116000</v>
      </c>
      <c r="O364" s="8">
        <f>'[5]Usulan 2021'!J363</f>
        <v>116000</v>
      </c>
      <c r="P364" s="8">
        <f>'[5]Usulan 2021'!K363</f>
        <v>116000</v>
      </c>
    </row>
    <row r="365" spans="2:16" x14ac:dyDescent="0.2">
      <c r="B365" s="1072">
        <f t="shared" si="11"/>
        <v>301</v>
      </c>
      <c r="C365" s="1067"/>
      <c r="D365" s="1077" t="s">
        <v>840</v>
      </c>
      <c r="E365" s="1069"/>
      <c r="F365" s="1107"/>
      <c r="G365" s="1073" t="s">
        <v>320</v>
      </c>
      <c r="H365" s="1071"/>
      <c r="I365" s="1064">
        <f t="shared" si="10"/>
        <v>128000</v>
      </c>
      <c r="J365" s="1065"/>
      <c r="L365" s="8"/>
      <c r="M365" s="8"/>
      <c r="N365" s="8">
        <f>'[5]Usulan 2021'!I364</f>
        <v>128000</v>
      </c>
      <c r="O365" s="8">
        <f>'[5]Usulan 2021'!J364</f>
        <v>128000</v>
      </c>
      <c r="P365" s="8">
        <f>'[5]Usulan 2021'!K364</f>
        <v>128000</v>
      </c>
    </row>
    <row r="366" spans="2:16" x14ac:dyDescent="0.2">
      <c r="B366" s="1072">
        <f t="shared" si="11"/>
        <v>302</v>
      </c>
      <c r="C366" s="1067"/>
      <c r="D366" s="1074" t="s">
        <v>179</v>
      </c>
      <c r="E366" s="1075"/>
      <c r="F366" s="1075"/>
      <c r="G366" s="1073" t="s">
        <v>277</v>
      </c>
      <c r="H366" s="1071"/>
      <c r="I366" s="1064">
        <f t="shared" si="10"/>
        <v>157000</v>
      </c>
      <c r="J366" s="1065"/>
      <c r="L366" s="8"/>
      <c r="M366" s="8"/>
      <c r="N366" s="8">
        <f>'[5]Usulan 2021'!I365</f>
        <v>157000</v>
      </c>
      <c r="O366" s="8">
        <f>'[5]Usulan 2021'!J365</f>
        <v>157000</v>
      </c>
      <c r="P366" s="8">
        <f>'[5]Usulan 2021'!K365</f>
        <v>157000</v>
      </c>
    </row>
    <row r="367" spans="2:16" x14ac:dyDescent="0.2">
      <c r="B367" s="1072">
        <f t="shared" si="11"/>
        <v>303</v>
      </c>
      <c r="C367" s="1067"/>
      <c r="D367" s="1074" t="s">
        <v>505</v>
      </c>
      <c r="E367" s="1075"/>
      <c r="F367" s="1075"/>
      <c r="G367" s="1070" t="s">
        <v>270</v>
      </c>
      <c r="H367" s="1071"/>
      <c r="I367" s="1064">
        <f t="shared" si="10"/>
        <v>192000</v>
      </c>
      <c r="J367" s="1065"/>
      <c r="L367" s="8"/>
      <c r="M367" s="8"/>
      <c r="N367" s="8">
        <f>'[5]Usulan 2021'!I366</f>
        <v>192000</v>
      </c>
      <c r="O367" s="8">
        <f>'[5]Usulan 2021'!J366</f>
        <v>192000</v>
      </c>
      <c r="P367" s="8">
        <f>'[5]Usulan 2021'!K366</f>
        <v>192000</v>
      </c>
    </row>
    <row r="368" spans="2:16" x14ac:dyDescent="0.2">
      <c r="B368" s="1072">
        <f t="shared" si="11"/>
        <v>304</v>
      </c>
      <c r="C368" s="1049"/>
      <c r="D368" s="1113" t="s">
        <v>683</v>
      </c>
      <c r="E368" s="1114"/>
      <c r="F368" s="1115"/>
      <c r="G368" s="1056" t="s">
        <v>277</v>
      </c>
      <c r="H368" s="1053"/>
      <c r="I368" s="1064">
        <f t="shared" si="10"/>
        <v>224000</v>
      </c>
      <c r="J368" s="333"/>
      <c r="L368" s="8"/>
      <c r="M368" s="8"/>
      <c r="N368" s="8">
        <f>'[5]Usulan 2021'!I367</f>
        <v>224000</v>
      </c>
      <c r="O368" s="8">
        <f>'[5]Usulan 2021'!J367</f>
        <v>224000</v>
      </c>
      <c r="P368" s="8">
        <f>'[5]Usulan 2021'!K367</f>
        <v>224000</v>
      </c>
    </row>
    <row r="369" spans="2:16" x14ac:dyDescent="0.2">
      <c r="B369" s="1072">
        <f t="shared" si="11"/>
        <v>305</v>
      </c>
      <c r="C369" s="1067"/>
      <c r="D369" s="1077" t="s">
        <v>89</v>
      </c>
      <c r="E369" s="1069"/>
      <c r="F369" s="1069"/>
      <c r="G369" s="1073" t="s">
        <v>298</v>
      </c>
      <c r="H369" s="1071"/>
      <c r="I369" s="1064">
        <f t="shared" si="10"/>
        <v>23000</v>
      </c>
      <c r="J369" s="1065"/>
      <c r="L369" s="8"/>
      <c r="M369" s="8"/>
      <c r="N369" s="8">
        <f>'[5]Usulan 2021'!I368</f>
        <v>23000</v>
      </c>
      <c r="O369" s="8">
        <f>'[5]Usulan 2021'!J368</f>
        <v>23000</v>
      </c>
      <c r="P369" s="8">
        <f>'[5]Usulan 2021'!K368</f>
        <v>23000</v>
      </c>
    </row>
    <row r="370" spans="2:16" x14ac:dyDescent="0.2">
      <c r="B370" s="1072">
        <f t="shared" si="11"/>
        <v>306</v>
      </c>
      <c r="C370" s="1067"/>
      <c r="D370" s="1077" t="s">
        <v>1379</v>
      </c>
      <c r="E370" s="1069"/>
      <c r="F370" s="1069"/>
      <c r="G370" s="1073" t="s">
        <v>298</v>
      </c>
      <c r="H370" s="1071"/>
      <c r="I370" s="1064">
        <f t="shared" si="10"/>
        <v>23000</v>
      </c>
      <c r="J370" s="1065"/>
      <c r="L370" s="8"/>
      <c r="M370" s="8"/>
      <c r="N370" s="8">
        <f>'[5]Usulan 2021'!I369</f>
        <v>23000</v>
      </c>
      <c r="O370" s="8">
        <f>'[5]Usulan 2021'!J369</f>
        <v>23000</v>
      </c>
      <c r="P370" s="8">
        <f>'[5]Usulan 2021'!K369</f>
        <v>23000</v>
      </c>
    </row>
    <row r="371" spans="2:16" x14ac:dyDescent="0.2">
      <c r="B371" s="1072">
        <f t="shared" si="11"/>
        <v>307</v>
      </c>
      <c r="C371" s="1067"/>
      <c r="D371" s="1077" t="s">
        <v>1379</v>
      </c>
      <c r="E371" s="1069"/>
      <c r="F371" s="1069"/>
      <c r="G371" s="1073" t="s">
        <v>265</v>
      </c>
      <c r="H371" s="1071"/>
      <c r="I371" s="1064">
        <f t="shared" si="10"/>
        <v>700</v>
      </c>
      <c r="J371" s="1065"/>
      <c r="L371" s="8"/>
      <c r="M371" s="8"/>
      <c r="N371" s="8">
        <f>'[5]Usulan 2021'!I370</f>
        <v>700</v>
      </c>
      <c r="O371" s="8">
        <f>'[5]Usulan 2021'!J370</f>
        <v>700</v>
      </c>
      <c r="P371" s="8">
        <f>'[5]Usulan 2021'!K370</f>
        <v>700</v>
      </c>
    </row>
    <row r="372" spans="2:16" x14ac:dyDescent="0.2">
      <c r="B372" s="1072">
        <f t="shared" si="11"/>
        <v>308</v>
      </c>
      <c r="C372" s="1067"/>
      <c r="D372" s="1077" t="s">
        <v>91</v>
      </c>
      <c r="E372" s="1069"/>
      <c r="F372" s="1069"/>
      <c r="G372" s="1073" t="s">
        <v>298</v>
      </c>
      <c r="H372" s="1071"/>
      <c r="I372" s="1064">
        <f t="shared" si="10"/>
        <v>17000</v>
      </c>
      <c r="J372" s="1065"/>
      <c r="L372" s="8"/>
      <c r="M372" s="8"/>
      <c r="N372" s="8">
        <f>'[5]Usulan 2021'!I371</f>
        <v>17000</v>
      </c>
      <c r="O372" s="8">
        <f>'[5]Usulan 2021'!J371</f>
        <v>17000</v>
      </c>
      <c r="P372" s="8">
        <f>'[5]Usulan 2021'!K371</f>
        <v>17000</v>
      </c>
    </row>
    <row r="373" spans="2:16" x14ac:dyDescent="0.2">
      <c r="B373" s="1072">
        <f t="shared" ref="B373:B393" si="13">B372+1</f>
        <v>309</v>
      </c>
      <c r="C373" s="1067"/>
      <c r="D373" s="1077" t="s">
        <v>421</v>
      </c>
      <c r="E373" s="1069"/>
      <c r="F373" s="1069"/>
      <c r="G373" s="1073" t="s">
        <v>298</v>
      </c>
      <c r="H373" s="1071"/>
      <c r="I373" s="1064">
        <f t="shared" si="10"/>
        <v>26000</v>
      </c>
      <c r="J373" s="1065"/>
      <c r="L373" s="8"/>
      <c r="M373" s="8"/>
      <c r="N373" s="8">
        <f>'[5]Usulan 2021'!I372</f>
        <v>26000</v>
      </c>
      <c r="O373" s="8">
        <f>'[5]Usulan 2021'!J372</f>
        <v>26000</v>
      </c>
      <c r="P373" s="8">
        <f>'[5]Usulan 2021'!K372</f>
        <v>26000</v>
      </c>
    </row>
    <row r="374" spans="2:16" x14ac:dyDescent="0.2">
      <c r="B374" s="1072">
        <f t="shared" si="13"/>
        <v>310</v>
      </c>
      <c r="C374" s="1067"/>
      <c r="D374" s="1077" t="s">
        <v>421</v>
      </c>
      <c r="E374" s="1069"/>
      <c r="F374" s="1069"/>
      <c r="G374" s="1073" t="s">
        <v>265</v>
      </c>
      <c r="H374" s="1071"/>
      <c r="I374" s="1064">
        <f t="shared" si="10"/>
        <v>100</v>
      </c>
      <c r="J374" s="1065"/>
      <c r="L374" s="8"/>
      <c r="M374" s="8"/>
      <c r="N374" s="8">
        <f>'[5]Usulan 2021'!I373</f>
        <v>100</v>
      </c>
      <c r="O374" s="8">
        <f>'[5]Usulan 2021'!J373</f>
        <v>100</v>
      </c>
      <c r="P374" s="8">
        <f>'[5]Usulan 2021'!K373</f>
        <v>100</v>
      </c>
    </row>
    <row r="375" spans="2:16" x14ac:dyDescent="0.2">
      <c r="B375" s="1072">
        <f t="shared" si="13"/>
        <v>311</v>
      </c>
      <c r="C375" s="1067"/>
      <c r="D375" s="1074" t="s">
        <v>908</v>
      </c>
      <c r="E375" s="1075"/>
      <c r="F375" s="1075"/>
      <c r="G375" s="1073" t="s">
        <v>268</v>
      </c>
      <c r="H375" s="1071"/>
      <c r="I375" s="1064">
        <f t="shared" si="10"/>
        <v>5700</v>
      </c>
      <c r="J375" s="1065"/>
      <c r="L375" s="8"/>
      <c r="M375" s="8"/>
      <c r="N375" s="8">
        <f>'[5]Usulan 2021'!I374</f>
        <v>5700</v>
      </c>
      <c r="O375" s="8">
        <f>'[5]Usulan 2021'!J374</f>
        <v>5700</v>
      </c>
      <c r="P375" s="8">
        <f>'[5]Usulan 2021'!K374</f>
        <v>5700</v>
      </c>
    </row>
    <row r="376" spans="2:16" x14ac:dyDescent="0.2">
      <c r="B376" s="1072">
        <f t="shared" si="13"/>
        <v>312</v>
      </c>
      <c r="C376" s="1067"/>
      <c r="D376" s="1077" t="s">
        <v>789</v>
      </c>
      <c r="E376" s="1069"/>
      <c r="F376" s="1069"/>
      <c r="G376" s="1073" t="s">
        <v>265</v>
      </c>
      <c r="H376" s="1071"/>
      <c r="I376" s="1064">
        <f t="shared" si="10"/>
        <v>800</v>
      </c>
      <c r="J376" s="1065"/>
      <c r="L376" s="8"/>
      <c r="M376" s="8"/>
      <c r="N376" s="8">
        <f>'[5]Usulan 2021'!I375</f>
        <v>800</v>
      </c>
      <c r="O376" s="8">
        <f>'[5]Usulan 2021'!J375</f>
        <v>800</v>
      </c>
      <c r="P376" s="8">
        <f>'[5]Usulan 2021'!K375</f>
        <v>800</v>
      </c>
    </row>
    <row r="377" spans="2:16" x14ac:dyDescent="0.2">
      <c r="B377" s="1072">
        <f t="shared" si="13"/>
        <v>313</v>
      </c>
      <c r="C377" s="1067"/>
      <c r="D377" s="1077" t="s">
        <v>92</v>
      </c>
      <c r="E377" s="1069"/>
      <c r="F377" s="1069"/>
      <c r="G377" s="1073" t="s">
        <v>298</v>
      </c>
      <c r="H377" s="1071"/>
      <c r="I377" s="1064">
        <f t="shared" si="10"/>
        <v>23000</v>
      </c>
      <c r="J377" s="1116"/>
      <c r="L377" s="8"/>
      <c r="M377" s="8"/>
      <c r="N377" s="8">
        <f>'[5]Usulan 2021'!I376</f>
        <v>23000</v>
      </c>
      <c r="O377" s="8">
        <f>'[5]Usulan 2021'!J376</f>
        <v>23000</v>
      </c>
      <c r="P377" s="8">
        <f>'[5]Usulan 2021'!K376</f>
        <v>23000</v>
      </c>
    </row>
    <row r="378" spans="2:16" x14ac:dyDescent="0.2">
      <c r="B378" s="1072">
        <f t="shared" si="13"/>
        <v>314</v>
      </c>
      <c r="C378" s="1067"/>
      <c r="D378" s="1077" t="s">
        <v>93</v>
      </c>
      <c r="E378" s="1069"/>
      <c r="F378" s="1069"/>
      <c r="G378" s="1073" t="s">
        <v>298</v>
      </c>
      <c r="H378" s="1071"/>
      <c r="I378" s="1064">
        <f t="shared" si="10"/>
        <v>17000</v>
      </c>
      <c r="J378" s="1065"/>
      <c r="L378" s="8"/>
      <c r="M378" s="8"/>
      <c r="N378" s="8">
        <f>'[5]Usulan 2021'!I377</f>
        <v>17000</v>
      </c>
      <c r="O378" s="8">
        <f>'[5]Usulan 2021'!J377</f>
        <v>17000</v>
      </c>
      <c r="P378" s="8">
        <f>'[5]Usulan 2021'!K377</f>
        <v>17000</v>
      </c>
    </row>
    <row r="379" spans="2:16" x14ac:dyDescent="0.2">
      <c r="B379" s="1072">
        <f t="shared" si="13"/>
        <v>315</v>
      </c>
      <c r="C379" s="1067"/>
      <c r="D379" s="1077" t="s">
        <v>555</v>
      </c>
      <c r="E379" s="1117"/>
      <c r="F379" s="1117"/>
      <c r="G379" s="1073" t="s">
        <v>275</v>
      </c>
      <c r="H379" s="1071"/>
      <c r="I379" s="1064">
        <f t="shared" si="10"/>
        <v>5260000</v>
      </c>
      <c r="J379" s="1065"/>
      <c r="L379" s="8"/>
      <c r="M379" s="8"/>
      <c r="N379" s="8">
        <f>'[5]Usulan 2021'!I378</f>
        <v>5260000</v>
      </c>
      <c r="O379" s="8">
        <f>'[5]Usulan 2021'!J378</f>
        <v>5260000</v>
      </c>
      <c r="P379" s="8">
        <f>'[5]Usulan 2021'!K378</f>
        <v>5260000</v>
      </c>
    </row>
    <row r="380" spans="2:16" x14ac:dyDescent="0.2">
      <c r="B380" s="1072">
        <f t="shared" si="13"/>
        <v>316</v>
      </c>
      <c r="C380" s="1067"/>
      <c r="D380" s="1077" t="s">
        <v>427</v>
      </c>
      <c r="E380" s="1117"/>
      <c r="F380" s="1117"/>
      <c r="G380" s="1073" t="s">
        <v>268</v>
      </c>
      <c r="H380" s="1071"/>
      <c r="I380" s="1064">
        <f t="shared" si="10"/>
        <v>308000</v>
      </c>
      <c r="J380" s="1065"/>
      <c r="L380" s="8"/>
      <c r="M380" s="8"/>
      <c r="N380" s="8">
        <f>'[5]Usulan 2021'!I379</f>
        <v>308000</v>
      </c>
      <c r="O380" s="8"/>
      <c r="P380" s="8"/>
    </row>
    <row r="381" spans="2:16" x14ac:dyDescent="0.2">
      <c r="B381" s="1072">
        <f t="shared" si="13"/>
        <v>317</v>
      </c>
      <c r="C381" s="1067"/>
      <c r="D381" s="1077" t="s">
        <v>1380</v>
      </c>
      <c r="E381" s="1117"/>
      <c r="F381" s="1117"/>
      <c r="G381" s="1073" t="s">
        <v>268</v>
      </c>
      <c r="H381" s="1071"/>
      <c r="I381" s="1064">
        <f t="shared" si="10"/>
        <v>52000</v>
      </c>
      <c r="J381" s="1065"/>
      <c r="L381" s="8"/>
      <c r="M381" s="8"/>
      <c r="N381" s="8">
        <f>'[5]Usulan 2021'!I380</f>
        <v>52000</v>
      </c>
      <c r="O381" s="8"/>
      <c r="P381" s="8"/>
    </row>
    <row r="382" spans="2:16" x14ac:dyDescent="0.2">
      <c r="B382" s="1072">
        <f t="shared" si="13"/>
        <v>318</v>
      </c>
      <c r="C382" s="1067"/>
      <c r="D382" s="1077"/>
      <c r="E382" s="1117"/>
      <c r="F382" s="1117"/>
      <c r="G382" s="1073"/>
      <c r="H382" s="1071"/>
      <c r="I382" s="1064"/>
      <c r="J382" s="1065"/>
      <c r="L382" s="8"/>
      <c r="M382" s="8"/>
      <c r="N382" s="8"/>
      <c r="O382" s="8"/>
      <c r="P382" s="8"/>
    </row>
    <row r="383" spans="2:16" x14ac:dyDescent="0.2">
      <c r="B383" s="1072">
        <f t="shared" si="13"/>
        <v>319</v>
      </c>
      <c r="C383" s="1067"/>
      <c r="D383" s="1077" t="s">
        <v>324</v>
      </c>
      <c r="E383" s="1069"/>
      <c r="F383" s="1069"/>
      <c r="G383" s="1073" t="s">
        <v>264</v>
      </c>
      <c r="H383" s="1071"/>
      <c r="I383" s="1064">
        <f t="shared" ref="I383:I446" si="14">N383</f>
        <v>270000</v>
      </c>
      <c r="J383" s="1065"/>
      <c r="L383" s="8"/>
      <c r="M383" s="8"/>
      <c r="N383" s="8">
        <f>'[5]Usulan 2021'!I382</f>
        <v>270000</v>
      </c>
      <c r="O383" s="8">
        <f>'[5]Usulan 2021'!J382</f>
        <v>270000</v>
      </c>
      <c r="P383" s="8">
        <f>'[5]Usulan 2021'!K382</f>
        <v>270000</v>
      </c>
    </row>
    <row r="384" spans="2:16" x14ac:dyDescent="0.2">
      <c r="B384" s="1072">
        <f t="shared" si="13"/>
        <v>320</v>
      </c>
      <c r="C384" s="1067"/>
      <c r="D384" s="1077" t="s">
        <v>379</v>
      </c>
      <c r="E384" s="1069"/>
      <c r="F384" s="1069"/>
      <c r="G384" s="1073" t="s">
        <v>264</v>
      </c>
      <c r="H384" s="1071"/>
      <c r="I384" s="1064">
        <f t="shared" si="14"/>
        <v>270000</v>
      </c>
      <c r="J384" s="1065"/>
      <c r="L384" s="8"/>
      <c r="M384" s="8"/>
      <c r="N384" s="8">
        <f>'[5]Usulan 2021'!I383</f>
        <v>270000</v>
      </c>
      <c r="O384" s="8">
        <f>'[5]Usulan 2021'!J383</f>
        <v>270000</v>
      </c>
      <c r="P384" s="8">
        <f>'[5]Usulan 2021'!K383</f>
        <v>270000</v>
      </c>
    </row>
    <row r="385" spans="2:16" x14ac:dyDescent="0.2">
      <c r="B385" s="1072">
        <f t="shared" si="13"/>
        <v>321</v>
      </c>
      <c r="C385" s="1067"/>
      <c r="D385" s="1077" t="s">
        <v>832</v>
      </c>
      <c r="E385" s="1069"/>
      <c r="F385" s="1069"/>
      <c r="G385" s="1073" t="s">
        <v>264</v>
      </c>
      <c r="H385" s="1071"/>
      <c r="I385" s="1064">
        <f t="shared" si="14"/>
        <v>175000</v>
      </c>
      <c r="J385" s="1065"/>
      <c r="L385" s="8"/>
      <c r="M385" s="8"/>
      <c r="N385" s="8">
        <f>'[5]Usulan 2021'!I384</f>
        <v>175000</v>
      </c>
      <c r="O385" s="8">
        <f>'[5]Usulan 2021'!J384</f>
        <v>175000</v>
      </c>
      <c r="P385" s="8">
        <f>'[5]Usulan 2021'!K384</f>
        <v>175000</v>
      </c>
    </row>
    <row r="386" spans="2:16" x14ac:dyDescent="0.2">
      <c r="B386" s="1072">
        <f t="shared" si="13"/>
        <v>322</v>
      </c>
      <c r="C386" s="1067"/>
      <c r="D386" s="1077" t="s">
        <v>909</v>
      </c>
      <c r="E386" s="1069"/>
      <c r="F386" s="1069"/>
      <c r="G386" s="1073" t="s">
        <v>264</v>
      </c>
      <c r="H386" s="1071"/>
      <c r="I386" s="1064">
        <f t="shared" si="14"/>
        <v>239000</v>
      </c>
      <c r="J386" s="1065"/>
      <c r="L386" s="8"/>
      <c r="M386" s="8"/>
      <c r="N386" s="8">
        <f>'[5]Usulan 2021'!I385</f>
        <v>239000</v>
      </c>
      <c r="O386" s="8">
        <f>'[5]Usulan 2021'!J385</f>
        <v>239000</v>
      </c>
      <c r="P386" s="8">
        <f>'[5]Usulan 2021'!K385</f>
        <v>239000</v>
      </c>
    </row>
    <row r="387" spans="2:16" x14ac:dyDescent="0.2">
      <c r="B387" s="1072">
        <f t="shared" si="13"/>
        <v>323</v>
      </c>
      <c r="C387" s="1067"/>
      <c r="D387" s="1077" t="s">
        <v>475</v>
      </c>
      <c r="E387" s="1069"/>
      <c r="F387" s="1069"/>
      <c r="G387" s="1073" t="s">
        <v>264</v>
      </c>
      <c r="H387" s="1118"/>
      <c r="I387" s="1064">
        <f t="shared" si="14"/>
        <v>145000</v>
      </c>
      <c r="J387" s="1065"/>
      <c r="L387" s="8"/>
      <c r="M387" s="8"/>
      <c r="N387" s="8">
        <f>'[5]Usulan 2021'!I386</f>
        <v>145000</v>
      </c>
      <c r="O387" s="8">
        <f>'[5]Usulan 2021'!J386</f>
        <v>145000</v>
      </c>
      <c r="P387" s="8">
        <f>'[5]Usulan 2021'!K386</f>
        <v>145000</v>
      </c>
    </row>
    <row r="388" spans="2:16" x14ac:dyDescent="0.2">
      <c r="B388" s="1072">
        <f t="shared" si="13"/>
        <v>324</v>
      </c>
      <c r="C388" s="1067"/>
      <c r="D388" s="1077" t="s">
        <v>302</v>
      </c>
      <c r="E388" s="1069"/>
      <c r="F388" s="1069"/>
      <c r="G388" s="1070" t="s">
        <v>264</v>
      </c>
      <c r="H388" s="1071"/>
      <c r="I388" s="1064">
        <f t="shared" si="14"/>
        <v>163000</v>
      </c>
      <c r="J388" s="1065"/>
      <c r="L388" s="8"/>
      <c r="M388" s="8"/>
      <c r="N388" s="8">
        <f>'[5]Usulan 2021'!I387</f>
        <v>163000</v>
      </c>
      <c r="O388" s="8">
        <f>'[5]Usulan 2021'!J387</f>
        <v>163000</v>
      </c>
      <c r="P388" s="8">
        <f>'[5]Usulan 2021'!K387</f>
        <v>163000</v>
      </c>
    </row>
    <row r="389" spans="2:16" x14ac:dyDescent="0.2">
      <c r="B389" s="1072">
        <f t="shared" si="13"/>
        <v>325</v>
      </c>
      <c r="C389" s="1067"/>
      <c r="D389" s="1068" t="s">
        <v>910</v>
      </c>
      <c r="E389" s="1069"/>
      <c r="F389" s="1069"/>
      <c r="G389" s="1070" t="s">
        <v>266</v>
      </c>
      <c r="H389" s="1071"/>
      <c r="I389" s="1064">
        <f t="shared" si="14"/>
        <v>81700</v>
      </c>
      <c r="J389" s="1065"/>
      <c r="L389" s="8"/>
      <c r="M389" s="8"/>
      <c r="N389" s="8">
        <f>'[5]Usulan 2021'!I388</f>
        <v>81700</v>
      </c>
      <c r="O389" s="8">
        <f>'[5]Usulan 2021'!J388</f>
        <v>81700</v>
      </c>
      <c r="P389" s="8">
        <f>'[5]Usulan 2021'!K388</f>
        <v>81700</v>
      </c>
    </row>
    <row r="390" spans="2:16" x14ac:dyDescent="0.2">
      <c r="B390" s="1072">
        <f t="shared" si="13"/>
        <v>326</v>
      </c>
      <c r="C390" s="1067"/>
      <c r="D390" s="1068" t="s">
        <v>911</v>
      </c>
      <c r="E390" s="1069"/>
      <c r="F390" s="1069"/>
      <c r="G390" s="1070" t="s">
        <v>266</v>
      </c>
      <c r="H390" s="1071"/>
      <c r="I390" s="1064">
        <f t="shared" si="14"/>
        <v>81700</v>
      </c>
      <c r="J390" s="1065"/>
      <c r="L390" s="8"/>
      <c r="M390" s="8"/>
      <c r="N390" s="8">
        <f>'[5]Usulan 2021'!I389</f>
        <v>81700</v>
      </c>
      <c r="O390" s="8">
        <f>'[5]Usulan 2021'!J389</f>
        <v>81700</v>
      </c>
      <c r="P390" s="8">
        <f>'[5]Usulan 2021'!K389</f>
        <v>81700</v>
      </c>
    </row>
    <row r="391" spans="2:16" x14ac:dyDescent="0.2">
      <c r="B391" s="1072">
        <f t="shared" si="13"/>
        <v>327</v>
      </c>
      <c r="C391" s="1067"/>
      <c r="D391" s="1077" t="s">
        <v>171</v>
      </c>
      <c r="E391" s="1069"/>
      <c r="F391" s="1069"/>
      <c r="G391" s="1070" t="s">
        <v>266</v>
      </c>
      <c r="H391" s="1071"/>
      <c r="I391" s="1064">
        <f t="shared" si="14"/>
        <v>93300</v>
      </c>
      <c r="J391" s="1065"/>
      <c r="L391" s="8"/>
      <c r="M391" s="8"/>
      <c r="N391" s="8">
        <f>'[5]Usulan 2021'!I390</f>
        <v>93300</v>
      </c>
      <c r="O391" s="8">
        <f>'[5]Usulan 2021'!J390</f>
        <v>93300</v>
      </c>
      <c r="P391" s="8">
        <f>'[5]Usulan 2021'!K390</f>
        <v>93300</v>
      </c>
    </row>
    <row r="392" spans="2:16" x14ac:dyDescent="0.2">
      <c r="B392" s="1072">
        <f t="shared" si="13"/>
        <v>328</v>
      </c>
      <c r="C392" s="1067"/>
      <c r="D392" s="1068" t="s">
        <v>912</v>
      </c>
      <c r="E392" s="1069"/>
      <c r="F392" s="1069"/>
      <c r="G392" s="1070" t="s">
        <v>266</v>
      </c>
      <c r="H392" s="1071"/>
      <c r="I392" s="1064">
        <f t="shared" si="14"/>
        <v>81700</v>
      </c>
      <c r="J392" s="1065"/>
      <c r="L392" s="8"/>
      <c r="M392" s="8"/>
      <c r="N392" s="8">
        <f>'[5]Usulan 2021'!I391</f>
        <v>81700</v>
      </c>
      <c r="O392" s="8">
        <f>'[5]Usulan 2021'!J391</f>
        <v>81700</v>
      </c>
      <c r="P392" s="8">
        <f>'[5]Usulan 2021'!K391</f>
        <v>81700</v>
      </c>
    </row>
    <row r="393" spans="2:16" x14ac:dyDescent="0.2">
      <c r="B393" s="1072">
        <f t="shared" si="13"/>
        <v>329</v>
      </c>
      <c r="C393" s="1067"/>
      <c r="D393" s="1068" t="s">
        <v>913</v>
      </c>
      <c r="E393" s="1069"/>
      <c r="F393" s="1069"/>
      <c r="G393" s="1070" t="s">
        <v>266</v>
      </c>
      <c r="H393" s="1071"/>
      <c r="I393" s="1064">
        <f t="shared" si="14"/>
        <v>87500</v>
      </c>
      <c r="J393" s="1065"/>
      <c r="L393" s="8"/>
      <c r="M393" s="8"/>
      <c r="N393" s="8">
        <f>'[5]Usulan 2021'!I392</f>
        <v>87500</v>
      </c>
      <c r="O393" s="8">
        <f>'[5]Usulan 2021'!J392</f>
        <v>87500</v>
      </c>
      <c r="P393" s="8">
        <f>'[5]Usulan 2021'!K392</f>
        <v>87500</v>
      </c>
    </row>
    <row r="394" spans="2:16" x14ac:dyDescent="0.2">
      <c r="B394" s="1072">
        <f>B393+1</f>
        <v>330</v>
      </c>
      <c r="C394" s="1067"/>
      <c r="D394" s="1119" t="s">
        <v>915</v>
      </c>
      <c r="E394" s="1069"/>
      <c r="F394" s="1069"/>
      <c r="G394" s="1070" t="s">
        <v>266</v>
      </c>
      <c r="H394" s="1071"/>
      <c r="I394" s="1064">
        <f t="shared" si="14"/>
        <v>99100</v>
      </c>
      <c r="J394" s="1065"/>
      <c r="L394" s="8"/>
      <c r="M394" s="8"/>
      <c r="N394" s="8">
        <f>'[5]Usulan 2021'!I393</f>
        <v>99100</v>
      </c>
      <c r="O394" s="8">
        <f>'[5]Usulan 2021'!J393</f>
        <v>99100</v>
      </c>
      <c r="P394" s="8">
        <f>'[5]Usulan 2021'!K393</f>
        <v>99100</v>
      </c>
    </row>
    <row r="395" spans="2:16" x14ac:dyDescent="0.2">
      <c r="B395" s="1072">
        <f>B394+1</f>
        <v>331</v>
      </c>
      <c r="C395" s="1067"/>
      <c r="D395" s="1119" t="s">
        <v>129</v>
      </c>
      <c r="E395" s="1069"/>
      <c r="F395" s="1069"/>
      <c r="G395" s="1070" t="s">
        <v>266</v>
      </c>
      <c r="H395" s="1071"/>
      <c r="I395" s="1064">
        <f t="shared" si="14"/>
        <v>104900</v>
      </c>
      <c r="J395" s="1065"/>
      <c r="L395" s="8"/>
      <c r="M395" s="8"/>
      <c r="N395" s="8">
        <f>'[5]Usulan 2021'!I394</f>
        <v>104900</v>
      </c>
      <c r="O395" s="8">
        <f>'[5]Usulan 2021'!J394</f>
        <v>104900</v>
      </c>
      <c r="P395" s="8">
        <f>'[5]Usulan 2021'!K394</f>
        <v>104900</v>
      </c>
    </row>
    <row r="396" spans="2:16" x14ac:dyDescent="0.2">
      <c r="B396" s="1072">
        <f>B395+1</f>
        <v>332</v>
      </c>
      <c r="C396" s="1067"/>
      <c r="D396" s="1068" t="s">
        <v>170</v>
      </c>
      <c r="E396" s="1069"/>
      <c r="F396" s="1069"/>
      <c r="G396" s="1070" t="s">
        <v>266</v>
      </c>
      <c r="H396" s="1071"/>
      <c r="I396" s="1064">
        <f t="shared" si="14"/>
        <v>87500</v>
      </c>
      <c r="J396" s="1065"/>
      <c r="L396" s="8"/>
      <c r="M396" s="8"/>
      <c r="N396" s="8">
        <f>'[5]Usulan 2021'!I395</f>
        <v>87500</v>
      </c>
      <c r="O396" s="8">
        <f>'[5]Usulan 2021'!J395</f>
        <v>87500</v>
      </c>
      <c r="P396" s="8">
        <f>'[5]Usulan 2021'!K395</f>
        <v>87500</v>
      </c>
    </row>
    <row r="397" spans="2:16" x14ac:dyDescent="0.2">
      <c r="B397" s="1072">
        <f>B396+1</f>
        <v>333</v>
      </c>
      <c r="C397" s="1067"/>
      <c r="D397" s="1068" t="s">
        <v>914</v>
      </c>
      <c r="E397" s="1069"/>
      <c r="F397" s="1069"/>
      <c r="G397" s="1070" t="s">
        <v>266</v>
      </c>
      <c r="H397" s="1071"/>
      <c r="I397" s="1064">
        <f t="shared" si="14"/>
        <v>116500</v>
      </c>
      <c r="J397" s="1065"/>
      <c r="L397" s="8"/>
      <c r="M397" s="8"/>
      <c r="N397" s="8">
        <f>'[5]Usulan 2021'!I396</f>
        <v>116500</v>
      </c>
      <c r="O397" s="8">
        <f>'[5]Usulan 2021'!J396</f>
        <v>116500</v>
      </c>
      <c r="P397" s="8">
        <f>'[5]Usulan 2021'!K396</f>
        <v>116500</v>
      </c>
    </row>
    <row r="398" spans="2:16" s="399" customFormat="1" x14ac:dyDescent="0.2">
      <c r="B398" s="1072">
        <f t="shared" ref="B398:B403" si="15">B397+1</f>
        <v>334</v>
      </c>
      <c r="C398" s="1120"/>
      <c r="D398" s="1119" t="s">
        <v>921</v>
      </c>
      <c r="E398" s="1110"/>
      <c r="F398" s="1110"/>
      <c r="G398" s="1121" t="s">
        <v>266</v>
      </c>
      <c r="H398" s="1122"/>
      <c r="I398" s="1123">
        <f t="shared" si="14"/>
        <v>89500</v>
      </c>
      <c r="J398" s="1124"/>
      <c r="L398" s="267"/>
      <c r="M398" s="267"/>
      <c r="N398" s="267">
        <f>'[5]Usulan 2021'!I397</f>
        <v>89500</v>
      </c>
      <c r="O398" s="267">
        <f>'[5]Usulan 2021'!J397</f>
        <v>89500</v>
      </c>
      <c r="P398" s="267">
        <f>'[5]Usulan 2021'!K397</f>
        <v>89500</v>
      </c>
    </row>
    <row r="399" spans="2:16" s="399" customFormat="1" x14ac:dyDescent="0.2">
      <c r="B399" s="1072">
        <f t="shared" si="15"/>
        <v>335</v>
      </c>
      <c r="C399" s="1120"/>
      <c r="D399" s="1119" t="s">
        <v>924</v>
      </c>
      <c r="E399" s="1110"/>
      <c r="F399" s="1110"/>
      <c r="G399" s="1121" t="s">
        <v>266</v>
      </c>
      <c r="H399" s="1122"/>
      <c r="I399" s="1123">
        <f t="shared" si="14"/>
        <v>99100</v>
      </c>
      <c r="J399" s="1124"/>
      <c r="L399" s="267"/>
      <c r="M399" s="267"/>
      <c r="N399" s="267">
        <f>'[5]Usulan 2021'!I398</f>
        <v>99100</v>
      </c>
      <c r="O399" s="267">
        <f>'[5]Usulan 2021'!J398</f>
        <v>99100</v>
      </c>
      <c r="P399" s="267">
        <f>'[5]Usulan 2021'!K398</f>
        <v>99100</v>
      </c>
    </row>
    <row r="400" spans="2:16" s="399" customFormat="1" x14ac:dyDescent="0.2">
      <c r="B400" s="1072">
        <f t="shared" si="15"/>
        <v>336</v>
      </c>
      <c r="C400" s="1120"/>
      <c r="D400" s="1119" t="s">
        <v>916</v>
      </c>
      <c r="E400" s="1110"/>
      <c r="F400" s="1110"/>
      <c r="G400" s="1121" t="s">
        <v>266</v>
      </c>
      <c r="H400" s="1122"/>
      <c r="I400" s="1123">
        <f t="shared" si="14"/>
        <v>128000</v>
      </c>
      <c r="J400" s="1124"/>
      <c r="L400" s="267"/>
      <c r="M400" s="267"/>
      <c r="N400" s="267">
        <f>'[5]Usulan 2021'!I399</f>
        <v>128000</v>
      </c>
      <c r="O400" s="267">
        <f>'[5]Usulan 2021'!J399</f>
        <v>128000</v>
      </c>
      <c r="P400" s="267">
        <f>'[5]Usulan 2021'!K399</f>
        <v>128000</v>
      </c>
    </row>
    <row r="401" spans="2:16" s="399" customFormat="1" x14ac:dyDescent="0.2">
      <c r="B401" s="1072">
        <f t="shared" si="15"/>
        <v>337</v>
      </c>
      <c r="C401" s="1120"/>
      <c r="D401" s="1119" t="s">
        <v>128</v>
      </c>
      <c r="E401" s="1110"/>
      <c r="F401" s="1110"/>
      <c r="G401" s="1121" t="s">
        <v>266</v>
      </c>
      <c r="H401" s="1122"/>
      <c r="I401" s="1123">
        <f t="shared" si="14"/>
        <v>133800</v>
      </c>
      <c r="J401" s="1124"/>
      <c r="L401" s="267"/>
      <c r="M401" s="267"/>
      <c r="N401" s="267">
        <f>'[5]Usulan 2021'!I400</f>
        <v>133800</v>
      </c>
      <c r="O401" s="267">
        <f>'[5]Usulan 2021'!J400</f>
        <v>133800</v>
      </c>
      <c r="P401" s="267">
        <f>'[5]Usulan 2021'!K400</f>
        <v>133800</v>
      </c>
    </row>
    <row r="402" spans="2:16" s="399" customFormat="1" x14ac:dyDescent="0.2">
      <c r="B402" s="1072">
        <f t="shared" si="15"/>
        <v>338</v>
      </c>
      <c r="C402" s="1120"/>
      <c r="D402" s="1119" t="s">
        <v>917</v>
      </c>
      <c r="E402" s="1110"/>
      <c r="F402" s="1110"/>
      <c r="G402" s="1121" t="s">
        <v>266</v>
      </c>
      <c r="H402" s="1122"/>
      <c r="I402" s="1123">
        <f t="shared" si="14"/>
        <v>145300</v>
      </c>
      <c r="J402" s="1124"/>
      <c r="L402" s="267"/>
      <c r="M402" s="267"/>
      <c r="N402" s="267">
        <f>'[5]Usulan 2021'!I401</f>
        <v>145300</v>
      </c>
      <c r="O402" s="267">
        <f>'[5]Usulan 2021'!J401</f>
        <v>145300</v>
      </c>
      <c r="P402" s="267">
        <f>'[5]Usulan 2021'!K401</f>
        <v>145300</v>
      </c>
    </row>
    <row r="403" spans="2:16" s="399" customFormat="1" x14ac:dyDescent="0.2">
      <c r="B403" s="1072">
        <f t="shared" si="15"/>
        <v>339</v>
      </c>
      <c r="C403" s="1120"/>
      <c r="D403" s="1119" t="s">
        <v>918</v>
      </c>
      <c r="E403" s="1110"/>
      <c r="F403" s="1110"/>
      <c r="G403" s="1121" t="s">
        <v>266</v>
      </c>
      <c r="H403" s="1122"/>
      <c r="I403" s="1123">
        <f t="shared" si="14"/>
        <v>151100</v>
      </c>
      <c r="J403" s="1124"/>
      <c r="L403" s="267"/>
      <c r="M403" s="267"/>
      <c r="N403" s="267">
        <f>'[5]Usulan 2021'!I402</f>
        <v>151100</v>
      </c>
      <c r="O403" s="267">
        <f>'[5]Usulan 2021'!J402</f>
        <v>151100</v>
      </c>
      <c r="P403" s="267">
        <f>'[5]Usulan 2021'!K402</f>
        <v>151100</v>
      </c>
    </row>
    <row r="404" spans="2:16" x14ac:dyDescent="0.2">
      <c r="B404" s="1072">
        <f>B403+1</f>
        <v>340</v>
      </c>
      <c r="C404" s="1067"/>
      <c r="D404" s="1119" t="s">
        <v>928</v>
      </c>
      <c r="E404" s="1069"/>
      <c r="F404" s="1069"/>
      <c r="G404" s="1070" t="s">
        <v>268</v>
      </c>
      <c r="H404" s="1071"/>
      <c r="I404" s="1064">
        <f t="shared" si="14"/>
        <v>51000</v>
      </c>
      <c r="J404" s="1065"/>
      <c r="L404" s="8"/>
      <c r="M404" s="8"/>
      <c r="N404" s="8">
        <f>'[5]Usulan 2021'!I403</f>
        <v>51000</v>
      </c>
      <c r="O404" s="8">
        <f>'[5]Usulan 2021'!J403</f>
        <v>51000</v>
      </c>
      <c r="P404" s="8">
        <f>'[5]Usulan 2021'!K403</f>
        <v>51000</v>
      </c>
    </row>
    <row r="405" spans="2:16" x14ac:dyDescent="0.2">
      <c r="B405" s="1072">
        <f>B404+1</f>
        <v>341</v>
      </c>
      <c r="C405" s="1067"/>
      <c r="D405" s="1119" t="s">
        <v>929</v>
      </c>
      <c r="E405" s="1069"/>
      <c r="F405" s="1069"/>
      <c r="G405" s="1070" t="s">
        <v>266</v>
      </c>
      <c r="H405" s="1071"/>
      <c r="I405" s="1064">
        <f t="shared" si="14"/>
        <v>128000</v>
      </c>
      <c r="J405" s="1065"/>
      <c r="L405" s="8"/>
      <c r="M405" s="8"/>
      <c r="N405" s="8">
        <f>'[5]Usulan 2021'!I404</f>
        <v>128000</v>
      </c>
      <c r="O405" s="8">
        <f>'[5]Usulan 2021'!J404</f>
        <v>128000</v>
      </c>
      <c r="P405" s="8">
        <f>'[5]Usulan 2021'!K404</f>
        <v>128000</v>
      </c>
    </row>
    <row r="406" spans="2:16" x14ac:dyDescent="0.2">
      <c r="B406" s="1072">
        <f t="shared" ref="B406:B455" si="16">B405+1</f>
        <v>342</v>
      </c>
      <c r="C406" s="1067"/>
      <c r="D406" s="1077" t="s">
        <v>1671</v>
      </c>
      <c r="E406" s="1069"/>
      <c r="F406" s="1076"/>
      <c r="G406" s="1073" t="s">
        <v>298</v>
      </c>
      <c r="H406" s="1071"/>
      <c r="I406" s="1064">
        <f t="shared" si="14"/>
        <v>1200</v>
      </c>
      <c r="J406" s="1065"/>
      <c r="L406" s="8"/>
      <c r="M406" s="8"/>
      <c r="N406" s="342">
        <f>'[5]Usulan 2021'!I405</f>
        <v>1200</v>
      </c>
      <c r="O406" s="342">
        <f>'[5]Usulan 2021'!J405</f>
        <v>1225</v>
      </c>
      <c r="P406" s="342">
        <f>'[5]Usulan 2021'!K405</f>
        <v>1250</v>
      </c>
    </row>
    <row r="407" spans="2:16" x14ac:dyDescent="0.2">
      <c r="B407" s="1072">
        <f t="shared" si="16"/>
        <v>343</v>
      </c>
      <c r="C407" s="1067"/>
      <c r="D407" s="1077" t="s">
        <v>1672</v>
      </c>
      <c r="E407" s="1069"/>
      <c r="F407" s="1076"/>
      <c r="G407" s="1070" t="s">
        <v>298</v>
      </c>
      <c r="H407" s="1071"/>
      <c r="I407" s="1064">
        <f t="shared" si="14"/>
        <v>2800</v>
      </c>
      <c r="J407" s="1065"/>
      <c r="L407" s="8"/>
      <c r="M407" s="8"/>
      <c r="N407" s="8">
        <f>'[5]Usulan 2021'!I406</f>
        <v>2800</v>
      </c>
      <c r="O407" s="8">
        <f>'[5]Usulan 2021'!J406</f>
        <v>2800</v>
      </c>
      <c r="P407" s="8">
        <f>'[5]Usulan 2021'!K406</f>
        <v>2800</v>
      </c>
    </row>
    <row r="408" spans="2:16" x14ac:dyDescent="0.2">
      <c r="B408" s="1072">
        <f t="shared" si="16"/>
        <v>344</v>
      </c>
      <c r="C408" s="1067"/>
      <c r="D408" s="1077" t="s">
        <v>1673</v>
      </c>
      <c r="E408" s="1117"/>
      <c r="F408" s="1117"/>
      <c r="G408" s="1073" t="s">
        <v>298</v>
      </c>
      <c r="H408" s="1071"/>
      <c r="I408" s="1064">
        <f t="shared" si="14"/>
        <v>14300</v>
      </c>
      <c r="J408" s="1065"/>
      <c r="L408" s="8"/>
      <c r="M408" s="8"/>
      <c r="N408" s="8">
        <f>'[5]Usulan 2021'!I407</f>
        <v>14300</v>
      </c>
      <c r="O408" s="8">
        <f>'[5]Usulan 2021'!J407</f>
        <v>14300</v>
      </c>
      <c r="P408" s="8">
        <f>'[5]Usulan 2021'!K407</f>
        <v>14300</v>
      </c>
    </row>
    <row r="409" spans="2:16" x14ac:dyDescent="0.2">
      <c r="B409" s="1072">
        <f t="shared" si="16"/>
        <v>345</v>
      </c>
      <c r="C409" s="1067"/>
      <c r="D409" s="1119" t="s">
        <v>1476</v>
      </c>
      <c r="E409" s="1069"/>
      <c r="F409" s="1069"/>
      <c r="G409" s="1073" t="s">
        <v>268</v>
      </c>
      <c r="H409" s="1071"/>
      <c r="I409" s="1064">
        <f t="shared" si="14"/>
        <v>101000</v>
      </c>
      <c r="J409" s="1065"/>
      <c r="L409" s="8"/>
      <c r="M409" s="8"/>
      <c r="N409" s="8">
        <f>'[5]Usulan 2021'!I408</f>
        <v>101000</v>
      </c>
      <c r="O409" s="8"/>
      <c r="P409" s="8"/>
    </row>
    <row r="410" spans="2:16" x14ac:dyDescent="0.2">
      <c r="B410" s="1072">
        <f t="shared" si="16"/>
        <v>346</v>
      </c>
      <c r="C410" s="1067"/>
      <c r="D410" s="1068" t="s">
        <v>1477</v>
      </c>
      <c r="E410" s="1069"/>
      <c r="F410" s="1069"/>
      <c r="G410" s="1070" t="s">
        <v>268</v>
      </c>
      <c r="H410" s="1071"/>
      <c r="I410" s="1064">
        <f t="shared" si="14"/>
        <v>262000</v>
      </c>
      <c r="J410" s="1065"/>
      <c r="L410" s="8"/>
      <c r="M410" s="8"/>
      <c r="N410" s="8">
        <f>'[5]Usulan 2021'!I409</f>
        <v>262000</v>
      </c>
      <c r="O410" s="8">
        <f>'[5]Usulan 2021'!J409</f>
        <v>262000</v>
      </c>
      <c r="P410" s="8">
        <f>'[5]Usulan 2021'!K409</f>
        <v>262000</v>
      </c>
    </row>
    <row r="411" spans="2:16" x14ac:dyDescent="0.2">
      <c r="B411" s="1072">
        <f t="shared" si="16"/>
        <v>347</v>
      </c>
      <c r="C411" s="1067"/>
      <c r="D411" s="1068" t="s">
        <v>1478</v>
      </c>
      <c r="E411" s="1069"/>
      <c r="F411" s="1069"/>
      <c r="G411" s="1070" t="s">
        <v>268</v>
      </c>
      <c r="H411" s="1071"/>
      <c r="I411" s="1064">
        <f t="shared" si="14"/>
        <v>642000</v>
      </c>
      <c r="J411" s="1065"/>
      <c r="L411" s="8"/>
      <c r="M411" s="8"/>
      <c r="N411" s="8">
        <f>'[5]Usulan 2021'!I410</f>
        <v>642000</v>
      </c>
      <c r="O411" s="8">
        <f>'[5]Usulan 2021'!J410</f>
        <v>642000</v>
      </c>
      <c r="P411" s="8">
        <f>'[5]Usulan 2021'!K410</f>
        <v>642000</v>
      </c>
    </row>
    <row r="412" spans="2:16" x14ac:dyDescent="0.2">
      <c r="B412" s="1072">
        <f t="shared" si="16"/>
        <v>348</v>
      </c>
      <c r="C412" s="1067"/>
      <c r="D412" s="1077" t="s">
        <v>153</v>
      </c>
      <c r="E412" s="1069"/>
      <c r="F412" s="1069"/>
      <c r="G412" s="1070" t="s">
        <v>247</v>
      </c>
      <c r="H412" s="1071"/>
      <c r="I412" s="1064">
        <f t="shared" si="14"/>
        <v>409000</v>
      </c>
      <c r="J412" s="1065"/>
      <c r="L412" s="8"/>
      <c r="M412" s="8"/>
      <c r="N412" s="8">
        <f>'[5]Usulan 2021'!I411</f>
        <v>409000</v>
      </c>
      <c r="O412" s="8">
        <f>'[5]Usulan 2021'!J411</f>
        <v>409000</v>
      </c>
      <c r="P412" s="8">
        <f>'[5]Usulan 2021'!K411</f>
        <v>409000</v>
      </c>
    </row>
    <row r="413" spans="2:16" x14ac:dyDescent="0.2">
      <c r="B413" s="1072">
        <f t="shared" si="16"/>
        <v>349</v>
      </c>
      <c r="C413" s="1067"/>
      <c r="D413" s="1077" t="s">
        <v>506</v>
      </c>
      <c r="E413" s="1069"/>
      <c r="F413" s="1063"/>
      <c r="G413" s="1073" t="s">
        <v>274</v>
      </c>
      <c r="H413" s="1071"/>
      <c r="I413" s="1064">
        <f t="shared" si="14"/>
        <v>57000</v>
      </c>
      <c r="J413" s="1065"/>
      <c r="L413" s="8"/>
      <c r="M413" s="8"/>
      <c r="N413" s="8">
        <f>'[5]Usulan 2021'!I412</f>
        <v>57000</v>
      </c>
      <c r="O413" s="8">
        <f>'[5]Usulan 2021'!J412</f>
        <v>57000</v>
      </c>
      <c r="P413" s="8">
        <f>'[5]Usulan 2021'!K412</f>
        <v>57000</v>
      </c>
    </row>
    <row r="414" spans="2:16" x14ac:dyDescent="0.2">
      <c r="B414" s="1072">
        <f t="shared" si="16"/>
        <v>350</v>
      </c>
      <c r="C414" s="1067"/>
      <c r="D414" s="1077" t="s">
        <v>507</v>
      </c>
      <c r="E414" s="1069"/>
      <c r="F414" s="1063"/>
      <c r="G414" s="1073" t="s">
        <v>274</v>
      </c>
      <c r="H414" s="1071"/>
      <c r="I414" s="1064">
        <f t="shared" si="14"/>
        <v>76000</v>
      </c>
      <c r="J414" s="1065"/>
      <c r="L414" s="8"/>
      <c r="M414" s="8"/>
      <c r="N414" s="8">
        <f>'[5]Usulan 2021'!I413</f>
        <v>76000</v>
      </c>
      <c r="O414" s="8">
        <f>'[5]Usulan 2021'!J413</f>
        <v>76000</v>
      </c>
      <c r="P414" s="8">
        <f>'[5]Usulan 2021'!K413</f>
        <v>76000</v>
      </c>
    </row>
    <row r="415" spans="2:16" x14ac:dyDescent="0.2">
      <c r="B415" s="1072">
        <f t="shared" si="16"/>
        <v>351</v>
      </c>
      <c r="C415" s="1067"/>
      <c r="D415" s="1077" t="s">
        <v>508</v>
      </c>
      <c r="E415" s="1069"/>
      <c r="F415" s="1063"/>
      <c r="G415" s="1073" t="s">
        <v>274</v>
      </c>
      <c r="H415" s="1071"/>
      <c r="I415" s="1064">
        <f t="shared" si="14"/>
        <v>81000</v>
      </c>
      <c r="J415" s="1065"/>
      <c r="L415" s="8"/>
      <c r="M415" s="8"/>
      <c r="N415" s="8">
        <f>'[5]Usulan 2021'!I414</f>
        <v>81000</v>
      </c>
      <c r="O415" s="8">
        <f>'[5]Usulan 2021'!J414</f>
        <v>81000</v>
      </c>
      <c r="P415" s="8">
        <f>'[5]Usulan 2021'!K414</f>
        <v>81000</v>
      </c>
    </row>
    <row r="416" spans="2:16" x14ac:dyDescent="0.2">
      <c r="B416" s="1072">
        <f t="shared" si="16"/>
        <v>352</v>
      </c>
      <c r="C416" s="1067"/>
      <c r="D416" s="1077" t="s">
        <v>509</v>
      </c>
      <c r="E416" s="1069"/>
      <c r="F416" s="1063"/>
      <c r="G416" s="1073" t="s">
        <v>274</v>
      </c>
      <c r="H416" s="1071"/>
      <c r="I416" s="1064">
        <f t="shared" si="14"/>
        <v>104000</v>
      </c>
      <c r="J416" s="1065"/>
      <c r="L416" s="8"/>
      <c r="M416" s="8"/>
      <c r="N416" s="8">
        <f>'[5]Usulan 2021'!I415</f>
        <v>104000</v>
      </c>
      <c r="O416" s="8">
        <f>'[5]Usulan 2021'!J415</f>
        <v>104000</v>
      </c>
      <c r="P416" s="8">
        <f>'[5]Usulan 2021'!K415</f>
        <v>104000</v>
      </c>
    </row>
    <row r="417" spans="2:16" x14ac:dyDescent="0.2">
      <c r="B417" s="1072">
        <f t="shared" si="16"/>
        <v>353</v>
      </c>
      <c r="C417" s="1067"/>
      <c r="D417" s="1077" t="s">
        <v>510</v>
      </c>
      <c r="E417" s="1069"/>
      <c r="F417" s="1063"/>
      <c r="G417" s="1073" t="s">
        <v>274</v>
      </c>
      <c r="H417" s="1071"/>
      <c r="I417" s="1064">
        <f t="shared" si="14"/>
        <v>145000</v>
      </c>
      <c r="J417" s="1065"/>
      <c r="L417" s="8"/>
      <c r="M417" s="8"/>
      <c r="N417" s="8">
        <f>'[5]Usulan 2021'!I416</f>
        <v>145000</v>
      </c>
      <c r="O417" s="8">
        <f>'[5]Usulan 2021'!J416</f>
        <v>145000</v>
      </c>
      <c r="P417" s="8">
        <f>'[5]Usulan 2021'!K416</f>
        <v>145000</v>
      </c>
    </row>
    <row r="418" spans="2:16" x14ac:dyDescent="0.2">
      <c r="B418" s="1072">
        <f t="shared" si="16"/>
        <v>354</v>
      </c>
      <c r="C418" s="1067"/>
      <c r="D418" s="1077" t="s">
        <v>511</v>
      </c>
      <c r="E418" s="1069"/>
      <c r="F418" s="1063"/>
      <c r="G418" s="1073" t="s">
        <v>274</v>
      </c>
      <c r="H418" s="1071"/>
      <c r="I418" s="1064">
        <f t="shared" si="14"/>
        <v>175000</v>
      </c>
      <c r="J418" s="1065"/>
      <c r="L418" s="8"/>
      <c r="M418" s="8"/>
      <c r="N418" s="8">
        <f>'[5]Usulan 2021'!I417</f>
        <v>175000</v>
      </c>
      <c r="O418" s="8">
        <f>'[5]Usulan 2021'!J417</f>
        <v>175000</v>
      </c>
      <c r="P418" s="8">
        <f>'[5]Usulan 2021'!K417</f>
        <v>175000</v>
      </c>
    </row>
    <row r="419" spans="2:16" x14ac:dyDescent="0.2">
      <c r="B419" s="1072">
        <f t="shared" si="16"/>
        <v>355</v>
      </c>
      <c r="C419" s="1067"/>
      <c r="D419" s="1077" t="s">
        <v>512</v>
      </c>
      <c r="E419" s="1069"/>
      <c r="F419" s="1063"/>
      <c r="G419" s="1073" t="s">
        <v>274</v>
      </c>
      <c r="H419" s="1071"/>
      <c r="I419" s="1064">
        <f t="shared" si="14"/>
        <v>314000</v>
      </c>
      <c r="J419" s="1065"/>
      <c r="L419" s="8"/>
      <c r="M419" s="8"/>
      <c r="N419" s="8">
        <f>'[5]Usulan 2021'!I418</f>
        <v>314000</v>
      </c>
      <c r="O419" s="8">
        <f>'[5]Usulan 2021'!J418</f>
        <v>314000</v>
      </c>
      <c r="P419" s="8">
        <f>'[5]Usulan 2021'!K418</f>
        <v>314000</v>
      </c>
    </row>
    <row r="420" spans="2:16" x14ac:dyDescent="0.2">
      <c r="B420" s="1072">
        <f t="shared" si="16"/>
        <v>356</v>
      </c>
      <c r="C420" s="1067"/>
      <c r="D420" s="1077" t="s">
        <v>513</v>
      </c>
      <c r="E420" s="1069"/>
      <c r="F420" s="1063"/>
      <c r="G420" s="1073" t="s">
        <v>274</v>
      </c>
      <c r="H420" s="1071"/>
      <c r="I420" s="1064">
        <f t="shared" si="14"/>
        <v>151000</v>
      </c>
      <c r="J420" s="1065"/>
      <c r="L420" s="8"/>
      <c r="M420" s="8"/>
      <c r="N420" s="8">
        <f>'[5]Usulan 2021'!I419</f>
        <v>151000</v>
      </c>
      <c r="O420" s="8">
        <f>'[5]Usulan 2021'!J419</f>
        <v>151000</v>
      </c>
      <c r="P420" s="8">
        <f>'[5]Usulan 2021'!K419</f>
        <v>151000</v>
      </c>
    </row>
    <row r="421" spans="2:16" x14ac:dyDescent="0.2">
      <c r="B421" s="1072">
        <f t="shared" si="16"/>
        <v>357</v>
      </c>
      <c r="C421" s="1067"/>
      <c r="D421" s="1077" t="s">
        <v>514</v>
      </c>
      <c r="E421" s="1069"/>
      <c r="F421" s="1063"/>
      <c r="G421" s="1073" t="s">
        <v>274</v>
      </c>
      <c r="H421" s="1071"/>
      <c r="I421" s="1064">
        <f t="shared" si="14"/>
        <v>175000</v>
      </c>
      <c r="J421" s="1065"/>
      <c r="L421" s="8"/>
      <c r="M421" s="8"/>
      <c r="N421" s="8">
        <f>'[5]Usulan 2021'!I420</f>
        <v>175000</v>
      </c>
      <c r="O421" s="8">
        <f>'[5]Usulan 2021'!J420</f>
        <v>175000</v>
      </c>
      <c r="P421" s="8">
        <f>'[5]Usulan 2021'!K420</f>
        <v>175000</v>
      </c>
    </row>
    <row r="422" spans="2:16" x14ac:dyDescent="0.2">
      <c r="B422" s="1072">
        <f t="shared" si="16"/>
        <v>358</v>
      </c>
      <c r="C422" s="1067"/>
      <c r="D422" s="1077" t="s">
        <v>515</v>
      </c>
      <c r="E422" s="1069"/>
      <c r="F422" s="1063"/>
      <c r="G422" s="1073" t="s">
        <v>274</v>
      </c>
      <c r="H422" s="1071"/>
      <c r="I422" s="1064">
        <f t="shared" si="14"/>
        <v>262000</v>
      </c>
      <c r="J422" s="1065"/>
      <c r="L422" s="8"/>
      <c r="M422" s="8"/>
      <c r="N422" s="8">
        <f>'[5]Usulan 2021'!I421</f>
        <v>262000</v>
      </c>
      <c r="O422" s="8">
        <f>'[5]Usulan 2021'!J421</f>
        <v>262000</v>
      </c>
      <c r="P422" s="8">
        <f>'[5]Usulan 2021'!K421</f>
        <v>262000</v>
      </c>
    </row>
    <row r="423" spans="2:16" x14ac:dyDescent="0.2">
      <c r="B423" s="1072">
        <f t="shared" si="16"/>
        <v>359</v>
      </c>
      <c r="C423" s="1067"/>
      <c r="D423" s="1077" t="s">
        <v>516</v>
      </c>
      <c r="E423" s="1069"/>
      <c r="F423" s="1063"/>
      <c r="G423" s="1073" t="s">
        <v>274</v>
      </c>
      <c r="H423" s="1071"/>
      <c r="I423" s="1064">
        <f t="shared" si="14"/>
        <v>333000</v>
      </c>
      <c r="J423" s="1065"/>
      <c r="L423" s="8"/>
      <c r="M423" s="8"/>
      <c r="N423" s="8">
        <f>'[5]Usulan 2021'!I422</f>
        <v>333000</v>
      </c>
      <c r="O423" s="8">
        <f>'[5]Usulan 2021'!J422</f>
        <v>333000</v>
      </c>
      <c r="P423" s="8">
        <f>'[5]Usulan 2021'!K422</f>
        <v>333000</v>
      </c>
    </row>
    <row r="424" spans="2:16" x14ac:dyDescent="0.2">
      <c r="B424" s="1072">
        <f t="shared" si="16"/>
        <v>360</v>
      </c>
      <c r="C424" s="1067"/>
      <c r="D424" s="1077" t="s">
        <v>517</v>
      </c>
      <c r="E424" s="1069"/>
      <c r="F424" s="1063"/>
      <c r="G424" s="1073" t="s">
        <v>274</v>
      </c>
      <c r="H424" s="1071"/>
      <c r="I424" s="1064">
        <f t="shared" si="14"/>
        <v>525000</v>
      </c>
      <c r="J424" s="1065"/>
      <c r="L424" s="8"/>
      <c r="M424" s="8"/>
      <c r="N424" s="8">
        <f>'[5]Usulan 2021'!I423</f>
        <v>525000</v>
      </c>
      <c r="O424" s="8">
        <f>'[5]Usulan 2021'!J423</f>
        <v>525000</v>
      </c>
      <c r="P424" s="8">
        <f>'[5]Usulan 2021'!K423</f>
        <v>525000</v>
      </c>
    </row>
    <row r="425" spans="2:16" x14ac:dyDescent="0.2">
      <c r="B425" s="1072">
        <f t="shared" si="16"/>
        <v>361</v>
      </c>
      <c r="C425" s="1067"/>
      <c r="D425" s="1077" t="s">
        <v>518</v>
      </c>
      <c r="E425" s="1069"/>
      <c r="F425" s="1063"/>
      <c r="G425" s="1073" t="s">
        <v>274</v>
      </c>
      <c r="H425" s="1071"/>
      <c r="I425" s="1064">
        <f t="shared" si="14"/>
        <v>642000</v>
      </c>
      <c r="J425" s="1065"/>
      <c r="L425" s="8"/>
      <c r="M425" s="8"/>
      <c r="N425" s="8">
        <f>'[5]Usulan 2021'!I424</f>
        <v>642000</v>
      </c>
      <c r="O425" s="8">
        <f>'[5]Usulan 2021'!J424</f>
        <v>642000</v>
      </c>
      <c r="P425" s="8">
        <f>'[5]Usulan 2021'!K424</f>
        <v>642000</v>
      </c>
    </row>
    <row r="426" spans="2:16" x14ac:dyDescent="0.2">
      <c r="B426" s="1072">
        <f t="shared" si="16"/>
        <v>362</v>
      </c>
      <c r="C426" s="1067"/>
      <c r="D426" s="1077" t="s">
        <v>519</v>
      </c>
      <c r="E426" s="1069"/>
      <c r="F426" s="1063"/>
      <c r="G426" s="1073" t="s">
        <v>274</v>
      </c>
      <c r="H426" s="1071"/>
      <c r="I426" s="1064">
        <f t="shared" si="14"/>
        <v>759000</v>
      </c>
      <c r="J426" s="1065"/>
      <c r="L426" s="8"/>
      <c r="M426" s="8"/>
      <c r="N426" s="8">
        <f>'[5]Usulan 2021'!I425</f>
        <v>759000</v>
      </c>
      <c r="O426" s="8">
        <f>'[5]Usulan 2021'!J425</f>
        <v>759000</v>
      </c>
      <c r="P426" s="8">
        <f>'[5]Usulan 2021'!K425</f>
        <v>759000</v>
      </c>
    </row>
    <row r="427" spans="2:16" x14ac:dyDescent="0.2">
      <c r="B427" s="1072">
        <f t="shared" si="16"/>
        <v>363</v>
      </c>
      <c r="C427" s="1067"/>
      <c r="D427" s="1077" t="s">
        <v>570</v>
      </c>
      <c r="E427" s="1069"/>
      <c r="F427" s="1063"/>
      <c r="G427" s="1073" t="s">
        <v>274</v>
      </c>
      <c r="H427" s="1071"/>
      <c r="I427" s="1064">
        <f t="shared" si="14"/>
        <v>525000</v>
      </c>
      <c r="J427" s="1065"/>
      <c r="L427" s="8"/>
      <c r="M427" s="8"/>
      <c r="N427" s="8">
        <f>'[5]Usulan 2021'!I426</f>
        <v>525000</v>
      </c>
      <c r="O427" s="8">
        <f>'[5]Usulan 2021'!J426</f>
        <v>525000</v>
      </c>
      <c r="P427" s="8">
        <f>'[5]Usulan 2021'!K426</f>
        <v>525000</v>
      </c>
    </row>
    <row r="428" spans="2:16" x14ac:dyDescent="0.2">
      <c r="B428" s="1072">
        <f t="shared" si="16"/>
        <v>364</v>
      </c>
      <c r="C428" s="1067"/>
      <c r="D428" s="1077" t="s">
        <v>520</v>
      </c>
      <c r="E428" s="1069"/>
      <c r="F428" s="1063"/>
      <c r="G428" s="1073" t="s">
        <v>274</v>
      </c>
      <c r="H428" s="1071"/>
      <c r="I428" s="1064">
        <f t="shared" si="14"/>
        <v>642000</v>
      </c>
      <c r="J428" s="1065"/>
      <c r="L428" s="8"/>
      <c r="M428" s="8"/>
      <c r="N428" s="8">
        <f>'[5]Usulan 2021'!I427</f>
        <v>642000</v>
      </c>
      <c r="O428" s="8">
        <f>'[5]Usulan 2021'!J427</f>
        <v>642000</v>
      </c>
      <c r="P428" s="8">
        <f>'[5]Usulan 2021'!K427</f>
        <v>642000</v>
      </c>
    </row>
    <row r="429" spans="2:16" x14ac:dyDescent="0.2">
      <c r="B429" s="1072">
        <f t="shared" si="16"/>
        <v>365</v>
      </c>
      <c r="C429" s="1067"/>
      <c r="D429" s="1077" t="s">
        <v>521</v>
      </c>
      <c r="E429" s="1069"/>
      <c r="F429" s="1063"/>
      <c r="G429" s="1073" t="s">
        <v>274</v>
      </c>
      <c r="H429" s="1071"/>
      <c r="I429" s="1064">
        <f t="shared" si="14"/>
        <v>818000</v>
      </c>
      <c r="J429" s="1065"/>
      <c r="L429" s="8"/>
      <c r="M429" s="8"/>
      <c r="N429" s="8">
        <f>'[5]Usulan 2021'!I428</f>
        <v>818000</v>
      </c>
      <c r="O429" s="8">
        <f>'[5]Usulan 2021'!J428</f>
        <v>818000</v>
      </c>
      <c r="P429" s="8">
        <f>'[5]Usulan 2021'!K428</f>
        <v>818000</v>
      </c>
    </row>
    <row r="430" spans="2:16" x14ac:dyDescent="0.2">
      <c r="B430" s="1072">
        <f t="shared" si="16"/>
        <v>366</v>
      </c>
      <c r="C430" s="1067"/>
      <c r="D430" s="1077" t="s">
        <v>689</v>
      </c>
      <c r="E430" s="1069"/>
      <c r="F430" s="1063"/>
      <c r="G430" s="1073" t="s">
        <v>274</v>
      </c>
      <c r="H430" s="1071"/>
      <c r="I430" s="1064">
        <f t="shared" si="14"/>
        <v>24900</v>
      </c>
      <c r="J430" s="1065"/>
      <c r="L430" s="8"/>
      <c r="M430" s="8"/>
      <c r="N430" s="8">
        <f>'[5]Usulan 2021'!I429</f>
        <v>24900</v>
      </c>
      <c r="O430" s="8">
        <f>'[5]Usulan 2021'!J429</f>
        <v>24900</v>
      </c>
      <c r="P430" s="8">
        <f>'[5]Usulan 2021'!K429</f>
        <v>24900</v>
      </c>
    </row>
    <row r="431" spans="2:16" x14ac:dyDescent="0.2">
      <c r="B431" s="1072">
        <f t="shared" si="16"/>
        <v>367</v>
      </c>
      <c r="C431" s="1067"/>
      <c r="D431" s="1077" t="s">
        <v>690</v>
      </c>
      <c r="E431" s="1069"/>
      <c r="F431" s="1063"/>
      <c r="G431" s="1073" t="s">
        <v>274</v>
      </c>
      <c r="H431" s="1071"/>
      <c r="I431" s="1064">
        <f t="shared" si="14"/>
        <v>30800</v>
      </c>
      <c r="J431" s="1065"/>
      <c r="L431" s="8"/>
      <c r="M431" s="8"/>
      <c r="N431" s="342">
        <f>'[5]Usulan 2021'!I430</f>
        <v>30800</v>
      </c>
      <c r="O431" s="342">
        <f>'[5]Usulan 2021'!J430</f>
        <v>30800</v>
      </c>
      <c r="P431" s="342">
        <f>'[5]Usulan 2021'!K430</f>
        <v>30800</v>
      </c>
    </row>
    <row r="432" spans="2:16" x14ac:dyDescent="0.2">
      <c r="B432" s="1072">
        <f t="shared" si="16"/>
        <v>368</v>
      </c>
      <c r="C432" s="1067"/>
      <c r="D432" s="1077" t="s">
        <v>522</v>
      </c>
      <c r="E432" s="1069"/>
      <c r="F432" s="1063"/>
      <c r="G432" s="1073" t="s">
        <v>274</v>
      </c>
      <c r="H432" s="1071"/>
      <c r="I432" s="1064">
        <f t="shared" si="14"/>
        <v>37400</v>
      </c>
      <c r="J432" s="1065"/>
      <c r="L432" s="8"/>
      <c r="M432" s="8"/>
      <c r="N432" s="8">
        <f>'[5]Usulan 2021'!I431</f>
        <v>37400</v>
      </c>
      <c r="O432" s="8">
        <f>'[5]Usulan 2021'!J431</f>
        <v>37400</v>
      </c>
      <c r="P432" s="8">
        <f>'[5]Usulan 2021'!K431</f>
        <v>37400</v>
      </c>
    </row>
    <row r="433" spans="2:16" x14ac:dyDescent="0.2">
      <c r="B433" s="1072">
        <f t="shared" si="16"/>
        <v>369</v>
      </c>
      <c r="C433" s="1067"/>
      <c r="D433" s="1077" t="s">
        <v>523</v>
      </c>
      <c r="E433" s="1069"/>
      <c r="F433" s="1063"/>
      <c r="G433" s="1073" t="s">
        <v>274</v>
      </c>
      <c r="H433" s="1071"/>
      <c r="I433" s="1064">
        <f t="shared" si="14"/>
        <v>77900</v>
      </c>
      <c r="J433" s="1065"/>
      <c r="L433" s="8"/>
      <c r="M433" s="8"/>
      <c r="N433" s="8">
        <f>'[5]Usulan 2021'!I432</f>
        <v>77900</v>
      </c>
      <c r="O433" s="8">
        <f>'[5]Usulan 2021'!J432</f>
        <v>77900</v>
      </c>
      <c r="P433" s="8">
        <f>'[5]Usulan 2021'!K432</f>
        <v>77900</v>
      </c>
    </row>
    <row r="434" spans="2:16" s="326" customFormat="1" x14ac:dyDescent="0.2">
      <c r="B434" s="1072">
        <f t="shared" si="16"/>
        <v>370</v>
      </c>
      <c r="C434" s="1101"/>
      <c r="D434" s="1125" t="s">
        <v>524</v>
      </c>
      <c r="E434" s="1102"/>
      <c r="F434" s="1103"/>
      <c r="G434" s="1126" t="s">
        <v>274</v>
      </c>
      <c r="H434" s="1105"/>
      <c r="I434" s="1064">
        <f t="shared" si="14"/>
        <v>125000</v>
      </c>
      <c r="J434" s="1127"/>
      <c r="L434" s="327"/>
      <c r="M434" s="327"/>
      <c r="N434" s="1064">
        <v>125000</v>
      </c>
      <c r="O434" s="1064">
        <v>125000</v>
      </c>
      <c r="P434" s="1064">
        <v>125000</v>
      </c>
    </row>
    <row r="435" spans="2:16" x14ac:dyDescent="0.2">
      <c r="B435" s="1072">
        <f t="shared" si="16"/>
        <v>371</v>
      </c>
      <c r="C435" s="1067"/>
      <c r="D435" s="1077" t="s">
        <v>837</v>
      </c>
      <c r="E435" s="1069"/>
      <c r="F435" s="1063"/>
      <c r="G435" s="1073" t="s">
        <v>274</v>
      </c>
      <c r="H435" s="1071"/>
      <c r="I435" s="1064">
        <f t="shared" si="14"/>
        <v>159800</v>
      </c>
      <c r="J435" s="1065"/>
      <c r="L435" s="8"/>
      <c r="M435" s="8"/>
      <c r="N435" s="8">
        <f>'[5]Usulan 2021'!I434</f>
        <v>159800</v>
      </c>
      <c r="O435" s="8">
        <f>'[5]Usulan 2021'!J434</f>
        <v>159800</v>
      </c>
      <c r="P435" s="8">
        <f>'[5]Usulan 2021'!K434</f>
        <v>159800</v>
      </c>
    </row>
    <row r="436" spans="2:16" x14ac:dyDescent="0.2">
      <c r="B436" s="1072">
        <f t="shared" si="16"/>
        <v>372</v>
      </c>
      <c r="C436" s="1067"/>
      <c r="D436" s="1077" t="s">
        <v>525</v>
      </c>
      <c r="E436" s="1069"/>
      <c r="F436" s="1063"/>
      <c r="G436" s="1073" t="s">
        <v>274</v>
      </c>
      <c r="H436" s="1071"/>
      <c r="I436" s="1064">
        <f t="shared" si="14"/>
        <v>182000</v>
      </c>
      <c r="J436" s="1065"/>
      <c r="L436" s="8"/>
      <c r="M436" s="8"/>
      <c r="N436" s="8">
        <f>'[5]Usulan 2021'!I435</f>
        <v>182000</v>
      </c>
      <c r="O436" s="8">
        <f>'[5]Usulan 2021'!J435</f>
        <v>182000</v>
      </c>
      <c r="P436" s="8">
        <f>'[5]Usulan 2021'!K435</f>
        <v>182000</v>
      </c>
    </row>
    <row r="437" spans="2:16" x14ac:dyDescent="0.2">
      <c r="B437" s="1072">
        <f t="shared" si="16"/>
        <v>373</v>
      </c>
      <c r="C437" s="1067"/>
      <c r="D437" s="1077" t="s">
        <v>443</v>
      </c>
      <c r="E437" s="1069"/>
      <c r="F437" s="1063"/>
      <c r="G437" s="1073" t="s">
        <v>274</v>
      </c>
      <c r="H437" s="1071"/>
      <c r="I437" s="1064">
        <f t="shared" si="14"/>
        <v>329000</v>
      </c>
      <c r="J437" s="1065"/>
      <c r="L437" s="8"/>
      <c r="M437" s="8"/>
      <c r="N437" s="342">
        <f>'[5]Usulan 2021'!I436</f>
        <v>329000</v>
      </c>
      <c r="O437" s="342">
        <f>'[5]Usulan 2021'!J436</f>
        <v>329000</v>
      </c>
      <c r="P437" s="342">
        <f>'[5]Usulan 2021'!K436</f>
        <v>329000</v>
      </c>
    </row>
    <row r="438" spans="2:16" x14ac:dyDescent="0.2">
      <c r="B438" s="1072">
        <f t="shared" si="16"/>
        <v>374</v>
      </c>
      <c r="C438" s="1067"/>
      <c r="D438" s="1077" t="s">
        <v>526</v>
      </c>
      <c r="E438" s="1069"/>
      <c r="F438" s="1063"/>
      <c r="G438" s="1073" t="s">
        <v>274</v>
      </c>
      <c r="H438" s="1071"/>
      <c r="I438" s="1064">
        <f t="shared" si="14"/>
        <v>521000</v>
      </c>
      <c r="J438" s="1065"/>
      <c r="L438" s="8"/>
      <c r="M438" s="8"/>
      <c r="N438" s="8">
        <f>'[5]Usulan 2021'!I437</f>
        <v>521000</v>
      </c>
      <c r="O438" s="8">
        <f>'[5]Usulan 2021'!J437</f>
        <v>521000</v>
      </c>
      <c r="P438" s="8">
        <f>'[5]Usulan 2021'!K437</f>
        <v>521000</v>
      </c>
    </row>
    <row r="439" spans="2:16" x14ac:dyDescent="0.2">
      <c r="B439" s="1072">
        <f t="shared" si="16"/>
        <v>375</v>
      </c>
      <c r="C439" s="1067"/>
      <c r="D439" s="1077" t="s">
        <v>527</v>
      </c>
      <c r="E439" s="1069"/>
      <c r="F439" s="1063"/>
      <c r="G439" s="1073" t="s">
        <v>274</v>
      </c>
      <c r="H439" s="1071"/>
      <c r="I439" s="1064">
        <f t="shared" si="14"/>
        <v>808000</v>
      </c>
      <c r="J439" s="1065"/>
      <c r="L439" s="8"/>
      <c r="M439" s="8"/>
      <c r="N439" s="8">
        <f>'[5]Usulan 2021'!I438</f>
        <v>808000</v>
      </c>
      <c r="O439" s="8">
        <f>'[5]Usulan 2021'!J438</f>
        <v>808000</v>
      </c>
      <c r="P439" s="8">
        <f>'[5]Usulan 2021'!K438</f>
        <v>808000</v>
      </c>
    </row>
    <row r="440" spans="2:16" x14ac:dyDescent="0.2">
      <c r="B440" s="1072">
        <f t="shared" si="16"/>
        <v>376</v>
      </c>
      <c r="C440" s="1040"/>
      <c r="D440" s="1079" t="s">
        <v>635</v>
      </c>
      <c r="E440" s="607"/>
      <c r="F440" s="1063"/>
      <c r="G440" s="1073" t="s">
        <v>274</v>
      </c>
      <c r="H440" s="991"/>
      <c r="I440" s="1064">
        <f t="shared" si="14"/>
        <v>149500</v>
      </c>
      <c r="J440" s="1065"/>
      <c r="L440" s="8"/>
      <c r="M440" s="8"/>
      <c r="N440" s="8">
        <f>'[5]Usulan 2021'!I439</f>
        <v>149500</v>
      </c>
      <c r="O440" s="8">
        <f>'[5]Usulan 2021'!J439</f>
        <v>149500</v>
      </c>
      <c r="P440" s="8">
        <f>'[5]Usulan 2021'!K439</f>
        <v>149500</v>
      </c>
    </row>
    <row r="441" spans="2:16" x14ac:dyDescent="0.2">
      <c r="B441" s="1072">
        <f t="shared" si="16"/>
        <v>377</v>
      </c>
      <c r="C441" s="1040"/>
      <c r="D441" s="1079" t="s">
        <v>740</v>
      </c>
      <c r="E441" s="607"/>
      <c r="F441" s="1063"/>
      <c r="G441" s="1073" t="s">
        <v>274</v>
      </c>
      <c r="H441" s="991"/>
      <c r="I441" s="1064">
        <f t="shared" si="14"/>
        <v>166000</v>
      </c>
      <c r="J441" s="1065"/>
      <c r="L441" s="8"/>
      <c r="M441" s="8"/>
      <c r="N441" s="342">
        <f>'[5]Usulan 2021'!I440</f>
        <v>166000</v>
      </c>
      <c r="O441" s="342">
        <f>'[5]Usulan 2021'!J440</f>
        <v>166000</v>
      </c>
      <c r="P441" s="342">
        <f>'[5]Usulan 2021'!K440</f>
        <v>166000</v>
      </c>
    </row>
    <row r="442" spans="2:16" x14ac:dyDescent="0.2">
      <c r="B442" s="1072">
        <f t="shared" si="16"/>
        <v>378</v>
      </c>
      <c r="C442" s="1040"/>
      <c r="D442" s="1079" t="s">
        <v>642</v>
      </c>
      <c r="E442" s="607"/>
      <c r="F442" s="1063"/>
      <c r="G442" s="1073" t="s">
        <v>274</v>
      </c>
      <c r="H442" s="991"/>
      <c r="I442" s="1064">
        <f t="shared" si="14"/>
        <v>136000</v>
      </c>
      <c r="J442" s="1065"/>
      <c r="L442" s="8"/>
      <c r="M442" s="8"/>
      <c r="N442" s="8">
        <f>'[5]Usulan 2021'!I441</f>
        <v>136000</v>
      </c>
      <c r="O442" s="8">
        <f>'[5]Usulan 2021'!J441</f>
        <v>136000</v>
      </c>
      <c r="P442" s="8">
        <f>'[5]Usulan 2021'!K441</f>
        <v>136000</v>
      </c>
    </row>
    <row r="443" spans="2:16" x14ac:dyDescent="0.2">
      <c r="B443" s="1072">
        <f t="shared" si="16"/>
        <v>379</v>
      </c>
      <c r="C443" s="1040"/>
      <c r="D443" s="1079" t="s">
        <v>643</v>
      </c>
      <c r="E443" s="607"/>
      <c r="F443" s="1063"/>
      <c r="G443" s="1073" t="s">
        <v>274</v>
      </c>
      <c r="H443" s="991"/>
      <c r="I443" s="1064">
        <f t="shared" si="14"/>
        <v>411000</v>
      </c>
      <c r="J443" s="1065"/>
      <c r="L443" s="8"/>
      <c r="M443" s="8"/>
      <c r="N443" s="8">
        <f>'[5]Usulan 2021'!I442</f>
        <v>411000</v>
      </c>
      <c r="O443" s="8">
        <f>'[5]Usulan 2021'!J442</f>
        <v>411000</v>
      </c>
      <c r="P443" s="8">
        <f>'[5]Usulan 2021'!K442</f>
        <v>411000</v>
      </c>
    </row>
    <row r="444" spans="2:16" x14ac:dyDescent="0.2">
      <c r="B444" s="1072">
        <f t="shared" si="16"/>
        <v>380</v>
      </c>
      <c r="C444" s="1040"/>
      <c r="D444" s="1077" t="s">
        <v>1459</v>
      </c>
      <c r="E444" s="1069"/>
      <c r="F444" s="1069"/>
      <c r="G444" s="1073" t="s">
        <v>274</v>
      </c>
      <c r="H444" s="1071"/>
      <c r="I444" s="1064">
        <f t="shared" si="14"/>
        <v>231000</v>
      </c>
      <c r="J444" s="1065"/>
      <c r="L444" s="8"/>
      <c r="M444" s="8"/>
      <c r="N444" s="8">
        <f>'[5]Usulan 2021'!I443</f>
        <v>231000</v>
      </c>
      <c r="O444" s="8"/>
      <c r="P444" s="8"/>
    </row>
    <row r="445" spans="2:16" x14ac:dyDescent="0.2">
      <c r="B445" s="1072">
        <f t="shared" si="16"/>
        <v>381</v>
      </c>
      <c r="C445" s="1067"/>
      <c r="D445" s="1077" t="s">
        <v>380</v>
      </c>
      <c r="E445" s="1069"/>
      <c r="F445" s="1063"/>
      <c r="G445" s="1073" t="s">
        <v>298</v>
      </c>
      <c r="H445" s="1071"/>
      <c r="I445" s="1064">
        <f t="shared" si="14"/>
        <v>20000</v>
      </c>
      <c r="J445" s="1065"/>
      <c r="L445" s="8"/>
      <c r="M445" s="8"/>
      <c r="N445" s="8">
        <f>'[5]Usulan 2021'!I444</f>
        <v>20000</v>
      </c>
      <c r="O445" s="8">
        <f>'[5]Usulan 2021'!J444</f>
        <v>20000</v>
      </c>
      <c r="P445" s="8">
        <f>'[5]Usulan 2021'!K444</f>
        <v>20000</v>
      </c>
    </row>
    <row r="446" spans="2:16" x14ac:dyDescent="0.2">
      <c r="B446" s="1072">
        <f t="shared" si="16"/>
        <v>382</v>
      </c>
      <c r="C446" s="1067"/>
      <c r="D446" s="1077" t="s">
        <v>705</v>
      </c>
      <c r="E446" s="1069"/>
      <c r="F446" s="1063"/>
      <c r="G446" s="1073" t="s">
        <v>268</v>
      </c>
      <c r="H446" s="1071"/>
      <c r="I446" s="1064">
        <f t="shared" si="14"/>
        <v>14000</v>
      </c>
      <c r="J446" s="1065"/>
      <c r="L446" s="8"/>
      <c r="M446" s="8"/>
      <c r="N446" s="8">
        <f>'[5]Usulan 2021'!I445</f>
        <v>14000</v>
      </c>
      <c r="O446" s="8">
        <f>'[5]Usulan 2021'!J445</f>
        <v>14000</v>
      </c>
      <c r="P446" s="8">
        <f>'[5]Usulan 2021'!K445</f>
        <v>14000</v>
      </c>
    </row>
    <row r="447" spans="2:16" x14ac:dyDescent="0.2">
      <c r="B447" s="1072">
        <f t="shared" si="16"/>
        <v>383</v>
      </c>
      <c r="C447" s="1067"/>
      <c r="D447" s="1077" t="s">
        <v>528</v>
      </c>
      <c r="E447" s="1069"/>
      <c r="F447" s="1063"/>
      <c r="G447" s="1073" t="s">
        <v>268</v>
      </c>
      <c r="H447" s="1071"/>
      <c r="I447" s="1064">
        <f t="shared" ref="I447:I498" si="17">N447</f>
        <v>23000</v>
      </c>
      <c r="J447" s="1065"/>
      <c r="L447" s="8"/>
      <c r="M447" s="8"/>
      <c r="N447" s="8">
        <f>'[5]Usulan 2021'!I446</f>
        <v>23000</v>
      </c>
      <c r="O447" s="8">
        <f>'[5]Usulan 2021'!J446</f>
        <v>23000</v>
      </c>
      <c r="P447" s="8">
        <f>'[5]Usulan 2021'!K446</f>
        <v>23000</v>
      </c>
    </row>
    <row r="448" spans="2:16" x14ac:dyDescent="0.2">
      <c r="B448" s="1072">
        <f t="shared" si="16"/>
        <v>384</v>
      </c>
      <c r="C448" s="1067"/>
      <c r="D448" s="1077" t="s">
        <v>529</v>
      </c>
      <c r="E448" s="1069"/>
      <c r="F448" s="1063"/>
      <c r="G448" s="1073" t="s">
        <v>268</v>
      </c>
      <c r="H448" s="1071"/>
      <c r="I448" s="1064">
        <f t="shared" si="17"/>
        <v>29000</v>
      </c>
      <c r="J448" s="1065"/>
      <c r="L448" s="8"/>
      <c r="M448" s="8"/>
      <c r="N448" s="8">
        <f>'[5]Usulan 2021'!I447</f>
        <v>29000</v>
      </c>
      <c r="O448" s="8">
        <f>'[5]Usulan 2021'!J447</f>
        <v>29000</v>
      </c>
      <c r="P448" s="8">
        <f>'[5]Usulan 2021'!K447</f>
        <v>29000</v>
      </c>
    </row>
    <row r="449" spans="2:16" x14ac:dyDescent="0.2">
      <c r="B449" s="1072">
        <f t="shared" si="16"/>
        <v>385</v>
      </c>
      <c r="C449" s="1067"/>
      <c r="D449" s="1077" t="s">
        <v>925</v>
      </c>
      <c r="E449" s="1069"/>
      <c r="F449" s="1063"/>
      <c r="G449" s="1073" t="s">
        <v>268</v>
      </c>
      <c r="H449" s="1071"/>
      <c r="I449" s="1064">
        <f t="shared" si="17"/>
        <v>35000</v>
      </c>
      <c r="J449" s="1065"/>
      <c r="L449" s="8"/>
      <c r="M449" s="8"/>
      <c r="N449" s="8">
        <f>'[5]Usulan 2021'!I448</f>
        <v>35000</v>
      </c>
      <c r="O449" s="8">
        <f>'[5]Usulan 2021'!J448</f>
        <v>35000</v>
      </c>
      <c r="P449" s="8">
        <f>'[5]Usulan 2021'!K448</f>
        <v>35000</v>
      </c>
    </row>
    <row r="450" spans="2:16" x14ac:dyDescent="0.2">
      <c r="B450" s="1072">
        <f t="shared" si="16"/>
        <v>386</v>
      </c>
      <c r="C450" s="1067"/>
      <c r="D450" s="1077" t="s">
        <v>1441</v>
      </c>
      <c r="E450" s="1069"/>
      <c r="F450" s="1069"/>
      <c r="G450" s="1073" t="s">
        <v>268</v>
      </c>
      <c r="H450" s="1071"/>
      <c r="I450" s="1064">
        <f t="shared" si="17"/>
        <v>3000</v>
      </c>
      <c r="J450" s="1065"/>
      <c r="L450" s="8"/>
      <c r="M450" s="8"/>
      <c r="N450" s="8">
        <f>'[5]Usulan 2021'!I449</f>
        <v>3000</v>
      </c>
      <c r="O450" s="8"/>
      <c r="P450" s="8"/>
    </row>
    <row r="451" spans="2:16" x14ac:dyDescent="0.2">
      <c r="B451" s="1072">
        <f t="shared" si="16"/>
        <v>387</v>
      </c>
      <c r="C451" s="1067"/>
      <c r="D451" s="1077" t="s">
        <v>205</v>
      </c>
      <c r="E451" s="1069"/>
      <c r="F451" s="1063"/>
      <c r="G451" s="1073" t="s">
        <v>268</v>
      </c>
      <c r="H451" s="1071"/>
      <c r="I451" s="1064">
        <f t="shared" si="17"/>
        <v>3600</v>
      </c>
      <c r="J451" s="1065"/>
      <c r="L451" s="8"/>
      <c r="M451" s="8"/>
      <c r="N451" s="8">
        <f>'[5]Usulan 2021'!I450</f>
        <v>3600</v>
      </c>
      <c r="O451" s="8">
        <f>'[5]Usulan 2021'!J450</f>
        <v>3600</v>
      </c>
      <c r="P451" s="8">
        <f>'[5]Usulan 2021'!K450</f>
        <v>3600</v>
      </c>
    </row>
    <row r="452" spans="2:16" x14ac:dyDescent="0.2">
      <c r="B452" s="1072">
        <f t="shared" si="16"/>
        <v>388</v>
      </c>
      <c r="C452" s="1067"/>
      <c r="D452" s="1077" t="s">
        <v>204</v>
      </c>
      <c r="E452" s="1128"/>
      <c r="F452" s="1129"/>
      <c r="G452" s="1130" t="s">
        <v>268</v>
      </c>
      <c r="H452" s="1131"/>
      <c r="I452" s="1064">
        <f t="shared" si="17"/>
        <v>5200</v>
      </c>
      <c r="J452" s="1065"/>
      <c r="L452" s="8"/>
      <c r="M452" s="8"/>
      <c r="N452" s="8">
        <f>'[5]Usulan 2021'!I451</f>
        <v>5200</v>
      </c>
      <c r="O452" s="8">
        <f>'[5]Usulan 2021'!J451</f>
        <v>5200</v>
      </c>
      <c r="P452" s="8">
        <f>'[5]Usulan 2021'!K451</f>
        <v>5200</v>
      </c>
    </row>
    <row r="453" spans="2:16" x14ac:dyDescent="0.2">
      <c r="B453" s="1072">
        <f t="shared" si="16"/>
        <v>389</v>
      </c>
      <c r="C453" s="1067"/>
      <c r="D453" s="1074" t="s">
        <v>810</v>
      </c>
      <c r="E453" s="1075"/>
      <c r="F453" s="1063"/>
      <c r="G453" s="1073" t="s">
        <v>247</v>
      </c>
      <c r="H453" s="1071"/>
      <c r="I453" s="1064">
        <f t="shared" si="17"/>
        <v>5700</v>
      </c>
      <c r="J453" s="1065"/>
      <c r="L453" s="8"/>
      <c r="M453" s="8"/>
      <c r="N453" s="8">
        <f>'[5]Usulan 2021'!I452</f>
        <v>5700</v>
      </c>
      <c r="O453" s="8">
        <f>'[5]Usulan 2021'!J452</f>
        <v>5700</v>
      </c>
      <c r="P453" s="8">
        <f>'[5]Usulan 2021'!K452</f>
        <v>5700</v>
      </c>
    </row>
    <row r="454" spans="2:16" x14ac:dyDescent="0.2">
      <c r="B454" s="1072">
        <f t="shared" si="16"/>
        <v>390</v>
      </c>
      <c r="C454" s="1067"/>
      <c r="D454" s="1074" t="s">
        <v>154</v>
      </c>
      <c r="E454" s="1132"/>
      <c r="F454" s="1129"/>
      <c r="G454" s="1130" t="s">
        <v>247</v>
      </c>
      <c r="H454" s="1131"/>
      <c r="I454" s="1064">
        <f t="shared" si="17"/>
        <v>6500</v>
      </c>
      <c r="J454" s="1065"/>
      <c r="L454" s="8"/>
      <c r="M454" s="8"/>
      <c r="N454" s="8">
        <f>'[5]Usulan 2021'!I453</f>
        <v>6500</v>
      </c>
      <c r="O454" s="8">
        <f>'[5]Usulan 2021'!J453</f>
        <v>6500</v>
      </c>
      <c r="P454" s="8">
        <f>'[5]Usulan 2021'!K453</f>
        <v>6500</v>
      </c>
    </row>
    <row r="455" spans="2:16" x14ac:dyDescent="0.2">
      <c r="B455" s="1072">
        <f t="shared" si="16"/>
        <v>391</v>
      </c>
      <c r="C455" s="1067"/>
      <c r="D455" s="1074" t="s">
        <v>155</v>
      </c>
      <c r="E455" s="1075"/>
      <c r="F455" s="1063"/>
      <c r="G455" s="1073" t="s">
        <v>247</v>
      </c>
      <c r="H455" s="1071"/>
      <c r="I455" s="1064">
        <f t="shared" si="17"/>
        <v>7500</v>
      </c>
      <c r="J455" s="1065"/>
      <c r="L455" s="8"/>
      <c r="M455" s="8"/>
      <c r="N455" s="8">
        <f>'[5]Usulan 2021'!I454</f>
        <v>7500</v>
      </c>
      <c r="O455" s="8">
        <f>'[5]Usulan 2021'!J454</f>
        <v>7500</v>
      </c>
      <c r="P455" s="8">
        <f>'[5]Usulan 2021'!K454</f>
        <v>7500</v>
      </c>
    </row>
    <row r="456" spans="2:16" x14ac:dyDescent="0.2">
      <c r="B456" s="1072">
        <f>B455+1</f>
        <v>392</v>
      </c>
      <c r="C456" s="1067"/>
      <c r="D456" s="1077" t="s">
        <v>530</v>
      </c>
      <c r="E456" s="1069"/>
      <c r="F456" s="1063"/>
      <c r="G456" s="1073" t="s">
        <v>268</v>
      </c>
      <c r="H456" s="1071"/>
      <c r="I456" s="1064">
        <f t="shared" si="17"/>
        <v>6900</v>
      </c>
      <c r="J456" s="1065"/>
      <c r="L456" s="8"/>
      <c r="M456" s="8"/>
      <c r="N456" s="8">
        <f>'[5]Usulan 2021'!I455</f>
        <v>6900</v>
      </c>
      <c r="O456" s="8">
        <f>'[5]Usulan 2021'!J455</f>
        <v>6900</v>
      </c>
      <c r="P456" s="8">
        <f>'[5]Usulan 2021'!K455</f>
        <v>6900</v>
      </c>
    </row>
    <row r="457" spans="2:16" x14ac:dyDescent="0.2">
      <c r="B457" s="1072">
        <f>B456+1</f>
        <v>393</v>
      </c>
      <c r="C457" s="1067"/>
      <c r="D457" s="1077" t="s">
        <v>531</v>
      </c>
      <c r="E457" s="1069"/>
      <c r="F457" s="1063"/>
      <c r="G457" s="1073" t="s">
        <v>268</v>
      </c>
      <c r="H457" s="1071"/>
      <c r="I457" s="1064">
        <f t="shared" si="17"/>
        <v>4400</v>
      </c>
      <c r="J457" s="1065"/>
      <c r="L457" s="8"/>
      <c r="M457" s="8"/>
      <c r="N457" s="8">
        <f>'[5]Usulan 2021'!I456</f>
        <v>4400</v>
      </c>
      <c r="O457" s="8">
        <f>'[5]Usulan 2021'!J456</f>
        <v>4400</v>
      </c>
      <c r="P457" s="8">
        <f>'[5]Usulan 2021'!K456</f>
        <v>4400</v>
      </c>
    </row>
    <row r="458" spans="2:16" x14ac:dyDescent="0.2">
      <c r="B458" s="1072">
        <f>B457+1</f>
        <v>394</v>
      </c>
      <c r="C458" s="1067"/>
      <c r="D458" s="1077" t="s">
        <v>465</v>
      </c>
      <c r="E458" s="1069"/>
      <c r="F458" s="1063"/>
      <c r="G458" s="1073" t="s">
        <v>392</v>
      </c>
      <c r="H458" s="1071"/>
      <c r="I458" s="1064">
        <f t="shared" si="17"/>
        <v>81000</v>
      </c>
      <c r="J458" s="1065"/>
      <c r="L458" s="8"/>
      <c r="M458" s="8"/>
      <c r="N458" s="8">
        <f>'[5]Usulan 2021'!I457</f>
        <v>81000</v>
      </c>
      <c r="O458" s="8">
        <f>'[5]Usulan 2021'!J457</f>
        <v>81000</v>
      </c>
      <c r="P458" s="8">
        <f>'[5]Usulan 2021'!K457</f>
        <v>81000</v>
      </c>
    </row>
    <row r="459" spans="2:16" x14ac:dyDescent="0.2">
      <c r="B459" s="1072">
        <f t="shared" ref="B459" si="18">B458+1</f>
        <v>395</v>
      </c>
      <c r="C459" s="1067"/>
      <c r="D459" s="1077" t="s">
        <v>466</v>
      </c>
      <c r="E459" s="1069"/>
      <c r="F459" s="1063"/>
      <c r="G459" s="1073" t="s">
        <v>392</v>
      </c>
      <c r="H459" s="1071"/>
      <c r="I459" s="1064">
        <f t="shared" si="17"/>
        <v>93000</v>
      </c>
      <c r="J459" s="1065"/>
      <c r="L459" s="8"/>
      <c r="M459" s="8"/>
      <c r="N459" s="8">
        <f>'[5]Usulan 2021'!I458</f>
        <v>93000</v>
      </c>
      <c r="O459" s="8">
        <f>'[5]Usulan 2021'!J458</f>
        <v>93000</v>
      </c>
      <c r="P459" s="8">
        <f>'[5]Usulan 2021'!K458</f>
        <v>93000</v>
      </c>
    </row>
    <row r="460" spans="2:16" x14ac:dyDescent="0.2">
      <c r="B460" s="1072">
        <f>B459+1</f>
        <v>396</v>
      </c>
      <c r="C460" s="1067"/>
      <c r="D460" s="1077" t="s">
        <v>101</v>
      </c>
      <c r="E460" s="1069"/>
      <c r="F460" s="1063"/>
      <c r="G460" s="1073" t="s">
        <v>268</v>
      </c>
      <c r="H460" s="1071"/>
      <c r="I460" s="1064">
        <f t="shared" si="17"/>
        <v>642000</v>
      </c>
      <c r="J460" s="1065"/>
      <c r="L460" s="8"/>
      <c r="M460" s="8"/>
      <c r="N460" s="8">
        <f>'[5]Usulan 2021'!I459</f>
        <v>642000</v>
      </c>
      <c r="O460" s="8">
        <f>'[5]Usulan 2021'!J459</f>
        <v>642000</v>
      </c>
      <c r="P460" s="8">
        <f>'[5]Usulan 2021'!K459</f>
        <v>642000</v>
      </c>
    </row>
    <row r="461" spans="2:16" x14ac:dyDescent="0.2">
      <c r="B461" s="1072">
        <f>B460+1</f>
        <v>397</v>
      </c>
      <c r="C461" s="1067"/>
      <c r="D461" s="1077" t="s">
        <v>686</v>
      </c>
      <c r="E461" s="1069"/>
      <c r="F461" s="1063"/>
      <c r="G461" s="1073" t="s">
        <v>275</v>
      </c>
      <c r="H461" s="1071"/>
      <c r="I461" s="1064">
        <f t="shared" si="17"/>
        <v>20500000</v>
      </c>
      <c r="J461" s="1065"/>
      <c r="L461" s="8"/>
      <c r="M461" s="8"/>
      <c r="N461" s="342">
        <f>'[5]Usulan 2021'!I460</f>
        <v>20500000</v>
      </c>
      <c r="O461" s="342">
        <f>'[5]Usulan 2021'!J460</f>
        <v>20500000</v>
      </c>
      <c r="P461" s="342">
        <f>'[5]Usulan 2021'!K460</f>
        <v>20500000</v>
      </c>
    </row>
    <row r="462" spans="2:16" x14ac:dyDescent="0.2">
      <c r="B462" s="1072">
        <f>B461+1</f>
        <v>398</v>
      </c>
      <c r="C462" s="1067"/>
      <c r="D462" s="1077" t="s">
        <v>134</v>
      </c>
      <c r="E462" s="1069"/>
      <c r="F462" s="1063"/>
      <c r="G462" s="1073" t="s">
        <v>275</v>
      </c>
      <c r="H462" s="1071"/>
      <c r="I462" s="1064">
        <f t="shared" si="17"/>
        <v>31569000</v>
      </c>
      <c r="J462" s="1065"/>
      <c r="L462" s="8"/>
      <c r="M462" s="8"/>
      <c r="N462" s="8">
        <f>'[5]Usulan 2021'!I461</f>
        <v>31569000</v>
      </c>
      <c r="O462" s="8">
        <f>'[5]Usulan 2021'!J461</f>
        <v>31569000</v>
      </c>
      <c r="P462" s="8">
        <f>'[5]Usulan 2021'!K461</f>
        <v>31569000</v>
      </c>
    </row>
    <row r="463" spans="2:16" x14ac:dyDescent="0.2">
      <c r="B463" s="1072">
        <f t="shared" ref="B463:B483" si="19">B462+1</f>
        <v>399</v>
      </c>
      <c r="C463" s="1067"/>
      <c r="D463" s="1091" t="s">
        <v>1469</v>
      </c>
      <c r="E463" s="1069"/>
      <c r="F463" s="1063"/>
      <c r="G463" s="1073" t="s">
        <v>1470</v>
      </c>
      <c r="H463" s="1071"/>
      <c r="I463" s="1064">
        <f t="shared" si="17"/>
        <v>27700</v>
      </c>
      <c r="J463" s="1065"/>
      <c r="L463" s="8"/>
      <c r="M463" s="8"/>
      <c r="N463" s="8">
        <f>'[5]Usulan 2021'!I462</f>
        <v>27700</v>
      </c>
      <c r="O463" s="8"/>
      <c r="P463" s="8"/>
    </row>
    <row r="464" spans="2:16" x14ac:dyDescent="0.2">
      <c r="B464" s="1072">
        <f t="shared" si="19"/>
        <v>400</v>
      </c>
      <c r="C464" s="1067"/>
      <c r="D464" s="1091" t="s">
        <v>568</v>
      </c>
      <c r="E464" s="1069"/>
      <c r="F464" s="1063"/>
      <c r="G464" s="1073" t="s">
        <v>1470</v>
      </c>
      <c r="H464" s="1071"/>
      <c r="I464" s="1064">
        <f t="shared" si="17"/>
        <v>27700</v>
      </c>
      <c r="J464" s="1065"/>
      <c r="L464" s="8"/>
      <c r="M464" s="8"/>
      <c r="N464" s="8">
        <f>'[5]Usulan 2021'!I463</f>
        <v>27700</v>
      </c>
      <c r="O464" s="8"/>
      <c r="P464" s="8"/>
    </row>
    <row r="465" spans="2:16" x14ac:dyDescent="0.2">
      <c r="B465" s="1072">
        <f t="shared" si="19"/>
        <v>401</v>
      </c>
      <c r="C465" s="1067"/>
      <c r="D465" s="1077" t="s">
        <v>792</v>
      </c>
      <c r="E465" s="1069"/>
      <c r="F465" s="1069"/>
      <c r="G465" s="1070" t="s">
        <v>247</v>
      </c>
      <c r="H465" s="1071"/>
      <c r="I465" s="1064">
        <f t="shared" si="17"/>
        <v>8200</v>
      </c>
      <c r="J465" s="1065"/>
      <c r="L465" s="8"/>
      <c r="M465" s="8"/>
      <c r="N465" s="8">
        <f>'[5]Usulan 2021'!I464</f>
        <v>8200</v>
      </c>
      <c r="O465" s="8">
        <f>'[5]Usulan 2021'!J464</f>
        <v>8200</v>
      </c>
      <c r="P465" s="8">
        <f>'[5]Usulan 2021'!K464</f>
        <v>8200</v>
      </c>
    </row>
    <row r="466" spans="2:16" x14ac:dyDescent="0.2">
      <c r="B466" s="1072">
        <f t="shared" si="19"/>
        <v>402</v>
      </c>
      <c r="C466" s="1067"/>
      <c r="D466" s="1077" t="s">
        <v>574</v>
      </c>
      <c r="E466" s="1069"/>
      <c r="F466" s="1069"/>
      <c r="G466" s="1070" t="s">
        <v>247</v>
      </c>
      <c r="H466" s="1071"/>
      <c r="I466" s="1064">
        <f t="shared" si="17"/>
        <v>128000</v>
      </c>
      <c r="J466" s="1065"/>
      <c r="L466" s="8"/>
      <c r="M466" s="8"/>
      <c r="N466" s="8">
        <f>'[5]Usulan 2021'!I465</f>
        <v>128000</v>
      </c>
      <c r="O466" s="8">
        <f>'[5]Usulan 2021'!J465</f>
        <v>128000</v>
      </c>
      <c r="P466" s="8">
        <f>'[5]Usulan 2021'!K465</f>
        <v>128000</v>
      </c>
    </row>
    <row r="467" spans="2:16" x14ac:dyDescent="0.2">
      <c r="B467" s="1072">
        <f t="shared" si="19"/>
        <v>403</v>
      </c>
      <c r="C467" s="1067"/>
      <c r="D467" s="1074" t="s">
        <v>246</v>
      </c>
      <c r="E467" s="1075"/>
      <c r="F467" s="1075"/>
      <c r="G467" s="1070" t="s">
        <v>268</v>
      </c>
      <c r="H467" s="1071"/>
      <c r="I467" s="1064">
        <f t="shared" si="17"/>
        <v>1700</v>
      </c>
      <c r="J467" s="1065"/>
      <c r="L467" s="8"/>
      <c r="M467" s="8"/>
      <c r="N467" s="8">
        <f>'[5]Usulan 2021'!I466</f>
        <v>1700</v>
      </c>
      <c r="O467" s="8">
        <f>'[5]Usulan 2021'!J466</f>
        <v>1700</v>
      </c>
      <c r="P467" s="8">
        <f>'[5]Usulan 2021'!K466</f>
        <v>1700</v>
      </c>
    </row>
    <row r="468" spans="2:16" x14ac:dyDescent="0.2">
      <c r="B468" s="1072">
        <f t="shared" si="19"/>
        <v>404</v>
      </c>
      <c r="C468" s="1067"/>
      <c r="D468" s="1074" t="s">
        <v>781</v>
      </c>
      <c r="E468" s="1075"/>
      <c r="F468" s="1075"/>
      <c r="G468" s="1070" t="s">
        <v>392</v>
      </c>
      <c r="H468" s="1071"/>
      <c r="I468" s="1064">
        <f t="shared" si="17"/>
        <v>4700</v>
      </c>
      <c r="J468" s="1065"/>
      <c r="L468" s="8"/>
      <c r="M468" s="8"/>
      <c r="N468" s="8">
        <f>'[5]Usulan 2021'!I467</f>
        <v>4700</v>
      </c>
      <c r="O468" s="8">
        <f>'[5]Usulan 2021'!J467</f>
        <v>4700</v>
      </c>
      <c r="P468" s="8">
        <f>'[5]Usulan 2021'!K467</f>
        <v>4700</v>
      </c>
    </row>
    <row r="469" spans="2:16" x14ac:dyDescent="0.2">
      <c r="B469" s="1072">
        <f t="shared" si="19"/>
        <v>405</v>
      </c>
      <c r="C469" s="1067"/>
      <c r="D469" s="1077" t="s">
        <v>180</v>
      </c>
      <c r="E469" s="1069"/>
      <c r="F469" s="1069"/>
      <c r="G469" s="1070" t="s">
        <v>268</v>
      </c>
      <c r="H469" s="1071"/>
      <c r="I469" s="1064">
        <f t="shared" si="17"/>
        <v>41400</v>
      </c>
      <c r="J469" s="1065"/>
      <c r="L469" s="8"/>
      <c r="M469" s="8"/>
      <c r="N469" s="8">
        <f>'[5]Usulan 2021'!I468</f>
        <v>41400</v>
      </c>
      <c r="O469" s="8">
        <f>'[5]Usulan 2021'!J468</f>
        <v>41400</v>
      </c>
      <c r="P469" s="8">
        <f>'[5]Usulan 2021'!K468</f>
        <v>41400</v>
      </c>
    </row>
    <row r="470" spans="2:16" x14ac:dyDescent="0.2">
      <c r="B470" s="1072">
        <f t="shared" si="19"/>
        <v>406</v>
      </c>
      <c r="C470" s="1067"/>
      <c r="D470" s="1077" t="s">
        <v>687</v>
      </c>
      <c r="E470" s="1069"/>
      <c r="F470" s="1069"/>
      <c r="G470" s="1070" t="s">
        <v>268</v>
      </c>
      <c r="H470" s="1071"/>
      <c r="I470" s="1064">
        <f t="shared" si="17"/>
        <v>15800</v>
      </c>
      <c r="J470" s="1065"/>
      <c r="L470" s="8"/>
      <c r="M470" s="8"/>
      <c r="N470" s="8">
        <f>'[5]Usulan 2021'!I469</f>
        <v>15800</v>
      </c>
      <c r="O470" s="8">
        <f>'[5]Usulan 2021'!J469</f>
        <v>15800</v>
      </c>
      <c r="P470" s="8">
        <f>'[5]Usulan 2021'!K469</f>
        <v>15800</v>
      </c>
    </row>
    <row r="471" spans="2:16" x14ac:dyDescent="0.2">
      <c r="B471" s="1072">
        <f t="shared" si="19"/>
        <v>407</v>
      </c>
      <c r="C471" s="1067"/>
      <c r="D471" s="1077" t="s">
        <v>734</v>
      </c>
      <c r="E471" s="1069"/>
      <c r="F471" s="1069"/>
      <c r="G471" s="1070" t="s">
        <v>268</v>
      </c>
      <c r="H471" s="1071"/>
      <c r="I471" s="1064">
        <f t="shared" si="17"/>
        <v>44300</v>
      </c>
      <c r="J471" s="1065"/>
      <c r="L471" s="8"/>
      <c r="M471" s="8"/>
      <c r="N471" s="8">
        <f>'[5]Usulan 2021'!I470</f>
        <v>44300</v>
      </c>
      <c r="O471" s="8">
        <f>'[5]Usulan 2021'!J470</f>
        <v>44300</v>
      </c>
      <c r="P471" s="8">
        <f>'[5]Usulan 2021'!K470</f>
        <v>44300</v>
      </c>
    </row>
    <row r="472" spans="2:16" x14ac:dyDescent="0.2">
      <c r="B472" s="1072">
        <f t="shared" si="19"/>
        <v>408</v>
      </c>
      <c r="C472" s="1067"/>
      <c r="D472" s="1077" t="s">
        <v>813</v>
      </c>
      <c r="E472" s="1069"/>
      <c r="F472" s="1069"/>
      <c r="G472" s="1070" t="s">
        <v>268</v>
      </c>
      <c r="H472" s="1071"/>
      <c r="I472" s="1064">
        <f t="shared" si="17"/>
        <v>10000</v>
      </c>
      <c r="J472" s="1065"/>
      <c r="L472" s="8"/>
      <c r="M472" s="8"/>
      <c r="N472" s="8">
        <f>'[5]Usulan 2021'!I471</f>
        <v>10000</v>
      </c>
      <c r="O472" s="8">
        <f>'[5]Usulan 2021'!J471</f>
        <v>10000</v>
      </c>
      <c r="P472" s="8">
        <f>'[5]Usulan 2021'!K471</f>
        <v>10000</v>
      </c>
    </row>
    <row r="473" spans="2:16" x14ac:dyDescent="0.2">
      <c r="B473" s="1072">
        <f t="shared" si="19"/>
        <v>409</v>
      </c>
      <c r="C473" s="1067"/>
      <c r="D473" s="1077" t="s">
        <v>812</v>
      </c>
      <c r="E473" s="1069"/>
      <c r="F473" s="1069"/>
      <c r="G473" s="1070" t="s">
        <v>268</v>
      </c>
      <c r="H473" s="1071"/>
      <c r="I473" s="1064">
        <f t="shared" si="17"/>
        <v>42000</v>
      </c>
      <c r="J473" s="1065"/>
      <c r="L473" s="8"/>
      <c r="M473" s="8"/>
      <c r="N473" s="8">
        <f>'[5]Usulan 2021'!I472</f>
        <v>42000</v>
      </c>
      <c r="O473" s="8">
        <f>'[5]Usulan 2021'!J472</f>
        <v>42000</v>
      </c>
      <c r="P473" s="8">
        <f>'[5]Usulan 2021'!K472</f>
        <v>42000</v>
      </c>
    </row>
    <row r="474" spans="2:16" ht="16.5" x14ac:dyDescent="0.2">
      <c r="B474" s="1072">
        <f t="shared" si="19"/>
        <v>410</v>
      </c>
      <c r="C474" s="1067"/>
      <c r="D474" s="1074" t="s">
        <v>391</v>
      </c>
      <c r="E474" s="1075"/>
      <c r="F474" s="1094"/>
      <c r="G474" s="1073" t="s">
        <v>1494</v>
      </c>
      <c r="H474" s="1071"/>
      <c r="I474" s="1064">
        <f t="shared" si="17"/>
        <v>496000</v>
      </c>
      <c r="J474" s="1065"/>
      <c r="L474" s="8"/>
      <c r="M474" s="8"/>
      <c r="N474" s="8">
        <f>'[5]Usulan 2021'!I473</f>
        <v>496000</v>
      </c>
      <c r="O474" s="8">
        <f>'[5]Usulan 2021'!J473</f>
        <v>496000</v>
      </c>
      <c r="P474" s="8">
        <f>'[5]Usulan 2021'!K473</f>
        <v>496000</v>
      </c>
    </row>
    <row r="475" spans="2:16" x14ac:dyDescent="0.2">
      <c r="B475" s="1072">
        <f t="shared" si="19"/>
        <v>411</v>
      </c>
      <c r="C475" s="1067"/>
      <c r="D475" s="1074" t="s">
        <v>255</v>
      </c>
      <c r="E475" s="1075"/>
      <c r="F475" s="1075"/>
      <c r="G475" s="1073" t="s">
        <v>256</v>
      </c>
      <c r="H475" s="1071"/>
      <c r="I475" s="1064">
        <f t="shared" si="17"/>
        <v>72000</v>
      </c>
      <c r="J475" s="1065"/>
      <c r="L475" s="8"/>
      <c r="M475" s="8"/>
      <c r="N475" s="8">
        <f>'[5]Usulan 2021'!I474</f>
        <v>72000</v>
      </c>
      <c r="O475" s="8">
        <f>'[5]Usulan 2021'!J474</f>
        <v>72000</v>
      </c>
      <c r="P475" s="8">
        <f>'[5]Usulan 2021'!K474</f>
        <v>72000</v>
      </c>
    </row>
    <row r="476" spans="2:16" x14ac:dyDescent="0.2">
      <c r="B476" s="1072">
        <f t="shared" si="19"/>
        <v>412</v>
      </c>
      <c r="C476" s="1067"/>
      <c r="D476" s="1074" t="s">
        <v>386</v>
      </c>
      <c r="E476" s="1075"/>
      <c r="F476" s="1107"/>
      <c r="G476" s="1133" t="s">
        <v>268</v>
      </c>
      <c r="H476" s="1071"/>
      <c r="I476" s="1064">
        <f t="shared" si="17"/>
        <v>5700</v>
      </c>
      <c r="J476" s="1065"/>
      <c r="L476" s="8"/>
      <c r="M476" s="8"/>
      <c r="N476" s="8">
        <f>'[5]Usulan 2021'!I475</f>
        <v>5700</v>
      </c>
      <c r="O476" s="8">
        <f>'[5]Usulan 2021'!J475</f>
        <v>5700</v>
      </c>
      <c r="P476" s="8">
        <f>'[5]Usulan 2021'!K475</f>
        <v>5700</v>
      </c>
    </row>
    <row r="477" spans="2:16" x14ac:dyDescent="0.2">
      <c r="B477" s="1072">
        <f t="shared" si="19"/>
        <v>413</v>
      </c>
      <c r="C477" s="1067"/>
      <c r="D477" s="1074" t="s">
        <v>1381</v>
      </c>
      <c r="E477" s="1075"/>
      <c r="F477" s="1069"/>
      <c r="G477" s="1134" t="s">
        <v>268</v>
      </c>
      <c r="H477" s="1071"/>
      <c r="I477" s="1064">
        <f t="shared" si="17"/>
        <v>71000</v>
      </c>
      <c r="J477" s="1065"/>
      <c r="L477" s="8"/>
      <c r="M477" s="8"/>
      <c r="N477" s="8">
        <f>'[5]Usulan 2021'!I476</f>
        <v>71000</v>
      </c>
      <c r="O477" s="8"/>
      <c r="P477" s="8"/>
    </row>
    <row r="478" spans="2:16" x14ac:dyDescent="0.2">
      <c r="B478" s="1072">
        <f t="shared" si="19"/>
        <v>414</v>
      </c>
      <c r="C478" s="1067"/>
      <c r="D478" s="1074" t="s">
        <v>1382</v>
      </c>
      <c r="E478" s="1075"/>
      <c r="F478" s="1069"/>
      <c r="G478" s="1134" t="s">
        <v>268</v>
      </c>
      <c r="H478" s="1071"/>
      <c r="I478" s="1064">
        <f t="shared" si="17"/>
        <v>78000</v>
      </c>
      <c r="J478" s="1065"/>
      <c r="L478" s="8"/>
      <c r="M478" s="8"/>
      <c r="N478" s="8">
        <f>'[5]Usulan 2021'!I477</f>
        <v>78000</v>
      </c>
      <c r="O478" s="8"/>
      <c r="P478" s="8"/>
    </row>
    <row r="479" spans="2:16" x14ac:dyDescent="0.2">
      <c r="B479" s="1072">
        <f t="shared" si="19"/>
        <v>415</v>
      </c>
      <c r="C479" s="1067"/>
      <c r="D479" s="1074" t="s">
        <v>1383</v>
      </c>
      <c r="E479" s="1075"/>
      <c r="F479" s="1069"/>
      <c r="G479" s="1134" t="s">
        <v>247</v>
      </c>
      <c r="H479" s="1071"/>
      <c r="I479" s="1064">
        <f t="shared" si="17"/>
        <v>24000</v>
      </c>
      <c r="J479" s="1065"/>
      <c r="L479" s="8"/>
      <c r="M479" s="8"/>
      <c r="N479" s="8">
        <f>'[5]Usulan 2021'!I478</f>
        <v>24000</v>
      </c>
      <c r="O479" s="8"/>
      <c r="P479" s="8"/>
    </row>
    <row r="480" spans="2:16" x14ac:dyDescent="0.2">
      <c r="B480" s="1072">
        <f t="shared" si="19"/>
        <v>416</v>
      </c>
      <c r="C480" s="1067"/>
      <c r="D480" s="1074" t="s">
        <v>1384</v>
      </c>
      <c r="E480" s="1075"/>
      <c r="F480" s="1069"/>
      <c r="G480" s="1134" t="s">
        <v>247</v>
      </c>
      <c r="H480" s="1071"/>
      <c r="I480" s="1064">
        <f t="shared" si="17"/>
        <v>28000</v>
      </c>
      <c r="J480" s="1065"/>
      <c r="L480" s="8"/>
      <c r="M480" s="8"/>
      <c r="N480" s="8">
        <f>'[5]Usulan 2021'!I479</f>
        <v>28000</v>
      </c>
      <c r="O480" s="8"/>
      <c r="P480" s="8"/>
    </row>
    <row r="481" spans="2:16" x14ac:dyDescent="0.2">
      <c r="B481" s="1072">
        <f t="shared" si="19"/>
        <v>417</v>
      </c>
      <c r="C481" s="1067"/>
      <c r="D481" s="1074" t="s">
        <v>1438</v>
      </c>
      <c r="E481" s="1075"/>
      <c r="F481" s="1069"/>
      <c r="G481" s="1134" t="s">
        <v>247</v>
      </c>
      <c r="H481" s="1071"/>
      <c r="I481" s="1064">
        <f t="shared" si="17"/>
        <v>150000</v>
      </c>
      <c r="J481" s="1065"/>
      <c r="L481" s="8"/>
      <c r="M481" s="8"/>
      <c r="N481" s="8">
        <f>'[5]Usulan 2021'!I480</f>
        <v>150000</v>
      </c>
      <c r="O481" s="8"/>
      <c r="P481" s="8"/>
    </row>
    <row r="482" spans="2:16" x14ac:dyDescent="0.2">
      <c r="B482" s="1072">
        <f t="shared" si="19"/>
        <v>418</v>
      </c>
      <c r="C482" s="1067"/>
      <c r="D482" s="1074" t="s">
        <v>1439</v>
      </c>
      <c r="E482" s="1075"/>
      <c r="F482" s="1069"/>
      <c r="G482" s="1135" t="s">
        <v>247</v>
      </c>
      <c r="H482" s="1071"/>
      <c r="I482" s="1064">
        <f t="shared" si="17"/>
        <v>2800</v>
      </c>
      <c r="J482" s="1065"/>
      <c r="L482" s="8"/>
      <c r="M482" s="8"/>
      <c r="N482" s="8">
        <f>'[5]Usulan 2021'!I481</f>
        <v>2800</v>
      </c>
      <c r="O482" s="8"/>
      <c r="P482" s="8"/>
    </row>
    <row r="483" spans="2:16" x14ac:dyDescent="0.2">
      <c r="B483" s="1072">
        <f t="shared" si="19"/>
        <v>419</v>
      </c>
      <c r="C483" s="1040"/>
      <c r="D483" s="1136" t="s">
        <v>641</v>
      </c>
      <c r="E483" s="607"/>
      <c r="F483" s="990"/>
      <c r="G483" s="1042" t="s">
        <v>275</v>
      </c>
      <c r="H483" s="991"/>
      <c r="I483" s="1064">
        <f t="shared" si="17"/>
        <v>1285000</v>
      </c>
      <c r="J483" s="1065"/>
      <c r="L483" s="8"/>
      <c r="M483" s="8"/>
      <c r="N483" s="8">
        <f>'[5]Usulan 2021'!I482</f>
        <v>1285000</v>
      </c>
      <c r="O483" s="8">
        <f>'[5]Usulan 2021'!J482</f>
        <v>1285000</v>
      </c>
      <c r="P483" s="8">
        <f>'[5]Usulan 2021'!K482</f>
        <v>1285000</v>
      </c>
    </row>
    <row r="484" spans="2:16" x14ac:dyDescent="0.2">
      <c r="B484" s="1072">
        <f>B483+1</f>
        <v>420</v>
      </c>
      <c r="C484" s="1067"/>
      <c r="D484" s="1077" t="s">
        <v>702</v>
      </c>
      <c r="E484" s="1069"/>
      <c r="F484" s="1063"/>
      <c r="G484" s="1070" t="s">
        <v>277</v>
      </c>
      <c r="H484" s="1071"/>
      <c r="I484" s="1064">
        <f t="shared" si="17"/>
        <v>87000</v>
      </c>
      <c r="J484" s="1065"/>
      <c r="L484" s="8"/>
      <c r="M484" s="8"/>
      <c r="N484" s="8">
        <f>'[5]Usulan 2021'!I483</f>
        <v>87000</v>
      </c>
      <c r="O484" s="8">
        <f>'[5]Usulan 2021'!J483</f>
        <v>87000</v>
      </c>
      <c r="P484" s="8">
        <f>'[5]Usulan 2021'!K483</f>
        <v>87000</v>
      </c>
    </row>
    <row r="485" spans="2:16" x14ac:dyDescent="0.2">
      <c r="B485" s="1072">
        <f t="shared" ref="B485:B541" si="20">B484+1</f>
        <v>421</v>
      </c>
      <c r="C485" s="1067"/>
      <c r="D485" s="1077" t="s">
        <v>532</v>
      </c>
      <c r="E485" s="1069"/>
      <c r="F485" s="1063"/>
      <c r="G485" s="1070" t="s">
        <v>277</v>
      </c>
      <c r="H485" s="1071"/>
      <c r="I485" s="1064">
        <f t="shared" si="17"/>
        <v>93000</v>
      </c>
      <c r="J485" s="1065"/>
      <c r="L485" s="8"/>
      <c r="M485" s="8"/>
      <c r="N485" s="8">
        <f>'[5]Usulan 2021'!I484</f>
        <v>93000</v>
      </c>
      <c r="O485" s="8">
        <f>'[5]Usulan 2021'!J484</f>
        <v>93000</v>
      </c>
      <c r="P485" s="8">
        <f>'[5]Usulan 2021'!K484</f>
        <v>93000</v>
      </c>
    </row>
    <row r="486" spans="2:16" x14ac:dyDescent="0.2">
      <c r="B486" s="1072">
        <f t="shared" si="20"/>
        <v>422</v>
      </c>
      <c r="C486" s="1067"/>
      <c r="D486" s="1077" t="s">
        <v>533</v>
      </c>
      <c r="E486" s="1069"/>
      <c r="F486" s="1063"/>
      <c r="G486" s="1070" t="s">
        <v>247</v>
      </c>
      <c r="H486" s="1071"/>
      <c r="I486" s="1064">
        <f t="shared" si="17"/>
        <v>76000</v>
      </c>
      <c r="J486" s="1065"/>
      <c r="L486" s="8"/>
      <c r="M486" s="8"/>
      <c r="N486" s="8">
        <f>'[5]Usulan 2021'!I485</f>
        <v>76000</v>
      </c>
      <c r="O486" s="8">
        <f>'[5]Usulan 2021'!J485</f>
        <v>76000</v>
      </c>
      <c r="P486" s="8">
        <f>'[5]Usulan 2021'!K485</f>
        <v>76000</v>
      </c>
    </row>
    <row r="487" spans="2:16" x14ac:dyDescent="0.2">
      <c r="B487" s="1072">
        <f t="shared" si="20"/>
        <v>423</v>
      </c>
      <c r="C487" s="1067"/>
      <c r="D487" s="1077" t="s">
        <v>534</v>
      </c>
      <c r="E487" s="1069"/>
      <c r="F487" s="1063"/>
      <c r="G487" s="1073" t="s">
        <v>247</v>
      </c>
      <c r="H487" s="1071"/>
      <c r="I487" s="1064">
        <f t="shared" si="17"/>
        <v>34000</v>
      </c>
      <c r="J487" s="1065"/>
      <c r="L487" s="8"/>
      <c r="M487" s="8"/>
      <c r="N487" s="8">
        <f>'[5]Usulan 2021'!I486</f>
        <v>34000</v>
      </c>
      <c r="O487" s="8">
        <f>'[5]Usulan 2021'!J486</f>
        <v>34000</v>
      </c>
      <c r="P487" s="8">
        <f>'[5]Usulan 2021'!K486</f>
        <v>34000</v>
      </c>
    </row>
    <row r="488" spans="2:16" x14ac:dyDescent="0.2">
      <c r="B488" s="1072">
        <f t="shared" si="20"/>
        <v>424</v>
      </c>
      <c r="C488" s="1067"/>
      <c r="D488" s="1077" t="s">
        <v>444</v>
      </c>
      <c r="E488" s="1069"/>
      <c r="F488" s="1063"/>
      <c r="G488" s="1073" t="s">
        <v>247</v>
      </c>
      <c r="H488" s="1071"/>
      <c r="I488" s="1064">
        <f t="shared" si="17"/>
        <v>57000</v>
      </c>
      <c r="J488" s="1065"/>
      <c r="L488" s="8"/>
      <c r="M488" s="8"/>
      <c r="N488" s="8">
        <f>'[5]Usulan 2021'!I487</f>
        <v>57000</v>
      </c>
      <c r="O488" s="8">
        <f>'[5]Usulan 2021'!J487</f>
        <v>57000</v>
      </c>
      <c r="P488" s="8">
        <f>'[5]Usulan 2021'!K487</f>
        <v>57000</v>
      </c>
    </row>
    <row r="489" spans="2:16" x14ac:dyDescent="0.2">
      <c r="B489" s="1072">
        <f t="shared" si="20"/>
        <v>425</v>
      </c>
      <c r="C489" s="1137"/>
      <c r="D489" s="1138" t="s">
        <v>718</v>
      </c>
      <c r="E489" s="1139"/>
      <c r="F489" s="1063"/>
      <c r="G489" s="1140" t="s">
        <v>463</v>
      </c>
      <c r="H489" s="1141"/>
      <c r="I489" s="1064">
        <f t="shared" si="17"/>
        <v>512000</v>
      </c>
      <c r="J489" s="1065"/>
      <c r="L489" s="8"/>
      <c r="M489" s="8"/>
      <c r="N489" s="8">
        <f>'[5]Usulan 2021'!I488</f>
        <v>512000</v>
      </c>
      <c r="O489" s="8"/>
      <c r="P489" s="8"/>
    </row>
    <row r="490" spans="2:16" x14ac:dyDescent="0.2">
      <c r="B490" s="1072">
        <f t="shared" si="20"/>
        <v>426</v>
      </c>
      <c r="C490" s="1137"/>
      <c r="D490" s="1138" t="s">
        <v>718</v>
      </c>
      <c r="E490" s="1139"/>
      <c r="F490" s="1076"/>
      <c r="G490" s="1140" t="s">
        <v>268</v>
      </c>
      <c r="H490" s="1141"/>
      <c r="I490" s="1064">
        <f t="shared" si="17"/>
        <v>291000</v>
      </c>
      <c r="J490" s="1065"/>
      <c r="L490" s="8"/>
      <c r="M490" s="8"/>
      <c r="N490" s="8">
        <f>'[5]Usulan 2021'!I489</f>
        <v>291000</v>
      </c>
      <c r="O490" s="8">
        <f>'[5]Usulan 2021'!J489</f>
        <v>291000</v>
      </c>
      <c r="P490" s="8">
        <f>'[5]Usulan 2021'!K489</f>
        <v>291000</v>
      </c>
    </row>
    <row r="491" spans="2:16" x14ac:dyDescent="0.2">
      <c r="B491" s="1072">
        <f t="shared" si="20"/>
        <v>427</v>
      </c>
      <c r="C491" s="1137"/>
      <c r="D491" s="1077" t="s">
        <v>1440</v>
      </c>
      <c r="E491" s="1069"/>
      <c r="F491" s="1069"/>
      <c r="G491" s="1140" t="s">
        <v>268</v>
      </c>
      <c r="H491" s="1071"/>
      <c r="I491" s="1064">
        <f t="shared" si="17"/>
        <v>6500</v>
      </c>
      <c r="J491" s="1065"/>
      <c r="L491" s="8"/>
      <c r="M491" s="8"/>
      <c r="N491" s="8">
        <f>'[5]Usulan 2021'!I490</f>
        <v>6500</v>
      </c>
      <c r="O491" s="8"/>
      <c r="P491" s="8"/>
    </row>
    <row r="492" spans="2:16" x14ac:dyDescent="0.2">
      <c r="B492" s="1072">
        <f t="shared" si="20"/>
        <v>428</v>
      </c>
      <c r="C492" s="1067"/>
      <c r="D492" s="1089" t="s">
        <v>1385</v>
      </c>
      <c r="E492" s="1075"/>
      <c r="F492" s="1076"/>
      <c r="G492" s="1073" t="s">
        <v>268</v>
      </c>
      <c r="H492" s="1071"/>
      <c r="I492" s="1064">
        <f t="shared" si="17"/>
        <v>81000</v>
      </c>
      <c r="J492" s="1065"/>
      <c r="L492" s="8"/>
      <c r="M492" s="8"/>
      <c r="N492" s="8">
        <f>'[5]Usulan 2021'!I491</f>
        <v>81000</v>
      </c>
      <c r="O492" s="8">
        <f>'[5]Usulan 2021'!J491</f>
        <v>81000</v>
      </c>
      <c r="P492" s="8">
        <f>'[5]Usulan 2021'!K491</f>
        <v>81000</v>
      </c>
    </row>
    <row r="493" spans="2:16" x14ac:dyDescent="0.2">
      <c r="B493" s="1072">
        <f t="shared" si="20"/>
        <v>429</v>
      </c>
      <c r="C493" s="1067"/>
      <c r="D493" s="1089" t="s">
        <v>103</v>
      </c>
      <c r="E493" s="1075"/>
      <c r="F493" s="1076"/>
      <c r="G493" s="1073" t="s">
        <v>268</v>
      </c>
      <c r="H493" s="1071"/>
      <c r="I493" s="1064">
        <f t="shared" si="17"/>
        <v>133000</v>
      </c>
      <c r="J493" s="1065"/>
      <c r="L493" s="8"/>
      <c r="M493" s="8"/>
      <c r="N493" s="8">
        <f>'[5]Usulan 2021'!I492</f>
        <v>133000</v>
      </c>
      <c r="O493" s="8">
        <f>'[5]Usulan 2021'!J492</f>
        <v>133000</v>
      </c>
      <c r="P493" s="8">
        <f>'[5]Usulan 2021'!K492</f>
        <v>133000</v>
      </c>
    </row>
    <row r="494" spans="2:16" x14ac:dyDescent="0.2">
      <c r="B494" s="1072">
        <f t="shared" si="20"/>
        <v>430</v>
      </c>
      <c r="C494" s="1067"/>
      <c r="D494" s="1089" t="s">
        <v>181</v>
      </c>
      <c r="E494" s="1075"/>
      <c r="F494" s="1076"/>
      <c r="G494" s="1073" t="s">
        <v>268</v>
      </c>
      <c r="H494" s="1071"/>
      <c r="I494" s="1064">
        <f t="shared" si="17"/>
        <v>233000</v>
      </c>
      <c r="J494" s="1065"/>
      <c r="L494" s="8"/>
      <c r="M494" s="8"/>
      <c r="N494" s="8">
        <f>'[5]Usulan 2021'!I493</f>
        <v>233000</v>
      </c>
      <c r="O494" s="8">
        <f>'[5]Usulan 2021'!J493</f>
        <v>233000</v>
      </c>
      <c r="P494" s="8">
        <f>'[5]Usulan 2021'!K493</f>
        <v>233000</v>
      </c>
    </row>
    <row r="495" spans="2:16" x14ac:dyDescent="0.2">
      <c r="B495" s="1072">
        <f t="shared" si="20"/>
        <v>431</v>
      </c>
      <c r="C495" s="1067"/>
      <c r="D495" s="1089" t="s">
        <v>182</v>
      </c>
      <c r="E495" s="1075"/>
      <c r="F495" s="1076"/>
      <c r="G495" s="1073" t="s">
        <v>268</v>
      </c>
      <c r="H495" s="1071"/>
      <c r="I495" s="1064">
        <f t="shared" si="17"/>
        <v>238000</v>
      </c>
      <c r="J495" s="1065"/>
      <c r="L495" s="8"/>
      <c r="M495" s="8"/>
      <c r="N495" s="8">
        <f>'[5]Usulan 2021'!I494</f>
        <v>238000</v>
      </c>
      <c r="O495" s="8">
        <f>'[5]Usulan 2021'!J494</f>
        <v>238000</v>
      </c>
      <c r="P495" s="8">
        <f>'[5]Usulan 2021'!K494</f>
        <v>238000</v>
      </c>
    </row>
    <row r="496" spans="2:16" x14ac:dyDescent="0.2">
      <c r="B496" s="1072">
        <f t="shared" si="20"/>
        <v>432</v>
      </c>
      <c r="C496" s="1067"/>
      <c r="D496" s="1077" t="s">
        <v>387</v>
      </c>
      <c r="E496" s="1117"/>
      <c r="F496" s="1117"/>
      <c r="G496" s="1073" t="s">
        <v>268</v>
      </c>
      <c r="H496" s="1081"/>
      <c r="I496" s="1064">
        <f t="shared" si="17"/>
        <v>4296000</v>
      </c>
      <c r="J496" s="1065"/>
      <c r="L496" s="8"/>
      <c r="M496" s="8"/>
      <c r="N496" s="8">
        <f>'[5]Usulan 2021'!I495</f>
        <v>4296000</v>
      </c>
      <c r="O496" s="8">
        <f>'[5]Usulan 2021'!J495</f>
        <v>4296000</v>
      </c>
      <c r="P496" s="8">
        <f>'[5]Usulan 2021'!K495</f>
        <v>4296000</v>
      </c>
    </row>
    <row r="497" spans="2:16" x14ac:dyDescent="0.2">
      <c r="B497" s="1072">
        <f t="shared" si="20"/>
        <v>433</v>
      </c>
      <c r="C497" s="1067"/>
      <c r="D497" s="1142" t="s">
        <v>1386</v>
      </c>
      <c r="E497" s="1069"/>
      <c r="F497" s="1069"/>
      <c r="G497" s="1143" t="s">
        <v>268</v>
      </c>
      <c r="H497" s="1071"/>
      <c r="I497" s="1064">
        <f t="shared" si="17"/>
        <v>7300</v>
      </c>
      <c r="J497" s="1065"/>
      <c r="L497" s="8"/>
      <c r="M497" s="8"/>
      <c r="N497" s="8">
        <f>'[5]Usulan 2021'!I496</f>
        <v>7300</v>
      </c>
      <c r="O497" s="8"/>
      <c r="P497" s="8"/>
    </row>
    <row r="498" spans="2:16" x14ac:dyDescent="0.2">
      <c r="B498" s="1072">
        <f t="shared" si="20"/>
        <v>434</v>
      </c>
      <c r="C498" s="1067"/>
      <c r="D498" s="1142" t="s">
        <v>1674</v>
      </c>
      <c r="E498" s="1069"/>
      <c r="F498" s="1069"/>
      <c r="G498" s="1143" t="s">
        <v>679</v>
      </c>
      <c r="H498" s="1071"/>
      <c r="I498" s="1064">
        <f t="shared" si="17"/>
        <v>246000</v>
      </c>
      <c r="J498" s="1065"/>
      <c r="L498" s="8"/>
      <c r="M498" s="8"/>
      <c r="N498" s="8">
        <f>'[5]Usulan 2021'!I497</f>
        <v>246000</v>
      </c>
      <c r="O498" s="8"/>
      <c r="P498" s="8"/>
    </row>
    <row r="499" spans="2:16" x14ac:dyDescent="0.2">
      <c r="B499" s="1072">
        <f t="shared" si="20"/>
        <v>435</v>
      </c>
      <c r="C499" s="1067"/>
      <c r="D499" s="1077" t="s">
        <v>388</v>
      </c>
      <c r="E499" s="1069"/>
      <c r="F499" s="1144"/>
      <c r="G499" s="1073" t="s">
        <v>268</v>
      </c>
      <c r="H499" s="1081"/>
      <c r="I499" s="1064">
        <f>N499</f>
        <v>16200</v>
      </c>
      <c r="J499" s="1065"/>
      <c r="L499" s="8"/>
      <c r="M499" s="8"/>
      <c r="N499" s="8">
        <f>'[5]Usulan 2021'!I498</f>
        <v>16200</v>
      </c>
      <c r="O499" s="8">
        <f>'[5]Usulan 2021'!J498</f>
        <v>16200</v>
      </c>
      <c r="P499" s="8">
        <f>'[5]Usulan 2021'!K498</f>
        <v>16200</v>
      </c>
    </row>
    <row r="500" spans="2:16" x14ac:dyDescent="0.2">
      <c r="B500" s="1072">
        <f t="shared" si="20"/>
        <v>436</v>
      </c>
      <c r="C500" s="1067"/>
      <c r="D500" s="1077" t="s">
        <v>719</v>
      </c>
      <c r="E500" s="1139"/>
      <c r="F500" s="1063"/>
      <c r="G500" s="1140" t="s">
        <v>268</v>
      </c>
      <c r="H500" s="1141"/>
      <c r="I500" s="1064">
        <f>N500</f>
        <v>87500</v>
      </c>
      <c r="J500" s="1065"/>
      <c r="L500" s="8"/>
      <c r="M500" s="8"/>
      <c r="N500" s="8">
        <f>'[5]Usulan 2021'!I499</f>
        <v>87500</v>
      </c>
      <c r="O500" s="8">
        <f>'[5]Usulan 2021'!J499</f>
        <v>87500</v>
      </c>
      <c r="P500" s="8">
        <f>'[5]Usulan 2021'!K499</f>
        <v>87500</v>
      </c>
    </row>
    <row r="501" spans="2:16" x14ac:dyDescent="0.2">
      <c r="B501" s="1072">
        <f t="shared" si="20"/>
        <v>437</v>
      </c>
      <c r="C501" s="1067"/>
      <c r="D501" s="1145" t="s">
        <v>1485</v>
      </c>
      <c r="E501" s="1069"/>
      <c r="F501" s="1069"/>
      <c r="G501" s="1073" t="s">
        <v>268</v>
      </c>
      <c r="H501" s="1071"/>
      <c r="I501" s="1064">
        <f t="shared" ref="I501:I509" si="21">N501</f>
        <v>76800</v>
      </c>
      <c r="J501" s="1065"/>
      <c r="L501" s="8"/>
      <c r="M501" s="8"/>
      <c r="N501" s="8">
        <f>'[5]Usulan 2021'!I500</f>
        <v>76800</v>
      </c>
      <c r="O501" s="8"/>
      <c r="P501" s="8"/>
    </row>
    <row r="502" spans="2:16" x14ac:dyDescent="0.2">
      <c r="B502" s="1072">
        <f t="shared" si="20"/>
        <v>438</v>
      </c>
      <c r="C502" s="1067"/>
      <c r="D502" s="1146" t="s">
        <v>1486</v>
      </c>
      <c r="E502" s="1069"/>
      <c r="F502" s="1069"/>
      <c r="G502" s="1073" t="s">
        <v>268</v>
      </c>
      <c r="H502" s="1071"/>
      <c r="I502" s="1064">
        <f t="shared" si="21"/>
        <v>128000</v>
      </c>
      <c r="J502" s="1065"/>
      <c r="L502" s="8"/>
      <c r="M502" s="8"/>
      <c r="N502" s="8">
        <f>'[5]Usulan 2021'!I501</f>
        <v>128000</v>
      </c>
      <c r="O502" s="8"/>
      <c r="P502" s="8"/>
    </row>
    <row r="503" spans="2:16" x14ac:dyDescent="0.2">
      <c r="B503" s="1072">
        <f t="shared" si="20"/>
        <v>439</v>
      </c>
      <c r="C503" s="1040"/>
      <c r="D503" s="1079" t="s">
        <v>1161</v>
      </c>
      <c r="E503" s="607"/>
      <c r="F503" s="1063"/>
      <c r="G503" s="1042" t="s">
        <v>268</v>
      </c>
      <c r="H503" s="991"/>
      <c r="I503" s="1064">
        <f t="shared" si="21"/>
        <v>233000</v>
      </c>
      <c r="J503" s="1065"/>
      <c r="L503" s="8"/>
      <c r="M503" s="8"/>
      <c r="N503" s="8">
        <f>'[5]Usulan 2021'!I502</f>
        <v>233000</v>
      </c>
      <c r="O503" s="8">
        <f>'[5]Usulan 2021'!J502</f>
        <v>233000</v>
      </c>
      <c r="P503" s="8">
        <f>'[5]Usulan 2021'!K502</f>
        <v>233000</v>
      </c>
    </row>
    <row r="504" spans="2:16" x14ac:dyDescent="0.2">
      <c r="B504" s="1072">
        <f t="shared" si="20"/>
        <v>440</v>
      </c>
      <c r="C504" s="1040"/>
      <c r="D504" s="1079" t="s">
        <v>1162</v>
      </c>
      <c r="E504" s="607"/>
      <c r="F504" s="1063"/>
      <c r="G504" s="1042" t="s">
        <v>268</v>
      </c>
      <c r="H504" s="991"/>
      <c r="I504" s="1064">
        <f t="shared" si="21"/>
        <v>409200</v>
      </c>
      <c r="J504" s="1065"/>
      <c r="L504" s="8"/>
      <c r="M504" s="8"/>
      <c r="N504" s="8">
        <f>'[5]Usulan 2021'!I503</f>
        <v>409200</v>
      </c>
      <c r="O504" s="8">
        <f>'[5]Usulan 2021'!J503</f>
        <v>409200</v>
      </c>
      <c r="P504" s="8">
        <f>'[5]Usulan 2021'!K503</f>
        <v>409200</v>
      </c>
    </row>
    <row r="505" spans="2:16" x14ac:dyDescent="0.2">
      <c r="B505" s="1072">
        <f t="shared" si="20"/>
        <v>441</v>
      </c>
      <c r="C505" s="1067"/>
      <c r="D505" s="1077" t="s">
        <v>235</v>
      </c>
      <c r="E505" s="1069"/>
      <c r="F505" s="1076"/>
      <c r="G505" s="1070" t="s">
        <v>298</v>
      </c>
      <c r="H505" s="1071"/>
      <c r="I505" s="1064">
        <f t="shared" si="21"/>
        <v>52600</v>
      </c>
      <c r="J505" s="1065"/>
      <c r="L505" s="8"/>
      <c r="M505" s="8"/>
      <c r="N505" s="8">
        <f>'[5]Usulan 2021'!I504</f>
        <v>52600</v>
      </c>
      <c r="O505" s="8">
        <f>'[5]Usulan 2021'!J504</f>
        <v>52600</v>
      </c>
      <c r="P505" s="8">
        <f>'[5]Usulan 2021'!K504</f>
        <v>52600</v>
      </c>
    </row>
    <row r="506" spans="2:16" x14ac:dyDescent="0.2">
      <c r="B506" s="1072">
        <f t="shared" si="20"/>
        <v>442</v>
      </c>
      <c r="C506" s="1040"/>
      <c r="D506" s="1079" t="s">
        <v>194</v>
      </c>
      <c r="E506" s="607"/>
      <c r="F506" s="1147"/>
      <c r="G506" s="1042" t="s">
        <v>298</v>
      </c>
      <c r="H506" s="991"/>
      <c r="I506" s="1064">
        <f t="shared" si="21"/>
        <v>6500</v>
      </c>
      <c r="J506" s="1065"/>
      <c r="L506" s="8"/>
      <c r="M506" s="8"/>
      <c r="N506" s="8">
        <f>'[5]Usulan 2021'!I505</f>
        <v>6500</v>
      </c>
      <c r="O506" s="8">
        <f>'[5]Usulan 2021'!J505</f>
        <v>6500</v>
      </c>
      <c r="P506" s="8">
        <f>'[5]Usulan 2021'!K505</f>
        <v>6500</v>
      </c>
    </row>
    <row r="507" spans="2:16" x14ac:dyDescent="0.2">
      <c r="B507" s="1072">
        <f t="shared" si="20"/>
        <v>443</v>
      </c>
      <c r="C507" s="1067"/>
      <c r="D507" s="1077" t="s">
        <v>105</v>
      </c>
      <c r="E507" s="1147"/>
      <c r="F507" s="1148"/>
      <c r="G507" s="1073" t="s">
        <v>264</v>
      </c>
      <c r="H507" s="1071"/>
      <c r="I507" s="1064">
        <f t="shared" si="21"/>
        <v>46000</v>
      </c>
      <c r="J507" s="1065"/>
      <c r="L507" s="8"/>
      <c r="M507" s="8"/>
      <c r="N507" s="8">
        <f>'[5]Usulan 2021'!I506</f>
        <v>46000</v>
      </c>
      <c r="O507" s="8">
        <f>'[5]Usulan 2021'!J506</f>
        <v>46000</v>
      </c>
      <c r="P507" s="8">
        <f>'[5]Usulan 2021'!K506</f>
        <v>46000</v>
      </c>
    </row>
    <row r="508" spans="2:16" x14ac:dyDescent="0.2">
      <c r="B508" s="1072">
        <f t="shared" si="20"/>
        <v>444</v>
      </c>
      <c r="C508" s="1067"/>
      <c r="D508" s="1074" t="s">
        <v>106</v>
      </c>
      <c r="E508" s="1075"/>
      <c r="F508" s="1076"/>
      <c r="G508" s="1149" t="s">
        <v>264</v>
      </c>
      <c r="H508" s="1150"/>
      <c r="I508" s="1064">
        <f t="shared" si="21"/>
        <v>40000</v>
      </c>
      <c r="J508" s="1065"/>
      <c r="L508" s="8"/>
      <c r="M508" s="8"/>
      <c r="N508" s="8">
        <f>'[5]Usulan 2021'!I507</f>
        <v>40000</v>
      </c>
      <c r="O508" s="8">
        <f>'[5]Usulan 2021'!J507</f>
        <v>40000</v>
      </c>
      <c r="P508" s="8">
        <f>'[5]Usulan 2021'!K507</f>
        <v>40000</v>
      </c>
    </row>
    <row r="509" spans="2:16" x14ac:dyDescent="0.2">
      <c r="B509" s="1072">
        <f t="shared" si="20"/>
        <v>445</v>
      </c>
      <c r="C509" s="1067"/>
      <c r="D509" s="1074" t="s">
        <v>612</v>
      </c>
      <c r="E509" s="1075"/>
      <c r="F509" s="1076"/>
      <c r="G509" s="1073" t="s">
        <v>264</v>
      </c>
      <c r="H509" s="1071"/>
      <c r="I509" s="1064">
        <f t="shared" si="21"/>
        <v>47000</v>
      </c>
      <c r="J509" s="1065"/>
      <c r="L509" s="8"/>
      <c r="M509" s="8"/>
      <c r="N509" s="8">
        <f>'[5]Usulan 2021'!I508</f>
        <v>47000</v>
      </c>
      <c r="O509" s="8">
        <f>'[5]Usulan 2021'!J508</f>
        <v>47000</v>
      </c>
      <c r="P509" s="8">
        <f>'[5]Usulan 2021'!K508</f>
        <v>47000</v>
      </c>
    </row>
    <row r="510" spans="2:16" x14ac:dyDescent="0.2">
      <c r="B510" s="1072">
        <f t="shared" si="20"/>
        <v>446</v>
      </c>
      <c r="C510" s="1067"/>
      <c r="D510" s="1074" t="s">
        <v>1442</v>
      </c>
      <c r="E510" s="1075"/>
      <c r="F510" s="1076"/>
      <c r="G510" s="1073" t="s">
        <v>268</v>
      </c>
      <c r="H510" s="1071"/>
      <c r="I510" s="1064"/>
      <c r="J510" s="1065"/>
      <c r="L510" s="8"/>
      <c r="M510" s="8"/>
      <c r="N510" s="8"/>
      <c r="O510" s="8"/>
      <c r="P510" s="8"/>
    </row>
    <row r="511" spans="2:16" x14ac:dyDescent="0.2">
      <c r="B511" s="1072">
        <f t="shared" si="20"/>
        <v>447</v>
      </c>
      <c r="C511" s="1067"/>
      <c r="D511" s="1074" t="s">
        <v>926</v>
      </c>
      <c r="E511" s="1075"/>
      <c r="F511" s="1076"/>
      <c r="G511" s="1073" t="s">
        <v>268</v>
      </c>
      <c r="H511" s="1071"/>
      <c r="I511" s="1064">
        <f>N511</f>
        <v>1753500</v>
      </c>
      <c r="J511" s="1065"/>
      <c r="L511" s="8"/>
      <c r="M511" s="8"/>
      <c r="N511" s="8">
        <f>'[5]Usulan 2021'!I510</f>
        <v>1753500</v>
      </c>
      <c r="O511" s="8">
        <f>'[5]Usulan 2021'!J510</f>
        <v>1753500</v>
      </c>
      <c r="P511" s="8">
        <f>'[5]Usulan 2021'!K510</f>
        <v>1753500</v>
      </c>
    </row>
    <row r="512" spans="2:16" x14ac:dyDescent="0.2">
      <c r="B512" s="1072">
        <f t="shared" si="20"/>
        <v>448</v>
      </c>
      <c r="C512" s="1067"/>
      <c r="D512" s="1074" t="s">
        <v>927</v>
      </c>
      <c r="E512" s="1075"/>
      <c r="F512" s="1076"/>
      <c r="G512" s="1073" t="s">
        <v>268</v>
      </c>
      <c r="H512" s="1071"/>
      <c r="I512" s="1064">
        <f>N512</f>
        <v>4384500</v>
      </c>
      <c r="J512" s="1065"/>
      <c r="L512" s="8"/>
      <c r="M512" s="8"/>
      <c r="N512" s="8">
        <f>'[5]Usulan 2021'!I511</f>
        <v>4384500</v>
      </c>
      <c r="O512" s="8">
        <f>'[5]Usulan 2021'!J511</f>
        <v>4384500</v>
      </c>
      <c r="P512" s="8">
        <f>'[5]Usulan 2021'!K511</f>
        <v>4384500</v>
      </c>
    </row>
    <row r="513" spans="2:16" x14ac:dyDescent="0.2">
      <c r="B513" s="1072">
        <f t="shared" si="20"/>
        <v>449</v>
      </c>
      <c r="C513" s="1067"/>
      <c r="D513" s="1074" t="s">
        <v>1443</v>
      </c>
      <c r="E513" s="1075"/>
      <c r="F513" s="1076"/>
      <c r="G513" s="1073" t="s">
        <v>268</v>
      </c>
      <c r="H513" s="1071"/>
      <c r="I513" s="1064">
        <f t="shared" ref="I513:I541" si="22">N513</f>
        <v>2845500</v>
      </c>
      <c r="J513" s="1065"/>
      <c r="L513" s="8"/>
      <c r="M513" s="8"/>
      <c r="N513" s="8">
        <f>'[5]Usulan 2021'!I512</f>
        <v>2845500</v>
      </c>
      <c r="O513" s="8"/>
      <c r="P513" s="8"/>
    </row>
    <row r="514" spans="2:16" x14ac:dyDescent="0.2">
      <c r="B514" s="1072">
        <f t="shared" si="20"/>
        <v>450</v>
      </c>
      <c r="C514" s="1067"/>
      <c r="D514" s="1074" t="s">
        <v>1444</v>
      </c>
      <c r="E514" s="1075"/>
      <c r="F514" s="1076"/>
      <c r="G514" s="1073" t="s">
        <v>268</v>
      </c>
      <c r="H514" s="1071"/>
      <c r="I514" s="1064">
        <f t="shared" si="22"/>
        <v>44700</v>
      </c>
      <c r="J514" s="1065"/>
      <c r="L514" s="8"/>
      <c r="M514" s="8"/>
      <c r="N514" s="8">
        <f>'[5]Usulan 2021'!I513</f>
        <v>44700</v>
      </c>
      <c r="O514" s="8"/>
      <c r="P514" s="8"/>
    </row>
    <row r="515" spans="2:16" x14ac:dyDescent="0.2">
      <c r="B515" s="1072">
        <f t="shared" si="20"/>
        <v>451</v>
      </c>
      <c r="C515" s="1067"/>
      <c r="D515" s="1074" t="s">
        <v>1445</v>
      </c>
      <c r="E515" s="1075"/>
      <c r="F515" s="1076"/>
      <c r="G515" s="1073" t="s">
        <v>268</v>
      </c>
      <c r="H515" s="1071"/>
      <c r="I515" s="1064">
        <f t="shared" si="22"/>
        <v>52800</v>
      </c>
      <c r="J515" s="1065"/>
      <c r="L515" s="8"/>
      <c r="M515" s="8"/>
      <c r="N515" s="8">
        <f>'[5]Usulan 2021'!I514</f>
        <v>52800</v>
      </c>
      <c r="O515" s="8"/>
      <c r="P515" s="8"/>
    </row>
    <row r="516" spans="2:16" x14ac:dyDescent="0.2">
      <c r="B516" s="1072">
        <f t="shared" si="20"/>
        <v>452</v>
      </c>
      <c r="C516" s="1067"/>
      <c r="D516" s="1074" t="s">
        <v>1446</v>
      </c>
      <c r="E516" s="1075"/>
      <c r="F516" s="1076"/>
      <c r="G516" s="1073" t="s">
        <v>268</v>
      </c>
      <c r="H516" s="1071"/>
      <c r="I516" s="1064">
        <f t="shared" si="22"/>
        <v>569100</v>
      </c>
      <c r="J516" s="1065"/>
      <c r="L516" s="8"/>
      <c r="M516" s="8"/>
      <c r="N516" s="8">
        <f>'[5]Usulan 2021'!I515</f>
        <v>569100</v>
      </c>
      <c r="O516" s="8"/>
      <c r="P516" s="8"/>
    </row>
    <row r="517" spans="2:16" x14ac:dyDescent="0.2">
      <c r="B517" s="1072">
        <f t="shared" si="20"/>
        <v>453</v>
      </c>
      <c r="C517" s="1067"/>
      <c r="D517" s="1074" t="s">
        <v>535</v>
      </c>
      <c r="E517" s="1075"/>
      <c r="F517" s="1076"/>
      <c r="G517" s="1073" t="s">
        <v>277</v>
      </c>
      <c r="H517" s="1071"/>
      <c r="I517" s="1064">
        <f t="shared" si="22"/>
        <v>139500</v>
      </c>
      <c r="J517" s="1065"/>
      <c r="L517" s="8"/>
      <c r="M517" s="8"/>
      <c r="N517" s="8">
        <f>'[5]Usulan 2021'!I517</f>
        <v>139500</v>
      </c>
      <c r="O517" s="8">
        <f>'[5]Usulan 2021'!J517</f>
        <v>139500</v>
      </c>
      <c r="P517" s="8">
        <f>'[5]Usulan 2021'!K517</f>
        <v>139500</v>
      </c>
    </row>
    <row r="518" spans="2:16" x14ac:dyDescent="0.2">
      <c r="B518" s="1072">
        <f t="shared" si="20"/>
        <v>454</v>
      </c>
      <c r="C518" s="1067"/>
      <c r="D518" s="1074" t="s">
        <v>536</v>
      </c>
      <c r="E518" s="1075"/>
      <c r="F518" s="1076"/>
      <c r="G518" s="1073" t="s">
        <v>277</v>
      </c>
      <c r="H518" s="1071"/>
      <c r="I518" s="1064">
        <f t="shared" si="22"/>
        <v>128000</v>
      </c>
      <c r="J518" s="1065"/>
      <c r="L518" s="8"/>
      <c r="M518" s="8"/>
      <c r="N518" s="8">
        <f>'[5]Usulan 2021'!I516</f>
        <v>128000</v>
      </c>
      <c r="O518" s="8">
        <f>'[5]Usulan 2021'!J516</f>
        <v>128000</v>
      </c>
      <c r="P518" s="8">
        <f>'[5]Usulan 2021'!K516</f>
        <v>128000</v>
      </c>
    </row>
    <row r="519" spans="2:16" x14ac:dyDescent="0.2">
      <c r="B519" s="1072">
        <f t="shared" si="20"/>
        <v>455</v>
      </c>
      <c r="C519" s="1067"/>
      <c r="D519" s="1074" t="s">
        <v>107</v>
      </c>
      <c r="E519" s="1075"/>
      <c r="F519" s="1076"/>
      <c r="G519" s="1073" t="s">
        <v>266</v>
      </c>
      <c r="H519" s="1071"/>
      <c r="I519" s="1064">
        <f t="shared" si="22"/>
        <v>24900</v>
      </c>
      <c r="J519" s="1065"/>
      <c r="L519" s="8"/>
      <c r="M519" s="8"/>
      <c r="N519" s="8">
        <f>'[5]Usulan 2021'!I518</f>
        <v>24900</v>
      </c>
      <c r="O519" s="8">
        <f>'[5]Usulan 2021'!J518</f>
        <v>24900</v>
      </c>
      <c r="P519" s="8">
        <f>'[5]Usulan 2021'!K518</f>
        <v>24900</v>
      </c>
    </row>
    <row r="520" spans="2:16" x14ac:dyDescent="0.2">
      <c r="B520" s="1072">
        <f t="shared" si="20"/>
        <v>456</v>
      </c>
      <c r="C520" s="1067"/>
      <c r="D520" s="1074" t="s">
        <v>108</v>
      </c>
      <c r="E520" s="1075"/>
      <c r="F520" s="1076"/>
      <c r="G520" s="1073" t="s">
        <v>266</v>
      </c>
      <c r="H520" s="1071"/>
      <c r="I520" s="1064">
        <f t="shared" si="22"/>
        <v>32600</v>
      </c>
      <c r="J520" s="1065"/>
      <c r="L520" s="8"/>
      <c r="M520" s="8"/>
      <c r="N520" s="8">
        <f>'[5]Usulan 2021'!I519</f>
        <v>32600</v>
      </c>
      <c r="O520" s="8">
        <f>'[5]Usulan 2021'!J519</f>
        <v>32600</v>
      </c>
      <c r="P520" s="8">
        <f>'[5]Usulan 2021'!K519</f>
        <v>32600</v>
      </c>
    </row>
    <row r="521" spans="2:16" x14ac:dyDescent="0.2">
      <c r="B521" s="1072">
        <f t="shared" si="20"/>
        <v>457</v>
      </c>
      <c r="C521" s="1067"/>
      <c r="D521" s="1074" t="s">
        <v>110</v>
      </c>
      <c r="E521" s="1075"/>
      <c r="F521" s="1076"/>
      <c r="G521" s="1073" t="s">
        <v>266</v>
      </c>
      <c r="H521" s="1071"/>
      <c r="I521" s="1064">
        <f t="shared" si="22"/>
        <v>30800</v>
      </c>
      <c r="J521" s="1065"/>
      <c r="L521" s="8"/>
      <c r="M521" s="8"/>
      <c r="N521" s="8">
        <f>'[5]Usulan 2021'!I520</f>
        <v>30800</v>
      </c>
      <c r="O521" s="8">
        <f>'[5]Usulan 2021'!J520</f>
        <v>30800</v>
      </c>
      <c r="P521" s="8">
        <f>'[5]Usulan 2021'!K520</f>
        <v>30800</v>
      </c>
    </row>
    <row r="522" spans="2:16" x14ac:dyDescent="0.2">
      <c r="B522" s="1072">
        <f t="shared" si="20"/>
        <v>458</v>
      </c>
      <c r="C522" s="1067"/>
      <c r="D522" s="1074" t="s">
        <v>109</v>
      </c>
      <c r="E522" s="1075"/>
      <c r="F522" s="1076"/>
      <c r="G522" s="1070" t="s">
        <v>266</v>
      </c>
      <c r="H522" s="1071"/>
      <c r="I522" s="1064">
        <f t="shared" si="22"/>
        <v>36500</v>
      </c>
      <c r="J522" s="1065"/>
      <c r="L522" s="8"/>
      <c r="M522" s="8"/>
      <c r="N522" s="8">
        <f>'[5]Usulan 2021'!I521</f>
        <v>36500</v>
      </c>
      <c r="O522" s="8">
        <f>'[5]Usulan 2021'!J521</f>
        <v>36500</v>
      </c>
      <c r="P522" s="8">
        <f>'[5]Usulan 2021'!K521</f>
        <v>36500</v>
      </c>
    </row>
    <row r="523" spans="2:16" x14ac:dyDescent="0.2">
      <c r="B523" s="1072">
        <f t="shared" si="20"/>
        <v>459</v>
      </c>
      <c r="C523" s="1067"/>
      <c r="D523" s="1086" t="s">
        <v>398</v>
      </c>
      <c r="E523" s="1075"/>
      <c r="F523" s="1076"/>
      <c r="G523" s="1070" t="s">
        <v>298</v>
      </c>
      <c r="H523" s="1071"/>
      <c r="I523" s="1064">
        <f t="shared" si="22"/>
        <v>4000</v>
      </c>
      <c r="J523" s="1065"/>
      <c r="L523" s="8"/>
      <c r="M523" s="8"/>
      <c r="N523" s="8">
        <f>'[5]Usulan 2021'!I522</f>
        <v>4000</v>
      </c>
      <c r="O523" s="8">
        <f>'[5]Usulan 2021'!J522</f>
        <v>4000</v>
      </c>
      <c r="P523" s="8">
        <f>'[5]Usulan 2021'!K522</f>
        <v>4000</v>
      </c>
    </row>
    <row r="524" spans="2:16" x14ac:dyDescent="0.2">
      <c r="B524" s="1072">
        <f t="shared" si="20"/>
        <v>460</v>
      </c>
      <c r="C524" s="1067"/>
      <c r="D524" s="1086" t="s">
        <v>135</v>
      </c>
      <c r="E524" s="1075"/>
      <c r="F524" s="1076"/>
      <c r="G524" s="1070" t="s">
        <v>268</v>
      </c>
      <c r="H524" s="1071"/>
      <c r="I524" s="1064">
        <f t="shared" si="22"/>
        <v>6203600</v>
      </c>
      <c r="J524" s="1065"/>
      <c r="L524" s="8"/>
      <c r="M524" s="8"/>
      <c r="N524" s="8">
        <f>'[5]Usulan 2021'!I523</f>
        <v>6203600</v>
      </c>
      <c r="O524" s="8">
        <f>'[5]Usulan 2021'!J523</f>
        <v>6203600</v>
      </c>
      <c r="P524" s="8">
        <f>'[5]Usulan 2021'!K523</f>
        <v>6203600</v>
      </c>
    </row>
    <row r="525" spans="2:16" x14ac:dyDescent="0.2">
      <c r="B525" s="1072">
        <f t="shared" si="20"/>
        <v>461</v>
      </c>
      <c r="C525" s="1067"/>
      <c r="D525" s="1086" t="s">
        <v>136</v>
      </c>
      <c r="E525" s="1075"/>
      <c r="F525" s="1076"/>
      <c r="G525" s="1070" t="s">
        <v>268</v>
      </c>
      <c r="H525" s="1071"/>
      <c r="I525" s="1064">
        <f t="shared" si="22"/>
        <v>7033700</v>
      </c>
      <c r="J525" s="1065"/>
      <c r="L525" s="8"/>
      <c r="M525" s="8"/>
      <c r="N525" s="8">
        <f>'[5]Usulan 2021'!I524</f>
        <v>7033700</v>
      </c>
      <c r="O525" s="8">
        <f>'[5]Usulan 2021'!J524</f>
        <v>7033700</v>
      </c>
      <c r="P525" s="8">
        <f>'[5]Usulan 2021'!K524</f>
        <v>7033700</v>
      </c>
    </row>
    <row r="526" spans="2:16" x14ac:dyDescent="0.2">
      <c r="B526" s="1072">
        <f t="shared" si="20"/>
        <v>462</v>
      </c>
      <c r="C526" s="1067"/>
      <c r="D526" s="1086" t="s">
        <v>137</v>
      </c>
      <c r="E526" s="1075"/>
      <c r="F526" s="1076"/>
      <c r="G526" s="1070" t="s">
        <v>268</v>
      </c>
      <c r="H526" s="1071"/>
      <c r="I526" s="1064">
        <f t="shared" si="22"/>
        <v>5726000</v>
      </c>
      <c r="J526" s="1065"/>
      <c r="L526" s="8"/>
      <c r="M526" s="8"/>
      <c r="N526" s="8">
        <f>'[5]Usulan 2021'!I525</f>
        <v>5726000</v>
      </c>
      <c r="O526" s="8">
        <f>'[5]Usulan 2021'!J525</f>
        <v>5726000</v>
      </c>
      <c r="P526" s="8">
        <f>'[5]Usulan 2021'!K525</f>
        <v>5726000</v>
      </c>
    </row>
    <row r="527" spans="2:16" x14ac:dyDescent="0.2">
      <c r="B527" s="1072">
        <f t="shared" si="20"/>
        <v>463</v>
      </c>
      <c r="C527" s="1067"/>
      <c r="D527" s="1086" t="s">
        <v>138</v>
      </c>
      <c r="E527" s="1075"/>
      <c r="F527" s="1076"/>
      <c r="G527" s="1070" t="s">
        <v>268</v>
      </c>
      <c r="H527" s="1071"/>
      <c r="I527" s="1064">
        <f t="shared" si="22"/>
        <v>3951200</v>
      </c>
      <c r="J527" s="1065"/>
      <c r="L527" s="8"/>
      <c r="M527" s="8"/>
      <c r="N527" s="8">
        <f>'[5]Usulan 2021'!I526</f>
        <v>3951200</v>
      </c>
      <c r="O527" s="8">
        <f>'[5]Usulan 2021'!J526</f>
        <v>3951200</v>
      </c>
      <c r="P527" s="8">
        <f>'[5]Usulan 2021'!K526</f>
        <v>3951200</v>
      </c>
    </row>
    <row r="528" spans="2:16" x14ac:dyDescent="0.2">
      <c r="B528" s="1072">
        <f t="shared" si="20"/>
        <v>464</v>
      </c>
      <c r="C528" s="1067"/>
      <c r="D528" s="1074" t="s">
        <v>1491</v>
      </c>
      <c r="E528" s="1075"/>
      <c r="F528" s="1076"/>
      <c r="G528" s="1073"/>
      <c r="H528" s="1071"/>
      <c r="I528" s="1064">
        <f t="shared" si="22"/>
        <v>402400</v>
      </c>
      <c r="J528" s="1065"/>
      <c r="L528" s="8"/>
      <c r="M528" s="8"/>
      <c r="N528" s="8">
        <f>'[5]Usulan 2021'!I527</f>
        <v>402400</v>
      </c>
      <c r="O528" s="8"/>
      <c r="P528" s="8"/>
    </row>
    <row r="529" spans="2:16" x14ac:dyDescent="0.2">
      <c r="B529" s="1072">
        <f t="shared" si="20"/>
        <v>465</v>
      </c>
      <c r="C529" s="1067"/>
      <c r="D529" s="1074" t="s">
        <v>1387</v>
      </c>
      <c r="E529" s="1075"/>
      <c r="F529" s="1076"/>
      <c r="G529" s="1073"/>
      <c r="H529" s="1071"/>
      <c r="I529" s="1064">
        <f t="shared" si="22"/>
        <v>60900</v>
      </c>
      <c r="J529" s="1065"/>
      <c r="L529" s="8"/>
      <c r="M529" s="8"/>
      <c r="N529" s="8">
        <f>'[5]Usulan 2021'!I528</f>
        <v>60900</v>
      </c>
      <c r="O529" s="8"/>
      <c r="P529" s="8"/>
    </row>
    <row r="530" spans="2:16" x14ac:dyDescent="0.2">
      <c r="B530" s="1072">
        <f t="shared" si="20"/>
        <v>466</v>
      </c>
      <c r="C530" s="1067"/>
      <c r="D530" s="1086" t="s">
        <v>139</v>
      </c>
      <c r="E530" s="1075"/>
      <c r="F530" s="1076"/>
      <c r="G530" s="1070" t="s">
        <v>268</v>
      </c>
      <c r="H530" s="1071"/>
      <c r="I530" s="1064">
        <f t="shared" si="22"/>
        <v>35737100</v>
      </c>
      <c r="J530" s="1065"/>
      <c r="L530" s="8"/>
      <c r="M530" s="8"/>
      <c r="N530" s="8">
        <f>'[5]Usulan 2021'!I529</f>
        <v>35737100</v>
      </c>
      <c r="O530" s="8">
        <f>'[5]Usulan 2021'!J529</f>
        <v>35737100</v>
      </c>
      <c r="P530" s="8">
        <f>'[5]Usulan 2021'!K529</f>
        <v>35737100</v>
      </c>
    </row>
    <row r="531" spans="2:16" x14ac:dyDescent="0.2">
      <c r="B531" s="1072">
        <f t="shared" si="20"/>
        <v>467</v>
      </c>
      <c r="C531" s="1067"/>
      <c r="D531" s="1091" t="s">
        <v>1468</v>
      </c>
      <c r="E531" s="1075"/>
      <c r="F531" s="1076"/>
      <c r="G531" s="1070" t="s">
        <v>268</v>
      </c>
      <c r="H531" s="1071"/>
      <c r="I531" s="1064">
        <f t="shared" si="22"/>
        <v>203200</v>
      </c>
      <c r="J531" s="1065"/>
      <c r="L531" s="8"/>
      <c r="M531" s="8"/>
      <c r="N531" s="8">
        <f>'[5]Usulan 2021'!I530</f>
        <v>203200</v>
      </c>
      <c r="O531" s="8"/>
      <c r="P531" s="8"/>
    </row>
    <row r="532" spans="2:16" x14ac:dyDescent="0.2">
      <c r="B532" s="1072">
        <f t="shared" si="20"/>
        <v>468</v>
      </c>
      <c r="C532" s="1067"/>
      <c r="D532" s="1074" t="s">
        <v>539</v>
      </c>
      <c r="E532" s="1075"/>
      <c r="F532" s="1076"/>
      <c r="G532" s="1070" t="s">
        <v>277</v>
      </c>
      <c r="H532" s="1071"/>
      <c r="I532" s="1064">
        <f t="shared" si="22"/>
        <v>69200</v>
      </c>
      <c r="J532" s="1065"/>
      <c r="L532" s="8"/>
      <c r="M532" s="8"/>
      <c r="N532" s="8">
        <f>'[5]Usulan 2021'!I531</f>
        <v>69200</v>
      </c>
      <c r="O532" s="8">
        <f>'[5]Usulan 2021'!J531</f>
        <v>69200</v>
      </c>
      <c r="P532" s="8">
        <f>'[5]Usulan 2021'!K531</f>
        <v>69200</v>
      </c>
    </row>
    <row r="533" spans="2:16" x14ac:dyDescent="0.2">
      <c r="B533" s="1072">
        <f t="shared" si="20"/>
        <v>469</v>
      </c>
      <c r="C533" s="1067"/>
      <c r="D533" s="1074" t="s">
        <v>540</v>
      </c>
      <c r="E533" s="1075"/>
      <c r="F533" s="1076"/>
      <c r="G533" s="1070" t="s">
        <v>277</v>
      </c>
      <c r="H533" s="1071"/>
      <c r="I533" s="1064">
        <f t="shared" si="22"/>
        <v>63400</v>
      </c>
      <c r="J533" s="1065"/>
      <c r="L533" s="8"/>
      <c r="M533" s="8"/>
      <c r="N533" s="8">
        <f>'[5]Usulan 2021'!I532</f>
        <v>63400</v>
      </c>
      <c r="O533" s="8">
        <f>'[5]Usulan 2021'!J532</f>
        <v>63400</v>
      </c>
      <c r="P533" s="8">
        <f>'[5]Usulan 2021'!K532</f>
        <v>63400</v>
      </c>
    </row>
    <row r="534" spans="2:16" x14ac:dyDescent="0.2">
      <c r="B534" s="1072">
        <f t="shared" si="20"/>
        <v>470</v>
      </c>
      <c r="C534" s="1067"/>
      <c r="D534" s="1074" t="s">
        <v>537</v>
      </c>
      <c r="E534" s="1075"/>
      <c r="F534" s="1076"/>
      <c r="G534" s="1070" t="s">
        <v>277</v>
      </c>
      <c r="H534" s="1071"/>
      <c r="I534" s="1064">
        <f t="shared" si="22"/>
        <v>81700</v>
      </c>
      <c r="J534" s="1065"/>
      <c r="L534" s="8"/>
      <c r="M534" s="8"/>
      <c r="N534" s="8">
        <f>'[5]Usulan 2021'!I533</f>
        <v>81700</v>
      </c>
      <c r="O534" s="8">
        <f>'[5]Usulan 2021'!J533</f>
        <v>81700</v>
      </c>
      <c r="P534" s="8">
        <f>'[5]Usulan 2021'!K533</f>
        <v>81700</v>
      </c>
    </row>
    <row r="535" spans="2:16" x14ac:dyDescent="0.2">
      <c r="B535" s="1072">
        <f t="shared" si="20"/>
        <v>471</v>
      </c>
      <c r="C535" s="1067"/>
      <c r="D535" s="1074" t="s">
        <v>538</v>
      </c>
      <c r="E535" s="1075"/>
      <c r="F535" s="1076"/>
      <c r="G535" s="1073" t="s">
        <v>277</v>
      </c>
      <c r="H535" s="1071"/>
      <c r="I535" s="1064">
        <f t="shared" si="22"/>
        <v>76000</v>
      </c>
      <c r="J535" s="1065"/>
      <c r="L535" s="8"/>
      <c r="M535" s="8"/>
      <c r="N535" s="8">
        <f>'[5]Usulan 2021'!I534</f>
        <v>76000</v>
      </c>
      <c r="O535" s="8">
        <f>'[5]Usulan 2021'!J534</f>
        <v>76000</v>
      </c>
      <c r="P535" s="8">
        <f>'[5]Usulan 2021'!K534</f>
        <v>76000</v>
      </c>
    </row>
    <row r="536" spans="2:16" x14ac:dyDescent="0.2">
      <c r="B536" s="1072">
        <f t="shared" si="20"/>
        <v>472</v>
      </c>
      <c r="C536" s="1067"/>
      <c r="D536" s="1074" t="s">
        <v>453</v>
      </c>
      <c r="E536" s="1075"/>
      <c r="F536" s="1076"/>
      <c r="G536" s="1042" t="s">
        <v>268</v>
      </c>
      <c r="H536" s="1071"/>
      <c r="I536" s="1064">
        <f t="shared" si="22"/>
        <v>2045300</v>
      </c>
      <c r="J536" s="1065"/>
      <c r="L536" s="8"/>
      <c r="M536" s="8"/>
      <c r="N536" s="8">
        <f>'[5]Usulan 2021'!I535</f>
        <v>2045300</v>
      </c>
      <c r="O536" s="8">
        <f>'[5]Usulan 2021'!J535</f>
        <v>2045300</v>
      </c>
      <c r="P536" s="8">
        <f>'[5]Usulan 2021'!K535</f>
        <v>2045300</v>
      </c>
    </row>
    <row r="537" spans="2:16" x14ac:dyDescent="0.2">
      <c r="B537" s="1072">
        <f t="shared" si="20"/>
        <v>473</v>
      </c>
      <c r="C537" s="1067"/>
      <c r="D537" s="1074" t="s">
        <v>764</v>
      </c>
      <c r="E537" s="1075"/>
      <c r="F537" s="1076"/>
      <c r="G537" s="1042" t="s">
        <v>392</v>
      </c>
      <c r="H537" s="1071"/>
      <c r="I537" s="1064">
        <f t="shared" si="22"/>
        <v>175200</v>
      </c>
      <c r="J537" s="1065"/>
      <c r="L537" s="8"/>
      <c r="M537" s="8"/>
      <c r="N537" s="8">
        <f>'[5]Usulan 2021'!I536</f>
        <v>175200</v>
      </c>
      <c r="O537" s="8">
        <f>'[5]Usulan 2021'!J536</f>
        <v>175200</v>
      </c>
      <c r="P537" s="8">
        <f>'[5]Usulan 2021'!K536</f>
        <v>175200</v>
      </c>
    </row>
    <row r="538" spans="2:16" x14ac:dyDescent="0.2">
      <c r="B538" s="1072">
        <f t="shared" si="20"/>
        <v>474</v>
      </c>
      <c r="C538" s="1067"/>
      <c r="D538" s="1077" t="s">
        <v>541</v>
      </c>
      <c r="E538" s="1069"/>
      <c r="F538" s="1107"/>
      <c r="G538" s="1151" t="s">
        <v>247</v>
      </c>
      <c r="H538" s="1071"/>
      <c r="I538" s="1064">
        <f t="shared" si="22"/>
        <v>57700</v>
      </c>
      <c r="J538" s="1065"/>
      <c r="L538" s="8"/>
      <c r="M538" s="8"/>
      <c r="N538" s="8">
        <f>'[5]Usulan 2021'!I537</f>
        <v>57700</v>
      </c>
      <c r="O538" s="8">
        <f>'[5]Usulan 2021'!J537</f>
        <v>57700</v>
      </c>
      <c r="P538" s="8">
        <f>'[5]Usulan 2021'!K537</f>
        <v>57700</v>
      </c>
    </row>
    <row r="539" spans="2:16" x14ac:dyDescent="0.2">
      <c r="B539" s="1072">
        <f t="shared" si="20"/>
        <v>475</v>
      </c>
      <c r="C539" s="1067"/>
      <c r="D539" s="1077" t="s">
        <v>231</v>
      </c>
      <c r="E539" s="1069"/>
      <c r="F539" s="1152"/>
      <c r="G539" s="1073" t="s">
        <v>275</v>
      </c>
      <c r="H539" s="1071"/>
      <c r="I539" s="1064">
        <f t="shared" si="22"/>
        <v>701000</v>
      </c>
      <c r="J539" s="1065"/>
      <c r="L539" s="8"/>
      <c r="M539" s="8"/>
      <c r="N539" s="8">
        <f>'[5]Usulan 2021'!I538</f>
        <v>701000</v>
      </c>
      <c r="O539" s="8">
        <f>'[5]Usulan 2021'!J538</f>
        <v>701000</v>
      </c>
      <c r="P539" s="8">
        <f>'[5]Usulan 2021'!K538</f>
        <v>701000</v>
      </c>
    </row>
    <row r="540" spans="2:16" x14ac:dyDescent="0.2">
      <c r="B540" s="1072">
        <f t="shared" si="20"/>
        <v>476</v>
      </c>
      <c r="C540" s="1067"/>
      <c r="D540" s="1077" t="s">
        <v>176</v>
      </c>
      <c r="E540" s="1069"/>
      <c r="F540" s="1152"/>
      <c r="G540" s="1073" t="s">
        <v>275</v>
      </c>
      <c r="H540" s="1071"/>
      <c r="I540" s="1064">
        <f t="shared" si="22"/>
        <v>466900</v>
      </c>
      <c r="J540" s="1065"/>
      <c r="L540" s="8"/>
      <c r="M540" s="8"/>
      <c r="N540" s="8">
        <f>'[5]Usulan 2021'!I539</f>
        <v>466900</v>
      </c>
      <c r="O540" s="8">
        <f>'[5]Usulan 2021'!J539</f>
        <v>466900</v>
      </c>
      <c r="P540" s="8">
        <f>'[5]Usulan 2021'!K539</f>
        <v>466900</v>
      </c>
    </row>
    <row r="541" spans="2:16" x14ac:dyDescent="0.2">
      <c r="B541" s="1072">
        <f t="shared" si="20"/>
        <v>477</v>
      </c>
      <c r="C541" s="1067"/>
      <c r="D541" s="1077" t="s">
        <v>439</v>
      </c>
      <c r="E541" s="1069"/>
      <c r="F541" s="1076"/>
      <c r="G541" s="1073" t="s">
        <v>247</v>
      </c>
      <c r="H541" s="1071"/>
      <c r="I541" s="1064">
        <f t="shared" si="22"/>
        <v>116500</v>
      </c>
      <c r="J541" s="1065"/>
      <c r="L541" s="8"/>
      <c r="M541" s="8"/>
      <c r="N541" s="8">
        <f>'[5]Usulan 2021'!I540</f>
        <v>116500</v>
      </c>
      <c r="O541" s="8">
        <f>'[5]Usulan 2021'!J540</f>
        <v>116500</v>
      </c>
      <c r="P541" s="8">
        <f>'[5]Usulan 2021'!K540</f>
        <v>116500</v>
      </c>
    </row>
    <row r="542" spans="2:16" x14ac:dyDescent="0.2">
      <c r="B542" s="1072"/>
      <c r="C542" s="1067"/>
      <c r="D542" s="1074"/>
      <c r="E542" s="1075"/>
      <c r="F542" s="1076"/>
      <c r="G542" s="1073"/>
      <c r="H542" s="1071"/>
      <c r="I542" s="1064"/>
      <c r="J542" s="1065"/>
      <c r="L542" s="8"/>
      <c r="M542" s="8"/>
      <c r="N542" s="8"/>
      <c r="O542" s="8"/>
      <c r="P542" s="8"/>
    </row>
    <row r="543" spans="2:16" x14ac:dyDescent="0.2">
      <c r="B543" s="1072"/>
      <c r="C543" s="1067"/>
      <c r="D543" s="1074"/>
      <c r="E543" s="1075"/>
      <c r="F543" s="1076"/>
      <c r="G543" s="1073"/>
      <c r="H543" s="1071"/>
      <c r="I543" s="1064"/>
      <c r="J543" s="1065"/>
      <c r="L543" s="8"/>
      <c r="M543" s="8"/>
      <c r="N543" s="8"/>
      <c r="O543" s="8"/>
      <c r="P543" s="8"/>
    </row>
    <row r="544" spans="2:16" x14ac:dyDescent="0.2">
      <c r="B544" s="1072">
        <f>B541+1</f>
        <v>478</v>
      </c>
      <c r="C544" s="1153"/>
      <c r="D544" s="1154" t="s">
        <v>715</v>
      </c>
      <c r="E544" s="1075"/>
      <c r="F544" s="1155"/>
      <c r="G544" s="1156" t="s">
        <v>268</v>
      </c>
      <c r="H544" s="1157"/>
      <c r="I544" s="1064">
        <f t="shared" si="10"/>
        <v>146000</v>
      </c>
      <c r="J544" s="1065"/>
      <c r="L544" s="8"/>
      <c r="M544" s="8"/>
      <c r="N544" s="8">
        <f>'[5]Usulan 2021'!I542</f>
        <v>146000</v>
      </c>
      <c r="O544" s="8">
        <f>'[5]Usulan 2021'!J542</f>
        <v>146000</v>
      </c>
      <c r="P544" s="8">
        <f>'[5]Usulan 2021'!K542</f>
        <v>146000</v>
      </c>
    </row>
    <row r="545" spans="2:16" x14ac:dyDescent="0.2">
      <c r="B545" s="1072">
        <f>B544+1</f>
        <v>479</v>
      </c>
      <c r="C545" s="1067"/>
      <c r="D545" s="1154" t="s">
        <v>713</v>
      </c>
      <c r="E545" s="1075"/>
      <c r="F545" s="1075"/>
      <c r="G545" s="1073" t="s">
        <v>268</v>
      </c>
      <c r="H545" s="1071"/>
      <c r="I545" s="1064">
        <f t="shared" si="10"/>
        <v>63000</v>
      </c>
      <c r="J545" s="1065"/>
      <c r="L545" s="8"/>
      <c r="M545" s="8"/>
      <c r="N545" s="8">
        <f>'[5]Usulan 2021'!I543</f>
        <v>63000</v>
      </c>
      <c r="O545" s="8">
        <f>'[5]Usulan 2021'!J543</f>
        <v>63000</v>
      </c>
      <c r="P545" s="8">
        <f>'[5]Usulan 2021'!K543</f>
        <v>63000</v>
      </c>
    </row>
    <row r="546" spans="2:16" x14ac:dyDescent="0.2">
      <c r="B546" s="1072">
        <f t="shared" ref="B546:B609" si="23">B545+1</f>
        <v>480</v>
      </c>
      <c r="C546" s="1153"/>
      <c r="D546" s="1154" t="s">
        <v>839</v>
      </c>
      <c r="E546" s="1075"/>
      <c r="F546" s="1076"/>
      <c r="G546" s="1158" t="s">
        <v>268</v>
      </c>
      <c r="H546" s="1159"/>
      <c r="I546" s="1064">
        <f t="shared" si="10"/>
        <v>22000</v>
      </c>
      <c r="J546" s="1065"/>
      <c r="L546" s="8"/>
      <c r="M546" s="8"/>
      <c r="N546" s="8">
        <f>'[5]Usulan 2021'!I544</f>
        <v>22000</v>
      </c>
      <c r="O546" s="8">
        <f>'[5]Usulan 2021'!J544</f>
        <v>22000</v>
      </c>
      <c r="P546" s="8">
        <f>'[5]Usulan 2021'!K544</f>
        <v>22000</v>
      </c>
    </row>
    <row r="549" spans="2:16" x14ac:dyDescent="0.2">
      <c r="B549" s="1072">
        <f>B156+1</f>
        <v>93</v>
      </c>
      <c r="C549" s="1067"/>
      <c r="D549" s="1160" t="s">
        <v>414</v>
      </c>
      <c r="E549" s="1069"/>
      <c r="F549" s="1069"/>
      <c r="G549" s="1073" t="s">
        <v>268</v>
      </c>
      <c r="H549" s="1081"/>
      <c r="I549" s="1064">
        <f t="shared" ref="I549:I592" si="24">N549</f>
        <v>20000</v>
      </c>
      <c r="J549" s="1065"/>
      <c r="L549" s="8"/>
      <c r="M549" s="8"/>
      <c r="N549" s="8">
        <f>'[5]Usulan 2021'!I545</f>
        <v>20000</v>
      </c>
      <c r="O549" s="8">
        <f>'[5]Usulan 2021'!J545</f>
        <v>20000</v>
      </c>
      <c r="P549" s="8">
        <f>'[5]Usulan 2021'!K545</f>
        <v>20000</v>
      </c>
    </row>
    <row r="550" spans="2:16" x14ac:dyDescent="0.2">
      <c r="B550" s="1072">
        <f t="shared" si="23"/>
        <v>94</v>
      </c>
      <c r="C550" s="1067"/>
      <c r="D550" s="1160" t="s">
        <v>413</v>
      </c>
      <c r="E550" s="1069"/>
      <c r="F550" s="1069"/>
      <c r="G550" s="1073" t="s">
        <v>268</v>
      </c>
      <c r="H550" s="1081"/>
      <c r="I550" s="1064">
        <f t="shared" si="24"/>
        <v>18000</v>
      </c>
      <c r="J550" s="1065"/>
      <c r="L550" s="8"/>
      <c r="M550" s="8"/>
      <c r="N550" s="8">
        <f>'[5]Usulan 2021'!I546</f>
        <v>18000</v>
      </c>
      <c r="O550" s="8">
        <f>'[5]Usulan 2021'!J546</f>
        <v>18000</v>
      </c>
      <c r="P550" s="8">
        <f>'[5]Usulan 2021'!K546</f>
        <v>18000</v>
      </c>
    </row>
    <row r="551" spans="2:16" x14ac:dyDescent="0.2">
      <c r="B551" s="1072">
        <f t="shared" si="23"/>
        <v>95</v>
      </c>
      <c r="C551" s="1049"/>
      <c r="D551" s="1161" t="s">
        <v>1388</v>
      </c>
      <c r="E551" s="1084"/>
      <c r="F551" s="1058"/>
      <c r="G551" s="1073" t="s">
        <v>1389</v>
      </c>
      <c r="H551" s="1122"/>
      <c r="I551" s="1064">
        <f t="shared" si="24"/>
        <v>8000</v>
      </c>
      <c r="J551" s="1065"/>
      <c r="L551" s="8"/>
      <c r="M551" s="8"/>
      <c r="N551" s="8">
        <v>8000</v>
      </c>
      <c r="O551" s="8">
        <v>8000</v>
      </c>
      <c r="P551" s="8">
        <v>8000</v>
      </c>
    </row>
    <row r="552" spans="2:16" x14ac:dyDescent="0.2">
      <c r="B552" s="1072">
        <f t="shared" si="23"/>
        <v>96</v>
      </c>
      <c r="C552" s="1049"/>
      <c r="D552" s="1161" t="s">
        <v>1390</v>
      </c>
      <c r="E552" s="1084"/>
      <c r="F552" s="1058"/>
      <c r="G552" s="1073" t="s">
        <v>268</v>
      </c>
      <c r="H552" s="1122"/>
      <c r="I552" s="1064">
        <f t="shared" si="24"/>
        <v>2500000</v>
      </c>
      <c r="J552" s="1065"/>
      <c r="L552" s="8"/>
      <c r="M552" s="8"/>
      <c r="N552" s="8">
        <v>2500000</v>
      </c>
      <c r="O552" s="8">
        <v>2500000</v>
      </c>
      <c r="P552" s="8">
        <v>2500000</v>
      </c>
    </row>
    <row r="553" spans="2:16" x14ac:dyDescent="0.2">
      <c r="B553" s="1072">
        <f t="shared" si="23"/>
        <v>97</v>
      </c>
      <c r="C553" s="1049"/>
      <c r="D553" s="1161" t="s">
        <v>1391</v>
      </c>
      <c r="E553" s="1084"/>
      <c r="F553" s="1058"/>
      <c r="G553" s="1073" t="s">
        <v>275</v>
      </c>
      <c r="H553" s="1122"/>
      <c r="I553" s="1064">
        <f t="shared" si="24"/>
        <v>1750000</v>
      </c>
      <c r="J553" s="1065"/>
      <c r="L553" s="8"/>
      <c r="M553" s="8"/>
      <c r="N553" s="8">
        <v>1750000</v>
      </c>
      <c r="O553" s="8">
        <v>1750000</v>
      </c>
      <c r="P553" s="8">
        <v>1750000</v>
      </c>
    </row>
    <row r="554" spans="2:16" x14ac:dyDescent="0.2">
      <c r="B554" s="1072">
        <f t="shared" si="23"/>
        <v>98</v>
      </c>
      <c r="C554" s="1049"/>
      <c r="D554" s="1162" t="s">
        <v>1392</v>
      </c>
      <c r="E554" s="1084"/>
      <c r="F554" s="1058"/>
      <c r="G554" s="1073" t="s">
        <v>275</v>
      </c>
      <c r="H554" s="1122"/>
      <c r="I554" s="1064">
        <f t="shared" si="24"/>
        <v>3000000</v>
      </c>
      <c r="J554" s="1065"/>
      <c r="L554" s="8"/>
      <c r="M554" s="8"/>
      <c r="N554" s="8">
        <v>3000000</v>
      </c>
      <c r="O554" s="8">
        <v>3000000</v>
      </c>
      <c r="P554" s="8">
        <v>3000000</v>
      </c>
    </row>
    <row r="555" spans="2:16" x14ac:dyDescent="0.2">
      <c r="B555" s="1072">
        <f t="shared" si="23"/>
        <v>99</v>
      </c>
      <c r="C555" s="1049"/>
      <c r="D555" s="1161" t="s">
        <v>1393</v>
      </c>
      <c r="E555" s="1084"/>
      <c r="F555" s="1058"/>
      <c r="G555" s="1073" t="s">
        <v>247</v>
      </c>
      <c r="H555" s="1122"/>
      <c r="I555" s="1064">
        <f t="shared" si="24"/>
        <v>50000</v>
      </c>
      <c r="J555" s="1065"/>
      <c r="L555" s="8"/>
      <c r="M555" s="8"/>
      <c r="N555" s="8">
        <v>50000</v>
      </c>
      <c r="O555" s="8">
        <v>50000</v>
      </c>
      <c r="P555" s="8">
        <v>50000</v>
      </c>
    </row>
    <row r="556" spans="2:16" x14ac:dyDescent="0.2">
      <c r="B556" s="1072">
        <f t="shared" si="23"/>
        <v>100</v>
      </c>
      <c r="C556" s="1049"/>
      <c r="D556" s="1161" t="s">
        <v>1460</v>
      </c>
      <c r="E556" s="1084"/>
      <c r="F556" s="1058"/>
      <c r="G556" s="1073" t="s">
        <v>338</v>
      </c>
      <c r="H556" s="1122"/>
      <c r="I556" s="1064">
        <f t="shared" si="24"/>
        <v>130000</v>
      </c>
      <c r="J556" s="1065"/>
      <c r="L556" s="8"/>
      <c r="M556" s="8"/>
      <c r="N556" s="8">
        <v>130000</v>
      </c>
      <c r="O556" s="8">
        <v>130000</v>
      </c>
      <c r="P556" s="8">
        <v>130000</v>
      </c>
    </row>
    <row r="557" spans="2:16" x14ac:dyDescent="0.2">
      <c r="B557" s="1072">
        <f t="shared" si="23"/>
        <v>101</v>
      </c>
      <c r="C557" s="1049"/>
      <c r="D557" s="1163" t="s">
        <v>1416</v>
      </c>
      <c r="E557" s="1084"/>
      <c r="F557" s="1058"/>
      <c r="G557" s="1073" t="s">
        <v>338</v>
      </c>
      <c r="H557" s="1122"/>
      <c r="I557" s="1064">
        <f t="shared" si="24"/>
        <v>230000</v>
      </c>
      <c r="J557" s="1065"/>
      <c r="L557" s="8"/>
      <c r="M557" s="8"/>
      <c r="N557" s="434">
        <v>230000</v>
      </c>
      <c r="O557" s="434">
        <v>230000</v>
      </c>
      <c r="P557" s="434">
        <v>230000</v>
      </c>
    </row>
    <row r="558" spans="2:16" x14ac:dyDescent="0.2">
      <c r="B558" s="1072">
        <f t="shared" si="23"/>
        <v>102</v>
      </c>
      <c r="C558" s="1049"/>
      <c r="D558" s="1163" t="s">
        <v>1417</v>
      </c>
      <c r="E558" s="1084"/>
      <c r="F558" s="1058"/>
      <c r="G558" s="1073" t="s">
        <v>338</v>
      </c>
      <c r="H558" s="1122"/>
      <c r="I558" s="1064">
        <f t="shared" si="24"/>
        <v>190000</v>
      </c>
      <c r="J558" s="1065"/>
      <c r="L558" s="8"/>
      <c r="M558" s="8"/>
      <c r="N558" s="434">
        <v>190000</v>
      </c>
      <c r="O558" s="434">
        <v>190000</v>
      </c>
      <c r="P558" s="434">
        <v>190000</v>
      </c>
    </row>
    <row r="559" spans="2:16" x14ac:dyDescent="0.2">
      <c r="B559" s="1072">
        <f t="shared" si="23"/>
        <v>103</v>
      </c>
      <c r="C559" s="1049"/>
      <c r="D559" s="1163" t="s">
        <v>1418</v>
      </c>
      <c r="E559" s="1084"/>
      <c r="F559" s="1058"/>
      <c r="G559" s="1073" t="s">
        <v>338</v>
      </c>
      <c r="H559" s="1122"/>
      <c r="I559" s="1064">
        <f t="shared" si="24"/>
        <v>235000</v>
      </c>
      <c r="J559" s="1065"/>
      <c r="L559" s="8"/>
      <c r="M559" s="8"/>
      <c r="N559" s="434">
        <v>235000</v>
      </c>
      <c r="O559" s="434">
        <v>235000</v>
      </c>
      <c r="P559" s="434">
        <v>235000</v>
      </c>
    </row>
    <row r="560" spans="2:16" x14ac:dyDescent="0.2">
      <c r="B560" s="1072">
        <f t="shared" si="23"/>
        <v>104</v>
      </c>
      <c r="C560" s="1049"/>
      <c r="D560" s="1163" t="s">
        <v>1419</v>
      </c>
      <c r="E560" s="1084"/>
      <c r="F560" s="1058"/>
      <c r="G560" s="1073" t="s">
        <v>338</v>
      </c>
      <c r="H560" s="1122"/>
      <c r="I560" s="1064">
        <f t="shared" si="24"/>
        <v>215000</v>
      </c>
      <c r="J560" s="1065"/>
      <c r="L560" s="8"/>
      <c r="M560" s="8"/>
      <c r="N560" s="434">
        <v>215000</v>
      </c>
      <c r="O560" s="434">
        <v>215000</v>
      </c>
      <c r="P560" s="434">
        <v>215000</v>
      </c>
    </row>
    <row r="561" spans="1:18" x14ac:dyDescent="0.2">
      <c r="B561" s="1072">
        <f t="shared" si="23"/>
        <v>105</v>
      </c>
      <c r="C561" s="1049"/>
      <c r="D561" s="1163" t="s">
        <v>1420</v>
      </c>
      <c r="E561" s="1084"/>
      <c r="F561" s="1058"/>
      <c r="G561" s="1073" t="s">
        <v>338</v>
      </c>
      <c r="H561" s="1122"/>
      <c r="I561" s="1064">
        <f t="shared" si="24"/>
        <v>265000</v>
      </c>
      <c r="J561" s="1065"/>
      <c r="L561" s="8"/>
      <c r="M561" s="8"/>
      <c r="N561" s="434">
        <v>265000</v>
      </c>
      <c r="O561" s="434">
        <v>265000</v>
      </c>
      <c r="P561" s="434">
        <v>265000</v>
      </c>
    </row>
    <row r="562" spans="1:18" x14ac:dyDescent="0.2">
      <c r="B562" s="1072">
        <f t="shared" si="23"/>
        <v>106</v>
      </c>
      <c r="C562" s="1049"/>
      <c r="D562" s="1163" t="s">
        <v>1421</v>
      </c>
      <c r="E562" s="1084"/>
      <c r="F562" s="1058"/>
      <c r="G562" s="1073" t="s">
        <v>338</v>
      </c>
      <c r="H562" s="1122"/>
      <c r="I562" s="1064">
        <f t="shared" si="24"/>
        <v>245000</v>
      </c>
      <c r="J562" s="1065"/>
      <c r="L562" s="8"/>
      <c r="M562" s="8"/>
      <c r="N562" s="434">
        <v>245000</v>
      </c>
      <c r="O562" s="434">
        <v>245000</v>
      </c>
      <c r="P562" s="434">
        <v>245000</v>
      </c>
    </row>
    <row r="563" spans="1:18" x14ac:dyDescent="0.2">
      <c r="B563" s="1072">
        <f t="shared" si="23"/>
        <v>107</v>
      </c>
      <c r="C563" s="1049"/>
      <c r="D563" s="1163" t="s">
        <v>1422</v>
      </c>
      <c r="E563" s="1084"/>
      <c r="F563" s="1058"/>
      <c r="G563" s="1073" t="s">
        <v>338</v>
      </c>
      <c r="H563" s="1122"/>
      <c r="I563" s="1064">
        <f t="shared" si="24"/>
        <v>275000</v>
      </c>
      <c r="J563" s="1065"/>
      <c r="L563" s="8"/>
      <c r="M563" s="8"/>
      <c r="N563" s="434">
        <v>275000</v>
      </c>
      <c r="O563" s="434">
        <v>275000</v>
      </c>
      <c r="P563" s="434">
        <v>275000</v>
      </c>
    </row>
    <row r="564" spans="1:18" x14ac:dyDescent="0.2">
      <c r="B564" s="1072">
        <f t="shared" si="23"/>
        <v>108</v>
      </c>
      <c r="C564" s="1049"/>
      <c r="D564" s="1163" t="s">
        <v>1423</v>
      </c>
      <c r="E564" s="1084"/>
      <c r="F564" s="1058"/>
      <c r="G564" s="1073" t="s">
        <v>338</v>
      </c>
      <c r="H564" s="1122"/>
      <c r="I564" s="1064">
        <f t="shared" si="24"/>
        <v>255000</v>
      </c>
      <c r="J564" s="1065"/>
      <c r="L564" s="8"/>
      <c r="M564" s="8"/>
      <c r="N564" s="434">
        <v>255000</v>
      </c>
      <c r="O564" s="434">
        <v>255000</v>
      </c>
      <c r="P564" s="434">
        <v>255000</v>
      </c>
    </row>
    <row r="565" spans="1:18" x14ac:dyDescent="0.2">
      <c r="B565" s="1072">
        <f t="shared" si="23"/>
        <v>109</v>
      </c>
      <c r="C565" s="1049"/>
      <c r="D565" s="1161" t="s">
        <v>1461</v>
      </c>
      <c r="E565" s="1084"/>
      <c r="F565" s="1058"/>
      <c r="G565" s="1073" t="s">
        <v>338</v>
      </c>
      <c r="H565" s="1122"/>
      <c r="I565" s="1064">
        <f t="shared" si="24"/>
        <v>225000</v>
      </c>
      <c r="J565" s="1065"/>
      <c r="L565" s="8"/>
      <c r="M565" s="8"/>
      <c r="N565" s="8">
        <v>225000</v>
      </c>
      <c r="O565" s="8">
        <v>225000</v>
      </c>
      <c r="P565" s="8">
        <v>225000</v>
      </c>
    </row>
    <row r="566" spans="1:18" s="5" customFormat="1" ht="15.75" x14ac:dyDescent="0.25">
      <c r="A566" s="9"/>
      <c r="B566" s="1072">
        <f t="shared" si="23"/>
        <v>110</v>
      </c>
      <c r="C566" s="1164"/>
      <c r="D566" s="1165" t="s">
        <v>1155</v>
      </c>
      <c r="E566" s="1166"/>
      <c r="F566" s="1166"/>
      <c r="G566" s="1073" t="s">
        <v>268</v>
      </c>
      <c r="H566" s="1071"/>
      <c r="I566" s="1064">
        <f t="shared" si="24"/>
        <v>5600</v>
      </c>
      <c r="J566" s="1065"/>
      <c r="K566" s="210"/>
      <c r="L566" s="8"/>
      <c r="M566" s="8"/>
      <c r="N566" s="8">
        <f>'[5]Usulan 2021'!I651</f>
        <v>5600</v>
      </c>
      <c r="O566" s="8">
        <f>'[5]Usulan 2021'!J651</f>
        <v>5600</v>
      </c>
      <c r="P566" s="8">
        <f>'[5]Usulan 2021'!K651</f>
        <v>5600</v>
      </c>
      <c r="R566" s="6">
        <v>5000</v>
      </c>
    </row>
    <row r="567" spans="1:18" x14ac:dyDescent="0.2">
      <c r="B567" s="1072">
        <f t="shared" si="23"/>
        <v>111</v>
      </c>
      <c r="C567" s="1067"/>
      <c r="D567" s="1167" t="s">
        <v>1154</v>
      </c>
      <c r="E567" s="1075"/>
      <c r="F567" s="1152"/>
      <c r="G567" s="1073" t="s">
        <v>1152</v>
      </c>
      <c r="H567" s="1078"/>
      <c r="I567" s="1064">
        <f t="shared" si="24"/>
        <v>360000</v>
      </c>
      <c r="J567" s="1065"/>
      <c r="L567" s="8"/>
      <c r="M567" s="8"/>
      <c r="N567" s="8">
        <v>360000</v>
      </c>
      <c r="O567" s="8">
        <v>360000</v>
      </c>
      <c r="P567" s="8">
        <v>360000</v>
      </c>
      <c r="R567" s="8">
        <v>330000</v>
      </c>
    </row>
    <row r="568" spans="1:18" x14ac:dyDescent="0.2">
      <c r="B568" s="1072">
        <f t="shared" si="23"/>
        <v>112</v>
      </c>
      <c r="C568" s="1067"/>
      <c r="D568" s="1125" t="s">
        <v>393</v>
      </c>
      <c r="E568" s="1168"/>
      <c r="F568" s="1152"/>
      <c r="G568" s="1073" t="s">
        <v>268</v>
      </c>
      <c r="H568" s="1081"/>
      <c r="I568" s="1064">
        <f t="shared" si="24"/>
        <v>3000</v>
      </c>
      <c r="J568" s="1065"/>
      <c r="L568" s="8"/>
      <c r="M568" s="8"/>
      <c r="N568" s="8">
        <v>3000</v>
      </c>
      <c r="O568" s="8">
        <v>3000</v>
      </c>
      <c r="P568" s="8">
        <v>3000</v>
      </c>
      <c r="R568" s="8">
        <v>3000</v>
      </c>
    </row>
    <row r="569" spans="1:18" x14ac:dyDescent="0.2">
      <c r="B569" s="1072">
        <f t="shared" si="23"/>
        <v>113</v>
      </c>
      <c r="C569" s="1040"/>
      <c r="D569" s="1169" t="s">
        <v>623</v>
      </c>
      <c r="E569" s="607"/>
      <c r="F569" s="990"/>
      <c r="G569" s="1042" t="s">
        <v>273</v>
      </c>
      <c r="H569" s="991"/>
      <c r="I569" s="1064">
        <f t="shared" si="24"/>
        <v>360000</v>
      </c>
      <c r="J569" s="979"/>
      <c r="L569" s="8"/>
      <c r="M569" s="8"/>
      <c r="N569" s="256">
        <v>360000</v>
      </c>
      <c r="O569" s="8">
        <v>360000</v>
      </c>
      <c r="P569" s="8">
        <v>360000</v>
      </c>
      <c r="R569" s="8">
        <v>330000</v>
      </c>
    </row>
    <row r="570" spans="1:18" x14ac:dyDescent="0.2">
      <c r="B570" s="1072">
        <f t="shared" si="23"/>
        <v>114</v>
      </c>
      <c r="C570" s="1040"/>
      <c r="D570" s="1169" t="s">
        <v>622</v>
      </c>
      <c r="E570" s="607"/>
      <c r="F570" s="990"/>
      <c r="G570" s="1042" t="s">
        <v>273</v>
      </c>
      <c r="H570" s="991"/>
      <c r="I570" s="1064">
        <f t="shared" si="24"/>
        <v>66000</v>
      </c>
      <c r="J570" s="979"/>
      <c r="L570" s="8"/>
      <c r="M570" s="8"/>
      <c r="N570" s="256">
        <v>66000</v>
      </c>
      <c r="O570" s="8">
        <v>66000</v>
      </c>
      <c r="P570" s="8">
        <v>66000</v>
      </c>
      <c r="R570" s="8">
        <v>60000</v>
      </c>
    </row>
    <row r="571" spans="1:18" x14ac:dyDescent="0.2">
      <c r="B571" s="1072">
        <f t="shared" si="23"/>
        <v>115</v>
      </c>
      <c r="C571" s="1040"/>
      <c r="D571" s="1169" t="s">
        <v>616</v>
      </c>
      <c r="E571" s="607"/>
      <c r="F571" s="990"/>
      <c r="G571" s="1042" t="s">
        <v>617</v>
      </c>
      <c r="H571" s="991"/>
      <c r="I571" s="1064">
        <f t="shared" si="24"/>
        <v>423000</v>
      </c>
      <c r="J571" s="979"/>
      <c r="L571" s="8"/>
      <c r="M571" s="8"/>
      <c r="N571" s="256">
        <v>423000</v>
      </c>
      <c r="O571" s="8">
        <v>423000</v>
      </c>
      <c r="P571" s="8">
        <v>423000</v>
      </c>
      <c r="R571" s="8">
        <v>385000</v>
      </c>
    </row>
    <row r="572" spans="1:18" x14ac:dyDescent="0.2">
      <c r="B572" s="1072">
        <f t="shared" si="23"/>
        <v>116</v>
      </c>
      <c r="C572" s="1040"/>
      <c r="D572" s="1169" t="s">
        <v>637</v>
      </c>
      <c r="E572" s="607"/>
      <c r="F572" s="990"/>
      <c r="G572" s="1042" t="s">
        <v>273</v>
      </c>
      <c r="H572" s="991"/>
      <c r="I572" s="1064">
        <f t="shared" si="24"/>
        <v>132000</v>
      </c>
      <c r="J572" s="979"/>
      <c r="L572" s="8"/>
      <c r="M572" s="8"/>
      <c r="N572" s="256">
        <v>132000</v>
      </c>
      <c r="O572" s="8">
        <v>132000</v>
      </c>
      <c r="P572" s="8">
        <v>132000</v>
      </c>
      <c r="R572" s="8">
        <v>120000</v>
      </c>
    </row>
    <row r="573" spans="1:18" x14ac:dyDescent="0.2">
      <c r="B573" s="1072">
        <f t="shared" si="23"/>
        <v>117</v>
      </c>
      <c r="C573" s="1040"/>
      <c r="D573" s="1169" t="s">
        <v>618</v>
      </c>
      <c r="E573" s="607"/>
      <c r="F573" s="990"/>
      <c r="G573" s="1042" t="s">
        <v>273</v>
      </c>
      <c r="H573" s="991"/>
      <c r="I573" s="1064">
        <f t="shared" si="24"/>
        <v>2400000</v>
      </c>
      <c r="J573" s="979"/>
      <c r="L573" s="8"/>
      <c r="M573" s="8"/>
      <c r="N573" s="8">
        <v>2400000</v>
      </c>
      <c r="O573" s="8">
        <v>2400000</v>
      </c>
      <c r="P573" s="8">
        <v>2400000</v>
      </c>
      <c r="R573" s="8">
        <v>2200000</v>
      </c>
    </row>
    <row r="574" spans="1:18" x14ac:dyDescent="0.2">
      <c r="B574" s="1072">
        <f t="shared" si="23"/>
        <v>118</v>
      </c>
      <c r="C574" s="1040"/>
      <c r="D574" s="1169" t="s">
        <v>621</v>
      </c>
      <c r="E574" s="607"/>
      <c r="F574" s="990"/>
      <c r="G574" s="1042" t="s">
        <v>617</v>
      </c>
      <c r="H574" s="991"/>
      <c r="I574" s="1064">
        <f t="shared" si="24"/>
        <v>5000000</v>
      </c>
      <c r="J574" s="979"/>
      <c r="L574" s="8"/>
      <c r="M574" s="8"/>
      <c r="N574" s="256">
        <v>5000000</v>
      </c>
      <c r="O574" s="8">
        <v>5000000</v>
      </c>
      <c r="P574" s="8">
        <v>5000000</v>
      </c>
      <c r="R574" s="327">
        <v>880000</v>
      </c>
    </row>
    <row r="575" spans="1:18" x14ac:dyDescent="0.2">
      <c r="B575" s="1072">
        <f t="shared" si="23"/>
        <v>119</v>
      </c>
      <c r="C575" s="1040"/>
      <c r="D575" s="1170" t="s">
        <v>615</v>
      </c>
      <c r="E575" s="607"/>
      <c r="F575" s="990"/>
      <c r="G575" s="1042" t="s">
        <v>392</v>
      </c>
      <c r="H575" s="991"/>
      <c r="I575" s="1064">
        <f t="shared" si="24"/>
        <v>44000</v>
      </c>
      <c r="J575" s="979"/>
      <c r="L575" s="8"/>
      <c r="M575" s="8"/>
      <c r="N575" s="8">
        <v>44000</v>
      </c>
      <c r="O575" s="8">
        <v>44000</v>
      </c>
      <c r="P575" s="8">
        <v>44000</v>
      </c>
      <c r="R575" s="8">
        <v>40000</v>
      </c>
    </row>
    <row r="576" spans="1:18" x14ac:dyDescent="0.2">
      <c r="B576" s="1072">
        <f t="shared" si="23"/>
        <v>120</v>
      </c>
      <c r="C576" s="1040"/>
      <c r="D576" s="1170" t="s">
        <v>634</v>
      </c>
      <c r="E576" s="607"/>
      <c r="F576" s="990"/>
      <c r="G576" s="1042" t="s">
        <v>392</v>
      </c>
      <c r="H576" s="991"/>
      <c r="I576" s="1064">
        <f t="shared" si="24"/>
        <v>44000</v>
      </c>
      <c r="J576" s="979"/>
      <c r="L576" s="8"/>
      <c r="M576" s="8"/>
      <c r="N576" s="8">
        <v>44000</v>
      </c>
      <c r="O576" s="8">
        <v>44000</v>
      </c>
      <c r="P576" s="8">
        <v>44000</v>
      </c>
      <c r="R576" s="8">
        <v>40000</v>
      </c>
    </row>
    <row r="577" spans="2:19" x14ac:dyDescent="0.2">
      <c r="B577" s="1072">
        <f t="shared" si="23"/>
        <v>121</v>
      </c>
      <c r="C577" s="1040"/>
      <c r="D577" s="1169" t="s">
        <v>628</v>
      </c>
      <c r="E577" s="607"/>
      <c r="F577" s="990"/>
      <c r="G577" s="1042" t="s">
        <v>268</v>
      </c>
      <c r="H577" s="991"/>
      <c r="I577" s="1064">
        <f t="shared" si="24"/>
        <v>1320000</v>
      </c>
      <c r="J577" s="979"/>
      <c r="L577" s="8"/>
      <c r="M577" s="8"/>
      <c r="N577" s="8">
        <v>1320000</v>
      </c>
      <c r="O577" s="8">
        <v>1320000</v>
      </c>
      <c r="P577" s="8">
        <v>1320000</v>
      </c>
      <c r="R577" s="8">
        <v>1200000</v>
      </c>
    </row>
    <row r="578" spans="2:19" x14ac:dyDescent="0.2">
      <c r="B578" s="1072">
        <f t="shared" si="23"/>
        <v>122</v>
      </c>
      <c r="C578" s="1040"/>
      <c r="D578" s="1169" t="s">
        <v>629</v>
      </c>
      <c r="E578" s="607"/>
      <c r="F578" s="990"/>
      <c r="G578" s="1042" t="s">
        <v>268</v>
      </c>
      <c r="H578" s="991"/>
      <c r="I578" s="1064">
        <f t="shared" si="24"/>
        <v>880000</v>
      </c>
      <c r="J578" s="979"/>
      <c r="L578" s="8"/>
      <c r="M578" s="8"/>
      <c r="N578" s="8">
        <v>880000</v>
      </c>
      <c r="O578" s="8">
        <v>880000</v>
      </c>
      <c r="P578" s="8">
        <v>880000</v>
      </c>
      <c r="R578" s="8">
        <v>800000</v>
      </c>
    </row>
    <row r="579" spans="2:19" x14ac:dyDescent="0.2">
      <c r="B579" s="1072">
        <f t="shared" si="23"/>
        <v>123</v>
      </c>
      <c r="C579" s="1040"/>
      <c r="D579" s="1169" t="s">
        <v>630</v>
      </c>
      <c r="E579" s="607"/>
      <c r="F579" s="990"/>
      <c r="G579" s="1042" t="s">
        <v>268</v>
      </c>
      <c r="H579" s="991"/>
      <c r="I579" s="1064">
        <f t="shared" si="24"/>
        <v>159000</v>
      </c>
      <c r="J579" s="979"/>
      <c r="L579" s="8"/>
      <c r="M579" s="8"/>
      <c r="N579" s="8">
        <v>159000</v>
      </c>
      <c r="O579" s="8">
        <v>159000</v>
      </c>
      <c r="P579" s="8">
        <v>159000</v>
      </c>
      <c r="R579" s="8">
        <v>145000</v>
      </c>
    </row>
    <row r="580" spans="2:19" x14ac:dyDescent="0.2">
      <c r="B580" s="1072">
        <f t="shared" si="23"/>
        <v>124</v>
      </c>
      <c r="C580" s="1040"/>
      <c r="D580" s="1169" t="s">
        <v>631</v>
      </c>
      <c r="E580" s="607"/>
      <c r="F580" s="990"/>
      <c r="G580" s="1042" t="s">
        <v>268</v>
      </c>
      <c r="H580" s="991"/>
      <c r="I580" s="1064">
        <f t="shared" si="24"/>
        <v>300000</v>
      </c>
      <c r="J580" s="979"/>
      <c r="L580" s="8"/>
      <c r="M580" s="8"/>
      <c r="N580" s="8">
        <v>300000</v>
      </c>
      <c r="O580" s="8">
        <v>300000</v>
      </c>
      <c r="P580" s="8">
        <v>300000</v>
      </c>
      <c r="R580" s="8">
        <v>275000</v>
      </c>
    </row>
    <row r="581" spans="2:19" x14ac:dyDescent="0.2">
      <c r="B581" s="1072">
        <f t="shared" si="23"/>
        <v>125</v>
      </c>
      <c r="C581" s="1040"/>
      <c r="D581" s="1169" t="s">
        <v>626</v>
      </c>
      <c r="E581" s="607"/>
      <c r="F581" s="990"/>
      <c r="G581" s="1042" t="s">
        <v>273</v>
      </c>
      <c r="H581" s="991"/>
      <c r="I581" s="1064">
        <f t="shared" si="24"/>
        <v>1800000</v>
      </c>
      <c r="J581" s="979"/>
      <c r="L581" s="8"/>
      <c r="M581" s="8"/>
      <c r="N581" s="8">
        <v>1800000</v>
      </c>
      <c r="O581" s="8">
        <v>1800000</v>
      </c>
      <c r="P581" s="8">
        <v>1800000</v>
      </c>
      <c r="R581" s="440">
        <v>1650000</v>
      </c>
    </row>
    <row r="582" spans="2:19" x14ac:dyDescent="0.2">
      <c r="B582" s="1072">
        <f t="shared" si="23"/>
        <v>126</v>
      </c>
      <c r="C582" s="1040"/>
      <c r="D582" s="1169" t="s">
        <v>649</v>
      </c>
      <c r="E582" s="607"/>
      <c r="F582" s="990"/>
      <c r="G582" s="1042" t="s">
        <v>273</v>
      </c>
      <c r="H582" s="991"/>
      <c r="I582" s="1064">
        <f t="shared" si="24"/>
        <v>600000</v>
      </c>
      <c r="J582" s="979"/>
      <c r="L582" s="8"/>
      <c r="M582" s="8"/>
      <c r="N582" s="8">
        <v>600000</v>
      </c>
      <c r="O582" s="8">
        <v>600000</v>
      </c>
      <c r="P582" s="8">
        <v>600000</v>
      </c>
      <c r="R582" s="8">
        <v>550000</v>
      </c>
    </row>
    <row r="583" spans="2:19" x14ac:dyDescent="0.2">
      <c r="B583" s="1072">
        <f t="shared" si="23"/>
        <v>127</v>
      </c>
      <c r="C583" s="1040"/>
      <c r="D583" s="1169" t="s">
        <v>708</v>
      </c>
      <c r="E583" s="607"/>
      <c r="F583" s="990"/>
      <c r="G583" s="1042" t="s">
        <v>273</v>
      </c>
      <c r="H583" s="991"/>
      <c r="I583" s="1064">
        <f t="shared" si="24"/>
        <v>900000</v>
      </c>
      <c r="J583" s="979"/>
      <c r="L583" s="8"/>
      <c r="M583" s="8"/>
      <c r="N583" s="8">
        <v>900000</v>
      </c>
      <c r="O583" s="8">
        <v>900000</v>
      </c>
      <c r="P583" s="8">
        <v>900000</v>
      </c>
      <c r="R583" s="8">
        <v>825000</v>
      </c>
    </row>
    <row r="584" spans="2:19" x14ac:dyDescent="0.2">
      <c r="B584" s="1072">
        <f t="shared" si="23"/>
        <v>128</v>
      </c>
      <c r="C584" s="1040"/>
      <c r="D584" s="1171" t="s">
        <v>627</v>
      </c>
      <c r="E584" s="607"/>
      <c r="F584" s="990"/>
      <c r="G584" s="1042" t="s">
        <v>268</v>
      </c>
      <c r="H584" s="991"/>
      <c r="I584" s="1064">
        <f t="shared" si="24"/>
        <v>6000</v>
      </c>
      <c r="J584" s="1172"/>
      <c r="L584" s="8"/>
      <c r="M584" s="8"/>
      <c r="N584" s="8">
        <v>6000</v>
      </c>
      <c r="O584" s="8">
        <v>6000</v>
      </c>
      <c r="P584" s="8">
        <v>6000</v>
      </c>
      <c r="R584" s="8">
        <v>6000</v>
      </c>
    </row>
    <row r="585" spans="2:19" s="449" customFormat="1" ht="15.75" x14ac:dyDescent="0.2">
      <c r="B585" s="1072">
        <f t="shared" si="23"/>
        <v>129</v>
      </c>
      <c r="C585" s="1173"/>
      <c r="D585" s="1174" t="s">
        <v>1144</v>
      </c>
      <c r="E585" s="1175"/>
      <c r="F585" s="1175"/>
      <c r="G585" s="1176" t="s">
        <v>273</v>
      </c>
      <c r="H585" s="1177"/>
      <c r="I585" s="1064">
        <v>0</v>
      </c>
      <c r="J585" s="1178"/>
      <c r="L585" s="8"/>
      <c r="N585" s="450">
        <v>5000000</v>
      </c>
      <c r="O585" s="450">
        <v>5000000</v>
      </c>
      <c r="P585" s="450">
        <v>5000000</v>
      </c>
      <c r="R585" s="451">
        <v>3000000</v>
      </c>
      <c r="S585" s="452"/>
    </row>
    <row r="586" spans="2:19" s="449" customFormat="1" ht="15.75" x14ac:dyDescent="0.2">
      <c r="B586" s="1072">
        <f t="shared" si="23"/>
        <v>130</v>
      </c>
      <c r="C586" s="1173"/>
      <c r="D586" s="1179" t="s">
        <v>1346</v>
      </c>
      <c r="E586" s="1175"/>
      <c r="F586" s="1175"/>
      <c r="G586" s="1176" t="s">
        <v>273</v>
      </c>
      <c r="H586" s="1177"/>
      <c r="I586" s="1064">
        <f t="shared" si="24"/>
        <v>550000</v>
      </c>
      <c r="J586" s="1178"/>
      <c r="L586" s="8"/>
      <c r="N586" s="450">
        <v>550000</v>
      </c>
      <c r="O586" s="450">
        <v>550000</v>
      </c>
      <c r="P586" s="450">
        <v>550000</v>
      </c>
      <c r="R586" s="451">
        <v>500000</v>
      </c>
      <c r="S586" s="452"/>
    </row>
    <row r="587" spans="2:19" s="449" customFormat="1" ht="15.75" x14ac:dyDescent="0.2">
      <c r="B587" s="1072">
        <f t="shared" si="23"/>
        <v>131</v>
      </c>
      <c r="C587" s="1180"/>
      <c r="D587" s="1181" t="s">
        <v>1462</v>
      </c>
      <c r="E587" s="1182"/>
      <c r="F587" s="1182"/>
      <c r="G587" s="1183" t="s">
        <v>273</v>
      </c>
      <c r="H587" s="1184"/>
      <c r="I587" s="1185">
        <f t="shared" si="24"/>
        <v>550000</v>
      </c>
      <c r="J587" s="1178"/>
      <c r="L587" s="8"/>
      <c r="N587" s="450">
        <v>550000</v>
      </c>
      <c r="O587" s="450">
        <v>550000</v>
      </c>
      <c r="P587" s="450">
        <v>550000</v>
      </c>
      <c r="R587" s="451">
        <v>500000</v>
      </c>
      <c r="S587" s="452"/>
    </row>
    <row r="588" spans="2:19" s="449" customFormat="1" ht="15.75" x14ac:dyDescent="0.2">
      <c r="B588" s="1072">
        <f t="shared" si="23"/>
        <v>132</v>
      </c>
      <c r="C588" s="1173"/>
      <c r="D588" s="1186" t="s">
        <v>646</v>
      </c>
      <c r="E588" s="1175"/>
      <c r="F588" s="1175"/>
      <c r="G588" s="1176" t="s">
        <v>275</v>
      </c>
      <c r="H588" s="1177"/>
      <c r="I588" s="1064">
        <f t="shared" si="24"/>
        <v>7000000</v>
      </c>
      <c r="J588" s="1178"/>
      <c r="L588" s="8"/>
      <c r="N588" s="450">
        <v>7000000</v>
      </c>
      <c r="O588" s="450">
        <v>7000000</v>
      </c>
      <c r="P588" s="450">
        <v>7000000</v>
      </c>
      <c r="R588" s="451">
        <v>7000000</v>
      </c>
      <c r="S588" s="452"/>
    </row>
    <row r="589" spans="2:19" s="326" customFormat="1" x14ac:dyDescent="0.2">
      <c r="B589" s="1072">
        <f t="shared" si="23"/>
        <v>133</v>
      </c>
      <c r="C589" s="1101"/>
      <c r="D589" s="1187" t="s">
        <v>1463</v>
      </c>
      <c r="E589" s="1102"/>
      <c r="F589" s="1188"/>
      <c r="G589" s="1189" t="s">
        <v>266</v>
      </c>
      <c r="H589" s="1105"/>
      <c r="I589" s="1064">
        <f t="shared" si="24"/>
        <v>62500</v>
      </c>
      <c r="J589" s="1127"/>
      <c r="L589" s="8"/>
      <c r="M589" s="327"/>
      <c r="N589" s="8">
        <v>62500</v>
      </c>
      <c r="O589" s="8">
        <v>62500</v>
      </c>
      <c r="P589" s="8">
        <v>62500</v>
      </c>
      <c r="R589" s="440">
        <v>62500</v>
      </c>
    </row>
    <row r="590" spans="2:19" s="326" customFormat="1" x14ac:dyDescent="0.2">
      <c r="B590" s="1072">
        <f t="shared" si="23"/>
        <v>134</v>
      </c>
      <c r="C590" s="1101"/>
      <c r="D590" s="1187" t="s">
        <v>1464</v>
      </c>
      <c r="E590" s="1102"/>
      <c r="F590" s="1188"/>
      <c r="G590" s="1189" t="s">
        <v>266</v>
      </c>
      <c r="H590" s="1105"/>
      <c r="I590" s="1064">
        <f t="shared" si="24"/>
        <v>90000</v>
      </c>
      <c r="J590" s="1127"/>
      <c r="L590" s="8"/>
      <c r="M590" s="327"/>
      <c r="N590" s="8">
        <v>90000</v>
      </c>
      <c r="O590" s="8">
        <v>90000</v>
      </c>
      <c r="P590" s="8">
        <v>90000</v>
      </c>
      <c r="R590" s="440">
        <v>90000</v>
      </c>
    </row>
    <row r="591" spans="2:19" s="326" customFormat="1" x14ac:dyDescent="0.2">
      <c r="B591" s="1072">
        <f t="shared" si="23"/>
        <v>135</v>
      </c>
      <c r="C591" s="1190"/>
      <c r="D591" s="1191" t="s">
        <v>1465</v>
      </c>
      <c r="E591" s="1192"/>
      <c r="F591" s="1193"/>
      <c r="G591" s="1194" t="s">
        <v>268</v>
      </c>
      <c r="H591" s="1195"/>
      <c r="I591" s="1064">
        <f t="shared" si="24"/>
        <v>3200</v>
      </c>
      <c r="J591" s="1196"/>
      <c r="L591" s="327"/>
      <c r="M591" s="327"/>
      <c r="N591" s="8">
        <v>3200</v>
      </c>
      <c r="O591" s="8">
        <v>3200</v>
      </c>
      <c r="P591" s="8">
        <v>3200</v>
      </c>
      <c r="R591" s="440">
        <v>3100</v>
      </c>
    </row>
    <row r="592" spans="2:19" x14ac:dyDescent="0.2">
      <c r="B592" s="1072">
        <f t="shared" si="23"/>
        <v>136</v>
      </c>
      <c r="C592" s="1197"/>
      <c r="D592" s="472" t="s">
        <v>255</v>
      </c>
      <c r="E592" s="1198"/>
      <c r="F592" s="1199"/>
      <c r="G592" s="1200" t="s">
        <v>298</v>
      </c>
      <c r="H592" s="1201"/>
      <c r="I592" s="1064">
        <f t="shared" si="24"/>
        <v>30000</v>
      </c>
      <c r="J592" s="1202"/>
      <c r="L592" s="8"/>
      <c r="M592" s="8"/>
      <c r="N592" s="8">
        <v>30000</v>
      </c>
      <c r="O592" s="8">
        <v>30000</v>
      </c>
      <c r="P592" s="8">
        <v>30000</v>
      </c>
      <c r="R592" s="440">
        <v>30000</v>
      </c>
    </row>
    <row r="593" spans="2:18" x14ac:dyDescent="0.2">
      <c r="B593" s="1072">
        <f t="shared" si="23"/>
        <v>137</v>
      </c>
      <c r="C593" s="1197"/>
      <c r="D593" s="1203" t="s">
        <v>1466</v>
      </c>
      <c r="E593" s="1198"/>
      <c r="F593" s="1199"/>
      <c r="G593" s="1200" t="s">
        <v>277</v>
      </c>
      <c r="H593" s="1204"/>
      <c r="I593" s="1205">
        <f>N593</f>
        <v>85000</v>
      </c>
      <c r="J593" s="1202"/>
      <c r="L593" s="8"/>
      <c r="M593" s="8"/>
      <c r="N593" s="8">
        <v>85000</v>
      </c>
      <c r="O593" s="8">
        <v>85000</v>
      </c>
      <c r="P593" s="8">
        <v>85000</v>
      </c>
    </row>
    <row r="594" spans="2:18" x14ac:dyDescent="0.2">
      <c r="B594" s="1072">
        <f t="shared" si="23"/>
        <v>138</v>
      </c>
      <c r="C594" s="1197"/>
      <c r="D594" s="1203" t="s">
        <v>1467</v>
      </c>
      <c r="E594" s="1198"/>
      <c r="F594" s="1199"/>
      <c r="G594" s="1200" t="s">
        <v>277</v>
      </c>
      <c r="H594" s="1204"/>
      <c r="I594" s="1205">
        <f t="shared" ref="I594:I602" si="25">N594</f>
        <v>40000</v>
      </c>
      <c r="J594" s="1202"/>
      <c r="L594" s="8"/>
      <c r="M594" s="8"/>
      <c r="N594" s="8">
        <v>40000</v>
      </c>
      <c r="O594" s="8">
        <v>40000</v>
      </c>
      <c r="P594" s="8">
        <v>40000</v>
      </c>
    </row>
    <row r="595" spans="2:18" x14ac:dyDescent="0.2">
      <c r="B595" s="1072">
        <f t="shared" si="23"/>
        <v>139</v>
      </c>
      <c r="C595" s="1197"/>
      <c r="D595" s="1206" t="s">
        <v>1447</v>
      </c>
      <c r="E595" s="1198"/>
      <c r="F595" s="1199"/>
      <c r="G595" s="1200" t="s">
        <v>268</v>
      </c>
      <c r="H595" s="1204"/>
      <c r="I595" s="1205">
        <f t="shared" si="25"/>
        <v>105000</v>
      </c>
      <c r="J595" s="1202"/>
      <c r="L595" s="8"/>
      <c r="M595" s="8"/>
      <c r="N595" s="8">
        <v>105000</v>
      </c>
      <c r="O595" s="8">
        <v>105000</v>
      </c>
      <c r="P595" s="8">
        <v>105000</v>
      </c>
      <c r="R595" s="210">
        <v>105000</v>
      </c>
    </row>
    <row r="596" spans="2:18" x14ac:dyDescent="0.2">
      <c r="B596" s="1072">
        <f t="shared" si="23"/>
        <v>140</v>
      </c>
      <c r="C596" s="1197"/>
      <c r="D596" s="1206" t="s">
        <v>1448</v>
      </c>
      <c r="E596" s="1198"/>
      <c r="F596" s="1199"/>
      <c r="G596" s="1200" t="s">
        <v>268</v>
      </c>
      <c r="H596" s="1204"/>
      <c r="I596" s="1205">
        <f t="shared" si="25"/>
        <v>7200</v>
      </c>
      <c r="J596" s="1202"/>
      <c r="L596" s="8"/>
      <c r="M596" s="8"/>
      <c r="N596" s="8">
        <v>7200</v>
      </c>
      <c r="O596" s="8">
        <v>7200</v>
      </c>
      <c r="P596" s="8">
        <v>7200</v>
      </c>
      <c r="R596" s="210">
        <v>7200</v>
      </c>
    </row>
    <row r="597" spans="2:18" x14ac:dyDescent="0.2">
      <c r="B597" s="1072">
        <f t="shared" si="23"/>
        <v>141</v>
      </c>
      <c r="C597" s="1197"/>
      <c r="D597" s="1206" t="s">
        <v>1449</v>
      </c>
      <c r="E597" s="1198"/>
      <c r="F597" s="1199"/>
      <c r="G597" s="1200" t="s">
        <v>268</v>
      </c>
      <c r="H597" s="1204"/>
      <c r="I597" s="1205">
        <f t="shared" si="25"/>
        <v>8800</v>
      </c>
      <c r="J597" s="1202"/>
      <c r="L597" s="8"/>
      <c r="M597" s="8"/>
      <c r="N597" s="8">
        <v>8800</v>
      </c>
      <c r="O597" s="8">
        <v>8800</v>
      </c>
      <c r="P597" s="8">
        <v>8800</v>
      </c>
      <c r="R597" s="210">
        <v>8800</v>
      </c>
    </row>
    <row r="598" spans="2:18" x14ac:dyDescent="0.2">
      <c r="B598" s="1072">
        <f t="shared" si="23"/>
        <v>142</v>
      </c>
      <c r="C598" s="1197"/>
      <c r="D598" s="1206" t="s">
        <v>1450</v>
      </c>
      <c r="E598" s="1198"/>
      <c r="F598" s="1199"/>
      <c r="G598" s="1200" t="s">
        <v>268</v>
      </c>
      <c r="H598" s="1204"/>
      <c r="I598" s="1205">
        <f t="shared" si="25"/>
        <v>7200</v>
      </c>
      <c r="J598" s="1202"/>
      <c r="L598" s="8"/>
      <c r="M598" s="8"/>
      <c r="N598" s="8">
        <v>7200</v>
      </c>
      <c r="O598" s="8">
        <v>7200</v>
      </c>
      <c r="P598" s="8">
        <v>7200</v>
      </c>
      <c r="R598" s="210">
        <v>7200</v>
      </c>
    </row>
    <row r="599" spans="2:18" x14ac:dyDescent="0.2">
      <c r="B599" s="1072">
        <f t="shared" si="23"/>
        <v>143</v>
      </c>
      <c r="C599" s="1197"/>
      <c r="D599" s="1206" t="s">
        <v>1451</v>
      </c>
      <c r="E599" s="1198"/>
      <c r="F599" s="1199"/>
      <c r="G599" s="1200" t="s">
        <v>268</v>
      </c>
      <c r="H599" s="1204"/>
      <c r="I599" s="1205">
        <f t="shared" si="25"/>
        <v>7200</v>
      </c>
      <c r="J599" s="1202"/>
      <c r="L599" s="8"/>
      <c r="M599" s="8"/>
      <c r="N599" s="8">
        <v>7200</v>
      </c>
      <c r="O599" s="8">
        <v>7200</v>
      </c>
      <c r="P599" s="8">
        <v>7200</v>
      </c>
      <c r="R599" s="210">
        <v>7200</v>
      </c>
    </row>
    <row r="600" spans="2:18" x14ac:dyDescent="0.2">
      <c r="B600" s="1072">
        <f t="shared" si="23"/>
        <v>144</v>
      </c>
      <c r="C600" s="1197"/>
      <c r="D600" s="1206" t="s">
        <v>1452</v>
      </c>
      <c r="E600" s="1198"/>
      <c r="F600" s="1199"/>
      <c r="G600" s="1200" t="s">
        <v>268</v>
      </c>
      <c r="H600" s="1204"/>
      <c r="I600" s="1205">
        <f t="shared" si="25"/>
        <v>6600</v>
      </c>
      <c r="J600" s="1202"/>
      <c r="L600" s="8"/>
      <c r="M600" s="8"/>
      <c r="N600" s="8">
        <v>6600</v>
      </c>
      <c r="O600" s="8">
        <v>6600</v>
      </c>
      <c r="P600" s="8">
        <v>6600</v>
      </c>
      <c r="R600" s="210">
        <v>6600</v>
      </c>
    </row>
    <row r="601" spans="2:18" x14ac:dyDescent="0.2">
      <c r="B601" s="1072">
        <f t="shared" si="23"/>
        <v>145</v>
      </c>
      <c r="C601" s="1197"/>
      <c r="D601" s="1206" t="s">
        <v>1453</v>
      </c>
      <c r="E601" s="1198"/>
      <c r="F601" s="1199"/>
      <c r="G601" s="1200" t="s">
        <v>268</v>
      </c>
      <c r="H601" s="1204"/>
      <c r="I601" s="1205">
        <f t="shared" si="25"/>
        <v>38500</v>
      </c>
      <c r="J601" s="1202"/>
      <c r="L601" s="8"/>
      <c r="M601" s="8"/>
      <c r="N601" s="8">
        <v>38500</v>
      </c>
      <c r="O601" s="8">
        <v>38500</v>
      </c>
      <c r="P601" s="8">
        <v>38500</v>
      </c>
      <c r="R601" s="210">
        <v>38500</v>
      </c>
    </row>
    <row r="602" spans="2:18" x14ac:dyDescent="0.2">
      <c r="B602" s="1072">
        <f t="shared" si="23"/>
        <v>146</v>
      </c>
      <c r="C602" s="1197"/>
      <c r="D602" s="1206" t="s">
        <v>1454</v>
      </c>
      <c r="E602" s="1198"/>
      <c r="F602" s="1199"/>
      <c r="G602" s="1200" t="s">
        <v>268</v>
      </c>
      <c r="H602" s="1204"/>
      <c r="I602" s="1205">
        <f t="shared" si="25"/>
        <v>20000</v>
      </c>
      <c r="J602" s="1202"/>
      <c r="L602" s="8"/>
      <c r="M602" s="8"/>
      <c r="N602" s="342">
        <v>20000</v>
      </c>
      <c r="O602" s="342">
        <v>20000</v>
      </c>
      <c r="P602" s="342">
        <v>20000</v>
      </c>
      <c r="R602" s="210">
        <v>13000</v>
      </c>
    </row>
    <row r="603" spans="2:18" x14ac:dyDescent="0.2">
      <c r="B603" s="1072">
        <f t="shared" si="23"/>
        <v>147</v>
      </c>
      <c r="C603" s="1197"/>
      <c r="D603" s="1207" t="s">
        <v>1455</v>
      </c>
      <c r="E603" s="1198"/>
      <c r="F603" s="1199"/>
      <c r="G603" s="1200" t="s">
        <v>268</v>
      </c>
      <c r="H603" s="1204"/>
      <c r="I603" s="1205">
        <v>10700</v>
      </c>
      <c r="J603" s="1202"/>
      <c r="L603" s="8"/>
      <c r="M603" s="8"/>
      <c r="N603" s="8"/>
      <c r="O603" s="8"/>
      <c r="P603" s="8"/>
    </row>
    <row r="604" spans="2:18" x14ac:dyDescent="0.2">
      <c r="B604" s="1072">
        <f t="shared" si="23"/>
        <v>148</v>
      </c>
      <c r="C604" s="1197"/>
      <c r="D604" s="482" t="s">
        <v>1456</v>
      </c>
      <c r="E604" s="1198"/>
      <c r="F604" s="1199"/>
      <c r="G604" s="1200" t="s">
        <v>298</v>
      </c>
      <c r="H604" s="1204"/>
      <c r="I604" s="1205">
        <v>3125</v>
      </c>
      <c r="J604" s="1202"/>
      <c r="L604" s="8"/>
      <c r="M604" s="8"/>
      <c r="N604" s="8">
        <f>125000/40</f>
        <v>3125</v>
      </c>
      <c r="O604" s="8"/>
      <c r="P604" s="8"/>
    </row>
    <row r="605" spans="2:18" x14ac:dyDescent="0.2">
      <c r="B605" s="1072">
        <f t="shared" si="23"/>
        <v>149</v>
      </c>
      <c r="C605" s="1197"/>
      <c r="D605" s="1192" t="s">
        <v>1457</v>
      </c>
      <c r="E605" s="1198"/>
      <c r="F605" s="1199"/>
      <c r="G605" s="1200" t="s">
        <v>298</v>
      </c>
      <c r="H605" s="1204"/>
      <c r="I605" s="1205">
        <v>4000</v>
      </c>
      <c r="J605" s="1202"/>
      <c r="L605" s="8"/>
      <c r="M605" s="8"/>
      <c r="N605" s="8">
        <f>160000/40</f>
        <v>4000</v>
      </c>
      <c r="O605" s="8"/>
      <c r="P605" s="8"/>
    </row>
    <row r="606" spans="2:18" x14ac:dyDescent="0.2">
      <c r="B606" s="1072">
        <f t="shared" si="23"/>
        <v>150</v>
      </c>
      <c r="C606" s="1197"/>
      <c r="D606" s="1192" t="s">
        <v>1458</v>
      </c>
      <c r="E606" s="1198"/>
      <c r="F606" s="1199"/>
      <c r="G606" s="1200" t="s">
        <v>298</v>
      </c>
      <c r="H606" s="1204"/>
      <c r="I606" s="1205">
        <v>1500</v>
      </c>
      <c r="J606" s="1202"/>
      <c r="L606" s="8"/>
      <c r="M606" s="8"/>
      <c r="N606" s="8">
        <f>60000/40</f>
        <v>1500</v>
      </c>
      <c r="O606" s="8"/>
      <c r="P606" s="8"/>
    </row>
    <row r="607" spans="2:18" x14ac:dyDescent="0.2">
      <c r="B607" s="1072">
        <f t="shared" si="23"/>
        <v>151</v>
      </c>
      <c r="C607" s="1197"/>
      <c r="D607" s="1198" t="s">
        <v>1675</v>
      </c>
      <c r="E607" s="1198"/>
      <c r="F607" s="1199"/>
      <c r="G607" s="1200" t="s">
        <v>273</v>
      </c>
      <c r="H607" s="1204"/>
      <c r="I607" s="1205">
        <v>4000000</v>
      </c>
      <c r="J607" s="1202"/>
      <c r="L607" s="8"/>
      <c r="M607" s="8"/>
      <c r="N607" s="8"/>
      <c r="O607" s="8"/>
      <c r="P607" s="8"/>
    </row>
    <row r="608" spans="2:18" x14ac:dyDescent="0.2">
      <c r="B608" s="1072">
        <f t="shared" si="23"/>
        <v>152</v>
      </c>
      <c r="C608" s="1197"/>
      <c r="D608" s="1198" t="s">
        <v>1395</v>
      </c>
      <c r="E608" s="1198"/>
      <c r="F608" s="1199"/>
      <c r="G608" s="1200" t="s">
        <v>273</v>
      </c>
      <c r="H608" s="1204"/>
      <c r="I608" s="1205">
        <v>0</v>
      </c>
      <c r="J608" s="1202"/>
      <c r="L608" s="8"/>
      <c r="M608" s="8"/>
      <c r="N608" s="8"/>
      <c r="O608" s="8"/>
      <c r="P608" s="8"/>
    </row>
    <row r="609" spans="2:18" x14ac:dyDescent="0.2">
      <c r="B609" s="1072">
        <f t="shared" si="23"/>
        <v>153</v>
      </c>
      <c r="C609" s="1208"/>
      <c r="D609" s="1209" t="s">
        <v>1482</v>
      </c>
      <c r="E609" s="1209"/>
      <c r="F609" s="1210"/>
      <c r="G609" s="1211" t="s">
        <v>273</v>
      </c>
      <c r="H609" s="1212"/>
      <c r="I609" s="1213">
        <v>1000000</v>
      </c>
      <c r="J609" s="1202"/>
      <c r="L609" s="8"/>
      <c r="M609" s="8"/>
      <c r="N609" s="8"/>
      <c r="O609" s="8"/>
      <c r="P609" s="8"/>
    </row>
    <row r="610" spans="2:18" x14ac:dyDescent="0.2">
      <c r="B610" s="1072">
        <f t="shared" ref="B610" si="26">B609+1</f>
        <v>154</v>
      </c>
      <c r="C610" s="1040"/>
      <c r="D610" s="1169" t="s">
        <v>700</v>
      </c>
      <c r="E610" s="607"/>
      <c r="F610" s="990"/>
      <c r="G610" s="1042" t="s">
        <v>617</v>
      </c>
      <c r="H610" s="991"/>
      <c r="I610" s="1064">
        <v>880000</v>
      </c>
      <c r="J610" s="979"/>
      <c r="L610" s="8"/>
      <c r="M610" s="8"/>
      <c r="N610" s="256">
        <v>5000000</v>
      </c>
      <c r="O610" s="8">
        <v>5000000</v>
      </c>
      <c r="P610" s="8">
        <v>5000000</v>
      </c>
      <c r="R610" s="327">
        <v>880000</v>
      </c>
    </row>
    <row r="611" spans="2:18" x14ac:dyDescent="0.2">
      <c r="B611" s="1214"/>
      <c r="C611" s="1197"/>
      <c r="D611" s="1198"/>
      <c r="E611" s="1198"/>
      <c r="F611" s="1199"/>
      <c r="G611" s="1200"/>
      <c r="H611" s="1204"/>
      <c r="I611" s="1205"/>
      <c r="J611" s="1202"/>
      <c r="L611" s="8"/>
      <c r="M611" s="8"/>
      <c r="N611" s="8"/>
      <c r="O611" s="8"/>
      <c r="P611" s="8"/>
    </row>
    <row r="612" spans="2:18" s="449" customFormat="1" ht="16.5" thickBot="1" x14ac:dyDescent="0.25">
      <c r="B612" s="1215"/>
      <c r="C612" s="1216"/>
      <c r="D612" s="1217"/>
      <c r="E612" s="1218"/>
      <c r="F612" s="1218"/>
      <c r="G612" s="1219"/>
      <c r="H612" s="1220"/>
      <c r="I612" s="1221"/>
      <c r="J612" s="1222"/>
      <c r="L612" s="1223"/>
    </row>
    <row r="613" spans="2:18" s="449" customFormat="1" ht="16.5" thickTop="1" x14ac:dyDescent="0.2">
      <c r="B613" s="14"/>
      <c r="C613" s="498"/>
      <c r="D613" s="499"/>
      <c r="E613" s="500"/>
      <c r="F613" s="500"/>
      <c r="G613" s="501"/>
      <c r="H613" s="502"/>
      <c r="I613" s="503"/>
      <c r="J613" s="504"/>
      <c r="L613" s="505"/>
    </row>
    <row r="614" spans="2:18" x14ac:dyDescent="0.2">
      <c r="B614" s="14"/>
      <c r="C614" s="218"/>
      <c r="D614" s="222"/>
      <c r="E614" s="223"/>
      <c r="F614" s="217"/>
      <c r="G614" s="14"/>
      <c r="H614" s="296" t="s">
        <v>1496</v>
      </c>
      <c r="J614" s="220"/>
      <c r="L614" s="8"/>
      <c r="M614" s="8"/>
      <c r="N614" s="8"/>
      <c r="O614" s="8"/>
      <c r="P614" s="8"/>
    </row>
    <row r="615" spans="2:18" x14ac:dyDescent="0.2">
      <c r="B615" s="14"/>
      <c r="C615" s="218"/>
      <c r="D615" s="222"/>
      <c r="E615" s="223"/>
      <c r="F615" s="217"/>
      <c r="G615" s="14"/>
      <c r="H615" s="296"/>
      <c r="J615" s="220"/>
      <c r="L615" s="8"/>
      <c r="M615" s="8"/>
      <c r="N615" s="8"/>
      <c r="O615" s="8"/>
      <c r="P615" s="8"/>
    </row>
    <row r="616" spans="2:18" x14ac:dyDescent="0.2">
      <c r="B616" s="14"/>
      <c r="C616" s="218"/>
      <c r="D616" s="222"/>
      <c r="E616" s="223"/>
      <c r="F616" s="217"/>
      <c r="G616" s="14"/>
      <c r="H616" s="224" t="str">
        <f>'[5]RAB SUMUR'!K121</f>
        <v>KEPALA DINAS PEKERJAAN UMUM DAN PERUMAHAN RAKYAT</v>
      </c>
      <c r="J616" s="220"/>
      <c r="L616" s="8"/>
      <c r="M616" s="8"/>
      <c r="N616" s="8"/>
      <c r="O616" s="8"/>
      <c r="P616" s="8"/>
    </row>
    <row r="617" spans="2:18" x14ac:dyDescent="0.2">
      <c r="B617" s="14"/>
      <c r="C617" s="218"/>
      <c r="D617" s="222"/>
      <c r="E617" s="223"/>
      <c r="F617" s="217"/>
      <c r="G617" s="14"/>
      <c r="H617" s="224" t="str">
        <f>'[5]RAB SUMUR'!K122</f>
        <v>KABUPATEN KARANGANYAR</v>
      </c>
      <c r="J617" s="220"/>
      <c r="L617" s="8"/>
      <c r="M617" s="8"/>
      <c r="N617" s="8"/>
      <c r="O617" s="8"/>
      <c r="P617" s="8"/>
    </row>
    <row r="618" spans="2:18" x14ac:dyDescent="0.2">
      <c r="B618" s="14"/>
      <c r="C618" s="218"/>
      <c r="D618" s="222"/>
      <c r="E618" s="223"/>
      <c r="F618" s="217"/>
      <c r="G618" s="14"/>
      <c r="H618" s="224"/>
      <c r="J618" s="220"/>
      <c r="L618" s="8"/>
      <c r="M618" s="8"/>
      <c r="N618" s="8"/>
      <c r="O618" s="8"/>
      <c r="P618" s="8"/>
    </row>
    <row r="619" spans="2:18" x14ac:dyDescent="0.2">
      <c r="B619" s="14"/>
      <c r="C619" s="218"/>
      <c r="D619" s="222"/>
      <c r="E619" s="223"/>
      <c r="F619" s="217"/>
      <c r="G619" s="14"/>
      <c r="H619" s="224"/>
      <c r="J619" s="220"/>
      <c r="L619" s="8"/>
      <c r="M619" s="8"/>
      <c r="N619" s="8"/>
      <c r="O619" s="8"/>
      <c r="P619" s="8"/>
    </row>
    <row r="620" spans="2:18" x14ac:dyDescent="0.2">
      <c r="B620" s="14"/>
      <c r="C620" s="218"/>
      <c r="D620" s="222"/>
      <c r="E620" s="223"/>
      <c r="F620" s="217"/>
      <c r="G620" s="14"/>
      <c r="H620" s="224"/>
      <c r="J620" s="220"/>
      <c r="L620" s="8"/>
      <c r="M620" s="8"/>
      <c r="N620" s="8"/>
      <c r="O620" s="8"/>
      <c r="P620" s="8"/>
    </row>
    <row r="621" spans="2:18" x14ac:dyDescent="0.2">
      <c r="B621" s="14"/>
      <c r="C621" s="218"/>
      <c r="D621" s="222"/>
      <c r="E621" s="223"/>
      <c r="F621" s="217"/>
      <c r="G621" s="14"/>
      <c r="H621" s="224"/>
      <c r="J621" s="220"/>
      <c r="L621" s="8"/>
      <c r="M621" s="8"/>
      <c r="N621" s="8"/>
      <c r="O621" s="8"/>
      <c r="P621" s="8"/>
    </row>
    <row r="622" spans="2:18" x14ac:dyDescent="0.2">
      <c r="B622" s="14"/>
      <c r="C622" s="218"/>
      <c r="D622" s="222"/>
      <c r="E622" s="223"/>
      <c r="F622" s="217"/>
      <c r="G622" s="14"/>
      <c r="H622" s="224" t="str">
        <f>'[5]RAB SUMUR'!K127</f>
        <v>EDHY SRIYATNO, ST, MT</v>
      </c>
      <c r="J622" s="220"/>
      <c r="L622" s="8"/>
      <c r="M622" s="8"/>
      <c r="N622" s="8"/>
      <c r="O622" s="8"/>
      <c r="P622" s="8"/>
    </row>
    <row r="623" spans="2:18" x14ac:dyDescent="0.2">
      <c r="B623" s="14"/>
      <c r="C623" s="218"/>
      <c r="D623" s="222"/>
      <c r="E623" s="223"/>
      <c r="F623" s="217"/>
      <c r="G623" s="14"/>
      <c r="H623" s="296" t="str">
        <f>'[5]RAB SUMUR'!K128</f>
        <v>NIP. 19600323 198703 1 007</v>
      </c>
      <c r="J623" s="220"/>
      <c r="L623" s="8"/>
      <c r="M623" s="8"/>
      <c r="N623" s="8"/>
      <c r="O623" s="8"/>
      <c r="P623" s="8"/>
    </row>
    <row r="624" spans="2:18" x14ac:dyDescent="0.2">
      <c r="B624" s="14"/>
      <c r="C624" s="218"/>
      <c r="D624" s="222"/>
      <c r="E624" s="223"/>
      <c r="F624" s="217"/>
      <c r="G624" s="14"/>
      <c r="H624" s="296"/>
      <c r="J624" s="220"/>
      <c r="L624" s="8"/>
      <c r="M624" s="8"/>
      <c r="N624" s="8"/>
      <c r="O624" s="8"/>
      <c r="P624" s="8"/>
    </row>
    <row r="625" spans="2:16" x14ac:dyDescent="0.2">
      <c r="B625" s="14"/>
      <c r="C625" s="218"/>
      <c r="D625" s="222"/>
      <c r="E625" s="223"/>
      <c r="F625" s="217"/>
      <c r="G625" s="14"/>
      <c r="H625" s="296"/>
      <c r="J625" s="220"/>
      <c r="L625" s="8"/>
      <c r="M625" s="8"/>
      <c r="N625" s="8"/>
      <c r="O625" s="8"/>
      <c r="P625" s="8"/>
    </row>
    <row r="628" spans="2:16" x14ac:dyDescent="0.2">
      <c r="B628" s="14"/>
      <c r="C628" s="218"/>
      <c r="D628" s="222"/>
      <c r="E628" s="223"/>
      <c r="F628" s="217"/>
      <c r="G628" s="14"/>
      <c r="H628" s="296"/>
      <c r="J628" s="220"/>
      <c r="L628" s="8"/>
      <c r="M628" s="8"/>
      <c r="N628" s="8"/>
      <c r="O628" s="8"/>
      <c r="P628" s="8"/>
    </row>
    <row r="629" spans="2:16" ht="15" thickBot="1" x14ac:dyDescent="0.25">
      <c r="B629" s="14"/>
      <c r="C629" s="218"/>
      <c r="D629" s="222"/>
      <c r="E629" s="223"/>
      <c r="F629" s="217"/>
      <c r="G629" s="14"/>
      <c r="H629" s="220"/>
      <c r="I629" s="224">
        <f>'[5]RAB SUMUR'!K129</f>
        <v>0</v>
      </c>
      <c r="J629" s="220"/>
      <c r="L629" s="8"/>
      <c r="M629" s="8"/>
      <c r="N629" s="8"/>
      <c r="O629" s="8"/>
      <c r="P629" s="8"/>
    </row>
    <row r="630" spans="2:16" ht="15" thickTop="1" x14ac:dyDescent="0.2">
      <c r="B630" s="1015"/>
      <c r="C630" s="1224"/>
      <c r="D630" s="1225"/>
      <c r="E630" s="1018"/>
      <c r="F630" s="1226"/>
      <c r="G630" s="1227"/>
      <c r="H630" s="1228"/>
      <c r="I630" s="1229"/>
      <c r="J630" s="1019"/>
      <c r="L630" s="8"/>
      <c r="M630" s="8"/>
      <c r="N630" s="8"/>
      <c r="O630" s="8"/>
      <c r="P630" s="8"/>
    </row>
    <row r="631" spans="2:16" x14ac:dyDescent="0.2">
      <c r="B631" s="1230">
        <f t="shared" ref="B631:B694" si="27">B630+1</f>
        <v>1</v>
      </c>
      <c r="C631" s="1231"/>
      <c r="D631" s="1232" t="s">
        <v>1396</v>
      </c>
      <c r="E631" s="1233"/>
      <c r="F631" s="1234"/>
      <c r="G631" s="1235" t="s">
        <v>265</v>
      </c>
      <c r="H631" s="1201"/>
      <c r="I631" s="1236"/>
      <c r="J631" s="1065"/>
      <c r="L631" s="8"/>
      <c r="M631" s="8"/>
      <c r="N631" s="8"/>
      <c r="O631" s="8"/>
      <c r="P631" s="8"/>
    </row>
    <row r="632" spans="2:16" x14ac:dyDescent="0.2">
      <c r="B632" s="1237">
        <f t="shared" si="27"/>
        <v>2</v>
      </c>
      <c r="C632" s="1231"/>
      <c r="D632" s="1232" t="s">
        <v>1088</v>
      </c>
      <c r="E632" s="1233"/>
      <c r="F632" s="1234"/>
      <c r="G632" s="1235" t="s">
        <v>265</v>
      </c>
      <c r="H632" s="1201"/>
      <c r="I632" s="1236"/>
      <c r="J632" s="1238"/>
      <c r="L632" s="8"/>
      <c r="M632" s="8"/>
      <c r="N632" s="8"/>
      <c r="O632" s="8"/>
      <c r="P632" s="8"/>
    </row>
    <row r="633" spans="2:16" x14ac:dyDescent="0.2">
      <c r="B633" s="1237">
        <f t="shared" si="27"/>
        <v>3</v>
      </c>
      <c r="C633" s="1231"/>
      <c r="D633" s="1232" t="s">
        <v>1089</v>
      </c>
      <c r="E633" s="1233"/>
      <c r="F633" s="1234"/>
      <c r="G633" s="1235" t="s">
        <v>298</v>
      </c>
      <c r="H633" s="1201"/>
      <c r="I633" s="1236"/>
      <c r="J633" s="1238"/>
      <c r="L633" s="8"/>
      <c r="M633" s="8"/>
      <c r="N633" s="8"/>
      <c r="O633" s="8"/>
      <c r="P633" s="8"/>
    </row>
    <row r="634" spans="2:16" x14ac:dyDescent="0.2">
      <c r="B634" s="1237">
        <f t="shared" si="27"/>
        <v>4</v>
      </c>
      <c r="C634" s="1231"/>
      <c r="D634" s="1125" t="s">
        <v>335</v>
      </c>
      <c r="E634" s="1102"/>
      <c r="F634" s="1188"/>
      <c r="G634" s="1104" t="s">
        <v>277</v>
      </c>
      <c r="H634" s="1105"/>
      <c r="I634" s="1090">
        <v>175000</v>
      </c>
      <c r="J634" s="1238"/>
      <c r="L634" s="8"/>
      <c r="M634" s="8"/>
      <c r="N634" s="8" t="s">
        <v>1397</v>
      </c>
      <c r="O634" s="8"/>
      <c r="P634" s="8"/>
    </row>
    <row r="635" spans="2:16" x14ac:dyDescent="0.2">
      <c r="B635" s="1237">
        <f t="shared" si="27"/>
        <v>5</v>
      </c>
      <c r="C635" s="1231"/>
      <c r="D635" s="1239" t="s">
        <v>1398</v>
      </c>
      <c r="E635" s="1102"/>
      <c r="F635" s="1188"/>
      <c r="G635" s="1104" t="s">
        <v>337</v>
      </c>
      <c r="H635" s="1105"/>
      <c r="I635" s="1090">
        <v>60000</v>
      </c>
      <c r="J635" s="1065"/>
      <c r="L635" s="8"/>
      <c r="M635" s="8"/>
      <c r="N635" s="8" t="s">
        <v>1397</v>
      </c>
      <c r="O635" s="8">
        <f>2*3</f>
        <v>6</v>
      </c>
      <c r="P635" s="8"/>
    </row>
    <row r="636" spans="2:16" x14ac:dyDescent="0.2">
      <c r="B636" s="1237">
        <f t="shared" si="27"/>
        <v>6</v>
      </c>
      <c r="C636" s="1231"/>
      <c r="D636" s="1240" t="s">
        <v>310</v>
      </c>
      <c r="E636" s="1102"/>
      <c r="F636" s="1188"/>
      <c r="G636" s="1104" t="s">
        <v>309</v>
      </c>
      <c r="H636" s="1105"/>
      <c r="I636" s="1090">
        <v>60000</v>
      </c>
      <c r="J636" s="1065"/>
      <c r="L636" s="8"/>
      <c r="M636" s="8"/>
      <c r="N636" s="8" t="s">
        <v>1397</v>
      </c>
      <c r="O636" s="8"/>
      <c r="P636" s="8"/>
    </row>
    <row r="637" spans="2:16" x14ac:dyDescent="0.2">
      <c r="B637" s="1237">
        <f t="shared" si="27"/>
        <v>7</v>
      </c>
      <c r="C637" s="1231"/>
      <c r="D637" s="1240" t="s">
        <v>308</v>
      </c>
      <c r="E637" s="1102"/>
      <c r="F637" s="1188"/>
      <c r="G637" s="1104" t="s">
        <v>309</v>
      </c>
      <c r="H637" s="1105"/>
      <c r="I637" s="1090">
        <v>80000</v>
      </c>
      <c r="J637" s="1065"/>
      <c r="L637" s="8"/>
      <c r="M637" s="8"/>
      <c r="N637" s="8" t="s">
        <v>1397</v>
      </c>
      <c r="O637" s="8"/>
      <c r="P637" s="8"/>
    </row>
    <row r="638" spans="2:16" x14ac:dyDescent="0.2">
      <c r="B638" s="1237">
        <f t="shared" si="27"/>
        <v>8</v>
      </c>
      <c r="C638" s="1231"/>
      <c r="D638" s="1241" t="s">
        <v>311</v>
      </c>
      <c r="E638" s="1233"/>
      <c r="F638" s="1234"/>
      <c r="G638" s="1235" t="s">
        <v>309</v>
      </c>
      <c r="H638" s="1201"/>
      <c r="I638" s="1236"/>
      <c r="J638" s="1065"/>
      <c r="L638" s="8"/>
      <c r="M638" s="8"/>
      <c r="N638" s="8"/>
      <c r="O638" s="8"/>
      <c r="P638" s="8"/>
    </row>
    <row r="639" spans="2:16" x14ac:dyDescent="0.2">
      <c r="B639" s="1237">
        <f t="shared" si="27"/>
        <v>9</v>
      </c>
      <c r="C639" s="1231"/>
      <c r="D639" s="1241" t="s">
        <v>721</v>
      </c>
      <c r="E639" s="1233"/>
      <c r="F639" s="1234"/>
      <c r="G639" s="1235" t="s">
        <v>277</v>
      </c>
      <c r="H639" s="1201"/>
      <c r="I639" s="1236"/>
      <c r="J639" s="1065"/>
      <c r="L639" s="8"/>
      <c r="M639" s="8"/>
      <c r="N639" s="8"/>
      <c r="O639" s="8"/>
      <c r="P639" s="8"/>
    </row>
    <row r="640" spans="2:16" x14ac:dyDescent="0.2">
      <c r="B640" s="1237">
        <f t="shared" si="27"/>
        <v>10</v>
      </c>
      <c r="C640" s="1231"/>
      <c r="D640" s="1241" t="s">
        <v>722</v>
      </c>
      <c r="E640" s="1233"/>
      <c r="F640" s="1234"/>
      <c r="G640" s="1235" t="s">
        <v>277</v>
      </c>
      <c r="H640" s="1201"/>
      <c r="I640" s="1236"/>
      <c r="J640" s="1065"/>
      <c r="L640" s="8"/>
      <c r="M640" s="8"/>
      <c r="N640" s="8"/>
      <c r="O640" s="8"/>
      <c r="P640" s="8"/>
    </row>
    <row r="641" spans="2:16" x14ac:dyDescent="0.2">
      <c r="B641" s="1237">
        <f t="shared" si="27"/>
        <v>11</v>
      </c>
      <c r="C641" s="1231"/>
      <c r="D641" s="1240" t="s">
        <v>723</v>
      </c>
      <c r="E641" s="1102"/>
      <c r="F641" s="1188"/>
      <c r="G641" s="1104" t="s">
        <v>277</v>
      </c>
      <c r="H641" s="1105"/>
      <c r="I641" s="1090">
        <v>41000</v>
      </c>
      <c r="J641" s="1065"/>
      <c r="L641" s="8"/>
      <c r="M641" s="8"/>
      <c r="N641" s="8" t="s">
        <v>1397</v>
      </c>
      <c r="O641" s="8"/>
      <c r="P641" s="8"/>
    </row>
    <row r="642" spans="2:16" x14ac:dyDescent="0.2">
      <c r="B642" s="1237">
        <f t="shared" si="27"/>
        <v>12</v>
      </c>
      <c r="C642" s="1231"/>
      <c r="D642" s="1240" t="s">
        <v>1399</v>
      </c>
      <c r="E642" s="1102"/>
      <c r="F642" s="1188"/>
      <c r="G642" s="1104" t="s">
        <v>293</v>
      </c>
      <c r="H642" s="1105"/>
      <c r="I642" s="1090">
        <v>22700000</v>
      </c>
      <c r="J642" s="1065"/>
      <c r="L642" s="8"/>
      <c r="M642" s="8"/>
      <c r="N642" s="8"/>
      <c r="O642" s="8"/>
      <c r="P642" s="8"/>
    </row>
    <row r="643" spans="2:16" x14ac:dyDescent="0.2">
      <c r="B643" s="1237">
        <f t="shared" si="27"/>
        <v>13</v>
      </c>
      <c r="C643" s="1231"/>
      <c r="D643" s="1242" t="s">
        <v>246</v>
      </c>
      <c r="E643" s="1233"/>
      <c r="F643" s="1234"/>
      <c r="G643" s="1235" t="s">
        <v>268</v>
      </c>
      <c r="H643" s="1201"/>
      <c r="I643" s="1236"/>
      <c r="J643" s="1065"/>
      <c r="L643" s="8"/>
      <c r="M643" s="8"/>
      <c r="N643" s="8"/>
      <c r="O643" s="8"/>
      <c r="P643" s="8"/>
    </row>
    <row r="644" spans="2:16" x14ac:dyDescent="0.2">
      <c r="B644" s="1237">
        <f t="shared" si="27"/>
        <v>14</v>
      </c>
      <c r="C644" s="1231"/>
      <c r="D644" s="1243" t="s">
        <v>244</v>
      </c>
      <c r="E644" s="1233"/>
      <c r="F644" s="1234"/>
      <c r="G644" s="1235" t="s">
        <v>247</v>
      </c>
      <c r="H644" s="1201"/>
      <c r="I644" s="1236"/>
      <c r="J644" s="1065"/>
      <c r="L644" s="8"/>
      <c r="M644" s="8"/>
      <c r="N644" s="8"/>
      <c r="O644" s="8"/>
      <c r="P644" s="8"/>
    </row>
    <row r="645" spans="2:16" x14ac:dyDescent="0.2">
      <c r="B645" s="1237">
        <f t="shared" si="27"/>
        <v>15</v>
      </c>
      <c r="C645" s="1231"/>
      <c r="D645" s="1244" t="s">
        <v>251</v>
      </c>
      <c r="E645" s="1233"/>
      <c r="F645" s="1234"/>
      <c r="G645" s="1235" t="s">
        <v>309</v>
      </c>
      <c r="H645" s="1201"/>
      <c r="I645" s="1236"/>
      <c r="J645" s="1065"/>
      <c r="L645" s="8"/>
      <c r="M645" s="8"/>
      <c r="N645" s="8"/>
      <c r="O645" s="8"/>
      <c r="P645" s="8"/>
    </row>
    <row r="646" spans="2:16" x14ac:dyDescent="0.2">
      <c r="B646" s="1237">
        <f t="shared" si="27"/>
        <v>16</v>
      </c>
      <c r="C646" s="1231"/>
      <c r="D646" s="1244" t="s">
        <v>252</v>
      </c>
      <c r="E646" s="1233"/>
      <c r="F646" s="1234"/>
      <c r="G646" s="1235" t="s">
        <v>309</v>
      </c>
      <c r="H646" s="1201"/>
      <c r="I646" s="1236"/>
      <c r="J646" s="1065"/>
      <c r="L646" s="8"/>
      <c r="M646" s="8"/>
      <c r="N646" s="8"/>
      <c r="O646" s="8"/>
      <c r="P646" s="8"/>
    </row>
    <row r="647" spans="2:16" x14ac:dyDescent="0.2">
      <c r="B647" s="1237">
        <f t="shared" si="27"/>
        <v>17</v>
      </c>
      <c r="C647" s="1231"/>
      <c r="D647" s="1245" t="s">
        <v>254</v>
      </c>
      <c r="E647" s="1102"/>
      <c r="F647" s="1188"/>
      <c r="G647" s="1104" t="s">
        <v>338</v>
      </c>
      <c r="H647" s="1105"/>
      <c r="I647" s="1090">
        <v>325000</v>
      </c>
      <c r="J647" s="1065"/>
      <c r="L647" s="8"/>
      <c r="M647" s="8"/>
      <c r="N647" s="8" t="s">
        <v>1397</v>
      </c>
      <c r="O647" s="8"/>
      <c r="P647" s="8"/>
    </row>
    <row r="648" spans="2:16" x14ac:dyDescent="0.2">
      <c r="B648" s="1237">
        <f t="shared" si="27"/>
        <v>18</v>
      </c>
      <c r="C648" s="1231"/>
      <c r="D648" s="1244" t="s">
        <v>1090</v>
      </c>
      <c r="E648" s="1233"/>
      <c r="F648" s="1234"/>
      <c r="G648" s="1235" t="s">
        <v>338</v>
      </c>
      <c r="H648" s="1201"/>
      <c r="I648" s="1090">
        <v>550000</v>
      </c>
      <c r="J648" s="1065"/>
      <c r="L648" s="8"/>
      <c r="M648" s="8"/>
      <c r="N648" s="8"/>
      <c r="O648" s="8"/>
      <c r="P648" s="8"/>
    </row>
    <row r="649" spans="2:16" x14ac:dyDescent="0.2">
      <c r="B649" s="1237">
        <f t="shared" si="27"/>
        <v>19</v>
      </c>
      <c r="C649" s="1231"/>
      <c r="D649" s="1246" t="s">
        <v>1091</v>
      </c>
      <c r="E649" s="1102"/>
      <c r="F649" s="1188"/>
      <c r="G649" s="1104" t="s">
        <v>338</v>
      </c>
      <c r="H649" s="1105"/>
      <c r="I649" s="1090">
        <v>20000</v>
      </c>
      <c r="J649" s="1065"/>
      <c r="L649" s="8"/>
      <c r="M649" s="8"/>
      <c r="N649" s="8" t="s">
        <v>1397</v>
      </c>
      <c r="O649" s="8"/>
      <c r="P649" s="8"/>
    </row>
    <row r="650" spans="2:16" x14ac:dyDescent="0.2">
      <c r="B650" s="1237">
        <f t="shared" si="27"/>
        <v>20</v>
      </c>
      <c r="C650" s="1231"/>
      <c r="D650" s="1245" t="s">
        <v>724</v>
      </c>
      <c r="E650" s="1102"/>
      <c r="F650" s="1188"/>
      <c r="G650" s="1104" t="s">
        <v>309</v>
      </c>
      <c r="H650" s="1105"/>
      <c r="I650" s="1090">
        <v>25000</v>
      </c>
      <c r="J650" s="1065"/>
      <c r="L650" s="8"/>
      <c r="M650" s="8"/>
      <c r="N650" s="8" t="s">
        <v>1400</v>
      </c>
      <c r="O650" s="8"/>
      <c r="P650" s="8"/>
    </row>
    <row r="651" spans="2:16" x14ac:dyDescent="0.2">
      <c r="B651" s="1237">
        <f t="shared" si="27"/>
        <v>21</v>
      </c>
      <c r="C651" s="1231"/>
      <c r="D651" s="1241" t="s">
        <v>725</v>
      </c>
      <c r="E651" s="1233"/>
      <c r="F651" s="1234"/>
      <c r="G651" s="1235" t="s">
        <v>268</v>
      </c>
      <c r="H651" s="1201"/>
      <c r="I651" s="1236"/>
      <c r="J651" s="1065"/>
      <c r="L651" s="8"/>
      <c r="M651" s="8"/>
      <c r="N651" s="8"/>
      <c r="O651" s="8"/>
      <c r="P651" s="8"/>
    </row>
    <row r="652" spans="2:16" x14ac:dyDescent="0.2">
      <c r="B652" s="1237">
        <f t="shared" si="27"/>
        <v>22</v>
      </c>
      <c r="C652" s="1231"/>
      <c r="D652" s="1241" t="s">
        <v>726</v>
      </c>
      <c r="E652" s="1233"/>
      <c r="F652" s="1234"/>
      <c r="G652" s="1235" t="s">
        <v>268</v>
      </c>
      <c r="H652" s="1201"/>
      <c r="I652" s="1236"/>
      <c r="J652" s="1065"/>
      <c r="L652" s="8"/>
      <c r="M652" s="8"/>
      <c r="N652" s="8"/>
      <c r="O652" s="8"/>
      <c r="P652" s="8"/>
    </row>
    <row r="653" spans="2:16" x14ac:dyDescent="0.2">
      <c r="B653" s="1237">
        <f t="shared" si="27"/>
        <v>23</v>
      </c>
      <c r="C653" s="1231"/>
      <c r="D653" s="1241" t="s">
        <v>727</v>
      </c>
      <c r="E653" s="1233"/>
      <c r="F653" s="1234"/>
      <c r="G653" s="1235" t="s">
        <v>268</v>
      </c>
      <c r="H653" s="1201"/>
      <c r="I653" s="1236"/>
      <c r="J653" s="1065"/>
      <c r="L653" s="8"/>
      <c r="M653" s="8"/>
      <c r="N653" s="8"/>
      <c r="O653" s="8"/>
      <c r="P653" s="8"/>
    </row>
    <row r="654" spans="2:16" x14ac:dyDescent="0.2">
      <c r="B654" s="1237">
        <f t="shared" si="27"/>
        <v>24</v>
      </c>
      <c r="C654" s="1231"/>
      <c r="D654" s="1241" t="s">
        <v>1093</v>
      </c>
      <c r="E654" s="1233"/>
      <c r="F654" s="1234"/>
      <c r="G654" s="1235" t="s">
        <v>268</v>
      </c>
      <c r="H654" s="1201"/>
      <c r="I654" s="1236"/>
      <c r="J654" s="1065"/>
      <c r="L654" s="8"/>
      <c r="M654" s="8"/>
      <c r="N654" s="8"/>
      <c r="O654" s="8"/>
      <c r="P654" s="8"/>
    </row>
    <row r="655" spans="2:16" x14ac:dyDescent="0.2">
      <c r="B655" s="1237">
        <f t="shared" si="27"/>
        <v>25</v>
      </c>
      <c r="C655" s="1231"/>
      <c r="D655" s="1241" t="s">
        <v>1092</v>
      </c>
      <c r="E655" s="1233"/>
      <c r="F655" s="1234"/>
      <c r="G655" s="1235" t="s">
        <v>268</v>
      </c>
      <c r="H655" s="1201"/>
      <c r="I655" s="1236"/>
      <c r="J655" s="1065"/>
      <c r="L655" s="8"/>
      <c r="M655" s="8"/>
      <c r="N655" s="8"/>
      <c r="O655" s="8"/>
      <c r="P655" s="8"/>
    </row>
    <row r="656" spans="2:16" x14ac:dyDescent="0.2">
      <c r="B656" s="1237">
        <f t="shared" si="27"/>
        <v>26</v>
      </c>
      <c r="C656" s="1231"/>
      <c r="D656" s="1241" t="s">
        <v>1094</v>
      </c>
      <c r="E656" s="1233"/>
      <c r="F656" s="1234"/>
      <c r="G656" s="1235" t="s">
        <v>268</v>
      </c>
      <c r="H656" s="1201"/>
      <c r="I656" s="1236"/>
      <c r="J656" s="1065"/>
      <c r="L656" s="8"/>
      <c r="M656" s="8"/>
      <c r="N656" s="8"/>
      <c r="O656" s="8"/>
      <c r="P656" s="8"/>
    </row>
    <row r="657" spans="2:16" x14ac:dyDescent="0.2">
      <c r="B657" s="1237">
        <f t="shared" si="27"/>
        <v>27</v>
      </c>
      <c r="C657" s="1231"/>
      <c r="D657" s="1241" t="s">
        <v>1095</v>
      </c>
      <c r="E657" s="1233"/>
      <c r="F657" s="1234"/>
      <c r="G657" s="1235" t="s">
        <v>268</v>
      </c>
      <c r="H657" s="1201"/>
      <c r="I657" s="1236"/>
      <c r="J657" s="1065"/>
      <c r="L657" s="8"/>
      <c r="M657" s="8"/>
      <c r="N657" s="8"/>
      <c r="O657" s="8"/>
      <c r="P657" s="8"/>
    </row>
    <row r="658" spans="2:16" x14ac:dyDescent="0.2">
      <c r="B658" s="1237">
        <f t="shared" si="27"/>
        <v>28</v>
      </c>
      <c r="C658" s="1231"/>
      <c r="D658" s="1241" t="s">
        <v>1096</v>
      </c>
      <c r="E658" s="1233"/>
      <c r="F658" s="1234"/>
      <c r="G658" s="1235" t="s">
        <v>268</v>
      </c>
      <c r="H658" s="1201"/>
      <c r="I658" s="1236"/>
      <c r="J658" s="1065"/>
      <c r="L658" s="8"/>
      <c r="M658" s="8"/>
      <c r="N658" s="8"/>
      <c r="O658" s="8"/>
      <c r="P658" s="8"/>
    </row>
    <row r="659" spans="2:16" x14ac:dyDescent="0.2">
      <c r="B659" s="1237">
        <f t="shared" si="27"/>
        <v>29</v>
      </c>
      <c r="C659" s="1231"/>
      <c r="D659" s="1241" t="s">
        <v>728</v>
      </c>
      <c r="E659" s="1233"/>
      <c r="F659" s="1234"/>
      <c r="G659" s="1235"/>
      <c r="H659" s="1201"/>
      <c r="I659" s="1236"/>
      <c r="J659" s="1065"/>
      <c r="L659" s="8"/>
      <c r="M659" s="8"/>
      <c r="N659" s="8"/>
      <c r="O659" s="8"/>
      <c r="P659" s="8"/>
    </row>
    <row r="660" spans="2:16" x14ac:dyDescent="0.2">
      <c r="B660" s="1237">
        <f t="shared" si="27"/>
        <v>30</v>
      </c>
      <c r="C660" s="1231"/>
      <c r="D660" s="1241" t="s">
        <v>729</v>
      </c>
      <c r="E660" s="1233"/>
      <c r="F660" s="1234"/>
      <c r="G660" s="1235" t="s">
        <v>268</v>
      </c>
      <c r="H660" s="1201"/>
      <c r="I660" s="1236"/>
      <c r="J660" s="1065"/>
      <c r="L660" s="8"/>
      <c r="M660" s="8"/>
      <c r="N660" s="8"/>
      <c r="O660" s="8"/>
      <c r="P660" s="8"/>
    </row>
    <row r="661" spans="2:16" x14ac:dyDescent="0.2">
      <c r="B661" s="1237">
        <f t="shared" si="27"/>
        <v>31</v>
      </c>
      <c r="C661" s="1231"/>
      <c r="D661" s="1241" t="s">
        <v>730</v>
      </c>
      <c r="E661" s="1233"/>
      <c r="F661" s="1234"/>
      <c r="G661" s="1235" t="s">
        <v>268</v>
      </c>
      <c r="H661" s="1201"/>
      <c r="I661" s="1236"/>
      <c r="J661" s="1065"/>
      <c r="L661" s="8"/>
      <c r="M661" s="8"/>
      <c r="N661" s="8"/>
      <c r="O661" s="8"/>
      <c r="P661" s="8"/>
    </row>
    <row r="662" spans="2:16" x14ac:dyDescent="0.2">
      <c r="B662" s="1237">
        <f t="shared" si="27"/>
        <v>32</v>
      </c>
      <c r="C662" s="1231"/>
      <c r="D662" s="1241" t="s">
        <v>207</v>
      </c>
      <c r="E662" s="1233"/>
      <c r="F662" s="1234"/>
      <c r="G662" s="1235" t="s">
        <v>268</v>
      </c>
      <c r="H662" s="1201"/>
      <c r="I662" s="1236"/>
      <c r="J662" s="1065"/>
      <c r="L662" s="8"/>
      <c r="M662" s="8"/>
      <c r="N662" s="8"/>
      <c r="O662" s="8"/>
      <c r="P662" s="8"/>
    </row>
    <row r="663" spans="2:16" x14ac:dyDescent="0.2">
      <c r="B663" s="1237">
        <f t="shared" si="27"/>
        <v>33</v>
      </c>
      <c r="C663" s="1231"/>
      <c r="D663" s="1241" t="s">
        <v>1097</v>
      </c>
      <c r="E663" s="1233"/>
      <c r="F663" s="1234"/>
      <c r="G663" s="1235" t="s">
        <v>268</v>
      </c>
      <c r="H663" s="1201"/>
      <c r="I663" s="1236"/>
      <c r="J663" s="1065"/>
      <c r="L663" s="8"/>
      <c r="M663" s="8"/>
      <c r="N663" s="8"/>
      <c r="O663" s="8"/>
      <c r="P663" s="8"/>
    </row>
    <row r="664" spans="2:16" x14ac:dyDescent="0.2">
      <c r="B664" s="1237">
        <f t="shared" si="27"/>
        <v>34</v>
      </c>
      <c r="C664" s="1231"/>
      <c r="D664" s="1241" t="s">
        <v>208</v>
      </c>
      <c r="E664" s="1233"/>
      <c r="F664" s="1234"/>
      <c r="G664" s="1235" t="s">
        <v>268</v>
      </c>
      <c r="H664" s="1201"/>
      <c r="I664" s="1236"/>
      <c r="J664" s="1065"/>
      <c r="L664" s="8"/>
      <c r="M664" s="8"/>
      <c r="N664" s="8"/>
      <c r="O664" s="8"/>
      <c r="P664" s="8"/>
    </row>
    <row r="665" spans="2:16" x14ac:dyDescent="0.2">
      <c r="B665" s="1237">
        <f t="shared" si="27"/>
        <v>35</v>
      </c>
      <c r="C665" s="1231"/>
      <c r="D665" s="1241" t="s">
        <v>209</v>
      </c>
      <c r="E665" s="1233"/>
      <c r="F665" s="1234"/>
      <c r="G665" s="1235" t="s">
        <v>268</v>
      </c>
      <c r="H665" s="1201"/>
      <c r="I665" s="1236"/>
      <c r="J665" s="1065"/>
      <c r="L665" s="8"/>
      <c r="M665" s="8"/>
      <c r="N665" s="8"/>
      <c r="O665" s="8"/>
      <c r="P665" s="8"/>
    </row>
    <row r="666" spans="2:16" x14ac:dyDescent="0.2">
      <c r="B666" s="1237">
        <f t="shared" si="27"/>
        <v>36</v>
      </c>
      <c r="C666" s="1231"/>
      <c r="D666" s="1241" t="s">
        <v>210</v>
      </c>
      <c r="E666" s="1233"/>
      <c r="F666" s="1234"/>
      <c r="G666" s="1235" t="s">
        <v>268</v>
      </c>
      <c r="H666" s="1201"/>
      <c r="I666" s="1236"/>
      <c r="J666" s="1065"/>
      <c r="L666" s="8"/>
      <c r="M666" s="8"/>
      <c r="N666" s="8"/>
      <c r="O666" s="8"/>
      <c r="P666" s="8"/>
    </row>
    <row r="667" spans="2:16" x14ac:dyDescent="0.2">
      <c r="B667" s="1237">
        <f t="shared" si="27"/>
        <v>37</v>
      </c>
      <c r="C667" s="1231"/>
      <c r="D667" s="1241" t="s">
        <v>211</v>
      </c>
      <c r="E667" s="1233"/>
      <c r="F667" s="1234"/>
      <c r="G667" s="1235" t="s">
        <v>268</v>
      </c>
      <c r="H667" s="1201"/>
      <c r="I667" s="1236"/>
      <c r="J667" s="1065"/>
      <c r="L667" s="8"/>
      <c r="M667" s="8"/>
      <c r="N667" s="8"/>
      <c r="O667" s="8"/>
      <c r="P667" s="8"/>
    </row>
    <row r="668" spans="2:16" x14ac:dyDescent="0.2">
      <c r="B668" s="1237">
        <f t="shared" si="27"/>
        <v>38</v>
      </c>
      <c r="C668" s="1231"/>
      <c r="D668" s="1241" t="s">
        <v>212</v>
      </c>
      <c r="E668" s="1233"/>
      <c r="F668" s="1234"/>
      <c r="G668" s="1235" t="s">
        <v>268</v>
      </c>
      <c r="H668" s="1201"/>
      <c r="I668" s="1236"/>
      <c r="J668" s="1065"/>
      <c r="L668" s="8"/>
      <c r="M668" s="8"/>
      <c r="N668" s="8"/>
      <c r="O668" s="8"/>
      <c r="P668" s="8"/>
    </row>
    <row r="669" spans="2:16" x14ac:dyDescent="0.2">
      <c r="B669" s="1237">
        <f t="shared" si="27"/>
        <v>39</v>
      </c>
      <c r="C669" s="1231"/>
      <c r="D669" s="1241" t="s">
        <v>213</v>
      </c>
      <c r="E669" s="1233"/>
      <c r="F669" s="1234"/>
      <c r="G669" s="1235" t="s">
        <v>268</v>
      </c>
      <c r="H669" s="1201"/>
      <c r="I669" s="1236"/>
      <c r="J669" s="1065"/>
      <c r="L669" s="8"/>
      <c r="M669" s="8"/>
      <c r="N669" s="8"/>
      <c r="O669" s="8"/>
      <c r="P669" s="8"/>
    </row>
    <row r="670" spans="2:16" x14ac:dyDescent="0.2">
      <c r="B670" s="1237">
        <f t="shared" si="27"/>
        <v>40</v>
      </c>
      <c r="C670" s="1231"/>
      <c r="D670" s="1241" t="s">
        <v>214</v>
      </c>
      <c r="E670" s="1233"/>
      <c r="F670" s="1234"/>
      <c r="G670" s="1235" t="s">
        <v>268</v>
      </c>
      <c r="H670" s="1201"/>
      <c r="I670" s="1236"/>
      <c r="J670" s="1065"/>
      <c r="L670" s="8"/>
      <c r="M670" s="8"/>
      <c r="N670" s="8"/>
      <c r="O670" s="8"/>
      <c r="P670" s="8"/>
    </row>
    <row r="671" spans="2:16" x14ac:dyDescent="0.2">
      <c r="B671" s="1237">
        <f t="shared" si="27"/>
        <v>41</v>
      </c>
      <c r="C671" s="1231"/>
      <c r="D671" s="1241" t="s">
        <v>215</v>
      </c>
      <c r="E671" s="1233"/>
      <c r="F671" s="1234"/>
      <c r="G671" s="1235" t="s">
        <v>268</v>
      </c>
      <c r="H671" s="1201"/>
      <c r="I671" s="1236"/>
      <c r="J671" s="1065"/>
      <c r="L671" s="8"/>
      <c r="M671" s="8"/>
      <c r="N671" s="8"/>
      <c r="O671" s="8"/>
      <c r="P671" s="8"/>
    </row>
    <row r="672" spans="2:16" x14ac:dyDescent="0.2">
      <c r="B672" s="1237">
        <f t="shared" si="27"/>
        <v>42</v>
      </c>
      <c r="C672" s="1231"/>
      <c r="D672" s="1241" t="s">
        <v>216</v>
      </c>
      <c r="E672" s="1233"/>
      <c r="F672" s="1234"/>
      <c r="G672" s="1235" t="s">
        <v>268</v>
      </c>
      <c r="H672" s="1201"/>
      <c r="I672" s="1236"/>
      <c r="J672" s="1065"/>
      <c r="L672" s="8"/>
      <c r="M672" s="8"/>
      <c r="N672" s="8"/>
      <c r="O672" s="8"/>
      <c r="P672" s="8"/>
    </row>
    <row r="673" spans="2:16" x14ac:dyDescent="0.2">
      <c r="B673" s="1237">
        <f t="shared" si="27"/>
        <v>43</v>
      </c>
      <c r="C673" s="1231"/>
      <c r="D673" s="1241" t="s">
        <v>217</v>
      </c>
      <c r="E673" s="1233"/>
      <c r="F673" s="1234"/>
      <c r="G673" s="1235" t="s">
        <v>268</v>
      </c>
      <c r="H673" s="1201"/>
      <c r="I673" s="1236"/>
      <c r="J673" s="1065"/>
      <c r="L673" s="8"/>
      <c r="M673" s="8"/>
      <c r="N673" s="8"/>
      <c r="O673" s="8"/>
      <c r="P673" s="8"/>
    </row>
    <row r="674" spans="2:16" x14ac:dyDescent="0.2">
      <c r="B674" s="1237">
        <f t="shared" si="27"/>
        <v>44</v>
      </c>
      <c r="C674" s="1231"/>
      <c r="D674" s="1241" t="s">
        <v>218</v>
      </c>
      <c r="E674" s="1233"/>
      <c r="F674" s="1234"/>
      <c r="G674" s="1235" t="s">
        <v>268</v>
      </c>
      <c r="H674" s="1201"/>
      <c r="I674" s="1236"/>
      <c r="J674" s="1065"/>
      <c r="L674" s="8"/>
      <c r="M674" s="8"/>
      <c r="N674" s="8"/>
      <c r="O674" s="8"/>
      <c r="P674" s="8"/>
    </row>
    <row r="675" spans="2:16" x14ac:dyDescent="0.2">
      <c r="B675" s="1237">
        <f t="shared" si="27"/>
        <v>45</v>
      </c>
      <c r="C675" s="1231"/>
      <c r="D675" s="1241" t="s">
        <v>219</v>
      </c>
      <c r="E675" s="1233"/>
      <c r="F675" s="1234"/>
      <c r="G675" s="1235" t="s">
        <v>268</v>
      </c>
      <c r="H675" s="1201"/>
      <c r="I675" s="1236"/>
      <c r="J675" s="1065"/>
      <c r="L675" s="8"/>
      <c r="M675" s="8"/>
      <c r="N675" s="8"/>
      <c r="O675" s="8"/>
      <c r="P675" s="8"/>
    </row>
    <row r="676" spans="2:16" x14ac:dyDescent="0.2">
      <c r="B676" s="1237">
        <f t="shared" si="27"/>
        <v>46</v>
      </c>
      <c r="C676" s="1231"/>
      <c r="D676" s="1241" t="s">
        <v>220</v>
      </c>
      <c r="E676" s="1233"/>
      <c r="F676" s="1234"/>
      <c r="G676" s="1235" t="s">
        <v>268</v>
      </c>
      <c r="H676" s="1201"/>
      <c r="I676" s="1236"/>
      <c r="J676" s="1065"/>
      <c r="L676" s="8"/>
      <c r="M676" s="8"/>
      <c r="N676" s="8"/>
      <c r="O676" s="8"/>
      <c r="P676" s="8"/>
    </row>
    <row r="677" spans="2:16" x14ac:dyDescent="0.2">
      <c r="B677" s="1237">
        <f t="shared" si="27"/>
        <v>47</v>
      </c>
      <c r="C677" s="1231"/>
      <c r="D677" s="1242" t="s">
        <v>237</v>
      </c>
      <c r="E677" s="1233"/>
      <c r="F677" s="1234"/>
      <c r="G677" s="1235" t="s">
        <v>338</v>
      </c>
      <c r="H677" s="1201"/>
      <c r="I677" s="1236"/>
      <c r="J677" s="1065"/>
      <c r="L677" s="8"/>
      <c r="M677" s="8"/>
      <c r="N677" s="8"/>
      <c r="O677" s="8"/>
      <c r="P677" s="8"/>
    </row>
    <row r="678" spans="2:16" x14ac:dyDescent="0.2">
      <c r="B678" s="1237">
        <f t="shared" si="27"/>
        <v>48</v>
      </c>
      <c r="C678" s="1231"/>
      <c r="D678" s="1242" t="s">
        <v>238</v>
      </c>
      <c r="E678" s="1233"/>
      <c r="F678" s="1234"/>
      <c r="G678" s="1235" t="s">
        <v>293</v>
      </c>
      <c r="H678" s="1201"/>
      <c r="I678" s="1236"/>
      <c r="J678" s="1065"/>
      <c r="L678" s="8"/>
      <c r="M678" s="8"/>
      <c r="N678" s="8"/>
      <c r="O678" s="8"/>
      <c r="P678" s="8"/>
    </row>
    <row r="679" spans="2:16" x14ac:dyDescent="0.2">
      <c r="B679" s="1237">
        <f t="shared" si="27"/>
        <v>49</v>
      </c>
      <c r="C679" s="1231"/>
      <c r="D679" s="1242" t="s">
        <v>221</v>
      </c>
      <c r="E679" s="1233"/>
      <c r="F679" s="1234"/>
      <c r="G679" s="1235" t="s">
        <v>268</v>
      </c>
      <c r="H679" s="1201"/>
      <c r="I679" s="1236"/>
      <c r="J679" s="1065"/>
      <c r="L679" s="8"/>
      <c r="M679" s="8"/>
      <c r="N679" s="8"/>
      <c r="O679" s="8"/>
      <c r="P679" s="8"/>
    </row>
    <row r="680" spans="2:16" x14ac:dyDescent="0.2">
      <c r="B680" s="1237">
        <f t="shared" si="27"/>
        <v>50</v>
      </c>
      <c r="C680" s="1231"/>
      <c r="D680" s="1242" t="s">
        <v>222</v>
      </c>
      <c r="E680" s="1233"/>
      <c r="F680" s="1234"/>
      <c r="G680" s="1235" t="s">
        <v>268</v>
      </c>
      <c r="H680" s="1201"/>
      <c r="I680" s="1236"/>
      <c r="J680" s="1065"/>
      <c r="L680" s="8"/>
      <c r="M680" s="8"/>
      <c r="N680" s="8"/>
      <c r="O680" s="8"/>
      <c r="P680" s="8"/>
    </row>
    <row r="681" spans="2:16" x14ac:dyDescent="0.2">
      <c r="B681" s="1237">
        <f t="shared" si="27"/>
        <v>51</v>
      </c>
      <c r="C681" s="1231"/>
      <c r="D681" s="1242" t="s">
        <v>223</v>
      </c>
      <c r="E681" s="1233"/>
      <c r="F681" s="1234"/>
      <c r="G681" s="1235" t="s">
        <v>268</v>
      </c>
      <c r="H681" s="1201"/>
      <c r="I681" s="1236"/>
      <c r="J681" s="1065"/>
      <c r="L681" s="8"/>
      <c r="M681" s="8"/>
      <c r="N681" s="8"/>
      <c r="O681" s="8"/>
      <c r="P681" s="8"/>
    </row>
    <row r="682" spans="2:16" x14ac:dyDescent="0.2">
      <c r="B682" s="1237">
        <f t="shared" si="27"/>
        <v>52</v>
      </c>
      <c r="C682" s="1231"/>
      <c r="D682" s="1242" t="s">
        <v>224</v>
      </c>
      <c r="E682" s="1233"/>
      <c r="F682" s="1234"/>
      <c r="G682" s="1235" t="s">
        <v>268</v>
      </c>
      <c r="H682" s="1201"/>
      <c r="I682" s="1236"/>
      <c r="J682" s="1065"/>
      <c r="L682" s="8"/>
      <c r="M682" s="8"/>
      <c r="N682" s="8"/>
      <c r="O682" s="8"/>
      <c r="P682" s="8"/>
    </row>
    <row r="683" spans="2:16" x14ac:dyDescent="0.2">
      <c r="B683" s="1237">
        <f t="shared" si="27"/>
        <v>53</v>
      </c>
      <c r="C683" s="1231"/>
      <c r="D683" s="1242" t="s">
        <v>241</v>
      </c>
      <c r="E683" s="1233"/>
      <c r="F683" s="1234"/>
      <c r="G683" s="1235" t="s">
        <v>268</v>
      </c>
      <c r="H683" s="1201"/>
      <c r="I683" s="1236"/>
      <c r="J683" s="1065"/>
      <c r="L683" s="8"/>
      <c r="M683" s="8"/>
      <c r="N683" s="8"/>
      <c r="O683" s="8"/>
      <c r="P683" s="8"/>
    </row>
    <row r="684" spans="2:16" x14ac:dyDescent="0.2">
      <c r="B684" s="1237">
        <f t="shared" si="27"/>
        <v>54</v>
      </c>
      <c r="C684" s="1231"/>
      <c r="D684" s="1242" t="s">
        <v>242</v>
      </c>
      <c r="E684" s="1233"/>
      <c r="F684" s="1234"/>
      <c r="G684" s="1235" t="s">
        <v>298</v>
      </c>
      <c r="H684" s="1201"/>
      <c r="I684" s="1090">
        <v>3600</v>
      </c>
      <c r="J684" s="1065"/>
      <c r="L684" s="8"/>
      <c r="M684" s="8"/>
      <c r="N684" s="8">
        <f>90000/25</f>
        <v>3600</v>
      </c>
      <c r="O684" s="8"/>
      <c r="P684" s="8"/>
    </row>
    <row r="685" spans="2:16" x14ac:dyDescent="0.2">
      <c r="B685" s="1237">
        <f t="shared" si="27"/>
        <v>55</v>
      </c>
      <c r="C685" s="1231"/>
      <c r="D685" s="1242" t="s">
        <v>243</v>
      </c>
      <c r="E685" s="1233"/>
      <c r="F685" s="1234"/>
      <c r="G685" s="1235" t="s">
        <v>268</v>
      </c>
      <c r="H685" s="1201"/>
      <c r="I685" s="1236"/>
      <c r="J685" s="1065"/>
      <c r="L685" s="8"/>
      <c r="M685" s="8"/>
      <c r="N685" s="8"/>
      <c r="O685" s="8"/>
      <c r="P685" s="8"/>
    </row>
    <row r="686" spans="2:16" x14ac:dyDescent="0.2">
      <c r="B686" s="1237">
        <f t="shared" si="27"/>
        <v>56</v>
      </c>
      <c r="C686" s="1231"/>
      <c r="D686" s="1242" t="s">
        <v>225</v>
      </c>
      <c r="E686" s="1233"/>
      <c r="F686" s="1234"/>
      <c r="G686" s="1235" t="s">
        <v>293</v>
      </c>
      <c r="H686" s="1201"/>
      <c r="I686" s="1236"/>
      <c r="J686" s="1065"/>
      <c r="L686" s="8"/>
      <c r="M686" s="8"/>
      <c r="N686" s="8"/>
      <c r="O686" s="8"/>
      <c r="P686" s="8"/>
    </row>
    <row r="687" spans="2:16" x14ac:dyDescent="0.2">
      <c r="B687" s="1237">
        <f t="shared" si="27"/>
        <v>57</v>
      </c>
      <c r="C687" s="1231"/>
      <c r="D687" s="1247" t="s">
        <v>1098</v>
      </c>
      <c r="E687" s="1102"/>
      <c r="F687" s="1188"/>
      <c r="G687" s="1104" t="s">
        <v>277</v>
      </c>
      <c r="H687" s="1105"/>
      <c r="I687" s="1090">
        <v>81000</v>
      </c>
      <c r="J687" s="1065"/>
      <c r="L687" s="8"/>
      <c r="M687" s="8"/>
      <c r="N687" s="8"/>
      <c r="O687" s="8"/>
      <c r="P687" s="8"/>
    </row>
    <row r="688" spans="2:16" x14ac:dyDescent="0.2">
      <c r="B688" s="1237">
        <f t="shared" si="27"/>
        <v>58</v>
      </c>
      <c r="C688" s="1231"/>
      <c r="D688" s="1242" t="s">
        <v>1099</v>
      </c>
      <c r="E688" s="1233"/>
      <c r="F688" s="1234"/>
      <c r="G688" s="1235" t="s">
        <v>277</v>
      </c>
      <c r="H688" s="1201"/>
      <c r="I688" s="1236"/>
      <c r="J688" s="1065"/>
      <c r="L688" s="8"/>
      <c r="M688" s="8"/>
      <c r="N688" s="8"/>
      <c r="O688" s="8"/>
      <c r="P688" s="8"/>
    </row>
    <row r="689" spans="2:16" x14ac:dyDescent="0.2">
      <c r="B689" s="1237">
        <f t="shared" si="27"/>
        <v>59</v>
      </c>
      <c r="C689" s="1231"/>
      <c r="D689" s="1247" t="s">
        <v>1085</v>
      </c>
      <c r="E689" s="1102"/>
      <c r="F689" s="1188"/>
      <c r="G689" s="1104" t="s">
        <v>275</v>
      </c>
      <c r="H689" s="1105"/>
      <c r="I689" s="1090">
        <v>8500000</v>
      </c>
      <c r="J689" s="1065"/>
      <c r="L689" s="8"/>
      <c r="M689" s="8"/>
      <c r="N689" s="8"/>
      <c r="O689" s="8"/>
      <c r="P689" s="8"/>
    </row>
    <row r="690" spans="2:16" x14ac:dyDescent="0.2">
      <c r="B690" s="1237">
        <f t="shared" si="27"/>
        <v>60</v>
      </c>
      <c r="C690" s="1231"/>
      <c r="D690" s="1242" t="s">
        <v>1100</v>
      </c>
      <c r="E690" s="1233"/>
      <c r="F690" s="1234"/>
      <c r="G690" s="1235" t="s">
        <v>268</v>
      </c>
      <c r="H690" s="1201"/>
      <c r="I690" s="1236"/>
      <c r="J690" s="1065"/>
      <c r="L690" s="8"/>
      <c r="M690" s="8"/>
      <c r="N690" s="8"/>
      <c r="O690" s="8"/>
      <c r="P690" s="8"/>
    </row>
    <row r="691" spans="2:16" x14ac:dyDescent="0.2">
      <c r="B691" s="1237">
        <f t="shared" si="27"/>
        <v>61</v>
      </c>
      <c r="C691" s="1231"/>
      <c r="D691" s="1247" t="s">
        <v>1401</v>
      </c>
      <c r="E691" s="1233"/>
      <c r="F691" s="1234"/>
      <c r="G691" s="1235" t="s">
        <v>268</v>
      </c>
      <c r="H691" s="1201"/>
      <c r="I691" s="1090">
        <v>110000</v>
      </c>
      <c r="J691" s="1065"/>
      <c r="L691" s="8"/>
      <c r="M691" s="8"/>
      <c r="N691" s="8"/>
      <c r="O691" s="8"/>
      <c r="P691" s="8"/>
    </row>
    <row r="692" spans="2:16" x14ac:dyDescent="0.2">
      <c r="B692" s="1237">
        <f t="shared" si="27"/>
        <v>62</v>
      </c>
      <c r="C692" s="1231"/>
      <c r="D692" s="1247" t="s">
        <v>464</v>
      </c>
      <c r="E692" s="1102"/>
      <c r="F692" s="1188"/>
      <c r="G692" s="1104" t="s">
        <v>268</v>
      </c>
      <c r="H692" s="1105"/>
      <c r="I692" s="1090">
        <v>85000</v>
      </c>
      <c r="J692" s="1065"/>
      <c r="L692" s="8"/>
      <c r="M692" s="8"/>
      <c r="N692" s="8"/>
      <c r="O692" s="8"/>
      <c r="P692" s="8"/>
    </row>
    <row r="693" spans="2:16" x14ac:dyDescent="0.2">
      <c r="B693" s="1237">
        <f t="shared" si="27"/>
        <v>63</v>
      </c>
      <c r="C693" s="1231"/>
      <c r="D693" s="1248" t="s">
        <v>1074</v>
      </c>
      <c r="E693" s="1233"/>
      <c r="F693" s="1234"/>
      <c r="G693" s="1235" t="s">
        <v>274</v>
      </c>
      <c r="H693" s="1201"/>
      <c r="I693" s="1236"/>
      <c r="J693" s="1065"/>
      <c r="L693" s="8"/>
      <c r="M693" s="8"/>
      <c r="N693" s="8"/>
      <c r="O693" s="8"/>
      <c r="P693" s="8"/>
    </row>
    <row r="694" spans="2:16" x14ac:dyDescent="0.2">
      <c r="B694" s="1237">
        <f t="shared" si="27"/>
        <v>64</v>
      </c>
      <c r="C694" s="1231"/>
      <c r="D694" s="1248" t="s">
        <v>1075</v>
      </c>
      <c r="E694" s="1233"/>
      <c r="F694" s="1234"/>
      <c r="G694" s="1235" t="s">
        <v>268</v>
      </c>
      <c r="H694" s="1201"/>
      <c r="I694" s="1236"/>
      <c r="J694" s="1065"/>
      <c r="L694" s="8"/>
      <c r="M694" s="8"/>
      <c r="N694" s="8"/>
      <c r="O694" s="8"/>
      <c r="P694" s="8"/>
    </row>
    <row r="695" spans="2:16" x14ac:dyDescent="0.2">
      <c r="B695" s="1237">
        <f t="shared" ref="B695:B749" si="28">B694+1</f>
        <v>65</v>
      </c>
      <c r="C695" s="1231"/>
      <c r="D695" s="1248" t="s">
        <v>1076</v>
      </c>
      <c r="E695" s="1233"/>
      <c r="F695" s="1234"/>
      <c r="G695" s="1235" t="s">
        <v>268</v>
      </c>
      <c r="H695" s="1201"/>
      <c r="I695" s="1236"/>
      <c r="J695" s="1065"/>
      <c r="L695" s="8"/>
      <c r="M695" s="8"/>
      <c r="N695" s="8"/>
      <c r="O695" s="8"/>
      <c r="P695" s="8"/>
    </row>
    <row r="696" spans="2:16" x14ac:dyDescent="0.2">
      <c r="B696" s="1237">
        <f t="shared" si="28"/>
        <v>66</v>
      </c>
      <c r="C696" s="1231"/>
      <c r="D696" s="1248" t="s">
        <v>1077</v>
      </c>
      <c r="E696" s="1233"/>
      <c r="F696" s="1234"/>
      <c r="G696" s="1235" t="s">
        <v>268</v>
      </c>
      <c r="H696" s="1201"/>
      <c r="I696" s="1236"/>
      <c r="J696" s="1065"/>
      <c r="L696" s="8"/>
      <c r="M696" s="8"/>
      <c r="N696" s="8"/>
      <c r="O696" s="8"/>
      <c r="P696" s="8"/>
    </row>
    <row r="697" spans="2:16" x14ac:dyDescent="0.2">
      <c r="B697" s="1237">
        <f t="shared" si="28"/>
        <v>67</v>
      </c>
      <c r="C697" s="1231"/>
      <c r="D697" s="1248" t="s">
        <v>1078</v>
      </c>
      <c r="E697" s="1233"/>
      <c r="F697" s="1234"/>
      <c r="G697" s="1235" t="s">
        <v>268</v>
      </c>
      <c r="H697" s="1201"/>
      <c r="I697" s="1236"/>
      <c r="J697" s="1065"/>
      <c r="L697" s="8"/>
      <c r="M697" s="8"/>
      <c r="N697" s="8"/>
      <c r="O697" s="8"/>
      <c r="P697" s="8"/>
    </row>
    <row r="698" spans="2:16" x14ac:dyDescent="0.2">
      <c r="B698" s="1237">
        <f t="shared" si="28"/>
        <v>68</v>
      </c>
      <c r="C698" s="1231"/>
      <c r="D698" s="1248" t="s">
        <v>1079</v>
      </c>
      <c r="E698" s="1233"/>
      <c r="F698" s="1234"/>
      <c r="G698" s="1235" t="s">
        <v>268</v>
      </c>
      <c r="H698" s="1201"/>
      <c r="I698" s="1236"/>
      <c r="J698" s="1065"/>
      <c r="L698" s="8"/>
      <c r="M698" s="8"/>
      <c r="N698" s="8"/>
      <c r="O698" s="8"/>
      <c r="P698" s="8"/>
    </row>
    <row r="699" spans="2:16" x14ac:dyDescent="0.2">
      <c r="B699" s="1237">
        <f t="shared" si="28"/>
        <v>69</v>
      </c>
      <c r="C699" s="1101"/>
      <c r="D699" s="1249" t="s">
        <v>1402</v>
      </c>
      <c r="E699" s="1102"/>
      <c r="F699" s="1188"/>
      <c r="G699" s="1104" t="s">
        <v>338</v>
      </c>
      <c r="H699" s="1105"/>
      <c r="I699" s="1090">
        <v>100000</v>
      </c>
      <c r="J699" s="1065"/>
      <c r="L699" s="8"/>
      <c r="M699" s="8"/>
      <c r="N699" s="8" t="s">
        <v>1397</v>
      </c>
      <c r="O699" s="8"/>
      <c r="P699" s="8"/>
    </row>
    <row r="700" spans="2:16" x14ac:dyDescent="0.2">
      <c r="B700" s="1237">
        <f t="shared" si="28"/>
        <v>70</v>
      </c>
      <c r="C700" s="1231"/>
      <c r="D700" s="532" t="s">
        <v>1403</v>
      </c>
      <c r="E700" s="1233"/>
      <c r="F700" s="1234"/>
      <c r="G700" s="1235" t="s">
        <v>298</v>
      </c>
      <c r="H700" s="1201"/>
      <c r="I700" s="1236">
        <v>13000</v>
      </c>
      <c r="J700" s="1065"/>
      <c r="L700" s="8"/>
      <c r="M700" s="8"/>
      <c r="N700" s="8"/>
      <c r="O700" s="8"/>
      <c r="P700" s="8"/>
    </row>
    <row r="701" spans="2:16" x14ac:dyDescent="0.2">
      <c r="B701" s="1237">
        <f t="shared" si="28"/>
        <v>71</v>
      </c>
      <c r="C701" s="1231"/>
      <c r="D701" s="1250" t="s">
        <v>1404</v>
      </c>
      <c r="E701" s="1233"/>
      <c r="F701" s="1234"/>
      <c r="G701" s="1235" t="s">
        <v>247</v>
      </c>
      <c r="H701" s="1201"/>
      <c r="I701" s="1236">
        <v>35000</v>
      </c>
      <c r="J701" s="1065"/>
      <c r="L701" s="8"/>
      <c r="M701" s="8"/>
      <c r="N701" s="8"/>
      <c r="O701" s="8"/>
      <c r="P701" s="8"/>
    </row>
    <row r="702" spans="2:16" x14ac:dyDescent="0.2">
      <c r="B702" s="1237">
        <f t="shared" si="28"/>
        <v>72</v>
      </c>
      <c r="C702" s="1067"/>
      <c r="D702" s="1160" t="s">
        <v>447</v>
      </c>
      <c r="E702" s="1168"/>
      <c r="F702" s="1152"/>
      <c r="G702" s="1073" t="s">
        <v>463</v>
      </c>
      <c r="H702" s="1081"/>
      <c r="I702" s="1064">
        <v>45000</v>
      </c>
      <c r="J702" s="1065"/>
      <c r="L702" s="8"/>
      <c r="M702" s="8"/>
      <c r="N702" s="8"/>
      <c r="O702" s="8"/>
      <c r="P702" s="8"/>
    </row>
    <row r="703" spans="2:16" x14ac:dyDescent="0.2">
      <c r="B703" s="1237">
        <f t="shared" si="28"/>
        <v>73</v>
      </c>
      <c r="C703" s="1067"/>
      <c r="D703" s="1160" t="s">
        <v>368</v>
      </c>
      <c r="E703" s="1168"/>
      <c r="F703" s="1152"/>
      <c r="G703" s="1073" t="s">
        <v>383</v>
      </c>
      <c r="H703" s="1081"/>
      <c r="I703" s="1064">
        <v>40000</v>
      </c>
      <c r="J703" s="1065"/>
      <c r="L703" s="8"/>
      <c r="M703" s="8"/>
      <c r="N703" s="8"/>
      <c r="O703" s="8"/>
      <c r="P703" s="8"/>
    </row>
    <row r="704" spans="2:16" x14ac:dyDescent="0.2">
      <c r="B704" s="1237">
        <f t="shared" si="28"/>
        <v>74</v>
      </c>
      <c r="C704" s="1067"/>
      <c r="D704" s="1160" t="s">
        <v>394</v>
      </c>
      <c r="E704" s="1168"/>
      <c r="F704" s="1152"/>
      <c r="G704" s="1073" t="s">
        <v>268</v>
      </c>
      <c r="H704" s="1081"/>
      <c r="I704" s="1064">
        <v>1250</v>
      </c>
      <c r="J704" s="1065"/>
      <c r="L704" s="8"/>
      <c r="M704" s="8"/>
      <c r="N704" s="8"/>
      <c r="O704" s="8"/>
      <c r="P704" s="8"/>
    </row>
    <row r="705" spans="2:16" x14ac:dyDescent="0.2">
      <c r="B705" s="1237">
        <f t="shared" si="28"/>
        <v>75</v>
      </c>
      <c r="C705" s="1067"/>
      <c r="D705" s="1160" t="s">
        <v>395</v>
      </c>
      <c r="E705" s="1168"/>
      <c r="F705" s="1152"/>
      <c r="G705" s="1073" t="s">
        <v>268</v>
      </c>
      <c r="H705" s="1081"/>
      <c r="I705" s="1064">
        <v>50000</v>
      </c>
      <c r="J705" s="1065"/>
      <c r="L705" s="8"/>
      <c r="M705" s="8"/>
      <c r="N705" s="8"/>
      <c r="O705" s="8"/>
      <c r="P705" s="8"/>
    </row>
    <row r="706" spans="2:16" x14ac:dyDescent="0.2">
      <c r="B706" s="1237">
        <f t="shared" si="28"/>
        <v>76</v>
      </c>
      <c r="C706" s="1067"/>
      <c r="D706" s="1160" t="s">
        <v>592</v>
      </c>
      <c r="E706" s="1168"/>
      <c r="F706" s="1152"/>
      <c r="G706" s="1073" t="s">
        <v>338</v>
      </c>
      <c r="H706" s="1081"/>
      <c r="I706" s="1064">
        <v>35000</v>
      </c>
      <c r="J706" s="1065"/>
      <c r="L706" s="8"/>
      <c r="M706" s="8"/>
      <c r="N706" s="8"/>
      <c r="O706" s="8"/>
      <c r="P706" s="8"/>
    </row>
    <row r="707" spans="2:16" x14ac:dyDescent="0.2">
      <c r="B707" s="1237">
        <f t="shared" si="28"/>
        <v>77</v>
      </c>
      <c r="C707" s="1067"/>
      <c r="D707" s="1251" t="s">
        <v>655</v>
      </c>
      <c r="E707" s="1069"/>
      <c r="F707" s="1152"/>
      <c r="G707" s="1109" t="s">
        <v>463</v>
      </c>
      <c r="H707" s="1071"/>
      <c r="I707" s="1064">
        <v>75000</v>
      </c>
      <c r="J707" s="1065"/>
      <c r="L707" s="8"/>
      <c r="M707" s="8"/>
      <c r="N707" s="8"/>
      <c r="O707" s="8"/>
      <c r="P707" s="8"/>
    </row>
    <row r="708" spans="2:16" x14ac:dyDescent="0.2">
      <c r="B708" s="1237">
        <f t="shared" si="28"/>
        <v>78</v>
      </c>
      <c r="C708" s="1067"/>
      <c r="D708" s="1251" t="s">
        <v>656</v>
      </c>
      <c r="E708" s="1069"/>
      <c r="F708" s="1252"/>
      <c r="G708" s="1109" t="s">
        <v>463</v>
      </c>
      <c r="H708" s="1071"/>
      <c r="I708" s="1064">
        <v>75000</v>
      </c>
      <c r="J708" s="1065"/>
      <c r="L708" s="8"/>
      <c r="M708" s="8"/>
      <c r="N708" s="8"/>
      <c r="O708" s="8"/>
      <c r="P708" s="8"/>
    </row>
    <row r="709" spans="2:16" x14ac:dyDescent="0.2">
      <c r="B709" s="1237">
        <f t="shared" si="28"/>
        <v>79</v>
      </c>
      <c r="C709" s="1067"/>
      <c r="D709" s="1251" t="s">
        <v>657</v>
      </c>
      <c r="E709" s="1069"/>
      <c r="F709" s="1063"/>
      <c r="G709" s="1109" t="s">
        <v>430</v>
      </c>
      <c r="H709" s="1071"/>
      <c r="I709" s="1064">
        <v>0</v>
      </c>
      <c r="J709" s="1065"/>
      <c r="L709" s="8"/>
      <c r="M709" s="8"/>
      <c r="N709" s="8"/>
      <c r="O709" s="8"/>
      <c r="P709" s="8"/>
    </row>
    <row r="710" spans="2:16" x14ac:dyDescent="0.2">
      <c r="B710" s="1237">
        <f t="shared" si="28"/>
        <v>80</v>
      </c>
      <c r="C710" s="1067"/>
      <c r="D710" s="1251" t="s">
        <v>658</v>
      </c>
      <c r="E710" s="1069"/>
      <c r="F710" s="1106"/>
      <c r="G710" s="1109" t="s">
        <v>268</v>
      </c>
      <c r="H710" s="1071"/>
      <c r="I710" s="1064">
        <v>0</v>
      </c>
      <c r="J710" s="1065"/>
      <c r="L710" s="8"/>
      <c r="M710" s="8"/>
      <c r="N710" s="8"/>
      <c r="O710" s="8"/>
      <c r="P710" s="8"/>
    </row>
    <row r="711" spans="2:16" x14ac:dyDescent="0.2">
      <c r="B711" s="1237">
        <f t="shared" si="28"/>
        <v>81</v>
      </c>
      <c r="C711" s="1067"/>
      <c r="D711" s="1251" t="s">
        <v>659</v>
      </c>
      <c r="E711" s="1075"/>
      <c r="F711" s="1063"/>
      <c r="G711" s="1109" t="s">
        <v>662</v>
      </c>
      <c r="H711" s="1078"/>
      <c r="I711" s="1064">
        <v>0</v>
      </c>
      <c r="J711" s="1065"/>
      <c r="L711" s="8"/>
      <c r="M711" s="8"/>
      <c r="N711" s="8"/>
      <c r="O711" s="8"/>
      <c r="P711" s="8"/>
    </row>
    <row r="712" spans="2:16" x14ac:dyDescent="0.2">
      <c r="B712" s="1237">
        <f t="shared" si="28"/>
        <v>82</v>
      </c>
      <c r="C712" s="1067"/>
      <c r="D712" s="1251" t="s">
        <v>660</v>
      </c>
      <c r="E712" s="1069"/>
      <c r="F712" s="1069"/>
      <c r="G712" s="1109" t="s">
        <v>662</v>
      </c>
      <c r="H712" s="1071"/>
      <c r="I712" s="1064">
        <v>0</v>
      </c>
      <c r="J712" s="1065"/>
      <c r="L712" s="8"/>
      <c r="M712" s="8"/>
      <c r="N712" s="8"/>
      <c r="O712" s="8"/>
      <c r="P712" s="8"/>
    </row>
    <row r="713" spans="2:16" x14ac:dyDescent="0.2">
      <c r="B713" s="1237">
        <f t="shared" si="28"/>
        <v>83</v>
      </c>
      <c r="C713" s="1067"/>
      <c r="D713" s="1251" t="s">
        <v>661</v>
      </c>
      <c r="E713" s="1069"/>
      <c r="F713" s="1069"/>
      <c r="G713" s="1109" t="s">
        <v>650</v>
      </c>
      <c r="H713" s="1071"/>
      <c r="I713" s="1064">
        <v>0</v>
      </c>
      <c r="J713" s="1065"/>
      <c r="L713" s="8"/>
      <c r="M713" s="8"/>
      <c r="N713" s="8"/>
      <c r="O713" s="8"/>
      <c r="P713" s="8"/>
    </row>
    <row r="714" spans="2:16" x14ac:dyDescent="0.2">
      <c r="B714" s="1237">
        <f t="shared" si="28"/>
        <v>84</v>
      </c>
      <c r="C714" s="1067"/>
      <c r="D714" s="1251" t="s">
        <v>603</v>
      </c>
      <c r="E714" s="1069"/>
      <c r="F714" s="1069"/>
      <c r="G714" s="1109" t="s">
        <v>662</v>
      </c>
      <c r="H714" s="1071"/>
      <c r="I714" s="1064">
        <v>0</v>
      </c>
      <c r="J714" s="1065"/>
      <c r="L714" s="8"/>
      <c r="M714" s="8"/>
      <c r="N714" s="536" t="s">
        <v>1405</v>
      </c>
      <c r="O714" s="8"/>
      <c r="P714" s="8"/>
    </row>
    <row r="715" spans="2:16" ht="16.5" x14ac:dyDescent="0.2">
      <c r="B715" s="1237">
        <f t="shared" si="28"/>
        <v>85</v>
      </c>
      <c r="C715" s="1253"/>
      <c r="D715" s="222" t="s">
        <v>801</v>
      </c>
      <c r="E715" s="223"/>
      <c r="F715" s="251"/>
      <c r="G715" s="1073" t="s">
        <v>1494</v>
      </c>
      <c r="H715" s="220"/>
      <c r="I715" s="1254">
        <f t="shared" ref="I715:I723" si="29">O715</f>
        <v>660000</v>
      </c>
      <c r="J715" s="970"/>
      <c r="L715" s="8"/>
      <c r="M715" s="8"/>
      <c r="N715" s="8">
        <v>600000</v>
      </c>
      <c r="O715" s="539">
        <f>ROUNDDOWN((N715*1.1),-3)</f>
        <v>660000</v>
      </c>
      <c r="P715" s="8"/>
    </row>
    <row r="716" spans="2:16" ht="16.5" x14ac:dyDescent="0.2">
      <c r="B716" s="1237">
        <f t="shared" si="28"/>
        <v>86</v>
      </c>
      <c r="C716" s="1137"/>
      <c r="D716" s="1255" t="s">
        <v>802</v>
      </c>
      <c r="E716" s="1256"/>
      <c r="F716" s="1257"/>
      <c r="G716" s="1073" t="s">
        <v>1494</v>
      </c>
      <c r="H716" s="1258"/>
      <c r="I716" s="1123">
        <f t="shared" si="29"/>
        <v>825000</v>
      </c>
      <c r="J716" s="1202"/>
      <c r="L716" s="8"/>
      <c r="M716" s="8"/>
      <c r="N716" s="8">
        <v>750000</v>
      </c>
      <c r="O716" s="539">
        <f t="shared" ref="O716:O746" si="30">ROUNDDOWN((N716*1.1),-3)</f>
        <v>825000</v>
      </c>
      <c r="P716" s="8"/>
    </row>
    <row r="717" spans="2:16" ht="16.5" x14ac:dyDescent="0.2">
      <c r="B717" s="1237">
        <f t="shared" si="28"/>
        <v>87</v>
      </c>
      <c r="C717" s="1137"/>
      <c r="D717" s="1255" t="s">
        <v>796</v>
      </c>
      <c r="E717" s="1256"/>
      <c r="F717" s="1257"/>
      <c r="G717" s="1073" t="s">
        <v>1494</v>
      </c>
      <c r="H717" s="1258"/>
      <c r="I717" s="1123">
        <f t="shared" si="29"/>
        <v>440000</v>
      </c>
      <c r="J717" s="1202"/>
      <c r="L717" s="8"/>
      <c r="M717" s="8"/>
      <c r="N717" s="8">
        <v>400000</v>
      </c>
      <c r="O717" s="539">
        <f t="shared" si="30"/>
        <v>440000</v>
      </c>
      <c r="P717" s="8"/>
    </row>
    <row r="718" spans="2:16" ht="16.5" x14ac:dyDescent="0.2">
      <c r="B718" s="1237">
        <f t="shared" si="28"/>
        <v>88</v>
      </c>
      <c r="C718" s="1137"/>
      <c r="D718" s="1255" t="s">
        <v>804</v>
      </c>
      <c r="E718" s="1256"/>
      <c r="F718" s="1257"/>
      <c r="G718" s="1073" t="s">
        <v>1494</v>
      </c>
      <c r="H718" s="1258"/>
      <c r="I718" s="1123">
        <f t="shared" si="29"/>
        <v>440000</v>
      </c>
      <c r="J718" s="1202"/>
      <c r="L718" s="8"/>
      <c r="M718" s="8"/>
      <c r="N718" s="8">
        <v>400000</v>
      </c>
      <c r="O718" s="539">
        <f t="shared" si="30"/>
        <v>440000</v>
      </c>
      <c r="P718" s="8"/>
    </row>
    <row r="719" spans="2:16" ht="16.5" x14ac:dyDescent="0.2">
      <c r="B719" s="1237">
        <f t="shared" si="28"/>
        <v>89</v>
      </c>
      <c r="C719" s="1137"/>
      <c r="D719" s="1255" t="s">
        <v>798</v>
      </c>
      <c r="E719" s="1256"/>
      <c r="F719" s="1257"/>
      <c r="G719" s="1073" t="s">
        <v>1494</v>
      </c>
      <c r="H719" s="1258"/>
      <c r="I719" s="1123">
        <f>O719</f>
        <v>695000</v>
      </c>
      <c r="J719" s="1202"/>
      <c r="L719" s="8"/>
      <c r="M719" s="8"/>
      <c r="N719" s="8">
        <v>632500</v>
      </c>
      <c r="O719" s="539">
        <f t="shared" si="30"/>
        <v>695000</v>
      </c>
      <c r="P719" s="8"/>
    </row>
    <row r="720" spans="2:16" ht="16.5" x14ac:dyDescent="0.2">
      <c r="B720" s="1237">
        <f t="shared" si="28"/>
        <v>90</v>
      </c>
      <c r="C720" s="1137"/>
      <c r="D720" s="1255" t="s">
        <v>799</v>
      </c>
      <c r="E720" s="1256"/>
      <c r="F720" s="1257"/>
      <c r="G720" s="1073" t="s">
        <v>1494</v>
      </c>
      <c r="H720" s="1258"/>
      <c r="I720" s="1123">
        <f t="shared" si="29"/>
        <v>715000</v>
      </c>
      <c r="J720" s="1202"/>
      <c r="L720" s="8"/>
      <c r="M720" s="8"/>
      <c r="N720" s="8">
        <v>650000</v>
      </c>
      <c r="O720" s="539">
        <f t="shared" si="30"/>
        <v>715000</v>
      </c>
      <c r="P720" s="8"/>
    </row>
    <row r="721" spans="2:18" ht="16.5" x14ac:dyDescent="0.2">
      <c r="B721" s="1237">
        <f t="shared" si="28"/>
        <v>91</v>
      </c>
      <c r="C721" s="1137"/>
      <c r="D721" s="1255" t="s">
        <v>800</v>
      </c>
      <c r="E721" s="1256"/>
      <c r="F721" s="1257"/>
      <c r="G721" s="1073" t="s">
        <v>1494</v>
      </c>
      <c r="H721" s="1258"/>
      <c r="I721" s="1123">
        <f t="shared" si="29"/>
        <v>935000</v>
      </c>
      <c r="J721" s="1202"/>
      <c r="L721" s="8"/>
      <c r="M721" s="8"/>
      <c r="N721" s="8">
        <v>850000</v>
      </c>
      <c r="O721" s="539">
        <f t="shared" si="30"/>
        <v>935000</v>
      </c>
      <c r="P721" s="8"/>
    </row>
    <row r="722" spans="2:18" ht="16.5" x14ac:dyDescent="0.2">
      <c r="B722" s="1237">
        <f t="shared" si="28"/>
        <v>92</v>
      </c>
      <c r="C722" s="1137"/>
      <c r="D722" s="1255" t="s">
        <v>797</v>
      </c>
      <c r="E722" s="1256"/>
      <c r="F722" s="1257"/>
      <c r="G722" s="1073" t="s">
        <v>1494</v>
      </c>
      <c r="H722" s="1258"/>
      <c r="I722" s="1123">
        <f t="shared" si="29"/>
        <v>935000</v>
      </c>
      <c r="J722" s="1202"/>
      <c r="L722" s="8"/>
      <c r="M722" s="8"/>
      <c r="N722" s="8">
        <v>850000</v>
      </c>
      <c r="O722" s="539">
        <f t="shared" si="30"/>
        <v>935000</v>
      </c>
      <c r="P722" s="8"/>
    </row>
    <row r="723" spans="2:18" x14ac:dyDescent="0.2">
      <c r="B723" s="1237">
        <f t="shared" si="28"/>
        <v>93</v>
      </c>
      <c r="C723" s="1137"/>
      <c r="D723" s="1255" t="s">
        <v>803</v>
      </c>
      <c r="E723" s="1256"/>
      <c r="F723" s="1257"/>
      <c r="G723" s="1073" t="s">
        <v>268</v>
      </c>
      <c r="H723" s="1258"/>
      <c r="I723" s="1123">
        <f t="shared" si="29"/>
        <v>220000</v>
      </c>
      <c r="J723" s="1202"/>
      <c r="L723" s="8"/>
      <c r="M723" s="8"/>
      <c r="N723" s="8">
        <v>200000</v>
      </c>
      <c r="O723" s="539">
        <f t="shared" si="30"/>
        <v>220000</v>
      </c>
      <c r="P723" s="8"/>
    </row>
    <row r="724" spans="2:18" x14ac:dyDescent="0.2">
      <c r="B724" s="1237">
        <f t="shared" si="28"/>
        <v>94</v>
      </c>
      <c r="C724" s="1067"/>
      <c r="D724" s="1154" t="s">
        <v>589</v>
      </c>
      <c r="E724" s="1075"/>
      <c r="F724" s="1075"/>
      <c r="G724" s="1073" t="s">
        <v>309</v>
      </c>
      <c r="H724" s="1071"/>
      <c r="I724" s="1123">
        <f>O724</f>
        <v>695000</v>
      </c>
      <c r="J724" s="1065"/>
      <c r="L724" s="8"/>
      <c r="M724" s="8"/>
      <c r="N724" s="8">
        <v>632500</v>
      </c>
      <c r="O724" s="539">
        <f t="shared" si="30"/>
        <v>695000</v>
      </c>
      <c r="P724" s="8"/>
    </row>
    <row r="725" spans="2:18" x14ac:dyDescent="0.2">
      <c r="B725" s="1237">
        <f t="shared" si="28"/>
        <v>95</v>
      </c>
      <c r="C725" s="1067"/>
      <c r="D725" s="1154" t="s">
        <v>3</v>
      </c>
      <c r="E725" s="1075"/>
      <c r="F725" s="1075"/>
      <c r="G725" s="1073" t="s">
        <v>273</v>
      </c>
      <c r="H725" s="1071"/>
      <c r="I725" s="1123">
        <v>5000000</v>
      </c>
      <c r="J725" s="1065"/>
      <c r="L725" s="8"/>
      <c r="M725" s="8"/>
      <c r="N725" s="8">
        <v>5000000</v>
      </c>
      <c r="O725" s="539">
        <f t="shared" si="30"/>
        <v>5500000</v>
      </c>
      <c r="P725" s="8"/>
    </row>
    <row r="726" spans="2:18" x14ac:dyDescent="0.2">
      <c r="B726" s="1237">
        <f t="shared" si="28"/>
        <v>96</v>
      </c>
      <c r="C726" s="1067"/>
      <c r="D726" s="1154" t="s">
        <v>1407</v>
      </c>
      <c r="E726" s="1075"/>
      <c r="F726" s="1075"/>
      <c r="G726" s="1073" t="s">
        <v>247</v>
      </c>
      <c r="H726" s="1071"/>
      <c r="I726" s="1123">
        <v>25000</v>
      </c>
      <c r="J726" s="1065"/>
      <c r="L726" s="8"/>
      <c r="M726" s="8"/>
      <c r="N726" s="543">
        <v>20000</v>
      </c>
      <c r="O726" s="539">
        <f t="shared" si="30"/>
        <v>22000</v>
      </c>
      <c r="P726" s="8"/>
      <c r="R726" s="210">
        <f>900000/50</f>
        <v>18000</v>
      </c>
    </row>
    <row r="727" spans="2:18" x14ac:dyDescent="0.2">
      <c r="B727" s="1237">
        <f t="shared" si="28"/>
        <v>97</v>
      </c>
      <c r="C727" s="1067"/>
      <c r="D727" s="1154" t="s">
        <v>817</v>
      </c>
      <c r="E727" s="1075"/>
      <c r="F727" s="1075"/>
      <c r="G727" s="1073" t="s">
        <v>273</v>
      </c>
      <c r="H727" s="1071"/>
      <c r="I727" s="1064">
        <v>3500000</v>
      </c>
      <c r="J727" s="1065"/>
      <c r="L727" s="8"/>
      <c r="M727" s="8"/>
      <c r="N727" s="543">
        <v>3500000</v>
      </c>
      <c r="O727" s="539">
        <f t="shared" si="30"/>
        <v>3850000</v>
      </c>
      <c r="P727" s="8"/>
    </row>
    <row r="728" spans="2:18" x14ac:dyDescent="0.2">
      <c r="B728" s="1237">
        <f t="shared" si="28"/>
        <v>98</v>
      </c>
      <c r="C728" s="1067"/>
      <c r="D728" s="1154" t="s">
        <v>602</v>
      </c>
      <c r="E728" s="1075"/>
      <c r="F728" s="1075"/>
      <c r="G728" s="1073" t="s">
        <v>273</v>
      </c>
      <c r="H728" s="1071"/>
      <c r="I728" s="1123">
        <f>O728</f>
        <v>38500000</v>
      </c>
      <c r="J728" s="1259"/>
      <c r="L728" s="8"/>
      <c r="M728" s="8"/>
      <c r="N728" s="8">
        <v>35000000</v>
      </c>
      <c r="O728" s="539">
        <f t="shared" si="30"/>
        <v>38500000</v>
      </c>
      <c r="P728" s="8"/>
    </row>
    <row r="729" spans="2:18" x14ac:dyDescent="0.2">
      <c r="B729" s="1237">
        <f t="shared" si="28"/>
        <v>99</v>
      </c>
      <c r="C729" s="1067"/>
      <c r="D729" s="1154" t="s">
        <v>593</v>
      </c>
      <c r="E729" s="1075"/>
      <c r="F729" s="1075"/>
      <c r="G729" s="1073" t="s">
        <v>268</v>
      </c>
      <c r="H729" s="1071"/>
      <c r="I729" s="1064">
        <v>86300</v>
      </c>
      <c r="J729" s="1065"/>
      <c r="L729" s="8"/>
      <c r="M729" s="8"/>
      <c r="N729" s="8">
        <v>86300</v>
      </c>
      <c r="O729" s="539">
        <f t="shared" si="30"/>
        <v>94000</v>
      </c>
      <c r="P729" s="8"/>
    </row>
    <row r="730" spans="2:18" x14ac:dyDescent="0.2">
      <c r="B730" s="1237">
        <f t="shared" si="28"/>
        <v>100</v>
      </c>
      <c r="C730" s="1067"/>
      <c r="D730" s="1154" t="s">
        <v>596</v>
      </c>
      <c r="E730" s="1075"/>
      <c r="F730" s="1075"/>
      <c r="G730" s="1073" t="s">
        <v>273</v>
      </c>
      <c r="H730" s="1071"/>
      <c r="I730" s="1064">
        <v>5750000</v>
      </c>
      <c r="J730" s="1065"/>
      <c r="L730" s="8"/>
      <c r="M730" s="8"/>
      <c r="N730" s="8">
        <v>5750000</v>
      </c>
      <c r="O730" s="539">
        <f t="shared" si="30"/>
        <v>6325000</v>
      </c>
      <c r="P730" s="8"/>
    </row>
    <row r="731" spans="2:18" x14ac:dyDescent="0.2">
      <c r="B731" s="1237">
        <f t="shared" si="28"/>
        <v>101</v>
      </c>
      <c r="C731" s="1067"/>
      <c r="D731" s="1154" t="s">
        <v>597</v>
      </c>
      <c r="E731" s="1075"/>
      <c r="F731" s="1075"/>
      <c r="G731" s="1073" t="s">
        <v>247</v>
      </c>
      <c r="H731" s="1071"/>
      <c r="I731" s="1064">
        <v>110000</v>
      </c>
      <c r="J731" s="1065"/>
      <c r="L731" s="8"/>
      <c r="M731" s="8"/>
      <c r="N731" s="8">
        <v>110000</v>
      </c>
      <c r="O731" s="539">
        <f t="shared" si="30"/>
        <v>121000</v>
      </c>
      <c r="P731" s="8"/>
    </row>
    <row r="732" spans="2:18" x14ac:dyDescent="0.2">
      <c r="B732" s="1237">
        <f t="shared" si="28"/>
        <v>102</v>
      </c>
      <c r="C732" s="1067"/>
      <c r="D732" s="1160" t="s">
        <v>2</v>
      </c>
      <c r="E732" s="1069"/>
      <c r="F732" s="1148"/>
      <c r="G732" s="1073" t="s">
        <v>273</v>
      </c>
      <c r="H732" s="1071"/>
      <c r="I732" s="1064">
        <v>10000000</v>
      </c>
      <c r="J732" s="1065"/>
      <c r="L732" s="8"/>
      <c r="M732" s="8"/>
      <c r="N732" s="8">
        <v>10000000</v>
      </c>
      <c r="O732" s="539">
        <f t="shared" si="30"/>
        <v>11000000</v>
      </c>
      <c r="P732" s="8"/>
    </row>
    <row r="733" spans="2:18" x14ac:dyDescent="0.2">
      <c r="B733" s="1237">
        <f t="shared" si="28"/>
        <v>103</v>
      </c>
      <c r="C733" s="1067"/>
      <c r="D733" s="1160" t="s">
        <v>790</v>
      </c>
      <c r="E733" s="1069"/>
      <c r="F733" s="1069"/>
      <c r="G733" s="1073" t="s">
        <v>268</v>
      </c>
      <c r="H733" s="1071"/>
      <c r="I733" s="1064">
        <v>3500000</v>
      </c>
      <c r="J733" s="1065"/>
      <c r="L733" s="8"/>
      <c r="M733" s="8"/>
      <c r="N733" s="8">
        <v>3500000</v>
      </c>
      <c r="O733" s="539">
        <f t="shared" si="30"/>
        <v>3850000</v>
      </c>
      <c r="P733" s="8"/>
    </row>
    <row r="734" spans="2:18" x14ac:dyDescent="0.2">
      <c r="B734" s="1237">
        <f t="shared" si="28"/>
        <v>104</v>
      </c>
      <c r="C734" s="1067"/>
      <c r="D734" s="1154" t="s">
        <v>823</v>
      </c>
      <c r="E734" s="1075"/>
      <c r="F734" s="1075"/>
      <c r="G734" s="1073" t="s">
        <v>268</v>
      </c>
      <c r="H734" s="1071"/>
      <c r="I734" s="1064">
        <v>50000</v>
      </c>
      <c r="J734" s="1065"/>
      <c r="L734" s="8"/>
      <c r="M734" s="8"/>
      <c r="N734" s="543">
        <v>50000</v>
      </c>
      <c r="O734" s="539">
        <f t="shared" si="30"/>
        <v>55000</v>
      </c>
      <c r="P734" s="8"/>
    </row>
    <row r="735" spans="2:18" x14ac:dyDescent="0.2">
      <c r="B735" s="1237">
        <f t="shared" si="28"/>
        <v>105</v>
      </c>
      <c r="C735" s="1067"/>
      <c r="D735" s="1154" t="s">
        <v>591</v>
      </c>
      <c r="E735" s="1075"/>
      <c r="F735" s="1075"/>
      <c r="G735" s="1073" t="s">
        <v>338</v>
      </c>
      <c r="H735" s="1071"/>
      <c r="I735" s="1064">
        <f>O735</f>
        <v>385000</v>
      </c>
      <c r="J735" s="1065"/>
      <c r="L735" s="8"/>
      <c r="M735" s="8"/>
      <c r="N735" s="543">
        <v>350000</v>
      </c>
      <c r="O735" s="539">
        <f t="shared" si="30"/>
        <v>385000</v>
      </c>
      <c r="P735" s="8"/>
    </row>
    <row r="736" spans="2:18" x14ac:dyDescent="0.2">
      <c r="B736" s="1237">
        <f t="shared" si="28"/>
        <v>106</v>
      </c>
      <c r="C736" s="1067"/>
      <c r="D736" s="1154" t="s">
        <v>826</v>
      </c>
      <c r="E736" s="1075"/>
      <c r="F736" s="1075"/>
      <c r="G736" s="1073" t="s">
        <v>268</v>
      </c>
      <c r="H736" s="1071"/>
      <c r="I736" s="1064">
        <v>25000</v>
      </c>
      <c r="J736" s="1065"/>
      <c r="L736" s="8"/>
      <c r="M736" s="8"/>
      <c r="N736" s="543">
        <v>25000</v>
      </c>
      <c r="O736" s="539">
        <f t="shared" si="30"/>
        <v>27000</v>
      </c>
      <c r="P736" s="8"/>
    </row>
    <row r="737" spans="2:16" x14ac:dyDescent="0.2">
      <c r="B737" s="1237">
        <f t="shared" si="28"/>
        <v>107</v>
      </c>
      <c r="C737" s="1067"/>
      <c r="D737" s="1154" t="s">
        <v>831</v>
      </c>
      <c r="E737" s="1075"/>
      <c r="F737" s="1075"/>
      <c r="G737" s="1073" t="s">
        <v>247</v>
      </c>
      <c r="H737" s="1071"/>
      <c r="I737" s="1064">
        <f>O737</f>
        <v>22000</v>
      </c>
      <c r="J737" s="1065"/>
      <c r="L737" s="8"/>
      <c r="M737" s="8"/>
      <c r="N737" s="543">
        <v>20000</v>
      </c>
      <c r="O737" s="539">
        <f t="shared" si="30"/>
        <v>22000</v>
      </c>
      <c r="P737" s="8"/>
    </row>
    <row r="738" spans="2:16" x14ac:dyDescent="0.2">
      <c r="B738" s="1237">
        <f t="shared" si="28"/>
        <v>108</v>
      </c>
      <c r="C738" s="1067"/>
      <c r="D738" s="1160" t="s">
        <v>585</v>
      </c>
      <c r="E738" s="1069"/>
      <c r="F738" s="1148"/>
      <c r="G738" s="1073" t="s">
        <v>247</v>
      </c>
      <c r="H738" s="1071"/>
      <c r="I738" s="1064">
        <v>15000</v>
      </c>
      <c r="J738" s="1065"/>
      <c r="L738" s="8"/>
      <c r="M738" s="8"/>
      <c r="N738" s="8">
        <v>15000</v>
      </c>
      <c r="O738" s="539">
        <f t="shared" si="30"/>
        <v>16000</v>
      </c>
      <c r="P738" s="8"/>
    </row>
    <row r="739" spans="2:16" x14ac:dyDescent="0.2">
      <c r="B739" s="1237">
        <f t="shared" si="28"/>
        <v>109</v>
      </c>
      <c r="C739" s="1067"/>
      <c r="D739" s="1160" t="s">
        <v>588</v>
      </c>
      <c r="E739" s="1168"/>
      <c r="F739" s="1107"/>
      <c r="G739" s="1151" t="s">
        <v>268</v>
      </c>
      <c r="H739" s="1081"/>
      <c r="I739" s="1123">
        <f>O739</f>
        <v>3000000</v>
      </c>
      <c r="J739" s="1065"/>
      <c r="L739" s="8"/>
      <c r="M739" s="8"/>
      <c r="N739" s="8">
        <v>2500000</v>
      </c>
      <c r="O739" s="539">
        <v>3000000</v>
      </c>
      <c r="P739" s="8"/>
    </row>
    <row r="740" spans="2:16" x14ac:dyDescent="0.2">
      <c r="B740" s="1237">
        <f t="shared" si="28"/>
        <v>110</v>
      </c>
      <c r="C740" s="1067"/>
      <c r="D740" s="1160" t="s">
        <v>376</v>
      </c>
      <c r="E740" s="1168"/>
      <c r="F740" s="1107"/>
      <c r="G740" s="1151" t="s">
        <v>273</v>
      </c>
      <c r="H740" s="1081"/>
      <c r="I740" s="1064">
        <v>500000</v>
      </c>
      <c r="J740" s="1065"/>
      <c r="L740" s="8"/>
      <c r="M740" s="8"/>
      <c r="N740" s="8">
        <v>500000</v>
      </c>
      <c r="O740" s="539">
        <f t="shared" si="30"/>
        <v>550000</v>
      </c>
      <c r="P740" s="8"/>
    </row>
    <row r="741" spans="2:16" x14ac:dyDescent="0.2">
      <c r="B741" s="1237">
        <f t="shared" si="28"/>
        <v>111</v>
      </c>
      <c r="C741" s="1137"/>
      <c r="D741" s="1255" t="s">
        <v>571</v>
      </c>
      <c r="E741" s="1256"/>
      <c r="F741" s="1257"/>
      <c r="G741" s="1260" t="s">
        <v>268</v>
      </c>
      <c r="H741" s="1258"/>
      <c r="I741" s="1205">
        <v>45000</v>
      </c>
      <c r="J741" s="1202"/>
      <c r="L741" s="8"/>
      <c r="M741" s="8"/>
      <c r="N741" s="8">
        <v>45000</v>
      </c>
      <c r="O741" s="539">
        <f t="shared" si="30"/>
        <v>49000</v>
      </c>
      <c r="P741" s="8"/>
    </row>
    <row r="742" spans="2:16" x14ac:dyDescent="0.2">
      <c r="B742" s="1237">
        <f t="shared" si="28"/>
        <v>112</v>
      </c>
      <c r="C742" s="1067"/>
      <c r="D742" s="1154" t="s">
        <v>594</v>
      </c>
      <c r="E742" s="1075"/>
      <c r="F742" s="1075"/>
      <c r="G742" s="1073" t="s">
        <v>338</v>
      </c>
      <c r="H742" s="1071"/>
      <c r="I742" s="1064">
        <v>52000</v>
      </c>
      <c r="J742" s="1065"/>
      <c r="L742" s="8"/>
      <c r="M742" s="8"/>
      <c r="N742" s="8">
        <v>52000</v>
      </c>
      <c r="O742" s="539">
        <f t="shared" si="30"/>
        <v>57000</v>
      </c>
      <c r="P742" s="8"/>
    </row>
    <row r="743" spans="2:16" x14ac:dyDescent="0.2">
      <c r="B743" s="1237">
        <f t="shared" si="28"/>
        <v>113</v>
      </c>
      <c r="C743" s="1067"/>
      <c r="D743" s="1160" t="s">
        <v>707</v>
      </c>
      <c r="E743" s="1069"/>
      <c r="F743" s="1063"/>
      <c r="G743" s="1073" t="s">
        <v>268</v>
      </c>
      <c r="H743" s="1081"/>
      <c r="I743" s="1064">
        <v>0</v>
      </c>
      <c r="J743" s="1065"/>
      <c r="L743" s="8"/>
      <c r="M743" s="8"/>
      <c r="N743" s="8">
        <v>0</v>
      </c>
      <c r="O743" s="539">
        <f t="shared" si="30"/>
        <v>0</v>
      </c>
      <c r="P743" s="8"/>
    </row>
    <row r="744" spans="2:16" x14ac:dyDescent="0.2">
      <c r="B744" s="1237">
        <f t="shared" si="28"/>
        <v>114</v>
      </c>
      <c r="C744" s="1067"/>
      <c r="D744" s="1160" t="s">
        <v>706</v>
      </c>
      <c r="E744" s="1069"/>
      <c r="F744" s="1063"/>
      <c r="G744" s="1073" t="s">
        <v>268</v>
      </c>
      <c r="H744" s="1081"/>
      <c r="I744" s="1064">
        <v>0</v>
      </c>
      <c r="J744" s="1065"/>
      <c r="L744" s="8"/>
      <c r="M744" s="8"/>
      <c r="N744" s="8">
        <v>0</v>
      </c>
      <c r="O744" s="539">
        <f t="shared" si="30"/>
        <v>0</v>
      </c>
      <c r="P744" s="8"/>
    </row>
    <row r="745" spans="2:16" x14ac:dyDescent="0.2">
      <c r="B745" s="1237">
        <f t="shared" si="28"/>
        <v>115</v>
      </c>
      <c r="C745" s="1101"/>
      <c r="D745" s="1125" t="s">
        <v>427</v>
      </c>
      <c r="E745" s="1261"/>
      <c r="F745" s="1262"/>
      <c r="G745" s="1263" t="s">
        <v>268</v>
      </c>
      <c r="H745" s="1264"/>
      <c r="I745" s="1123">
        <f>O745</f>
        <v>350000</v>
      </c>
      <c r="J745" s="1065"/>
      <c r="L745" s="8"/>
      <c r="M745" s="8"/>
      <c r="N745" s="8">
        <v>300000</v>
      </c>
      <c r="O745" s="539">
        <v>350000</v>
      </c>
      <c r="P745" s="8"/>
    </row>
    <row r="746" spans="2:16" x14ac:dyDescent="0.2">
      <c r="B746" s="1237">
        <f t="shared" si="28"/>
        <v>116</v>
      </c>
      <c r="C746" s="1101"/>
      <c r="D746" s="1239" t="s">
        <v>428</v>
      </c>
      <c r="E746" s="1261"/>
      <c r="F746" s="1262"/>
      <c r="G746" s="1263" t="s">
        <v>268</v>
      </c>
      <c r="H746" s="1264"/>
      <c r="I746" s="1123">
        <f>O746</f>
        <v>275000</v>
      </c>
      <c r="J746" s="1065"/>
      <c r="L746" s="8"/>
      <c r="M746" s="8"/>
      <c r="N746" s="8">
        <v>250000</v>
      </c>
      <c r="O746" s="539">
        <f t="shared" si="30"/>
        <v>275000</v>
      </c>
      <c r="P746" s="8"/>
    </row>
    <row r="747" spans="2:16" x14ac:dyDescent="0.2">
      <c r="B747" s="1237">
        <f t="shared" si="28"/>
        <v>117</v>
      </c>
      <c r="C747" s="1067"/>
      <c r="D747" s="1265" t="s">
        <v>1408</v>
      </c>
      <c r="E747" s="1069"/>
      <c r="F747" s="1063"/>
      <c r="G747" s="1073" t="s">
        <v>268</v>
      </c>
      <c r="H747" s="1071"/>
      <c r="I747" s="1064">
        <v>2100</v>
      </c>
      <c r="J747" s="1065"/>
      <c r="L747" s="8"/>
      <c r="M747" s="8"/>
      <c r="N747" s="8"/>
      <c r="O747" s="8"/>
      <c r="P747" s="8"/>
    </row>
    <row r="748" spans="2:16" x14ac:dyDescent="0.2">
      <c r="B748" s="1237">
        <f t="shared" si="28"/>
        <v>118</v>
      </c>
      <c r="C748" s="1137"/>
      <c r="D748" s="1265" t="s">
        <v>1409</v>
      </c>
      <c r="E748" s="1139"/>
      <c r="F748" s="1266"/>
      <c r="G748" s="1073" t="s">
        <v>268</v>
      </c>
      <c r="H748" s="1267"/>
      <c r="I748" s="1205">
        <v>25000</v>
      </c>
      <c r="J748" s="1202"/>
      <c r="L748" s="8"/>
      <c r="M748" s="8"/>
      <c r="N748" s="8"/>
      <c r="O748" s="8"/>
      <c r="P748" s="8"/>
    </row>
    <row r="749" spans="2:16" x14ac:dyDescent="0.2">
      <c r="B749" s="1237">
        <f t="shared" si="28"/>
        <v>119</v>
      </c>
      <c r="C749" s="1067"/>
      <c r="D749" s="1265" t="s">
        <v>1410</v>
      </c>
      <c r="E749" s="1069"/>
      <c r="F749" s="1063"/>
      <c r="G749" s="1073" t="s">
        <v>273</v>
      </c>
      <c r="H749" s="1071"/>
      <c r="I749" s="1064">
        <v>420000</v>
      </c>
      <c r="J749" s="1065"/>
      <c r="L749" s="8"/>
      <c r="M749" s="8"/>
      <c r="N749" s="8"/>
      <c r="O749" s="8"/>
      <c r="P749" s="8"/>
    </row>
    <row r="750" spans="2:16" ht="15" thickBot="1" x14ac:dyDescent="0.25">
      <c r="B750" s="1072"/>
      <c r="C750" s="1268"/>
      <c r="D750" s="1269"/>
      <c r="E750" s="1270"/>
      <c r="F750" s="1271"/>
      <c r="G750" s="1272"/>
      <c r="H750" s="1273"/>
      <c r="I750" s="1274"/>
      <c r="J750" s="1275"/>
      <c r="L750" s="8"/>
      <c r="M750" s="8"/>
      <c r="N750" s="8"/>
      <c r="O750" s="8"/>
      <c r="P750" s="8"/>
    </row>
    <row r="751" spans="2:16" ht="15" thickTop="1" x14ac:dyDescent="0.2">
      <c r="B751" s="1276"/>
      <c r="C751" s="1277"/>
      <c r="D751" s="1278"/>
      <c r="E751" s="1279"/>
      <c r="F751" s="969"/>
      <c r="G751" s="1276"/>
      <c r="H751" s="1280"/>
      <c r="I751" s="1281"/>
      <c r="J751" s="1280"/>
      <c r="L751" s="8"/>
      <c r="M751" s="8"/>
      <c r="N751" s="8"/>
      <c r="O751" s="8"/>
      <c r="P751" s="8"/>
    </row>
    <row r="752" spans="2:16" x14ac:dyDescent="0.2">
      <c r="B752" s="14"/>
      <c r="C752" s="218"/>
      <c r="D752" s="564" t="s">
        <v>595</v>
      </c>
      <c r="E752" s="223"/>
      <c r="F752" s="217"/>
      <c r="G752" s="14" t="s">
        <v>338</v>
      </c>
      <c r="H752" s="296"/>
      <c r="I752" s="210">
        <v>150000</v>
      </c>
      <c r="J752" s="220"/>
      <c r="L752" s="8"/>
      <c r="M752" s="8"/>
      <c r="N752" s="8"/>
      <c r="O752" s="8"/>
      <c r="P752" s="8"/>
    </row>
    <row r="753" spans="2:16" x14ac:dyDescent="0.2">
      <c r="B753" s="14"/>
      <c r="C753" s="218"/>
      <c r="D753" s="564" t="s">
        <v>785</v>
      </c>
      <c r="E753" s="223"/>
      <c r="F753" s="217"/>
      <c r="G753" s="14" t="s">
        <v>247</v>
      </c>
      <c r="H753" s="296"/>
      <c r="I753" s="210">
        <v>45000</v>
      </c>
      <c r="J753" s="220"/>
      <c r="L753" s="8"/>
      <c r="M753" s="8"/>
      <c r="N753" s="8"/>
      <c r="O753" s="8"/>
      <c r="P753" s="8"/>
    </row>
    <row r="754" spans="2:16" x14ac:dyDescent="0.2">
      <c r="B754" s="14"/>
      <c r="C754" s="218"/>
      <c r="D754" s="222"/>
      <c r="E754" s="223"/>
      <c r="F754" s="217"/>
      <c r="G754" s="14"/>
      <c r="H754" s="220"/>
      <c r="I754" s="296"/>
      <c r="J754" s="220"/>
      <c r="L754" s="8"/>
      <c r="M754" s="8"/>
      <c r="N754" s="8"/>
      <c r="O754" s="8"/>
      <c r="P754" s="8"/>
    </row>
    <row r="755" spans="2:16" x14ac:dyDescent="0.2">
      <c r="B755" s="14"/>
      <c r="C755" s="218"/>
      <c r="D755" s="565"/>
      <c r="E755" s="15"/>
      <c r="F755" s="15"/>
      <c r="G755" s="14"/>
      <c r="H755" s="355"/>
      <c r="I755" s="566"/>
      <c r="J755" s="220"/>
      <c r="L755" s="8"/>
      <c r="M755" s="8"/>
    </row>
    <row r="756" spans="2:16" x14ac:dyDescent="0.2">
      <c r="B756" s="14"/>
      <c r="C756" s="218"/>
      <c r="D756" s="565"/>
      <c r="E756" s="15"/>
      <c r="F756" s="15"/>
      <c r="G756" s="14"/>
      <c r="H756" s="355"/>
      <c r="I756" s="566"/>
      <c r="J756" s="220"/>
      <c r="L756" s="8"/>
      <c r="M756" s="8"/>
    </row>
    <row r="757" spans="2:16" x14ac:dyDescent="0.2">
      <c r="B757" s="225" t="s">
        <v>227</v>
      </c>
      <c r="C757" s="226"/>
      <c r="D757" s="219"/>
      <c r="E757" s="217"/>
      <c r="F757" s="217"/>
      <c r="G757" s="14"/>
      <c r="H757" s="220"/>
      <c r="I757" s="221"/>
      <c r="J757" s="220"/>
      <c r="L757" s="8"/>
      <c r="M757" s="8"/>
    </row>
    <row r="758" spans="2:16" ht="15" thickBot="1" x14ac:dyDescent="0.25">
      <c r="C758" s="220"/>
      <c r="H758" s="220"/>
      <c r="L758" s="8"/>
      <c r="M758" s="8"/>
    </row>
    <row r="759" spans="2:16" ht="15" thickTop="1" x14ac:dyDescent="0.2">
      <c r="B759" s="950"/>
      <c r="C759" s="951"/>
      <c r="D759" s="952"/>
      <c r="E759" s="953"/>
      <c r="F759" s="954"/>
      <c r="G759" s="955"/>
      <c r="H759" s="951"/>
      <c r="I759" s="1011"/>
      <c r="J759" s="956"/>
      <c r="L759" s="8"/>
      <c r="M759" s="8"/>
    </row>
    <row r="760" spans="2:16" x14ac:dyDescent="0.2">
      <c r="B760" s="238" t="s">
        <v>261</v>
      </c>
      <c r="C760" s="957"/>
      <c r="D760" s="3540" t="s">
        <v>449</v>
      </c>
      <c r="E760" s="3540"/>
      <c r="F760" s="3541"/>
      <c r="G760" s="958" t="s">
        <v>262</v>
      </c>
      <c r="H760" s="957"/>
      <c r="I760" s="202" t="s">
        <v>263</v>
      </c>
      <c r="J760" s="959" t="s">
        <v>396</v>
      </c>
      <c r="L760" s="8"/>
      <c r="M760" s="8"/>
    </row>
    <row r="761" spans="2:16" ht="15" thickBot="1" x14ac:dyDescent="0.25">
      <c r="B761" s="1012"/>
      <c r="C761" s="960"/>
      <c r="D761" s="961"/>
      <c r="E761" s="962"/>
      <c r="F761" s="963"/>
      <c r="G761" s="964"/>
      <c r="H761" s="1013"/>
      <c r="I761" s="1014"/>
      <c r="J761" s="965"/>
      <c r="L761" s="8"/>
      <c r="M761" s="8"/>
    </row>
    <row r="762" spans="2:16" ht="15" thickTop="1" x14ac:dyDescent="0.2">
      <c r="B762" s="567"/>
      <c r="C762" s="1085"/>
      <c r="D762" s="1282"/>
      <c r="E762" s="1084"/>
      <c r="F762" s="1084"/>
      <c r="G762" s="1085"/>
      <c r="H762" s="1085"/>
      <c r="I762" s="1084"/>
      <c r="J762" s="1283"/>
      <c r="L762" s="8"/>
      <c r="M762" s="8"/>
    </row>
    <row r="763" spans="2:16" x14ac:dyDescent="0.2">
      <c r="B763" s="1284">
        <v>1</v>
      </c>
      <c r="C763" s="1285"/>
      <c r="D763" s="1286" t="s">
        <v>550</v>
      </c>
      <c r="E763" s="1287"/>
      <c r="F763" s="1288"/>
      <c r="G763" s="1289" t="s">
        <v>275</v>
      </c>
      <c r="H763" s="1290"/>
      <c r="I763" s="1291">
        <v>1794000</v>
      </c>
      <c r="J763" s="1292"/>
      <c r="L763" s="8"/>
      <c r="M763" s="8"/>
    </row>
    <row r="764" spans="2:16" x14ac:dyDescent="0.2">
      <c r="B764" s="1284">
        <f t="shared" ref="B764:B767" si="31">B763+1</f>
        <v>2</v>
      </c>
      <c r="C764" s="1285"/>
      <c r="D764" s="1293" t="s">
        <v>638</v>
      </c>
      <c r="E764" s="1294"/>
      <c r="F764" s="1288"/>
      <c r="G764" s="1289" t="s">
        <v>275</v>
      </c>
      <c r="H764" s="1290"/>
      <c r="I764" s="1291">
        <v>16301000</v>
      </c>
      <c r="J764" s="1292"/>
      <c r="L764" s="8"/>
      <c r="M764" s="8"/>
    </row>
    <row r="765" spans="2:16" x14ac:dyDescent="0.2">
      <c r="B765" s="1284">
        <f t="shared" si="31"/>
        <v>3</v>
      </c>
      <c r="C765" s="1285"/>
      <c r="D765" s="1293" t="s">
        <v>709</v>
      </c>
      <c r="E765" s="1294"/>
      <c r="F765" s="1288"/>
      <c r="G765" s="1289" t="s">
        <v>275</v>
      </c>
      <c r="H765" s="1290"/>
      <c r="I765" s="1291">
        <v>4945000</v>
      </c>
      <c r="J765" s="1292"/>
      <c r="L765" s="8"/>
      <c r="M765" s="8"/>
    </row>
    <row r="766" spans="2:16" x14ac:dyDescent="0.2">
      <c r="B766" s="1284">
        <f t="shared" si="31"/>
        <v>4</v>
      </c>
      <c r="C766" s="1295"/>
      <c r="D766" s="1296" t="s">
        <v>620</v>
      </c>
      <c r="E766" s="1297"/>
      <c r="F766" s="1298"/>
      <c r="G766" s="1299" t="s">
        <v>273</v>
      </c>
      <c r="H766" s="1300"/>
      <c r="I766" s="1291">
        <v>34500</v>
      </c>
      <c r="J766" s="1301"/>
      <c r="L766" s="8"/>
      <c r="M766" s="8"/>
    </row>
    <row r="767" spans="2:16" x14ac:dyDescent="0.2">
      <c r="B767" s="1284">
        <f t="shared" si="31"/>
        <v>5</v>
      </c>
      <c r="C767" s="1285"/>
      <c r="D767" s="1293" t="s">
        <v>646</v>
      </c>
      <c r="E767" s="1294"/>
      <c r="F767" s="1288"/>
      <c r="G767" s="1289" t="s">
        <v>473</v>
      </c>
      <c r="H767" s="1290"/>
      <c r="I767" s="1291">
        <v>4500000</v>
      </c>
      <c r="J767" s="1292"/>
      <c r="L767" s="8"/>
      <c r="M767" s="8"/>
    </row>
    <row r="768" spans="2:16" ht="15" thickBot="1" x14ac:dyDescent="0.25">
      <c r="B768" s="1302"/>
      <c r="C768" s="1295"/>
      <c r="D768" s="1303"/>
      <c r="E768" s="1297"/>
      <c r="F768" s="1298"/>
      <c r="G768" s="1299"/>
      <c r="H768" s="1300"/>
      <c r="I768" s="1304"/>
      <c r="J768" s="1301"/>
      <c r="L768" s="8"/>
      <c r="M768" s="8"/>
      <c r="N768" s="578"/>
    </row>
    <row r="769" spans="2:16" ht="15" thickTop="1" x14ac:dyDescent="0.2">
      <c r="B769" s="1305"/>
      <c r="C769" s="1306"/>
      <c r="D769" s="1307"/>
      <c r="E769" s="1308"/>
      <c r="F769" s="1308"/>
      <c r="G769" s="1305"/>
      <c r="H769" s="1309"/>
      <c r="I769" s="1310"/>
      <c r="J769" s="1311"/>
      <c r="L769" s="8"/>
      <c r="M769" s="8"/>
    </row>
    <row r="770" spans="2:16" x14ac:dyDescent="0.2">
      <c r="B770" s="14"/>
      <c r="C770" s="218"/>
      <c r="D770" s="565"/>
      <c r="E770" s="15"/>
      <c r="F770" s="15"/>
      <c r="G770" s="14"/>
      <c r="H770" s="355"/>
      <c r="I770" s="566"/>
      <c r="J770" s="220"/>
      <c r="L770" s="8"/>
      <c r="M770" s="8"/>
    </row>
    <row r="771" spans="2:16" x14ac:dyDescent="0.2">
      <c r="B771" s="16" t="s">
        <v>791</v>
      </c>
      <c r="C771" s="218"/>
      <c r="D771" s="565"/>
      <c r="E771" s="15"/>
      <c r="F771" s="15"/>
      <c r="G771" s="14"/>
      <c r="H771" s="355"/>
      <c r="I771" s="566"/>
      <c r="J771" s="220"/>
      <c r="L771" s="8"/>
      <c r="M771" s="8"/>
    </row>
    <row r="772" spans="2:16" x14ac:dyDescent="0.2">
      <c r="B772" s="16" t="s">
        <v>793</v>
      </c>
      <c r="C772" s="218"/>
      <c r="D772" s="565"/>
      <c r="E772" s="15"/>
      <c r="F772" s="15"/>
      <c r="G772" s="14"/>
      <c r="H772" s="355"/>
      <c r="I772" s="566"/>
      <c r="J772" s="220"/>
    </row>
    <row r="773" spans="2:16" x14ac:dyDescent="0.2">
      <c r="B773" s="16" t="s">
        <v>828</v>
      </c>
      <c r="C773" s="218"/>
      <c r="D773" s="565"/>
      <c r="E773" s="15"/>
      <c r="F773" s="15"/>
      <c r="G773" s="14"/>
      <c r="H773" s="355"/>
      <c r="I773" s="566"/>
      <c r="J773" s="220"/>
    </row>
    <row r="774" spans="2:16" x14ac:dyDescent="0.2">
      <c r="B774" s="14"/>
      <c r="C774" s="218"/>
      <c r="D774" s="565"/>
      <c r="E774" s="15"/>
      <c r="F774" s="15"/>
      <c r="G774" s="14"/>
      <c r="H774" s="355"/>
      <c r="I774" s="566"/>
      <c r="J774" s="220"/>
    </row>
    <row r="775" spans="2:16" x14ac:dyDescent="0.2">
      <c r="B775" s="14"/>
      <c r="C775" s="218"/>
      <c r="D775" s="565"/>
      <c r="E775" s="15"/>
      <c r="F775" s="15"/>
      <c r="G775" s="14"/>
      <c r="H775" s="355"/>
      <c r="I775" s="566"/>
      <c r="J775" s="220"/>
    </row>
    <row r="776" spans="2:16" ht="15" thickBot="1" x14ac:dyDescent="0.25">
      <c r="B776" s="14"/>
      <c r="C776" s="218"/>
      <c r="D776" s="565"/>
      <c r="E776" s="15"/>
      <c r="F776" s="15"/>
      <c r="G776" s="14"/>
      <c r="H776" s="355"/>
      <c r="I776" s="566"/>
      <c r="J776" s="220"/>
    </row>
    <row r="777" spans="2:16" ht="15" thickTop="1" x14ac:dyDescent="0.2">
      <c r="B777" s="586"/>
      <c r="C777" s="587"/>
      <c r="D777" s="588" t="s">
        <v>140</v>
      </c>
      <c r="E777" s="589"/>
      <c r="F777" s="589"/>
      <c r="G777" s="590"/>
      <c r="H777" s="591"/>
      <c r="I777" s="592"/>
      <c r="J777" s="593"/>
    </row>
    <row r="778" spans="2:16" x14ac:dyDescent="0.2">
      <c r="B778" s="83"/>
      <c r="C778" s="218"/>
      <c r="D778" s="123" t="s">
        <v>141</v>
      </c>
      <c r="E778" s="15"/>
      <c r="F778" s="15"/>
      <c r="G778" s="1312"/>
      <c r="H778" s="1313"/>
      <c r="I778" s="1314"/>
      <c r="J778" s="597"/>
    </row>
    <row r="779" spans="2:16" x14ac:dyDescent="0.2">
      <c r="B779" s="125">
        <v>1</v>
      </c>
      <c r="C779" s="598"/>
      <c r="D779" s="599" t="s">
        <v>142</v>
      </c>
      <c r="E779" s="275"/>
      <c r="F779" s="275"/>
      <c r="G779" s="600" t="s">
        <v>275</v>
      </c>
      <c r="H779" s="601"/>
      <c r="I779" s="602">
        <f>N779</f>
        <v>0</v>
      </c>
      <c r="J779" s="278"/>
      <c r="N779" s="603">
        <f>'[5]Usulan 2021'!I573</f>
        <v>0</v>
      </c>
      <c r="O779" s="603">
        <f>'[5]Usulan 2021'!J573</f>
        <v>0</v>
      </c>
      <c r="P779" s="603">
        <f>'[5]Usulan 2021'!K573</f>
        <v>0</v>
      </c>
    </row>
    <row r="780" spans="2:16" x14ac:dyDescent="0.2">
      <c r="B780" s="1315">
        <f t="shared" ref="B780:B789" si="32">SUM(B779+1)</f>
        <v>2</v>
      </c>
      <c r="C780" s="1316"/>
      <c r="D780" s="1317" t="s">
        <v>143</v>
      </c>
      <c r="E780" s="1294"/>
      <c r="F780" s="1294"/>
      <c r="G780" s="1143" t="s">
        <v>275</v>
      </c>
      <c r="H780" s="1318"/>
      <c r="I780" s="1319">
        <f>N780</f>
        <v>0</v>
      </c>
      <c r="J780" s="1292"/>
      <c r="N780" s="603">
        <f>'[5]Usulan 2021'!I574</f>
        <v>0</v>
      </c>
      <c r="O780" s="603">
        <f>'[5]Usulan 2021'!J574</f>
        <v>0</v>
      </c>
      <c r="P780" s="603">
        <f>'[5]Usulan 2021'!K574</f>
        <v>0</v>
      </c>
    </row>
    <row r="781" spans="2:16" x14ac:dyDescent="0.2">
      <c r="B781" s="1315">
        <f t="shared" si="32"/>
        <v>3</v>
      </c>
      <c r="C781" s="1316"/>
      <c r="D781" s="1317" t="s">
        <v>144</v>
      </c>
      <c r="E781" s="1294"/>
      <c r="F781" s="1294"/>
      <c r="G781" s="1143" t="s">
        <v>275</v>
      </c>
      <c r="H781" s="1318"/>
      <c r="I781" s="1319">
        <f t="shared" ref="I781:I844" si="33">N781</f>
        <v>0</v>
      </c>
      <c r="J781" s="1292"/>
      <c r="N781" s="603">
        <f>'[5]Usulan 2021'!I575</f>
        <v>0</v>
      </c>
      <c r="O781" s="603">
        <f>'[5]Usulan 2021'!J575</f>
        <v>0</v>
      </c>
      <c r="P781" s="603">
        <f>'[5]Usulan 2021'!K575</f>
        <v>0</v>
      </c>
    </row>
    <row r="782" spans="2:16" x14ac:dyDescent="0.2">
      <c r="B782" s="1315">
        <f t="shared" si="32"/>
        <v>4</v>
      </c>
      <c r="C782" s="1316"/>
      <c r="D782" s="1317" t="s">
        <v>145</v>
      </c>
      <c r="E782" s="1294"/>
      <c r="F782" s="1294"/>
      <c r="G782" s="1143" t="s">
        <v>275</v>
      </c>
      <c r="H782" s="1318"/>
      <c r="I782" s="1319">
        <f t="shared" si="33"/>
        <v>0</v>
      </c>
      <c r="J782" s="1292"/>
      <c r="N782" s="603">
        <f>'[5]Usulan 2021'!I576</f>
        <v>0</v>
      </c>
      <c r="O782" s="603">
        <f>'[5]Usulan 2021'!J576</f>
        <v>0</v>
      </c>
      <c r="P782" s="603">
        <f>'[5]Usulan 2021'!K576</f>
        <v>0</v>
      </c>
    </row>
    <row r="783" spans="2:16" x14ac:dyDescent="0.2">
      <c r="B783" s="1315">
        <f t="shared" si="32"/>
        <v>5</v>
      </c>
      <c r="C783" s="1316"/>
      <c r="D783" s="1317" t="s">
        <v>146</v>
      </c>
      <c r="E783" s="1294"/>
      <c r="F783" s="1294"/>
      <c r="G783" s="1143" t="s">
        <v>275</v>
      </c>
      <c r="H783" s="1318"/>
      <c r="I783" s="1319">
        <f t="shared" si="33"/>
        <v>0</v>
      </c>
      <c r="J783" s="1292"/>
      <c r="N783" s="603">
        <f>'[5]Usulan 2021'!I577</f>
        <v>0</v>
      </c>
      <c r="O783" s="603">
        <f>'[5]Usulan 2021'!J577</f>
        <v>0</v>
      </c>
      <c r="P783" s="603">
        <f>'[5]Usulan 2021'!K577</f>
        <v>0</v>
      </c>
    </row>
    <row r="784" spans="2:16" x14ac:dyDescent="0.2">
      <c r="B784" s="1315">
        <f t="shared" si="32"/>
        <v>6</v>
      </c>
      <c r="C784" s="1316"/>
      <c r="D784" s="1317" t="s">
        <v>147</v>
      </c>
      <c r="E784" s="1294"/>
      <c r="F784" s="1294"/>
      <c r="G784" s="1143" t="s">
        <v>275</v>
      </c>
      <c r="H784" s="1318"/>
      <c r="I784" s="1319">
        <f t="shared" si="33"/>
        <v>0</v>
      </c>
      <c r="J784" s="1292"/>
      <c r="N784" s="603">
        <f>'[5]Usulan 2021'!I578</f>
        <v>0</v>
      </c>
      <c r="O784" s="603">
        <f>'[5]Usulan 2021'!J578</f>
        <v>0</v>
      </c>
      <c r="P784" s="603">
        <f>'[5]Usulan 2021'!K578</f>
        <v>0</v>
      </c>
    </row>
    <row r="785" spans="2:16" x14ac:dyDescent="0.2">
      <c r="B785" s="1315">
        <f t="shared" si="32"/>
        <v>7</v>
      </c>
      <c r="C785" s="1316"/>
      <c r="D785" s="1317" t="s">
        <v>148</v>
      </c>
      <c r="E785" s="1294"/>
      <c r="F785" s="1294"/>
      <c r="G785" s="1143" t="s">
        <v>275</v>
      </c>
      <c r="H785" s="1318"/>
      <c r="I785" s="1319">
        <f t="shared" si="33"/>
        <v>0</v>
      </c>
      <c r="J785" s="1292"/>
      <c r="N785" s="603">
        <f>'[5]Usulan 2021'!I579</f>
        <v>0</v>
      </c>
      <c r="O785" s="603">
        <f>'[5]Usulan 2021'!J579</f>
        <v>0</v>
      </c>
      <c r="P785" s="603">
        <f>'[5]Usulan 2021'!K579</f>
        <v>0</v>
      </c>
    </row>
    <row r="786" spans="2:16" x14ac:dyDescent="0.2">
      <c r="B786" s="1315">
        <f t="shared" si="32"/>
        <v>8</v>
      </c>
      <c r="C786" s="1316"/>
      <c r="D786" s="1317" t="s">
        <v>149</v>
      </c>
      <c r="E786" s="1294"/>
      <c r="F786" s="1294"/>
      <c r="G786" s="1143" t="s">
        <v>275</v>
      </c>
      <c r="H786" s="1318"/>
      <c r="I786" s="1319">
        <f t="shared" si="33"/>
        <v>0</v>
      </c>
      <c r="J786" s="1292"/>
      <c r="N786" s="603">
        <f>'[5]Usulan 2021'!I580</f>
        <v>0</v>
      </c>
      <c r="O786" s="603">
        <f>'[5]Usulan 2021'!J580</f>
        <v>0</v>
      </c>
      <c r="P786" s="603">
        <f>'[5]Usulan 2021'!K580</f>
        <v>0</v>
      </c>
    </row>
    <row r="787" spans="2:16" x14ac:dyDescent="0.2">
      <c r="B787" s="1315">
        <f t="shared" si="32"/>
        <v>9</v>
      </c>
      <c r="C787" s="1316"/>
      <c r="D787" s="1317" t="s">
        <v>150</v>
      </c>
      <c r="E787" s="1294"/>
      <c r="F787" s="1294"/>
      <c r="G787" s="1143" t="s">
        <v>275</v>
      </c>
      <c r="H787" s="1318"/>
      <c r="I787" s="1319">
        <f t="shared" si="33"/>
        <v>0</v>
      </c>
      <c r="J787" s="1292"/>
      <c r="N787" s="603">
        <f>'[5]Usulan 2021'!I581</f>
        <v>0</v>
      </c>
      <c r="O787" s="603">
        <f>'[5]Usulan 2021'!J581</f>
        <v>0</v>
      </c>
      <c r="P787" s="603">
        <f>'[5]Usulan 2021'!K581</f>
        <v>0</v>
      </c>
    </row>
    <row r="788" spans="2:16" x14ac:dyDescent="0.2">
      <c r="B788" s="1315">
        <f t="shared" si="32"/>
        <v>10</v>
      </c>
      <c r="C788" s="1316"/>
      <c r="D788" s="1317" t="s">
        <v>151</v>
      </c>
      <c r="E788" s="1294"/>
      <c r="F788" s="1294"/>
      <c r="G788" s="1143" t="s">
        <v>275</v>
      </c>
      <c r="H788" s="1318"/>
      <c r="I788" s="1319">
        <f t="shared" si="33"/>
        <v>0</v>
      </c>
      <c r="J788" s="1292"/>
      <c r="N788" s="603">
        <f>'[5]Usulan 2021'!I582</f>
        <v>0</v>
      </c>
      <c r="O788" s="603">
        <f>'[5]Usulan 2021'!J582</f>
        <v>0</v>
      </c>
      <c r="P788" s="603">
        <f>'[5]Usulan 2021'!K582</f>
        <v>0</v>
      </c>
    </row>
    <row r="789" spans="2:16" x14ac:dyDescent="0.2">
      <c r="B789" s="1315">
        <f t="shared" si="32"/>
        <v>11</v>
      </c>
      <c r="C789" s="1316"/>
      <c r="D789" s="1317" t="s">
        <v>152</v>
      </c>
      <c r="E789" s="1294"/>
      <c r="F789" s="1294"/>
      <c r="G789" s="1143" t="s">
        <v>275</v>
      </c>
      <c r="H789" s="1318"/>
      <c r="I789" s="1319">
        <f t="shared" si="33"/>
        <v>0</v>
      </c>
      <c r="J789" s="1292"/>
      <c r="N789" s="603">
        <f>'[5]Usulan 2021'!I583</f>
        <v>0</v>
      </c>
      <c r="O789" s="603">
        <f>'[5]Usulan 2021'!J583</f>
        <v>0</v>
      </c>
      <c r="P789" s="603">
        <f>'[5]Usulan 2021'!K583</f>
        <v>0</v>
      </c>
    </row>
    <row r="790" spans="2:16" x14ac:dyDescent="0.2">
      <c r="B790" s="83"/>
      <c r="C790" s="218"/>
      <c r="D790" s="77"/>
      <c r="E790" s="15"/>
      <c r="F790" s="15"/>
      <c r="G790" s="1320"/>
      <c r="H790" s="355"/>
      <c r="I790" s="566"/>
      <c r="J790" s="597"/>
      <c r="N790" s="603"/>
      <c r="O790" s="603"/>
      <c r="P790" s="603"/>
    </row>
    <row r="791" spans="2:16" x14ac:dyDescent="0.2">
      <c r="B791" s="83"/>
      <c r="C791" s="218"/>
      <c r="D791" s="123" t="s">
        <v>964</v>
      </c>
      <c r="E791" s="15"/>
      <c r="F791" s="15"/>
      <c r="G791" s="1320"/>
      <c r="H791" s="355"/>
      <c r="I791" s="566"/>
      <c r="J791" s="597"/>
      <c r="N791" s="603"/>
      <c r="O791" s="603"/>
      <c r="P791" s="603"/>
    </row>
    <row r="792" spans="2:16" x14ac:dyDescent="0.2">
      <c r="B792" s="1321">
        <v>1</v>
      </c>
      <c r="C792" s="1316"/>
      <c r="D792" s="1317" t="s">
        <v>965</v>
      </c>
      <c r="E792" s="1294"/>
      <c r="F792" s="1294"/>
      <c r="G792" s="1143" t="s">
        <v>266</v>
      </c>
      <c r="H792" s="1318"/>
      <c r="I792" s="1322">
        <f t="shared" si="33"/>
        <v>1966000</v>
      </c>
      <c r="J792" s="597"/>
      <c r="N792" s="603">
        <f>'[5]Usulan 2021'!I626</f>
        <v>1966000</v>
      </c>
      <c r="O792" s="603">
        <f>'[5]Usulan 2021'!J626</f>
        <v>1966000</v>
      </c>
      <c r="P792" s="603">
        <f>'[5]Usulan 2021'!K626</f>
        <v>1966000</v>
      </c>
    </row>
    <row r="793" spans="2:16" x14ac:dyDescent="0.2">
      <c r="B793" s="1315">
        <f t="shared" ref="B793:B832" si="34">SUM(B792+1)</f>
        <v>2</v>
      </c>
      <c r="C793" s="1316"/>
      <c r="D793" s="1317" t="s">
        <v>966</v>
      </c>
      <c r="E793" s="1294"/>
      <c r="F793" s="1294"/>
      <c r="G793" s="1143" t="s">
        <v>247</v>
      </c>
      <c r="H793" s="1318"/>
      <c r="I793" s="1322">
        <f t="shared" si="33"/>
        <v>1685000</v>
      </c>
      <c r="J793" s="597"/>
      <c r="N793" s="603">
        <f>'[5]Usulan 2021'!I627</f>
        <v>1685000</v>
      </c>
      <c r="O793" s="603">
        <f>'[5]Usulan 2021'!J627</f>
        <v>1685000</v>
      </c>
      <c r="P793" s="603">
        <f>'[5]Usulan 2021'!K627</f>
        <v>1685000</v>
      </c>
    </row>
    <row r="794" spans="2:16" x14ac:dyDescent="0.2">
      <c r="B794" s="1315">
        <f t="shared" si="34"/>
        <v>3</v>
      </c>
      <c r="C794" s="1316"/>
      <c r="D794" s="1317" t="s">
        <v>1288</v>
      </c>
      <c r="E794" s="1294"/>
      <c r="F794" s="1294"/>
      <c r="G794" s="1143" t="s">
        <v>247</v>
      </c>
      <c r="H794" s="1318"/>
      <c r="I794" s="1322">
        <f t="shared" si="33"/>
        <v>861000</v>
      </c>
      <c r="J794" s="597"/>
      <c r="N794" s="603">
        <f>'[5]Usulan 2021'!I628</f>
        <v>861000</v>
      </c>
      <c r="O794" s="603">
        <f>'[5]Usulan 2021'!J628</f>
        <v>861000</v>
      </c>
      <c r="P794" s="603">
        <f>'[5]Usulan 2021'!K628</f>
        <v>861000</v>
      </c>
    </row>
    <row r="795" spans="2:16" x14ac:dyDescent="0.2">
      <c r="B795" s="1315">
        <f t="shared" si="34"/>
        <v>4</v>
      </c>
      <c r="C795" s="1316"/>
      <c r="D795" s="1317" t="s">
        <v>967</v>
      </c>
      <c r="E795" s="1294"/>
      <c r="F795" s="1294"/>
      <c r="G795" s="1143" t="s">
        <v>247</v>
      </c>
      <c r="H795" s="1318"/>
      <c r="I795" s="1322">
        <f t="shared" si="33"/>
        <v>2247000</v>
      </c>
      <c r="J795" s="597"/>
      <c r="N795" s="603">
        <f>'[5]Usulan 2021'!I629</f>
        <v>2247000</v>
      </c>
      <c r="O795" s="603">
        <f>'[5]Usulan 2021'!J629</f>
        <v>2247000</v>
      </c>
      <c r="P795" s="603">
        <f>'[5]Usulan 2021'!K629</f>
        <v>2247000</v>
      </c>
    </row>
    <row r="796" spans="2:16" x14ac:dyDescent="0.2">
      <c r="B796" s="1315">
        <f t="shared" si="34"/>
        <v>5</v>
      </c>
      <c r="C796" s="1316"/>
      <c r="D796" s="1317" t="s">
        <v>968</v>
      </c>
      <c r="E796" s="1294"/>
      <c r="F796" s="1294"/>
      <c r="G796" s="1143" t="s">
        <v>276</v>
      </c>
      <c r="H796" s="1318"/>
      <c r="I796" s="1322">
        <f t="shared" si="33"/>
        <v>393000</v>
      </c>
      <c r="J796" s="597"/>
      <c r="N796" s="603">
        <f>'[5]Usulan 2021'!I630</f>
        <v>393000</v>
      </c>
      <c r="O796" s="603">
        <f>'[5]Usulan 2021'!J630</f>
        <v>393000</v>
      </c>
      <c r="P796" s="603">
        <f>'[5]Usulan 2021'!K630</f>
        <v>393000</v>
      </c>
    </row>
    <row r="797" spans="2:16" x14ac:dyDescent="0.2">
      <c r="B797" s="1315">
        <f t="shared" si="34"/>
        <v>6</v>
      </c>
      <c r="C797" s="1316"/>
      <c r="D797" s="1317" t="s">
        <v>1289</v>
      </c>
      <c r="E797" s="1294"/>
      <c r="F797" s="1294"/>
      <c r="G797" s="1143" t="s">
        <v>247</v>
      </c>
      <c r="H797" s="1318"/>
      <c r="I797" s="1322">
        <f t="shared" si="33"/>
        <v>121000</v>
      </c>
      <c r="J797" s="597"/>
      <c r="N797" s="603">
        <f>'[5]Usulan 2021'!I631</f>
        <v>121000</v>
      </c>
      <c r="O797" s="603">
        <f>'[5]Usulan 2021'!J631</f>
        <v>121000</v>
      </c>
      <c r="P797" s="603">
        <f>'[5]Usulan 2021'!K631</f>
        <v>121000</v>
      </c>
    </row>
    <row r="798" spans="2:16" x14ac:dyDescent="0.2">
      <c r="B798" s="1315">
        <f t="shared" si="34"/>
        <v>7</v>
      </c>
      <c r="C798" s="1316"/>
      <c r="D798" s="1317" t="s">
        <v>969</v>
      </c>
      <c r="E798" s="1294"/>
      <c r="F798" s="1294"/>
      <c r="G798" s="1143" t="s">
        <v>268</v>
      </c>
      <c r="H798" s="1318"/>
      <c r="I798" s="1322">
        <f t="shared" si="33"/>
        <v>280000</v>
      </c>
      <c r="J798" s="597"/>
      <c r="N798" s="603">
        <f>'[5]Usulan 2021'!I632</f>
        <v>280000</v>
      </c>
      <c r="O798" s="603">
        <f>'[5]Usulan 2021'!J632</f>
        <v>280000</v>
      </c>
      <c r="P798" s="603">
        <f>'[5]Usulan 2021'!K632</f>
        <v>280000</v>
      </c>
    </row>
    <row r="799" spans="2:16" x14ac:dyDescent="0.2">
      <c r="B799" s="1315">
        <f t="shared" si="34"/>
        <v>8</v>
      </c>
      <c r="C799" s="1316"/>
      <c r="D799" s="1317" t="s">
        <v>969</v>
      </c>
      <c r="E799" s="1294"/>
      <c r="F799" s="1294"/>
      <c r="G799" s="1143" t="s">
        <v>268</v>
      </c>
      <c r="H799" s="1318"/>
      <c r="I799" s="1322">
        <f t="shared" si="33"/>
        <v>112000</v>
      </c>
      <c r="J799" s="597"/>
      <c r="N799" s="603">
        <f>'[5]Usulan 2021'!I633</f>
        <v>112000</v>
      </c>
      <c r="O799" s="603">
        <f>'[5]Usulan 2021'!J633</f>
        <v>112000</v>
      </c>
      <c r="P799" s="603">
        <f>'[5]Usulan 2021'!K633</f>
        <v>112000</v>
      </c>
    </row>
    <row r="800" spans="2:16" x14ac:dyDescent="0.2">
      <c r="B800" s="1315">
        <f t="shared" si="34"/>
        <v>9</v>
      </c>
      <c r="C800" s="1316"/>
      <c r="D800" s="1317" t="s">
        <v>970</v>
      </c>
      <c r="E800" s="1294"/>
      <c r="F800" s="1294"/>
      <c r="G800" s="1143" t="s">
        <v>268</v>
      </c>
      <c r="H800" s="1318"/>
      <c r="I800" s="1322">
        <f t="shared" si="33"/>
        <v>1123000</v>
      </c>
      <c r="J800" s="597"/>
      <c r="N800" s="603">
        <f>'[5]Usulan 2021'!I634</f>
        <v>1123000</v>
      </c>
      <c r="O800" s="603">
        <f>'[5]Usulan 2021'!J634</f>
        <v>1123000</v>
      </c>
      <c r="P800" s="603">
        <f>'[5]Usulan 2021'!K634</f>
        <v>1123000</v>
      </c>
    </row>
    <row r="801" spans="2:16" x14ac:dyDescent="0.2">
      <c r="B801" s="1315">
        <f t="shared" si="34"/>
        <v>10</v>
      </c>
      <c r="C801" s="1316"/>
      <c r="D801" s="1317" t="s">
        <v>971</v>
      </c>
      <c r="E801" s="1294"/>
      <c r="F801" s="1294"/>
      <c r="G801" s="1143" t="s">
        <v>268</v>
      </c>
      <c r="H801" s="1318"/>
      <c r="I801" s="1322">
        <f t="shared" si="33"/>
        <v>842000</v>
      </c>
      <c r="J801" s="597"/>
      <c r="N801" s="603">
        <f>'[5]Usulan 2021'!I635</f>
        <v>842000</v>
      </c>
      <c r="O801" s="603">
        <f>'[5]Usulan 2021'!J635</f>
        <v>842000</v>
      </c>
      <c r="P801" s="603">
        <f>'[5]Usulan 2021'!K635</f>
        <v>842000</v>
      </c>
    </row>
    <row r="802" spans="2:16" x14ac:dyDescent="0.2">
      <c r="B802" s="1315">
        <f t="shared" si="34"/>
        <v>11</v>
      </c>
      <c r="C802" s="1316"/>
      <c r="D802" s="1317" t="s">
        <v>972</v>
      </c>
      <c r="E802" s="1294"/>
      <c r="F802" s="1294"/>
      <c r="G802" s="1143" t="s">
        <v>268</v>
      </c>
      <c r="H802" s="1318"/>
      <c r="I802" s="1322">
        <f t="shared" si="33"/>
        <v>7000</v>
      </c>
      <c r="J802" s="597"/>
      <c r="N802" s="603">
        <f>'[5]Usulan 2021'!I636</f>
        <v>7000</v>
      </c>
      <c r="O802" s="603">
        <f>'[5]Usulan 2021'!J636</f>
        <v>7000</v>
      </c>
      <c r="P802" s="603">
        <f>'[5]Usulan 2021'!K636</f>
        <v>7000</v>
      </c>
    </row>
    <row r="803" spans="2:16" x14ac:dyDescent="0.2">
      <c r="B803" s="1315">
        <f t="shared" si="34"/>
        <v>12</v>
      </c>
      <c r="C803" s="1316"/>
      <c r="D803" s="1317" t="s">
        <v>973</v>
      </c>
      <c r="E803" s="1294"/>
      <c r="F803" s="1294"/>
      <c r="G803" s="1143" t="s">
        <v>268</v>
      </c>
      <c r="H803" s="1318"/>
      <c r="I803" s="1322">
        <f t="shared" si="33"/>
        <v>224000</v>
      </c>
      <c r="J803" s="597"/>
      <c r="N803" s="603">
        <f>'[5]Usulan 2021'!I637</f>
        <v>224000</v>
      </c>
      <c r="O803" s="603">
        <f>'[5]Usulan 2021'!J637</f>
        <v>224000</v>
      </c>
      <c r="P803" s="603">
        <f>'[5]Usulan 2021'!K637</f>
        <v>224000</v>
      </c>
    </row>
    <row r="804" spans="2:16" x14ac:dyDescent="0.2">
      <c r="B804" s="1315">
        <f t="shared" si="34"/>
        <v>13</v>
      </c>
      <c r="C804" s="1316"/>
      <c r="D804" s="1317" t="s">
        <v>974</v>
      </c>
      <c r="E804" s="1294"/>
      <c r="F804" s="1294"/>
      <c r="G804" s="1143" t="s">
        <v>268</v>
      </c>
      <c r="H804" s="1318"/>
      <c r="I804" s="1322">
        <f t="shared" si="33"/>
        <v>112000</v>
      </c>
      <c r="J804" s="597"/>
      <c r="N804" s="603">
        <f>'[5]Usulan 2021'!I638</f>
        <v>112000</v>
      </c>
      <c r="O804" s="603">
        <f>'[5]Usulan 2021'!J638</f>
        <v>112000</v>
      </c>
      <c r="P804" s="603">
        <f>'[5]Usulan 2021'!K638</f>
        <v>112000</v>
      </c>
    </row>
    <row r="805" spans="2:16" x14ac:dyDescent="0.2">
      <c r="B805" s="1315">
        <f t="shared" si="34"/>
        <v>14</v>
      </c>
      <c r="C805" s="1316"/>
      <c r="D805" s="1317" t="s">
        <v>975</v>
      </c>
      <c r="E805" s="1294"/>
      <c r="F805" s="1294"/>
      <c r="G805" s="1143" t="s">
        <v>268</v>
      </c>
      <c r="H805" s="1318"/>
      <c r="I805" s="1322">
        <f t="shared" si="33"/>
        <v>1123000</v>
      </c>
      <c r="J805" s="597"/>
      <c r="N805" s="603">
        <f>'[5]Usulan 2021'!I639</f>
        <v>1123000</v>
      </c>
      <c r="O805" s="603">
        <f>'[5]Usulan 2021'!J639</f>
        <v>1123000</v>
      </c>
      <c r="P805" s="603">
        <f>'[5]Usulan 2021'!K639</f>
        <v>1123000</v>
      </c>
    </row>
    <row r="806" spans="2:16" x14ac:dyDescent="0.2">
      <c r="B806" s="1315">
        <f t="shared" si="34"/>
        <v>15</v>
      </c>
      <c r="C806" s="1316"/>
      <c r="D806" s="1317" t="s">
        <v>976</v>
      </c>
      <c r="E806" s="1294"/>
      <c r="F806" s="1294"/>
      <c r="G806" s="1143" t="s">
        <v>247</v>
      </c>
      <c r="H806" s="1318"/>
      <c r="I806" s="1322">
        <f t="shared" si="33"/>
        <v>168000</v>
      </c>
      <c r="J806" s="597"/>
      <c r="N806" s="603">
        <f>'[5]Usulan 2021'!I640</f>
        <v>168000</v>
      </c>
      <c r="O806" s="603">
        <f>'[5]Usulan 2021'!J640</f>
        <v>168000</v>
      </c>
      <c r="P806" s="603">
        <f>'[5]Usulan 2021'!K640</f>
        <v>168000</v>
      </c>
    </row>
    <row r="807" spans="2:16" x14ac:dyDescent="0.2">
      <c r="B807" s="1315">
        <f t="shared" si="34"/>
        <v>16</v>
      </c>
      <c r="C807" s="1316"/>
      <c r="D807" s="1317" t="s">
        <v>977</v>
      </c>
      <c r="E807" s="1294"/>
      <c r="F807" s="1294"/>
      <c r="G807" s="1143" t="s">
        <v>276</v>
      </c>
      <c r="H807" s="1318"/>
      <c r="I807" s="1322">
        <f>N807</f>
        <v>618000</v>
      </c>
      <c r="J807" s="597"/>
      <c r="N807" s="603">
        <f>'[5]Usulan 2021'!I641</f>
        <v>618000</v>
      </c>
      <c r="O807" s="603">
        <f>'[5]Usulan 2021'!J641</f>
        <v>618000</v>
      </c>
      <c r="P807" s="603">
        <f>'[5]Usulan 2021'!K641</f>
        <v>618000</v>
      </c>
    </row>
    <row r="808" spans="2:16" x14ac:dyDescent="0.2">
      <c r="B808" s="1315">
        <f t="shared" si="34"/>
        <v>17</v>
      </c>
      <c r="C808" s="1316"/>
      <c r="D808" s="1317" t="s">
        <v>978</v>
      </c>
      <c r="E808" s="1294"/>
      <c r="F808" s="1294"/>
      <c r="G808" s="1143" t="s">
        <v>276</v>
      </c>
      <c r="H808" s="1318"/>
      <c r="I808" s="1322">
        <f t="shared" si="33"/>
        <v>674000</v>
      </c>
      <c r="J808" s="597"/>
      <c r="N808" s="603">
        <f>'[5]Usulan 2021'!I642</f>
        <v>674000</v>
      </c>
      <c r="O808" s="603">
        <f>'[5]Usulan 2021'!J642</f>
        <v>674000</v>
      </c>
      <c r="P808" s="603">
        <f>'[5]Usulan 2021'!K642</f>
        <v>674000</v>
      </c>
    </row>
    <row r="809" spans="2:16" x14ac:dyDescent="0.2">
      <c r="B809" s="1315">
        <f t="shared" si="34"/>
        <v>18</v>
      </c>
      <c r="C809" s="1316"/>
      <c r="D809" s="1317" t="s">
        <v>979</v>
      </c>
      <c r="E809" s="1294"/>
      <c r="F809" s="1294"/>
      <c r="G809" s="1143" t="s">
        <v>277</v>
      </c>
      <c r="H809" s="1318"/>
      <c r="I809" s="1322">
        <f t="shared" si="33"/>
        <v>1292000</v>
      </c>
      <c r="J809" s="597"/>
      <c r="N809" s="603">
        <f>'[5]Usulan 2021'!I643</f>
        <v>1292000</v>
      </c>
      <c r="O809" s="603">
        <f>'[5]Usulan 2021'!J643</f>
        <v>1292000</v>
      </c>
      <c r="P809" s="603">
        <f>'[5]Usulan 2021'!K643</f>
        <v>1292000</v>
      </c>
    </row>
    <row r="810" spans="2:16" x14ac:dyDescent="0.2">
      <c r="B810" s="1315">
        <f t="shared" si="34"/>
        <v>19</v>
      </c>
      <c r="C810" s="1316"/>
      <c r="D810" s="1317" t="s">
        <v>980</v>
      </c>
      <c r="E810" s="1294"/>
      <c r="F810" s="1294"/>
      <c r="G810" s="1143" t="s">
        <v>268</v>
      </c>
      <c r="H810" s="1318"/>
      <c r="I810" s="1322">
        <f t="shared" si="33"/>
        <v>393000</v>
      </c>
      <c r="J810" s="597"/>
      <c r="N810" s="603">
        <f>'[5]Usulan 2021'!I644</f>
        <v>393000</v>
      </c>
      <c r="O810" s="603">
        <f>'[5]Usulan 2021'!J644</f>
        <v>393000</v>
      </c>
      <c r="P810" s="603">
        <f>'[5]Usulan 2021'!K644</f>
        <v>393000</v>
      </c>
    </row>
    <row r="811" spans="2:16" x14ac:dyDescent="0.2">
      <c r="B811" s="1315">
        <f t="shared" si="34"/>
        <v>20</v>
      </c>
      <c r="C811" s="1316"/>
      <c r="D811" s="1317" t="s">
        <v>981</v>
      </c>
      <c r="E811" s="1294"/>
      <c r="F811" s="1294"/>
      <c r="G811" s="1143" t="s">
        <v>268</v>
      </c>
      <c r="H811" s="1318"/>
      <c r="I811" s="1322">
        <f t="shared" si="33"/>
        <v>109000</v>
      </c>
      <c r="J811" s="597"/>
      <c r="N811" s="603">
        <f>'[5]Usulan 2021'!I645</f>
        <v>109000</v>
      </c>
      <c r="O811" s="603">
        <f>'[5]Usulan 2021'!J645</f>
        <v>109000</v>
      </c>
      <c r="P811" s="603">
        <f>'[5]Usulan 2021'!K645</f>
        <v>109000</v>
      </c>
    </row>
    <row r="812" spans="2:16" x14ac:dyDescent="0.2">
      <c r="B812" s="1315">
        <f t="shared" si="34"/>
        <v>21</v>
      </c>
      <c r="C812" s="1316"/>
      <c r="D812" s="1317" t="s">
        <v>982</v>
      </c>
      <c r="E812" s="1294"/>
      <c r="F812" s="1294"/>
      <c r="G812" s="1143" t="s">
        <v>268</v>
      </c>
      <c r="H812" s="1318"/>
      <c r="I812" s="1322">
        <f t="shared" si="33"/>
        <v>3000</v>
      </c>
      <c r="J812" s="597"/>
      <c r="N812" s="603">
        <f>'[5]Usulan 2021'!I646</f>
        <v>3000</v>
      </c>
      <c r="O812" s="603">
        <f>'[5]Usulan 2021'!J646</f>
        <v>3000</v>
      </c>
      <c r="P812" s="603">
        <f>'[5]Usulan 2021'!K646</f>
        <v>3000</v>
      </c>
    </row>
    <row r="813" spans="2:16" x14ac:dyDescent="0.2">
      <c r="B813" s="1315">
        <f t="shared" si="34"/>
        <v>22</v>
      </c>
      <c r="C813" s="1316"/>
      <c r="D813" s="1317" t="s">
        <v>983</v>
      </c>
      <c r="E813" s="1294"/>
      <c r="F813" s="1294"/>
      <c r="G813" s="1143" t="s">
        <v>268</v>
      </c>
      <c r="H813" s="1318"/>
      <c r="I813" s="1322">
        <f t="shared" si="33"/>
        <v>3000</v>
      </c>
      <c r="J813" s="597"/>
      <c r="N813" s="603">
        <f>'[5]Usulan 2021'!I647</f>
        <v>3000</v>
      </c>
      <c r="O813" s="603">
        <f>'[5]Usulan 2021'!J647</f>
        <v>3000</v>
      </c>
      <c r="P813" s="603">
        <f>'[5]Usulan 2021'!K647</f>
        <v>3000</v>
      </c>
    </row>
    <row r="814" spans="2:16" x14ac:dyDescent="0.2">
      <c r="B814" s="1315">
        <f t="shared" si="34"/>
        <v>23</v>
      </c>
      <c r="C814" s="1316"/>
      <c r="D814" s="1317" t="s">
        <v>984</v>
      </c>
      <c r="E814" s="1294"/>
      <c r="F814" s="1294"/>
      <c r="G814" s="1143" t="s">
        <v>268</v>
      </c>
      <c r="H814" s="1318"/>
      <c r="I814" s="1322">
        <f t="shared" si="33"/>
        <v>280000</v>
      </c>
      <c r="J814" s="597"/>
      <c r="N814" s="603">
        <f>'[5]Usulan 2021'!I648</f>
        <v>280000</v>
      </c>
      <c r="O814" s="603">
        <f>'[5]Usulan 2021'!J648</f>
        <v>280000</v>
      </c>
      <c r="P814" s="603">
        <f>'[5]Usulan 2021'!K648</f>
        <v>280000</v>
      </c>
    </row>
    <row r="815" spans="2:16" x14ac:dyDescent="0.2">
      <c r="B815" s="1315">
        <f t="shared" si="34"/>
        <v>24</v>
      </c>
      <c r="C815" s="1316"/>
      <c r="D815" s="1317" t="s">
        <v>985</v>
      </c>
      <c r="E815" s="1294"/>
      <c r="F815" s="1294"/>
      <c r="G815" s="1143" t="s">
        <v>268</v>
      </c>
      <c r="H815" s="1318"/>
      <c r="I815" s="1322">
        <f t="shared" si="33"/>
        <v>224000</v>
      </c>
      <c r="J815" s="597"/>
      <c r="N815" s="603">
        <f>'[5]Usulan 2021'!I649</f>
        <v>224000</v>
      </c>
      <c r="O815" s="603">
        <f>'[5]Usulan 2021'!J649</f>
        <v>224000</v>
      </c>
      <c r="P815" s="603">
        <f>'[5]Usulan 2021'!K649</f>
        <v>224000</v>
      </c>
    </row>
    <row r="816" spans="2:16" x14ac:dyDescent="0.2">
      <c r="B816" s="1315">
        <f t="shared" si="34"/>
        <v>25</v>
      </c>
      <c r="C816" s="1323"/>
      <c r="D816" s="1317" t="s">
        <v>986</v>
      </c>
      <c r="E816" s="1323"/>
      <c r="F816" s="1323"/>
      <c r="G816" s="1143" t="s">
        <v>268</v>
      </c>
      <c r="H816" s="1323"/>
      <c r="I816" s="1322">
        <f t="shared" si="33"/>
        <v>5000</v>
      </c>
      <c r="J816" s="597"/>
      <c r="N816" s="603">
        <f>'[5]Usulan 2021'!I650</f>
        <v>5000</v>
      </c>
      <c r="O816" s="603">
        <f>'[5]Usulan 2021'!J650</f>
        <v>5000</v>
      </c>
      <c r="P816" s="603">
        <f>'[5]Usulan 2021'!K650</f>
        <v>5000</v>
      </c>
    </row>
    <row r="817" spans="2:16" x14ac:dyDescent="0.2">
      <c r="B817" s="1315">
        <f t="shared" si="34"/>
        <v>26</v>
      </c>
      <c r="C817" s="1323"/>
      <c r="D817" s="1317" t="s">
        <v>987</v>
      </c>
      <c r="E817" s="1323"/>
      <c r="F817" s="1323"/>
      <c r="G817" s="1143" t="s">
        <v>268</v>
      </c>
      <c r="H817" s="1323"/>
      <c r="I817" s="1322">
        <f t="shared" si="33"/>
        <v>5600</v>
      </c>
      <c r="J817" s="597"/>
      <c r="N817" s="603">
        <f>'[5]Usulan 2021'!I651</f>
        <v>5600</v>
      </c>
      <c r="O817" s="603">
        <f>'[5]Usulan 2021'!J651</f>
        <v>5600</v>
      </c>
      <c r="P817" s="603">
        <f>'[5]Usulan 2021'!K651</f>
        <v>5600</v>
      </c>
    </row>
    <row r="818" spans="2:16" x14ac:dyDescent="0.2">
      <c r="B818" s="1315">
        <f t="shared" si="34"/>
        <v>27</v>
      </c>
      <c r="C818" s="1323"/>
      <c r="D818" s="1317" t="s">
        <v>988</v>
      </c>
      <c r="E818" s="1323"/>
      <c r="F818" s="1323"/>
      <c r="G818" s="1143" t="s">
        <v>276</v>
      </c>
      <c r="H818" s="1323"/>
      <c r="I818" s="1322">
        <f t="shared" si="33"/>
        <v>1629000</v>
      </c>
      <c r="J818" s="597"/>
      <c r="N818" s="603">
        <f>'[5]Usulan 2021'!I652</f>
        <v>1629000</v>
      </c>
      <c r="O818" s="603">
        <f>'[5]Usulan 2021'!J652</f>
        <v>1629000</v>
      </c>
      <c r="P818" s="603">
        <f>'[5]Usulan 2021'!K652</f>
        <v>1629000</v>
      </c>
    </row>
    <row r="819" spans="2:16" x14ac:dyDescent="0.2">
      <c r="B819" s="1315">
        <f t="shared" si="34"/>
        <v>28</v>
      </c>
      <c r="C819" s="1323"/>
      <c r="D819" s="1317" t="s">
        <v>989</v>
      </c>
      <c r="E819" s="1323"/>
      <c r="F819" s="1323"/>
      <c r="G819" s="1143" t="s">
        <v>277</v>
      </c>
      <c r="H819" s="1323"/>
      <c r="I819" s="1322">
        <f t="shared" si="33"/>
        <v>1517000</v>
      </c>
      <c r="J819" s="597"/>
      <c r="N819" s="603">
        <f>'[5]Usulan 2021'!I653</f>
        <v>1517000</v>
      </c>
      <c r="O819" s="603">
        <f>'[5]Usulan 2021'!J653</f>
        <v>1517000</v>
      </c>
      <c r="P819" s="603">
        <f>'[5]Usulan 2021'!K653</f>
        <v>1517000</v>
      </c>
    </row>
    <row r="820" spans="2:16" x14ac:dyDescent="0.2">
      <c r="B820" s="1315">
        <f t="shared" si="34"/>
        <v>29</v>
      </c>
      <c r="C820" s="1323"/>
      <c r="D820" s="1317" t="s">
        <v>990</v>
      </c>
      <c r="E820" s="1323"/>
      <c r="F820" s="1323"/>
      <c r="G820" s="1143" t="s">
        <v>268</v>
      </c>
      <c r="H820" s="1323"/>
      <c r="I820" s="1322">
        <f t="shared" si="33"/>
        <v>5000</v>
      </c>
      <c r="J820" s="597"/>
      <c r="N820" s="603">
        <f>'[5]Usulan 2021'!I654</f>
        <v>5000</v>
      </c>
      <c r="O820" s="603">
        <f>'[5]Usulan 2021'!J654</f>
        <v>5000</v>
      </c>
      <c r="P820" s="603">
        <f>'[5]Usulan 2021'!K654</f>
        <v>5000</v>
      </c>
    </row>
    <row r="821" spans="2:16" x14ac:dyDescent="0.2">
      <c r="B821" s="1315">
        <f t="shared" si="34"/>
        <v>30</v>
      </c>
      <c r="C821" s="1323"/>
      <c r="D821" s="1317" t="s">
        <v>991</v>
      </c>
      <c r="E821" s="1323"/>
      <c r="F821" s="1323"/>
      <c r="G821" s="1143" t="s">
        <v>268</v>
      </c>
      <c r="H821" s="1323"/>
      <c r="I821" s="1322">
        <f t="shared" si="33"/>
        <v>2247000</v>
      </c>
      <c r="J821" s="597"/>
      <c r="N821" s="603">
        <f>'[5]Usulan 2021'!I655</f>
        <v>2247000</v>
      </c>
      <c r="O821" s="603">
        <f>'[5]Usulan 2021'!J655</f>
        <v>2247000</v>
      </c>
      <c r="P821" s="603">
        <f>'[5]Usulan 2021'!K655</f>
        <v>2247000</v>
      </c>
    </row>
    <row r="822" spans="2:16" x14ac:dyDescent="0.2">
      <c r="B822" s="1315">
        <f t="shared" si="34"/>
        <v>31</v>
      </c>
      <c r="C822" s="1323"/>
      <c r="D822" s="1317" t="s">
        <v>991</v>
      </c>
      <c r="E822" s="1323"/>
      <c r="F822" s="1323"/>
      <c r="G822" s="1143" t="s">
        <v>268</v>
      </c>
      <c r="H822" s="1323"/>
      <c r="I822" s="1322">
        <f t="shared" si="33"/>
        <v>561000</v>
      </c>
      <c r="J822" s="597"/>
      <c r="N822" s="603">
        <f>'[5]Usulan 2021'!I656</f>
        <v>561000</v>
      </c>
      <c r="O822" s="603">
        <f>'[5]Usulan 2021'!J656</f>
        <v>561000</v>
      </c>
      <c r="P822" s="603">
        <f>'[5]Usulan 2021'!K656</f>
        <v>561000</v>
      </c>
    </row>
    <row r="823" spans="2:16" x14ac:dyDescent="0.2">
      <c r="B823" s="1315">
        <f t="shared" si="34"/>
        <v>32</v>
      </c>
      <c r="C823" s="1323"/>
      <c r="D823" s="1317" t="s">
        <v>992</v>
      </c>
      <c r="E823" s="1323"/>
      <c r="F823" s="1323"/>
      <c r="G823" s="1143" t="s">
        <v>268</v>
      </c>
      <c r="H823" s="1323"/>
      <c r="I823" s="1322">
        <f t="shared" si="33"/>
        <v>1517000</v>
      </c>
      <c r="J823" s="597"/>
      <c r="N823" s="603">
        <f>'[5]Usulan 2021'!I657</f>
        <v>1517000</v>
      </c>
      <c r="O823" s="603">
        <f>'[5]Usulan 2021'!J657</f>
        <v>1517000</v>
      </c>
      <c r="P823" s="603">
        <f>'[5]Usulan 2021'!K657</f>
        <v>1517000</v>
      </c>
    </row>
    <row r="824" spans="2:16" x14ac:dyDescent="0.2">
      <c r="B824" s="1315">
        <f t="shared" si="34"/>
        <v>33</v>
      </c>
      <c r="C824" s="1323"/>
      <c r="D824" s="1317" t="s">
        <v>993</v>
      </c>
      <c r="E824" s="1323"/>
      <c r="F824" s="1323"/>
      <c r="G824" s="1143" t="s">
        <v>268</v>
      </c>
      <c r="H824" s="1323"/>
      <c r="I824" s="1322">
        <f t="shared" si="33"/>
        <v>618000</v>
      </c>
      <c r="J824" s="597"/>
      <c r="N824" s="603">
        <f>'[5]Usulan 2021'!I658</f>
        <v>618000</v>
      </c>
      <c r="O824" s="603">
        <f>'[5]Usulan 2021'!J658</f>
        <v>618000</v>
      </c>
      <c r="P824" s="603">
        <f>'[5]Usulan 2021'!K658</f>
        <v>618000</v>
      </c>
    </row>
    <row r="825" spans="2:16" x14ac:dyDescent="0.2">
      <c r="B825" s="1315">
        <f t="shared" si="34"/>
        <v>34</v>
      </c>
      <c r="C825" s="1323"/>
      <c r="D825" s="1317" t="s">
        <v>994</v>
      </c>
      <c r="E825" s="1323"/>
      <c r="F825" s="1323"/>
      <c r="G825" s="1143" t="s">
        <v>268</v>
      </c>
      <c r="H825" s="1323"/>
      <c r="I825" s="1322">
        <f t="shared" si="33"/>
        <v>842000</v>
      </c>
      <c r="J825" s="597"/>
      <c r="N825" s="603">
        <f>'[5]Usulan 2021'!I659</f>
        <v>842000</v>
      </c>
      <c r="O825" s="603">
        <f>'[5]Usulan 2021'!J659</f>
        <v>842000</v>
      </c>
      <c r="P825" s="603">
        <f>'[5]Usulan 2021'!K659</f>
        <v>842000</v>
      </c>
    </row>
    <row r="826" spans="2:16" x14ac:dyDescent="0.2">
      <c r="B826" s="1315">
        <f t="shared" si="34"/>
        <v>35</v>
      </c>
      <c r="C826" s="1323"/>
      <c r="D826" s="1317" t="s">
        <v>995</v>
      </c>
      <c r="E826" s="1323"/>
      <c r="F826" s="1323"/>
      <c r="G826" s="1143" t="s">
        <v>247</v>
      </c>
      <c r="H826" s="1323"/>
      <c r="I826" s="1322">
        <f t="shared" si="33"/>
        <v>233000</v>
      </c>
      <c r="J826" s="597"/>
      <c r="N826" s="603">
        <f>'[5]Usulan 2021'!I660</f>
        <v>233000</v>
      </c>
      <c r="O826" s="603">
        <f>'[5]Usulan 2021'!J660</f>
        <v>233000</v>
      </c>
      <c r="P826" s="603">
        <f>'[5]Usulan 2021'!K660</f>
        <v>233000</v>
      </c>
    </row>
    <row r="827" spans="2:16" x14ac:dyDescent="0.2">
      <c r="B827" s="1315">
        <f t="shared" si="34"/>
        <v>36</v>
      </c>
      <c r="C827" s="1323"/>
      <c r="D827" s="1317" t="s">
        <v>996</v>
      </c>
      <c r="E827" s="1323"/>
      <c r="F827" s="1323"/>
      <c r="G827" s="1143" t="s">
        <v>268</v>
      </c>
      <c r="H827" s="1323"/>
      <c r="I827" s="1322">
        <f t="shared" si="33"/>
        <v>842000</v>
      </c>
      <c r="J827" s="597"/>
      <c r="N827" s="603">
        <f>'[5]Usulan 2021'!I661</f>
        <v>842000</v>
      </c>
      <c r="O827" s="603">
        <f>'[5]Usulan 2021'!J661</f>
        <v>842000</v>
      </c>
      <c r="P827" s="603">
        <f>'[5]Usulan 2021'!K661</f>
        <v>842000</v>
      </c>
    </row>
    <row r="828" spans="2:16" x14ac:dyDescent="0.2">
      <c r="B828" s="1315">
        <f t="shared" si="34"/>
        <v>37</v>
      </c>
      <c r="C828" s="1323"/>
      <c r="D828" s="1317" t="s">
        <v>984</v>
      </c>
      <c r="E828" s="1323"/>
      <c r="F828" s="1323"/>
      <c r="G828" s="1143" t="s">
        <v>268</v>
      </c>
      <c r="H828" s="1323"/>
      <c r="I828" s="1322">
        <f t="shared" si="33"/>
        <v>280000</v>
      </c>
      <c r="J828" s="597"/>
      <c r="N828" s="603">
        <f>'[5]Usulan 2021'!I662</f>
        <v>280000</v>
      </c>
      <c r="O828" s="603">
        <f>'[5]Usulan 2021'!J662</f>
        <v>280000</v>
      </c>
      <c r="P828" s="603">
        <f>'[5]Usulan 2021'!K662</f>
        <v>280000</v>
      </c>
    </row>
    <row r="829" spans="2:16" x14ac:dyDescent="0.2">
      <c r="B829" s="1315">
        <f t="shared" si="34"/>
        <v>38</v>
      </c>
      <c r="C829" s="1323"/>
      <c r="D829" s="1317" t="s">
        <v>985</v>
      </c>
      <c r="E829" s="1323"/>
      <c r="F829" s="1323"/>
      <c r="G829" s="1143" t="s">
        <v>268</v>
      </c>
      <c r="H829" s="1323"/>
      <c r="I829" s="1322">
        <f t="shared" si="33"/>
        <v>224000</v>
      </c>
      <c r="J829" s="597"/>
      <c r="N829" s="603">
        <f>'[5]Usulan 2021'!I663</f>
        <v>224000</v>
      </c>
      <c r="O829" s="603">
        <f>'[5]Usulan 2021'!J663</f>
        <v>224000</v>
      </c>
      <c r="P829" s="603">
        <f>'[5]Usulan 2021'!K663</f>
        <v>224000</v>
      </c>
    </row>
    <row r="830" spans="2:16" x14ac:dyDescent="0.2">
      <c r="B830" s="1315">
        <f t="shared" si="34"/>
        <v>39</v>
      </c>
      <c r="C830" s="1323"/>
      <c r="D830" s="1317" t="s">
        <v>997</v>
      </c>
      <c r="E830" s="1323"/>
      <c r="F830" s="1323"/>
      <c r="G830" s="1143" t="s">
        <v>268</v>
      </c>
      <c r="H830" s="1323"/>
      <c r="I830" s="1322">
        <f t="shared" si="33"/>
        <v>842000</v>
      </c>
      <c r="J830" s="597"/>
      <c r="N830" s="603">
        <f>'[5]Usulan 2021'!I664</f>
        <v>842000</v>
      </c>
      <c r="O830" s="603">
        <f>'[5]Usulan 2021'!J664</f>
        <v>842000</v>
      </c>
      <c r="P830" s="603">
        <f>'[5]Usulan 2021'!K664</f>
        <v>842000</v>
      </c>
    </row>
    <row r="831" spans="2:16" x14ac:dyDescent="0.2">
      <c r="B831" s="1315">
        <f t="shared" si="34"/>
        <v>40</v>
      </c>
      <c r="C831" s="1323"/>
      <c r="D831" s="1317" t="s">
        <v>998</v>
      </c>
      <c r="E831" s="1323"/>
      <c r="F831" s="1323"/>
      <c r="G831" s="1143" t="s">
        <v>268</v>
      </c>
      <c r="H831" s="1323"/>
      <c r="I831" s="1322">
        <f t="shared" si="33"/>
        <v>561000</v>
      </c>
      <c r="J831" s="597"/>
      <c r="N831" s="603">
        <f>'[5]Usulan 2021'!I665</f>
        <v>561000</v>
      </c>
      <c r="O831" s="603">
        <f>'[5]Usulan 2021'!J665</f>
        <v>561000</v>
      </c>
      <c r="P831" s="603">
        <f>'[5]Usulan 2021'!K665</f>
        <v>561000</v>
      </c>
    </row>
    <row r="832" spans="2:16" x14ac:dyDescent="0.2">
      <c r="B832" s="1315">
        <f t="shared" si="34"/>
        <v>41</v>
      </c>
      <c r="C832" s="1323"/>
      <c r="D832" s="1317" t="s">
        <v>999</v>
      </c>
      <c r="E832" s="1323"/>
      <c r="F832" s="1323"/>
      <c r="G832" s="1143" t="s">
        <v>268</v>
      </c>
      <c r="H832" s="1323"/>
      <c r="I832" s="1322">
        <f t="shared" si="33"/>
        <v>280000</v>
      </c>
      <c r="J832" s="597"/>
      <c r="N832" s="603">
        <f>'[5]Usulan 2021'!I666</f>
        <v>280000</v>
      </c>
      <c r="O832" s="603">
        <f>'[5]Usulan 2021'!J666</f>
        <v>280000</v>
      </c>
      <c r="P832" s="603">
        <f>'[5]Usulan 2021'!K666</f>
        <v>280000</v>
      </c>
    </row>
    <row r="833" spans="2:16" x14ac:dyDescent="0.2">
      <c r="B833" s="1324">
        <f>SUM(B832+1)</f>
        <v>42</v>
      </c>
      <c r="C833" s="1323"/>
      <c r="D833" s="1317" t="s">
        <v>1290</v>
      </c>
      <c r="E833" s="1323"/>
      <c r="F833" s="1323"/>
      <c r="G833" s="1143" t="s">
        <v>274</v>
      </c>
      <c r="H833" s="1323"/>
      <c r="I833" s="1322">
        <f t="shared" si="33"/>
        <v>768000</v>
      </c>
      <c r="J833" s="597"/>
      <c r="N833" s="603">
        <f>'[5]Usulan 2021'!I667</f>
        <v>768000</v>
      </c>
      <c r="O833" s="603">
        <f>'[5]Usulan 2021'!J667</f>
        <v>768000</v>
      </c>
      <c r="P833" s="603">
        <f>'[5]Usulan 2021'!K667</f>
        <v>768000</v>
      </c>
    </row>
    <row r="834" spans="2:16" x14ac:dyDescent="0.2">
      <c r="B834" s="1315">
        <f t="shared" ref="B834:B879" si="35">SUM(B833+1)</f>
        <v>43</v>
      </c>
      <c r="C834" s="1323"/>
      <c r="D834" s="1317" t="s">
        <v>1291</v>
      </c>
      <c r="E834" s="1323"/>
      <c r="F834" s="1323"/>
      <c r="G834" s="1143" t="s">
        <v>274</v>
      </c>
      <c r="H834" s="1323"/>
      <c r="I834" s="1322">
        <f t="shared" si="33"/>
        <v>960000</v>
      </c>
      <c r="J834" s="597"/>
      <c r="N834" s="603">
        <f>'[5]Usulan 2021'!I668</f>
        <v>960000</v>
      </c>
      <c r="O834" s="603">
        <f>'[5]Usulan 2021'!J668</f>
        <v>960000</v>
      </c>
      <c r="P834" s="603">
        <f>'[5]Usulan 2021'!K668</f>
        <v>960000</v>
      </c>
    </row>
    <row r="835" spans="2:16" x14ac:dyDescent="0.2">
      <c r="B835" s="1315">
        <f t="shared" si="35"/>
        <v>44</v>
      </c>
      <c r="C835" s="1323"/>
      <c r="D835" s="1317" t="s">
        <v>1291</v>
      </c>
      <c r="E835" s="1323"/>
      <c r="F835" s="1323"/>
      <c r="G835" s="1143" t="s">
        <v>274</v>
      </c>
      <c r="H835" s="1323"/>
      <c r="I835" s="1322">
        <f t="shared" si="33"/>
        <v>1019000</v>
      </c>
      <c r="J835" s="597"/>
      <c r="N835" s="603">
        <f>'[5]Usulan 2021'!I669</f>
        <v>1019000</v>
      </c>
      <c r="O835" s="603">
        <f>'[5]Usulan 2021'!J669</f>
        <v>1019000</v>
      </c>
      <c r="P835" s="603">
        <f>'[5]Usulan 2021'!K669</f>
        <v>1019000</v>
      </c>
    </row>
    <row r="836" spans="2:16" x14ac:dyDescent="0.2">
      <c r="B836" s="1315">
        <f t="shared" si="35"/>
        <v>45</v>
      </c>
      <c r="C836" s="1323"/>
      <c r="D836" s="1317" t="s">
        <v>1292</v>
      </c>
      <c r="E836" s="1323"/>
      <c r="F836" s="1323"/>
      <c r="G836" s="1143" t="s">
        <v>274</v>
      </c>
      <c r="H836" s="1323"/>
      <c r="I836" s="1322">
        <f t="shared" si="33"/>
        <v>51000</v>
      </c>
      <c r="J836" s="597"/>
      <c r="N836" s="603">
        <f>'[5]Usulan 2021'!I670</f>
        <v>51000</v>
      </c>
      <c r="O836" s="603">
        <f>'[5]Usulan 2021'!J670</f>
        <v>51000</v>
      </c>
      <c r="P836" s="603">
        <f>'[5]Usulan 2021'!K670</f>
        <v>51000</v>
      </c>
    </row>
    <row r="837" spans="2:16" x14ac:dyDescent="0.2">
      <c r="B837" s="1315">
        <f t="shared" si="35"/>
        <v>46</v>
      </c>
      <c r="C837" s="1323"/>
      <c r="D837" s="1317" t="s">
        <v>1293</v>
      </c>
      <c r="E837" s="1323"/>
      <c r="F837" s="1323"/>
      <c r="G837" s="1143" t="s">
        <v>309</v>
      </c>
      <c r="H837" s="1323"/>
      <c r="I837" s="1322">
        <f t="shared" si="33"/>
        <v>109000</v>
      </c>
      <c r="J837" s="597"/>
      <c r="N837" s="603">
        <f>'[5]Usulan 2021'!I671</f>
        <v>109000</v>
      </c>
      <c r="O837" s="603">
        <f>'[5]Usulan 2021'!J671</f>
        <v>109000</v>
      </c>
      <c r="P837" s="603">
        <f>'[5]Usulan 2021'!K671</f>
        <v>109000</v>
      </c>
    </row>
    <row r="838" spans="2:16" x14ac:dyDescent="0.2">
      <c r="B838" s="1315">
        <f t="shared" si="35"/>
        <v>47</v>
      </c>
      <c r="C838" s="1323"/>
      <c r="D838" s="1317" t="s">
        <v>1294</v>
      </c>
      <c r="E838" s="1323"/>
      <c r="F838" s="1323"/>
      <c r="G838" s="1143" t="s">
        <v>309</v>
      </c>
      <c r="H838" s="1323"/>
      <c r="I838" s="1322">
        <f t="shared" si="33"/>
        <v>104000</v>
      </c>
      <c r="J838" s="597"/>
      <c r="N838" s="603">
        <f>'[5]Usulan 2021'!I672</f>
        <v>104000</v>
      </c>
      <c r="O838" s="603">
        <f>'[5]Usulan 2021'!J672</f>
        <v>104000</v>
      </c>
      <c r="P838" s="603">
        <f>'[5]Usulan 2021'!K672</f>
        <v>104000</v>
      </c>
    </row>
    <row r="839" spans="2:16" x14ac:dyDescent="0.2">
      <c r="B839" s="1315">
        <f t="shared" si="35"/>
        <v>48</v>
      </c>
      <c r="C839" s="1323"/>
      <c r="D839" s="1317" t="s">
        <v>1295</v>
      </c>
      <c r="E839" s="1323"/>
      <c r="F839" s="1323"/>
      <c r="G839" s="1143" t="s">
        <v>274</v>
      </c>
      <c r="H839" s="1323"/>
      <c r="I839" s="1322">
        <f t="shared" si="33"/>
        <v>7000</v>
      </c>
      <c r="J839" s="597"/>
      <c r="N839" s="603">
        <f>'[5]Usulan 2021'!I673</f>
        <v>7000</v>
      </c>
      <c r="O839" s="603">
        <f>'[5]Usulan 2021'!J673</f>
        <v>7000</v>
      </c>
      <c r="P839" s="603">
        <f>'[5]Usulan 2021'!K673</f>
        <v>7000</v>
      </c>
    </row>
    <row r="840" spans="2:16" x14ac:dyDescent="0.2">
      <c r="B840" s="1315">
        <f t="shared" si="35"/>
        <v>49</v>
      </c>
      <c r="C840" s="1323"/>
      <c r="D840" s="1317" t="s">
        <v>1296</v>
      </c>
      <c r="E840" s="1323"/>
      <c r="F840" s="1323"/>
      <c r="G840" s="1143" t="s">
        <v>1297</v>
      </c>
      <c r="H840" s="1323"/>
      <c r="I840" s="1322">
        <f t="shared" si="33"/>
        <v>81000</v>
      </c>
      <c r="J840" s="597"/>
      <c r="N840" s="603">
        <f>'[5]Usulan 2021'!I674</f>
        <v>81000</v>
      </c>
      <c r="O840" s="603">
        <f>'[5]Usulan 2021'!J674</f>
        <v>81000</v>
      </c>
      <c r="P840" s="603">
        <f>'[5]Usulan 2021'!K674</f>
        <v>81000</v>
      </c>
    </row>
    <row r="841" spans="2:16" x14ac:dyDescent="0.2">
      <c r="B841" s="1315">
        <f t="shared" si="35"/>
        <v>50</v>
      </c>
      <c r="C841" s="1323"/>
      <c r="D841" s="1317" t="s">
        <v>1298</v>
      </c>
      <c r="E841" s="1323"/>
      <c r="F841" s="1323"/>
      <c r="G841" s="1143" t="s">
        <v>309</v>
      </c>
      <c r="H841" s="1323"/>
      <c r="I841" s="1322">
        <f t="shared" si="33"/>
        <v>824000</v>
      </c>
      <c r="J841" s="597"/>
      <c r="N841" s="603">
        <f>'[5]Usulan 2021'!I675</f>
        <v>824000</v>
      </c>
      <c r="O841" s="603">
        <f>'[5]Usulan 2021'!J675</f>
        <v>824000</v>
      </c>
      <c r="P841" s="603">
        <f>'[5]Usulan 2021'!K675</f>
        <v>824000</v>
      </c>
    </row>
    <row r="842" spans="2:16" x14ac:dyDescent="0.2">
      <c r="B842" s="1315">
        <f t="shared" si="35"/>
        <v>51</v>
      </c>
      <c r="C842" s="1323"/>
      <c r="D842" s="1317" t="s">
        <v>1299</v>
      </c>
      <c r="E842" s="1323"/>
      <c r="F842" s="1323"/>
      <c r="G842" s="1143" t="s">
        <v>273</v>
      </c>
      <c r="H842" s="1323"/>
      <c r="I842" s="1322">
        <f t="shared" si="33"/>
        <v>145000</v>
      </c>
      <c r="J842" s="597"/>
      <c r="N842" s="603">
        <f>'[5]Usulan 2021'!I676</f>
        <v>145000</v>
      </c>
      <c r="O842" s="603">
        <f>'[5]Usulan 2021'!J676</f>
        <v>145000</v>
      </c>
      <c r="P842" s="603">
        <f>'[5]Usulan 2021'!K676</f>
        <v>145000</v>
      </c>
    </row>
    <row r="843" spans="2:16" x14ac:dyDescent="0.2">
      <c r="B843" s="1315">
        <f t="shared" si="35"/>
        <v>52</v>
      </c>
      <c r="C843" s="1323"/>
      <c r="D843" s="1317" t="s">
        <v>1300</v>
      </c>
      <c r="E843" s="1323"/>
      <c r="F843" s="1323"/>
      <c r="G843" s="1143" t="s">
        <v>268</v>
      </c>
      <c r="H843" s="1323"/>
      <c r="I843" s="1322">
        <f t="shared" si="33"/>
        <v>646000</v>
      </c>
      <c r="J843" s="597"/>
      <c r="N843" s="603">
        <f>'[5]Usulan 2021'!I677</f>
        <v>646000</v>
      </c>
      <c r="O843" s="603">
        <f>'[5]Usulan 2021'!J677</f>
        <v>646000</v>
      </c>
      <c r="P843" s="603">
        <f>'[5]Usulan 2021'!K677</f>
        <v>646000</v>
      </c>
    </row>
    <row r="844" spans="2:16" x14ac:dyDescent="0.2">
      <c r="B844" s="1315">
        <f t="shared" si="35"/>
        <v>53</v>
      </c>
      <c r="C844" s="1323"/>
      <c r="D844" s="1317" t="s">
        <v>1301</v>
      </c>
      <c r="E844" s="1323"/>
      <c r="F844" s="1323"/>
      <c r="G844" s="1143" t="s">
        <v>268</v>
      </c>
      <c r="H844" s="1323"/>
      <c r="I844" s="1322">
        <f t="shared" si="33"/>
        <v>1130000</v>
      </c>
      <c r="J844" s="597"/>
      <c r="N844" s="603">
        <f>'[5]Usulan 2021'!I678</f>
        <v>1130000</v>
      </c>
      <c r="O844" s="603">
        <f>'[5]Usulan 2021'!J678</f>
        <v>1130000</v>
      </c>
      <c r="P844" s="603">
        <f>'[5]Usulan 2021'!K678</f>
        <v>1130000</v>
      </c>
    </row>
    <row r="845" spans="2:16" x14ac:dyDescent="0.2">
      <c r="B845" s="1315">
        <f t="shared" si="35"/>
        <v>54</v>
      </c>
      <c r="C845" s="1323"/>
      <c r="D845" s="1317" t="s">
        <v>1302</v>
      </c>
      <c r="E845" s="1323"/>
      <c r="F845" s="1323"/>
      <c r="G845" s="1143" t="s">
        <v>268</v>
      </c>
      <c r="H845" s="1323"/>
      <c r="I845" s="1322">
        <f t="shared" ref="I845:I905" si="36">N845</f>
        <v>215000</v>
      </c>
      <c r="J845" s="597"/>
      <c r="N845" s="603">
        <f>'[5]Usulan 2021'!I679</f>
        <v>215000</v>
      </c>
      <c r="O845" s="603">
        <f>'[5]Usulan 2021'!J679</f>
        <v>215000</v>
      </c>
      <c r="P845" s="603">
        <f>'[5]Usulan 2021'!K679</f>
        <v>215000</v>
      </c>
    </row>
    <row r="846" spans="2:16" x14ac:dyDescent="0.2">
      <c r="B846" s="1315">
        <f t="shared" si="35"/>
        <v>55</v>
      </c>
      <c r="C846" s="1323"/>
      <c r="D846" s="1317" t="s">
        <v>1303</v>
      </c>
      <c r="E846" s="1323"/>
      <c r="F846" s="1323"/>
      <c r="G846" s="1143" t="s">
        <v>309</v>
      </c>
      <c r="H846" s="1323"/>
      <c r="I846" s="1322">
        <f t="shared" si="36"/>
        <v>861000</v>
      </c>
      <c r="J846" s="597"/>
      <c r="N846" s="603">
        <f>'[5]Usulan 2021'!I680</f>
        <v>861000</v>
      </c>
      <c r="O846" s="603">
        <f>'[5]Usulan 2021'!J680</f>
        <v>861000</v>
      </c>
      <c r="P846" s="603">
        <f>'[5]Usulan 2021'!K680</f>
        <v>861000</v>
      </c>
    </row>
    <row r="847" spans="2:16" x14ac:dyDescent="0.2">
      <c r="B847" s="1315">
        <f t="shared" si="35"/>
        <v>56</v>
      </c>
      <c r="C847" s="1323"/>
      <c r="D847" s="1317" t="s">
        <v>1304</v>
      </c>
      <c r="E847" s="1323"/>
      <c r="F847" s="1323"/>
      <c r="G847" s="1143" t="s">
        <v>309</v>
      </c>
      <c r="H847" s="1323"/>
      <c r="I847" s="1322">
        <f t="shared" si="36"/>
        <v>80000</v>
      </c>
      <c r="J847" s="597"/>
      <c r="N847" s="603">
        <f>'[5]Usulan 2021'!I681</f>
        <v>80000</v>
      </c>
      <c r="O847" s="603">
        <f>'[5]Usulan 2021'!J681</f>
        <v>80000</v>
      </c>
      <c r="P847" s="603">
        <f>'[5]Usulan 2021'!K681</f>
        <v>80000</v>
      </c>
    </row>
    <row r="848" spans="2:16" x14ac:dyDescent="0.2">
      <c r="B848" s="1315">
        <f t="shared" si="35"/>
        <v>57</v>
      </c>
      <c r="C848" s="1323"/>
      <c r="D848" s="1317" t="s">
        <v>1305</v>
      </c>
      <c r="E848" s="1323"/>
      <c r="F848" s="1323"/>
      <c r="G848" s="1143" t="s">
        <v>268</v>
      </c>
      <c r="H848" s="1323"/>
      <c r="I848" s="1322">
        <f t="shared" si="36"/>
        <v>376000</v>
      </c>
      <c r="J848" s="597"/>
      <c r="N848" s="603">
        <f>'[5]Usulan 2021'!I682</f>
        <v>376000</v>
      </c>
      <c r="O848" s="603">
        <f>'[5]Usulan 2021'!J682</f>
        <v>376000</v>
      </c>
      <c r="P848" s="603">
        <f>'[5]Usulan 2021'!K682</f>
        <v>376000</v>
      </c>
    </row>
    <row r="849" spans="2:16" x14ac:dyDescent="0.2">
      <c r="B849" s="1315">
        <f t="shared" si="35"/>
        <v>58</v>
      </c>
      <c r="C849" s="1323"/>
      <c r="D849" s="1317" t="s">
        <v>1306</v>
      </c>
      <c r="E849" s="1323"/>
      <c r="F849" s="1323"/>
      <c r="G849" s="1143" t="s">
        <v>268</v>
      </c>
      <c r="H849" s="1323"/>
      <c r="I849" s="1322">
        <f t="shared" si="36"/>
        <v>60000</v>
      </c>
      <c r="J849" s="597"/>
      <c r="N849" s="603">
        <f>'[5]Usulan 2021'!I683</f>
        <v>60000</v>
      </c>
      <c r="O849" s="603">
        <f>'[5]Usulan 2021'!J683</f>
        <v>60000</v>
      </c>
      <c r="P849" s="603">
        <f>'[5]Usulan 2021'!K683</f>
        <v>60000</v>
      </c>
    </row>
    <row r="850" spans="2:16" x14ac:dyDescent="0.2">
      <c r="B850" s="1315">
        <f t="shared" si="35"/>
        <v>59</v>
      </c>
      <c r="C850" s="1323"/>
      <c r="D850" s="1317" t="s">
        <v>1307</v>
      </c>
      <c r="E850" s="1323"/>
      <c r="F850" s="1323"/>
      <c r="G850" s="1143" t="s">
        <v>268</v>
      </c>
      <c r="H850" s="1323"/>
      <c r="I850" s="1322">
        <f t="shared" si="36"/>
        <v>8000</v>
      </c>
      <c r="J850" s="597"/>
      <c r="N850" s="603">
        <f>'[5]Usulan 2021'!I684</f>
        <v>8000</v>
      </c>
      <c r="O850" s="603">
        <f>'[5]Usulan 2021'!J684</f>
        <v>8000</v>
      </c>
      <c r="P850" s="603">
        <f>'[5]Usulan 2021'!K684</f>
        <v>8000</v>
      </c>
    </row>
    <row r="851" spans="2:16" x14ac:dyDescent="0.2">
      <c r="B851" s="1315">
        <f t="shared" si="35"/>
        <v>60</v>
      </c>
      <c r="C851" s="1323"/>
      <c r="D851" s="1317" t="s">
        <v>1308</v>
      </c>
      <c r="E851" s="1323"/>
      <c r="F851" s="1323"/>
      <c r="G851" s="1143" t="s">
        <v>268</v>
      </c>
      <c r="H851" s="1323"/>
      <c r="I851" s="1322">
        <f t="shared" si="36"/>
        <v>5000</v>
      </c>
      <c r="J851" s="597"/>
      <c r="N851" s="603">
        <f>'[5]Usulan 2021'!I685</f>
        <v>5000</v>
      </c>
      <c r="O851" s="603">
        <f>'[5]Usulan 2021'!J685</f>
        <v>5000</v>
      </c>
      <c r="P851" s="603">
        <f>'[5]Usulan 2021'!K685</f>
        <v>5000</v>
      </c>
    </row>
    <row r="852" spans="2:16" x14ac:dyDescent="0.2">
      <c r="B852" s="1315">
        <f t="shared" si="35"/>
        <v>61</v>
      </c>
      <c r="C852" s="1323"/>
      <c r="D852" s="1317" t="s">
        <v>1000</v>
      </c>
      <c r="E852" s="1323"/>
      <c r="F852" s="1323"/>
      <c r="G852" s="1143" t="s">
        <v>268</v>
      </c>
      <c r="H852" s="1323"/>
      <c r="I852" s="1322">
        <f t="shared" si="36"/>
        <v>526000</v>
      </c>
      <c r="J852" s="597"/>
      <c r="N852" s="603">
        <f>'[5]Usulan 2021'!I686</f>
        <v>526000</v>
      </c>
      <c r="O852" s="603">
        <f>'[5]Usulan 2021'!J686</f>
        <v>526000</v>
      </c>
      <c r="P852" s="603">
        <f>'[5]Usulan 2021'!K686</f>
        <v>526000</v>
      </c>
    </row>
    <row r="853" spans="2:16" x14ac:dyDescent="0.2">
      <c r="B853" s="1315">
        <f t="shared" si="35"/>
        <v>62</v>
      </c>
      <c r="C853" s="1323"/>
      <c r="D853" s="1317" t="s">
        <v>1001</v>
      </c>
      <c r="E853" s="1323"/>
      <c r="F853" s="1323"/>
      <c r="G853" s="1143" t="s">
        <v>273</v>
      </c>
      <c r="H853" s="1323"/>
      <c r="I853" s="1322">
        <f t="shared" si="36"/>
        <v>112000</v>
      </c>
      <c r="J853" s="597"/>
      <c r="N853" s="603">
        <f>'[5]Usulan 2021'!I687</f>
        <v>112000</v>
      </c>
      <c r="O853" s="603">
        <f>'[5]Usulan 2021'!J687</f>
        <v>112000</v>
      </c>
      <c r="P853" s="603">
        <f>'[5]Usulan 2021'!K687</f>
        <v>112000</v>
      </c>
    </row>
    <row r="854" spans="2:16" x14ac:dyDescent="0.2">
      <c r="B854" s="1315">
        <f t="shared" si="35"/>
        <v>63</v>
      </c>
      <c r="C854" s="1323"/>
      <c r="D854" s="1317" t="s">
        <v>1002</v>
      </c>
      <c r="E854" s="1323"/>
      <c r="F854" s="1323"/>
      <c r="G854" s="1143" t="s">
        <v>268</v>
      </c>
      <c r="H854" s="1323"/>
      <c r="I854" s="1322">
        <f t="shared" si="36"/>
        <v>84000</v>
      </c>
      <c r="J854" s="597"/>
      <c r="N854" s="603">
        <f>'[5]Usulan 2021'!I688</f>
        <v>84000</v>
      </c>
      <c r="O854" s="603">
        <f>'[5]Usulan 2021'!J688</f>
        <v>84000</v>
      </c>
      <c r="P854" s="603">
        <f>'[5]Usulan 2021'!K688</f>
        <v>84000</v>
      </c>
    </row>
    <row r="855" spans="2:16" x14ac:dyDescent="0.2">
      <c r="B855" s="1315">
        <f t="shared" si="35"/>
        <v>64</v>
      </c>
      <c r="C855" s="1323"/>
      <c r="D855" s="1317" t="s">
        <v>1003</v>
      </c>
      <c r="E855" s="1323"/>
      <c r="F855" s="1323"/>
      <c r="G855" s="1143" t="s">
        <v>266</v>
      </c>
      <c r="H855" s="1323"/>
      <c r="I855" s="1322">
        <f t="shared" si="36"/>
        <v>2416000</v>
      </c>
      <c r="J855" s="597"/>
      <c r="N855" s="603">
        <f>'[5]Usulan 2021'!I689</f>
        <v>2416000</v>
      </c>
      <c r="O855" s="603">
        <f>'[5]Usulan 2021'!J689</f>
        <v>2416000</v>
      </c>
      <c r="P855" s="603">
        <f>'[5]Usulan 2021'!K689</f>
        <v>2416000</v>
      </c>
    </row>
    <row r="856" spans="2:16" x14ac:dyDescent="0.2">
      <c r="B856" s="1315">
        <f t="shared" si="35"/>
        <v>65</v>
      </c>
      <c r="C856" s="1323"/>
      <c r="D856" s="1317" t="s">
        <v>1004</v>
      </c>
      <c r="E856" s="1323"/>
      <c r="F856" s="1323"/>
      <c r="G856" s="1143" t="s">
        <v>268</v>
      </c>
      <c r="H856" s="1323"/>
      <c r="I856" s="1322">
        <f t="shared" si="36"/>
        <v>842000</v>
      </c>
      <c r="J856" s="597"/>
      <c r="N856" s="603">
        <f>'[5]Usulan 2021'!I690</f>
        <v>842000</v>
      </c>
      <c r="O856" s="603">
        <f>'[5]Usulan 2021'!J690</f>
        <v>842000</v>
      </c>
      <c r="P856" s="603">
        <f>'[5]Usulan 2021'!K690</f>
        <v>842000</v>
      </c>
    </row>
    <row r="857" spans="2:16" x14ac:dyDescent="0.2">
      <c r="B857" s="1315">
        <f t="shared" si="35"/>
        <v>66</v>
      </c>
      <c r="C857" s="1323"/>
      <c r="D857" s="1317" t="s">
        <v>1005</v>
      </c>
      <c r="E857" s="1323"/>
      <c r="F857" s="1323"/>
      <c r="G857" s="1143" t="s">
        <v>268</v>
      </c>
      <c r="H857" s="1323"/>
      <c r="I857" s="1322">
        <f t="shared" si="36"/>
        <v>1123000</v>
      </c>
      <c r="J857" s="597"/>
      <c r="N857" s="603">
        <f>'[5]Usulan 2021'!I691</f>
        <v>1123000</v>
      </c>
      <c r="O857" s="603">
        <f>'[5]Usulan 2021'!J691</f>
        <v>1123000</v>
      </c>
      <c r="P857" s="603">
        <f>'[5]Usulan 2021'!K691</f>
        <v>1123000</v>
      </c>
    </row>
    <row r="858" spans="2:16" x14ac:dyDescent="0.2">
      <c r="B858" s="1315">
        <f t="shared" si="35"/>
        <v>67</v>
      </c>
      <c r="C858" s="1323"/>
      <c r="D858" s="1317" t="s">
        <v>1164</v>
      </c>
      <c r="E858" s="1323"/>
      <c r="F858" s="1323"/>
      <c r="G858" s="1143" t="s">
        <v>268</v>
      </c>
      <c r="H858" s="1323"/>
      <c r="I858" s="1322">
        <f t="shared" si="36"/>
        <v>1685000</v>
      </c>
      <c r="J858" s="597"/>
      <c r="N858" s="603">
        <f>'[5]Usulan 2021'!I692</f>
        <v>1685000</v>
      </c>
      <c r="O858" s="603">
        <f>'[5]Usulan 2021'!J692</f>
        <v>1685000</v>
      </c>
      <c r="P858" s="603">
        <f>'[5]Usulan 2021'!K692</f>
        <v>1685000</v>
      </c>
    </row>
    <row r="859" spans="2:16" x14ac:dyDescent="0.2">
      <c r="B859" s="1315">
        <f t="shared" si="35"/>
        <v>68</v>
      </c>
      <c r="C859" s="1323"/>
      <c r="D859" s="1317" t="s">
        <v>1006</v>
      </c>
      <c r="E859" s="1323"/>
      <c r="F859" s="1323"/>
      <c r="G859" s="1143" t="s">
        <v>268</v>
      </c>
      <c r="H859" s="1323"/>
      <c r="I859" s="1322">
        <f t="shared" si="36"/>
        <v>2247000</v>
      </c>
      <c r="J859" s="597"/>
      <c r="N859" s="603">
        <f>'[5]Usulan 2021'!I693</f>
        <v>2247000</v>
      </c>
      <c r="O859" s="603">
        <f>'[5]Usulan 2021'!J693</f>
        <v>2247000</v>
      </c>
      <c r="P859" s="603">
        <f>'[5]Usulan 2021'!K693</f>
        <v>2247000</v>
      </c>
    </row>
    <row r="860" spans="2:16" x14ac:dyDescent="0.2">
      <c r="B860" s="1315">
        <f t="shared" si="35"/>
        <v>69</v>
      </c>
      <c r="C860" s="1323"/>
      <c r="D860" s="1317" t="s">
        <v>1007</v>
      </c>
      <c r="E860" s="1323"/>
      <c r="F860" s="1323"/>
      <c r="G860" s="1143" t="s">
        <v>268</v>
      </c>
      <c r="H860" s="1323"/>
      <c r="I860" s="1322">
        <f t="shared" si="36"/>
        <v>2809000</v>
      </c>
      <c r="J860" s="597"/>
      <c r="N860" s="603">
        <f>'[5]Usulan 2021'!I694</f>
        <v>2809000</v>
      </c>
      <c r="O860" s="603">
        <f>'[5]Usulan 2021'!J694</f>
        <v>2809000</v>
      </c>
      <c r="P860" s="603">
        <f>'[5]Usulan 2021'!K694</f>
        <v>2809000</v>
      </c>
    </row>
    <row r="861" spans="2:16" x14ac:dyDescent="0.2">
      <c r="B861" s="1315">
        <f t="shared" si="35"/>
        <v>70</v>
      </c>
      <c r="C861" s="1323"/>
      <c r="D861" s="1317" t="s">
        <v>1008</v>
      </c>
      <c r="E861" s="1323"/>
      <c r="F861" s="1323"/>
      <c r="G861" s="1143" t="s">
        <v>247</v>
      </c>
      <c r="H861" s="1323"/>
      <c r="I861" s="1322">
        <f t="shared" si="36"/>
        <v>1685000</v>
      </c>
      <c r="J861" s="597"/>
      <c r="N861" s="603">
        <f>'[5]Usulan 2021'!I695</f>
        <v>1685000</v>
      </c>
      <c r="O861" s="603">
        <f>'[5]Usulan 2021'!J695</f>
        <v>1685000</v>
      </c>
      <c r="P861" s="603">
        <f>'[5]Usulan 2021'!K695</f>
        <v>1685000</v>
      </c>
    </row>
    <row r="862" spans="2:16" x14ac:dyDescent="0.2">
      <c r="B862" s="1315">
        <f t="shared" si="35"/>
        <v>71</v>
      </c>
      <c r="C862" s="1323"/>
      <c r="D862" s="1317" t="s">
        <v>1009</v>
      </c>
      <c r="E862" s="1323"/>
      <c r="F862" s="1323"/>
      <c r="G862" s="1143" t="s">
        <v>247</v>
      </c>
      <c r="H862" s="1323"/>
      <c r="I862" s="1322">
        <f t="shared" si="36"/>
        <v>2247000</v>
      </c>
      <c r="J862" s="597"/>
      <c r="N862" s="603">
        <f>'[5]Usulan 2021'!I696</f>
        <v>2247000</v>
      </c>
      <c r="O862" s="603">
        <f>'[5]Usulan 2021'!J696</f>
        <v>2247000</v>
      </c>
      <c r="P862" s="603">
        <f>'[5]Usulan 2021'!K696</f>
        <v>2247000</v>
      </c>
    </row>
    <row r="863" spans="2:16" x14ac:dyDescent="0.2">
      <c r="B863" s="1315">
        <f t="shared" si="35"/>
        <v>72</v>
      </c>
      <c r="C863" s="1323"/>
      <c r="D863" s="1317" t="s">
        <v>1010</v>
      </c>
      <c r="E863" s="1323"/>
      <c r="F863" s="1323"/>
      <c r="G863" s="1143" t="s">
        <v>247</v>
      </c>
      <c r="H863" s="1323"/>
      <c r="I863" s="1322">
        <f t="shared" si="36"/>
        <v>2809000</v>
      </c>
      <c r="J863" s="597"/>
      <c r="N863" s="603">
        <f>'[5]Usulan 2021'!I697</f>
        <v>2809000</v>
      </c>
      <c r="O863" s="603">
        <f>'[5]Usulan 2021'!J697</f>
        <v>2809000</v>
      </c>
      <c r="P863" s="603">
        <f>'[5]Usulan 2021'!K697</f>
        <v>2809000</v>
      </c>
    </row>
    <row r="864" spans="2:16" x14ac:dyDescent="0.2">
      <c r="B864" s="1315">
        <f t="shared" si="35"/>
        <v>73</v>
      </c>
      <c r="C864" s="1323"/>
      <c r="D864" s="1317" t="s">
        <v>1011</v>
      </c>
      <c r="E864" s="1323"/>
      <c r="F864" s="1323"/>
      <c r="G864" s="1143" t="s">
        <v>268</v>
      </c>
      <c r="H864" s="1323"/>
      <c r="I864" s="1322">
        <f t="shared" si="36"/>
        <v>1123000</v>
      </c>
      <c r="J864" s="597"/>
      <c r="N864" s="603">
        <f>'[5]Usulan 2021'!I698</f>
        <v>1123000</v>
      </c>
      <c r="O864" s="603">
        <f>'[5]Usulan 2021'!J698</f>
        <v>1123000</v>
      </c>
      <c r="P864" s="603">
        <f>'[5]Usulan 2021'!K698</f>
        <v>1123000</v>
      </c>
    </row>
    <row r="865" spans="2:16" x14ac:dyDescent="0.2">
      <c r="B865" s="1315">
        <f t="shared" si="35"/>
        <v>74</v>
      </c>
      <c r="C865" s="1323"/>
      <c r="D865" s="1317" t="s">
        <v>1012</v>
      </c>
      <c r="E865" s="1323"/>
      <c r="F865" s="1323"/>
      <c r="G865" s="1143" t="s">
        <v>268</v>
      </c>
      <c r="H865" s="1323"/>
      <c r="I865" s="1322">
        <f t="shared" si="36"/>
        <v>1685000</v>
      </c>
      <c r="J865" s="597"/>
      <c r="N865" s="603">
        <f>'[5]Usulan 2021'!I699</f>
        <v>1685000</v>
      </c>
      <c r="O865" s="603">
        <f>'[5]Usulan 2021'!J699</f>
        <v>1685000</v>
      </c>
      <c r="P865" s="603">
        <f>'[5]Usulan 2021'!K699</f>
        <v>1685000</v>
      </c>
    </row>
    <row r="866" spans="2:16" x14ac:dyDescent="0.2">
      <c r="B866" s="1315">
        <f t="shared" si="35"/>
        <v>75</v>
      </c>
      <c r="C866" s="1323"/>
      <c r="D866" s="1317" t="s">
        <v>1013</v>
      </c>
      <c r="E866" s="1323"/>
      <c r="F866" s="1323"/>
      <c r="G866" s="1143" t="s">
        <v>268</v>
      </c>
      <c r="H866" s="1323"/>
      <c r="I866" s="1322">
        <f t="shared" si="36"/>
        <v>2809000</v>
      </c>
      <c r="J866" s="597"/>
      <c r="N866" s="603">
        <f>'[5]Usulan 2021'!I700</f>
        <v>2809000</v>
      </c>
      <c r="O866" s="603">
        <f>'[5]Usulan 2021'!J700</f>
        <v>2809000</v>
      </c>
      <c r="P866" s="603">
        <f>'[5]Usulan 2021'!K700</f>
        <v>2809000</v>
      </c>
    </row>
    <row r="867" spans="2:16" x14ac:dyDescent="0.2">
      <c r="B867" s="1315">
        <f t="shared" si="35"/>
        <v>76</v>
      </c>
      <c r="C867" s="1323"/>
      <c r="D867" s="1317" t="s">
        <v>1014</v>
      </c>
      <c r="E867" s="1323"/>
      <c r="F867" s="1323"/>
      <c r="G867" s="1143" t="s">
        <v>268</v>
      </c>
      <c r="H867" s="1323"/>
      <c r="I867" s="1322">
        <f t="shared" si="36"/>
        <v>3933000</v>
      </c>
      <c r="J867" s="597"/>
      <c r="N867" s="603">
        <f>'[5]Usulan 2021'!I701</f>
        <v>3933000</v>
      </c>
      <c r="O867" s="603">
        <f>'[5]Usulan 2021'!J701</f>
        <v>3933000</v>
      </c>
      <c r="P867" s="603">
        <f>'[5]Usulan 2021'!K701</f>
        <v>3933000</v>
      </c>
    </row>
    <row r="868" spans="2:16" x14ac:dyDescent="0.2">
      <c r="B868" s="1315">
        <f t="shared" si="35"/>
        <v>77</v>
      </c>
      <c r="C868" s="1323"/>
      <c r="D868" s="1317" t="s">
        <v>1015</v>
      </c>
      <c r="E868" s="1323"/>
      <c r="F868" s="1323"/>
      <c r="G868" s="1143" t="s">
        <v>268</v>
      </c>
      <c r="H868" s="1323"/>
      <c r="I868" s="1322">
        <f t="shared" si="36"/>
        <v>1123000</v>
      </c>
      <c r="J868" s="597"/>
      <c r="N868" s="603">
        <f>'[5]Usulan 2021'!I702</f>
        <v>1123000</v>
      </c>
      <c r="O868" s="603">
        <f>'[5]Usulan 2021'!J702</f>
        <v>1123000</v>
      </c>
      <c r="P868" s="603">
        <f>'[5]Usulan 2021'!K702</f>
        <v>1123000</v>
      </c>
    </row>
    <row r="869" spans="2:16" x14ac:dyDescent="0.2">
      <c r="B869" s="1315">
        <f t="shared" si="35"/>
        <v>78</v>
      </c>
      <c r="C869" s="1323"/>
      <c r="D869" s="1317" t="s">
        <v>1016</v>
      </c>
      <c r="E869" s="1323"/>
      <c r="F869" s="1323"/>
      <c r="G869" s="1143" t="s">
        <v>268</v>
      </c>
      <c r="H869" s="1323"/>
      <c r="I869" s="1322">
        <f t="shared" si="36"/>
        <v>2247000</v>
      </c>
      <c r="J869" s="597"/>
      <c r="N869" s="603">
        <f>'[5]Usulan 2021'!I703</f>
        <v>2247000</v>
      </c>
      <c r="O869" s="603">
        <f>'[5]Usulan 2021'!J703</f>
        <v>2247000</v>
      </c>
      <c r="P869" s="603">
        <f>'[5]Usulan 2021'!K703</f>
        <v>2247000</v>
      </c>
    </row>
    <row r="870" spans="2:16" x14ac:dyDescent="0.2">
      <c r="B870" s="1315">
        <f t="shared" si="35"/>
        <v>79</v>
      </c>
      <c r="C870" s="1323"/>
      <c r="D870" s="1317" t="s">
        <v>1165</v>
      </c>
      <c r="E870" s="1323"/>
      <c r="F870" s="1323"/>
      <c r="G870" s="1143" t="s">
        <v>309</v>
      </c>
      <c r="H870" s="1323"/>
      <c r="I870" s="1322">
        <f t="shared" si="36"/>
        <v>1685000</v>
      </c>
      <c r="J870" s="597"/>
      <c r="N870" s="603">
        <f>'[5]Usulan 2021'!I704</f>
        <v>1685000</v>
      </c>
      <c r="O870" s="603">
        <f>'[5]Usulan 2021'!J704</f>
        <v>1685000</v>
      </c>
      <c r="P870" s="603">
        <f>'[5]Usulan 2021'!K704</f>
        <v>1685000</v>
      </c>
    </row>
    <row r="871" spans="2:16" x14ac:dyDescent="0.2">
      <c r="B871" s="1315">
        <f t="shared" si="35"/>
        <v>80</v>
      </c>
      <c r="C871" s="1323"/>
      <c r="D871" s="1317" t="s">
        <v>1017</v>
      </c>
      <c r="E871" s="1323"/>
      <c r="F871" s="1323"/>
      <c r="G871" s="1143" t="s">
        <v>309</v>
      </c>
      <c r="H871" s="1323"/>
      <c r="I871" s="1322">
        <f t="shared" si="36"/>
        <v>5057000</v>
      </c>
      <c r="J871" s="597"/>
      <c r="N871" s="603">
        <f>'[5]Usulan 2021'!I705</f>
        <v>5057000</v>
      </c>
      <c r="O871" s="603">
        <f>'[5]Usulan 2021'!J705</f>
        <v>5057000</v>
      </c>
      <c r="P871" s="603">
        <f>'[5]Usulan 2021'!K705</f>
        <v>5057000</v>
      </c>
    </row>
    <row r="872" spans="2:16" x14ac:dyDescent="0.2">
      <c r="B872" s="1315">
        <f t="shared" si="35"/>
        <v>81</v>
      </c>
      <c r="C872" s="1323"/>
      <c r="D872" s="1317" t="s">
        <v>1018</v>
      </c>
      <c r="E872" s="1323"/>
      <c r="F872" s="1323"/>
      <c r="G872" s="1143" t="s">
        <v>268</v>
      </c>
      <c r="H872" s="1323"/>
      <c r="I872" s="1322">
        <f t="shared" si="36"/>
        <v>1123000</v>
      </c>
      <c r="J872" s="597"/>
      <c r="N872" s="603">
        <f>'[5]Usulan 2021'!I706</f>
        <v>1123000</v>
      </c>
      <c r="O872" s="603">
        <f>'[5]Usulan 2021'!J706</f>
        <v>1123000</v>
      </c>
      <c r="P872" s="603">
        <f>'[5]Usulan 2021'!K706</f>
        <v>1123000</v>
      </c>
    </row>
    <row r="873" spans="2:16" x14ac:dyDescent="0.2">
      <c r="B873" s="1315">
        <f t="shared" si="35"/>
        <v>82</v>
      </c>
      <c r="C873" s="1323"/>
      <c r="D873" s="1317" t="s">
        <v>1019</v>
      </c>
      <c r="E873" s="1323"/>
      <c r="F873" s="1323"/>
      <c r="G873" s="1143" t="s">
        <v>268</v>
      </c>
      <c r="H873" s="1323"/>
      <c r="I873" s="1322">
        <f t="shared" si="36"/>
        <v>561000</v>
      </c>
      <c r="J873" s="597"/>
      <c r="N873" s="603">
        <f>'[5]Usulan 2021'!I707</f>
        <v>561000</v>
      </c>
      <c r="O873" s="603">
        <f>'[5]Usulan 2021'!J707</f>
        <v>561000</v>
      </c>
      <c r="P873" s="603">
        <f>'[5]Usulan 2021'!K707</f>
        <v>561000</v>
      </c>
    </row>
    <row r="874" spans="2:16" x14ac:dyDescent="0.2">
      <c r="B874" s="1315">
        <f t="shared" si="35"/>
        <v>83</v>
      </c>
      <c r="C874" s="1323"/>
      <c r="D874" s="1317" t="s">
        <v>1020</v>
      </c>
      <c r="E874" s="1323"/>
      <c r="F874" s="1323"/>
      <c r="G874" s="1143" t="s">
        <v>275</v>
      </c>
      <c r="H874" s="1323"/>
      <c r="I874" s="1322">
        <f t="shared" si="36"/>
        <v>393000</v>
      </c>
      <c r="J874" s="597"/>
      <c r="N874" s="603">
        <f>'[5]Usulan 2021'!I708</f>
        <v>393000</v>
      </c>
      <c r="O874" s="603">
        <f>'[5]Usulan 2021'!J708</f>
        <v>393000</v>
      </c>
      <c r="P874" s="603">
        <f>'[5]Usulan 2021'!K708</f>
        <v>393000</v>
      </c>
    </row>
    <row r="875" spans="2:16" x14ac:dyDescent="0.2">
      <c r="B875" s="1315">
        <f t="shared" si="35"/>
        <v>84</v>
      </c>
      <c r="C875" s="1323"/>
      <c r="D875" s="1317" t="s">
        <v>1021</v>
      </c>
      <c r="E875" s="1323"/>
      <c r="F875" s="1323"/>
      <c r="G875" s="1143" t="s">
        <v>275</v>
      </c>
      <c r="H875" s="1323"/>
      <c r="I875" s="1322">
        <f t="shared" si="36"/>
        <v>108000</v>
      </c>
      <c r="J875" s="597"/>
      <c r="N875" s="603">
        <f>'[5]Usulan 2021'!I709</f>
        <v>108000</v>
      </c>
      <c r="O875" s="603">
        <f>'[5]Usulan 2021'!J709</f>
        <v>108000</v>
      </c>
      <c r="P875" s="603">
        <f>'[5]Usulan 2021'!K709</f>
        <v>108000</v>
      </c>
    </row>
    <row r="876" spans="2:16" x14ac:dyDescent="0.2">
      <c r="B876" s="1315">
        <f t="shared" si="35"/>
        <v>85</v>
      </c>
      <c r="C876" s="1323"/>
      <c r="D876" s="1317" t="s">
        <v>1022</v>
      </c>
      <c r="E876" s="1323"/>
      <c r="F876" s="1323"/>
      <c r="G876" s="1143" t="s">
        <v>275</v>
      </c>
      <c r="H876" s="1323"/>
      <c r="I876" s="1322">
        <f t="shared" si="36"/>
        <v>1180000</v>
      </c>
      <c r="J876" s="597"/>
      <c r="N876" s="603">
        <f>'[5]Usulan 2021'!I710</f>
        <v>1180000</v>
      </c>
      <c r="O876" s="603">
        <f>'[5]Usulan 2021'!J710</f>
        <v>1180000</v>
      </c>
      <c r="P876" s="603">
        <f>'[5]Usulan 2021'!K710</f>
        <v>1180000</v>
      </c>
    </row>
    <row r="877" spans="2:16" x14ac:dyDescent="0.2">
      <c r="B877" s="1315">
        <f t="shared" si="35"/>
        <v>86</v>
      </c>
      <c r="C877" s="1323"/>
      <c r="D877" s="1317" t="s">
        <v>1023</v>
      </c>
      <c r="E877" s="1323"/>
      <c r="F877" s="1323"/>
      <c r="G877" s="1143" t="s">
        <v>275</v>
      </c>
      <c r="H877" s="1323"/>
      <c r="I877" s="1322">
        <f t="shared" si="36"/>
        <v>618000</v>
      </c>
      <c r="J877" s="597"/>
      <c r="N877" s="603">
        <f>'[5]Usulan 2021'!I711</f>
        <v>618000</v>
      </c>
      <c r="O877" s="603">
        <f>'[5]Usulan 2021'!J711</f>
        <v>618000</v>
      </c>
      <c r="P877" s="603">
        <f>'[5]Usulan 2021'!K711</f>
        <v>618000</v>
      </c>
    </row>
    <row r="878" spans="2:16" x14ac:dyDescent="0.2">
      <c r="B878" s="1315">
        <f t="shared" si="35"/>
        <v>87</v>
      </c>
      <c r="C878" s="1323"/>
      <c r="D878" s="1317" t="s">
        <v>1024</v>
      </c>
      <c r="E878" s="1323"/>
      <c r="F878" s="1323"/>
      <c r="G878" s="1143" t="s">
        <v>275</v>
      </c>
      <c r="H878" s="1323"/>
      <c r="I878" s="1322">
        <f t="shared" si="36"/>
        <v>1123000</v>
      </c>
      <c r="J878" s="597"/>
      <c r="N878" s="603">
        <f>'[5]Usulan 2021'!I712</f>
        <v>1123000</v>
      </c>
      <c r="O878" s="603">
        <f>'[5]Usulan 2021'!J712</f>
        <v>1123000</v>
      </c>
      <c r="P878" s="603">
        <f>'[5]Usulan 2021'!K712</f>
        <v>1123000</v>
      </c>
    </row>
    <row r="879" spans="2:16" x14ac:dyDescent="0.2">
      <c r="B879" s="1315">
        <f t="shared" si="35"/>
        <v>88</v>
      </c>
      <c r="C879" s="1323"/>
      <c r="D879" s="1317" t="s">
        <v>1025</v>
      </c>
      <c r="E879" s="1323"/>
      <c r="F879" s="1323"/>
      <c r="G879" s="1143" t="s">
        <v>275</v>
      </c>
      <c r="H879" s="1323"/>
      <c r="I879" s="1322">
        <f t="shared" si="36"/>
        <v>561000</v>
      </c>
      <c r="J879" s="597"/>
      <c r="N879" s="603">
        <f>'[5]Usulan 2021'!I713</f>
        <v>561000</v>
      </c>
      <c r="O879" s="603">
        <f>'[5]Usulan 2021'!J713</f>
        <v>561000</v>
      </c>
      <c r="P879" s="603">
        <f>'[5]Usulan 2021'!K713</f>
        <v>561000</v>
      </c>
    </row>
    <row r="880" spans="2:16" x14ac:dyDescent="0.2">
      <c r="B880" s="168"/>
      <c r="D880" s="77"/>
      <c r="G880" s="1320"/>
      <c r="I880" s="566"/>
      <c r="J880" s="597"/>
      <c r="N880" s="603">
        <f>'[5]Usulan 2021'!I714</f>
        <v>0</v>
      </c>
      <c r="O880" s="603">
        <f>'[5]Usulan 2021'!J714</f>
        <v>0</v>
      </c>
      <c r="P880" s="603">
        <f>'[5]Usulan 2021'!K714</f>
        <v>0</v>
      </c>
    </row>
    <row r="881" spans="2:16" x14ac:dyDescent="0.2">
      <c r="B881" s="83"/>
      <c r="D881" s="123" t="s">
        <v>1026</v>
      </c>
      <c r="G881" s="1320"/>
      <c r="I881" s="566"/>
      <c r="J881" s="597"/>
      <c r="N881" s="603">
        <f>'[5]Usulan 2021'!I715</f>
        <v>0</v>
      </c>
      <c r="O881" s="603">
        <f>'[5]Usulan 2021'!J715</f>
        <v>0</v>
      </c>
      <c r="P881" s="603">
        <f>'[5]Usulan 2021'!K715</f>
        <v>0</v>
      </c>
    </row>
    <row r="882" spans="2:16" x14ac:dyDescent="0.2">
      <c r="B882" s="1321">
        <v>1</v>
      </c>
      <c r="C882" s="1323"/>
      <c r="D882" s="1317" t="s">
        <v>1027</v>
      </c>
      <c r="E882" s="1323"/>
      <c r="F882" s="1323"/>
      <c r="G882" s="1143" t="s">
        <v>268</v>
      </c>
      <c r="H882" s="1323"/>
      <c r="I882" s="1319">
        <f t="shared" si="36"/>
        <v>7305000</v>
      </c>
      <c r="J882" s="1292"/>
      <c r="N882" s="603">
        <f>'[5]Usulan 2021'!I716</f>
        <v>7305000</v>
      </c>
      <c r="O882" s="603">
        <f>'[5]Usulan 2021'!J716</f>
        <v>7305000</v>
      </c>
      <c r="P882" s="603">
        <f>'[5]Usulan 2021'!K716</f>
        <v>7305000</v>
      </c>
    </row>
    <row r="883" spans="2:16" x14ac:dyDescent="0.2">
      <c r="B883" s="1315">
        <f t="shared" ref="B883:B897" si="37">SUM(B882+1)</f>
        <v>2</v>
      </c>
      <c r="C883" s="1323"/>
      <c r="D883" s="1317" t="s">
        <v>1309</v>
      </c>
      <c r="E883" s="1323"/>
      <c r="F883" s="1323"/>
      <c r="G883" s="1143" t="s">
        <v>268</v>
      </c>
      <c r="H883" s="1323"/>
      <c r="I883" s="1319">
        <f t="shared" si="36"/>
        <v>8670000</v>
      </c>
      <c r="J883" s="1292"/>
      <c r="N883" s="603">
        <f>'[5]Usulan 2021'!I717</f>
        <v>8670000</v>
      </c>
      <c r="O883" s="603">
        <f>'[5]Usulan 2021'!J717</f>
        <v>8670000</v>
      </c>
      <c r="P883" s="603">
        <f>'[5]Usulan 2021'!K717</f>
        <v>8670000</v>
      </c>
    </row>
    <row r="884" spans="2:16" x14ac:dyDescent="0.2">
      <c r="B884" s="1315">
        <f t="shared" si="37"/>
        <v>3</v>
      </c>
      <c r="C884" s="1323"/>
      <c r="D884" s="1317" t="s">
        <v>1310</v>
      </c>
      <c r="E884" s="1323"/>
      <c r="F884" s="1323"/>
      <c r="G884" s="1143" t="s">
        <v>268</v>
      </c>
      <c r="H884" s="1323"/>
      <c r="I884" s="1319">
        <f t="shared" si="36"/>
        <v>8207000</v>
      </c>
      <c r="J884" s="1292"/>
      <c r="N884" s="603">
        <f>'[5]Usulan 2021'!I718</f>
        <v>8207000</v>
      </c>
      <c r="O884" s="603">
        <f>'[5]Usulan 2021'!J718</f>
        <v>8207000</v>
      </c>
      <c r="P884" s="603">
        <f>'[5]Usulan 2021'!K718</f>
        <v>8207000</v>
      </c>
    </row>
    <row r="885" spans="2:16" x14ac:dyDescent="0.2">
      <c r="B885" s="1315">
        <f t="shared" si="37"/>
        <v>4</v>
      </c>
      <c r="C885" s="1323"/>
      <c r="D885" s="1317" t="s">
        <v>1028</v>
      </c>
      <c r="E885" s="1323"/>
      <c r="F885" s="1323"/>
      <c r="G885" s="1143" t="s">
        <v>268</v>
      </c>
      <c r="H885" s="1323"/>
      <c r="I885" s="1319">
        <f t="shared" si="36"/>
        <v>7866000</v>
      </c>
      <c r="J885" s="1292"/>
      <c r="N885" s="603">
        <f>'[5]Usulan 2021'!I719</f>
        <v>7866000</v>
      </c>
      <c r="O885" s="603">
        <f>'[5]Usulan 2021'!J719</f>
        <v>7866000</v>
      </c>
      <c r="P885" s="603">
        <f>'[5]Usulan 2021'!K719</f>
        <v>7866000</v>
      </c>
    </row>
    <row r="886" spans="2:16" x14ac:dyDescent="0.2">
      <c r="B886" s="1315">
        <f t="shared" si="37"/>
        <v>5</v>
      </c>
      <c r="C886" s="1323"/>
      <c r="D886" s="1317" t="s">
        <v>1311</v>
      </c>
      <c r="E886" s="1323"/>
      <c r="F886" s="1323"/>
      <c r="G886" s="1143" t="s">
        <v>268</v>
      </c>
      <c r="H886" s="1323"/>
      <c r="I886" s="1319">
        <f t="shared" si="36"/>
        <v>7216000</v>
      </c>
      <c r="J886" s="1292"/>
      <c r="N886" s="603">
        <f>'[5]Usulan 2021'!I720</f>
        <v>7216000</v>
      </c>
      <c r="O886" s="603">
        <f>'[5]Usulan 2021'!J720</f>
        <v>7216000</v>
      </c>
      <c r="P886" s="603">
        <f>'[5]Usulan 2021'!K720</f>
        <v>7216000</v>
      </c>
    </row>
    <row r="887" spans="2:16" x14ac:dyDescent="0.2">
      <c r="B887" s="1315">
        <f t="shared" si="37"/>
        <v>6</v>
      </c>
      <c r="C887" s="1323"/>
      <c r="D887" s="1317" t="s">
        <v>1312</v>
      </c>
      <c r="E887" s="1323"/>
      <c r="F887" s="1323"/>
      <c r="G887" s="1143" t="s">
        <v>268</v>
      </c>
      <c r="H887" s="1323"/>
      <c r="I887" s="1319">
        <f t="shared" si="36"/>
        <v>7808000</v>
      </c>
      <c r="J887" s="1292"/>
      <c r="N887" s="603">
        <f>'[5]Usulan 2021'!I721</f>
        <v>7808000</v>
      </c>
      <c r="O887" s="603">
        <f>'[5]Usulan 2021'!J721</f>
        <v>7808000</v>
      </c>
      <c r="P887" s="603">
        <f>'[5]Usulan 2021'!K721</f>
        <v>7808000</v>
      </c>
    </row>
    <row r="888" spans="2:16" x14ac:dyDescent="0.2">
      <c r="B888" s="1315">
        <f t="shared" si="37"/>
        <v>7</v>
      </c>
      <c r="C888" s="1323"/>
      <c r="D888" s="1317" t="s">
        <v>1029</v>
      </c>
      <c r="E888" s="1323"/>
      <c r="F888" s="1323"/>
      <c r="G888" s="1143" t="s">
        <v>268</v>
      </c>
      <c r="H888" s="1323"/>
      <c r="I888" s="1319">
        <f t="shared" si="36"/>
        <v>9552000</v>
      </c>
      <c r="J888" s="1292"/>
      <c r="N888" s="603">
        <f>'[5]Usulan 2021'!I722</f>
        <v>9552000</v>
      </c>
      <c r="O888" s="603">
        <f>'[5]Usulan 2021'!J722</f>
        <v>9552000</v>
      </c>
      <c r="P888" s="603">
        <f>'[5]Usulan 2021'!K722</f>
        <v>9552000</v>
      </c>
    </row>
    <row r="889" spans="2:16" x14ac:dyDescent="0.2">
      <c r="B889" s="1315">
        <f t="shared" si="37"/>
        <v>8</v>
      </c>
      <c r="C889" s="1323"/>
      <c r="D889" s="1317" t="s">
        <v>1313</v>
      </c>
      <c r="E889" s="1323"/>
      <c r="F889" s="1323"/>
      <c r="G889" s="1143" t="s">
        <v>268</v>
      </c>
      <c r="H889" s="1323"/>
      <c r="I889" s="1319">
        <f t="shared" si="36"/>
        <v>8078000</v>
      </c>
      <c r="J889" s="1292"/>
      <c r="N889" s="603">
        <f>'[5]Usulan 2021'!I723</f>
        <v>8078000</v>
      </c>
      <c r="O889" s="603">
        <f>'[5]Usulan 2021'!J723</f>
        <v>8078000</v>
      </c>
      <c r="P889" s="603">
        <f>'[5]Usulan 2021'!K723</f>
        <v>8078000</v>
      </c>
    </row>
    <row r="890" spans="2:16" x14ac:dyDescent="0.2">
      <c r="B890" s="1315">
        <f t="shared" si="37"/>
        <v>9</v>
      </c>
      <c r="C890" s="1323"/>
      <c r="D890" s="1317" t="s">
        <v>1314</v>
      </c>
      <c r="E890" s="1323"/>
      <c r="F890" s="1323"/>
      <c r="G890" s="1143" t="s">
        <v>268</v>
      </c>
      <c r="H890" s="1323"/>
      <c r="I890" s="1319">
        <f t="shared" si="36"/>
        <v>10986000</v>
      </c>
      <c r="J890" s="1292"/>
      <c r="N890" s="603">
        <f>'[5]Usulan 2021'!I724</f>
        <v>10986000</v>
      </c>
      <c r="O890" s="603">
        <f>'[5]Usulan 2021'!J724</f>
        <v>10986000</v>
      </c>
      <c r="P890" s="603">
        <f>'[5]Usulan 2021'!K724</f>
        <v>10986000</v>
      </c>
    </row>
    <row r="891" spans="2:16" x14ac:dyDescent="0.2">
      <c r="B891" s="1315">
        <f t="shared" si="37"/>
        <v>10</v>
      </c>
      <c r="C891" s="1323"/>
      <c r="D891" s="1317" t="s">
        <v>1030</v>
      </c>
      <c r="E891" s="1323"/>
      <c r="F891" s="1323"/>
      <c r="G891" s="1143" t="s">
        <v>268</v>
      </c>
      <c r="H891" s="1323"/>
      <c r="I891" s="1319">
        <f t="shared" si="36"/>
        <v>10114000</v>
      </c>
      <c r="J891" s="1292"/>
      <c r="N891" s="603">
        <f>'[5]Usulan 2021'!I725</f>
        <v>10114000</v>
      </c>
      <c r="O891" s="603">
        <f>'[5]Usulan 2021'!J725</f>
        <v>10114000</v>
      </c>
      <c r="P891" s="603">
        <f>'[5]Usulan 2021'!K725</f>
        <v>10114000</v>
      </c>
    </row>
    <row r="892" spans="2:16" x14ac:dyDescent="0.2">
      <c r="B892" s="1315">
        <f t="shared" si="37"/>
        <v>11</v>
      </c>
      <c r="C892" s="1323"/>
      <c r="D892" s="1317" t="s">
        <v>1315</v>
      </c>
      <c r="E892" s="1323"/>
      <c r="F892" s="1323"/>
      <c r="G892" s="1143" t="s">
        <v>268</v>
      </c>
      <c r="H892" s="1323"/>
      <c r="I892" s="1319">
        <f t="shared" si="36"/>
        <v>9659000</v>
      </c>
      <c r="J892" s="1292"/>
      <c r="N892" s="603">
        <f>'[5]Usulan 2021'!I726</f>
        <v>9659000</v>
      </c>
      <c r="O892" s="603">
        <f>'[5]Usulan 2021'!J726</f>
        <v>9659000</v>
      </c>
      <c r="P892" s="603">
        <f>'[5]Usulan 2021'!K726</f>
        <v>9659000</v>
      </c>
    </row>
    <row r="893" spans="2:16" x14ac:dyDescent="0.2">
      <c r="B893" s="1315">
        <f t="shared" si="37"/>
        <v>12</v>
      </c>
      <c r="C893" s="1323"/>
      <c r="D893" s="1317" t="s">
        <v>1316</v>
      </c>
      <c r="E893" s="1323"/>
      <c r="F893" s="1323"/>
      <c r="G893" s="1143" t="s">
        <v>268</v>
      </c>
      <c r="H893" s="1323"/>
      <c r="I893" s="1319">
        <f t="shared" si="36"/>
        <v>12332000</v>
      </c>
      <c r="J893" s="1292"/>
      <c r="N893" s="603">
        <f>'[5]Usulan 2021'!I727</f>
        <v>12332000</v>
      </c>
      <c r="O893" s="603">
        <f>'[5]Usulan 2021'!J727</f>
        <v>12332000</v>
      </c>
      <c r="P893" s="603">
        <f>'[5]Usulan 2021'!K727</f>
        <v>12332000</v>
      </c>
    </row>
    <row r="894" spans="2:16" x14ac:dyDescent="0.2">
      <c r="B894" s="1315">
        <f t="shared" si="37"/>
        <v>13</v>
      </c>
      <c r="C894" s="1323"/>
      <c r="D894" s="1317" t="s">
        <v>1031</v>
      </c>
      <c r="E894" s="1323"/>
      <c r="F894" s="1323"/>
      <c r="G894" s="1143" t="s">
        <v>268</v>
      </c>
      <c r="H894" s="1323"/>
      <c r="I894" s="1319">
        <f t="shared" si="36"/>
        <v>11800000</v>
      </c>
      <c r="J894" s="1292"/>
      <c r="N894" s="603">
        <f>'[5]Usulan 2021'!I728</f>
        <v>11800000</v>
      </c>
      <c r="O894" s="603">
        <f>'[5]Usulan 2021'!J728</f>
        <v>11800000</v>
      </c>
      <c r="P894" s="603">
        <f>'[5]Usulan 2021'!K728</f>
        <v>11800000</v>
      </c>
    </row>
    <row r="895" spans="2:16" x14ac:dyDescent="0.2">
      <c r="B895" s="1315">
        <f t="shared" si="37"/>
        <v>14</v>
      </c>
      <c r="C895" s="1323"/>
      <c r="D895" s="1317" t="s">
        <v>1317</v>
      </c>
      <c r="E895" s="1323"/>
      <c r="F895" s="1323"/>
      <c r="G895" s="1143" t="s">
        <v>268</v>
      </c>
      <c r="H895" s="1323"/>
      <c r="I895" s="1319">
        <f t="shared" si="36"/>
        <v>8401000</v>
      </c>
      <c r="J895" s="1292"/>
      <c r="N895" s="603">
        <f>'[5]Usulan 2021'!I729</f>
        <v>8401000</v>
      </c>
      <c r="O895" s="603">
        <f>'[5]Usulan 2021'!J729</f>
        <v>8401000</v>
      </c>
      <c r="P895" s="603">
        <f>'[5]Usulan 2021'!K729</f>
        <v>8401000</v>
      </c>
    </row>
    <row r="896" spans="2:16" x14ac:dyDescent="0.2">
      <c r="B896" s="1315">
        <f t="shared" si="37"/>
        <v>15</v>
      </c>
      <c r="C896" s="1323"/>
      <c r="D896" s="1317" t="s">
        <v>1318</v>
      </c>
      <c r="E896" s="1323"/>
      <c r="F896" s="1323"/>
      <c r="G896" s="1143" t="s">
        <v>268</v>
      </c>
      <c r="H896" s="1323"/>
      <c r="I896" s="1319">
        <f t="shared" si="36"/>
        <v>8611000</v>
      </c>
      <c r="J896" s="1292"/>
      <c r="N896" s="603">
        <f>'[5]Usulan 2021'!I730</f>
        <v>8611000</v>
      </c>
      <c r="O896" s="603">
        <f>'[5]Usulan 2021'!J730</f>
        <v>8611000</v>
      </c>
      <c r="P896" s="603">
        <f>'[5]Usulan 2021'!K730</f>
        <v>8611000</v>
      </c>
    </row>
    <row r="897" spans="2:16" x14ac:dyDescent="0.2">
      <c r="B897" s="1315">
        <f t="shared" si="37"/>
        <v>16</v>
      </c>
      <c r="C897" s="1323"/>
      <c r="D897" s="1317" t="s">
        <v>1319</v>
      </c>
      <c r="E897" s="1323"/>
      <c r="F897" s="1323"/>
      <c r="G897" s="1143" t="s">
        <v>268</v>
      </c>
      <c r="H897" s="1323"/>
      <c r="I897" s="1319">
        <f t="shared" si="36"/>
        <v>10878000</v>
      </c>
      <c r="J897" s="1292"/>
      <c r="N897" s="603">
        <f>'[5]Usulan 2021'!I731</f>
        <v>10878000</v>
      </c>
      <c r="O897" s="603">
        <f>'[5]Usulan 2021'!J731</f>
        <v>10878000</v>
      </c>
      <c r="P897" s="603">
        <f>'[5]Usulan 2021'!K731</f>
        <v>10878000</v>
      </c>
    </row>
    <row r="898" spans="2:16" x14ac:dyDescent="0.2">
      <c r="B898" s="168"/>
      <c r="D898" s="77"/>
      <c r="G898" s="1320"/>
      <c r="I898" s="566"/>
      <c r="J898" s="597"/>
      <c r="N898" s="603">
        <f>'[5]Usulan 2021'!I732</f>
        <v>0</v>
      </c>
      <c r="O898" s="603">
        <f>'[5]Usulan 2021'!J732</f>
        <v>0</v>
      </c>
      <c r="P898" s="603">
        <f>'[5]Usulan 2021'!K732</f>
        <v>0</v>
      </c>
    </row>
    <row r="899" spans="2:16" x14ac:dyDescent="0.2">
      <c r="B899" s="83"/>
      <c r="D899" s="123" t="s">
        <v>1032</v>
      </c>
      <c r="G899" s="1320"/>
      <c r="I899" s="566"/>
      <c r="J899" s="597"/>
      <c r="N899" s="603">
        <f>'[5]Usulan 2021'!I733</f>
        <v>0</v>
      </c>
      <c r="O899" s="603">
        <f>'[5]Usulan 2021'!J733</f>
        <v>0</v>
      </c>
      <c r="P899" s="603">
        <f>'[5]Usulan 2021'!K733</f>
        <v>0</v>
      </c>
    </row>
    <row r="900" spans="2:16" x14ac:dyDescent="0.2">
      <c r="B900" s="1321">
        <v>1</v>
      </c>
      <c r="C900" s="1323"/>
      <c r="D900" s="1317" t="s">
        <v>1033</v>
      </c>
      <c r="E900" s="1323"/>
      <c r="F900" s="1323"/>
      <c r="G900" s="1143" t="s">
        <v>268</v>
      </c>
      <c r="H900" s="1323"/>
      <c r="I900" s="1319">
        <f t="shared" si="36"/>
        <v>1404000</v>
      </c>
      <c r="J900" s="1292"/>
      <c r="N900" s="603">
        <f>'[5]Usulan 2021'!I734</f>
        <v>1404000</v>
      </c>
      <c r="O900" s="603">
        <f>'[5]Usulan 2021'!J734</f>
        <v>1404000</v>
      </c>
      <c r="P900" s="603">
        <f>'[5]Usulan 2021'!K734</f>
        <v>1404000</v>
      </c>
    </row>
    <row r="901" spans="2:16" x14ac:dyDescent="0.2">
      <c r="B901" s="1315">
        <f>SUM(B900+1)</f>
        <v>2</v>
      </c>
      <c r="C901" s="1323"/>
      <c r="D901" s="1317" t="s">
        <v>1034</v>
      </c>
      <c r="E901" s="1323"/>
      <c r="F901" s="1323"/>
      <c r="G901" s="1143" t="s">
        <v>268</v>
      </c>
      <c r="H901" s="1323"/>
      <c r="I901" s="1319">
        <f t="shared" si="36"/>
        <v>1685000</v>
      </c>
      <c r="J901" s="1292"/>
      <c r="N901" s="603">
        <f>'[5]Usulan 2021'!I735</f>
        <v>1685000</v>
      </c>
      <c r="O901" s="603">
        <f>'[5]Usulan 2021'!J735</f>
        <v>1685000</v>
      </c>
      <c r="P901" s="603">
        <f>'[5]Usulan 2021'!K735</f>
        <v>1685000</v>
      </c>
    </row>
    <row r="902" spans="2:16" x14ac:dyDescent="0.2">
      <c r="B902" s="1315">
        <f>SUM(B901+1)</f>
        <v>3</v>
      </c>
      <c r="C902" s="1323"/>
      <c r="D902" s="1317" t="s">
        <v>1035</v>
      </c>
      <c r="E902" s="1323"/>
      <c r="F902" s="1323"/>
      <c r="G902" s="1143" t="s">
        <v>268</v>
      </c>
      <c r="H902" s="1323"/>
      <c r="I902" s="1319">
        <f t="shared" si="36"/>
        <v>1966000</v>
      </c>
      <c r="J902" s="1292"/>
      <c r="N902" s="603">
        <f>'[5]Usulan 2021'!I736</f>
        <v>1966000</v>
      </c>
      <c r="O902" s="603">
        <f>'[5]Usulan 2021'!J736</f>
        <v>1966000</v>
      </c>
      <c r="P902" s="603">
        <f>'[5]Usulan 2021'!K736</f>
        <v>1966000</v>
      </c>
    </row>
    <row r="903" spans="2:16" x14ac:dyDescent="0.2">
      <c r="B903" s="168"/>
      <c r="D903" s="77"/>
      <c r="G903" s="1320"/>
      <c r="I903" s="566"/>
      <c r="J903" s="597"/>
      <c r="N903" s="603"/>
      <c r="O903" s="603"/>
      <c r="P903" s="603"/>
    </row>
    <row r="904" spans="2:16" x14ac:dyDescent="0.2">
      <c r="B904" s="168"/>
      <c r="D904" s="123" t="s">
        <v>1320</v>
      </c>
      <c r="G904" s="1320"/>
      <c r="I904" s="566"/>
      <c r="J904" s="597"/>
      <c r="N904" s="603"/>
      <c r="O904" s="603"/>
      <c r="P904" s="603"/>
    </row>
    <row r="905" spans="2:16" x14ac:dyDescent="0.2">
      <c r="B905" s="1315">
        <v>1</v>
      </c>
      <c r="C905" s="1323"/>
      <c r="D905" s="1317" t="s">
        <v>1321</v>
      </c>
      <c r="E905" s="1323"/>
      <c r="F905" s="1323"/>
      <c r="G905" s="1143"/>
      <c r="H905" s="1323"/>
      <c r="I905" s="1319">
        <f t="shared" si="36"/>
        <v>53569000</v>
      </c>
      <c r="J905" s="1292"/>
      <c r="N905" s="603">
        <f>'[5]Usulan 2021'!I739</f>
        <v>53569000</v>
      </c>
      <c r="O905" s="603">
        <f>'[5]Usulan 2021'!J739</f>
        <v>53569000</v>
      </c>
      <c r="P905" s="603">
        <f>'[5]Usulan 2021'!K739</f>
        <v>53569000</v>
      </c>
    </row>
    <row r="906" spans="2:16" x14ac:dyDescent="0.2">
      <c r="B906" s="168"/>
      <c r="D906" s="77"/>
      <c r="G906" s="1320"/>
      <c r="I906" s="566"/>
      <c r="J906" s="597"/>
      <c r="N906" s="603"/>
      <c r="O906" s="603"/>
      <c r="P906" s="603"/>
    </row>
    <row r="907" spans="2:16" x14ac:dyDescent="0.2">
      <c r="B907" s="83"/>
      <c r="D907" s="123" t="s">
        <v>1036</v>
      </c>
      <c r="G907" s="1320"/>
      <c r="I907" s="566"/>
      <c r="J907" s="597"/>
      <c r="N907" s="603"/>
      <c r="O907" s="603"/>
      <c r="P907" s="603"/>
    </row>
    <row r="908" spans="2:16" x14ac:dyDescent="0.2">
      <c r="B908" s="1321">
        <v>1</v>
      </c>
      <c r="C908" s="1323"/>
      <c r="D908" s="1317" t="s">
        <v>1037</v>
      </c>
      <c r="E908" s="1323"/>
      <c r="F908" s="1323"/>
      <c r="G908" s="1143" t="s">
        <v>268</v>
      </c>
      <c r="H908" s="1323"/>
      <c r="I908" s="1319">
        <f t="shared" ref="I908:I971" si="38">N908</f>
        <v>56192000</v>
      </c>
      <c r="J908" s="1292"/>
      <c r="N908" s="603">
        <f>'[5]Usulan 2021'!I742</f>
        <v>56192000</v>
      </c>
      <c r="O908" s="603">
        <f>'[5]Usulan 2021'!J742</f>
        <v>56192000</v>
      </c>
      <c r="P908" s="603">
        <f>'[5]Usulan 2021'!K742</f>
        <v>56192000</v>
      </c>
    </row>
    <row r="909" spans="2:16" x14ac:dyDescent="0.2">
      <c r="B909" s="1315">
        <f>SUM(B908+1)</f>
        <v>2</v>
      </c>
      <c r="C909" s="1323"/>
      <c r="D909" s="1317" t="s">
        <v>1038</v>
      </c>
      <c r="E909" s="1323"/>
      <c r="F909" s="1323"/>
      <c r="G909" s="1143" t="s">
        <v>268</v>
      </c>
      <c r="H909" s="1323"/>
      <c r="I909" s="1319">
        <f t="shared" si="38"/>
        <v>61812000</v>
      </c>
      <c r="J909" s="1292"/>
      <c r="N909" s="603">
        <f>'[5]Usulan 2021'!I743</f>
        <v>61812000</v>
      </c>
      <c r="O909" s="603">
        <f>'[5]Usulan 2021'!J743</f>
        <v>61812000</v>
      </c>
      <c r="P909" s="603">
        <f>'[5]Usulan 2021'!K743</f>
        <v>61812000</v>
      </c>
    </row>
    <row r="910" spans="2:16" x14ac:dyDescent="0.2">
      <c r="B910" s="1315">
        <f>SUM(B909+1)</f>
        <v>3</v>
      </c>
      <c r="C910" s="1323"/>
      <c r="D910" s="1317" t="s">
        <v>1039</v>
      </c>
      <c r="E910" s="1323"/>
      <c r="F910" s="1323"/>
      <c r="G910" s="1143" t="s">
        <v>268</v>
      </c>
      <c r="H910" s="1323"/>
      <c r="I910" s="1319">
        <f t="shared" si="38"/>
        <v>78670000</v>
      </c>
      <c r="J910" s="1292"/>
      <c r="N910" s="603">
        <f>'[5]Usulan 2021'!I744</f>
        <v>78670000</v>
      </c>
      <c r="O910" s="603">
        <f>'[5]Usulan 2021'!J744</f>
        <v>78670000</v>
      </c>
      <c r="P910" s="603">
        <f>'[5]Usulan 2021'!K744</f>
        <v>78670000</v>
      </c>
    </row>
    <row r="911" spans="2:16" x14ac:dyDescent="0.2">
      <c r="B911" s="1315">
        <f>SUM(B910+1)</f>
        <v>4</v>
      </c>
      <c r="C911" s="1323"/>
      <c r="D911" s="1317" t="s">
        <v>1040</v>
      </c>
      <c r="E911" s="1323"/>
      <c r="F911" s="1323"/>
      <c r="G911" s="1143" t="s">
        <v>268</v>
      </c>
      <c r="H911" s="1323"/>
      <c r="I911" s="1319">
        <f t="shared" si="38"/>
        <v>84289000</v>
      </c>
      <c r="J911" s="1292"/>
      <c r="N911" s="603">
        <f>'[5]Usulan 2021'!I745</f>
        <v>84289000</v>
      </c>
      <c r="O911" s="603">
        <f>'[5]Usulan 2021'!J745</f>
        <v>84289000</v>
      </c>
      <c r="P911" s="603">
        <f>'[5]Usulan 2021'!K745</f>
        <v>84289000</v>
      </c>
    </row>
    <row r="912" spans="2:16" x14ac:dyDescent="0.2">
      <c r="B912" s="168"/>
      <c r="D912" s="77"/>
      <c r="G912" s="1320"/>
      <c r="I912" s="566"/>
      <c r="J912" s="597"/>
      <c r="N912" s="603"/>
      <c r="O912" s="603"/>
      <c r="P912" s="603"/>
    </row>
    <row r="913" spans="2:16" x14ac:dyDescent="0.2">
      <c r="B913" s="83"/>
      <c r="D913" s="123" t="s">
        <v>1041</v>
      </c>
      <c r="G913" s="1320"/>
      <c r="I913" s="566"/>
      <c r="J913" s="597"/>
      <c r="N913" s="603"/>
      <c r="O913" s="603"/>
      <c r="P913" s="603"/>
    </row>
    <row r="914" spans="2:16" x14ac:dyDescent="0.2">
      <c r="B914" s="1321">
        <v>1</v>
      </c>
      <c r="C914" s="1323"/>
      <c r="D914" s="1317" t="s">
        <v>1042</v>
      </c>
      <c r="E914" s="1323"/>
      <c r="F914" s="1323"/>
      <c r="G914" s="1143" t="s">
        <v>268</v>
      </c>
      <c r="H914" s="1323"/>
      <c r="I914" s="1322">
        <f t="shared" si="38"/>
        <v>67431000</v>
      </c>
      <c r="J914" s="1292"/>
      <c r="N914" s="603">
        <f>'[5]Usulan 2021'!I748</f>
        <v>67431000</v>
      </c>
      <c r="O914" s="603">
        <f>'[5]Usulan 2021'!J748</f>
        <v>67431000</v>
      </c>
      <c r="P914" s="603">
        <f>'[5]Usulan 2021'!K748</f>
        <v>67431000</v>
      </c>
    </row>
    <row r="915" spans="2:16" x14ac:dyDescent="0.2">
      <c r="B915" s="1315">
        <f>SUM(B914+1)</f>
        <v>2</v>
      </c>
      <c r="C915" s="1323"/>
      <c r="D915" s="1317" t="s">
        <v>1037</v>
      </c>
      <c r="E915" s="1323"/>
      <c r="F915" s="1323"/>
      <c r="G915" s="1143" t="s">
        <v>268</v>
      </c>
      <c r="H915" s="1323"/>
      <c r="I915" s="1322">
        <f t="shared" si="38"/>
        <v>73050000</v>
      </c>
      <c r="J915" s="1292"/>
      <c r="N915" s="603">
        <f>'[5]Usulan 2021'!I749</f>
        <v>73050000</v>
      </c>
      <c r="O915" s="603">
        <f>'[5]Usulan 2021'!J749</f>
        <v>73050000</v>
      </c>
      <c r="P915" s="603">
        <f>'[5]Usulan 2021'!K749</f>
        <v>73050000</v>
      </c>
    </row>
    <row r="916" spans="2:16" x14ac:dyDescent="0.2">
      <c r="B916" s="1315">
        <f>SUM(B915+1)</f>
        <v>3</v>
      </c>
      <c r="C916" s="1323"/>
      <c r="D916" s="1317" t="s">
        <v>1043</v>
      </c>
      <c r="E916" s="1323"/>
      <c r="F916" s="1323"/>
      <c r="G916" s="1143" t="s">
        <v>268</v>
      </c>
      <c r="H916" s="1323"/>
      <c r="I916" s="1322">
        <f t="shared" si="38"/>
        <v>78670000</v>
      </c>
      <c r="J916" s="1292"/>
      <c r="N916" s="603">
        <f>'[5]Usulan 2021'!I750</f>
        <v>78670000</v>
      </c>
      <c r="O916" s="603">
        <f>'[5]Usulan 2021'!J750</f>
        <v>78670000</v>
      </c>
      <c r="P916" s="603">
        <f>'[5]Usulan 2021'!K750</f>
        <v>78670000</v>
      </c>
    </row>
    <row r="917" spans="2:16" x14ac:dyDescent="0.2">
      <c r="B917" s="1315">
        <f>SUM(B916+1)</f>
        <v>4</v>
      </c>
      <c r="C917" s="1323"/>
      <c r="D917" s="1317" t="s">
        <v>1039</v>
      </c>
      <c r="E917" s="1323"/>
      <c r="F917" s="1323"/>
      <c r="G917" s="1143" t="s">
        <v>268</v>
      </c>
      <c r="H917" s="1323"/>
      <c r="I917" s="1322">
        <f t="shared" si="38"/>
        <v>89908000</v>
      </c>
      <c r="J917" s="1292"/>
      <c r="N917" s="603">
        <f>'[5]Usulan 2021'!I751</f>
        <v>89908000</v>
      </c>
      <c r="O917" s="603">
        <f>'[5]Usulan 2021'!J751</f>
        <v>89908000</v>
      </c>
      <c r="P917" s="603">
        <f>'[5]Usulan 2021'!K751</f>
        <v>89908000</v>
      </c>
    </row>
    <row r="918" spans="2:16" x14ac:dyDescent="0.2">
      <c r="B918" s="83"/>
      <c r="D918" s="77"/>
      <c r="G918" s="1320"/>
      <c r="I918" s="566"/>
      <c r="J918" s="597"/>
      <c r="N918" s="603"/>
      <c r="O918" s="603"/>
      <c r="P918" s="603"/>
    </row>
    <row r="919" spans="2:16" x14ac:dyDescent="0.2">
      <c r="B919" s="83"/>
      <c r="D919" s="123" t="s">
        <v>1166</v>
      </c>
      <c r="G919" s="1320"/>
      <c r="I919" s="566"/>
      <c r="J919" s="597"/>
      <c r="N919" s="603"/>
      <c r="O919" s="603"/>
      <c r="P919" s="603"/>
    </row>
    <row r="920" spans="2:16" x14ac:dyDescent="0.2">
      <c r="B920" s="83"/>
      <c r="D920" s="77"/>
      <c r="G920" s="1325" t="s">
        <v>1060</v>
      </c>
      <c r="I920" s="566"/>
      <c r="J920" s="597"/>
      <c r="N920" s="603"/>
      <c r="O920" s="603"/>
      <c r="P920" s="603"/>
    </row>
    <row r="921" spans="2:16" x14ac:dyDescent="0.2">
      <c r="B921" s="1321">
        <v>1</v>
      </c>
      <c r="C921" s="1323"/>
      <c r="D921" s="1317" t="s">
        <v>1167</v>
      </c>
      <c r="E921" s="1323"/>
      <c r="F921" s="1323"/>
      <c r="G921" s="1143" t="s">
        <v>1168</v>
      </c>
      <c r="H921" s="1323"/>
      <c r="I921" s="1319">
        <f t="shared" si="38"/>
        <v>7404000</v>
      </c>
      <c r="J921" s="1292"/>
      <c r="N921" s="603">
        <f>'[5]Usulan 2021'!I755</f>
        <v>7404000</v>
      </c>
      <c r="O921" s="603">
        <f>'[5]Usulan 2021'!J755</f>
        <v>7404000</v>
      </c>
      <c r="P921" s="603">
        <f>'[5]Usulan 2021'!K755</f>
        <v>7404000</v>
      </c>
    </row>
    <row r="922" spans="2:16" x14ac:dyDescent="0.2">
      <c r="B922" s="1315">
        <f>SUM(B921+1)</f>
        <v>2</v>
      </c>
      <c r="C922" s="1323"/>
      <c r="D922" s="1317" t="s">
        <v>1169</v>
      </c>
      <c r="E922" s="1323"/>
      <c r="F922" s="1323"/>
      <c r="G922" s="1143" t="s">
        <v>1170</v>
      </c>
      <c r="H922" s="1323"/>
      <c r="I922" s="1319">
        <f t="shared" si="38"/>
        <v>359000</v>
      </c>
      <c r="J922" s="1292"/>
      <c r="N922" s="603">
        <f>'[5]Usulan 2021'!I756</f>
        <v>359000</v>
      </c>
      <c r="O922" s="603">
        <f>'[5]Usulan 2021'!J756</f>
        <v>359000</v>
      </c>
      <c r="P922" s="603">
        <f>'[5]Usulan 2021'!K756</f>
        <v>359000</v>
      </c>
    </row>
    <row r="923" spans="2:16" x14ac:dyDescent="0.2">
      <c r="B923" s="1315">
        <f>SUM(B922+1)</f>
        <v>3</v>
      </c>
      <c r="C923" s="1323"/>
      <c r="D923" s="1317" t="s">
        <v>1171</v>
      </c>
      <c r="E923" s="1323"/>
      <c r="F923" s="1323"/>
      <c r="G923" s="1143" t="s">
        <v>1172</v>
      </c>
      <c r="H923" s="1323"/>
      <c r="I923" s="1319">
        <f t="shared" si="38"/>
        <v>150000</v>
      </c>
      <c r="J923" s="1292"/>
      <c r="N923" s="603">
        <f>'[5]Usulan 2021'!I757</f>
        <v>150000</v>
      </c>
      <c r="O923" s="603">
        <f>'[5]Usulan 2021'!J757</f>
        <v>150000</v>
      </c>
      <c r="P923" s="603">
        <f>'[5]Usulan 2021'!K757</f>
        <v>150000</v>
      </c>
    </row>
    <row r="924" spans="2:16" x14ac:dyDescent="0.2">
      <c r="B924" s="1315">
        <f>SUM(B923+1)</f>
        <v>4</v>
      </c>
      <c r="C924" s="1323"/>
      <c r="D924" s="1317" t="s">
        <v>1173</v>
      </c>
      <c r="E924" s="1323"/>
      <c r="F924" s="1323"/>
      <c r="G924" s="1143" t="s">
        <v>1062</v>
      </c>
      <c r="H924" s="1323"/>
      <c r="I924" s="1319">
        <f t="shared" si="38"/>
        <v>704000</v>
      </c>
      <c r="J924" s="1292"/>
      <c r="N924" s="603">
        <f>'[5]Usulan 2021'!I758</f>
        <v>704000</v>
      </c>
      <c r="O924" s="603">
        <f>'[5]Usulan 2021'!J758</f>
        <v>704000</v>
      </c>
      <c r="P924" s="603">
        <f>'[5]Usulan 2021'!K758</f>
        <v>704000</v>
      </c>
    </row>
    <row r="925" spans="2:16" x14ac:dyDescent="0.2">
      <c r="B925" s="1321">
        <f>SUM(B924+1)</f>
        <v>5</v>
      </c>
      <c r="C925" s="1323"/>
      <c r="D925" s="1317" t="s">
        <v>1174</v>
      </c>
      <c r="E925" s="1323"/>
      <c r="F925" s="1323"/>
      <c r="G925" s="1143" t="s">
        <v>1175</v>
      </c>
      <c r="H925" s="1323"/>
      <c r="I925" s="1319">
        <f t="shared" si="38"/>
        <v>240000</v>
      </c>
      <c r="J925" s="1292"/>
      <c r="N925" s="603">
        <f>'[5]Usulan 2021'!I759</f>
        <v>240000</v>
      </c>
      <c r="O925" s="603">
        <f>'[5]Usulan 2021'!J759</f>
        <v>240000</v>
      </c>
      <c r="P925" s="603">
        <f>'[5]Usulan 2021'!K759</f>
        <v>240000</v>
      </c>
    </row>
    <row r="926" spans="2:16" x14ac:dyDescent="0.2">
      <c r="B926" s="1315">
        <f t="shared" ref="B926:B980" si="39">SUM(B925+1)</f>
        <v>6</v>
      </c>
      <c r="C926" s="1323"/>
      <c r="D926" s="1317" t="s">
        <v>1176</v>
      </c>
      <c r="E926" s="1323"/>
      <c r="F926" s="1323"/>
      <c r="G926" s="1143" t="s">
        <v>1177</v>
      </c>
      <c r="H926" s="1323"/>
      <c r="I926" s="1319">
        <f t="shared" si="38"/>
        <v>69000</v>
      </c>
      <c r="J926" s="1292"/>
      <c r="N926" s="603">
        <f>'[5]Usulan 2021'!I760</f>
        <v>69000</v>
      </c>
      <c r="O926" s="603">
        <f>'[5]Usulan 2021'!J760</f>
        <v>69000</v>
      </c>
      <c r="P926" s="603">
        <f>'[5]Usulan 2021'!K760</f>
        <v>69000</v>
      </c>
    </row>
    <row r="927" spans="2:16" x14ac:dyDescent="0.2">
      <c r="B927" s="1315">
        <f t="shared" si="39"/>
        <v>7</v>
      </c>
      <c r="C927" s="1323"/>
      <c r="D927" s="1317" t="s">
        <v>1178</v>
      </c>
      <c r="E927" s="1323"/>
      <c r="F927" s="1323"/>
      <c r="G927" s="1143" t="s">
        <v>1179</v>
      </c>
      <c r="H927" s="1323"/>
      <c r="I927" s="1319">
        <f t="shared" si="38"/>
        <v>531000</v>
      </c>
      <c r="J927" s="1292"/>
      <c r="N927" s="603">
        <f>'[5]Usulan 2021'!I761</f>
        <v>531000</v>
      </c>
      <c r="O927" s="603">
        <f>'[5]Usulan 2021'!J761</f>
        <v>531000</v>
      </c>
      <c r="P927" s="603">
        <f>'[5]Usulan 2021'!K761</f>
        <v>531000</v>
      </c>
    </row>
    <row r="928" spans="2:16" x14ac:dyDescent="0.2">
      <c r="B928" s="1315">
        <f t="shared" si="39"/>
        <v>8</v>
      </c>
      <c r="C928" s="1323"/>
      <c r="D928" s="1317" t="s">
        <v>1180</v>
      </c>
      <c r="E928" s="1323"/>
      <c r="F928" s="1323"/>
      <c r="G928" s="1143" t="s">
        <v>1181</v>
      </c>
      <c r="H928" s="1323"/>
      <c r="I928" s="1319">
        <f t="shared" si="38"/>
        <v>359000</v>
      </c>
      <c r="J928" s="1292"/>
      <c r="N928" s="603">
        <f>'[5]Usulan 2021'!I762</f>
        <v>359000</v>
      </c>
      <c r="O928" s="603">
        <f>'[5]Usulan 2021'!J762</f>
        <v>359000</v>
      </c>
      <c r="P928" s="603">
        <f>'[5]Usulan 2021'!K762</f>
        <v>359000</v>
      </c>
    </row>
    <row r="929" spans="2:16" x14ac:dyDescent="0.2">
      <c r="B929" s="1315">
        <f t="shared" si="39"/>
        <v>9</v>
      </c>
      <c r="C929" s="1323"/>
      <c r="D929" s="1317" t="s">
        <v>1182</v>
      </c>
      <c r="E929" s="1323"/>
      <c r="F929" s="1323"/>
      <c r="G929" s="1143" t="s">
        <v>1170</v>
      </c>
      <c r="H929" s="1323"/>
      <c r="I929" s="1319">
        <f t="shared" si="38"/>
        <v>678000</v>
      </c>
      <c r="J929" s="1292"/>
      <c r="N929" s="603">
        <f>'[5]Usulan 2021'!I763</f>
        <v>678000</v>
      </c>
      <c r="O929" s="603">
        <f>'[5]Usulan 2021'!J763</f>
        <v>678000</v>
      </c>
      <c r="P929" s="603">
        <f>'[5]Usulan 2021'!K763</f>
        <v>678000</v>
      </c>
    </row>
    <row r="930" spans="2:16" x14ac:dyDescent="0.2">
      <c r="B930" s="1315">
        <f t="shared" si="39"/>
        <v>10</v>
      </c>
      <c r="C930" s="1323"/>
      <c r="D930" s="1317" t="s">
        <v>1183</v>
      </c>
      <c r="E930" s="1323"/>
      <c r="F930" s="1323"/>
      <c r="G930" s="1143" t="s">
        <v>1184</v>
      </c>
      <c r="H930" s="1323"/>
      <c r="I930" s="1319">
        <f t="shared" si="38"/>
        <v>558000</v>
      </c>
      <c r="J930" s="1292"/>
      <c r="N930" s="603">
        <f>'[5]Usulan 2021'!I764</f>
        <v>558000</v>
      </c>
      <c r="O930" s="603">
        <f>'[5]Usulan 2021'!J764</f>
        <v>558000</v>
      </c>
      <c r="P930" s="603">
        <f>'[5]Usulan 2021'!K764</f>
        <v>558000</v>
      </c>
    </row>
    <row r="931" spans="2:16" x14ac:dyDescent="0.2">
      <c r="B931" s="1315">
        <f t="shared" si="39"/>
        <v>11</v>
      </c>
      <c r="C931" s="1323"/>
      <c r="D931" s="1317" t="s">
        <v>1185</v>
      </c>
      <c r="E931" s="1323"/>
      <c r="F931" s="1323"/>
      <c r="G931" s="1143" t="s">
        <v>1186</v>
      </c>
      <c r="H931" s="1323"/>
      <c r="I931" s="1319">
        <f t="shared" si="38"/>
        <v>605000</v>
      </c>
      <c r="J931" s="1292"/>
      <c r="N931" s="603">
        <f>'[5]Usulan 2021'!I765</f>
        <v>605000</v>
      </c>
      <c r="O931" s="603">
        <f>'[5]Usulan 2021'!J765</f>
        <v>605000</v>
      </c>
      <c r="P931" s="603">
        <f>'[5]Usulan 2021'!K765</f>
        <v>605000</v>
      </c>
    </row>
    <row r="932" spans="2:16" x14ac:dyDescent="0.2">
      <c r="B932" s="1315">
        <f t="shared" si="39"/>
        <v>12</v>
      </c>
      <c r="C932" s="1323"/>
      <c r="D932" s="1317" t="s">
        <v>1187</v>
      </c>
      <c r="E932" s="1323"/>
      <c r="F932" s="1323"/>
      <c r="G932" s="1143" t="s">
        <v>1188</v>
      </c>
      <c r="H932" s="1323"/>
      <c r="I932" s="1319">
        <f t="shared" si="38"/>
        <v>652000</v>
      </c>
      <c r="J932" s="1292"/>
      <c r="N932" s="603">
        <f>'[5]Usulan 2021'!I766</f>
        <v>652000</v>
      </c>
      <c r="O932" s="603">
        <f>'[5]Usulan 2021'!J766</f>
        <v>652000</v>
      </c>
      <c r="P932" s="603">
        <f>'[5]Usulan 2021'!K766</f>
        <v>652000</v>
      </c>
    </row>
    <row r="933" spans="2:16" x14ac:dyDescent="0.2">
      <c r="B933" s="1315">
        <f t="shared" si="39"/>
        <v>13</v>
      </c>
      <c r="C933" s="1323"/>
      <c r="D933" s="1317" t="s">
        <v>1189</v>
      </c>
      <c r="E933" s="1323"/>
      <c r="F933" s="1323"/>
      <c r="G933" s="1326">
        <v>10800</v>
      </c>
      <c r="H933" s="1323"/>
      <c r="I933" s="1319">
        <f t="shared" si="38"/>
        <v>623000</v>
      </c>
      <c r="J933" s="1292"/>
      <c r="N933" s="603">
        <f>'[5]Usulan 2021'!I767</f>
        <v>623000</v>
      </c>
      <c r="O933" s="603">
        <f>'[5]Usulan 2021'!J767</f>
        <v>623000</v>
      </c>
      <c r="P933" s="603">
        <f>'[5]Usulan 2021'!K767</f>
        <v>623000</v>
      </c>
    </row>
    <row r="934" spans="2:16" x14ac:dyDescent="0.2">
      <c r="B934" s="1315">
        <f t="shared" si="39"/>
        <v>14</v>
      </c>
      <c r="C934" s="1323"/>
      <c r="D934" s="1317" t="s">
        <v>1190</v>
      </c>
      <c r="E934" s="1323"/>
      <c r="F934" s="1323"/>
      <c r="G934" s="1143" t="s">
        <v>1191</v>
      </c>
      <c r="H934" s="1323"/>
      <c r="I934" s="1319">
        <f t="shared" si="38"/>
        <v>295000</v>
      </c>
      <c r="J934" s="1292"/>
      <c r="N934" s="603">
        <f>'[5]Usulan 2021'!I768</f>
        <v>295000</v>
      </c>
      <c r="O934" s="603">
        <f>'[5]Usulan 2021'!J768</f>
        <v>295000</v>
      </c>
      <c r="P934" s="603">
        <f>'[5]Usulan 2021'!K768</f>
        <v>295000</v>
      </c>
    </row>
    <row r="935" spans="2:16" x14ac:dyDescent="0.2">
      <c r="B935" s="1315">
        <f t="shared" si="39"/>
        <v>15</v>
      </c>
      <c r="C935" s="1323"/>
      <c r="D935" s="1317" t="s">
        <v>1192</v>
      </c>
      <c r="E935" s="1323"/>
      <c r="F935" s="1323"/>
      <c r="G935" s="1143" t="s">
        <v>1193</v>
      </c>
      <c r="H935" s="1323"/>
      <c r="I935" s="1319">
        <f t="shared" si="38"/>
        <v>460000</v>
      </c>
      <c r="J935" s="1292"/>
      <c r="N935" s="603">
        <f>'[5]Usulan 2021'!I769</f>
        <v>460000</v>
      </c>
      <c r="O935" s="603">
        <f>'[5]Usulan 2021'!J769</f>
        <v>460000</v>
      </c>
      <c r="P935" s="603">
        <f>'[5]Usulan 2021'!K769</f>
        <v>460000</v>
      </c>
    </row>
    <row r="936" spans="2:16" x14ac:dyDescent="0.2">
      <c r="B936" s="1315">
        <f t="shared" si="39"/>
        <v>16</v>
      </c>
      <c r="C936" s="1323"/>
      <c r="D936" s="1317" t="s">
        <v>1194</v>
      </c>
      <c r="E936" s="1323"/>
      <c r="F936" s="1323"/>
      <c r="G936" s="1143" t="s">
        <v>1195</v>
      </c>
      <c r="H936" s="1323"/>
      <c r="I936" s="1319">
        <f t="shared" si="38"/>
        <v>238000</v>
      </c>
      <c r="J936" s="1292"/>
      <c r="N936" s="603">
        <f>'[5]Usulan 2021'!I770</f>
        <v>238000</v>
      </c>
      <c r="O936" s="603">
        <f>'[5]Usulan 2021'!J770</f>
        <v>238000</v>
      </c>
      <c r="P936" s="603">
        <f>'[5]Usulan 2021'!K770</f>
        <v>238000</v>
      </c>
    </row>
    <row r="937" spans="2:16" x14ac:dyDescent="0.2">
      <c r="B937" s="1315">
        <f t="shared" si="39"/>
        <v>17</v>
      </c>
      <c r="C937" s="1323"/>
      <c r="D937" s="1317" t="s">
        <v>1196</v>
      </c>
      <c r="E937" s="1323"/>
      <c r="F937" s="1323"/>
      <c r="G937" s="1143" t="s">
        <v>1197</v>
      </c>
      <c r="H937" s="1323"/>
      <c r="I937" s="1319">
        <f t="shared" si="38"/>
        <v>393000</v>
      </c>
      <c r="J937" s="1292"/>
      <c r="N937" s="603">
        <f>'[5]Usulan 2021'!I771</f>
        <v>393000</v>
      </c>
      <c r="O937" s="603">
        <f>'[5]Usulan 2021'!J771</f>
        <v>393000</v>
      </c>
      <c r="P937" s="603">
        <f>'[5]Usulan 2021'!K771</f>
        <v>393000</v>
      </c>
    </row>
    <row r="938" spans="2:16" x14ac:dyDescent="0.2">
      <c r="B938" s="1315">
        <f t="shared" si="39"/>
        <v>18</v>
      </c>
      <c r="C938" s="1323"/>
      <c r="D938" s="1317" t="s">
        <v>1198</v>
      </c>
      <c r="E938" s="1323"/>
      <c r="F938" s="1323"/>
      <c r="G938" s="1143" t="s">
        <v>1199</v>
      </c>
      <c r="H938" s="1323"/>
      <c r="I938" s="1319">
        <f t="shared" si="38"/>
        <v>436000</v>
      </c>
      <c r="J938" s="1292"/>
      <c r="N938" s="603">
        <f>'[5]Usulan 2021'!I772</f>
        <v>436000</v>
      </c>
      <c r="O938" s="603">
        <f>'[5]Usulan 2021'!J772</f>
        <v>436000</v>
      </c>
      <c r="P938" s="603">
        <f>'[5]Usulan 2021'!K772</f>
        <v>436000</v>
      </c>
    </row>
    <row r="939" spans="2:16" x14ac:dyDescent="0.2">
      <c r="B939" s="1315">
        <f t="shared" si="39"/>
        <v>19</v>
      </c>
      <c r="C939" s="1323"/>
      <c r="D939" s="1317" t="s">
        <v>1200</v>
      </c>
      <c r="E939" s="1323"/>
      <c r="F939" s="1323"/>
      <c r="G939" s="1143" t="s">
        <v>1201</v>
      </c>
      <c r="H939" s="1323"/>
      <c r="I939" s="1319">
        <f t="shared" si="38"/>
        <v>360000</v>
      </c>
      <c r="J939" s="1292"/>
      <c r="N939" s="603">
        <f>'[5]Usulan 2021'!I773</f>
        <v>360000</v>
      </c>
      <c r="O939" s="603">
        <f>'[5]Usulan 2021'!J773</f>
        <v>360000</v>
      </c>
      <c r="P939" s="603">
        <f>'[5]Usulan 2021'!K773</f>
        <v>360000</v>
      </c>
    </row>
    <row r="940" spans="2:16" x14ac:dyDescent="0.2">
      <c r="B940" s="1315">
        <f t="shared" si="39"/>
        <v>20</v>
      </c>
      <c r="C940" s="1323"/>
      <c r="D940" s="1317" t="s">
        <v>1202</v>
      </c>
      <c r="E940" s="1323"/>
      <c r="F940" s="1323"/>
      <c r="G940" s="1143" t="s">
        <v>1203</v>
      </c>
      <c r="H940" s="1323"/>
      <c r="I940" s="1319">
        <f t="shared" si="38"/>
        <v>46000</v>
      </c>
      <c r="J940" s="1292"/>
      <c r="N940" s="603">
        <f>'[5]Usulan 2021'!I774</f>
        <v>46000</v>
      </c>
      <c r="O940" s="603">
        <f>'[5]Usulan 2021'!J774</f>
        <v>46000</v>
      </c>
      <c r="P940" s="603">
        <f>'[5]Usulan 2021'!K774</f>
        <v>46000</v>
      </c>
    </row>
    <row r="941" spans="2:16" x14ac:dyDescent="0.2">
      <c r="B941" s="1315">
        <f t="shared" si="39"/>
        <v>21</v>
      </c>
      <c r="C941" s="1323"/>
      <c r="D941" s="1317" t="s">
        <v>1204</v>
      </c>
      <c r="E941" s="1323"/>
      <c r="F941" s="1323"/>
      <c r="G941" s="1143" t="s">
        <v>1061</v>
      </c>
      <c r="H941" s="1323"/>
      <c r="I941" s="1319">
        <f t="shared" si="38"/>
        <v>1076000</v>
      </c>
      <c r="J941" s="1292"/>
      <c r="N941" s="603">
        <f>'[5]Usulan 2021'!I775</f>
        <v>1076000</v>
      </c>
      <c r="O941" s="603">
        <f>'[5]Usulan 2021'!J775</f>
        <v>1076000</v>
      </c>
      <c r="P941" s="603">
        <f>'[5]Usulan 2021'!K775</f>
        <v>1076000</v>
      </c>
    </row>
    <row r="942" spans="2:16" x14ac:dyDescent="0.2">
      <c r="B942" s="1315">
        <f t="shared" si="39"/>
        <v>22</v>
      </c>
      <c r="C942" s="1323"/>
      <c r="D942" s="1317" t="s">
        <v>1205</v>
      </c>
      <c r="E942" s="1323"/>
      <c r="F942" s="1323"/>
      <c r="G942" s="1143" t="s">
        <v>1062</v>
      </c>
      <c r="H942" s="1323"/>
      <c r="I942" s="1319">
        <f t="shared" si="38"/>
        <v>51000</v>
      </c>
      <c r="J942" s="1292"/>
      <c r="N942" s="603">
        <f>'[5]Usulan 2021'!I776</f>
        <v>51000</v>
      </c>
      <c r="O942" s="603">
        <f>'[5]Usulan 2021'!J776</f>
        <v>51000</v>
      </c>
      <c r="P942" s="603">
        <f>'[5]Usulan 2021'!K776</f>
        <v>51000</v>
      </c>
    </row>
    <row r="943" spans="2:16" x14ac:dyDescent="0.2">
      <c r="B943" s="1315">
        <f t="shared" si="39"/>
        <v>23</v>
      </c>
      <c r="C943" s="1323"/>
      <c r="D943" s="1317" t="s">
        <v>1206</v>
      </c>
      <c r="E943" s="1323"/>
      <c r="F943" s="1323"/>
      <c r="G943" s="1143" t="s">
        <v>1207</v>
      </c>
      <c r="H943" s="1323"/>
      <c r="I943" s="1319">
        <f t="shared" si="38"/>
        <v>193000</v>
      </c>
      <c r="J943" s="1292"/>
      <c r="N943" s="603">
        <f>'[5]Usulan 2021'!I777</f>
        <v>193000</v>
      </c>
      <c r="O943" s="603">
        <f>'[5]Usulan 2021'!J777</f>
        <v>193000</v>
      </c>
      <c r="P943" s="603">
        <f>'[5]Usulan 2021'!K777</f>
        <v>193000</v>
      </c>
    </row>
    <row r="944" spans="2:16" x14ac:dyDescent="0.2">
      <c r="B944" s="1315">
        <f t="shared" si="39"/>
        <v>24</v>
      </c>
      <c r="C944" s="1323"/>
      <c r="D944" s="1317" t="s">
        <v>1208</v>
      </c>
      <c r="E944" s="1323"/>
      <c r="F944" s="1323"/>
      <c r="G944" s="1143" t="s">
        <v>1209</v>
      </c>
      <c r="H944" s="1323"/>
      <c r="I944" s="1319">
        <f t="shared" si="38"/>
        <v>115000</v>
      </c>
      <c r="J944" s="1292"/>
      <c r="N944" s="603">
        <f>'[5]Usulan 2021'!I778</f>
        <v>115000</v>
      </c>
      <c r="O944" s="603">
        <f>'[5]Usulan 2021'!J778</f>
        <v>115000</v>
      </c>
      <c r="P944" s="603">
        <f>'[5]Usulan 2021'!K778</f>
        <v>115000</v>
      </c>
    </row>
    <row r="945" spans="2:16" x14ac:dyDescent="0.2">
      <c r="B945" s="1315">
        <f t="shared" si="39"/>
        <v>25</v>
      </c>
      <c r="C945" s="1323"/>
      <c r="D945" s="1317" t="s">
        <v>1210</v>
      </c>
      <c r="E945" s="1323"/>
      <c r="F945" s="1323"/>
      <c r="G945" s="1143" t="s">
        <v>1211</v>
      </c>
      <c r="H945" s="1323"/>
      <c r="I945" s="1319">
        <f t="shared" si="38"/>
        <v>46000</v>
      </c>
      <c r="J945" s="1292"/>
      <c r="N945" s="603">
        <f>'[5]Usulan 2021'!I779</f>
        <v>46000</v>
      </c>
      <c r="O945" s="603">
        <f>'[5]Usulan 2021'!J779</f>
        <v>46000</v>
      </c>
      <c r="P945" s="603">
        <f>'[5]Usulan 2021'!K779</f>
        <v>46000</v>
      </c>
    </row>
    <row r="946" spans="2:16" x14ac:dyDescent="0.2">
      <c r="B946" s="1315">
        <f t="shared" si="39"/>
        <v>26</v>
      </c>
      <c r="C946" s="1323"/>
      <c r="D946" s="1317" t="s">
        <v>1212</v>
      </c>
      <c r="E946" s="1323"/>
      <c r="F946" s="1323"/>
      <c r="G946" s="1327">
        <v>1330</v>
      </c>
      <c r="H946" s="1323"/>
      <c r="I946" s="1319">
        <f t="shared" si="38"/>
        <v>59000</v>
      </c>
      <c r="J946" s="1292"/>
      <c r="N946" s="603">
        <f>'[5]Usulan 2021'!I780</f>
        <v>59000</v>
      </c>
      <c r="O946" s="603">
        <f>'[5]Usulan 2021'!J780</f>
        <v>59000</v>
      </c>
      <c r="P946" s="603">
        <f>'[5]Usulan 2021'!K780</f>
        <v>59000</v>
      </c>
    </row>
    <row r="947" spans="2:16" x14ac:dyDescent="0.2">
      <c r="B947" s="1315">
        <f t="shared" si="39"/>
        <v>27</v>
      </c>
      <c r="C947" s="1323"/>
      <c r="D947" s="1317" t="s">
        <v>1213</v>
      </c>
      <c r="E947" s="1323"/>
      <c r="F947" s="1323"/>
      <c r="G947" s="1327">
        <v>2005</v>
      </c>
      <c r="H947" s="1323"/>
      <c r="I947" s="1319">
        <f t="shared" si="38"/>
        <v>1252000</v>
      </c>
      <c r="J947" s="1292"/>
      <c r="N947" s="603">
        <f>'[5]Usulan 2021'!I781</f>
        <v>1252000</v>
      </c>
      <c r="O947" s="603">
        <f>'[5]Usulan 2021'!J781</f>
        <v>1252000</v>
      </c>
      <c r="P947" s="603">
        <f>'[5]Usulan 2021'!K781</f>
        <v>1252000</v>
      </c>
    </row>
    <row r="948" spans="2:16" x14ac:dyDescent="0.2">
      <c r="B948" s="1315">
        <f t="shared" si="39"/>
        <v>28</v>
      </c>
      <c r="C948" s="1323"/>
      <c r="D948" s="1317" t="s">
        <v>1214</v>
      </c>
      <c r="E948" s="1323"/>
      <c r="F948" s="1323"/>
      <c r="G948" s="1143" t="s">
        <v>1215</v>
      </c>
      <c r="H948" s="1323"/>
      <c r="I948" s="1319">
        <f t="shared" si="38"/>
        <v>402000</v>
      </c>
      <c r="J948" s="1292"/>
      <c r="N948" s="603">
        <f>'[5]Usulan 2021'!I782</f>
        <v>402000</v>
      </c>
      <c r="O948" s="603">
        <f>'[5]Usulan 2021'!J782</f>
        <v>402000</v>
      </c>
      <c r="P948" s="603">
        <f>'[5]Usulan 2021'!K782</f>
        <v>402000</v>
      </c>
    </row>
    <row r="949" spans="2:16" x14ac:dyDescent="0.2">
      <c r="B949" s="1315">
        <f t="shared" si="39"/>
        <v>29</v>
      </c>
      <c r="C949" s="1323"/>
      <c r="D949" s="1317" t="s">
        <v>1216</v>
      </c>
      <c r="E949" s="1323"/>
      <c r="F949" s="1323"/>
      <c r="G949" s="1143" t="s">
        <v>1217</v>
      </c>
      <c r="H949" s="1323"/>
      <c r="I949" s="1319">
        <f t="shared" si="38"/>
        <v>606000</v>
      </c>
      <c r="J949" s="1292"/>
      <c r="N949" s="603">
        <f>'[5]Usulan 2021'!I783</f>
        <v>606000</v>
      </c>
      <c r="O949" s="603">
        <f>'[5]Usulan 2021'!J783</f>
        <v>606000</v>
      </c>
      <c r="P949" s="603">
        <f>'[5]Usulan 2021'!K783</f>
        <v>606000</v>
      </c>
    </row>
    <row r="950" spans="2:16" x14ac:dyDescent="0.2">
      <c r="B950" s="1315">
        <f t="shared" si="39"/>
        <v>30</v>
      </c>
      <c r="C950" s="1323"/>
      <c r="D950" s="1317" t="s">
        <v>1218</v>
      </c>
      <c r="E950" s="1323"/>
      <c r="F950" s="1323"/>
      <c r="G950" s="1143" t="s">
        <v>1219</v>
      </c>
      <c r="H950" s="1323"/>
      <c r="I950" s="1319">
        <f t="shared" si="38"/>
        <v>139000</v>
      </c>
      <c r="J950" s="1292"/>
      <c r="N950" s="603">
        <f>'[5]Usulan 2021'!I784</f>
        <v>139000</v>
      </c>
      <c r="O950" s="603">
        <f>'[5]Usulan 2021'!J784</f>
        <v>139000</v>
      </c>
      <c r="P950" s="603">
        <f>'[5]Usulan 2021'!K784</f>
        <v>139000</v>
      </c>
    </row>
    <row r="951" spans="2:16" x14ac:dyDescent="0.2">
      <c r="B951" s="1315">
        <f t="shared" si="39"/>
        <v>31</v>
      </c>
      <c r="C951" s="1323"/>
      <c r="D951" s="1317" t="s">
        <v>1220</v>
      </c>
      <c r="E951" s="1323"/>
      <c r="F951" s="1323"/>
      <c r="G951" s="1143" t="s">
        <v>1221</v>
      </c>
      <c r="H951" s="1323"/>
      <c r="I951" s="1319">
        <f t="shared" si="38"/>
        <v>601000</v>
      </c>
      <c r="J951" s="1292"/>
      <c r="N951" s="603">
        <f>'[5]Usulan 2021'!I785</f>
        <v>601000</v>
      </c>
      <c r="O951" s="603">
        <f>'[5]Usulan 2021'!J785</f>
        <v>601000</v>
      </c>
      <c r="P951" s="603">
        <f>'[5]Usulan 2021'!K785</f>
        <v>601000</v>
      </c>
    </row>
    <row r="952" spans="2:16" x14ac:dyDescent="0.2">
      <c r="B952" s="1315">
        <f t="shared" si="39"/>
        <v>32</v>
      </c>
      <c r="C952" s="1323"/>
      <c r="D952" s="1317" t="s">
        <v>1222</v>
      </c>
      <c r="E952" s="1323"/>
      <c r="F952" s="1323"/>
      <c r="G952" s="1143" t="s">
        <v>1223</v>
      </c>
      <c r="H952" s="1323"/>
      <c r="I952" s="1319">
        <f t="shared" si="38"/>
        <v>146000</v>
      </c>
      <c r="J952" s="1292"/>
      <c r="N952" s="603">
        <f>'[5]Usulan 2021'!I786</f>
        <v>146000</v>
      </c>
      <c r="O952" s="603">
        <f>'[5]Usulan 2021'!J786</f>
        <v>146000</v>
      </c>
      <c r="P952" s="603">
        <f>'[5]Usulan 2021'!K786</f>
        <v>146000</v>
      </c>
    </row>
    <row r="953" spans="2:16" x14ac:dyDescent="0.2">
      <c r="B953" s="1315">
        <f t="shared" si="39"/>
        <v>33</v>
      </c>
      <c r="C953" s="1323"/>
      <c r="D953" s="1317" t="s">
        <v>1224</v>
      </c>
      <c r="E953" s="1323"/>
      <c r="F953" s="1323"/>
      <c r="G953" s="1143" t="s">
        <v>1225</v>
      </c>
      <c r="H953" s="1323"/>
      <c r="I953" s="1319">
        <f t="shared" si="38"/>
        <v>2064000</v>
      </c>
      <c r="J953" s="1292"/>
      <c r="N953" s="603">
        <f>'[5]Usulan 2021'!I787</f>
        <v>2064000</v>
      </c>
      <c r="O953" s="603">
        <f>'[5]Usulan 2021'!J787</f>
        <v>2064000</v>
      </c>
      <c r="P953" s="603">
        <f>'[5]Usulan 2021'!K787</f>
        <v>2064000</v>
      </c>
    </row>
    <row r="954" spans="2:16" x14ac:dyDescent="0.2">
      <c r="B954" s="1315">
        <f t="shared" si="39"/>
        <v>34</v>
      </c>
      <c r="C954" s="1323"/>
      <c r="D954" s="1317" t="s">
        <v>1226</v>
      </c>
      <c r="E954" s="1323"/>
      <c r="F954" s="1323"/>
      <c r="G954" s="1143" t="s">
        <v>1227</v>
      </c>
      <c r="H954" s="1323"/>
      <c r="I954" s="1319">
        <f t="shared" si="38"/>
        <v>106000</v>
      </c>
      <c r="J954" s="1292"/>
      <c r="N954" s="603">
        <f>'[5]Usulan 2021'!I788</f>
        <v>106000</v>
      </c>
      <c r="O954" s="603">
        <f>'[5]Usulan 2021'!J788</f>
        <v>106000</v>
      </c>
      <c r="P954" s="603">
        <f>'[5]Usulan 2021'!K788</f>
        <v>106000</v>
      </c>
    </row>
    <row r="955" spans="2:16" x14ac:dyDescent="0.2">
      <c r="B955" s="1315">
        <f t="shared" si="39"/>
        <v>35</v>
      </c>
      <c r="C955" s="1323"/>
      <c r="D955" s="1317" t="s">
        <v>1228</v>
      </c>
      <c r="E955" s="1323"/>
      <c r="F955" s="1323"/>
      <c r="G955" s="1143" t="s">
        <v>1179</v>
      </c>
      <c r="H955" s="1323"/>
      <c r="I955" s="1319">
        <f t="shared" si="38"/>
        <v>694000</v>
      </c>
      <c r="J955" s="1292"/>
      <c r="N955" s="603">
        <f>'[5]Usulan 2021'!I789</f>
        <v>694000</v>
      </c>
      <c r="O955" s="603">
        <f>'[5]Usulan 2021'!J789</f>
        <v>694000</v>
      </c>
      <c r="P955" s="603">
        <f>'[5]Usulan 2021'!K789</f>
        <v>694000</v>
      </c>
    </row>
    <row r="956" spans="2:16" x14ac:dyDescent="0.2">
      <c r="B956" s="1315">
        <f t="shared" si="39"/>
        <v>36</v>
      </c>
      <c r="C956" s="1323"/>
      <c r="D956" s="1317" t="s">
        <v>1229</v>
      </c>
      <c r="E956" s="1323"/>
      <c r="F956" s="1323"/>
      <c r="G956" s="1143" t="s">
        <v>805</v>
      </c>
      <c r="H956" s="1323"/>
      <c r="I956" s="1319">
        <f t="shared" si="38"/>
        <v>252000</v>
      </c>
      <c r="J956" s="1292"/>
      <c r="N956" s="603">
        <f>'[5]Usulan 2021'!I790</f>
        <v>252000</v>
      </c>
      <c r="O956" s="603">
        <f>'[5]Usulan 2021'!J790</f>
        <v>252000</v>
      </c>
      <c r="P956" s="603">
        <f>'[5]Usulan 2021'!K790</f>
        <v>252000</v>
      </c>
    </row>
    <row r="957" spans="2:16" x14ac:dyDescent="0.2">
      <c r="B957" s="1315">
        <f t="shared" si="39"/>
        <v>37</v>
      </c>
      <c r="C957" s="1323"/>
      <c r="D957" s="1317" t="s">
        <v>1230</v>
      </c>
      <c r="E957" s="1323"/>
      <c r="F957" s="1323"/>
      <c r="G957" s="1143" t="s">
        <v>1231</v>
      </c>
      <c r="H957" s="1323"/>
      <c r="I957" s="1319">
        <f t="shared" si="38"/>
        <v>1625000</v>
      </c>
      <c r="J957" s="1292"/>
      <c r="N957" s="603">
        <f>'[5]Usulan 2021'!I791</f>
        <v>1625000</v>
      </c>
      <c r="O957" s="603">
        <f>'[5]Usulan 2021'!J791</f>
        <v>1625000</v>
      </c>
      <c r="P957" s="603">
        <f>'[5]Usulan 2021'!K791</f>
        <v>1625000</v>
      </c>
    </row>
    <row r="958" spans="2:16" x14ac:dyDescent="0.2">
      <c r="B958" s="1315">
        <f t="shared" si="39"/>
        <v>38</v>
      </c>
      <c r="C958" s="1323"/>
      <c r="D958" s="1317" t="s">
        <v>1232</v>
      </c>
      <c r="E958" s="1323"/>
      <c r="F958" s="1323"/>
      <c r="G958" s="1143" t="s">
        <v>1233</v>
      </c>
      <c r="H958" s="1323"/>
      <c r="I958" s="1319">
        <f t="shared" si="38"/>
        <v>3461000</v>
      </c>
      <c r="J958" s="1292"/>
      <c r="N958" s="603">
        <f>'[5]Usulan 2021'!I792</f>
        <v>3461000</v>
      </c>
      <c r="O958" s="603">
        <f>'[5]Usulan 2021'!J792</f>
        <v>3461000</v>
      </c>
      <c r="P958" s="603">
        <f>'[5]Usulan 2021'!K792</f>
        <v>3461000</v>
      </c>
    </row>
    <row r="959" spans="2:16" x14ac:dyDescent="0.2">
      <c r="B959" s="1315">
        <f t="shared" si="39"/>
        <v>39</v>
      </c>
      <c r="C959" s="1323"/>
      <c r="D959" s="1317" t="s">
        <v>1234</v>
      </c>
      <c r="E959" s="1323"/>
      <c r="F959" s="1323"/>
      <c r="G959" s="1143" t="s">
        <v>1235</v>
      </c>
      <c r="H959" s="1323"/>
      <c r="I959" s="1319">
        <f t="shared" si="38"/>
        <v>2055000</v>
      </c>
      <c r="J959" s="1292"/>
      <c r="N959" s="603">
        <f>'[5]Usulan 2021'!I793</f>
        <v>2055000</v>
      </c>
      <c r="O959" s="603">
        <f>'[5]Usulan 2021'!J793</f>
        <v>2055000</v>
      </c>
      <c r="P959" s="603">
        <f>'[5]Usulan 2021'!K793</f>
        <v>2055000</v>
      </c>
    </row>
    <row r="960" spans="2:16" x14ac:dyDescent="0.2">
      <c r="B960" s="1315">
        <f t="shared" si="39"/>
        <v>40</v>
      </c>
      <c r="C960" s="1323"/>
      <c r="D960" s="1317" t="s">
        <v>1236</v>
      </c>
      <c r="E960" s="1323"/>
      <c r="F960" s="1323"/>
      <c r="G960" s="1143" t="s">
        <v>1237</v>
      </c>
      <c r="H960" s="1323"/>
      <c r="I960" s="1319">
        <f t="shared" si="38"/>
        <v>623000</v>
      </c>
      <c r="J960" s="1292"/>
      <c r="N960" s="603">
        <f>'[5]Usulan 2021'!I794</f>
        <v>623000</v>
      </c>
      <c r="O960" s="603">
        <f>'[5]Usulan 2021'!J794</f>
        <v>623000</v>
      </c>
      <c r="P960" s="603">
        <f>'[5]Usulan 2021'!K794</f>
        <v>623000</v>
      </c>
    </row>
    <row r="961" spans="2:16" x14ac:dyDescent="0.2">
      <c r="B961" s="1315">
        <f t="shared" si="39"/>
        <v>41</v>
      </c>
      <c r="C961" s="1323"/>
      <c r="D961" s="1317" t="s">
        <v>1238</v>
      </c>
      <c r="E961" s="1323"/>
      <c r="F961" s="1323"/>
      <c r="G961" s="1143" t="s">
        <v>1207</v>
      </c>
      <c r="H961" s="1323"/>
      <c r="I961" s="1319">
        <f t="shared" si="38"/>
        <v>416000</v>
      </c>
      <c r="J961" s="1292"/>
      <c r="N961" s="603">
        <f>'[5]Usulan 2021'!I795</f>
        <v>416000</v>
      </c>
      <c r="O961" s="603">
        <f>'[5]Usulan 2021'!J795</f>
        <v>416000</v>
      </c>
      <c r="P961" s="603">
        <f>'[5]Usulan 2021'!K795</f>
        <v>416000</v>
      </c>
    </row>
    <row r="962" spans="2:16" x14ac:dyDescent="0.2">
      <c r="B962" s="1315">
        <f t="shared" si="39"/>
        <v>42</v>
      </c>
      <c r="C962" s="1323"/>
      <c r="D962" s="1317" t="s">
        <v>1239</v>
      </c>
      <c r="E962" s="1323"/>
      <c r="F962" s="1323"/>
      <c r="G962" s="1143" t="s">
        <v>1240</v>
      </c>
      <c r="H962" s="1323"/>
      <c r="I962" s="1319">
        <f t="shared" si="38"/>
        <v>348000</v>
      </c>
      <c r="J962" s="1292"/>
      <c r="N962" s="603">
        <f>'[5]Usulan 2021'!I796</f>
        <v>348000</v>
      </c>
      <c r="O962" s="603">
        <f>'[5]Usulan 2021'!J796</f>
        <v>348000</v>
      </c>
      <c r="P962" s="603">
        <f>'[5]Usulan 2021'!K796</f>
        <v>348000</v>
      </c>
    </row>
    <row r="963" spans="2:16" x14ac:dyDescent="0.2">
      <c r="B963" s="1315">
        <f t="shared" si="39"/>
        <v>43</v>
      </c>
      <c r="C963" s="1323"/>
      <c r="D963" s="1317" t="s">
        <v>1241</v>
      </c>
      <c r="E963" s="1323"/>
      <c r="F963" s="1323"/>
      <c r="G963" s="1143" t="s">
        <v>1242</v>
      </c>
      <c r="H963" s="1323"/>
      <c r="I963" s="1319">
        <f t="shared" si="38"/>
        <v>531000</v>
      </c>
      <c r="J963" s="1292"/>
      <c r="N963" s="603">
        <f>'[5]Usulan 2021'!I797</f>
        <v>531000</v>
      </c>
      <c r="O963" s="603">
        <f>'[5]Usulan 2021'!J797</f>
        <v>531000</v>
      </c>
      <c r="P963" s="603">
        <f>'[5]Usulan 2021'!K797</f>
        <v>531000</v>
      </c>
    </row>
    <row r="964" spans="2:16" x14ac:dyDescent="0.2">
      <c r="B964" s="1315">
        <f t="shared" si="39"/>
        <v>44</v>
      </c>
      <c r="C964" s="1323"/>
      <c r="D964" s="1317" t="s">
        <v>1243</v>
      </c>
      <c r="E964" s="1323"/>
      <c r="F964" s="1323"/>
      <c r="G964" s="1143" t="s">
        <v>1244</v>
      </c>
      <c r="H964" s="1323"/>
      <c r="I964" s="1319">
        <f t="shared" si="38"/>
        <v>1024000</v>
      </c>
      <c r="J964" s="1292"/>
      <c r="N964" s="603">
        <f>'[5]Usulan 2021'!I798</f>
        <v>1024000</v>
      </c>
      <c r="O964" s="603">
        <f>'[5]Usulan 2021'!J798</f>
        <v>1024000</v>
      </c>
      <c r="P964" s="603">
        <f>'[5]Usulan 2021'!K798</f>
        <v>1024000</v>
      </c>
    </row>
    <row r="965" spans="2:16" x14ac:dyDescent="0.2">
      <c r="B965" s="1315">
        <f t="shared" si="39"/>
        <v>45</v>
      </c>
      <c r="C965" s="1323"/>
      <c r="D965" s="1317" t="s">
        <v>1245</v>
      </c>
      <c r="E965" s="1323"/>
      <c r="F965" s="1323"/>
      <c r="G965" s="1143" t="s">
        <v>1246</v>
      </c>
      <c r="H965" s="1323"/>
      <c r="I965" s="1319">
        <f t="shared" si="38"/>
        <v>625000</v>
      </c>
      <c r="J965" s="1292"/>
      <c r="N965" s="603">
        <f>'[5]Usulan 2021'!I799</f>
        <v>625000</v>
      </c>
      <c r="O965" s="603">
        <f>'[5]Usulan 2021'!J799</f>
        <v>625000</v>
      </c>
      <c r="P965" s="603">
        <f>'[5]Usulan 2021'!K799</f>
        <v>625000</v>
      </c>
    </row>
    <row r="966" spans="2:16" x14ac:dyDescent="0.2">
      <c r="B966" s="1315">
        <f t="shared" si="39"/>
        <v>46</v>
      </c>
      <c r="C966" s="1323"/>
      <c r="D966" s="1317" t="s">
        <v>1247</v>
      </c>
      <c r="E966" s="1323"/>
      <c r="F966" s="1323"/>
      <c r="G966" s="1143" t="s">
        <v>1246</v>
      </c>
      <c r="H966" s="1323"/>
      <c r="I966" s="1319">
        <f t="shared" si="38"/>
        <v>573000</v>
      </c>
      <c r="J966" s="1292"/>
      <c r="N966" s="603">
        <f>'[5]Usulan 2021'!I800</f>
        <v>573000</v>
      </c>
      <c r="O966" s="603">
        <f>'[5]Usulan 2021'!J800</f>
        <v>573000</v>
      </c>
      <c r="P966" s="603">
        <f>'[5]Usulan 2021'!K800</f>
        <v>573000</v>
      </c>
    </row>
    <row r="967" spans="2:16" x14ac:dyDescent="0.2">
      <c r="B967" s="1315">
        <f t="shared" si="39"/>
        <v>47</v>
      </c>
      <c r="C967" s="1323"/>
      <c r="D967" s="1317" t="s">
        <v>1248</v>
      </c>
      <c r="E967" s="1323"/>
      <c r="F967" s="1323"/>
      <c r="G967" s="1143" t="s">
        <v>1249</v>
      </c>
      <c r="H967" s="1323"/>
      <c r="I967" s="1319">
        <f t="shared" si="38"/>
        <v>48000</v>
      </c>
      <c r="J967" s="1292"/>
      <c r="N967" s="603">
        <f>'[5]Usulan 2021'!I801</f>
        <v>48000</v>
      </c>
      <c r="O967" s="603">
        <f>'[5]Usulan 2021'!J801</f>
        <v>48000</v>
      </c>
      <c r="P967" s="603">
        <f>'[5]Usulan 2021'!K801</f>
        <v>48000</v>
      </c>
    </row>
    <row r="968" spans="2:16" x14ac:dyDescent="0.2">
      <c r="B968" s="1315">
        <f t="shared" si="39"/>
        <v>48</v>
      </c>
      <c r="C968" s="1323"/>
      <c r="D968" s="1317" t="s">
        <v>1250</v>
      </c>
      <c r="E968" s="1323"/>
      <c r="F968" s="1323"/>
      <c r="G968" s="1143" t="s">
        <v>1251</v>
      </c>
      <c r="H968" s="1323"/>
      <c r="I968" s="1319">
        <f t="shared" si="38"/>
        <v>48000</v>
      </c>
      <c r="J968" s="1292"/>
      <c r="N968" s="603">
        <f>'[5]Usulan 2021'!I802</f>
        <v>48000</v>
      </c>
      <c r="O968" s="603">
        <f>'[5]Usulan 2021'!J802</f>
        <v>48000</v>
      </c>
      <c r="P968" s="603">
        <f>'[5]Usulan 2021'!K802</f>
        <v>48000</v>
      </c>
    </row>
    <row r="969" spans="2:16" x14ac:dyDescent="0.2">
      <c r="B969" s="1315">
        <f t="shared" si="39"/>
        <v>49</v>
      </c>
      <c r="C969" s="1323"/>
      <c r="D969" s="1317" t="s">
        <v>1252</v>
      </c>
      <c r="E969" s="1323"/>
      <c r="F969" s="1323"/>
      <c r="G969" s="1143" t="s">
        <v>1253</v>
      </c>
      <c r="H969" s="1323"/>
      <c r="I969" s="1319">
        <f t="shared" si="38"/>
        <v>431000</v>
      </c>
      <c r="J969" s="1292"/>
      <c r="N969" s="603">
        <f>'[5]Usulan 2021'!I803</f>
        <v>431000</v>
      </c>
      <c r="O969" s="603">
        <f>'[5]Usulan 2021'!J803</f>
        <v>431000</v>
      </c>
      <c r="P969" s="603">
        <f>'[5]Usulan 2021'!K803</f>
        <v>431000</v>
      </c>
    </row>
    <row r="970" spans="2:16" x14ac:dyDescent="0.2">
      <c r="B970" s="1315">
        <f t="shared" si="39"/>
        <v>50</v>
      </c>
      <c r="C970" s="1323"/>
      <c r="D970" s="1317" t="s">
        <v>1224</v>
      </c>
      <c r="E970" s="1323"/>
      <c r="F970" s="1323"/>
      <c r="G970" s="1143" t="s">
        <v>1254</v>
      </c>
      <c r="H970" s="1323"/>
      <c r="I970" s="1319">
        <f t="shared" si="38"/>
        <v>2557000</v>
      </c>
      <c r="J970" s="1292"/>
      <c r="N970" s="603">
        <f>'[5]Usulan 2021'!I804</f>
        <v>2557000</v>
      </c>
      <c r="O970" s="603">
        <f>'[5]Usulan 2021'!J804</f>
        <v>2557000</v>
      </c>
      <c r="P970" s="603">
        <f>'[5]Usulan 2021'!K804</f>
        <v>2557000</v>
      </c>
    </row>
    <row r="971" spans="2:16" x14ac:dyDescent="0.2">
      <c r="B971" s="1315">
        <f t="shared" si="39"/>
        <v>51</v>
      </c>
      <c r="C971" s="1323"/>
      <c r="D971" s="1317" t="s">
        <v>1255</v>
      </c>
      <c r="E971" s="1323"/>
      <c r="F971" s="1323"/>
      <c r="G971" s="1143" t="s">
        <v>1256</v>
      </c>
      <c r="H971" s="1323"/>
      <c r="I971" s="1319">
        <f t="shared" si="38"/>
        <v>858000</v>
      </c>
      <c r="J971" s="1292"/>
      <c r="N971" s="603">
        <f>'[5]Usulan 2021'!I805</f>
        <v>858000</v>
      </c>
      <c r="O971" s="603">
        <f>'[5]Usulan 2021'!J805</f>
        <v>858000</v>
      </c>
      <c r="P971" s="603">
        <f>'[5]Usulan 2021'!K805</f>
        <v>858000</v>
      </c>
    </row>
    <row r="972" spans="2:16" x14ac:dyDescent="0.2">
      <c r="B972" s="1315">
        <f t="shared" si="39"/>
        <v>52</v>
      </c>
      <c r="C972" s="1323"/>
      <c r="D972" s="1317" t="s">
        <v>1257</v>
      </c>
      <c r="E972" s="1323"/>
      <c r="F972" s="1323"/>
      <c r="G972" s="1143" t="s">
        <v>1258</v>
      </c>
      <c r="H972" s="1323"/>
      <c r="I972" s="1319">
        <f t="shared" ref="I972:I1006" si="40">N972</f>
        <v>219000</v>
      </c>
      <c r="J972" s="1292"/>
      <c r="N972" s="603">
        <f>'[5]Usulan 2021'!I806</f>
        <v>219000</v>
      </c>
      <c r="O972" s="603">
        <f>'[5]Usulan 2021'!J806</f>
        <v>219000</v>
      </c>
      <c r="P972" s="603">
        <f>'[5]Usulan 2021'!K806</f>
        <v>219000</v>
      </c>
    </row>
    <row r="973" spans="2:16" x14ac:dyDescent="0.2">
      <c r="B973" s="1315">
        <f t="shared" si="39"/>
        <v>53</v>
      </c>
      <c r="C973" s="1323"/>
      <c r="D973" s="1317" t="s">
        <v>1226</v>
      </c>
      <c r="E973" s="1323"/>
      <c r="F973" s="1323"/>
      <c r="G973" s="1143" t="s">
        <v>1259</v>
      </c>
      <c r="H973" s="1323"/>
      <c r="I973" s="1319">
        <f t="shared" si="40"/>
        <v>205000</v>
      </c>
      <c r="J973" s="1292"/>
      <c r="N973" s="603">
        <f>'[5]Usulan 2021'!I807</f>
        <v>205000</v>
      </c>
      <c r="O973" s="603">
        <f>'[5]Usulan 2021'!J807</f>
        <v>205000</v>
      </c>
      <c r="P973" s="603">
        <f>'[5]Usulan 2021'!K807</f>
        <v>205000</v>
      </c>
    </row>
    <row r="974" spans="2:16" x14ac:dyDescent="0.2">
      <c r="B974" s="1315">
        <f t="shared" si="39"/>
        <v>54</v>
      </c>
      <c r="C974" s="1323"/>
      <c r="D974" s="1317" t="s">
        <v>1063</v>
      </c>
      <c r="E974" s="1323"/>
      <c r="F974" s="1323"/>
      <c r="G974" s="1143"/>
      <c r="H974" s="1323"/>
      <c r="I974" s="1319">
        <f t="shared" si="40"/>
        <v>54000</v>
      </c>
      <c r="J974" s="1292"/>
      <c r="N974" s="603">
        <f>'[5]Usulan 2021'!I808</f>
        <v>54000</v>
      </c>
      <c r="O974" s="603">
        <f>'[5]Usulan 2021'!J808</f>
        <v>54000</v>
      </c>
      <c r="P974" s="603">
        <f>'[5]Usulan 2021'!K808</f>
        <v>54000</v>
      </c>
    </row>
    <row r="975" spans="2:16" x14ac:dyDescent="0.2">
      <c r="B975" s="1315">
        <f t="shared" si="39"/>
        <v>55</v>
      </c>
      <c r="C975" s="1323"/>
      <c r="D975" s="1317" t="s">
        <v>1260</v>
      </c>
      <c r="E975" s="1323"/>
      <c r="F975" s="1323"/>
      <c r="G975" s="1143"/>
      <c r="H975" s="1323"/>
      <c r="I975" s="1319">
        <f t="shared" si="40"/>
        <v>69000</v>
      </c>
      <c r="J975" s="1292"/>
      <c r="N975" s="603">
        <f>'[5]Usulan 2021'!I809</f>
        <v>69000</v>
      </c>
      <c r="O975" s="603">
        <f>'[5]Usulan 2021'!J809</f>
        <v>69000</v>
      </c>
      <c r="P975" s="603">
        <f>'[5]Usulan 2021'!K809</f>
        <v>69000</v>
      </c>
    </row>
    <row r="976" spans="2:16" x14ac:dyDescent="0.2">
      <c r="B976" s="1315">
        <f t="shared" si="39"/>
        <v>56</v>
      </c>
      <c r="C976" s="1323"/>
      <c r="D976" s="1317" t="s">
        <v>1261</v>
      </c>
      <c r="E976" s="1323"/>
      <c r="F976" s="1323"/>
      <c r="G976" s="1143"/>
      <c r="H976" s="1323"/>
      <c r="I976" s="1319">
        <f t="shared" si="40"/>
        <v>798000</v>
      </c>
      <c r="J976" s="1292"/>
      <c r="N976" s="603">
        <f>'[5]Usulan 2021'!I810</f>
        <v>798000</v>
      </c>
      <c r="O976" s="603">
        <f>'[5]Usulan 2021'!J810</f>
        <v>798000</v>
      </c>
      <c r="P976" s="603">
        <f>'[5]Usulan 2021'!K810</f>
        <v>798000</v>
      </c>
    </row>
    <row r="977" spans="2:16" x14ac:dyDescent="0.2">
      <c r="B977" s="1315">
        <f t="shared" si="39"/>
        <v>57</v>
      </c>
      <c r="C977" s="1323"/>
      <c r="D977" s="1317" t="s">
        <v>1262</v>
      </c>
      <c r="E977" s="1323"/>
      <c r="F977" s="1323"/>
      <c r="G977" s="1143"/>
      <c r="H977" s="1323"/>
      <c r="I977" s="1319">
        <f t="shared" si="40"/>
        <v>414000</v>
      </c>
      <c r="J977" s="1292"/>
      <c r="N977" s="603">
        <f>'[5]Usulan 2021'!I811</f>
        <v>414000</v>
      </c>
      <c r="O977" s="603">
        <f>'[5]Usulan 2021'!J811</f>
        <v>414000</v>
      </c>
      <c r="P977" s="603">
        <f>'[5]Usulan 2021'!K811</f>
        <v>414000</v>
      </c>
    </row>
    <row r="978" spans="2:16" x14ac:dyDescent="0.2">
      <c r="B978" s="1315">
        <f t="shared" si="39"/>
        <v>58</v>
      </c>
      <c r="C978" s="1323"/>
      <c r="D978" s="1317" t="s">
        <v>1263</v>
      </c>
      <c r="E978" s="1323"/>
      <c r="F978" s="1323"/>
      <c r="G978" s="1143"/>
      <c r="H978" s="1323"/>
      <c r="I978" s="1319">
        <f t="shared" si="40"/>
        <v>477000</v>
      </c>
      <c r="J978" s="1292"/>
      <c r="N978" s="603">
        <f>'[5]Usulan 2021'!I812</f>
        <v>477000</v>
      </c>
      <c r="O978" s="603">
        <f>'[5]Usulan 2021'!J812</f>
        <v>477000</v>
      </c>
      <c r="P978" s="603">
        <f>'[5]Usulan 2021'!K812</f>
        <v>477000</v>
      </c>
    </row>
    <row r="979" spans="2:16" x14ac:dyDescent="0.2">
      <c r="B979" s="1315">
        <f t="shared" si="39"/>
        <v>59</v>
      </c>
      <c r="C979" s="1323"/>
      <c r="D979" s="1317" t="s">
        <v>1264</v>
      </c>
      <c r="E979" s="1323"/>
      <c r="F979" s="1323"/>
      <c r="G979" s="1143"/>
      <c r="H979" s="1323"/>
      <c r="I979" s="1319">
        <f t="shared" si="40"/>
        <v>494000</v>
      </c>
      <c r="J979" s="1292"/>
      <c r="N979" s="603">
        <f>'[5]Usulan 2021'!I813</f>
        <v>494000</v>
      </c>
      <c r="O979" s="603">
        <f>'[5]Usulan 2021'!J813</f>
        <v>494000</v>
      </c>
      <c r="P979" s="603">
        <f>'[5]Usulan 2021'!K813</f>
        <v>494000</v>
      </c>
    </row>
    <row r="980" spans="2:16" x14ac:dyDescent="0.2">
      <c r="B980" s="1315">
        <f t="shared" si="39"/>
        <v>60</v>
      </c>
      <c r="C980" s="1323"/>
      <c r="D980" s="1317" t="s">
        <v>1265</v>
      </c>
      <c r="E980" s="1323"/>
      <c r="F980" s="1323"/>
      <c r="G980" s="1143"/>
      <c r="H980" s="1323"/>
      <c r="I980" s="1319">
        <f t="shared" si="40"/>
        <v>986000</v>
      </c>
      <c r="J980" s="1292"/>
      <c r="N980" s="603">
        <f>'[5]Usulan 2021'!I814</f>
        <v>986000</v>
      </c>
      <c r="O980" s="603">
        <f>'[5]Usulan 2021'!J814</f>
        <v>986000</v>
      </c>
      <c r="P980" s="603">
        <f>'[5]Usulan 2021'!K814</f>
        <v>986000</v>
      </c>
    </row>
    <row r="981" spans="2:16" x14ac:dyDescent="0.2">
      <c r="B981" s="1328"/>
      <c r="C981" s="1329"/>
      <c r="D981" s="1330"/>
      <c r="E981" s="1329"/>
      <c r="F981" s="1329"/>
      <c r="G981" s="1331"/>
      <c r="H981" s="1329"/>
      <c r="I981" s="1332"/>
      <c r="J981" s="1301"/>
      <c r="N981" s="603"/>
      <c r="O981" s="603"/>
      <c r="P981" s="603"/>
    </row>
    <row r="982" spans="2:16" x14ac:dyDescent="0.2">
      <c r="B982" s="125"/>
      <c r="C982" s="623"/>
      <c r="D982" s="624" t="s">
        <v>1322</v>
      </c>
      <c r="E982" s="623"/>
      <c r="F982" s="623"/>
      <c r="G982" s="600"/>
      <c r="H982" s="623"/>
      <c r="I982" s="602"/>
      <c r="J982" s="278"/>
      <c r="N982" s="603"/>
      <c r="O982" s="603"/>
      <c r="P982" s="603"/>
    </row>
    <row r="983" spans="2:16" x14ac:dyDescent="0.2">
      <c r="B983" s="1315">
        <f t="shared" ref="B983:B1006" si="41">SUM(B982+1)</f>
        <v>1</v>
      </c>
      <c r="C983" s="1323"/>
      <c r="D983" s="1317" t="s">
        <v>1323</v>
      </c>
      <c r="E983" s="1323"/>
      <c r="F983" s="1323"/>
      <c r="G983" s="1143" t="s">
        <v>240</v>
      </c>
      <c r="H983" s="1323"/>
      <c r="I983" s="1319">
        <f t="shared" si="40"/>
        <v>21000</v>
      </c>
      <c r="J983" s="1292"/>
      <c r="N983" s="603">
        <f>'[5]Usulan 2021'!I817</f>
        <v>21000</v>
      </c>
      <c r="O983" s="603">
        <f>'[5]Usulan 2021'!J817</f>
        <v>21000</v>
      </c>
      <c r="P983" s="603">
        <f>'[5]Usulan 2021'!K817</f>
        <v>21000</v>
      </c>
    </row>
    <row r="984" spans="2:16" x14ac:dyDescent="0.2">
      <c r="B984" s="1315">
        <f t="shared" si="41"/>
        <v>2</v>
      </c>
      <c r="C984" s="1323"/>
      <c r="D984" s="1317" t="s">
        <v>1324</v>
      </c>
      <c r="E984" s="1323"/>
      <c r="F984" s="1323"/>
      <c r="G984" s="1143" t="s">
        <v>240</v>
      </c>
      <c r="H984" s="1323"/>
      <c r="I984" s="1319">
        <f t="shared" si="40"/>
        <v>16000</v>
      </c>
      <c r="J984" s="1292"/>
      <c r="N984" s="603">
        <f>'[5]Usulan 2021'!I818</f>
        <v>16000</v>
      </c>
      <c r="O984" s="603">
        <f>'[5]Usulan 2021'!J818</f>
        <v>16000</v>
      </c>
      <c r="P984" s="603">
        <f>'[5]Usulan 2021'!K818</f>
        <v>16000</v>
      </c>
    </row>
    <row r="985" spans="2:16" x14ac:dyDescent="0.2">
      <c r="B985" s="1315">
        <f t="shared" si="41"/>
        <v>3</v>
      </c>
      <c r="C985" s="1323"/>
      <c r="D985" s="1317" t="s">
        <v>1325</v>
      </c>
      <c r="E985" s="1323"/>
      <c r="F985" s="1323"/>
      <c r="G985" s="1143" t="s">
        <v>240</v>
      </c>
      <c r="H985" s="1323"/>
      <c r="I985" s="1319">
        <f t="shared" si="40"/>
        <v>13000</v>
      </c>
      <c r="J985" s="1292"/>
      <c r="N985" s="603">
        <f>'[5]Usulan 2021'!I819</f>
        <v>13000</v>
      </c>
      <c r="O985" s="603">
        <f>'[5]Usulan 2021'!J819</f>
        <v>13000</v>
      </c>
      <c r="P985" s="603">
        <f>'[5]Usulan 2021'!K819</f>
        <v>13000</v>
      </c>
    </row>
    <row r="986" spans="2:16" x14ac:dyDescent="0.2">
      <c r="B986" s="1315">
        <f t="shared" si="41"/>
        <v>4</v>
      </c>
      <c r="C986" s="1323"/>
      <c r="D986" s="1317" t="s">
        <v>1326</v>
      </c>
      <c r="E986" s="1323"/>
      <c r="F986" s="1323"/>
      <c r="G986" s="1143" t="s">
        <v>240</v>
      </c>
      <c r="H986" s="1323"/>
      <c r="I986" s="1319">
        <f t="shared" si="40"/>
        <v>54000</v>
      </c>
      <c r="J986" s="1292"/>
      <c r="N986" s="603">
        <f>'[5]Usulan 2021'!I820</f>
        <v>54000</v>
      </c>
      <c r="O986" s="603">
        <f>'[5]Usulan 2021'!J820</f>
        <v>54000</v>
      </c>
      <c r="P986" s="603">
        <f>'[5]Usulan 2021'!K820</f>
        <v>54000</v>
      </c>
    </row>
    <row r="987" spans="2:16" x14ac:dyDescent="0.2">
      <c r="B987" s="1315">
        <f t="shared" si="41"/>
        <v>5</v>
      </c>
      <c r="C987" s="1323"/>
      <c r="D987" s="1317" t="s">
        <v>1327</v>
      </c>
      <c r="E987" s="1323"/>
      <c r="F987" s="1323"/>
      <c r="G987" s="1143" t="s">
        <v>240</v>
      </c>
      <c r="H987" s="1323"/>
      <c r="I987" s="1319">
        <f t="shared" si="40"/>
        <v>108000</v>
      </c>
      <c r="J987" s="1292"/>
      <c r="N987" s="603">
        <f>'[5]Usulan 2021'!I828</f>
        <v>108000</v>
      </c>
      <c r="O987" s="603">
        <f>'[5]Usulan 2021'!J828</f>
        <v>108000</v>
      </c>
      <c r="P987" s="603">
        <f>'[5]Usulan 2021'!K828</f>
        <v>108000</v>
      </c>
    </row>
    <row r="988" spans="2:16" x14ac:dyDescent="0.2">
      <c r="B988" s="1315">
        <f t="shared" si="41"/>
        <v>6</v>
      </c>
      <c r="C988" s="1323"/>
      <c r="D988" s="1317" t="s">
        <v>1328</v>
      </c>
      <c r="E988" s="1323"/>
      <c r="F988" s="1323"/>
      <c r="G988" s="1143" t="s">
        <v>240</v>
      </c>
      <c r="H988" s="1323"/>
      <c r="I988" s="1319">
        <f t="shared" si="40"/>
        <v>81000</v>
      </c>
      <c r="J988" s="1292"/>
      <c r="N988" s="603">
        <f>'[5]Usulan 2021'!I837</f>
        <v>81000</v>
      </c>
      <c r="O988" s="603">
        <f>'[5]Usulan 2021'!J837</f>
        <v>81000</v>
      </c>
      <c r="P988" s="603">
        <f>'[5]Usulan 2021'!K837</f>
        <v>81000</v>
      </c>
    </row>
    <row r="989" spans="2:16" x14ac:dyDescent="0.2">
      <c r="B989" s="1315">
        <f t="shared" si="41"/>
        <v>7</v>
      </c>
      <c r="C989" s="1323"/>
      <c r="D989" s="1317" t="s">
        <v>1329</v>
      </c>
      <c r="E989" s="1323"/>
      <c r="F989" s="1323"/>
      <c r="G989" s="1143" t="s">
        <v>240</v>
      </c>
      <c r="H989" s="1323"/>
      <c r="I989" s="1319">
        <f t="shared" si="40"/>
        <v>86000</v>
      </c>
      <c r="J989" s="1292"/>
      <c r="N989" s="603">
        <f>'[5]Usulan 2021'!I831</f>
        <v>86000</v>
      </c>
      <c r="O989" s="603">
        <f>'[5]Usulan 2021'!J831</f>
        <v>86000</v>
      </c>
      <c r="P989" s="603">
        <f>'[5]Usulan 2021'!K831</f>
        <v>86000</v>
      </c>
    </row>
    <row r="990" spans="2:16" x14ac:dyDescent="0.2">
      <c r="B990" s="1315">
        <f t="shared" si="41"/>
        <v>8</v>
      </c>
      <c r="C990" s="1323"/>
      <c r="D990" s="1317" t="s">
        <v>1330</v>
      </c>
      <c r="E990" s="1323"/>
      <c r="F990" s="1323"/>
      <c r="G990" s="1143" t="s">
        <v>240</v>
      </c>
      <c r="H990" s="1323"/>
      <c r="I990" s="1319">
        <f t="shared" si="40"/>
        <v>13000</v>
      </c>
      <c r="J990" s="1292"/>
      <c r="N990" s="603">
        <f>'[5]Usulan 2021'!I839</f>
        <v>13000</v>
      </c>
      <c r="O990" s="603">
        <f>'[5]Usulan 2021'!J839</f>
        <v>13000</v>
      </c>
      <c r="P990" s="603">
        <f>'[5]Usulan 2021'!K839</f>
        <v>13000</v>
      </c>
    </row>
    <row r="991" spans="2:16" x14ac:dyDescent="0.2">
      <c r="B991" s="1315">
        <f t="shared" si="41"/>
        <v>9</v>
      </c>
      <c r="C991" s="1323"/>
      <c r="D991" s="1317" t="s">
        <v>1331</v>
      </c>
      <c r="E991" s="1323"/>
      <c r="F991" s="1323"/>
      <c r="G991" s="1143" t="s">
        <v>240</v>
      </c>
      <c r="H991" s="1323"/>
      <c r="I991" s="1319">
        <f t="shared" si="40"/>
        <v>21000</v>
      </c>
      <c r="J991" s="1292"/>
      <c r="N991" s="603">
        <f>'[5]Usulan 2021'!I832</f>
        <v>21000</v>
      </c>
      <c r="O991" s="603">
        <f>'[5]Usulan 2021'!J832</f>
        <v>21000</v>
      </c>
      <c r="P991" s="603">
        <f>'[5]Usulan 2021'!K832</f>
        <v>21000</v>
      </c>
    </row>
    <row r="992" spans="2:16" x14ac:dyDescent="0.2">
      <c r="B992" s="1315">
        <f t="shared" si="41"/>
        <v>10</v>
      </c>
      <c r="C992" s="1323"/>
      <c r="D992" s="1317" t="s">
        <v>1332</v>
      </c>
      <c r="E992" s="1323"/>
      <c r="F992" s="1323"/>
      <c r="G992" s="1143" t="s">
        <v>240</v>
      </c>
      <c r="H992" s="1323"/>
      <c r="I992" s="1319">
        <f t="shared" si="40"/>
        <v>37000</v>
      </c>
      <c r="J992" s="1292"/>
      <c r="N992" s="603">
        <f>'[5]Usulan 2021'!I833</f>
        <v>37000</v>
      </c>
      <c r="O992" s="603">
        <f>'[5]Usulan 2021'!J833</f>
        <v>37000</v>
      </c>
      <c r="P992" s="603">
        <f>'[5]Usulan 2021'!K833</f>
        <v>37000</v>
      </c>
    </row>
    <row r="993" spans="2:16" x14ac:dyDescent="0.2">
      <c r="B993" s="1315">
        <f t="shared" si="41"/>
        <v>11</v>
      </c>
      <c r="C993" s="1323"/>
      <c r="D993" s="1317" t="s">
        <v>1333</v>
      </c>
      <c r="E993" s="1323"/>
      <c r="F993" s="1323"/>
      <c r="G993" s="1143" t="s">
        <v>240</v>
      </c>
      <c r="H993" s="1323"/>
      <c r="I993" s="1319">
        <f t="shared" si="40"/>
        <v>51000</v>
      </c>
      <c r="J993" s="1292"/>
      <c r="N993" s="603">
        <f>'[5]Usulan 2021'!I834</f>
        <v>51000</v>
      </c>
      <c r="O993" s="603">
        <f>'[5]Usulan 2021'!J834</f>
        <v>51000</v>
      </c>
      <c r="P993" s="603">
        <f>'[5]Usulan 2021'!K834</f>
        <v>51000</v>
      </c>
    </row>
    <row r="994" spans="2:16" x14ac:dyDescent="0.2">
      <c r="B994" s="1315">
        <f t="shared" si="41"/>
        <v>12</v>
      </c>
      <c r="C994" s="1323"/>
      <c r="D994" s="1317" t="s">
        <v>1334</v>
      </c>
      <c r="E994" s="1323"/>
      <c r="F994" s="1323"/>
      <c r="G994" s="1143" t="s">
        <v>240</v>
      </c>
      <c r="H994" s="1323"/>
      <c r="I994" s="1319">
        <f t="shared" si="40"/>
        <v>71000</v>
      </c>
      <c r="J994" s="1292"/>
      <c r="N994" s="603">
        <f>'[5]Usulan 2021'!I835</f>
        <v>71000</v>
      </c>
      <c r="O994" s="603">
        <f>'[5]Usulan 2021'!J835</f>
        <v>71000</v>
      </c>
      <c r="P994" s="603">
        <f>'[5]Usulan 2021'!K835</f>
        <v>71000</v>
      </c>
    </row>
    <row r="995" spans="2:16" x14ac:dyDescent="0.2">
      <c r="B995" s="168"/>
      <c r="D995" s="77"/>
      <c r="G995" s="1320"/>
      <c r="I995" s="566"/>
      <c r="J995" s="597"/>
      <c r="N995" s="603"/>
      <c r="O995" s="603"/>
      <c r="P995" s="603"/>
    </row>
    <row r="996" spans="2:16" x14ac:dyDescent="0.2">
      <c r="B996" s="168"/>
      <c r="D996" s="625" t="s">
        <v>1335</v>
      </c>
      <c r="G996" s="1320"/>
      <c r="I996" s="566"/>
      <c r="J996" s="597"/>
      <c r="N996" s="603"/>
      <c r="O996" s="603"/>
      <c r="P996" s="603"/>
    </row>
    <row r="997" spans="2:16" x14ac:dyDescent="0.2">
      <c r="B997" s="1315">
        <f t="shared" si="41"/>
        <v>1</v>
      </c>
      <c r="C997" s="1323"/>
      <c r="D997" s="1333" t="s">
        <v>1274</v>
      </c>
      <c r="E997" s="1323"/>
      <c r="F997" s="1323"/>
      <c r="G997" s="1334" t="s">
        <v>268</v>
      </c>
      <c r="H997" s="1323"/>
      <c r="I997" s="1335">
        <f t="shared" si="40"/>
        <v>71100</v>
      </c>
      <c r="J997" s="1292"/>
      <c r="N997" s="603">
        <f>'[5]Usulan 2021'!I586</f>
        <v>71100</v>
      </c>
      <c r="O997" s="603">
        <f>'[5]Usulan 2021'!J586</f>
        <v>71100</v>
      </c>
      <c r="P997" s="603">
        <f>'[5]Usulan 2021'!K586</f>
        <v>71100</v>
      </c>
    </row>
    <row r="998" spans="2:16" x14ac:dyDescent="0.2">
      <c r="B998" s="1315">
        <f t="shared" si="41"/>
        <v>2</v>
      </c>
      <c r="C998" s="1323"/>
      <c r="D998" s="1336" t="s">
        <v>1336</v>
      </c>
      <c r="E998" s="1323"/>
      <c r="F998" s="1323"/>
      <c r="G998" s="1334" t="s">
        <v>268</v>
      </c>
      <c r="H998" s="1323"/>
      <c r="I998" s="1335">
        <f t="shared" si="40"/>
        <v>1909400</v>
      </c>
      <c r="J998" s="1292"/>
      <c r="N998" s="603">
        <f>'[5]Usulan 2021'!I587</f>
        <v>1909400</v>
      </c>
      <c r="O998" s="603">
        <f>'[5]Usulan 2021'!J587</f>
        <v>1909400</v>
      </c>
      <c r="P998" s="603">
        <f>'[5]Usulan 2021'!K587</f>
        <v>1909400</v>
      </c>
    </row>
    <row r="999" spans="2:16" x14ac:dyDescent="0.2">
      <c r="B999" s="1315">
        <f t="shared" si="41"/>
        <v>3</v>
      </c>
      <c r="C999" s="1323"/>
      <c r="D999" s="1337" t="s">
        <v>1150</v>
      </c>
      <c r="E999" s="1323"/>
      <c r="F999" s="1323"/>
      <c r="G999" s="1334" t="s">
        <v>268</v>
      </c>
      <c r="H999" s="1323"/>
      <c r="I999" s="1335">
        <f t="shared" si="40"/>
        <v>47800</v>
      </c>
      <c r="J999" s="1292"/>
      <c r="N999" s="603">
        <f>'[5]Usulan 2021'!I588</f>
        <v>47800</v>
      </c>
      <c r="O999" s="603">
        <f>'[5]Usulan 2021'!J588</f>
        <v>30000</v>
      </c>
      <c r="P999" s="603">
        <f>'[5]Usulan 2021'!K588</f>
        <v>30000</v>
      </c>
    </row>
    <row r="1000" spans="2:16" x14ac:dyDescent="0.2">
      <c r="B1000" s="1315">
        <f t="shared" si="41"/>
        <v>4</v>
      </c>
      <c r="C1000" s="1323"/>
      <c r="D1000" s="1338" t="s">
        <v>1151</v>
      </c>
      <c r="E1000" s="1323"/>
      <c r="F1000" s="1323"/>
      <c r="G1000" s="1334" t="s">
        <v>268</v>
      </c>
      <c r="H1000" s="1323"/>
      <c r="I1000" s="1319">
        <f t="shared" si="40"/>
        <v>317800</v>
      </c>
      <c r="J1000" s="1292"/>
      <c r="N1000" s="603">
        <f>'[5]Usulan 2021'!I589</f>
        <v>317800</v>
      </c>
      <c r="O1000" s="603">
        <f>'[5]Usulan 2021'!J589</f>
        <v>317800</v>
      </c>
      <c r="P1000" s="603">
        <f>'[5]Usulan 2021'!K589</f>
        <v>317800</v>
      </c>
    </row>
    <row r="1001" spans="2:16" x14ac:dyDescent="0.2">
      <c r="B1001" s="1315">
        <f t="shared" si="41"/>
        <v>5</v>
      </c>
      <c r="C1001" s="1323"/>
      <c r="D1001" s="1337" t="s">
        <v>1337</v>
      </c>
      <c r="E1001" s="1323"/>
      <c r="F1001" s="1323"/>
      <c r="G1001" s="1334" t="s">
        <v>268</v>
      </c>
      <c r="H1001" s="1323"/>
      <c r="I1001" s="1335">
        <f t="shared" si="40"/>
        <v>49900</v>
      </c>
      <c r="J1001" s="1292"/>
      <c r="N1001" s="603">
        <f>'[5]Usulan 2021'!I590</f>
        <v>49900</v>
      </c>
      <c r="O1001" s="603">
        <f>'[5]Usulan 2021'!J590</f>
        <v>49900</v>
      </c>
      <c r="P1001" s="603">
        <f>'[5]Usulan 2021'!K590</f>
        <v>49900</v>
      </c>
    </row>
    <row r="1002" spans="2:16" x14ac:dyDescent="0.2">
      <c r="B1002" s="1315">
        <f t="shared" si="41"/>
        <v>6</v>
      </c>
      <c r="C1002" s="1323"/>
      <c r="D1002" s="1339" t="s">
        <v>1338</v>
      </c>
      <c r="E1002" s="1323"/>
      <c r="F1002" s="1323"/>
      <c r="G1002" s="1334" t="s">
        <v>268</v>
      </c>
      <c r="H1002" s="1323"/>
      <c r="I1002" s="1335">
        <f t="shared" si="40"/>
        <v>79400</v>
      </c>
      <c r="J1002" s="1292"/>
      <c r="N1002" s="603">
        <f>'[5]Usulan 2021'!I591</f>
        <v>79400</v>
      </c>
      <c r="O1002" s="603">
        <f>'[5]Usulan 2021'!J591</f>
        <v>79400</v>
      </c>
      <c r="P1002" s="603">
        <f>'[5]Usulan 2021'!K591</f>
        <v>79400</v>
      </c>
    </row>
    <row r="1003" spans="2:16" x14ac:dyDescent="0.2">
      <c r="B1003" s="1315">
        <f t="shared" si="41"/>
        <v>7</v>
      </c>
      <c r="C1003" s="1323"/>
      <c r="D1003" s="1337" t="s">
        <v>1272</v>
      </c>
      <c r="E1003" s="1323"/>
      <c r="F1003" s="1323"/>
      <c r="G1003" s="1334" t="s">
        <v>268</v>
      </c>
      <c r="H1003" s="1323"/>
      <c r="I1003" s="1335">
        <f t="shared" si="40"/>
        <v>23000</v>
      </c>
      <c r="J1003" s="1292"/>
      <c r="N1003" s="603">
        <f>'[5]Usulan 2021'!I592</f>
        <v>23000</v>
      </c>
      <c r="O1003" s="603">
        <f>'[5]Usulan 2021'!J592</f>
        <v>23000</v>
      </c>
      <c r="P1003" s="603">
        <f>'[5]Usulan 2021'!K592</f>
        <v>23000</v>
      </c>
    </row>
    <row r="1004" spans="2:16" x14ac:dyDescent="0.2">
      <c r="B1004" s="1315">
        <f t="shared" si="41"/>
        <v>8</v>
      </c>
      <c r="C1004" s="1323"/>
      <c r="D1004" s="1340" t="s">
        <v>1273</v>
      </c>
      <c r="E1004" s="1323"/>
      <c r="F1004" s="1323"/>
      <c r="G1004" s="1334" t="s">
        <v>268</v>
      </c>
      <c r="H1004" s="1323"/>
      <c r="I1004" s="1335">
        <f t="shared" si="40"/>
        <v>27700</v>
      </c>
      <c r="J1004" s="1292"/>
      <c r="N1004" s="603">
        <f>'[5]Usulan 2021'!I593</f>
        <v>27700</v>
      </c>
      <c r="O1004" s="603">
        <f>'[5]Usulan 2021'!J593</f>
        <v>27700</v>
      </c>
      <c r="P1004" s="603">
        <f>'[5]Usulan 2021'!K593</f>
        <v>27700</v>
      </c>
    </row>
    <row r="1005" spans="2:16" x14ac:dyDescent="0.2">
      <c r="B1005" s="1315">
        <f t="shared" si="41"/>
        <v>9</v>
      </c>
      <c r="C1005" s="1323"/>
      <c r="D1005" s="1340" t="s">
        <v>1275</v>
      </c>
      <c r="E1005" s="1323"/>
      <c r="F1005" s="1323"/>
      <c r="G1005" s="1334" t="s">
        <v>268</v>
      </c>
      <c r="H1005" s="1323"/>
      <c r="I1005" s="1335">
        <f t="shared" si="40"/>
        <v>28600</v>
      </c>
      <c r="J1005" s="1292"/>
      <c r="N1005" s="603">
        <f>'[5]Usulan 2021'!I594</f>
        <v>28600</v>
      </c>
      <c r="O1005" s="603">
        <f>'[5]Usulan 2021'!J594</f>
        <v>28600</v>
      </c>
      <c r="P1005" s="603">
        <f>'[5]Usulan 2021'!K594</f>
        <v>28600</v>
      </c>
    </row>
    <row r="1006" spans="2:16" x14ac:dyDescent="0.2">
      <c r="B1006" s="1315">
        <f t="shared" si="41"/>
        <v>10</v>
      </c>
      <c r="C1006" s="1323"/>
      <c r="D1006" s="1340" t="s">
        <v>1276</v>
      </c>
      <c r="E1006" s="1323"/>
      <c r="F1006" s="1323"/>
      <c r="G1006" s="1334" t="s">
        <v>268</v>
      </c>
      <c r="H1006" s="1323"/>
      <c r="I1006" s="1335">
        <f t="shared" si="40"/>
        <v>63400</v>
      </c>
      <c r="J1006" s="1292"/>
      <c r="N1006" s="603">
        <f>'[5]Usulan 2021'!I595</f>
        <v>63400</v>
      </c>
      <c r="O1006" s="603">
        <f>'[5]Usulan 2021'!J595</f>
        <v>63400</v>
      </c>
      <c r="P1006" s="603">
        <f>'[5]Usulan 2021'!K595</f>
        <v>63400</v>
      </c>
    </row>
    <row r="1007" spans="2:16" ht="15" thickBot="1" x14ac:dyDescent="0.25">
      <c r="B1007" s="181"/>
      <c r="C1007" s="1341"/>
      <c r="D1007" s="1342"/>
      <c r="E1007" s="1341"/>
      <c r="F1007" s="1341"/>
      <c r="G1007" s="1343"/>
      <c r="H1007" s="1341"/>
      <c r="I1007" s="1344"/>
      <c r="J1007" s="1345"/>
      <c r="N1007" s="77"/>
      <c r="O1007" s="77"/>
      <c r="P1007" s="77"/>
    </row>
    <row r="1008" spans="2:16" ht="15" thickTop="1" x14ac:dyDescent="0.2">
      <c r="B1008" s="58"/>
      <c r="D1008" s="58"/>
      <c r="G1008" s="58"/>
      <c r="N1008" s="77"/>
      <c r="O1008" s="77"/>
      <c r="P1008" s="77"/>
    </row>
    <row r="1009" spans="14:16" s="210" customFormat="1" x14ac:dyDescent="0.2">
      <c r="N1009" s="220"/>
      <c r="O1009" s="220"/>
      <c r="P1009" s="220"/>
    </row>
  </sheetData>
  <mergeCells count="5">
    <mergeCell ref="B2:J2"/>
    <mergeCell ref="B3:J3"/>
    <mergeCell ref="D18:F18"/>
    <mergeCell ref="D62:F62"/>
    <mergeCell ref="D760:F76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7"/>
  <sheetViews>
    <sheetView zoomScale="70" zoomScaleNormal="70" workbookViewId="0">
      <selection activeCell="B2" sqref="B2:M2"/>
    </sheetView>
  </sheetViews>
  <sheetFormatPr defaultColWidth="12.5703125" defaultRowHeight="15.75" x14ac:dyDescent="0.2"/>
  <cols>
    <col min="1" max="1" width="8.28515625" style="1833" customWidth="1"/>
    <col min="2" max="2" width="5.7109375" style="1846" customWidth="1"/>
    <col min="3" max="3" width="2.7109375" style="1836" customWidth="1"/>
    <col min="4" max="4" width="35.7109375" style="1836" customWidth="1"/>
    <col min="5" max="5" width="6.42578125" style="1836" customWidth="1"/>
    <col min="6" max="6" width="12" style="1836" customWidth="1"/>
    <col min="7" max="7" width="12.7109375" style="1846" customWidth="1"/>
    <col min="8" max="8" width="7.7109375" style="1836" customWidth="1"/>
    <col min="9" max="9" width="15.7109375" style="1846" customWidth="1"/>
    <col min="10" max="10" width="18.7109375" style="1836" customWidth="1"/>
    <col min="11" max="11" width="4.7109375" style="1836" customWidth="1"/>
    <col min="12" max="12" width="19.7109375" style="1836" customWidth="1"/>
    <col min="13" max="13" width="22.7109375" style="1957" customWidth="1"/>
    <col min="14" max="14" width="10.7109375" style="1836" customWidth="1"/>
    <col min="15" max="16" width="14.85546875" style="1836" hidden="1" customWidth="1"/>
    <col min="17" max="17" width="20.28515625" style="1836" hidden="1" customWidth="1"/>
    <col min="18" max="19" width="22.7109375" style="1836" customWidth="1"/>
    <col min="20" max="20" width="23.140625" style="1848" customWidth="1"/>
    <col min="21" max="21" width="22.85546875" style="1848" hidden="1" customWidth="1"/>
    <col min="22" max="22" width="21.140625" style="1848" customWidth="1"/>
    <col min="23" max="23" width="14.85546875" style="1848" customWidth="1"/>
    <col min="24" max="24" width="22.85546875" style="1848" customWidth="1"/>
    <col min="25" max="25" width="34.5703125" style="1836" customWidth="1"/>
    <col min="26" max="26" width="19.140625" style="1836" hidden="1" customWidth="1"/>
    <col min="27" max="27" width="17.7109375" style="1836" hidden="1" customWidth="1"/>
    <col min="28" max="28" width="16.7109375" style="1836" hidden="1" customWidth="1"/>
    <col min="29" max="29" width="18" style="1909" hidden="1" customWidth="1"/>
    <col min="30" max="30" width="1.7109375" style="1909" hidden="1" customWidth="1"/>
    <col min="31" max="31" width="19.42578125" style="1909" hidden="1" customWidth="1"/>
    <col min="32" max="32" width="21.28515625" style="1910" customWidth="1"/>
    <col min="33" max="33" width="17.28515625" style="1836" customWidth="1"/>
    <col min="34" max="16384" width="12.5703125" style="1836"/>
  </cols>
  <sheetData>
    <row r="1" spans="1:33" ht="25.5" x14ac:dyDescent="0.2">
      <c r="B1" s="3511" t="s">
        <v>2037</v>
      </c>
      <c r="C1" s="3511"/>
      <c r="D1" s="3511"/>
      <c r="E1" s="3511"/>
      <c r="F1" s="3511"/>
      <c r="G1" s="3511"/>
      <c r="H1" s="3511"/>
      <c r="I1" s="3511"/>
      <c r="J1" s="3511"/>
      <c r="K1" s="3511"/>
      <c r="L1" s="3511"/>
      <c r="M1" s="3511"/>
      <c r="N1" s="3173"/>
      <c r="O1" s="3173"/>
      <c r="P1" s="3173"/>
      <c r="Q1" s="3173"/>
      <c r="R1" s="3173"/>
      <c r="S1" s="3173"/>
      <c r="T1" s="1835"/>
      <c r="U1" s="1835"/>
      <c r="V1" s="1835"/>
      <c r="W1" s="1835"/>
      <c r="X1" s="1835"/>
      <c r="AC1" s="1836"/>
      <c r="AD1" s="1836"/>
      <c r="AE1" s="1836"/>
      <c r="AF1" s="1837"/>
    </row>
    <row r="2" spans="1:33" ht="20.25" x14ac:dyDescent="0.2">
      <c r="B2" s="3512"/>
      <c r="C2" s="3512"/>
      <c r="D2" s="3512"/>
      <c r="E2" s="3512"/>
      <c r="F2" s="3512"/>
      <c r="G2" s="3512"/>
      <c r="H2" s="3512"/>
      <c r="I2" s="3512"/>
      <c r="J2" s="3512"/>
      <c r="K2" s="3512"/>
      <c r="L2" s="3512"/>
      <c r="M2" s="3512"/>
      <c r="N2" s="3174"/>
      <c r="O2" s="3174"/>
      <c r="P2" s="3174"/>
      <c r="Q2" s="3174"/>
      <c r="R2" s="3174"/>
      <c r="S2" s="3174"/>
      <c r="T2" s="1835"/>
      <c r="U2" s="1835"/>
      <c r="V2" s="1835"/>
      <c r="W2" s="1835"/>
      <c r="X2" s="1835"/>
      <c r="AC2" s="1836"/>
      <c r="AD2" s="1836"/>
      <c r="AE2" s="1836"/>
      <c r="AF2" s="1837"/>
    </row>
    <row r="3" spans="1:33" ht="18.75" x14ac:dyDescent="0.2">
      <c r="A3" s="1839"/>
      <c r="B3" s="1840"/>
      <c r="D3" s="1841" t="s">
        <v>342</v>
      </c>
      <c r="E3" s="1842" t="s">
        <v>341</v>
      </c>
      <c r="F3" s="1843" t="s">
        <v>1895</v>
      </c>
      <c r="G3" s="1844"/>
      <c r="H3" s="1844"/>
      <c r="I3" s="1844"/>
      <c r="J3" s="1844"/>
      <c r="K3" s="1840"/>
      <c r="L3" s="1840"/>
      <c r="M3" s="2437"/>
      <c r="N3" s="1840"/>
      <c r="O3" s="1840"/>
      <c r="P3" s="1840"/>
      <c r="Q3" s="1840"/>
      <c r="R3" s="1840"/>
      <c r="S3" s="1840"/>
      <c r="T3" s="1845"/>
      <c r="U3" s="1845"/>
      <c r="V3" s="1845"/>
      <c r="W3" s="1845"/>
      <c r="X3" s="1845"/>
      <c r="AC3" s="1836"/>
      <c r="AD3" s="1836"/>
      <c r="AE3" s="1836"/>
      <c r="AF3" s="1837"/>
    </row>
    <row r="4" spans="1:33" ht="18.75" x14ac:dyDescent="0.2">
      <c r="D4" s="1841" t="s">
        <v>1131</v>
      </c>
      <c r="E4" s="1842" t="s">
        <v>341</v>
      </c>
      <c r="F4" s="1841" t="str">
        <f>F3</f>
        <v>PEMBANGUNAN GEDUNG KANTOR DINAS PERTANIAN, PANGAN DAN PERIKANAN KARANGANYAR</v>
      </c>
      <c r="L4" s="1847"/>
      <c r="AC4" s="1836"/>
      <c r="AD4" s="1836"/>
      <c r="AE4" s="1836"/>
      <c r="AF4" s="1837"/>
    </row>
    <row r="5" spans="1:33" ht="18.75" x14ac:dyDescent="0.2">
      <c r="D5" s="1841" t="s">
        <v>343</v>
      </c>
      <c r="E5" s="1842" t="s">
        <v>341</v>
      </c>
      <c r="F5" s="1841" t="s">
        <v>345</v>
      </c>
      <c r="I5" s="1849"/>
      <c r="AC5" s="1836"/>
      <c r="AD5" s="1836"/>
      <c r="AE5" s="1836"/>
      <c r="AF5" s="1837"/>
    </row>
    <row r="6" spans="1:33" ht="18.75" x14ac:dyDescent="0.2">
      <c r="D6" s="1841" t="s">
        <v>344</v>
      </c>
      <c r="E6" s="1842" t="s">
        <v>341</v>
      </c>
      <c r="F6" s="1841" t="s">
        <v>345</v>
      </c>
      <c r="AC6" s="1836"/>
      <c r="AD6" s="1836"/>
      <c r="AE6" s="1836"/>
      <c r="AF6" s="1837"/>
    </row>
    <row r="7" spans="1:33" ht="18.75" x14ac:dyDescent="0.2">
      <c r="D7" s="1850" t="s">
        <v>346</v>
      </c>
      <c r="E7" s="1842" t="s">
        <v>341</v>
      </c>
      <c r="F7" s="1851" t="s">
        <v>1753</v>
      </c>
      <c r="J7" s="1847"/>
      <c r="AC7" s="1836"/>
      <c r="AD7" s="1836"/>
      <c r="AE7" s="1836"/>
      <c r="AF7" s="1837"/>
    </row>
    <row r="8" spans="1:33" ht="16.5" thickBot="1" x14ac:dyDescent="0.25">
      <c r="AC8" s="1836"/>
      <c r="AD8" s="1836"/>
      <c r="AE8" s="1836"/>
      <c r="AF8" s="1837"/>
    </row>
    <row r="9" spans="1:33" ht="19.5" thickTop="1" x14ac:dyDescent="0.2">
      <c r="B9" s="1852"/>
      <c r="C9" s="1853"/>
      <c r="D9" s="1854"/>
      <c r="E9" s="1854"/>
      <c r="F9" s="1855"/>
      <c r="G9" s="1856"/>
      <c r="H9" s="1855"/>
      <c r="I9" s="1858"/>
      <c r="J9" s="1855"/>
      <c r="K9" s="1854"/>
      <c r="L9" s="1855"/>
      <c r="M9" s="2438"/>
      <c r="N9" s="2439"/>
      <c r="O9" s="1858"/>
      <c r="P9" s="1858"/>
      <c r="Q9" s="1858"/>
      <c r="R9" s="1858"/>
      <c r="S9" s="1860"/>
      <c r="AC9" s="1836"/>
      <c r="AD9" s="1836"/>
      <c r="AE9" s="1836"/>
      <c r="AF9" s="1837"/>
    </row>
    <row r="10" spans="1:33" ht="18.75" x14ac:dyDescent="0.2">
      <c r="B10" s="1861" t="s">
        <v>423</v>
      </c>
      <c r="C10" s="1862" t="s">
        <v>1754</v>
      </c>
      <c r="D10" s="1862"/>
      <c r="E10" s="1862"/>
      <c r="F10" s="1863"/>
      <c r="G10" s="1842" t="s">
        <v>1755</v>
      </c>
      <c r="H10" s="1863" t="s">
        <v>1756</v>
      </c>
      <c r="I10" s="1867" t="s">
        <v>1757</v>
      </c>
      <c r="J10" s="1867" t="s">
        <v>347</v>
      </c>
      <c r="K10" s="1850"/>
      <c r="L10" s="1867" t="s">
        <v>284</v>
      </c>
      <c r="M10" s="2440" t="s">
        <v>347</v>
      </c>
      <c r="N10" s="2441" t="s">
        <v>2010</v>
      </c>
      <c r="O10" s="1867" t="s">
        <v>2019</v>
      </c>
      <c r="P10" s="1867" t="s">
        <v>2019</v>
      </c>
      <c r="Q10" s="1867" t="s">
        <v>2015</v>
      </c>
      <c r="R10" s="1867" t="s">
        <v>2015</v>
      </c>
      <c r="S10" s="1868" t="s">
        <v>2017</v>
      </c>
      <c r="AC10" s="1836"/>
      <c r="AD10" s="1836"/>
      <c r="AE10" s="1836"/>
      <c r="AF10" s="1837"/>
    </row>
    <row r="11" spans="1:33" ht="18.75" x14ac:dyDescent="0.2">
      <c r="B11" s="1861"/>
      <c r="C11" s="1862"/>
      <c r="D11" s="1862"/>
      <c r="E11" s="1862"/>
      <c r="F11" s="1863"/>
      <c r="G11" s="1842"/>
      <c r="H11" s="1863"/>
      <c r="I11" s="1867"/>
      <c r="J11" s="1867" t="s">
        <v>1758</v>
      </c>
      <c r="K11" s="1862"/>
      <c r="L11" s="1863" t="s">
        <v>347</v>
      </c>
      <c r="M11" s="2440" t="s">
        <v>448</v>
      </c>
      <c r="N11" s="2441"/>
      <c r="O11" s="1867" t="str">
        <f>N10</f>
        <v>TKDN</v>
      </c>
      <c r="P11" s="1867" t="str">
        <f>O11</f>
        <v>TKDN</v>
      </c>
      <c r="Q11" s="1867" t="s">
        <v>2016</v>
      </c>
      <c r="R11" s="1867" t="s">
        <v>2016</v>
      </c>
      <c r="S11" s="1868"/>
      <c r="AC11" s="1836"/>
      <c r="AD11" s="1836"/>
      <c r="AE11" s="1836"/>
      <c r="AF11" s="1837"/>
    </row>
    <row r="12" spans="1:33" ht="18.75" x14ac:dyDescent="0.2">
      <c r="B12" s="1870"/>
      <c r="C12" s="1871"/>
      <c r="D12" s="1871"/>
      <c r="E12" s="1871"/>
      <c r="F12" s="1872"/>
      <c r="G12" s="1873" t="s">
        <v>278</v>
      </c>
      <c r="H12" s="1872"/>
      <c r="I12" s="1878"/>
      <c r="J12" s="1878" t="s">
        <v>348</v>
      </c>
      <c r="K12" s="1879"/>
      <c r="L12" s="1880" t="s">
        <v>348</v>
      </c>
      <c r="M12" s="2442" t="s">
        <v>348</v>
      </c>
      <c r="N12" s="2443"/>
      <c r="O12" s="1878"/>
      <c r="P12" s="2444" t="s">
        <v>2020</v>
      </c>
      <c r="Q12" s="1878"/>
      <c r="R12" s="1867"/>
      <c r="S12" s="1883"/>
      <c r="AC12" s="1836"/>
      <c r="AD12" s="1836"/>
      <c r="AE12" s="1836"/>
      <c r="AF12" s="1837"/>
    </row>
    <row r="13" spans="1:33" ht="19.5" thickBot="1" x14ac:dyDescent="0.25">
      <c r="B13" s="1884" t="s">
        <v>349</v>
      </c>
      <c r="C13" s="1885"/>
      <c r="D13" s="1886"/>
      <c r="E13" s="1887" t="s">
        <v>228</v>
      </c>
      <c r="F13" s="1888"/>
      <c r="G13" s="1889" t="s">
        <v>350</v>
      </c>
      <c r="H13" s="1885"/>
      <c r="I13" s="1894" t="s">
        <v>351</v>
      </c>
      <c r="J13" s="1894" t="s">
        <v>352</v>
      </c>
      <c r="K13" s="1895" t="s">
        <v>353</v>
      </c>
      <c r="L13" s="1895"/>
      <c r="M13" s="2445" t="s">
        <v>354</v>
      </c>
      <c r="N13" s="2446">
        <v>8</v>
      </c>
      <c r="O13" s="1893"/>
      <c r="P13" s="1893"/>
      <c r="Q13" s="1896"/>
      <c r="R13" s="1897">
        <v>9</v>
      </c>
      <c r="S13" s="1898">
        <v>10</v>
      </c>
      <c r="AC13" s="1836"/>
      <c r="AD13" s="1836"/>
      <c r="AE13" s="1836"/>
      <c r="AF13" s="1837"/>
    </row>
    <row r="14" spans="1:33" ht="16.5" thickTop="1" x14ac:dyDescent="0.2">
      <c r="B14" s="1899"/>
      <c r="C14" s="1900"/>
      <c r="D14" s="1901"/>
      <c r="E14" s="1901"/>
      <c r="F14" s="1902"/>
      <c r="G14" s="1903"/>
      <c r="H14" s="1901"/>
      <c r="I14" s="1906"/>
      <c r="J14" s="1906"/>
      <c r="K14" s="1900"/>
      <c r="L14" s="1902"/>
      <c r="M14" s="1903"/>
      <c r="N14" s="2447"/>
      <c r="O14" s="1905"/>
      <c r="P14" s="1905"/>
      <c r="Q14" s="1906"/>
      <c r="R14" s="1907"/>
      <c r="S14" s="1908"/>
    </row>
    <row r="15" spans="1:33" s="1924" customFormat="1" ht="20.25" x14ac:dyDescent="0.2">
      <c r="A15" s="1911"/>
      <c r="B15" s="1912" t="s">
        <v>542</v>
      </c>
      <c r="C15" s="1913"/>
      <c r="D15" s="1914" t="s">
        <v>1759</v>
      </c>
      <c r="E15" s="1913"/>
      <c r="F15" s="1915"/>
      <c r="G15" s="1916"/>
      <c r="H15" s="1913"/>
      <c r="I15" s="2448"/>
      <c r="J15" s="1916"/>
      <c r="K15" s="1920"/>
      <c r="L15" s="1915"/>
      <c r="M15" s="2449"/>
      <c r="N15" s="2450"/>
      <c r="O15" s="2451"/>
      <c r="P15" s="2451"/>
      <c r="Q15" s="1921"/>
      <c r="R15" s="1922"/>
      <c r="S15" s="1923"/>
      <c r="T15" s="1848"/>
      <c r="U15" s="1848"/>
      <c r="V15" s="1848"/>
      <c r="W15" s="1848"/>
      <c r="X15" s="1848"/>
      <c r="AC15" s="1925"/>
      <c r="AD15" s="1925"/>
      <c r="AE15" s="1925"/>
      <c r="AF15" s="1926"/>
    </row>
    <row r="16" spans="1:33" s="1957" customFormat="1" ht="21.95" customHeight="1" x14ac:dyDescent="0.2">
      <c r="A16" s="1942">
        <f>satpek!B20</f>
        <v>1</v>
      </c>
      <c r="B16" s="1943">
        <v>1</v>
      </c>
      <c r="C16" s="1937"/>
      <c r="D16" s="1944" t="str">
        <f>VLOOKUP($A16,satpek!$B$20:$N$144,2,0)</f>
        <v>Administrasi dan dokumentasi</v>
      </c>
      <c r="E16" s="1930"/>
      <c r="F16" s="1931"/>
      <c r="G16" s="1945">
        <v>1</v>
      </c>
      <c r="H16" s="2456" t="str">
        <f>VLOOKUP($A16,satpek!$B$20:$N$144,7,0)</f>
        <v>ls</v>
      </c>
      <c r="I16" s="2457" t="str">
        <f>VLOOKUP($A16,satpek!$B$20:$N$144,5,0)</f>
        <v>An. Dihitung</v>
      </c>
      <c r="J16" s="1951">
        <f>VLOOKUP($A16,satpek!$B$20:$L$138,6,0)</f>
        <v>287076.5</v>
      </c>
      <c r="K16" s="1938"/>
      <c r="L16" s="1952">
        <f t="shared" ref="L16:L21" si="0">ROUND((G16*J16),2)</f>
        <v>287076.5</v>
      </c>
      <c r="M16" s="1963"/>
      <c r="N16" s="2458">
        <f>VLOOKUP($A16,satpek!$B$20:$L$138,8,0)</f>
        <v>0.58185101358000391</v>
      </c>
      <c r="O16" s="1954">
        <f>VLOOKUP($A16,satpek!$B$20:$L$138,9,0)</f>
        <v>147819.25</v>
      </c>
      <c r="P16" s="1954">
        <f>VLOOKUP($A16,satpek!$B$20:$L$138,10,0)</f>
        <v>167035.7525</v>
      </c>
      <c r="Q16" s="1952">
        <f>O16*G16</f>
        <v>147819.25</v>
      </c>
      <c r="R16" s="1952">
        <f>N16*L16</f>
        <v>167035.7525</v>
      </c>
      <c r="S16" s="1955">
        <f>L16-R16</f>
        <v>120040.7475</v>
      </c>
      <c r="T16" s="2459"/>
      <c r="U16" s="1848"/>
      <c r="V16" s="1956">
        <v>287076.5</v>
      </c>
      <c r="W16" s="1956">
        <f>X16-L16</f>
        <v>0</v>
      </c>
      <c r="X16" s="1956">
        <f>V16*G16</f>
        <v>287076.5</v>
      </c>
      <c r="Y16" s="1957" t="s">
        <v>366</v>
      </c>
      <c r="AC16" s="1958"/>
      <c r="AD16" s="1958"/>
      <c r="AE16" s="1958"/>
      <c r="AF16" s="1959">
        <v>283912.5</v>
      </c>
      <c r="AG16" s="1960">
        <f t="shared" ref="AG16:AG59" si="1">AF16-J16</f>
        <v>-3164</v>
      </c>
    </row>
    <row r="17" spans="1:33" s="1957" customFormat="1" ht="21.95" customHeight="1" x14ac:dyDescent="0.2">
      <c r="A17" s="1942">
        <f>satpek!B21</f>
        <v>2</v>
      </c>
      <c r="B17" s="1943">
        <f>B16+1</f>
        <v>2</v>
      </c>
      <c r="C17" s="1937"/>
      <c r="D17" s="1944" t="str">
        <f>VLOOKUP($A17,satpek!$B$20:$N$144,2,0)</f>
        <v>Air dan listrik kerja</v>
      </c>
      <c r="E17" s="1944"/>
      <c r="F17" s="2004"/>
      <c r="G17" s="1945">
        <f>'[3]B.VOL RAB'!Q15</f>
        <v>1</v>
      </c>
      <c r="H17" s="2456" t="str">
        <f>VLOOKUP($A17,satpek!$B$20:$N$144,7,0)</f>
        <v>ls</v>
      </c>
      <c r="I17" s="2457" t="str">
        <f>VLOOKUP($A17,satpek!$B$20:$N$144,5,0)</f>
        <v>An. Dihitung</v>
      </c>
      <c r="J17" s="1951">
        <f>VLOOKUP($A17,satpek!$B$20:$N$144,6,0)</f>
        <v>10379502</v>
      </c>
      <c r="K17" s="1938"/>
      <c r="L17" s="1952">
        <f t="shared" si="0"/>
        <v>10379502</v>
      </c>
      <c r="M17" s="1963"/>
      <c r="N17" s="2458">
        <f>VLOOKUP($A17,satpek!$B$20:$L$138,8,0)</f>
        <v>0.45130315500685869</v>
      </c>
      <c r="O17" s="1954">
        <f>VLOOKUP($A17,satpek!$B$20:$L$138,9,0)</f>
        <v>4145400</v>
      </c>
      <c r="P17" s="1954">
        <f>VLOOKUP($A17,satpek!$B$20:$L$138,10,0)</f>
        <v>4684302</v>
      </c>
      <c r="Q17" s="1952">
        <f t="shared" ref="Q17:Q21" si="2">O17*G17</f>
        <v>4145400</v>
      </c>
      <c r="R17" s="1952">
        <f t="shared" ref="R17:R21" si="3">N17*L17</f>
        <v>4684302</v>
      </c>
      <c r="S17" s="1955">
        <f t="shared" ref="S17:S21" si="4">L17-R17</f>
        <v>5695200</v>
      </c>
      <c r="T17" s="1848"/>
      <c r="U17" s="1848"/>
      <c r="V17" s="1956">
        <v>10379502</v>
      </c>
      <c r="W17" s="1956">
        <f t="shared" ref="W17:W80" si="5">X17-L17</f>
        <v>0</v>
      </c>
      <c r="X17" s="1956">
        <f t="shared" ref="X17:X80" si="6">V17*G17</f>
        <v>10379502</v>
      </c>
      <c r="Y17" s="1957" t="s">
        <v>1897</v>
      </c>
      <c r="AC17" s="1958"/>
      <c r="AD17" s="1958"/>
      <c r="AE17" s="1958"/>
      <c r="AF17" s="1959">
        <v>11022585</v>
      </c>
      <c r="AG17" s="1960">
        <f t="shared" si="1"/>
        <v>643083</v>
      </c>
    </row>
    <row r="18" spans="1:33" ht="21.95" customHeight="1" x14ac:dyDescent="0.2">
      <c r="A18" s="1833">
        <f>satpek!B23</f>
        <v>4</v>
      </c>
      <c r="B18" s="1943">
        <f>B17+1</f>
        <v>3</v>
      </c>
      <c r="C18" s="1937"/>
      <c r="D18" s="1944" t="str">
        <f>VLOOKUP($A18,satpek!$B$20:$N$144,2,0)</f>
        <v xml:space="preserve">Pengukuran dan pemasangan bouwplank  </v>
      </c>
      <c r="E18" s="1944"/>
      <c r="F18" s="2004"/>
      <c r="G18" s="1945">
        <f>'[3]B.VOL RAB'!Q17</f>
        <v>205.8</v>
      </c>
      <c r="H18" s="2456" t="str">
        <f>VLOOKUP($A18,satpek!$B$20:$N$144,7,0)</f>
        <v>m'</v>
      </c>
      <c r="I18" s="2457" t="str">
        <f>VLOOKUP($A18,satpek!$B$20:$N$144,5,0)</f>
        <v>A.2.2.1.4.</v>
      </c>
      <c r="J18" s="1951">
        <f>VLOOKUP($A18,satpek!$B$20:$N$144,6,0)</f>
        <v>59589.42</v>
      </c>
      <c r="K18" s="1938"/>
      <c r="L18" s="1952">
        <f t="shared" si="0"/>
        <v>12263502.640000001</v>
      </c>
      <c r="M18" s="1963"/>
      <c r="N18" s="2458">
        <f>VLOOKUP($A18,satpek!$B$20:$L$138,8,0)</f>
        <v>0.99355254674403615</v>
      </c>
      <c r="O18" s="1954">
        <f>VLOOKUP($A18,satpek!$B$20:$L$138,9,0)</f>
        <v>52394</v>
      </c>
      <c r="P18" s="1954">
        <f>VLOOKUP($A18,satpek!$B$20:$L$138,10,0)</f>
        <v>59205.22</v>
      </c>
      <c r="Q18" s="1952">
        <f t="shared" si="2"/>
        <v>10782685.200000001</v>
      </c>
      <c r="R18" s="1952">
        <f t="shared" si="3"/>
        <v>12184434.279974211</v>
      </c>
      <c r="S18" s="1955">
        <f t="shared" si="4"/>
        <v>79068.360025789589</v>
      </c>
      <c r="V18" s="1956">
        <v>59589.42</v>
      </c>
      <c r="W18" s="1956">
        <f t="shared" si="5"/>
        <v>-4.0000006556510925E-3</v>
      </c>
      <c r="X18" s="1956">
        <f t="shared" si="6"/>
        <v>12263502.636</v>
      </c>
      <c r="Y18" s="1836" t="s">
        <v>1903</v>
      </c>
      <c r="AF18" s="1910">
        <v>59256.07</v>
      </c>
      <c r="AG18" s="1960">
        <f t="shared" si="1"/>
        <v>-333.34999999999854</v>
      </c>
    </row>
    <row r="19" spans="1:33" ht="21.95" customHeight="1" x14ac:dyDescent="0.2">
      <c r="A19" s="1833">
        <f>satpek!B22</f>
        <v>3</v>
      </c>
      <c r="B19" s="1943">
        <f>B18+1</f>
        <v>4</v>
      </c>
      <c r="C19" s="1937"/>
      <c r="D19" s="1944" t="str">
        <f>VLOOKUP($A19,satpek!$B$20:$N$144,2,0)</f>
        <v>Pembersihan lapangan dan perataan</v>
      </c>
      <c r="E19" s="1944"/>
      <c r="F19" s="2004"/>
      <c r="G19" s="1945">
        <f>'[3]B.VOL RAB'!Q20</f>
        <v>767.55000000000007</v>
      </c>
      <c r="H19" s="2456" t="str">
        <f>VLOOKUP($A19,satpek!$B$20:$N$144,7,0)</f>
        <v>m2</v>
      </c>
      <c r="I19" s="2457" t="str">
        <f>VLOOKUP($A19,satpek!$B$20:$N$144,5,0)</f>
        <v>A.2.2.1.9.</v>
      </c>
      <c r="J19" s="1951">
        <f>VLOOKUP($A19,satpek!$B$20:$N$144,6,0)</f>
        <v>15062.9</v>
      </c>
      <c r="K19" s="1938"/>
      <c r="L19" s="1952">
        <f t="shared" si="0"/>
        <v>11561528.9</v>
      </c>
      <c r="M19" s="1963"/>
      <c r="N19" s="2458">
        <f>VLOOKUP($A19,satpek!$B$20:$L$138,8,0)</f>
        <v>1</v>
      </c>
      <c r="O19" s="1954">
        <f>VLOOKUP($A19,satpek!$B$20:$L$138,9,0)</f>
        <v>13330</v>
      </c>
      <c r="P19" s="1954">
        <f>VLOOKUP($A19,satpek!$B$20:$L$138,10,0)</f>
        <v>15062.9</v>
      </c>
      <c r="Q19" s="1952">
        <f t="shared" si="2"/>
        <v>10231441.5</v>
      </c>
      <c r="R19" s="1952">
        <f t="shared" si="3"/>
        <v>11561528.9</v>
      </c>
      <c r="S19" s="1955">
        <f t="shared" si="4"/>
        <v>0</v>
      </c>
      <c r="V19" s="1956">
        <v>15062.9</v>
      </c>
      <c r="W19" s="1956">
        <f t="shared" si="5"/>
        <v>-4.9999989569187164E-3</v>
      </c>
      <c r="X19" s="1956">
        <f t="shared" si="6"/>
        <v>11561528.895000001</v>
      </c>
      <c r="Y19" s="1836" t="s">
        <v>742</v>
      </c>
      <c r="AF19" s="1910">
        <v>14577</v>
      </c>
      <c r="AG19" s="1960">
        <f t="shared" si="1"/>
        <v>-485.89999999999964</v>
      </c>
    </row>
    <row r="20" spans="1:33" ht="21.95" customHeight="1" x14ac:dyDescent="0.2">
      <c r="A20" s="1833">
        <f>satpek!B107</f>
        <v>88</v>
      </c>
      <c r="B20" s="1943">
        <f>B19+1</f>
        <v>5</v>
      </c>
      <c r="C20" s="1937"/>
      <c r="D20" s="1944" t="str">
        <f>VLOOKUP($A20,satpek!$B$20:$N$144,2,0)</f>
        <v>Penyelenggaraan K3</v>
      </c>
      <c r="E20" s="1944"/>
      <c r="F20" s="2004"/>
      <c r="G20" s="1945">
        <f>'[3]B.VOL RAB'!Q22</f>
        <v>1</v>
      </c>
      <c r="H20" s="2456" t="str">
        <f>VLOOKUP($A20,satpek!$B$20:$N$144,7,0)</f>
        <v>ls</v>
      </c>
      <c r="I20" s="2457" t="str">
        <f>VLOOKUP($A20,satpek!$B$20:$N$144,5,0)</f>
        <v>Dihitung</v>
      </c>
      <c r="J20" s="1951">
        <f>VLOOKUP($A20,satpek!$B$20:$N$144,6,0)</f>
        <v>8258800</v>
      </c>
      <c r="K20" s="1938"/>
      <c r="L20" s="1952">
        <f t="shared" si="0"/>
        <v>8258800</v>
      </c>
      <c r="M20" s="1963"/>
      <c r="N20" s="2458">
        <f>VLOOKUP($A20,satpek!$B$20:$L$138,8,0)</f>
        <v>0.46616941928609484</v>
      </c>
      <c r="O20" s="1954">
        <f>VLOOKUP($A20,satpek!$B$20:$L$138,9,0)</f>
        <v>0</v>
      </c>
      <c r="P20" s="1954">
        <f>VLOOKUP($A20,satpek!$B$20:$L$138,10,0)</f>
        <v>3850000</v>
      </c>
      <c r="Q20" s="1952">
        <f t="shared" si="2"/>
        <v>0</v>
      </c>
      <c r="R20" s="1952">
        <f t="shared" si="3"/>
        <v>3850000</v>
      </c>
      <c r="S20" s="1955">
        <f t="shared" si="4"/>
        <v>4408800</v>
      </c>
      <c r="V20" s="1956">
        <v>8258800</v>
      </c>
      <c r="W20" s="1956">
        <f t="shared" si="5"/>
        <v>0</v>
      </c>
      <c r="X20" s="1956">
        <f t="shared" si="6"/>
        <v>8258800</v>
      </c>
      <c r="Y20" s="1836" t="s">
        <v>1395</v>
      </c>
      <c r="AF20" s="1910">
        <v>8772500</v>
      </c>
      <c r="AG20" s="1960">
        <f t="shared" si="1"/>
        <v>513700</v>
      </c>
    </row>
    <row r="21" spans="1:33" ht="21.95" customHeight="1" x14ac:dyDescent="0.2">
      <c r="A21" s="1833">
        <f>satpek!B108</f>
        <v>89</v>
      </c>
      <c r="B21" s="2012">
        <f>B20+1</f>
        <v>6</v>
      </c>
      <c r="C21" s="2013"/>
      <c r="D21" s="1944" t="str">
        <f>VLOOKUP($A21,satpek!$B$20:$N$144,2,0)</f>
        <v>Papan Nama Proyek</v>
      </c>
      <c r="E21" s="2014"/>
      <c r="F21" s="2015"/>
      <c r="G21" s="2016">
        <f>'[3]B.VOL RAB'!Q23</f>
        <v>1</v>
      </c>
      <c r="H21" s="2456" t="str">
        <f>VLOOKUP($A21,satpek!$B$20:$N$144,7,0)</f>
        <v>ls</v>
      </c>
      <c r="I21" s="2457" t="str">
        <f>VLOOKUP($A21,satpek!$B$20:$N$144,5,0)</f>
        <v>Daftar harga</v>
      </c>
      <c r="J21" s="1951">
        <f>VLOOKUP($A21,satpek!$B$20:$N$144,6,0)</f>
        <v>350000</v>
      </c>
      <c r="K21" s="1938"/>
      <c r="L21" s="1952">
        <f t="shared" si="0"/>
        <v>350000</v>
      </c>
      <c r="M21" s="2460"/>
      <c r="N21" s="2458">
        <f>VLOOKUP($A21,satpek!$B$20:$L$138,8,0)</f>
        <v>0.2</v>
      </c>
      <c r="O21" s="1954">
        <f>VLOOKUP($A21,satpek!$B$20:$L$138,9,0)</f>
        <v>0</v>
      </c>
      <c r="P21" s="1954">
        <f>VLOOKUP($A21,satpek!$B$20:$L$138,10,0)</f>
        <v>70000</v>
      </c>
      <c r="Q21" s="1952">
        <f t="shared" si="2"/>
        <v>0</v>
      </c>
      <c r="R21" s="1952">
        <f t="shared" si="3"/>
        <v>70000</v>
      </c>
      <c r="S21" s="1955">
        <f t="shared" si="4"/>
        <v>280000</v>
      </c>
      <c r="V21" s="1956">
        <v>350000</v>
      </c>
      <c r="W21" s="1956">
        <f t="shared" si="5"/>
        <v>0</v>
      </c>
      <c r="X21" s="1956">
        <f t="shared" si="6"/>
        <v>350000</v>
      </c>
      <c r="Y21" s="1836" t="s">
        <v>427</v>
      </c>
      <c r="AF21" s="1910">
        <v>350000</v>
      </c>
      <c r="AG21" s="1960">
        <f t="shared" si="1"/>
        <v>0</v>
      </c>
    </row>
    <row r="22" spans="1:33" ht="21.95" customHeight="1" x14ac:dyDescent="0.2">
      <c r="A22" s="1833">
        <f>satpek!B24</f>
        <v>5</v>
      </c>
      <c r="B22" s="1943">
        <v>1</v>
      </c>
      <c r="C22" s="1937"/>
      <c r="D22" s="1944" t="str">
        <f>VLOOKUP($A22,satpek!$B$20:$N$144,2,0)</f>
        <v xml:space="preserve">Menggali tanah biasa sedalam 1 m' </v>
      </c>
      <c r="E22" s="1944"/>
      <c r="F22" s="2004"/>
      <c r="G22" s="1945">
        <f>'[3]B.VOL RAB'!Q26</f>
        <v>125.12000000000002</v>
      </c>
      <c r="H22" s="2456" t="str">
        <f>VLOOKUP($A22,satpek!$B$20:$N$144,7,0)</f>
        <v>m3</v>
      </c>
      <c r="I22" s="2457" t="str">
        <f>VLOOKUP($A22,satpek!$B$20:$N$144,5,0)</f>
        <v>A.2.3.1.1.</v>
      </c>
      <c r="J22" s="1951">
        <f>VLOOKUP($A22,satpek!$B$20:$N$144,6,0)</f>
        <v>77376.75</v>
      </c>
      <c r="K22" s="1938"/>
      <c r="L22" s="1952">
        <f t="shared" ref="L22:L26" si="7">ROUND((G22*J22),2)</f>
        <v>9681378.9600000009</v>
      </c>
      <c r="M22" s="1967"/>
      <c r="N22" s="2458">
        <f>VLOOKUP($A22,satpek!$B$20:$L$138,8,0)</f>
        <v>1</v>
      </c>
      <c r="O22" s="1954">
        <f>VLOOKUP($A22,satpek!$B$20:$L$138,9,0)</f>
        <v>68475</v>
      </c>
      <c r="P22" s="1954">
        <f>VLOOKUP($A22,satpek!$B$20:$L$138,10,0)</f>
        <v>77376.75</v>
      </c>
      <c r="Q22" s="1952">
        <f t="shared" ref="Q22:Q26" si="8">O22*G22</f>
        <v>8567592.0000000019</v>
      </c>
      <c r="R22" s="1952">
        <f t="shared" ref="R22:R26" si="9">N22*L22</f>
        <v>9681378.9600000009</v>
      </c>
      <c r="S22" s="1955">
        <f t="shared" ref="S22:S26" si="10">L22-R22</f>
        <v>0</v>
      </c>
      <c r="V22" s="1956">
        <v>77376.75</v>
      </c>
      <c r="W22" s="1956">
        <f t="shared" si="5"/>
        <v>0</v>
      </c>
      <c r="X22" s="1956">
        <f t="shared" si="6"/>
        <v>9681378.9600000009</v>
      </c>
      <c r="Y22" s="1836" t="s">
        <v>701</v>
      </c>
      <c r="AF22" s="1910">
        <v>74919</v>
      </c>
      <c r="AG22" s="1960">
        <f t="shared" si="1"/>
        <v>-2457.75</v>
      </c>
    </row>
    <row r="23" spans="1:33" ht="21.95" customHeight="1" x14ac:dyDescent="0.2">
      <c r="A23" s="1833">
        <f>satpek!B25</f>
        <v>6</v>
      </c>
      <c r="B23" s="1943">
        <f>B22+1</f>
        <v>2</v>
      </c>
      <c r="C23" s="1937"/>
      <c r="D23" s="1944" t="str">
        <f>VLOOKUP($A23,satpek!$B$20:$N$144,2,0)</f>
        <v>Menggali tanah biasa sedalam 2 m'</v>
      </c>
      <c r="E23" s="1944"/>
      <c r="F23" s="2004"/>
      <c r="G23" s="1945">
        <f>'[3]B.VOL RAB'!Q30</f>
        <v>415</v>
      </c>
      <c r="H23" s="2456" t="str">
        <f>VLOOKUP($A23,satpek!$B$20:$N$144,7,0)</f>
        <v>m3</v>
      </c>
      <c r="I23" s="2457" t="str">
        <f>VLOOKUP($A23,satpek!$B$20:$N$144,5,0)</f>
        <v>A.2.3.1.2.</v>
      </c>
      <c r="J23" s="1951">
        <f>VLOOKUP($A23,satpek!$B$20:$N$144,6,0)</f>
        <v>94377.600000000006</v>
      </c>
      <c r="K23" s="1938"/>
      <c r="L23" s="1952">
        <f t="shared" si="7"/>
        <v>39166704</v>
      </c>
      <c r="M23" s="1967"/>
      <c r="N23" s="2458">
        <f>VLOOKUP($A23,satpek!$B$20:$L$138,8,0)</f>
        <v>1</v>
      </c>
      <c r="O23" s="1954">
        <f>VLOOKUP($A23,satpek!$B$20:$L$138,9,0)</f>
        <v>83520</v>
      </c>
      <c r="P23" s="1954">
        <f>VLOOKUP($A23,satpek!$B$20:$L$138,10,0)</f>
        <v>94377.600000000006</v>
      </c>
      <c r="Q23" s="1952">
        <f t="shared" si="8"/>
        <v>34660800</v>
      </c>
      <c r="R23" s="1952">
        <f t="shared" si="9"/>
        <v>39166704</v>
      </c>
      <c r="S23" s="1955">
        <f t="shared" si="10"/>
        <v>0</v>
      </c>
      <c r="V23" s="1956">
        <v>94377.600000000006</v>
      </c>
      <c r="W23" s="1956">
        <f t="shared" si="5"/>
        <v>0</v>
      </c>
      <c r="X23" s="1956">
        <f t="shared" si="6"/>
        <v>39166704</v>
      </c>
      <c r="Y23" s="1836" t="s">
        <v>745</v>
      </c>
      <c r="AF23" s="1910">
        <v>91377.45</v>
      </c>
      <c r="AG23" s="1960">
        <f t="shared" si="1"/>
        <v>-3000.1500000000087</v>
      </c>
    </row>
    <row r="24" spans="1:33" ht="21.95" customHeight="1" x14ac:dyDescent="0.2">
      <c r="A24" s="1833">
        <f>satpek!B26</f>
        <v>7</v>
      </c>
      <c r="B24" s="1943">
        <f>B23+1</f>
        <v>3</v>
      </c>
      <c r="C24" s="1937"/>
      <c r="D24" s="1944" t="str">
        <f>VLOOKUP($A24,satpek!$B$20:$N$144,2,0)</f>
        <v>Pengurugan kembali galian tanah</v>
      </c>
      <c r="E24" s="1944"/>
      <c r="F24" s="2004"/>
      <c r="G24" s="1945">
        <f>'[3]B.VOL RAB'!Q33</f>
        <v>162.036</v>
      </c>
      <c r="H24" s="2456" t="str">
        <f>VLOOKUP($A24,satpek!$B$20:$N$144,7,0)</f>
        <v>m3</v>
      </c>
      <c r="I24" s="2457" t="str">
        <f>VLOOKUP($A24,satpek!$B$20:$N$144,5,0)</f>
        <v>A.2.3.1.9.</v>
      </c>
      <c r="J24" s="1951">
        <f>VLOOKUP($A24,satpek!$B$20:$N$144,6,0)</f>
        <v>54974.5</v>
      </c>
      <c r="K24" s="1938"/>
      <c r="L24" s="1952">
        <f t="shared" si="7"/>
        <v>8907848.0800000001</v>
      </c>
      <c r="M24" s="1967"/>
      <c r="N24" s="2458">
        <f>VLOOKUP($A24,satpek!$B$20:$L$138,8,0)</f>
        <v>1</v>
      </c>
      <c r="O24" s="1954">
        <f>VLOOKUP($A24,satpek!$B$20:$L$138,9,0)</f>
        <v>48650</v>
      </c>
      <c r="P24" s="1954">
        <f>VLOOKUP($A24,satpek!$B$20:$L$138,10,0)</f>
        <v>54974.5</v>
      </c>
      <c r="Q24" s="1952">
        <f t="shared" si="8"/>
        <v>7883051.4000000004</v>
      </c>
      <c r="R24" s="1952">
        <f t="shared" si="9"/>
        <v>8907848.0800000001</v>
      </c>
      <c r="S24" s="1955">
        <f>L24-R24</f>
        <v>0</v>
      </c>
      <c r="V24" s="1956">
        <v>54974.5</v>
      </c>
      <c r="W24" s="1956">
        <f t="shared" si="5"/>
        <v>2.0000003278255463E-3</v>
      </c>
      <c r="X24" s="1956">
        <f t="shared" si="6"/>
        <v>8907848.0820000004</v>
      </c>
      <c r="Y24" s="1836" t="s">
        <v>1067</v>
      </c>
      <c r="AF24" s="1910">
        <v>53223</v>
      </c>
      <c r="AG24" s="1960">
        <f t="shared" si="1"/>
        <v>-1751.5</v>
      </c>
    </row>
    <row r="25" spans="1:33" ht="21.95" customHeight="1" x14ac:dyDescent="0.2">
      <c r="A25" s="1833">
        <f>satpek!B28</f>
        <v>9</v>
      </c>
      <c r="B25" s="1943">
        <f>B24+1</f>
        <v>4</v>
      </c>
      <c r="C25" s="1937"/>
      <c r="D25" s="1944" t="s">
        <v>1999</v>
      </c>
      <c r="E25" s="1944"/>
      <c r="F25" s="2004"/>
      <c r="G25" s="1945">
        <f>'[3]B.VOL RAB'!Q35</f>
        <v>631.13400000000001</v>
      </c>
      <c r="H25" s="2456" t="str">
        <f>VLOOKUP($A25,satpek!$B$20:$N$144,7,0)</f>
        <v>m3</v>
      </c>
      <c r="I25" s="2457" t="str">
        <f>VLOOKUP($A25,satpek!$B$20:$N$144,5,0)</f>
        <v>An. Dihitung</v>
      </c>
      <c r="J25" s="1951">
        <f>VLOOKUP($A25,satpek!$B$20:$N$144,6,0)+satpek!G27</f>
        <v>148301.20000000001</v>
      </c>
      <c r="K25" s="1938"/>
      <c r="L25" s="1952">
        <f t="shared" si="7"/>
        <v>93597929.560000002</v>
      </c>
      <c r="M25" s="1967"/>
      <c r="N25" s="2458">
        <f>VLOOKUP($A25,satpek!$B$20:$L$138,8,0)</f>
        <v>1</v>
      </c>
      <c r="O25" s="1954">
        <f>VLOOKUP($A25,satpek!$B$20:$L$138,9,0)</f>
        <v>82590</v>
      </c>
      <c r="P25" s="1954">
        <f>VLOOKUP($A25,satpek!$B$20:$L$138,10,0)+satpek!K27</f>
        <v>148301.20000000001</v>
      </c>
      <c r="Q25" s="1952">
        <f t="shared" si="8"/>
        <v>52125357.060000002</v>
      </c>
      <c r="R25" s="1952">
        <f t="shared" si="9"/>
        <v>93597929.560000002</v>
      </c>
      <c r="S25" s="1955">
        <f t="shared" si="10"/>
        <v>0</v>
      </c>
      <c r="V25" s="1956">
        <v>148301.20000000001</v>
      </c>
      <c r="W25" s="1956">
        <f t="shared" si="5"/>
        <v>8.0001354217529297E-4</v>
      </c>
      <c r="X25" s="1956">
        <f t="shared" si="6"/>
        <v>93597929.560800016</v>
      </c>
      <c r="Y25" s="2061" t="s">
        <v>1763</v>
      </c>
      <c r="AF25" s="1910">
        <v>93699.6</v>
      </c>
      <c r="AG25" s="1960">
        <f t="shared" si="1"/>
        <v>-54601.600000000006</v>
      </c>
    </row>
    <row r="26" spans="1:33" ht="21.95" customHeight="1" x14ac:dyDescent="0.2">
      <c r="A26" s="1833">
        <f>satpek!B29</f>
        <v>10</v>
      </c>
      <c r="B26" s="1943">
        <f>B25+1</f>
        <v>5</v>
      </c>
      <c r="C26" s="1937"/>
      <c r="D26" s="1944" t="str">
        <f>VLOOKUP($A26,satpek!$B$20:$N$144,2,0)</f>
        <v>Mengurug pasir urug</v>
      </c>
      <c r="E26" s="1944"/>
      <c r="F26" s="2004"/>
      <c r="G26" s="2016">
        <f>'[3]B.VOL RAB'!Q36</f>
        <v>26.52</v>
      </c>
      <c r="H26" s="2456" t="str">
        <f>VLOOKUP($A26,satpek!$B$20:$N$144,7,0)</f>
        <v>m3</v>
      </c>
      <c r="I26" s="2457" t="str">
        <f>VLOOKUP($A26,satpek!$B$20:$N$144,5,0)</f>
        <v>A.2.3.1.11.</v>
      </c>
      <c r="J26" s="1951">
        <f>VLOOKUP($A26,satpek!$B$20:$N$144,6,0)</f>
        <v>251978.7</v>
      </c>
      <c r="K26" s="1938"/>
      <c r="L26" s="1952">
        <f t="shared" si="7"/>
        <v>6682475.1200000001</v>
      </c>
      <c r="M26" s="1967"/>
      <c r="N26" s="2458">
        <f>VLOOKUP($A26,satpek!$B$20:$L$138,8,0)</f>
        <v>1</v>
      </c>
      <c r="O26" s="1954">
        <f>VLOOKUP($A26,satpek!$B$20:$L$138,9,0)</f>
        <v>222990</v>
      </c>
      <c r="P26" s="1954">
        <f>VLOOKUP($A26,satpek!$B$20:$L$138,10,0)</f>
        <v>251978.7</v>
      </c>
      <c r="Q26" s="1952">
        <f t="shared" si="8"/>
        <v>5913694.7999999998</v>
      </c>
      <c r="R26" s="1952">
        <f t="shared" si="9"/>
        <v>6682475.1200000001</v>
      </c>
      <c r="S26" s="1955">
        <f t="shared" si="10"/>
        <v>0</v>
      </c>
      <c r="V26" s="1956">
        <v>251978.7</v>
      </c>
      <c r="W26" s="1956">
        <f t="shared" si="5"/>
        <v>3.9999997243285179E-3</v>
      </c>
      <c r="X26" s="1956">
        <f t="shared" si="6"/>
        <v>6682475.1239999998</v>
      </c>
      <c r="Y26" s="1836" t="s">
        <v>467</v>
      </c>
      <c r="AF26" s="1910">
        <v>250995.6</v>
      </c>
      <c r="AG26" s="1960">
        <f t="shared" si="1"/>
        <v>-983.10000000000582</v>
      </c>
    </row>
    <row r="27" spans="1:33" ht="21.95" customHeight="1" x14ac:dyDescent="0.2">
      <c r="A27" s="1833">
        <f>satpek!B32</f>
        <v>13</v>
      </c>
      <c r="B27" s="1943">
        <v>1</v>
      </c>
      <c r="C27" s="1937"/>
      <c r="D27" s="1944" t="str">
        <f>VLOOKUP($A27,satpek!$B$20:$N$144,2,0)</f>
        <v>Memasang batu kosong ( anstamping )</v>
      </c>
      <c r="E27" s="1944"/>
      <c r="F27" s="2004"/>
      <c r="G27" s="1945">
        <f>'[3]B.VOL RAB'!Q42</f>
        <v>9.9200000000000017</v>
      </c>
      <c r="H27" s="2456" t="str">
        <f>VLOOKUP($A27,satpek!$B$20:$N$144,7,0)</f>
        <v>m3</v>
      </c>
      <c r="I27" s="2457" t="str">
        <f>VLOOKUP($A27,satpek!$B$20:$N$144,5,0)</f>
        <v>A.3.2.1.9.</v>
      </c>
      <c r="J27" s="1951">
        <f>VLOOKUP($A27,satpek!$B$20:$N$144,6,0)</f>
        <v>571377.72</v>
      </c>
      <c r="K27" s="1938"/>
      <c r="L27" s="1952">
        <f t="shared" ref="L27:L29" si="11">ROUND((G27*J27),2)</f>
        <v>5668066.9800000004</v>
      </c>
      <c r="M27" s="1967"/>
      <c r="N27" s="2458">
        <f>VLOOKUP($A27,satpek!$B$20:$L$138,8,0)</f>
        <v>1</v>
      </c>
      <c r="O27" s="1954">
        <f>VLOOKUP($A27,satpek!$B$20:$L$138,9,0)</f>
        <v>505644</v>
      </c>
      <c r="P27" s="1954">
        <f>VLOOKUP($A27,satpek!$B$20:$L$138,10,0)</f>
        <v>571377.72</v>
      </c>
      <c r="Q27" s="1952">
        <f t="shared" ref="Q27:Q29" si="12">O27*G27</f>
        <v>5015988.4800000004</v>
      </c>
      <c r="R27" s="1952">
        <f t="shared" ref="R27:R29" si="13">N27*L27</f>
        <v>5668066.9800000004</v>
      </c>
      <c r="S27" s="1955">
        <f t="shared" ref="S27:S29" si="14">L27-R27</f>
        <v>0</v>
      </c>
      <c r="V27" s="1956">
        <v>571377.72</v>
      </c>
      <c r="W27" s="1956">
        <f t="shared" si="5"/>
        <v>2.4000005796551704E-3</v>
      </c>
      <c r="X27" s="1956">
        <f t="shared" si="6"/>
        <v>5668066.982400001</v>
      </c>
      <c r="Y27" s="1836" t="s">
        <v>1904</v>
      </c>
      <c r="AC27" s="1836"/>
      <c r="AD27" s="1836"/>
      <c r="AE27" s="1836"/>
      <c r="AF27" s="1837">
        <v>582913.89</v>
      </c>
      <c r="AG27" s="1960">
        <f t="shared" si="1"/>
        <v>11536.170000000042</v>
      </c>
    </row>
    <row r="28" spans="1:33" ht="21.95" customHeight="1" x14ac:dyDescent="0.2">
      <c r="A28" s="1833">
        <f>satpek!B30</f>
        <v>11</v>
      </c>
      <c r="B28" s="1943">
        <f>B27+1</f>
        <v>2</v>
      </c>
      <c r="C28" s="1937"/>
      <c r="D28" s="1944" t="str">
        <f>VLOOKUP($A28,satpek!$B$20:$N$144,2,0)</f>
        <v>Memasang pondasi batu belah, campuran 1 PC : 6 PP</v>
      </c>
      <c r="E28" s="1944"/>
      <c r="F28" s="2004"/>
      <c r="G28" s="1945">
        <f>'[3]B.VOL RAB'!Q43</f>
        <v>44.044000000000004</v>
      </c>
      <c r="H28" s="2456" t="str">
        <f>VLOOKUP($A28,satpek!$B$20:$N$144,7,0)</f>
        <v>m3</v>
      </c>
      <c r="I28" s="2457" t="str">
        <f>VLOOKUP($A28,satpek!$B$20:$N$144,5,0)</f>
        <v>A.3.2.1.4.</v>
      </c>
      <c r="J28" s="1951">
        <f>VLOOKUP($A28,satpek!$B$20:$N$144,6,0)</f>
        <v>931300.8</v>
      </c>
      <c r="K28" s="1938"/>
      <c r="L28" s="1952">
        <f t="shared" si="11"/>
        <v>41018212.439999998</v>
      </c>
      <c r="M28" s="1967"/>
      <c r="N28" s="2458">
        <f>VLOOKUP($A28,satpek!$B$20:$L$138,8,0)</f>
        <v>0.97468520675596981</v>
      </c>
      <c r="O28" s="1954">
        <f>VLOOKUP($A28,satpek!$B$20:$L$138,9,0)</f>
        <v>803296.56</v>
      </c>
      <c r="P28" s="1954">
        <f>VLOOKUP($A28,satpek!$B$20:$L$138,10,0)</f>
        <v>907725.1128</v>
      </c>
      <c r="Q28" s="1952">
        <f t="shared" si="12"/>
        <v>35380393.688640006</v>
      </c>
      <c r="R28" s="1952">
        <f t="shared" si="13"/>
        <v>39979844.872841693</v>
      </c>
      <c r="S28" s="1955">
        <f t="shared" si="14"/>
        <v>1038367.5671583042</v>
      </c>
      <c r="V28" s="1956">
        <v>931300.8</v>
      </c>
      <c r="W28" s="1956">
        <f t="shared" si="5"/>
        <v>-4.7999918460845947E-3</v>
      </c>
      <c r="X28" s="1956">
        <f t="shared" si="6"/>
        <v>41018212.435200006</v>
      </c>
      <c r="Y28" s="1836" t="s">
        <v>663</v>
      </c>
      <c r="AC28" s="1836"/>
      <c r="AD28" s="1836"/>
      <c r="AE28" s="1836"/>
      <c r="AF28" s="1837">
        <v>864060.15</v>
      </c>
      <c r="AG28" s="1960">
        <f t="shared" si="1"/>
        <v>-67240.650000000023</v>
      </c>
    </row>
    <row r="29" spans="1:33" ht="21.95" customHeight="1" x14ac:dyDescent="0.2">
      <c r="A29" s="1833">
        <f>satpek!B33</f>
        <v>14</v>
      </c>
      <c r="B29" s="1943">
        <f>B28+1</f>
        <v>3</v>
      </c>
      <c r="C29" s="1937"/>
      <c r="D29" s="1944" t="s">
        <v>1766</v>
      </c>
      <c r="E29" s="1944"/>
      <c r="F29" s="2004"/>
      <c r="G29" s="2016">
        <f>'[3]B.VOL RAB'!Q45</f>
        <v>7.68</v>
      </c>
      <c r="H29" s="2456" t="str">
        <f>VLOOKUP($A29,satpek!$B$20:$N$144,7,0)</f>
        <v>m2</v>
      </c>
      <c r="I29" s="2457" t="str">
        <f>VLOOKUP($A29,satpek!$B$20:$N$144,5,0)</f>
        <v>A.4.4.1.4.</v>
      </c>
      <c r="J29" s="1951">
        <f>VLOOKUP($A29,satpek!$B$20:$N$144,6,0)</f>
        <v>272058.8</v>
      </c>
      <c r="K29" s="1938"/>
      <c r="L29" s="1952">
        <f t="shared" si="11"/>
        <v>2089411.58</v>
      </c>
      <c r="M29" s="1967"/>
      <c r="N29" s="2458">
        <f>VLOOKUP($A29,satpek!$B$20:$L$138,8,0)</f>
        <v>0.98355746801794319</v>
      </c>
      <c r="O29" s="1954">
        <f>VLOOKUP($A29,satpek!$B$20:$L$138,9,0)</f>
        <v>236801.296</v>
      </c>
      <c r="P29" s="1954">
        <f>VLOOKUP($A29,satpek!$B$20:$L$138,10,0)</f>
        <v>267585.46448000002</v>
      </c>
      <c r="Q29" s="1952">
        <f t="shared" si="12"/>
        <v>1818633.95328</v>
      </c>
      <c r="R29" s="1952">
        <f t="shared" si="13"/>
        <v>2055056.3632721703</v>
      </c>
      <c r="S29" s="1955">
        <f t="shared" si="14"/>
        <v>34355.216727829771</v>
      </c>
      <c r="V29" s="1956">
        <v>272058.8</v>
      </c>
      <c r="W29" s="1956">
        <f t="shared" si="5"/>
        <v>3.9999997243285179E-3</v>
      </c>
      <c r="X29" s="1956">
        <f t="shared" si="6"/>
        <v>2089411.5839999998</v>
      </c>
      <c r="Y29" s="1836" t="s">
        <v>1766</v>
      </c>
      <c r="AC29" s="1836"/>
      <c r="AD29" s="1836"/>
      <c r="AE29" s="1836"/>
      <c r="AF29" s="1837">
        <v>248520.9</v>
      </c>
      <c r="AG29" s="1960">
        <f t="shared" si="1"/>
        <v>-23537.899999999994</v>
      </c>
    </row>
    <row r="30" spans="1:33" ht="21.95" customHeight="1" x14ac:dyDescent="0.2">
      <c r="A30" s="1833">
        <f>satpek!B39</f>
        <v>20</v>
      </c>
      <c r="B30" s="1943">
        <v>1</v>
      </c>
      <c r="C30" s="1937"/>
      <c r="D30" s="1944" t="s">
        <v>1771</v>
      </c>
      <c r="E30" s="1944"/>
      <c r="F30" s="2004"/>
      <c r="G30" s="1945">
        <f>'[3]B.VOL RAB'!Q52</f>
        <v>8.2999999999999989</v>
      </c>
      <c r="H30" s="2456" t="str">
        <f>VLOOKUP($A30,satpek!$B$20:$N$144,7,0)</f>
        <v>m3</v>
      </c>
      <c r="I30" s="2457" t="str">
        <f>VLOOKUP($A30,satpek!$B$20:$N$144,5,0)</f>
        <v>A.4.1.1.1.</v>
      </c>
      <c r="J30" s="1951">
        <f>VLOOKUP($A30,satpek!$B$20:$N$144,6,0)</f>
        <v>958085.99</v>
      </c>
      <c r="K30" s="1938"/>
      <c r="L30" s="1952">
        <f t="shared" ref="L30" si="15">ROUND((G30*J30),2)</f>
        <v>7952113.7199999997</v>
      </c>
      <c r="M30" s="1967"/>
      <c r="N30" s="2458">
        <f>VLOOKUP($A30,satpek!$B$20:$L$138,8,0)</f>
        <v>0.94805174525042479</v>
      </c>
      <c r="O30" s="1954">
        <f>VLOOKUP($A30,satpek!$B$20:$L$138,9,0)</f>
        <v>803818.67</v>
      </c>
      <c r="P30" s="1954">
        <f>VLOOKUP($A30,satpek!$B$20:$L$138,10,0)</f>
        <v>908315.09710000001</v>
      </c>
      <c r="Q30" s="1952">
        <f t="shared" ref="Q30" si="16">O30*G30</f>
        <v>6671694.9609999992</v>
      </c>
      <c r="R30" s="1952">
        <f t="shared" ref="R30" si="17">N30*L30</f>
        <v>7539015.2906758478</v>
      </c>
      <c r="S30" s="1955">
        <f t="shared" ref="S30" si="18">L30-R30</f>
        <v>413098.42932415195</v>
      </c>
      <c r="V30" s="1956">
        <v>958085.99</v>
      </c>
      <c r="W30" s="1956">
        <f t="shared" si="5"/>
        <v>-3.0000004917383194E-3</v>
      </c>
      <c r="X30" s="1956">
        <f t="shared" si="6"/>
        <v>7952113.7169999992</v>
      </c>
      <c r="Y30" s="1836" t="s">
        <v>1771</v>
      </c>
      <c r="AC30" s="1836"/>
      <c r="AD30" s="1836"/>
      <c r="AE30" s="1836"/>
      <c r="AF30" s="1837">
        <v>969189.7</v>
      </c>
      <c r="AG30" s="1960">
        <f t="shared" si="1"/>
        <v>11103.709999999963</v>
      </c>
    </row>
    <row r="31" spans="1:33" ht="21.95" customHeight="1" x14ac:dyDescent="0.2">
      <c r="A31" s="1833">
        <f>satpek!$B$40</f>
        <v>21</v>
      </c>
      <c r="B31" s="1943">
        <f>B30+1</f>
        <v>2</v>
      </c>
      <c r="C31" s="1937"/>
      <c r="D31" s="1944" t="str">
        <f>VLOOKUP($A31,satpek!$B$20:$N$144,2,0)</f>
        <v>Membuat beton mutu f'c = 21,7 Mpa - K 250</v>
      </c>
      <c r="E31" s="1944"/>
      <c r="F31" s="2004"/>
      <c r="G31" s="1945">
        <f>'[3]B.VOL RAB'!Q56</f>
        <v>41.471999999999994</v>
      </c>
      <c r="H31" s="2456" t="str">
        <f>VLOOKUP($A31,satpek!$B$20:$N$144,7,0)</f>
        <v>m3</v>
      </c>
      <c r="I31" s="2457" t="str">
        <f>VLOOKUP($A31,satpek!$B$20:$N$144,5,0)</f>
        <v>A.4.1.1.8.</v>
      </c>
      <c r="J31" s="1951">
        <f>VLOOKUP($A31,satpek!$B$20:$N$144,6,0)</f>
        <v>1115753.29</v>
      </c>
      <c r="K31" s="1938"/>
      <c r="L31" s="1952">
        <f t="shared" ref="L31:L33" si="19">ROUND((G31*J31),2)</f>
        <v>46272520.439999998</v>
      </c>
      <c r="M31" s="1967"/>
      <c r="N31" s="2458">
        <f>VLOOKUP($A31,satpek!$B$20:$L$138,8,0)</f>
        <v>0.93065078521121514</v>
      </c>
      <c r="O31" s="1954">
        <f>VLOOKUP($A31,satpek!$B$20:$L$138,9,0)</f>
        <v>918917.40999999992</v>
      </c>
      <c r="P31" s="1954">
        <f>VLOOKUP($A31,satpek!$B$20:$L$138,10,0)</f>
        <v>1038376.6732999999</v>
      </c>
      <c r="Q31" s="1952">
        <f t="shared" ref="Q31:Q33" si="20">O31*G31</f>
        <v>38109342.827519991</v>
      </c>
      <c r="R31" s="1952">
        <f t="shared" ref="R31:R33" si="21">N31*L31</f>
        <v>43063557.481187999</v>
      </c>
      <c r="S31" s="1955">
        <f t="shared" ref="S31:S33" si="22">L31-R31</f>
        <v>3208962.9588119984</v>
      </c>
      <c r="V31" s="1956">
        <v>1115753.29</v>
      </c>
      <c r="W31" s="1956">
        <f t="shared" si="5"/>
        <v>2.879999577999115E-3</v>
      </c>
      <c r="X31" s="1956">
        <f t="shared" si="6"/>
        <v>46272520.442879997</v>
      </c>
      <c r="Y31" s="1836" t="s">
        <v>1905</v>
      </c>
      <c r="AC31" s="1836"/>
      <c r="AD31" s="1836"/>
      <c r="AE31" s="1836"/>
      <c r="AF31" s="1837">
        <v>1191397.42</v>
      </c>
      <c r="AG31" s="1960">
        <f t="shared" si="1"/>
        <v>75644.129999999888</v>
      </c>
    </row>
    <row r="32" spans="1:33" ht="21.95" customHeight="1" x14ac:dyDescent="0.2">
      <c r="A32" s="1833">
        <f>satpek!$B$41</f>
        <v>22</v>
      </c>
      <c r="B32" s="1943">
        <f t="shared" ref="B32:B33" si="23">B31+1</f>
        <v>3</v>
      </c>
      <c r="C32" s="1937"/>
      <c r="D32" s="1944" t="str">
        <f>VLOOKUP($A32,satpek!$B$20:$N$144,2,0)</f>
        <v>Pembesian 1 kg dengan besi polos atau besi ulir</v>
      </c>
      <c r="E32" s="1944"/>
      <c r="F32" s="2004"/>
      <c r="G32" s="1945">
        <f>'[3]B.VOL RAB'!Q58</f>
        <v>3622.2814623302602</v>
      </c>
      <c r="H32" s="2456" t="str">
        <f>VLOOKUP($A32,satpek!$B$20:$N$144,7,0)</f>
        <v>kg</v>
      </c>
      <c r="I32" s="2457" t="str">
        <f>VLOOKUP($A32,satpek!$B$20:$N$144,5,0)</f>
        <v>A.4.1.1.17.</v>
      </c>
      <c r="J32" s="1951">
        <f>VLOOKUP($A32,satpek!$B$20:$N$144,6,0)</f>
        <v>15603.94</v>
      </c>
      <c r="K32" s="1938"/>
      <c r="L32" s="1952">
        <f t="shared" si="19"/>
        <v>56521862.600000001</v>
      </c>
      <c r="M32" s="1967"/>
      <c r="N32" s="2458">
        <f>VLOOKUP($A32,satpek!$B$20:$L$138,8,0)</f>
        <v>0.46415793062521393</v>
      </c>
      <c r="O32" s="1954">
        <f>VLOOKUP($A32,satpek!$B$20:$L$138,9,0)</f>
        <v>7242.692500000001</v>
      </c>
      <c r="P32" s="1954">
        <f>VLOOKUP($A32,satpek!$B$20:$L$138,10,0)</f>
        <v>8184.2425250000015</v>
      </c>
      <c r="Q32" s="1952">
        <f t="shared" si="20"/>
        <v>26235070.780108411</v>
      </c>
      <c r="R32" s="1952">
        <f t="shared" si="21"/>
        <v>26235070.779498674</v>
      </c>
      <c r="S32" s="1955">
        <f t="shared" si="22"/>
        <v>30286791.820501328</v>
      </c>
      <c r="V32" s="1956">
        <v>15603.94</v>
      </c>
      <c r="W32" s="1956">
        <f t="shared" si="5"/>
        <v>1.3136416673660278E-3</v>
      </c>
      <c r="X32" s="1956">
        <f t="shared" si="6"/>
        <v>56521862.601313643</v>
      </c>
      <c r="Y32" s="1836" t="s">
        <v>420</v>
      </c>
      <c r="AC32" s="1836"/>
      <c r="AD32" s="1836"/>
      <c r="AE32" s="1836"/>
      <c r="AF32" s="1837">
        <v>15438.06</v>
      </c>
      <c r="AG32" s="1960">
        <f t="shared" si="1"/>
        <v>-165.88000000000102</v>
      </c>
    </row>
    <row r="33" spans="1:33" ht="21.95" customHeight="1" x14ac:dyDescent="0.2">
      <c r="A33" s="1833">
        <f>satpek!$B$42</f>
        <v>23</v>
      </c>
      <c r="B33" s="1943">
        <f t="shared" si="23"/>
        <v>4</v>
      </c>
      <c r="C33" s="1937"/>
      <c r="D33" s="1944" t="str">
        <f>VLOOKUP($A33,satpek!$B$20:$N$144,2,0)</f>
        <v>Memasang bekisting untuk pondasi ( 2x pakai )</v>
      </c>
      <c r="E33" s="1944"/>
      <c r="F33" s="2004"/>
      <c r="G33" s="1945">
        <f>'[3]B.VOL RAB'!Q61</f>
        <v>138.24</v>
      </c>
      <c r="H33" s="2456" t="str">
        <f>VLOOKUP($A33,satpek!$B$20:$N$144,7,0)</f>
        <v>m2</v>
      </c>
      <c r="I33" s="2457" t="str">
        <f>VLOOKUP($A33,satpek!$B$20:$N$144,5,0)</f>
        <v>A.4.1.1.20.</v>
      </c>
      <c r="J33" s="1951">
        <f>VLOOKUP($A33,satpek!$B$20:$N$144,6,0)</f>
        <v>115782.06</v>
      </c>
      <c r="K33" s="1938"/>
      <c r="L33" s="1952">
        <f t="shared" si="19"/>
        <v>16005711.970000001</v>
      </c>
      <c r="M33" s="1967"/>
      <c r="N33" s="2458">
        <f>VLOOKUP($A33,satpek!$B$20:$L$138,8,0)</f>
        <v>0.94349124553493002</v>
      </c>
      <c r="O33" s="1954">
        <f>VLOOKUP($A33,satpek!$B$20:$L$138,9,0)</f>
        <v>96672</v>
      </c>
      <c r="P33" s="1954">
        <f>VLOOKUP($A33,satpek!$B$20:$L$138,10,0)</f>
        <v>109239.36</v>
      </c>
      <c r="Q33" s="1952">
        <f t="shared" si="20"/>
        <v>13363937.280000001</v>
      </c>
      <c r="R33" s="1952">
        <f t="shared" si="21"/>
        <v>15101249.122248638</v>
      </c>
      <c r="S33" s="1955">
        <f t="shared" si="22"/>
        <v>904462.84775136225</v>
      </c>
      <c r="V33" s="1956">
        <v>115782.06</v>
      </c>
      <c r="W33" s="1956">
        <f t="shared" si="5"/>
        <v>4.3999999761581421E-3</v>
      </c>
      <c r="X33" s="1956">
        <f t="shared" si="6"/>
        <v>16005711.974400001</v>
      </c>
      <c r="Y33" s="1836" t="s">
        <v>1906</v>
      </c>
      <c r="AC33" s="1836"/>
      <c r="AD33" s="1836"/>
      <c r="AE33" s="1836"/>
      <c r="AF33" s="1837">
        <v>114048.64</v>
      </c>
      <c r="AG33" s="1960">
        <f t="shared" si="1"/>
        <v>-1733.4199999999983</v>
      </c>
    </row>
    <row r="34" spans="1:33" ht="21.95" customHeight="1" x14ac:dyDescent="0.2">
      <c r="A34" s="1833">
        <f>satpek!$B$40</f>
        <v>21</v>
      </c>
      <c r="B34" s="1943">
        <f>B33+1</f>
        <v>5</v>
      </c>
      <c r="C34" s="1937"/>
      <c r="D34" s="1944" t="str">
        <f>VLOOKUP($A34,satpek!$B$20:$N$144,2,0)</f>
        <v>Membuat beton mutu f'c = 21,7 Mpa - K 250</v>
      </c>
      <c r="E34" s="1944"/>
      <c r="F34" s="2004"/>
      <c r="G34" s="1945">
        <f>'[3]B.VOL RAB'!Q65</f>
        <v>0.76800000000000013</v>
      </c>
      <c r="H34" s="2456" t="str">
        <f>VLOOKUP($A34,satpek!$B$20:$N$144,7,0)</f>
        <v>m3</v>
      </c>
      <c r="I34" s="2457" t="str">
        <f>VLOOKUP($A34,satpek!$B$20:$N$144,5,0)</f>
        <v>A.4.1.1.8.</v>
      </c>
      <c r="J34" s="1951">
        <f>VLOOKUP($A34,satpek!$B$20:$N$144,6,0)</f>
        <v>1115753.29</v>
      </c>
      <c r="K34" s="1938"/>
      <c r="L34" s="1952">
        <f t="shared" ref="L34:L35" si="24">ROUND((G34*J34),2)</f>
        <v>856898.53</v>
      </c>
      <c r="M34" s="1967"/>
      <c r="N34" s="2458">
        <f>VLOOKUP($A34,satpek!$B$20:$L$138,8,0)</f>
        <v>0.93065078521121514</v>
      </c>
      <c r="O34" s="1954">
        <f>VLOOKUP($A34,satpek!$B$20:$L$138,9,0)</f>
        <v>918917.40999999992</v>
      </c>
      <c r="P34" s="1954">
        <f>VLOOKUP($A34,satpek!$B$20:$L$138,10,0)</f>
        <v>1038376.6732999999</v>
      </c>
      <c r="Q34" s="1952">
        <f t="shared" ref="Q34:Q36" si="25">O34*G34</f>
        <v>705728.57088000001</v>
      </c>
      <c r="R34" s="1952">
        <f t="shared" ref="R34:R36" si="26">N34*L34</f>
        <v>797473.28979083605</v>
      </c>
      <c r="S34" s="1955">
        <f t="shared" ref="S34:S36" si="27">L34-R34</f>
        <v>59425.240209163981</v>
      </c>
      <c r="V34" s="1956">
        <v>1115753.29</v>
      </c>
      <c r="W34" s="1956">
        <f t="shared" si="5"/>
        <v>-3.2799998298287392E-3</v>
      </c>
      <c r="X34" s="1956">
        <f t="shared" si="6"/>
        <v>856898.5267200002</v>
      </c>
      <c r="Y34" s="1836" t="s">
        <v>1905</v>
      </c>
      <c r="AC34" s="1836"/>
      <c r="AD34" s="1836"/>
      <c r="AE34" s="1836"/>
      <c r="AF34" s="1837">
        <v>1191397.42</v>
      </c>
      <c r="AG34" s="1960">
        <f t="shared" si="1"/>
        <v>75644.129999999888</v>
      </c>
    </row>
    <row r="35" spans="1:33" ht="21.95" customHeight="1" x14ac:dyDescent="0.2">
      <c r="A35" s="1833">
        <f>satpek!$B$41</f>
        <v>22</v>
      </c>
      <c r="B35" s="1943">
        <f t="shared" ref="B35:B36" si="28">B34+1</f>
        <v>6</v>
      </c>
      <c r="C35" s="1937"/>
      <c r="D35" s="1944" t="str">
        <f>VLOOKUP($A35,satpek!$B$20:$N$144,2,0)</f>
        <v>Pembesian 1 kg dengan besi polos atau besi ulir</v>
      </c>
      <c r="E35" s="1944"/>
      <c r="F35" s="2004"/>
      <c r="G35" s="1945">
        <f>'[3]B.VOL RAB'!Q67</f>
        <v>73.353172532374217</v>
      </c>
      <c r="H35" s="2456" t="str">
        <f>VLOOKUP($A35,satpek!$B$20:$N$144,7,0)</f>
        <v>kg</v>
      </c>
      <c r="I35" s="2457" t="str">
        <f>VLOOKUP($A35,satpek!$B$20:$N$144,5,0)</f>
        <v>A.4.1.1.17.</v>
      </c>
      <c r="J35" s="1951">
        <f>VLOOKUP($A35,satpek!$B$20:$N$144,6,0)</f>
        <v>15603.94</v>
      </c>
      <c r="K35" s="1938"/>
      <c r="L35" s="1952">
        <f t="shared" si="24"/>
        <v>1144598.5</v>
      </c>
      <c r="M35" s="1967"/>
      <c r="N35" s="2458">
        <f>VLOOKUP($A35,satpek!$B$20:$L$138,8,0)</f>
        <v>0.46415793062521393</v>
      </c>
      <c r="O35" s="1954">
        <f>VLOOKUP($A35,satpek!$B$20:$L$138,9,0)</f>
        <v>7242.692500000001</v>
      </c>
      <c r="P35" s="1954">
        <f>VLOOKUP($A35,satpek!$B$20:$L$138,10,0)</f>
        <v>8184.2425250000015</v>
      </c>
      <c r="Q35" s="1952">
        <f t="shared" si="25"/>
        <v>531274.47255143279</v>
      </c>
      <c r="R35" s="1952">
        <f t="shared" si="26"/>
        <v>531274.47115672391</v>
      </c>
      <c r="S35" s="1955">
        <f t="shared" si="27"/>
        <v>613324.02884327609</v>
      </c>
      <c r="V35" s="1956">
        <v>15603.94</v>
      </c>
      <c r="W35" s="1956">
        <f t="shared" si="5"/>
        <v>3.0048154294490814E-3</v>
      </c>
      <c r="X35" s="1956">
        <f t="shared" si="6"/>
        <v>1144598.5030048154</v>
      </c>
      <c r="Y35" s="1836" t="s">
        <v>420</v>
      </c>
      <c r="AC35" s="1836"/>
      <c r="AD35" s="1836"/>
      <c r="AE35" s="1836"/>
      <c r="AF35" s="1837">
        <v>15438.06</v>
      </c>
      <c r="AG35" s="1960">
        <f t="shared" si="1"/>
        <v>-165.88000000000102</v>
      </c>
    </row>
    <row r="36" spans="1:33" ht="21.95" customHeight="1" x14ac:dyDescent="0.2">
      <c r="A36" s="1833">
        <f>satpek!$B$42</f>
        <v>23</v>
      </c>
      <c r="B36" s="1943">
        <f t="shared" si="28"/>
        <v>7</v>
      </c>
      <c r="C36" s="1937"/>
      <c r="D36" s="1944" t="str">
        <f>VLOOKUP($A36,satpek!$B$20:$N$144,2,0)</f>
        <v>Memasang bekisting untuk pondasi ( 2x pakai )</v>
      </c>
      <c r="E36" s="1944"/>
      <c r="F36" s="2004"/>
      <c r="G36" s="1945">
        <f>'[3]B.VOL RAB'!Q70</f>
        <v>3.84</v>
      </c>
      <c r="H36" s="2472" t="str">
        <f>VLOOKUP(A36,[3]Rekap!$B$12:$K$773,10)</f>
        <v>m3</v>
      </c>
      <c r="I36" s="2457" t="str">
        <f>VLOOKUP(A36,[3]Rekap!$B$12:$K$769,4)</f>
        <v>A.3.2.1.1.</v>
      </c>
      <c r="J36" s="1951">
        <f>J33</f>
        <v>115782.06</v>
      </c>
      <c r="K36" s="2095"/>
      <c r="L36" s="1952">
        <f>ROUND((G36*J36),2)</f>
        <v>444603.11</v>
      </c>
      <c r="M36" s="1967"/>
      <c r="N36" s="2458">
        <f>VLOOKUP($A36,satpek!$B$20:$L$138,8,0)</f>
        <v>0.94349124553493002</v>
      </c>
      <c r="O36" s="1954">
        <f>VLOOKUP($A36,satpek!$B$20:$L$138,9,0)</f>
        <v>96672</v>
      </c>
      <c r="P36" s="1954">
        <f>VLOOKUP($A36,satpek!$B$20:$L$138,10,0)</f>
        <v>109239.36</v>
      </c>
      <c r="Q36" s="1952">
        <f t="shared" si="25"/>
        <v>371220.47999999998</v>
      </c>
      <c r="R36" s="1952">
        <f t="shared" si="26"/>
        <v>419479.14202260348</v>
      </c>
      <c r="S36" s="1955">
        <f t="shared" si="27"/>
        <v>25123.967977396504</v>
      </c>
      <c r="V36" s="1956">
        <v>115782.06</v>
      </c>
      <c r="W36" s="1956">
        <f t="shared" si="5"/>
        <v>3.9999996079131961E-4</v>
      </c>
      <c r="X36" s="1956">
        <f t="shared" si="6"/>
        <v>444603.11039999995</v>
      </c>
      <c r="Y36" s="1836" t="s">
        <v>1906</v>
      </c>
      <c r="AC36" s="1836"/>
      <c r="AD36" s="1836"/>
      <c r="AE36" s="1836"/>
      <c r="AF36" s="1837">
        <v>114048.64</v>
      </c>
      <c r="AG36" s="1960">
        <f t="shared" si="1"/>
        <v>-1733.4199999999983</v>
      </c>
    </row>
    <row r="37" spans="1:33" ht="21.95" customHeight="1" x14ac:dyDescent="0.2">
      <c r="A37" s="1833">
        <f>satpek!$B$40</f>
        <v>21</v>
      </c>
      <c r="B37" s="1943">
        <f>B36+1</f>
        <v>8</v>
      </c>
      <c r="C37" s="1937"/>
      <c r="D37" s="1944" t="str">
        <f>VLOOKUP($A37,satpek!$B$20:$N$144,2,0)</f>
        <v>Membuat beton mutu f'c = 21,7 Mpa - K 250</v>
      </c>
      <c r="E37" s="1944"/>
      <c r="F37" s="2004"/>
      <c r="G37" s="1945">
        <f>'[3]B.VOL RAB'!Q75</f>
        <v>24.736000000000008</v>
      </c>
      <c r="H37" s="2456" t="str">
        <f>VLOOKUP($A37,satpek!$B$20:$N$144,7,0)</f>
        <v>m3</v>
      </c>
      <c r="I37" s="2457" t="str">
        <f>VLOOKUP($A37,satpek!$B$20:$N$144,5,0)</f>
        <v>A.4.1.1.8.</v>
      </c>
      <c r="J37" s="1951">
        <f>VLOOKUP($A37,satpek!$B$20:$N$144,6,0)</f>
        <v>1115753.29</v>
      </c>
      <c r="K37" s="1938"/>
      <c r="L37" s="1952">
        <f t="shared" ref="L37:L39" si="29">ROUND((G37*J37),2)</f>
        <v>27599273.379999999</v>
      </c>
      <c r="M37" s="1967"/>
      <c r="N37" s="2458">
        <f>VLOOKUP($A37,satpek!$B$20:$L$138,8,0)</f>
        <v>0.93065078521121514</v>
      </c>
      <c r="O37" s="1954">
        <f>VLOOKUP($A37,satpek!$B$20:$L$138,9,0)</f>
        <v>918917.40999999992</v>
      </c>
      <c r="P37" s="1954">
        <f>VLOOKUP($A37,satpek!$B$20:$L$138,10,0)</f>
        <v>1038376.6732999999</v>
      </c>
      <c r="Q37" s="1952">
        <f t="shared" ref="Q37:Q39" si="30">O37*G37</f>
        <v>22730341.053760003</v>
      </c>
      <c r="R37" s="1952">
        <f t="shared" ref="R37:R39" si="31">N37*L37</f>
        <v>25685285.442355987</v>
      </c>
      <c r="S37" s="1955">
        <f t="shared" ref="S37:S39" si="32">L37-R37</f>
        <v>1913987.9376440123</v>
      </c>
      <c r="V37" s="1956">
        <v>1115753.29</v>
      </c>
      <c r="W37" s="1956">
        <f t="shared" si="5"/>
        <v>1.4400109648704529E-3</v>
      </c>
      <c r="X37" s="1956">
        <f t="shared" si="6"/>
        <v>27599273.38144001</v>
      </c>
      <c r="Y37" s="1836" t="s">
        <v>1905</v>
      </c>
      <c r="AC37" s="1836"/>
      <c r="AD37" s="1836"/>
      <c r="AE37" s="1836"/>
      <c r="AF37" s="1837">
        <v>1191397.42</v>
      </c>
      <c r="AG37" s="1960">
        <f t="shared" si="1"/>
        <v>75644.129999999888</v>
      </c>
    </row>
    <row r="38" spans="1:33" ht="21.95" customHeight="1" x14ac:dyDescent="0.2">
      <c r="A38" s="1833">
        <f>satpek!$B$41</f>
        <v>22</v>
      </c>
      <c r="B38" s="1943">
        <f t="shared" ref="B38:B39" si="33">B37+1</f>
        <v>9</v>
      </c>
      <c r="C38" s="1937"/>
      <c r="D38" s="1944" t="str">
        <f>VLOOKUP($A38,satpek!$B$20:$N$144,2,0)</f>
        <v>Pembesian 1 kg dengan besi polos atau besi ulir</v>
      </c>
      <c r="E38" s="1944"/>
      <c r="F38" s="2004"/>
      <c r="G38" s="1945">
        <f>'[3]B.VOL RAB'!Q77</f>
        <v>4504.2409055814333</v>
      </c>
      <c r="H38" s="2456" t="str">
        <f>VLOOKUP($A38,satpek!$B$20:$N$144,7,0)</f>
        <v>kg</v>
      </c>
      <c r="I38" s="2457" t="str">
        <f>VLOOKUP($A38,satpek!$B$20:$N$144,5,0)</f>
        <v>A.4.1.1.17.</v>
      </c>
      <c r="J38" s="1951">
        <f>VLOOKUP($A38,satpek!$B$20:$N$144,6,0)</f>
        <v>15603.94</v>
      </c>
      <c r="K38" s="1938"/>
      <c r="L38" s="1952">
        <f t="shared" si="29"/>
        <v>70283904.840000004</v>
      </c>
      <c r="M38" s="1967"/>
      <c r="N38" s="2458">
        <f>VLOOKUP($A38,satpek!$B$20:$L$138,8,0)</f>
        <v>0.46415793062521393</v>
      </c>
      <c r="O38" s="1954">
        <f>VLOOKUP($A38,satpek!$B$20:$L$138,9,0)</f>
        <v>7242.692500000001</v>
      </c>
      <c r="P38" s="1954">
        <f>VLOOKUP($A38,satpek!$B$20:$L$138,10,0)</f>
        <v>8184.2425250000015</v>
      </c>
      <c r="Q38" s="1952">
        <f t="shared" si="30"/>
        <v>32622831.825047858</v>
      </c>
      <c r="R38" s="1952">
        <f t="shared" si="31"/>
        <v>32622831.826793861</v>
      </c>
      <c r="S38" s="1955">
        <f t="shared" si="32"/>
        <v>37661073.013206139</v>
      </c>
      <c r="V38" s="1956">
        <v>15603.94</v>
      </c>
      <c r="W38" s="1956">
        <f t="shared" si="5"/>
        <v>-3.7616491317749023E-3</v>
      </c>
      <c r="X38" s="1956">
        <f t="shared" si="6"/>
        <v>70283904.836238354</v>
      </c>
      <c r="Y38" s="1836" t="s">
        <v>420</v>
      </c>
      <c r="AC38" s="1836"/>
      <c r="AD38" s="1836"/>
      <c r="AE38" s="1836"/>
      <c r="AF38" s="1837">
        <v>15438.06</v>
      </c>
      <c r="AG38" s="1960">
        <f t="shared" si="1"/>
        <v>-165.88000000000102</v>
      </c>
    </row>
    <row r="39" spans="1:33" ht="21.95" customHeight="1" x14ac:dyDescent="0.2">
      <c r="A39" s="1833">
        <f>satpek!$B$43</f>
        <v>24</v>
      </c>
      <c r="B39" s="1943">
        <f t="shared" si="33"/>
        <v>10</v>
      </c>
      <c r="C39" s="1937"/>
      <c r="D39" s="1944" t="str">
        <f>VLOOKUP($A39,satpek!$B$20:$N$144,2,0)</f>
        <v>Memasang bekisting untuk sloof (2 kali pakai)</v>
      </c>
      <c r="E39" s="1944"/>
      <c r="F39" s="2004"/>
      <c r="G39" s="1945">
        <f>'[3]B.VOL RAB'!Q81</f>
        <v>247.36000000000004</v>
      </c>
      <c r="H39" s="2456" t="str">
        <f>VLOOKUP($A39,satpek!$B$20:$N$144,7,0)</f>
        <v>m2</v>
      </c>
      <c r="I39" s="2457" t="str">
        <f>VLOOKUP($A39,satpek!$B$20:$N$144,5,0)</f>
        <v>A.4.1.1.21.</v>
      </c>
      <c r="J39" s="1951">
        <f>VLOOKUP($A39,satpek!$B$20:$N$144,6,0)</f>
        <v>118889.56</v>
      </c>
      <c r="K39" s="1938"/>
      <c r="L39" s="1952">
        <f t="shared" si="29"/>
        <v>29408521.559999999</v>
      </c>
      <c r="M39" s="1967"/>
      <c r="N39" s="2458">
        <f>VLOOKUP($A39,satpek!$B$20:$L$138,8,0)</f>
        <v>0.94496825457172184</v>
      </c>
      <c r="O39" s="1954">
        <f>VLOOKUP($A39,satpek!$B$20:$L$138,9,0)</f>
        <v>99422</v>
      </c>
      <c r="P39" s="1954">
        <f>VLOOKUP($A39,satpek!$B$20:$L$138,10,0)</f>
        <v>112346.86</v>
      </c>
      <c r="Q39" s="1952">
        <f t="shared" si="30"/>
        <v>24593025.920000006</v>
      </c>
      <c r="R39" s="1952">
        <f t="shared" si="31"/>
        <v>27790119.28808805</v>
      </c>
      <c r="S39" s="1955">
        <f t="shared" si="32"/>
        <v>1618402.2719119489</v>
      </c>
      <c r="V39" s="1956">
        <v>118889.56</v>
      </c>
      <c r="W39" s="1956">
        <f t="shared" si="5"/>
        <v>1.6000047326087952E-3</v>
      </c>
      <c r="X39" s="1956">
        <f t="shared" si="6"/>
        <v>29408521.561600003</v>
      </c>
      <c r="Y39" s="1836" t="s">
        <v>1907</v>
      </c>
      <c r="AC39" s="1836"/>
      <c r="AD39" s="1836"/>
      <c r="AE39" s="1836"/>
      <c r="AF39" s="1837">
        <v>117156.14</v>
      </c>
      <c r="AG39" s="1960">
        <f t="shared" si="1"/>
        <v>-1733.4199999999983</v>
      </c>
    </row>
    <row r="40" spans="1:33" ht="21.95" customHeight="1" x14ac:dyDescent="0.2">
      <c r="A40" s="1833">
        <f>satpek!$B$40</f>
        <v>21</v>
      </c>
      <c r="B40" s="1943">
        <f>B39+1</f>
        <v>11</v>
      </c>
      <c r="C40" s="1937"/>
      <c r="D40" s="1944" t="str">
        <f>VLOOKUP($A40,satpek!$B$20:$N$144,2,0)</f>
        <v>Membuat beton mutu f'c = 21,7 Mpa - K 250</v>
      </c>
      <c r="E40" s="1944"/>
      <c r="F40" s="2004"/>
      <c r="G40" s="1945">
        <f>'[3]B.VOL RAB'!Q85</f>
        <v>13.343999999999998</v>
      </c>
      <c r="H40" s="2456" t="str">
        <f>VLOOKUP($A40,satpek!$B$20:$N$144,7,0)</f>
        <v>m3</v>
      </c>
      <c r="I40" s="2457" t="str">
        <f>VLOOKUP($A40,satpek!$B$20:$N$144,5,0)</f>
        <v>A.4.1.1.8.</v>
      </c>
      <c r="J40" s="1951">
        <f>VLOOKUP($A40,satpek!$B$20:$N$144,6,0)</f>
        <v>1115753.29</v>
      </c>
      <c r="K40" s="1938"/>
      <c r="L40" s="1952">
        <f t="shared" ref="L40:L42" si="34">ROUND((G40*J40),2)</f>
        <v>14888611.9</v>
      </c>
      <c r="M40" s="1967"/>
      <c r="N40" s="2458">
        <f>VLOOKUP($A40,satpek!$B$20:$L$138,8,0)</f>
        <v>0.93065078521121514</v>
      </c>
      <c r="O40" s="1954">
        <f>VLOOKUP($A40,satpek!$B$20:$L$138,9,0)</f>
        <v>918917.40999999992</v>
      </c>
      <c r="P40" s="1954">
        <f>VLOOKUP($A40,satpek!$B$20:$L$138,10,0)</f>
        <v>1038376.6732999999</v>
      </c>
      <c r="Q40" s="1952">
        <f t="shared" ref="Q40:Q42" si="35">O40*G40</f>
        <v>12262033.919039996</v>
      </c>
      <c r="R40" s="1952">
        <f t="shared" ref="R40:R42" si="36">N40*L40</f>
        <v>13856098.355440043</v>
      </c>
      <c r="S40" s="1955">
        <f t="shared" ref="S40:S42" si="37">L40-R40</f>
        <v>1032513.5445599575</v>
      </c>
      <c r="V40" s="1956">
        <v>1115753.29</v>
      </c>
      <c r="W40" s="1956">
        <f t="shared" si="5"/>
        <v>1.7599966377019882E-3</v>
      </c>
      <c r="X40" s="1956">
        <f t="shared" si="6"/>
        <v>14888611.901759997</v>
      </c>
      <c r="Y40" s="1836" t="s">
        <v>1905</v>
      </c>
      <c r="AC40" s="1836"/>
      <c r="AD40" s="1836"/>
      <c r="AE40" s="1836"/>
      <c r="AF40" s="1837">
        <v>1191397.42</v>
      </c>
      <c r="AG40" s="1960">
        <f t="shared" si="1"/>
        <v>75644.129999999888</v>
      </c>
    </row>
    <row r="41" spans="1:33" ht="21.95" customHeight="1" x14ac:dyDescent="0.2">
      <c r="A41" s="1833">
        <f>satpek!$B$41</f>
        <v>22</v>
      </c>
      <c r="B41" s="1943">
        <f t="shared" ref="B41:B42" si="38">B40+1</f>
        <v>12</v>
      </c>
      <c r="C41" s="1937"/>
      <c r="D41" s="1944" t="str">
        <f>VLOOKUP($A41,satpek!$B$20:$N$144,2,0)</f>
        <v>Pembesian 1 kg dengan besi polos atau besi ulir</v>
      </c>
      <c r="E41" s="1944"/>
      <c r="F41" s="2004"/>
      <c r="G41" s="1945">
        <f>'[3]B.VOL RAB'!Q87</f>
        <v>2070.8000451047028</v>
      </c>
      <c r="H41" s="2456" t="str">
        <f>VLOOKUP($A41,satpek!$B$20:$N$144,7,0)</f>
        <v>kg</v>
      </c>
      <c r="I41" s="2457" t="str">
        <f>VLOOKUP($A41,satpek!$B$20:$N$144,5,0)</f>
        <v>A.4.1.1.17.</v>
      </c>
      <c r="J41" s="1951">
        <f>VLOOKUP($A41,satpek!$B$20:$N$144,6,0)</f>
        <v>15603.94</v>
      </c>
      <c r="K41" s="1938"/>
      <c r="L41" s="1952">
        <f t="shared" si="34"/>
        <v>32312639.66</v>
      </c>
      <c r="M41" s="1967"/>
      <c r="N41" s="2458">
        <f>VLOOKUP($A41,satpek!$B$20:$L$138,8,0)</f>
        <v>0.46415793062521393</v>
      </c>
      <c r="O41" s="1954">
        <f>VLOOKUP($A41,satpek!$B$20:$L$138,9,0)</f>
        <v>7242.692500000001</v>
      </c>
      <c r="P41" s="1954">
        <f>VLOOKUP($A41,satpek!$B$20:$L$138,10,0)</f>
        <v>8184.2425250000015</v>
      </c>
      <c r="Q41" s="1952">
        <f t="shared" si="35"/>
        <v>14998167.955679495</v>
      </c>
      <c r="R41" s="1952">
        <f t="shared" si="36"/>
        <v>14998167.957623817</v>
      </c>
      <c r="S41" s="1955">
        <f t="shared" si="37"/>
        <v>17314471.702376183</v>
      </c>
      <c r="V41" s="1956">
        <v>15603.94</v>
      </c>
      <c r="W41" s="1956">
        <f t="shared" si="5"/>
        <v>-4.1889213025569916E-3</v>
      </c>
      <c r="X41" s="1956">
        <f t="shared" si="6"/>
        <v>32312639.655811079</v>
      </c>
      <c r="Y41" s="1836" t="s">
        <v>420</v>
      </c>
      <c r="AC41" s="1836"/>
      <c r="AD41" s="1836"/>
      <c r="AE41" s="1836"/>
      <c r="AF41" s="1837">
        <v>15438.06</v>
      </c>
      <c r="AG41" s="1960">
        <f t="shared" si="1"/>
        <v>-165.88000000000102</v>
      </c>
    </row>
    <row r="42" spans="1:33" ht="21.95" customHeight="1" x14ac:dyDescent="0.2">
      <c r="A42" s="1833">
        <f>satpek!$B$43</f>
        <v>24</v>
      </c>
      <c r="B42" s="1943">
        <f t="shared" si="38"/>
        <v>13</v>
      </c>
      <c r="C42" s="1937"/>
      <c r="D42" s="1944" t="str">
        <f>VLOOKUP($A42,satpek!$B$20:$N$144,2,0)</f>
        <v>Memasang bekisting untuk sloof (2 kali pakai)</v>
      </c>
      <c r="E42" s="1944"/>
      <c r="F42" s="2004"/>
      <c r="G42" s="1945">
        <f>'[3]B.VOL RAB'!Q90</f>
        <v>133.43999999999997</v>
      </c>
      <c r="H42" s="2456" t="str">
        <f>VLOOKUP($A42,satpek!$B$20:$N$144,7,0)</f>
        <v>m2</v>
      </c>
      <c r="I42" s="2457" t="str">
        <f>VLOOKUP($A42,satpek!$B$20:$N$144,5,0)</f>
        <v>A.4.1.1.21.</v>
      </c>
      <c r="J42" s="1951">
        <f>VLOOKUP($A42,satpek!$B$20:$N$144,6,0)</f>
        <v>118889.56</v>
      </c>
      <c r="K42" s="1938"/>
      <c r="L42" s="1952">
        <f t="shared" si="34"/>
        <v>15864622.890000001</v>
      </c>
      <c r="M42" s="1967"/>
      <c r="N42" s="2458">
        <f>VLOOKUP($A42,satpek!$B$20:$L$138,8,0)</f>
        <v>0.94496825457172184</v>
      </c>
      <c r="O42" s="1954">
        <f>VLOOKUP($A42,satpek!$B$20:$L$138,9,0)</f>
        <v>99422</v>
      </c>
      <c r="P42" s="1954">
        <f>VLOOKUP($A42,satpek!$B$20:$L$138,10,0)</f>
        <v>112346.86</v>
      </c>
      <c r="Q42" s="1952">
        <f t="shared" si="35"/>
        <v>13266871.679999998</v>
      </c>
      <c r="R42" s="1952">
        <f t="shared" si="36"/>
        <v>14991565.001801886</v>
      </c>
      <c r="S42" s="1955">
        <f t="shared" si="37"/>
        <v>873057.88819811493</v>
      </c>
      <c r="V42" s="1956">
        <v>118889.56</v>
      </c>
      <c r="W42" s="1956">
        <f t="shared" si="5"/>
        <v>-3.6000050604343414E-3</v>
      </c>
      <c r="X42" s="1956">
        <f t="shared" si="6"/>
        <v>15864622.886399996</v>
      </c>
      <c r="Y42" s="1836" t="s">
        <v>1907</v>
      </c>
      <c r="AC42" s="1836"/>
      <c r="AD42" s="1836"/>
      <c r="AE42" s="1836"/>
      <c r="AF42" s="1837">
        <v>117156.14</v>
      </c>
      <c r="AG42" s="1960">
        <f t="shared" si="1"/>
        <v>-1733.4199999999983</v>
      </c>
    </row>
    <row r="43" spans="1:33" ht="21.95" customHeight="1" x14ac:dyDescent="0.2">
      <c r="A43" s="1833">
        <f>satpek!$B$40</f>
        <v>21</v>
      </c>
      <c r="B43" s="1943">
        <f>B42+1</f>
        <v>14</v>
      </c>
      <c r="C43" s="1937"/>
      <c r="D43" s="1944" t="str">
        <f>VLOOKUP($A43,satpek!$B$20:$N$144,2,0)</f>
        <v>Membuat beton mutu f'c = 21,7 Mpa - K 250</v>
      </c>
      <c r="E43" s="1944"/>
      <c r="F43" s="2004"/>
      <c r="G43" s="1945">
        <f>'[3]B.VOL RAB'!Q93</f>
        <v>2.4750000000000001</v>
      </c>
      <c r="H43" s="2456" t="str">
        <f>VLOOKUP($A43,satpek!$B$20:$N$144,7,0)</f>
        <v>m3</v>
      </c>
      <c r="I43" s="2457" t="str">
        <f>VLOOKUP($A43,satpek!$B$20:$N$144,5,0)</f>
        <v>A.4.1.1.8.</v>
      </c>
      <c r="J43" s="1951">
        <f>VLOOKUP($A43,satpek!$B$20:$N$144,6,0)</f>
        <v>1115753.29</v>
      </c>
      <c r="K43" s="1938"/>
      <c r="L43" s="1952">
        <f t="shared" ref="L43:L45" si="39">ROUND((G43*J43),2)</f>
        <v>2761489.39</v>
      </c>
      <c r="M43" s="1967"/>
      <c r="N43" s="2458">
        <f>VLOOKUP($A43,satpek!$B$20:$L$138,8,0)</f>
        <v>0.93065078521121514</v>
      </c>
      <c r="O43" s="1954">
        <f>VLOOKUP($A43,satpek!$B$20:$L$138,9,0)</f>
        <v>918917.40999999992</v>
      </c>
      <c r="P43" s="1954">
        <f>VLOOKUP($A43,satpek!$B$20:$L$138,10,0)</f>
        <v>1038376.6732999999</v>
      </c>
      <c r="Q43" s="1952">
        <f t="shared" ref="Q43:Q45" si="40">O43*G43</f>
        <v>2274320.5897499998</v>
      </c>
      <c r="R43" s="1952">
        <f t="shared" ref="R43:R45" si="41">N43*L43</f>
        <v>2569982.2691559396</v>
      </c>
      <c r="S43" s="1955">
        <f t="shared" ref="S43:S45" si="42">L43-R43</f>
        <v>191507.12084406056</v>
      </c>
      <c r="V43" s="1956">
        <v>1115753.29</v>
      </c>
      <c r="W43" s="1956">
        <f t="shared" si="5"/>
        <v>2.7499999850988388E-3</v>
      </c>
      <c r="X43" s="1956">
        <f t="shared" si="6"/>
        <v>2761489.3927500001</v>
      </c>
      <c r="Y43" s="1836" t="s">
        <v>1905</v>
      </c>
      <c r="AC43" s="1836"/>
      <c r="AD43" s="1836"/>
      <c r="AE43" s="1836"/>
      <c r="AF43" s="1837">
        <v>1191397.42</v>
      </c>
      <c r="AG43" s="1960">
        <f t="shared" si="1"/>
        <v>75644.129999999888</v>
      </c>
    </row>
    <row r="44" spans="1:33" ht="21.95" customHeight="1" x14ac:dyDescent="0.2">
      <c r="A44" s="1833">
        <f>satpek!$B$41</f>
        <v>22</v>
      </c>
      <c r="B44" s="1943">
        <f t="shared" ref="B44:B45" si="43">B43+1</f>
        <v>15</v>
      </c>
      <c r="C44" s="1937"/>
      <c r="D44" s="1944" t="str">
        <f>VLOOKUP($A44,satpek!$B$20:$N$144,2,0)</f>
        <v>Pembesian 1 kg dengan besi polos atau besi ulir</v>
      </c>
      <c r="E44" s="1944"/>
      <c r="F44" s="2004"/>
      <c r="G44" s="1945">
        <f>'[3]B.VOL RAB'!Q95</f>
        <v>547.33738272710912</v>
      </c>
      <c r="H44" s="2456" t="str">
        <f>VLOOKUP($A44,satpek!$B$20:$N$144,7,0)</f>
        <v>kg</v>
      </c>
      <c r="I44" s="2457" t="str">
        <f>VLOOKUP($A44,satpek!$B$20:$N$144,5,0)</f>
        <v>A.4.1.1.17.</v>
      </c>
      <c r="J44" s="1951">
        <f>VLOOKUP($A44,satpek!$B$20:$N$144,6,0)</f>
        <v>15603.94</v>
      </c>
      <c r="K44" s="1938"/>
      <c r="L44" s="1952">
        <f t="shared" si="39"/>
        <v>8540619.6799999997</v>
      </c>
      <c r="M44" s="1967"/>
      <c r="N44" s="2458">
        <f>VLOOKUP($A44,satpek!$B$20:$L$138,8,0)</f>
        <v>0.46415793062521393</v>
      </c>
      <c r="O44" s="1954">
        <f>VLOOKUP($A44,satpek!$B$20:$L$138,9,0)</f>
        <v>7242.692500000001</v>
      </c>
      <c r="P44" s="1954">
        <f>VLOOKUP($A44,satpek!$B$20:$L$138,10,0)</f>
        <v>8184.2425250000015</v>
      </c>
      <c r="Q44" s="1952">
        <f t="shared" si="40"/>
        <v>3964196.3568472634</v>
      </c>
      <c r="R44" s="1952">
        <f t="shared" si="41"/>
        <v>3964196.3569257767</v>
      </c>
      <c r="S44" s="1955">
        <f t="shared" si="42"/>
        <v>4576423.3230742235</v>
      </c>
      <c r="V44" s="1956">
        <v>15603.94</v>
      </c>
      <c r="W44" s="1956">
        <f t="shared" si="5"/>
        <v>-1.691523939371109E-4</v>
      </c>
      <c r="X44" s="1956">
        <f t="shared" si="6"/>
        <v>8540619.6798308473</v>
      </c>
      <c r="Y44" s="1836" t="s">
        <v>420</v>
      </c>
      <c r="AC44" s="1836"/>
      <c r="AD44" s="1836"/>
      <c r="AE44" s="1836"/>
      <c r="AF44" s="1837">
        <v>15438.06</v>
      </c>
      <c r="AG44" s="1960">
        <f t="shared" si="1"/>
        <v>-165.88000000000102</v>
      </c>
    </row>
    <row r="45" spans="1:33" ht="21.95" customHeight="1" x14ac:dyDescent="0.2">
      <c r="A45" s="1833">
        <f>satpek!$B$43</f>
        <v>24</v>
      </c>
      <c r="B45" s="1943">
        <f t="shared" si="43"/>
        <v>16</v>
      </c>
      <c r="C45" s="1937"/>
      <c r="D45" s="1944" t="str">
        <f>VLOOKUP($A45,satpek!$B$20:$N$144,2,0)</f>
        <v>Memasang bekisting untuk sloof (2 kali pakai)</v>
      </c>
      <c r="E45" s="1944"/>
      <c r="F45" s="2004"/>
      <c r="G45" s="1945">
        <f>'[3]B.VOL RAB'!Q97</f>
        <v>33</v>
      </c>
      <c r="H45" s="2456" t="str">
        <f>VLOOKUP($A45,satpek!$B$20:$N$144,7,0)</f>
        <v>m2</v>
      </c>
      <c r="I45" s="2457" t="str">
        <f>VLOOKUP($A45,satpek!$B$20:$N$144,5,0)</f>
        <v>A.4.1.1.21.</v>
      </c>
      <c r="J45" s="1951">
        <f>VLOOKUP($A45,satpek!$B$20:$N$144,6,0)</f>
        <v>118889.56</v>
      </c>
      <c r="K45" s="1938"/>
      <c r="L45" s="1952">
        <f t="shared" si="39"/>
        <v>3923355.48</v>
      </c>
      <c r="M45" s="1967"/>
      <c r="N45" s="2458">
        <f>VLOOKUP($A45,satpek!$B$20:$L$138,8,0)</f>
        <v>0.94496825457172184</v>
      </c>
      <c r="O45" s="1954">
        <f>VLOOKUP($A45,satpek!$B$20:$L$138,9,0)</f>
        <v>99422</v>
      </c>
      <c r="P45" s="1954">
        <f>VLOOKUP($A45,satpek!$B$20:$L$138,10,0)</f>
        <v>112346.86</v>
      </c>
      <c r="Q45" s="1952">
        <f t="shared" si="40"/>
        <v>3280926</v>
      </c>
      <c r="R45" s="1952">
        <f t="shared" si="41"/>
        <v>3707446.38</v>
      </c>
      <c r="S45" s="1955">
        <f t="shared" si="42"/>
        <v>215909.10000000009</v>
      </c>
      <c r="V45" s="1956">
        <v>118889.56</v>
      </c>
      <c r="W45" s="1956">
        <f t="shared" si="5"/>
        <v>0</v>
      </c>
      <c r="X45" s="1956">
        <f t="shared" si="6"/>
        <v>3923355.48</v>
      </c>
      <c r="Y45" s="1836" t="s">
        <v>1907</v>
      </c>
      <c r="AC45" s="1836"/>
      <c r="AD45" s="1836"/>
      <c r="AE45" s="1836"/>
      <c r="AF45" s="1837">
        <v>117156.14</v>
      </c>
      <c r="AG45" s="1960">
        <f t="shared" si="1"/>
        <v>-1733.4199999999983</v>
      </c>
    </row>
    <row r="46" spans="1:33" ht="21.95" customHeight="1" x14ac:dyDescent="0.2">
      <c r="A46" s="1833">
        <f>satpek!$B$40</f>
        <v>21</v>
      </c>
      <c r="B46" s="1943">
        <f>B45+1</f>
        <v>17</v>
      </c>
      <c r="C46" s="1937"/>
      <c r="D46" s="1944" t="str">
        <f>VLOOKUP($A46,satpek!$B$20:$N$144,2,0)</f>
        <v>Membuat beton mutu f'c = 21,7 Mpa - K 250</v>
      </c>
      <c r="E46" s="1944"/>
      <c r="F46" s="2004"/>
      <c r="G46" s="1945">
        <f>'[3]B.VOL RAB'!Q102</f>
        <v>14.400000000000002</v>
      </c>
      <c r="H46" s="2456" t="str">
        <f>VLOOKUP($A46,satpek!$B$20:$N$144,7,0)</f>
        <v>m3</v>
      </c>
      <c r="I46" s="2457" t="str">
        <f>VLOOKUP($A46,satpek!$B$20:$N$144,5,0)</f>
        <v>A.4.1.1.8.</v>
      </c>
      <c r="J46" s="1951">
        <f>VLOOKUP($A46,satpek!$B$20:$N$144,6,0)</f>
        <v>1115753.29</v>
      </c>
      <c r="K46" s="1938"/>
      <c r="L46" s="1952">
        <f t="shared" ref="L46:L48" si="44">ROUND((G46*J46),2)</f>
        <v>16066847.380000001</v>
      </c>
      <c r="M46" s="1967"/>
      <c r="N46" s="2458">
        <f>VLOOKUP($A46,satpek!$B$20:$L$138,8,0)</f>
        <v>0.93065078521121514</v>
      </c>
      <c r="O46" s="1954">
        <f>VLOOKUP($A46,satpek!$B$20:$L$138,9,0)</f>
        <v>918917.40999999992</v>
      </c>
      <c r="P46" s="1954">
        <f>VLOOKUP($A46,satpek!$B$20:$L$138,10,0)</f>
        <v>1038376.6732999999</v>
      </c>
      <c r="Q46" s="1952">
        <f t="shared" ref="Q46:Q48" si="45">O46*G46</f>
        <v>13232410.704</v>
      </c>
      <c r="R46" s="1952">
        <f t="shared" ref="R46:R48" si="46">N46*L46</f>
        <v>14952624.130065756</v>
      </c>
      <c r="S46" s="1955">
        <f t="shared" ref="S46:S48" si="47">L46-R46</f>
        <v>1114223.2499342449</v>
      </c>
      <c r="V46" s="1956">
        <v>1115753.29</v>
      </c>
      <c r="W46" s="1956">
        <f t="shared" si="5"/>
        <v>-3.9999987930059433E-3</v>
      </c>
      <c r="X46" s="1956">
        <f t="shared" si="6"/>
        <v>16066847.376000002</v>
      </c>
      <c r="Y46" s="1836" t="s">
        <v>1905</v>
      </c>
      <c r="AC46" s="1836"/>
      <c r="AD46" s="1836"/>
      <c r="AE46" s="1836"/>
      <c r="AF46" s="1837">
        <v>1191397.42</v>
      </c>
      <c r="AG46" s="1960">
        <f t="shared" si="1"/>
        <v>75644.129999999888</v>
      </c>
    </row>
    <row r="47" spans="1:33" ht="21.95" customHeight="1" x14ac:dyDescent="0.2">
      <c r="A47" s="1833">
        <f>satpek!$B$41</f>
        <v>22</v>
      </c>
      <c r="B47" s="1943">
        <f t="shared" ref="B47:B48" si="48">B46+1</f>
        <v>18</v>
      </c>
      <c r="C47" s="1937"/>
      <c r="D47" s="1944" t="str">
        <f>VLOOKUP($A47,satpek!$B$20:$N$144,2,0)</f>
        <v>Pembesian 1 kg dengan besi polos atau besi ulir</v>
      </c>
      <c r="E47" s="1944"/>
      <c r="F47" s="2004"/>
      <c r="G47" s="1945">
        <f>'[3]B.VOL RAB'!Q104</f>
        <v>1991.5889437187145</v>
      </c>
      <c r="H47" s="2456" t="str">
        <f>VLOOKUP($A47,satpek!$B$20:$N$144,7,0)</f>
        <v>kg</v>
      </c>
      <c r="I47" s="2457" t="str">
        <f>VLOOKUP($A47,satpek!$B$20:$N$144,5,0)</f>
        <v>A.4.1.1.17.</v>
      </c>
      <c r="J47" s="1951">
        <f>VLOOKUP($A47,satpek!$B$20:$N$144,6,0)</f>
        <v>15603.94</v>
      </c>
      <c r="K47" s="1938"/>
      <c r="L47" s="1952">
        <f t="shared" si="44"/>
        <v>31076634.379999999</v>
      </c>
      <c r="M47" s="1967"/>
      <c r="N47" s="2458">
        <f>VLOOKUP($A47,satpek!$B$20:$L$138,8,0)</f>
        <v>0.46415793062521393</v>
      </c>
      <c r="O47" s="1954">
        <f>VLOOKUP($A47,satpek!$B$20:$L$138,9,0)</f>
        <v>7242.692500000001</v>
      </c>
      <c r="P47" s="1954">
        <f>VLOOKUP($A47,satpek!$B$20:$L$138,10,0)</f>
        <v>8184.2425250000015</v>
      </c>
      <c r="Q47" s="1952">
        <f t="shared" si="45"/>
        <v>14424466.305754459</v>
      </c>
      <c r="R47" s="1952">
        <f t="shared" si="46"/>
        <v>14424466.304617178</v>
      </c>
      <c r="S47" s="1955">
        <f t="shared" si="47"/>
        <v>16652168.075382821</v>
      </c>
      <c r="V47" s="1956">
        <v>15603.94</v>
      </c>
      <c r="W47" s="1956">
        <f t="shared" si="5"/>
        <v>2.4502016603946686E-3</v>
      </c>
      <c r="X47" s="1956">
        <f t="shared" si="6"/>
        <v>31076634.382450201</v>
      </c>
      <c r="Y47" s="1836" t="s">
        <v>420</v>
      </c>
      <c r="AC47" s="1836"/>
      <c r="AD47" s="1836"/>
      <c r="AE47" s="1836"/>
      <c r="AF47" s="1837">
        <v>15438.06</v>
      </c>
      <c r="AG47" s="1960">
        <f t="shared" si="1"/>
        <v>-165.88000000000102</v>
      </c>
    </row>
    <row r="48" spans="1:33" ht="21.95" customHeight="1" x14ac:dyDescent="0.2">
      <c r="A48" s="1833">
        <f>satpek!$B$44</f>
        <v>25</v>
      </c>
      <c r="B48" s="1943">
        <f t="shared" si="48"/>
        <v>19</v>
      </c>
      <c r="C48" s="1937"/>
      <c r="D48" s="1944" t="str">
        <f>VLOOKUP($A48,satpek!$B$20:$N$144,2,0)</f>
        <v>Memasang bekisting untuk kolom (2 kali pakai)</v>
      </c>
      <c r="E48" s="1944"/>
      <c r="F48" s="2004"/>
      <c r="G48" s="1945">
        <f>'[3]B.VOL RAB'!Q106</f>
        <v>57.600000000000009</v>
      </c>
      <c r="H48" s="2456" t="str">
        <f>VLOOKUP($A48,satpek!$B$20:$N$144,7,0)</f>
        <v>m2</v>
      </c>
      <c r="I48" s="2457" t="str">
        <f>VLOOKUP($A48,satpek!$B$20:$N$144,5,0)</f>
        <v>A.4.1.1.22.</v>
      </c>
      <c r="J48" s="1951">
        <f>VLOOKUP($A48,satpek!$B$20:$N$144,6,0)</f>
        <v>192050.28</v>
      </c>
      <c r="K48" s="1938"/>
      <c r="L48" s="1952">
        <f t="shared" si="44"/>
        <v>11062096.130000001</v>
      </c>
      <c r="M48" s="1967"/>
      <c r="N48" s="2458">
        <f>VLOOKUP($A48,satpek!$B$20:$L$138,8,0)</f>
        <v>0.82830850337734474</v>
      </c>
      <c r="O48" s="1954">
        <f>VLOOKUP($A48,satpek!$B$20:$L$138,9,0)</f>
        <v>140776</v>
      </c>
      <c r="P48" s="1954">
        <f>VLOOKUP($A48,satpek!$B$20:$L$138,10,0)</f>
        <v>159076.88</v>
      </c>
      <c r="Q48" s="1952">
        <f t="shared" si="45"/>
        <v>8108697.6000000015</v>
      </c>
      <c r="R48" s="1952">
        <f t="shared" si="46"/>
        <v>9162828.2896566186</v>
      </c>
      <c r="S48" s="1955">
        <f t="shared" si="47"/>
        <v>1899267.8403433822</v>
      </c>
      <c r="V48" s="1956">
        <v>192050.28</v>
      </c>
      <c r="W48" s="1956">
        <f t="shared" si="5"/>
        <v>-1.999998465180397E-3</v>
      </c>
      <c r="X48" s="1956">
        <f t="shared" si="6"/>
        <v>11062096.128000002</v>
      </c>
      <c r="Y48" s="1836" t="s">
        <v>1908</v>
      </c>
      <c r="AC48" s="1836"/>
      <c r="AD48" s="1836"/>
      <c r="AE48" s="1836"/>
      <c r="AF48" s="1837">
        <v>193211.91999999998</v>
      </c>
      <c r="AG48" s="1960">
        <f t="shared" si="1"/>
        <v>1161.6399999999849</v>
      </c>
    </row>
    <row r="49" spans="1:33" ht="21.95" customHeight="1" x14ac:dyDescent="0.2">
      <c r="A49" s="1833">
        <f>satpek!$B$40</f>
        <v>21</v>
      </c>
      <c r="B49" s="1943">
        <f>B48+1</f>
        <v>20</v>
      </c>
      <c r="C49" s="1937"/>
      <c r="D49" s="1944" t="str">
        <f>VLOOKUP($A49,satpek!$B$20:$N$144,2,0)</f>
        <v>Membuat beton mutu f'c = 21,7 Mpa - K 250</v>
      </c>
      <c r="E49" s="1944"/>
      <c r="F49" s="2004"/>
      <c r="G49" s="1945">
        <f>'[3]B.VOL RAB'!Q110</f>
        <v>38.400000000000006</v>
      </c>
      <c r="H49" s="2456" t="str">
        <f>VLOOKUP($A49,satpek!$B$20:$N$144,7,0)</f>
        <v>m3</v>
      </c>
      <c r="I49" s="2457" t="str">
        <f>VLOOKUP($A49,satpek!$B$20:$N$144,5,0)</f>
        <v>A.4.1.1.8.</v>
      </c>
      <c r="J49" s="1951">
        <f>VLOOKUP($A49,satpek!$B$20:$N$144,6,0)</f>
        <v>1115753.29</v>
      </c>
      <c r="K49" s="1938"/>
      <c r="L49" s="1952">
        <f t="shared" ref="L49:L51" si="49">ROUND((G49*J49),2)</f>
        <v>42844926.340000004</v>
      </c>
      <c r="M49" s="1967"/>
      <c r="N49" s="2458">
        <f>VLOOKUP($A49,satpek!$B$20:$L$138,8,0)</f>
        <v>0.93065078521121514</v>
      </c>
      <c r="O49" s="1954">
        <f>VLOOKUP($A49,satpek!$B$20:$L$138,9,0)</f>
        <v>918917.40999999992</v>
      </c>
      <c r="P49" s="1954">
        <f>VLOOKUP($A49,satpek!$B$20:$L$138,10,0)</f>
        <v>1038376.6732999999</v>
      </c>
      <c r="Q49" s="1952">
        <f t="shared" ref="Q49:Q51" si="50">O49*G49</f>
        <v>35286428.544</v>
      </c>
      <c r="R49" s="1952">
        <f t="shared" ref="R49:R51" si="51">N49*L49</f>
        <v>39873664.340637676</v>
      </c>
      <c r="S49" s="1955">
        <f t="shared" ref="S49:S51" si="52">L49-R49</f>
        <v>2971261.9993623272</v>
      </c>
      <c r="V49" s="1956">
        <v>1115753.29</v>
      </c>
      <c r="W49" s="1956">
        <f t="shared" si="5"/>
        <v>-3.9999932050704956E-3</v>
      </c>
      <c r="X49" s="1956">
        <f t="shared" si="6"/>
        <v>42844926.33600001</v>
      </c>
      <c r="Y49" s="1836" t="s">
        <v>1905</v>
      </c>
      <c r="AC49" s="1836"/>
      <c r="AD49" s="1836"/>
      <c r="AE49" s="1836"/>
      <c r="AF49" s="1837">
        <v>1191397.42</v>
      </c>
      <c r="AG49" s="1960">
        <f t="shared" si="1"/>
        <v>75644.129999999888</v>
      </c>
    </row>
    <row r="50" spans="1:33" ht="21.95" customHeight="1" x14ac:dyDescent="0.2">
      <c r="A50" s="1833">
        <f>satpek!$B$41</f>
        <v>22</v>
      </c>
      <c r="B50" s="1943">
        <f t="shared" ref="B50:B51" si="53">B49+1</f>
        <v>21</v>
      </c>
      <c r="C50" s="1937"/>
      <c r="D50" s="1944" t="str">
        <f>VLOOKUP($A50,satpek!$B$20:$N$144,2,0)</f>
        <v>Pembesian 1 kg dengan besi polos atau besi ulir</v>
      </c>
      <c r="E50" s="1944"/>
      <c r="F50" s="2004"/>
      <c r="G50" s="1945">
        <f>'[3]B.VOL RAB'!Q112</f>
        <v>5309.0542372417713</v>
      </c>
      <c r="H50" s="2456" t="str">
        <f>VLOOKUP($A50,satpek!$B$20:$N$144,7,0)</f>
        <v>kg</v>
      </c>
      <c r="I50" s="2457" t="str">
        <f>VLOOKUP($A50,satpek!$B$20:$N$144,5,0)</f>
        <v>A.4.1.1.17.</v>
      </c>
      <c r="J50" s="1951">
        <f>VLOOKUP($A50,satpek!$B$20:$N$144,6,0)</f>
        <v>15603.94</v>
      </c>
      <c r="K50" s="1938"/>
      <c r="L50" s="1952">
        <f t="shared" si="49"/>
        <v>82842163.769999996</v>
      </c>
      <c r="M50" s="1967"/>
      <c r="N50" s="2458">
        <f>VLOOKUP($A50,satpek!$B$20:$L$138,8,0)</f>
        <v>0.46415793062521393</v>
      </c>
      <c r="O50" s="1954">
        <f>VLOOKUP($A50,satpek!$B$20:$L$138,9,0)</f>
        <v>7242.692500000001</v>
      </c>
      <c r="P50" s="1954">
        <f>VLOOKUP($A50,satpek!$B$20:$L$138,10,0)</f>
        <v>8184.2425250000015</v>
      </c>
      <c r="Q50" s="1952">
        <f t="shared" si="50"/>
        <v>38451847.306164205</v>
      </c>
      <c r="R50" s="1952">
        <f t="shared" si="51"/>
        <v>38451847.303998269</v>
      </c>
      <c r="S50" s="1955">
        <f t="shared" si="52"/>
        <v>44390316.466001727</v>
      </c>
      <c r="V50" s="1956">
        <v>15603.94</v>
      </c>
      <c r="W50" s="1956">
        <f t="shared" si="5"/>
        <v>4.6663731336593628E-3</v>
      </c>
      <c r="X50" s="1956">
        <f t="shared" si="6"/>
        <v>82842163.774666369</v>
      </c>
      <c r="Y50" s="1836" t="s">
        <v>420</v>
      </c>
      <c r="AC50" s="1836"/>
      <c r="AD50" s="1836"/>
      <c r="AE50" s="1836"/>
      <c r="AF50" s="1837">
        <v>15438.06</v>
      </c>
      <c r="AG50" s="1960">
        <f t="shared" si="1"/>
        <v>-165.88000000000102</v>
      </c>
    </row>
    <row r="51" spans="1:33" ht="21.95" customHeight="1" x14ac:dyDescent="0.2">
      <c r="A51" s="1833">
        <f>satpek!$B$44</f>
        <v>25</v>
      </c>
      <c r="B51" s="1943">
        <f t="shared" si="53"/>
        <v>22</v>
      </c>
      <c r="C51" s="1937"/>
      <c r="D51" s="1944" t="str">
        <f>VLOOKUP($A51,satpek!$B$20:$N$144,2,0)</f>
        <v>Memasang bekisting untuk kolom (2 kali pakai)</v>
      </c>
      <c r="E51" s="1944"/>
      <c r="F51" s="2004"/>
      <c r="G51" s="1945">
        <f>'[3]B.VOL RAB'!Q115</f>
        <v>153.60000000000002</v>
      </c>
      <c r="H51" s="2456" t="str">
        <f>VLOOKUP($A51,satpek!$B$20:$N$144,7,0)</f>
        <v>m2</v>
      </c>
      <c r="I51" s="2457" t="str">
        <f>VLOOKUP($A51,satpek!$B$20:$N$144,5,0)</f>
        <v>A.4.1.1.22.</v>
      </c>
      <c r="J51" s="1951">
        <f>VLOOKUP($A51,satpek!$B$20:$N$144,6,0)</f>
        <v>192050.28</v>
      </c>
      <c r="K51" s="1938"/>
      <c r="L51" s="1952">
        <f t="shared" si="49"/>
        <v>29498923.010000002</v>
      </c>
      <c r="M51" s="1967"/>
      <c r="N51" s="2458">
        <f>VLOOKUP($A51,satpek!$B$20:$L$138,8,0)</f>
        <v>0.82830850337734474</v>
      </c>
      <c r="O51" s="1954">
        <f>VLOOKUP($A51,satpek!$B$20:$L$138,9,0)</f>
        <v>140776</v>
      </c>
      <c r="P51" s="1954">
        <f>VLOOKUP($A51,satpek!$B$20:$L$138,10,0)</f>
        <v>159076.88</v>
      </c>
      <c r="Q51" s="1952">
        <f t="shared" si="50"/>
        <v>21623193.600000001</v>
      </c>
      <c r="R51" s="1952">
        <f t="shared" si="51"/>
        <v>24434208.769656617</v>
      </c>
      <c r="S51" s="1955">
        <f t="shared" si="52"/>
        <v>5064714.2403433844</v>
      </c>
      <c r="V51" s="1956">
        <v>192050.28</v>
      </c>
      <c r="W51" s="1956">
        <f t="shared" si="5"/>
        <v>-1.9999966025352478E-3</v>
      </c>
      <c r="X51" s="1956">
        <f t="shared" si="6"/>
        <v>29498923.008000005</v>
      </c>
      <c r="Y51" s="1836" t="s">
        <v>1908</v>
      </c>
      <c r="AC51" s="1836"/>
      <c r="AD51" s="1836"/>
      <c r="AE51" s="1836"/>
      <c r="AF51" s="1837">
        <v>193211.91999999998</v>
      </c>
      <c r="AG51" s="1960">
        <f t="shared" si="1"/>
        <v>1161.6399999999849</v>
      </c>
    </row>
    <row r="52" spans="1:33" ht="21.95" customHeight="1" x14ac:dyDescent="0.2">
      <c r="A52" s="1833">
        <f>satpek!$B$40</f>
        <v>21</v>
      </c>
      <c r="B52" s="1943">
        <f>B51+1</f>
        <v>23</v>
      </c>
      <c r="C52" s="1937"/>
      <c r="D52" s="1944" t="str">
        <f>VLOOKUP($A52,satpek!$B$20:$N$144,2,0)</f>
        <v>Membuat beton mutu f'c = 21,7 Mpa - K 250</v>
      </c>
      <c r="E52" s="1944"/>
      <c r="F52" s="2004"/>
      <c r="G52" s="1945">
        <f>'[3]B.VOL RAB'!Q118</f>
        <v>1.44</v>
      </c>
      <c r="H52" s="2456" t="str">
        <f>VLOOKUP($A52,satpek!$B$20:$N$144,7,0)</f>
        <v>m3</v>
      </c>
      <c r="I52" s="2457" t="str">
        <f>VLOOKUP($A52,satpek!$B$20:$N$144,5,0)</f>
        <v>A.4.1.1.8.</v>
      </c>
      <c r="J52" s="1951">
        <f>VLOOKUP($A52,satpek!$B$20:$N$144,6,0)</f>
        <v>1115753.29</v>
      </c>
      <c r="K52" s="1938"/>
      <c r="L52" s="1952">
        <f t="shared" ref="L52:L54" si="54">ROUND((G52*J52),2)</f>
        <v>1606684.74</v>
      </c>
      <c r="M52" s="1967"/>
      <c r="N52" s="2458">
        <f>VLOOKUP($A52,satpek!$B$20:$L$138,8,0)</f>
        <v>0.93065078521121514</v>
      </c>
      <c r="O52" s="1954">
        <f>VLOOKUP($A52,satpek!$B$20:$L$138,9,0)</f>
        <v>918917.40999999992</v>
      </c>
      <c r="P52" s="1954">
        <f>VLOOKUP($A52,satpek!$B$20:$L$138,10,0)</f>
        <v>1038376.6732999999</v>
      </c>
      <c r="Q52" s="1952">
        <f t="shared" ref="Q52:Q54" si="55">O52*G52</f>
        <v>1323241.0703999999</v>
      </c>
      <c r="R52" s="1952">
        <f t="shared" ref="R52:R54" si="56">N52*L52</f>
        <v>1495262.414867877</v>
      </c>
      <c r="S52" s="1955">
        <f t="shared" ref="S52:S54" si="57">L52-R52</f>
        <v>111422.32513212296</v>
      </c>
      <c r="V52" s="1956">
        <v>1115753.29</v>
      </c>
      <c r="W52" s="1956">
        <f t="shared" si="5"/>
        <v>-2.3999998811632395E-3</v>
      </c>
      <c r="X52" s="1956">
        <f t="shared" si="6"/>
        <v>1606684.7376000001</v>
      </c>
      <c r="Y52" s="1836" t="s">
        <v>1905</v>
      </c>
      <c r="AC52" s="1836"/>
      <c r="AD52" s="1836"/>
      <c r="AE52" s="1836"/>
      <c r="AF52" s="1837">
        <v>1191397.42</v>
      </c>
      <c r="AG52" s="1960">
        <f t="shared" si="1"/>
        <v>75644.129999999888</v>
      </c>
    </row>
    <row r="53" spans="1:33" ht="21.95" customHeight="1" x14ac:dyDescent="0.2">
      <c r="A53" s="1833">
        <f>satpek!$B$41</f>
        <v>22</v>
      </c>
      <c r="B53" s="1943">
        <f t="shared" ref="B53:B54" si="58">B52+1</f>
        <v>24</v>
      </c>
      <c r="C53" s="1937"/>
      <c r="D53" s="1944" t="str">
        <f>VLOOKUP($A53,satpek!$B$20:$N$144,2,0)</f>
        <v>Pembesian 1 kg dengan besi polos atau besi ulir</v>
      </c>
      <c r="E53" s="1944"/>
      <c r="F53" s="2004"/>
      <c r="G53" s="1945">
        <f>'[3]B.VOL RAB'!Q120</f>
        <v>173.56765340332495</v>
      </c>
      <c r="H53" s="2456" t="str">
        <f>VLOOKUP($A53,satpek!$B$20:$N$144,7,0)</f>
        <v>kg</v>
      </c>
      <c r="I53" s="2457" t="str">
        <f>VLOOKUP($A53,satpek!$B$20:$N$144,5,0)</f>
        <v>A.4.1.1.17.</v>
      </c>
      <c r="J53" s="1951">
        <f>VLOOKUP($A53,satpek!$B$20:$N$144,6,0)</f>
        <v>15603.94</v>
      </c>
      <c r="K53" s="1938"/>
      <c r="L53" s="1952">
        <f t="shared" si="54"/>
        <v>2708339.25</v>
      </c>
      <c r="M53" s="1967"/>
      <c r="N53" s="2458">
        <f>VLOOKUP($A53,satpek!$B$20:$L$138,8,0)</f>
        <v>0.46415793062521393</v>
      </c>
      <c r="O53" s="1954">
        <f>VLOOKUP($A53,satpek!$B$20:$L$138,9,0)</f>
        <v>7242.692500000001</v>
      </c>
      <c r="P53" s="1954">
        <f>VLOOKUP($A53,satpek!$B$20:$L$138,10,0)</f>
        <v>8184.2425250000015</v>
      </c>
      <c r="Q53" s="1952">
        <f t="shared" si="55"/>
        <v>1257097.1415468613</v>
      </c>
      <c r="R53" s="1952">
        <f t="shared" si="56"/>
        <v>1257097.1417110439</v>
      </c>
      <c r="S53" s="1955">
        <f t="shared" si="57"/>
        <v>1451242.1082889561</v>
      </c>
      <c r="V53" s="1956">
        <v>15603.94</v>
      </c>
      <c r="W53" s="1956">
        <f t="shared" si="5"/>
        <v>-3.5372143611311913E-4</v>
      </c>
      <c r="X53" s="1956">
        <f t="shared" si="6"/>
        <v>2708339.2496462786</v>
      </c>
      <c r="Y53" s="1836" t="s">
        <v>420</v>
      </c>
      <c r="AC53" s="1836"/>
      <c r="AD53" s="1836"/>
      <c r="AE53" s="1836"/>
      <c r="AF53" s="1837">
        <v>15438.06</v>
      </c>
      <c r="AG53" s="1960">
        <f t="shared" si="1"/>
        <v>-165.88000000000102</v>
      </c>
    </row>
    <row r="54" spans="1:33" ht="21.95" customHeight="1" x14ac:dyDescent="0.2">
      <c r="A54" s="1833">
        <f>satpek!$B$44</f>
        <v>25</v>
      </c>
      <c r="B54" s="1943">
        <f t="shared" si="58"/>
        <v>25</v>
      </c>
      <c r="C54" s="1937"/>
      <c r="D54" s="1944" t="str">
        <f>VLOOKUP($A54,satpek!$B$20:$N$144,2,0)</f>
        <v>Memasang bekisting untuk kolom (2 kali pakai)</v>
      </c>
      <c r="E54" s="1944"/>
      <c r="F54" s="2004"/>
      <c r="G54" s="1945">
        <f>'[3]B.VOL RAB'!Q122</f>
        <v>9.6</v>
      </c>
      <c r="H54" s="2456" t="str">
        <f>VLOOKUP($A54,satpek!$B$20:$N$144,7,0)</f>
        <v>m2</v>
      </c>
      <c r="I54" s="2457" t="str">
        <f>VLOOKUP($A54,satpek!$B$20:$N$144,5,0)</f>
        <v>A.4.1.1.22.</v>
      </c>
      <c r="J54" s="1951">
        <f>VLOOKUP($A54,satpek!$B$20:$N$144,6,0)</f>
        <v>192050.28</v>
      </c>
      <c r="K54" s="1938"/>
      <c r="L54" s="1952">
        <f t="shared" si="54"/>
        <v>1843682.69</v>
      </c>
      <c r="M54" s="1967"/>
      <c r="N54" s="2458">
        <f>VLOOKUP($A54,satpek!$B$20:$L$138,8,0)</f>
        <v>0.82830850337734474</v>
      </c>
      <c r="O54" s="1954">
        <f>VLOOKUP($A54,satpek!$B$20:$L$138,9,0)</f>
        <v>140776</v>
      </c>
      <c r="P54" s="1954">
        <f>VLOOKUP($A54,satpek!$B$20:$L$138,10,0)</f>
        <v>159076.88</v>
      </c>
      <c r="Q54" s="1952">
        <f t="shared" si="55"/>
        <v>1351449.5999999999</v>
      </c>
      <c r="R54" s="1952">
        <f t="shared" si="56"/>
        <v>1527138.049656617</v>
      </c>
      <c r="S54" s="1955">
        <f t="shared" si="57"/>
        <v>316544.64034338295</v>
      </c>
      <c r="V54" s="1956">
        <v>192050.28</v>
      </c>
      <c r="W54" s="1956">
        <f t="shared" si="5"/>
        <v>-2.0000000949949026E-3</v>
      </c>
      <c r="X54" s="1956">
        <f t="shared" si="6"/>
        <v>1843682.6879999998</v>
      </c>
      <c r="Y54" s="1836" t="s">
        <v>1908</v>
      </c>
      <c r="AC54" s="1836"/>
      <c r="AD54" s="1836"/>
      <c r="AE54" s="1836"/>
      <c r="AF54" s="1837">
        <v>193211.91999999998</v>
      </c>
      <c r="AG54" s="1960">
        <f t="shared" si="1"/>
        <v>1161.6399999999849</v>
      </c>
    </row>
    <row r="55" spans="1:33" ht="21.95" customHeight="1" x14ac:dyDescent="0.2">
      <c r="A55" s="1833">
        <f>satpek!$B$47</f>
        <v>28</v>
      </c>
      <c r="B55" s="1943">
        <f>B54+1</f>
        <v>26</v>
      </c>
      <c r="C55" s="1937"/>
      <c r="D55" s="1944" t="str">
        <f>VLOOKUP($A55,satpek!$B$20:$N$144,2,0)</f>
        <v>Membuat kolom praktis beton bertulang 11/11 cm</v>
      </c>
      <c r="E55" s="1944"/>
      <c r="F55" s="2004"/>
      <c r="G55" s="1945">
        <f>'[3]B.VOL RAB'!Q126</f>
        <v>212.79999999999998</v>
      </c>
      <c r="H55" s="2456" t="str">
        <f>VLOOKUP($A55,satpek!$B$20:$N$144,7,0)</f>
        <v>m'</v>
      </c>
      <c r="I55" s="2457" t="str">
        <f>VLOOKUP($A55,satpek!$B$20:$N$144,5,0)</f>
        <v>A.4.1.1.35.</v>
      </c>
      <c r="J55" s="1951">
        <f>VLOOKUP($A55,satpek!$B$20:$N$144,6,0)</f>
        <v>112610.15</v>
      </c>
      <c r="K55" s="1938"/>
      <c r="L55" s="1952">
        <f t="shared" ref="L55:L56" si="59">ROUND((G55*J55),2)</f>
        <v>23963439.920000002</v>
      </c>
      <c r="M55" s="1967"/>
      <c r="N55" s="2458">
        <f>VLOOKUP($A55,satpek!$B$20:$L$138,8,0)</f>
        <v>0.69870322613014901</v>
      </c>
      <c r="O55" s="1954">
        <f>VLOOKUP($A55,satpek!$B$20:$L$138,9,0)</f>
        <v>69629.27</v>
      </c>
      <c r="P55" s="1954">
        <f>VLOOKUP($A55,satpek!$B$20:$L$138,10,0)</f>
        <v>78681.075100000002</v>
      </c>
      <c r="Q55" s="1952">
        <f t="shared" ref="Q55:Q56" si="60">O55*G55</f>
        <v>14817108.655999999</v>
      </c>
      <c r="R55" s="1952">
        <f t="shared" ref="R55:R56" si="61">N55*L55</f>
        <v>16743332.781280002</v>
      </c>
      <c r="S55" s="1955">
        <f t="shared" ref="S55:S56" si="62">L55-R55</f>
        <v>7220107.1387200002</v>
      </c>
      <c r="V55" s="1956">
        <v>112610.15</v>
      </c>
      <c r="W55" s="1956">
        <f t="shared" si="5"/>
        <v>0</v>
      </c>
      <c r="X55" s="1956">
        <f t="shared" si="6"/>
        <v>23963439.919999998</v>
      </c>
      <c r="Y55" s="1836" t="s">
        <v>229</v>
      </c>
      <c r="AC55" s="1836"/>
      <c r="AD55" s="1836"/>
      <c r="AE55" s="1836"/>
      <c r="AF55" s="1837">
        <v>111027.02</v>
      </c>
      <c r="AG55" s="1960">
        <f t="shared" si="1"/>
        <v>-1583.1299999999901</v>
      </c>
    </row>
    <row r="56" spans="1:33" ht="21.95" customHeight="1" x14ac:dyDescent="0.2">
      <c r="A56" s="1833">
        <f>satpek!$B$48</f>
        <v>29</v>
      </c>
      <c r="B56" s="1943">
        <f>B55+1</f>
        <v>27</v>
      </c>
      <c r="C56" s="1937"/>
      <c r="D56" s="1944" t="s">
        <v>1783</v>
      </c>
      <c r="E56" s="1944"/>
      <c r="F56" s="2004"/>
      <c r="G56" s="1945">
        <f>'[3]B.VOL RAB'!Q127</f>
        <v>132</v>
      </c>
      <c r="H56" s="2456" t="str">
        <f>VLOOKUP($A56,satpek!$B$20:$N$144,7,0)</f>
        <v>m'</v>
      </c>
      <c r="I56" s="2457" t="str">
        <f>VLOOKUP($A56,satpek!$B$20:$N$144,5,0)</f>
        <v>A.4.1.1.36.</v>
      </c>
      <c r="J56" s="1951">
        <f>VLOOKUP($A56,satpek!$B$20:$N$144,6,0)</f>
        <v>109402.19</v>
      </c>
      <c r="K56" s="1938"/>
      <c r="L56" s="1952">
        <f t="shared" si="59"/>
        <v>14441089.08</v>
      </c>
      <c r="M56" s="1967"/>
      <c r="N56" s="2458">
        <f>VLOOKUP($A56,satpek!$B$20:$L$138,8,0)</f>
        <v>0.75420720314079981</v>
      </c>
      <c r="O56" s="1954">
        <f>VLOOKUP($A56,satpek!$B$20:$L$138,9,0)</f>
        <v>73019.399999999994</v>
      </c>
      <c r="P56" s="1954">
        <f>VLOOKUP($A56,satpek!$B$20:$L$138,10,0)</f>
        <v>82511.921999999991</v>
      </c>
      <c r="Q56" s="1952">
        <f t="shared" si="60"/>
        <v>9638560.7999999989</v>
      </c>
      <c r="R56" s="1952">
        <f t="shared" si="61"/>
        <v>10891573.405333946</v>
      </c>
      <c r="S56" s="1955">
        <f t="shared" si="62"/>
        <v>3549515.6746660545</v>
      </c>
      <c r="V56" s="1956">
        <v>109402.19</v>
      </c>
      <c r="W56" s="1956">
        <f t="shared" si="5"/>
        <v>0</v>
      </c>
      <c r="X56" s="1956">
        <f t="shared" si="6"/>
        <v>14441089.08</v>
      </c>
      <c r="Y56" s="1836" t="s">
        <v>1783</v>
      </c>
      <c r="AC56" s="1836"/>
      <c r="AD56" s="1836"/>
      <c r="AE56" s="1836"/>
      <c r="AF56" s="1837">
        <v>106967.5</v>
      </c>
      <c r="AG56" s="1960">
        <f t="shared" si="1"/>
        <v>-2434.6900000000023</v>
      </c>
    </row>
    <row r="57" spans="1:33" ht="21.95" customHeight="1" x14ac:dyDescent="0.2">
      <c r="A57" s="1833">
        <f>satpek!$B$40</f>
        <v>21</v>
      </c>
      <c r="B57" s="1943">
        <f>B56+1</f>
        <v>28</v>
      </c>
      <c r="C57" s="1937"/>
      <c r="D57" s="1944" t="str">
        <f>VLOOKUP($A57,satpek!$B$20:$N$144,2,0)</f>
        <v>Membuat beton mutu f'c = 21,7 Mpa - K 250</v>
      </c>
      <c r="E57" s="1944"/>
      <c r="F57" s="2004"/>
      <c r="G57" s="1945">
        <f>'[3]B.VOL RAB'!Q130</f>
        <v>0.128</v>
      </c>
      <c r="H57" s="2456" t="str">
        <f>VLOOKUP($A57,satpek!$B$20:$N$144,7,0)</f>
        <v>m3</v>
      </c>
      <c r="I57" s="2457" t="str">
        <f>VLOOKUP($A57,satpek!$B$20:$N$144,5,0)</f>
        <v>A.4.1.1.8.</v>
      </c>
      <c r="J57" s="1951">
        <f>VLOOKUP($A57,satpek!$B$20:$N$144,6,0)</f>
        <v>1115753.29</v>
      </c>
      <c r="K57" s="1938"/>
      <c r="L57" s="1952">
        <f t="shared" ref="L57:L59" si="63">ROUND((G57*J57),2)</f>
        <v>142816.42000000001</v>
      </c>
      <c r="M57" s="1967"/>
      <c r="N57" s="2458">
        <f>VLOOKUP($A57,satpek!$B$20:$L$138,8,0)</f>
        <v>0.93065078521121514</v>
      </c>
      <c r="O57" s="1954">
        <f>VLOOKUP($A57,satpek!$B$20:$L$138,9,0)</f>
        <v>918917.40999999992</v>
      </c>
      <c r="P57" s="1954">
        <f>VLOOKUP($A57,satpek!$B$20:$L$138,10,0)</f>
        <v>1038376.6732999999</v>
      </c>
      <c r="Q57" s="1952">
        <f t="shared" ref="Q57:Q59" si="64">O57*G57</f>
        <v>117621.42847999999</v>
      </c>
      <c r="R57" s="1952">
        <f t="shared" ref="R57:R59" si="65">N57*L57</f>
        <v>132912.21341405471</v>
      </c>
      <c r="S57" s="1955">
        <f t="shared" ref="S57:S59" si="66">L57-R57</f>
        <v>9904.2065859452996</v>
      </c>
      <c r="V57" s="1956">
        <v>1115753.29</v>
      </c>
      <c r="W57" s="1956">
        <f t="shared" si="5"/>
        <v>1.1200000008102506E-3</v>
      </c>
      <c r="X57" s="1956">
        <f t="shared" si="6"/>
        <v>142816.42112000001</v>
      </c>
      <c r="Y57" s="1836" t="s">
        <v>1905</v>
      </c>
      <c r="AC57" s="1836"/>
      <c r="AD57" s="1836"/>
      <c r="AE57" s="1836"/>
      <c r="AF57" s="1837">
        <v>1191397.42</v>
      </c>
      <c r="AG57" s="1960">
        <f t="shared" si="1"/>
        <v>75644.129999999888</v>
      </c>
    </row>
    <row r="58" spans="1:33" ht="21.95" customHeight="1" x14ac:dyDescent="0.2">
      <c r="A58" s="1833">
        <f>satpek!$B$41</f>
        <v>22</v>
      </c>
      <c r="B58" s="1943">
        <f>B57+1</f>
        <v>29</v>
      </c>
      <c r="C58" s="1937"/>
      <c r="D58" s="1944" t="str">
        <f>VLOOKUP($A58,satpek!$B$20:$N$144,2,0)</f>
        <v>Pembesian 1 kg dengan besi polos atau besi ulir</v>
      </c>
      <c r="E58" s="1944"/>
      <c r="F58" s="2004"/>
      <c r="G58" s="1945">
        <f>'[3]B.VOL RAB'!Q132</f>
        <v>11.632337419335084</v>
      </c>
      <c r="H58" s="2456" t="str">
        <f>VLOOKUP($A58,satpek!$B$20:$N$144,7,0)</f>
        <v>kg</v>
      </c>
      <c r="I58" s="2457" t="str">
        <f>VLOOKUP($A58,satpek!$B$20:$N$144,5,0)</f>
        <v>A.4.1.1.17.</v>
      </c>
      <c r="J58" s="1951">
        <f>VLOOKUP($A58,satpek!$B$20:$N$144,6,0)</f>
        <v>15603.94</v>
      </c>
      <c r="K58" s="1938"/>
      <c r="L58" s="1952">
        <f t="shared" si="63"/>
        <v>181510.3</v>
      </c>
      <c r="M58" s="1967"/>
      <c r="N58" s="2458">
        <f>VLOOKUP($A58,satpek!$B$20:$L$138,8,0)</f>
        <v>0.46415793062521393</v>
      </c>
      <c r="O58" s="1954">
        <f>VLOOKUP($A58,satpek!$B$20:$L$138,9,0)</f>
        <v>7242.692500000001</v>
      </c>
      <c r="P58" s="1954">
        <f>VLOOKUP($A58,satpek!$B$20:$L$138,10,0)</f>
        <v>8184.2425250000015</v>
      </c>
      <c r="Q58" s="1952">
        <f t="shared" si="64"/>
        <v>84249.44298448757</v>
      </c>
      <c r="R58" s="1952">
        <f t="shared" si="65"/>
        <v>84249.445235161766</v>
      </c>
      <c r="S58" s="1955">
        <f t="shared" si="66"/>
        <v>97260.854764838223</v>
      </c>
      <c r="V58" s="1956">
        <v>15603.94</v>
      </c>
      <c r="W58" s="1956">
        <f t="shared" si="5"/>
        <v>-4.8489405016880482E-3</v>
      </c>
      <c r="X58" s="1956">
        <f t="shared" si="6"/>
        <v>181510.29515105949</v>
      </c>
      <c r="Y58" s="1836" t="s">
        <v>420</v>
      </c>
      <c r="AC58" s="1836"/>
      <c r="AD58" s="1836"/>
      <c r="AE58" s="1836"/>
      <c r="AF58" s="1837">
        <v>15438.06</v>
      </c>
      <c r="AG58" s="1960">
        <f t="shared" si="1"/>
        <v>-165.88000000000102</v>
      </c>
    </row>
    <row r="59" spans="1:33" ht="21.95" customHeight="1" x14ac:dyDescent="0.2">
      <c r="A59" s="1833">
        <f>satpek!B46</f>
        <v>27</v>
      </c>
      <c r="B59" s="1943">
        <f>B58+1</f>
        <v>30</v>
      </c>
      <c r="C59" s="1937"/>
      <c r="D59" s="1944" t="s">
        <v>1785</v>
      </c>
      <c r="E59" s="1944"/>
      <c r="F59" s="2004"/>
      <c r="G59" s="1945">
        <f>'[3]B.VOL RAB'!Q134</f>
        <v>2.048</v>
      </c>
      <c r="H59" s="2456" t="str">
        <f>VLOOKUP($A59,satpek!$B$20:$N$144,7,0)</f>
        <v>m2</v>
      </c>
      <c r="I59" s="2457" t="str">
        <f>VLOOKUP($A59,satpek!$B$20:$N$144,5,0)</f>
        <v>A.4.1.1.24</v>
      </c>
      <c r="J59" s="1951">
        <f>VLOOKUP($A59,satpek!$B$20:$N$144,6,0)*0.25</f>
        <v>60725.07</v>
      </c>
      <c r="K59" s="1938"/>
      <c r="L59" s="1952">
        <f t="shared" si="63"/>
        <v>124364.94</v>
      </c>
      <c r="M59" s="1967"/>
      <c r="N59" s="2458">
        <f>VLOOKUP($A59,satpek!$B$20:$L$138,8,0)</f>
        <v>0.76655687675617334</v>
      </c>
      <c r="O59" s="1954">
        <f>VLOOKUP($A59,satpek!$B$20:$L$138,9,0)</f>
        <v>164776</v>
      </c>
      <c r="P59" s="1954">
        <f>VLOOKUP($A59,satpek!$B$20:$L$138,10,0)</f>
        <v>186196.88</v>
      </c>
      <c r="Q59" s="1952">
        <f t="shared" si="64"/>
        <v>337461.24800000002</v>
      </c>
      <c r="R59" s="1952">
        <f t="shared" si="65"/>
        <v>95332.799984368889</v>
      </c>
      <c r="S59" s="1955">
        <f t="shared" si="66"/>
        <v>29032.140015631114</v>
      </c>
      <c r="V59" s="1956">
        <v>60725.07</v>
      </c>
      <c r="W59" s="1956">
        <f t="shared" si="5"/>
        <v>3.3600000024307519E-3</v>
      </c>
      <c r="X59" s="1956">
        <f t="shared" si="6"/>
        <v>124364.94336</v>
      </c>
      <c r="Y59" s="1836" t="s">
        <v>1785</v>
      </c>
      <c r="AC59" s="1836"/>
      <c r="AD59" s="1836"/>
      <c r="AE59" s="1836"/>
      <c r="AF59" s="1837">
        <v>59938.45</v>
      </c>
      <c r="AG59" s="1960">
        <f t="shared" si="1"/>
        <v>-786.62000000000262</v>
      </c>
    </row>
    <row r="60" spans="1:33" ht="21.95" customHeight="1" x14ac:dyDescent="0.2">
      <c r="A60" s="1833">
        <f>satpek!$B$40</f>
        <v>21</v>
      </c>
      <c r="B60" s="1943">
        <v>1</v>
      </c>
      <c r="C60" s="1937"/>
      <c r="D60" s="1944" t="str">
        <f>VLOOKUP($A60,satpek!$B$20:$N$144,2,0)</f>
        <v>Membuat beton mutu f'c = 21,7 Mpa - K 250</v>
      </c>
      <c r="E60" s="1944"/>
      <c r="F60" s="2004"/>
      <c r="G60" s="1945">
        <f>'[3]B.VOL RAB'!Q140</f>
        <v>35.824499999999993</v>
      </c>
      <c r="H60" s="2456" t="str">
        <f>VLOOKUP($A60,satpek!$B$20:$N$144,7,0)</f>
        <v>m3</v>
      </c>
      <c r="I60" s="2457" t="str">
        <f>VLOOKUP($A60,satpek!$B$20:$N$144,5,0)</f>
        <v>A.4.1.1.8.</v>
      </c>
      <c r="J60" s="1951">
        <f>VLOOKUP($A60,satpek!$B$20:$N$144,6,0)</f>
        <v>1115753.29</v>
      </c>
      <c r="K60" s="1938"/>
      <c r="L60" s="1952">
        <f t="shared" ref="L60:L62" si="67">ROUND((G60*J60),2)</f>
        <v>39971303.740000002</v>
      </c>
      <c r="M60" s="1967"/>
      <c r="N60" s="2458">
        <f>VLOOKUP($A60,satpek!$B$20:$L$138,8,0)</f>
        <v>0.93065078521121514</v>
      </c>
      <c r="O60" s="1954">
        <f>VLOOKUP($A60,satpek!$B$20:$L$138,9,0)</f>
        <v>918917.40999999992</v>
      </c>
      <c r="P60" s="1954">
        <f>VLOOKUP($A60,satpek!$B$20:$L$138,10,0)</f>
        <v>1038376.6732999999</v>
      </c>
      <c r="Q60" s="1952">
        <f t="shared" ref="Q60:Q62" si="68">O60*G60</f>
        <v>32919756.754544992</v>
      </c>
      <c r="R60" s="1952">
        <f t="shared" ref="R60:R62" si="69">N60*L60</f>
        <v>37199325.21154698</v>
      </c>
      <c r="S60" s="1955">
        <f t="shared" ref="S60:S62" si="70">L60-R60</f>
        <v>2771978.5284530222</v>
      </c>
      <c r="V60" s="1956">
        <v>1115753.29</v>
      </c>
      <c r="W60" s="1956">
        <f t="shared" si="5"/>
        <v>-2.3950114846229553E-3</v>
      </c>
      <c r="X60" s="1956">
        <f t="shared" si="6"/>
        <v>39971303.737604991</v>
      </c>
      <c r="Y60" s="1836" t="s">
        <v>1905</v>
      </c>
      <c r="AC60" s="1836"/>
      <c r="AD60" s="1836"/>
      <c r="AE60" s="1836"/>
      <c r="AF60" s="1837">
        <v>1191397.42</v>
      </c>
      <c r="AG60" s="1960">
        <f t="shared" ref="AG60:AG98" si="71">AF60-J60</f>
        <v>75644.129999999888</v>
      </c>
    </row>
    <row r="61" spans="1:33" ht="21.95" customHeight="1" x14ac:dyDescent="0.2">
      <c r="A61" s="1833">
        <f>satpek!$B$41</f>
        <v>22</v>
      </c>
      <c r="B61" s="1943">
        <f>B60+1</f>
        <v>2</v>
      </c>
      <c r="C61" s="1937"/>
      <c r="D61" s="1944" t="str">
        <f>VLOOKUP($A61,satpek!$B$20:$N$144,2,0)</f>
        <v>Pembesian 1 kg dengan besi polos atau besi ulir</v>
      </c>
      <c r="E61" s="1944"/>
      <c r="F61" s="2004"/>
      <c r="G61" s="1945">
        <f>'[3]B.VOL RAB'!Q142</f>
        <v>9036.6563445005468</v>
      </c>
      <c r="H61" s="2456" t="str">
        <f>VLOOKUP($A61,satpek!$B$20:$N$144,7,0)</f>
        <v>kg</v>
      </c>
      <c r="I61" s="2457" t="str">
        <f>VLOOKUP($A61,satpek!$B$20:$N$144,5,0)</f>
        <v>A.4.1.1.17.</v>
      </c>
      <c r="J61" s="1951">
        <f>VLOOKUP($A61,satpek!$B$20:$N$144,6,0)</f>
        <v>15603.94</v>
      </c>
      <c r="K61" s="1938"/>
      <c r="L61" s="1952">
        <f t="shared" si="67"/>
        <v>141007443.40000001</v>
      </c>
      <c r="M61" s="1967"/>
      <c r="N61" s="2458">
        <f>VLOOKUP($A61,satpek!$B$20:$L$138,8,0)</f>
        <v>0.46415793062521393</v>
      </c>
      <c r="O61" s="1954">
        <f>VLOOKUP($A61,satpek!$B$20:$L$138,9,0)</f>
        <v>7242.692500000001</v>
      </c>
      <c r="P61" s="1954">
        <f>VLOOKUP($A61,satpek!$B$20:$L$138,10,0)</f>
        <v>8184.2425250000015</v>
      </c>
      <c r="Q61" s="1952">
        <f t="shared" si="68"/>
        <v>65449723.131391533</v>
      </c>
      <c r="R61" s="1952">
        <f t="shared" si="69"/>
        <v>65449723.131295986</v>
      </c>
      <c r="S61" s="1955">
        <f t="shared" si="70"/>
        <v>75557720.268704027</v>
      </c>
      <c r="V61" s="1956">
        <v>15603.94</v>
      </c>
      <c r="W61" s="1956">
        <f t="shared" si="5"/>
        <v>2.0587444305419922E-4</v>
      </c>
      <c r="X61" s="1956">
        <f t="shared" si="6"/>
        <v>141007443.40020588</v>
      </c>
      <c r="Y61" s="1836" t="s">
        <v>420</v>
      </c>
      <c r="AC61" s="1836"/>
      <c r="AD61" s="1836"/>
      <c r="AE61" s="1836"/>
      <c r="AF61" s="1837">
        <v>15438.06</v>
      </c>
      <c r="AG61" s="1960">
        <f t="shared" si="71"/>
        <v>-165.88000000000102</v>
      </c>
    </row>
    <row r="62" spans="1:33" ht="21.95" customHeight="1" x14ac:dyDescent="0.2">
      <c r="A62" s="1833">
        <f>satpek!$B$45</f>
        <v>26</v>
      </c>
      <c r="B62" s="1943">
        <f>B61+1</f>
        <v>3</v>
      </c>
      <c r="C62" s="1937"/>
      <c r="D62" s="1944" t="str">
        <f>VLOOKUP($A62,satpek!$B$20:$N$144,2,0)</f>
        <v>Memasang bekisting untuk balok (2x pakai)</v>
      </c>
      <c r="E62" s="1944"/>
      <c r="F62" s="2004"/>
      <c r="G62" s="1945">
        <f>'[3]B.VOL RAB'!Q144</f>
        <v>471.37499999999989</v>
      </c>
      <c r="H62" s="2456" t="str">
        <f>VLOOKUP($A62,satpek!$B$20:$N$144,7,0)</f>
        <v>m2</v>
      </c>
      <c r="I62" s="2457" t="str">
        <f>VLOOKUP($A62,satpek!$B$20:$N$144,5,0)</f>
        <v>A.4.1.1.23.</v>
      </c>
      <c r="J62" s="1951">
        <f>VLOOKUP($A62,satpek!$B$20:$N$144,6,0)</f>
        <v>194762.28</v>
      </c>
      <c r="K62" s="1938"/>
      <c r="L62" s="1952">
        <f t="shared" si="67"/>
        <v>91806069.739999995</v>
      </c>
      <c r="M62" s="1967"/>
      <c r="N62" s="2458">
        <f>VLOOKUP($A62,satpek!$B$20:$L$138,8,0)</f>
        <v>0.83069925038873027</v>
      </c>
      <c r="O62" s="1954">
        <f>VLOOKUP($A62,satpek!$B$20:$L$138,9,0)</f>
        <v>143176</v>
      </c>
      <c r="P62" s="1954">
        <f>VLOOKUP($A62,satpek!$B$20:$L$138,10,0)</f>
        <v>161788.88</v>
      </c>
      <c r="Q62" s="1952">
        <f t="shared" si="68"/>
        <v>67489586.999999985</v>
      </c>
      <c r="R62" s="1952">
        <f t="shared" si="69"/>
        <v>76263233.314153492</v>
      </c>
      <c r="S62" s="1955">
        <f t="shared" si="70"/>
        <v>15542836.425846502</v>
      </c>
      <c r="T62" s="2474"/>
      <c r="V62" s="1956">
        <v>194762.28</v>
      </c>
      <c r="W62" s="1956">
        <f t="shared" si="5"/>
        <v>-5.0000101327896118E-3</v>
      </c>
      <c r="X62" s="1956">
        <f t="shared" si="6"/>
        <v>91806069.734999985</v>
      </c>
      <c r="Y62" s="1836" t="s">
        <v>1909</v>
      </c>
      <c r="AC62" s="1836"/>
      <c r="AD62" s="1836"/>
      <c r="AE62" s="1836"/>
      <c r="AF62" s="1837">
        <v>195923.91999999998</v>
      </c>
      <c r="AG62" s="1960">
        <f t="shared" si="71"/>
        <v>1161.6399999999849</v>
      </c>
    </row>
    <row r="63" spans="1:33" ht="21.95" customHeight="1" x14ac:dyDescent="0.2">
      <c r="A63" s="1833">
        <f>satpek!$B$40</f>
        <v>21</v>
      </c>
      <c r="B63" s="1943">
        <v>1</v>
      </c>
      <c r="C63" s="1937"/>
      <c r="D63" s="1944" t="str">
        <f>VLOOKUP($A63,satpek!$B$20:$N$144,2,0)</f>
        <v>Membuat beton mutu f'c = 21,7 Mpa - K 250</v>
      </c>
      <c r="E63" s="1944"/>
      <c r="F63" s="2004"/>
      <c r="G63" s="1945">
        <f>'[3]B.VOL RAB'!Q148</f>
        <v>14.512000000000004</v>
      </c>
      <c r="H63" s="2456" t="str">
        <f>VLOOKUP($A63,satpek!$B$20:$N$144,7,0)</f>
        <v>m3</v>
      </c>
      <c r="I63" s="2457" t="str">
        <f>VLOOKUP($A63,satpek!$B$20:$N$144,5,0)</f>
        <v>A.4.1.1.8.</v>
      </c>
      <c r="J63" s="1951">
        <f>VLOOKUP($A63,satpek!$B$20:$N$144,6,0)</f>
        <v>1115753.29</v>
      </c>
      <c r="K63" s="1938"/>
      <c r="L63" s="1952">
        <f t="shared" ref="L63:L65" si="72">ROUND((G63*J63),2)</f>
        <v>16191811.74</v>
      </c>
      <c r="M63" s="1967"/>
      <c r="N63" s="2458">
        <f>VLOOKUP($A63,satpek!$B$20:$L$138,8,0)</f>
        <v>0.93065078521121514</v>
      </c>
      <c r="O63" s="1954">
        <f>VLOOKUP($A63,satpek!$B$20:$L$138,9,0)</f>
        <v>918917.40999999992</v>
      </c>
      <c r="P63" s="1954">
        <f>VLOOKUP($A63,satpek!$B$20:$L$138,10,0)</f>
        <v>1038376.6732999999</v>
      </c>
      <c r="Q63" s="1952">
        <f t="shared" ref="Q63:Q65" si="73">O63*G63</f>
        <v>13335329.453920003</v>
      </c>
      <c r="R63" s="1952">
        <f t="shared" ref="R63:R65" si="74">N63*L63</f>
        <v>15068922.309823172</v>
      </c>
      <c r="S63" s="1955">
        <f t="shared" ref="S63:S65" si="75">L63-R63</f>
        <v>1122889.4301768281</v>
      </c>
      <c r="V63" s="1956">
        <v>1115753.29</v>
      </c>
      <c r="W63" s="1956">
        <f t="shared" si="5"/>
        <v>4.4800043106079102E-3</v>
      </c>
      <c r="X63" s="1956">
        <f t="shared" si="6"/>
        <v>16191811.744480005</v>
      </c>
      <c r="Y63" s="1836" t="s">
        <v>1905</v>
      </c>
      <c r="AC63" s="1836"/>
      <c r="AD63" s="1836"/>
      <c r="AE63" s="1836"/>
      <c r="AF63" s="1837">
        <v>1191397.42</v>
      </c>
      <c r="AG63" s="1960">
        <f t="shared" si="71"/>
        <v>75644.129999999888</v>
      </c>
    </row>
    <row r="64" spans="1:33" ht="21.95" customHeight="1" x14ac:dyDescent="0.2">
      <c r="A64" s="1833">
        <f>satpek!$B$41</f>
        <v>22</v>
      </c>
      <c r="B64" s="1943">
        <f>B63+1</f>
        <v>2</v>
      </c>
      <c r="C64" s="1937"/>
      <c r="D64" s="1944" t="str">
        <f>VLOOKUP($A64,satpek!$B$20:$N$144,2,0)</f>
        <v>Pembesian 1 kg dengan besi polos atau besi ulir</v>
      </c>
      <c r="E64" s="1944"/>
      <c r="F64" s="2004"/>
      <c r="G64" s="1945">
        <f>'[3]B.VOL RAB'!Q150</f>
        <v>2074.4589900004985</v>
      </c>
      <c r="H64" s="2456" t="str">
        <f>VLOOKUP($A64,satpek!$B$20:$N$144,7,0)</f>
        <v>kg</v>
      </c>
      <c r="I64" s="2457" t="str">
        <f>VLOOKUP($A64,satpek!$B$20:$N$144,5,0)</f>
        <v>A.4.1.1.17.</v>
      </c>
      <c r="J64" s="1951">
        <f>VLOOKUP($A64,satpek!$B$20:$N$144,6,0)</f>
        <v>15603.94</v>
      </c>
      <c r="K64" s="1938"/>
      <c r="L64" s="1952">
        <f t="shared" si="72"/>
        <v>32369733.609999999</v>
      </c>
      <c r="M64" s="1967"/>
      <c r="N64" s="2458">
        <f>VLOOKUP($A64,satpek!$B$20:$L$138,8,0)</f>
        <v>0.46415793062521393</v>
      </c>
      <c r="O64" s="1954">
        <f>VLOOKUP($A64,satpek!$B$20:$L$138,9,0)</f>
        <v>7242.692500000001</v>
      </c>
      <c r="P64" s="1954">
        <f>VLOOKUP($A64,satpek!$B$20:$L$138,10,0)</f>
        <v>8184.2425250000015</v>
      </c>
      <c r="Q64" s="1952">
        <f t="shared" si="73"/>
        <v>15024668.568434188</v>
      </c>
      <c r="R64" s="1952">
        <f t="shared" si="74"/>
        <v>15024668.567307036</v>
      </c>
      <c r="S64" s="1955">
        <f t="shared" si="75"/>
        <v>17345065.042692963</v>
      </c>
      <c r="V64" s="1956">
        <v>15603.94</v>
      </c>
      <c r="W64" s="1956">
        <f t="shared" si="5"/>
        <v>2.4283789098262787E-3</v>
      </c>
      <c r="X64" s="1956">
        <f t="shared" si="6"/>
        <v>32369733.612428378</v>
      </c>
      <c r="Y64" s="1836" t="s">
        <v>420</v>
      </c>
      <c r="AC64" s="1836"/>
      <c r="AD64" s="1836"/>
      <c r="AE64" s="1836"/>
      <c r="AF64" s="1837">
        <v>15438.06</v>
      </c>
      <c r="AG64" s="1960">
        <f t="shared" si="71"/>
        <v>-165.88000000000102</v>
      </c>
    </row>
    <row r="65" spans="1:33" ht="21.95" customHeight="1" x14ac:dyDescent="0.2">
      <c r="A65" s="1833">
        <f>satpek!$B$45</f>
        <v>26</v>
      </c>
      <c r="B65" s="1943">
        <f>B64+1</f>
        <v>3</v>
      </c>
      <c r="C65" s="1937"/>
      <c r="D65" s="1944" t="str">
        <f>VLOOKUP($A65,satpek!$B$20:$N$144,2,0)</f>
        <v>Memasang bekisting untuk balok (2x pakai)</v>
      </c>
      <c r="E65" s="1944"/>
      <c r="F65" s="2004"/>
      <c r="G65" s="1945">
        <f>'[3]B.VOL RAB'!Q152</f>
        <v>181.4</v>
      </c>
      <c r="H65" s="2456" t="str">
        <f>VLOOKUP($A65,satpek!$B$20:$N$144,7,0)</f>
        <v>m2</v>
      </c>
      <c r="I65" s="2457" t="str">
        <f>VLOOKUP($A65,satpek!$B$20:$N$144,5,0)</f>
        <v>A.4.1.1.23.</v>
      </c>
      <c r="J65" s="1951">
        <f>VLOOKUP($A65,satpek!$B$20:$N$144,6,0)</f>
        <v>194762.28</v>
      </c>
      <c r="K65" s="1938"/>
      <c r="L65" s="1952">
        <f t="shared" si="72"/>
        <v>35329877.590000004</v>
      </c>
      <c r="M65" s="1967"/>
      <c r="N65" s="2458">
        <f>VLOOKUP($A65,satpek!$B$20:$L$138,8,0)</f>
        <v>0.83069925038873027</v>
      </c>
      <c r="O65" s="1954">
        <f>VLOOKUP($A65,satpek!$B$20:$L$138,9,0)</f>
        <v>143176</v>
      </c>
      <c r="P65" s="1954">
        <f>VLOOKUP($A65,satpek!$B$20:$L$138,10,0)</f>
        <v>161788.88</v>
      </c>
      <c r="Q65" s="1952">
        <f t="shared" si="73"/>
        <v>25972126.400000002</v>
      </c>
      <c r="R65" s="1952">
        <f t="shared" si="74"/>
        <v>29348502.830338605</v>
      </c>
      <c r="S65" s="1955">
        <f t="shared" si="75"/>
        <v>5981374.7596613988</v>
      </c>
      <c r="V65" s="1956">
        <v>194762.28</v>
      </c>
      <c r="W65" s="1956">
        <f t="shared" si="5"/>
        <v>1.9999966025352478E-3</v>
      </c>
      <c r="X65" s="1956">
        <f t="shared" si="6"/>
        <v>35329877.592</v>
      </c>
      <c r="Y65" s="1836" t="s">
        <v>1909</v>
      </c>
      <c r="AC65" s="1836"/>
      <c r="AD65" s="1836"/>
      <c r="AE65" s="1836"/>
      <c r="AF65" s="1837">
        <v>195923.91999999998</v>
      </c>
      <c r="AG65" s="1960">
        <f t="shared" si="71"/>
        <v>1161.6399999999849</v>
      </c>
    </row>
    <row r="66" spans="1:33" ht="21.95" customHeight="1" x14ac:dyDescent="0.2">
      <c r="A66" s="1833">
        <f>satpek!$B$40</f>
        <v>21</v>
      </c>
      <c r="B66" s="1943">
        <v>1</v>
      </c>
      <c r="C66" s="1937"/>
      <c r="D66" s="1944" t="str">
        <f>VLOOKUP($A66,satpek!$B$20:$N$144,2,0)</f>
        <v>Membuat beton mutu f'c = 21,7 Mpa - K 250</v>
      </c>
      <c r="E66" s="1944"/>
      <c r="F66" s="2004"/>
      <c r="G66" s="1945">
        <f>'[3]B.VOL RAB'!Q156</f>
        <v>10.17</v>
      </c>
      <c r="H66" s="2456" t="str">
        <f>VLOOKUP($A66,satpek!$B$20:$N$144,7,0)</f>
        <v>m3</v>
      </c>
      <c r="I66" s="2457" t="str">
        <f>VLOOKUP($A66,satpek!$B$20:$N$144,5,0)</f>
        <v>A.4.1.1.8.</v>
      </c>
      <c r="J66" s="1951">
        <f>VLOOKUP($A66,satpek!$B$20:$N$144,6,0)</f>
        <v>1115753.29</v>
      </c>
      <c r="K66" s="1938"/>
      <c r="L66" s="1952">
        <f t="shared" ref="L66:L68" si="76">ROUND((G66*J66),2)</f>
        <v>11347210.960000001</v>
      </c>
      <c r="M66" s="1967"/>
      <c r="N66" s="2458">
        <f>VLOOKUP($A66,satpek!$B$20:$L$138,8,0)</f>
        <v>0.93065078521121514</v>
      </c>
      <c r="O66" s="1954">
        <f>VLOOKUP($A66,satpek!$B$20:$L$138,9,0)</f>
        <v>918917.40999999992</v>
      </c>
      <c r="P66" s="1954">
        <f>VLOOKUP($A66,satpek!$B$20:$L$138,10,0)</f>
        <v>1038376.6732999999</v>
      </c>
      <c r="Q66" s="1952">
        <f t="shared" ref="Q66:Q68" si="77">O66*G66</f>
        <v>9345390.0596999992</v>
      </c>
      <c r="R66" s="1952">
        <f t="shared" ref="R66:R68" si="78">N66*L66</f>
        <v>10560290.789881308</v>
      </c>
      <c r="S66" s="1955">
        <f t="shared" ref="S66:S68" si="79">L66-R66</f>
        <v>786920.17011869326</v>
      </c>
      <c r="V66" s="1956">
        <v>1115753.29</v>
      </c>
      <c r="W66" s="1956">
        <f t="shared" si="5"/>
        <v>-7.0000067353248596E-4</v>
      </c>
      <c r="X66" s="1956">
        <f t="shared" si="6"/>
        <v>11347210.9593</v>
      </c>
      <c r="Y66" s="1836" t="s">
        <v>1905</v>
      </c>
      <c r="AC66" s="1836"/>
      <c r="AD66" s="1836"/>
      <c r="AE66" s="1836"/>
      <c r="AF66" s="1837">
        <v>1191397.42</v>
      </c>
      <c r="AG66" s="1960">
        <f t="shared" si="71"/>
        <v>75644.129999999888</v>
      </c>
    </row>
    <row r="67" spans="1:33" ht="21.95" customHeight="1" x14ac:dyDescent="0.2">
      <c r="A67" s="1833">
        <f>satpek!$B$41</f>
        <v>22</v>
      </c>
      <c r="B67" s="1943">
        <f>B66+1</f>
        <v>2</v>
      </c>
      <c r="C67" s="1937"/>
      <c r="D67" s="1944" t="str">
        <f>VLOOKUP($A67,satpek!$B$20:$N$144,2,0)</f>
        <v>Pembesian 1 kg dengan besi polos atau besi ulir</v>
      </c>
      <c r="E67" s="1944"/>
      <c r="F67" s="2004"/>
      <c r="G67" s="1945">
        <f>'[3]B.VOL RAB'!Q158</f>
        <v>2361.0873008388248</v>
      </c>
      <c r="H67" s="2456" t="str">
        <f>VLOOKUP($A67,satpek!$B$20:$N$144,7,0)</f>
        <v>kg</v>
      </c>
      <c r="I67" s="2457" t="str">
        <f>VLOOKUP($A67,satpek!$B$20:$N$144,5,0)</f>
        <v>A.4.1.1.17.</v>
      </c>
      <c r="J67" s="1951">
        <f>VLOOKUP($A67,satpek!$B$20:$N$144,6,0)</f>
        <v>15603.94</v>
      </c>
      <c r="K67" s="1938"/>
      <c r="L67" s="1952">
        <f t="shared" si="76"/>
        <v>36842264.579999998</v>
      </c>
      <c r="M67" s="1967"/>
      <c r="N67" s="2458">
        <f>VLOOKUP($A67,satpek!$B$20:$L$138,8,0)</f>
        <v>0.46415793062521393</v>
      </c>
      <c r="O67" s="1954">
        <f>VLOOKUP($A67,satpek!$B$20:$L$138,9,0)</f>
        <v>7242.692500000001</v>
      </c>
      <c r="P67" s="1954">
        <f>VLOOKUP($A67,satpek!$B$20:$L$138,10,0)</f>
        <v>8184.2425250000015</v>
      </c>
      <c r="Q67" s="1952">
        <f t="shared" si="77"/>
        <v>17100629.285630602</v>
      </c>
      <c r="R67" s="1952">
        <f t="shared" si="78"/>
        <v>17100629.286999416</v>
      </c>
      <c r="S67" s="1955">
        <f t="shared" si="79"/>
        <v>19741635.293000583</v>
      </c>
      <c r="V67" s="1956">
        <v>15603.94</v>
      </c>
      <c r="W67" s="1956">
        <f t="shared" si="5"/>
        <v>-2.9490217566490173E-3</v>
      </c>
      <c r="X67" s="1956">
        <f t="shared" si="6"/>
        <v>36842264.577050976</v>
      </c>
      <c r="Y67" s="1836" t="s">
        <v>420</v>
      </c>
      <c r="AC67" s="1836"/>
      <c r="AD67" s="1836"/>
      <c r="AE67" s="1836"/>
      <c r="AF67" s="1837">
        <v>15438.06</v>
      </c>
      <c r="AG67" s="1960">
        <f t="shared" si="71"/>
        <v>-165.88000000000102</v>
      </c>
    </row>
    <row r="68" spans="1:33" ht="21.95" customHeight="1" x14ac:dyDescent="0.2">
      <c r="A68" s="1833">
        <f>satpek!$B$45</f>
        <v>26</v>
      </c>
      <c r="B68" s="1943">
        <f>B67+1</f>
        <v>3</v>
      </c>
      <c r="C68" s="1937"/>
      <c r="D68" s="1944" t="str">
        <f>VLOOKUP($A68,satpek!$B$20:$N$144,2,0)</f>
        <v>Memasang bekisting untuk balok (2x pakai)</v>
      </c>
      <c r="E68" s="1944"/>
      <c r="F68" s="2004"/>
      <c r="G68" s="1945">
        <f>'[3]B.VOL RAB'!Q160</f>
        <v>135.6</v>
      </c>
      <c r="H68" s="2456" t="str">
        <f>VLOOKUP($A68,satpek!$B$20:$N$144,7,0)</f>
        <v>m2</v>
      </c>
      <c r="I68" s="2457" t="str">
        <f>VLOOKUP($A68,satpek!$B$20:$N$144,5,0)</f>
        <v>A.4.1.1.23.</v>
      </c>
      <c r="J68" s="1951">
        <f>VLOOKUP($A68,satpek!$B$20:$N$144,6,0)</f>
        <v>194762.28</v>
      </c>
      <c r="K68" s="1938"/>
      <c r="L68" s="1952">
        <f t="shared" si="76"/>
        <v>26409765.170000002</v>
      </c>
      <c r="M68" s="1967"/>
      <c r="N68" s="2458">
        <f>VLOOKUP($A68,satpek!$B$20:$L$138,8,0)</f>
        <v>0.83069925038873027</v>
      </c>
      <c r="O68" s="1954">
        <f>VLOOKUP($A68,satpek!$B$20:$L$138,9,0)</f>
        <v>143176</v>
      </c>
      <c r="P68" s="1954">
        <f>VLOOKUP($A68,satpek!$B$20:$L$138,10,0)</f>
        <v>161788.88</v>
      </c>
      <c r="Q68" s="1952">
        <f t="shared" si="77"/>
        <v>19414665.599999998</v>
      </c>
      <c r="R68" s="1952">
        <f t="shared" si="78"/>
        <v>21938572.1296614</v>
      </c>
      <c r="S68" s="1955">
        <f t="shared" si="79"/>
        <v>4471193.0403386019</v>
      </c>
      <c r="V68" s="1956">
        <v>194762.28</v>
      </c>
      <c r="W68" s="1956">
        <f t="shared" si="5"/>
        <v>-2.0000040531158447E-3</v>
      </c>
      <c r="X68" s="1956">
        <f t="shared" si="6"/>
        <v>26409765.167999998</v>
      </c>
      <c r="Y68" s="1836" t="s">
        <v>1909</v>
      </c>
      <c r="AC68" s="1836"/>
      <c r="AD68" s="1836"/>
      <c r="AE68" s="1836"/>
      <c r="AF68" s="1837">
        <v>195923.91999999998</v>
      </c>
      <c r="AG68" s="1960">
        <f t="shared" si="71"/>
        <v>1161.6399999999849</v>
      </c>
    </row>
    <row r="69" spans="1:33" ht="21.95" customHeight="1" x14ac:dyDescent="0.2">
      <c r="A69" s="1833">
        <f>satpek!$B$40</f>
        <v>21</v>
      </c>
      <c r="B69" s="1943">
        <v>1</v>
      </c>
      <c r="C69" s="1937"/>
      <c r="D69" s="1944" t="str">
        <f>VLOOKUP($A69,satpek!$B$20:$N$144,2,0)</f>
        <v>Membuat beton mutu f'c = 21,7 Mpa - K 250</v>
      </c>
      <c r="E69" s="1944"/>
      <c r="F69" s="2004"/>
      <c r="G69" s="1945">
        <f>'[3]B.VOL RAB'!Q164</f>
        <v>2.88</v>
      </c>
      <c r="H69" s="2456" t="str">
        <f>VLOOKUP($A69,satpek!$B$20:$N$144,7,0)</f>
        <v>m3</v>
      </c>
      <c r="I69" s="2457" t="str">
        <f>VLOOKUP($A69,satpek!$B$20:$N$144,5,0)</f>
        <v>A.4.1.1.8.</v>
      </c>
      <c r="J69" s="1951">
        <f>VLOOKUP($A69,satpek!$B$20:$N$144,6,0)</f>
        <v>1115753.29</v>
      </c>
      <c r="K69" s="1938"/>
      <c r="L69" s="1952">
        <f t="shared" ref="L69:L71" si="80">ROUND((G69*J69),2)</f>
        <v>3213369.48</v>
      </c>
      <c r="M69" s="1967"/>
      <c r="N69" s="2458">
        <f>VLOOKUP($A69,satpek!$B$20:$L$138,8,0)</f>
        <v>0.93065078521121514</v>
      </c>
      <c r="O69" s="1954">
        <f>VLOOKUP($A69,satpek!$B$20:$L$138,9,0)</f>
        <v>918917.40999999992</v>
      </c>
      <c r="P69" s="1954">
        <f>VLOOKUP($A69,satpek!$B$20:$L$138,10,0)</f>
        <v>1038376.6732999999</v>
      </c>
      <c r="Q69" s="1952">
        <f t="shared" ref="Q69:Q71" si="81">O69*G69</f>
        <v>2646482.1407999997</v>
      </c>
      <c r="R69" s="1952">
        <f t="shared" ref="R69:R71" si="82">N69*L69</f>
        <v>2990524.8297357541</v>
      </c>
      <c r="S69" s="1955">
        <f t="shared" ref="S69:S71" si="83">L69-R69</f>
        <v>222844.65026424592</v>
      </c>
      <c r="V69" s="1956">
        <v>1115753.29</v>
      </c>
      <c r="W69" s="1956">
        <f t="shared" si="5"/>
        <v>-4.799999762326479E-3</v>
      </c>
      <c r="X69" s="1956">
        <f t="shared" si="6"/>
        <v>3213369.4752000002</v>
      </c>
      <c r="Y69" s="1836" t="s">
        <v>1905</v>
      </c>
      <c r="AC69" s="1836"/>
      <c r="AD69" s="1836"/>
      <c r="AE69" s="1836"/>
      <c r="AF69" s="1837">
        <v>1191397.42</v>
      </c>
      <c r="AG69" s="1960">
        <f t="shared" si="71"/>
        <v>75644.129999999888</v>
      </c>
    </row>
    <row r="70" spans="1:33" ht="21.95" customHeight="1" x14ac:dyDescent="0.2">
      <c r="A70" s="1833">
        <f>satpek!$B$41</f>
        <v>22</v>
      </c>
      <c r="B70" s="1943">
        <f>B69+1</f>
        <v>2</v>
      </c>
      <c r="C70" s="1937"/>
      <c r="D70" s="1944" t="str">
        <f>VLOOKUP($A70,satpek!$B$20:$N$144,2,0)</f>
        <v>Pembesian 1 kg dengan besi polos atau besi ulir</v>
      </c>
      <c r="E70" s="1944"/>
      <c r="F70" s="2004"/>
      <c r="G70" s="1945">
        <f>'[3]B.VOL RAB'!Q166</f>
        <v>607.11686437667709</v>
      </c>
      <c r="H70" s="2456" t="str">
        <f>VLOOKUP($A70,satpek!$B$20:$N$144,7,0)</f>
        <v>kg</v>
      </c>
      <c r="I70" s="2457" t="str">
        <f>VLOOKUP($A70,satpek!$B$20:$N$144,5,0)</f>
        <v>A.4.1.1.17.</v>
      </c>
      <c r="J70" s="1951">
        <f>VLOOKUP($A70,satpek!$B$20:$N$144,6,0)</f>
        <v>15603.94</v>
      </c>
      <c r="K70" s="1938"/>
      <c r="L70" s="1952">
        <f t="shared" si="80"/>
        <v>9473415.1199999992</v>
      </c>
      <c r="M70" s="1967"/>
      <c r="N70" s="2458">
        <f>VLOOKUP($A70,satpek!$B$20:$L$138,8,0)</f>
        <v>0.46415793062521393</v>
      </c>
      <c r="O70" s="1954">
        <f>VLOOKUP($A70,satpek!$B$20:$L$138,9,0)</f>
        <v>7242.692500000001</v>
      </c>
      <c r="P70" s="1954">
        <f>VLOOKUP($A70,satpek!$B$20:$L$138,10,0)</f>
        <v>8184.2425250000015</v>
      </c>
      <c r="Q70" s="1952">
        <f t="shared" si="81"/>
        <v>4397160.7602444766</v>
      </c>
      <c r="R70" s="1952">
        <f t="shared" si="82"/>
        <v>4397160.758052812</v>
      </c>
      <c r="S70" s="1955">
        <f t="shared" si="83"/>
        <v>5076254.3619471872</v>
      </c>
      <c r="V70" s="1956">
        <v>15603.94</v>
      </c>
      <c r="W70" s="1956">
        <f t="shared" si="5"/>
        <v>4.7218073159456253E-3</v>
      </c>
      <c r="X70" s="1956">
        <f t="shared" si="6"/>
        <v>9473415.1247218065</v>
      </c>
      <c r="Y70" s="1836" t="s">
        <v>420</v>
      </c>
      <c r="AC70" s="1836"/>
      <c r="AD70" s="1836"/>
      <c r="AE70" s="1836"/>
      <c r="AF70" s="1837">
        <v>15438.06</v>
      </c>
      <c r="AG70" s="1960">
        <f t="shared" si="71"/>
        <v>-165.88000000000102</v>
      </c>
    </row>
    <row r="71" spans="1:33" ht="21.95" customHeight="1" x14ac:dyDescent="0.2">
      <c r="A71" s="1833">
        <f>satpek!$B$45</f>
        <v>26</v>
      </c>
      <c r="B71" s="1943">
        <f>B70+1</f>
        <v>3</v>
      </c>
      <c r="C71" s="1937"/>
      <c r="D71" s="1944" t="str">
        <f>VLOOKUP($A71,satpek!$B$20:$N$144,2,0)</f>
        <v>Memasang bekisting untuk balok (2x pakai)</v>
      </c>
      <c r="E71" s="1944"/>
      <c r="F71" s="2004"/>
      <c r="G71" s="1945">
        <f>'[3]B.VOL RAB'!Q168</f>
        <v>38.4</v>
      </c>
      <c r="H71" s="2456" t="str">
        <f>VLOOKUP($A71,satpek!$B$20:$N$144,7,0)</f>
        <v>m2</v>
      </c>
      <c r="I71" s="2457" t="str">
        <f>VLOOKUP($A71,satpek!$B$20:$N$144,5,0)</f>
        <v>A.4.1.1.23.</v>
      </c>
      <c r="J71" s="1951">
        <f>VLOOKUP($A71,satpek!$B$20:$N$144,6,0)</f>
        <v>194762.28</v>
      </c>
      <c r="K71" s="1938"/>
      <c r="L71" s="1952">
        <f t="shared" si="80"/>
        <v>7478871.5499999998</v>
      </c>
      <c r="M71" s="1967"/>
      <c r="N71" s="2458">
        <f>VLOOKUP($A71,satpek!$B$20:$L$138,8,0)</f>
        <v>0.83069925038873027</v>
      </c>
      <c r="O71" s="1954">
        <f>VLOOKUP($A71,satpek!$B$20:$L$138,9,0)</f>
        <v>143176</v>
      </c>
      <c r="P71" s="1954">
        <f>VLOOKUP($A71,satpek!$B$20:$L$138,10,0)</f>
        <v>161788.88</v>
      </c>
      <c r="Q71" s="1952">
        <f t="shared" si="81"/>
        <v>5497958.3999999994</v>
      </c>
      <c r="R71" s="1952">
        <f t="shared" si="82"/>
        <v>6212692.9903386012</v>
      </c>
      <c r="S71" s="1955">
        <f t="shared" si="83"/>
        <v>1266178.5596613986</v>
      </c>
      <c r="V71" s="1956">
        <v>194762.28</v>
      </c>
      <c r="W71" s="1956">
        <f t="shared" si="5"/>
        <v>2.0000003278255463E-3</v>
      </c>
      <c r="X71" s="1956">
        <f t="shared" si="6"/>
        <v>7478871.5520000001</v>
      </c>
      <c r="Y71" s="1836" t="s">
        <v>1909</v>
      </c>
      <c r="AC71" s="1836"/>
      <c r="AD71" s="1836"/>
      <c r="AE71" s="1836"/>
      <c r="AF71" s="1837">
        <v>195923.91999999998</v>
      </c>
      <c r="AG71" s="1960">
        <f t="shared" si="71"/>
        <v>1161.6399999999849</v>
      </c>
    </row>
    <row r="72" spans="1:33" ht="21.95" customHeight="1" x14ac:dyDescent="0.2">
      <c r="A72" s="1833">
        <f>satpek!$B$40</f>
        <v>21</v>
      </c>
      <c r="B72" s="1943">
        <v>1</v>
      </c>
      <c r="C72" s="1937"/>
      <c r="D72" s="1944" t="str">
        <f>VLOOKUP($A72,satpek!$B$20:$N$144,2,0)</f>
        <v>Membuat beton mutu f'c = 21,7 Mpa - K 250</v>
      </c>
      <c r="E72" s="1944"/>
      <c r="F72" s="2004"/>
      <c r="G72" s="1945">
        <f>'[3]B.VOL RAB'!Q172</f>
        <v>5.7059999999999986</v>
      </c>
      <c r="H72" s="2456" t="str">
        <f>VLOOKUP($A72,satpek!$B$20:$N$144,7,0)</f>
        <v>m3</v>
      </c>
      <c r="I72" s="2457" t="str">
        <f>VLOOKUP($A72,satpek!$B$20:$N$144,5,0)</f>
        <v>A.4.1.1.8.</v>
      </c>
      <c r="J72" s="1951">
        <f>VLOOKUP($A72,satpek!$B$20:$N$144,6,0)</f>
        <v>1115753.29</v>
      </c>
      <c r="K72" s="1938"/>
      <c r="L72" s="1952">
        <f t="shared" ref="L72:L74" si="84">ROUND((G72*J72),2)</f>
        <v>6366488.2699999996</v>
      </c>
      <c r="M72" s="1967"/>
      <c r="N72" s="2458">
        <f>VLOOKUP($A72,satpek!$B$20:$L$138,8,0)</f>
        <v>0.93065078521121514</v>
      </c>
      <c r="O72" s="1954">
        <f>VLOOKUP($A72,satpek!$B$20:$L$138,9,0)</f>
        <v>918917.40999999992</v>
      </c>
      <c r="P72" s="1954">
        <f>VLOOKUP($A72,satpek!$B$20:$L$138,10,0)</f>
        <v>1038376.6732999999</v>
      </c>
      <c r="Q72" s="1952">
        <f t="shared" ref="Q72:Q74" si="85">O72*G72</f>
        <v>5243342.7414599983</v>
      </c>
      <c r="R72" s="1952">
        <f t="shared" ref="R72:R74" si="86">N72*L72</f>
        <v>5924977.3075134903</v>
      </c>
      <c r="S72" s="1955">
        <f t="shared" ref="S72:S74" si="87">L72-R72</f>
        <v>441510.96248650923</v>
      </c>
      <c r="V72" s="1956">
        <v>1115753.29</v>
      </c>
      <c r="W72" s="1956">
        <f t="shared" si="5"/>
        <v>2.7399994432926178E-3</v>
      </c>
      <c r="X72" s="1956">
        <f t="shared" si="6"/>
        <v>6366488.272739999</v>
      </c>
      <c r="Y72" s="1836" t="s">
        <v>1905</v>
      </c>
      <c r="AC72" s="1836"/>
      <c r="AD72" s="1836"/>
      <c r="AE72" s="1836"/>
      <c r="AF72" s="1837">
        <v>1191397.42</v>
      </c>
      <c r="AG72" s="1960">
        <f t="shared" si="71"/>
        <v>75644.129999999888</v>
      </c>
    </row>
    <row r="73" spans="1:33" ht="21.95" customHeight="1" x14ac:dyDescent="0.2">
      <c r="A73" s="1833">
        <f>satpek!$B$41</f>
        <v>22</v>
      </c>
      <c r="B73" s="1943">
        <f>B72+1</f>
        <v>2</v>
      </c>
      <c r="C73" s="1937"/>
      <c r="D73" s="1944" t="str">
        <f>VLOOKUP($A73,satpek!$B$20:$N$144,2,0)</f>
        <v>Pembesian 1 kg dengan besi polos atau besi ulir</v>
      </c>
      <c r="E73" s="1944"/>
      <c r="F73" s="2004"/>
      <c r="G73" s="1945">
        <f>'[3]B.VOL RAB'!Q174</f>
        <v>1272.2671760379098</v>
      </c>
      <c r="H73" s="2456" t="str">
        <f>VLOOKUP($A73,satpek!$B$20:$N$144,7,0)</f>
        <v>kg</v>
      </c>
      <c r="I73" s="2457" t="str">
        <f>VLOOKUP($A73,satpek!$B$20:$N$144,5,0)</f>
        <v>A.4.1.1.17.</v>
      </c>
      <c r="J73" s="1951">
        <f>VLOOKUP($A73,satpek!$B$20:$N$144,6,0)</f>
        <v>15603.94</v>
      </c>
      <c r="K73" s="1938"/>
      <c r="L73" s="1952">
        <f t="shared" si="84"/>
        <v>19852380.68</v>
      </c>
      <c r="M73" s="1967"/>
      <c r="N73" s="2458">
        <f>VLOOKUP($A73,satpek!$B$20:$L$138,8,0)</f>
        <v>0.46415793062521393</v>
      </c>
      <c r="O73" s="1954">
        <f>VLOOKUP($A73,satpek!$B$20:$L$138,9,0)</f>
        <v>7242.692500000001</v>
      </c>
      <c r="P73" s="1954">
        <f>VLOOKUP($A73,satpek!$B$20:$L$138,10,0)</f>
        <v>8184.2425250000015</v>
      </c>
      <c r="Q73" s="1952">
        <f t="shared" si="85"/>
        <v>9214639.9338859506</v>
      </c>
      <c r="R73" s="1952">
        <f t="shared" si="86"/>
        <v>9214639.9344127774</v>
      </c>
      <c r="S73" s="1955">
        <f t="shared" si="87"/>
        <v>10637740.745587222</v>
      </c>
      <c r="V73" s="1956">
        <v>15603.94</v>
      </c>
      <c r="W73" s="1956">
        <f t="shared" si="5"/>
        <v>-1.1350177228450775E-3</v>
      </c>
      <c r="X73" s="1956">
        <f t="shared" si="6"/>
        <v>19852380.678864982</v>
      </c>
      <c r="Y73" s="1836" t="s">
        <v>420</v>
      </c>
      <c r="AC73" s="1836"/>
      <c r="AD73" s="1836"/>
      <c r="AE73" s="1836"/>
      <c r="AF73" s="1837">
        <v>15438.06</v>
      </c>
      <c r="AG73" s="1960">
        <f t="shared" si="71"/>
        <v>-165.88000000000102</v>
      </c>
    </row>
    <row r="74" spans="1:33" ht="21.95" customHeight="1" x14ac:dyDescent="0.2">
      <c r="A74" s="1833">
        <f>satpek!$B$45</f>
        <v>26</v>
      </c>
      <c r="B74" s="1943">
        <f>B73+1</f>
        <v>3</v>
      </c>
      <c r="C74" s="1937"/>
      <c r="D74" s="1944" t="str">
        <f>VLOOKUP($A74,satpek!$B$20:$N$144,2,0)</f>
        <v>Memasang bekisting untuk balok (2x pakai)</v>
      </c>
      <c r="E74" s="1944"/>
      <c r="F74" s="2004"/>
      <c r="G74" s="1945">
        <f>'[3]B.VOL RAB'!Q176</f>
        <v>95.09999999999998</v>
      </c>
      <c r="H74" s="2456" t="str">
        <f>VLOOKUP($A74,satpek!$B$20:$N$144,7,0)</f>
        <v>m2</v>
      </c>
      <c r="I74" s="2457" t="str">
        <f>VLOOKUP($A74,satpek!$B$20:$N$144,5,0)</f>
        <v>A.4.1.1.23.</v>
      </c>
      <c r="J74" s="1951">
        <f>VLOOKUP($A74,satpek!$B$20:$N$144,6,0)</f>
        <v>194762.28</v>
      </c>
      <c r="K74" s="1938"/>
      <c r="L74" s="1952">
        <f t="shared" si="84"/>
        <v>18521892.829999998</v>
      </c>
      <c r="M74" s="1967"/>
      <c r="N74" s="2458">
        <f>VLOOKUP($A74,satpek!$B$20:$L$138,8,0)</f>
        <v>0.83069925038873027</v>
      </c>
      <c r="O74" s="1954">
        <f>VLOOKUP($A74,satpek!$B$20:$L$138,9,0)</f>
        <v>143176</v>
      </c>
      <c r="P74" s="1954">
        <f>VLOOKUP($A74,satpek!$B$20:$L$138,10,0)</f>
        <v>161788.88</v>
      </c>
      <c r="Q74" s="1952">
        <f t="shared" si="85"/>
        <v>13616037.599999998</v>
      </c>
      <c r="R74" s="1952">
        <f t="shared" si="86"/>
        <v>15386122.489661396</v>
      </c>
      <c r="S74" s="1955">
        <f t="shared" si="87"/>
        <v>3135770.3403386027</v>
      </c>
      <c r="V74" s="1956">
        <v>194762.28</v>
      </c>
      <c r="W74" s="1956">
        <f t="shared" si="5"/>
        <v>-2.0000040531158447E-3</v>
      </c>
      <c r="X74" s="1956">
        <f t="shared" si="6"/>
        <v>18521892.827999994</v>
      </c>
      <c r="Y74" s="1836" t="s">
        <v>1909</v>
      </c>
      <c r="AC74" s="1836"/>
      <c r="AD74" s="1836"/>
      <c r="AE74" s="1836"/>
      <c r="AF74" s="1837">
        <v>195923.91999999998</v>
      </c>
      <c r="AG74" s="1960">
        <f t="shared" si="71"/>
        <v>1161.6399999999849</v>
      </c>
    </row>
    <row r="75" spans="1:33" ht="21.95" customHeight="1" x14ac:dyDescent="0.2">
      <c r="A75" s="1833">
        <f>satpek!$B$40</f>
        <v>21</v>
      </c>
      <c r="B75" s="1943">
        <v>1</v>
      </c>
      <c r="C75" s="1937"/>
      <c r="D75" s="1944" t="str">
        <f>VLOOKUP($A75,satpek!$B$20:$N$144,2,0)</f>
        <v>Membuat beton mutu f'c = 21,7 Mpa - K 250</v>
      </c>
      <c r="E75" s="1944"/>
      <c r="F75" s="2004"/>
      <c r="G75" s="1945">
        <f>'[3]B.VOL RAB'!Q181</f>
        <v>74.461199999999977</v>
      </c>
      <c r="H75" s="2456" t="str">
        <f>VLOOKUP($A75,satpek!$B$20:$N$144,7,0)</f>
        <v>m3</v>
      </c>
      <c r="I75" s="2457" t="str">
        <f>VLOOKUP($A75,satpek!$B$20:$N$144,5,0)</f>
        <v>A.4.1.1.8.</v>
      </c>
      <c r="J75" s="1951">
        <f>VLOOKUP($A75,satpek!$B$20:$N$144,6,0)</f>
        <v>1115753.29</v>
      </c>
      <c r="K75" s="1938"/>
      <c r="L75" s="1952">
        <f t="shared" ref="L75:L77" si="88">ROUND((G75*J75),2)</f>
        <v>83080328.879999995</v>
      </c>
      <c r="M75" s="1967"/>
      <c r="N75" s="2458">
        <f>VLOOKUP($A75,satpek!$B$20:$L$138,8,0)</f>
        <v>0.93065078521121514</v>
      </c>
      <c r="O75" s="1954">
        <f>VLOOKUP($A75,satpek!$B$20:$L$138,9,0)</f>
        <v>918917.40999999992</v>
      </c>
      <c r="P75" s="1954">
        <f>VLOOKUP($A75,satpek!$B$20:$L$138,10,0)</f>
        <v>1038376.6732999999</v>
      </c>
      <c r="Q75" s="1952">
        <f t="shared" ref="Q75:Q77" si="89">O75*G75</f>
        <v>68423693.049491972</v>
      </c>
      <c r="R75" s="1952">
        <f t="shared" ref="R75:R77" si="90">N75*L75</f>
        <v>77318773.307777986</v>
      </c>
      <c r="S75" s="1955">
        <f t="shared" ref="S75:S77" si="91">L75-R75</f>
        <v>5761555.5722220093</v>
      </c>
      <c r="V75" s="1956">
        <v>1115753.29</v>
      </c>
      <c r="W75" s="1956">
        <f t="shared" si="5"/>
        <v>-2.6520192623138428E-3</v>
      </c>
      <c r="X75" s="1956">
        <f t="shared" si="6"/>
        <v>83080328.877347976</v>
      </c>
      <c r="Y75" s="1836" t="s">
        <v>1905</v>
      </c>
      <c r="AC75" s="1836"/>
      <c r="AD75" s="1836"/>
      <c r="AE75" s="1836"/>
      <c r="AF75" s="1837">
        <v>1191397.42</v>
      </c>
      <c r="AG75" s="1960">
        <f t="shared" si="71"/>
        <v>75644.129999999888</v>
      </c>
    </row>
    <row r="76" spans="1:33" ht="21.95" customHeight="1" x14ac:dyDescent="0.2">
      <c r="A76" s="1833">
        <f>satpek!$B$41</f>
        <v>22</v>
      </c>
      <c r="B76" s="1943">
        <f>B75+1</f>
        <v>2</v>
      </c>
      <c r="C76" s="1937"/>
      <c r="D76" s="1944" t="str">
        <f>VLOOKUP($A76,satpek!$B$20:$N$144,2,0)</f>
        <v>Pembesian 1 kg dengan besi polos atau besi ulir</v>
      </c>
      <c r="E76" s="1944"/>
      <c r="F76" s="2004"/>
      <c r="G76" s="1945">
        <f>'[3]B.VOL RAB'!Q183</f>
        <v>6158.315468184197</v>
      </c>
      <c r="H76" s="2456" t="str">
        <f>VLOOKUP($A76,satpek!$B$20:$N$144,7,0)</f>
        <v>kg</v>
      </c>
      <c r="I76" s="2457" t="str">
        <f>VLOOKUP($A76,satpek!$B$20:$N$144,5,0)</f>
        <v>A.4.1.1.17.</v>
      </c>
      <c r="J76" s="1951">
        <f>VLOOKUP($A76,satpek!$B$20:$N$144,6,0)</f>
        <v>15603.94</v>
      </c>
      <c r="K76" s="1938"/>
      <c r="L76" s="1952">
        <f t="shared" si="88"/>
        <v>96093985.069999993</v>
      </c>
      <c r="M76" s="1967"/>
      <c r="N76" s="2458">
        <f>VLOOKUP($A76,satpek!$B$20:$L$138,8,0)</f>
        <v>0.46415793062521393</v>
      </c>
      <c r="O76" s="1954">
        <f>VLOOKUP($A76,satpek!$B$20:$L$138,9,0)</f>
        <v>7242.692500000001</v>
      </c>
      <c r="P76" s="1954">
        <f>VLOOKUP($A76,satpek!$B$20:$L$138,10,0)</f>
        <v>8184.2425250000015</v>
      </c>
      <c r="Q76" s="1952">
        <f t="shared" si="89"/>
        <v>44602785.254051678</v>
      </c>
      <c r="R76" s="1952">
        <f t="shared" si="90"/>
        <v>44602785.255621403</v>
      </c>
      <c r="S76" s="1955">
        <f t="shared" si="91"/>
        <v>51491199.814378589</v>
      </c>
      <c r="V76" s="1956">
        <v>15603.94</v>
      </c>
      <c r="W76" s="1956">
        <f t="shared" si="5"/>
        <v>-3.3818632364273071E-3</v>
      </c>
      <c r="X76" s="1956">
        <f t="shared" si="6"/>
        <v>96093985.06661813</v>
      </c>
      <c r="Y76" s="1836" t="s">
        <v>420</v>
      </c>
      <c r="AC76" s="1836"/>
      <c r="AD76" s="1836"/>
      <c r="AE76" s="1836"/>
      <c r="AF76" s="1837">
        <v>15438.06</v>
      </c>
      <c r="AG76" s="1960">
        <f t="shared" si="71"/>
        <v>-165.88000000000102</v>
      </c>
    </row>
    <row r="77" spans="1:33" ht="21.95" customHeight="1" x14ac:dyDescent="0.2">
      <c r="A77" s="1833">
        <f>satpek!B46</f>
        <v>27</v>
      </c>
      <c r="B77" s="1943">
        <f>B76+1</f>
        <v>3</v>
      </c>
      <c r="C77" s="1937"/>
      <c r="D77" s="1944" t="str">
        <f>VLOOKUP($A77,satpek!$B$20:$N$144,2,0)</f>
        <v>Memasang bekisting untuk lantai (2x pakai)</v>
      </c>
      <c r="E77" s="1944"/>
      <c r="F77" s="2004"/>
      <c r="G77" s="1945">
        <f>'[3]B.VOL RAB'!Q187</f>
        <v>732.87119999999982</v>
      </c>
      <c r="H77" s="2456" t="str">
        <f>VLOOKUP($A77,satpek!$B$20:$N$144,7,0)</f>
        <v>m2</v>
      </c>
      <c r="I77" s="2457" t="str">
        <f>VLOOKUP($A77,satpek!$B$20:$N$144,5,0)</f>
        <v>A.4.1.1.24</v>
      </c>
      <c r="J77" s="1951">
        <f>VLOOKUP($A77,satpek!$B$20:$N$144,6,0)</f>
        <v>242900.28</v>
      </c>
      <c r="K77" s="1938"/>
      <c r="L77" s="1952">
        <f t="shared" si="88"/>
        <v>178014619.68000001</v>
      </c>
      <c r="M77" s="1967"/>
      <c r="N77" s="2458">
        <f>VLOOKUP($A77,satpek!$B$20:$L$138,8,0)</f>
        <v>0.76655687675617334</v>
      </c>
      <c r="O77" s="1954">
        <f>VLOOKUP($A77,satpek!$B$20:$L$138,9,0)</f>
        <v>164776</v>
      </c>
      <c r="P77" s="1954">
        <f>VLOOKUP($A77,satpek!$B$20:$L$138,10,0)</f>
        <v>186196.88</v>
      </c>
      <c r="Q77" s="1952">
        <f t="shared" si="89"/>
        <v>120759584.85119997</v>
      </c>
      <c r="R77" s="1952">
        <f t="shared" si="90"/>
        <v>136458330.87883884</v>
      </c>
      <c r="S77" s="1955">
        <f t="shared" si="91"/>
        <v>41556288.80116117</v>
      </c>
      <c r="V77" s="1956">
        <v>242900.28</v>
      </c>
      <c r="W77" s="1956">
        <f t="shared" si="5"/>
        <v>3.9359331130981445E-3</v>
      </c>
      <c r="X77" s="1956">
        <f t="shared" si="6"/>
        <v>178014619.68393594</v>
      </c>
      <c r="Y77" s="1836" t="s">
        <v>1910</v>
      </c>
      <c r="AC77" s="1836"/>
      <c r="AD77" s="1836"/>
      <c r="AE77" s="1836"/>
      <c r="AF77" s="1837">
        <v>220331.91999999998</v>
      </c>
      <c r="AG77" s="1960">
        <f t="shared" si="71"/>
        <v>-22568.360000000015</v>
      </c>
    </row>
    <row r="78" spans="1:33" ht="21.95" customHeight="1" x14ac:dyDescent="0.2">
      <c r="A78" s="1833">
        <f>satpek!$B$40</f>
        <v>21</v>
      </c>
      <c r="B78" s="1943">
        <v>1</v>
      </c>
      <c r="C78" s="1937"/>
      <c r="D78" s="1944" t="str">
        <f>VLOOKUP($A78,satpek!$B$20:$N$144,2,0)</f>
        <v>Membuat beton mutu f'c = 21,7 Mpa - K 250</v>
      </c>
      <c r="E78" s="1944"/>
      <c r="F78" s="2004"/>
      <c r="G78" s="1945">
        <f>'[3]B.VOL RAB'!Q191</f>
        <v>1.7711999999999999</v>
      </c>
      <c r="H78" s="2456" t="str">
        <f>VLOOKUP($A78,satpek!$B$20:$N$144,7,0)</f>
        <v>m3</v>
      </c>
      <c r="I78" s="2457" t="str">
        <f>VLOOKUP($A78,satpek!$B$20:$N$144,5,0)</f>
        <v>A.4.1.1.8.</v>
      </c>
      <c r="J78" s="1951">
        <f>VLOOKUP($A78,satpek!$B$20:$N$144,6,0)</f>
        <v>1115753.29</v>
      </c>
      <c r="K78" s="1938"/>
      <c r="L78" s="1952">
        <f t="shared" ref="L78:L80" si="92">ROUND((G78*J78),2)</f>
        <v>1976222.23</v>
      </c>
      <c r="M78" s="1967"/>
      <c r="N78" s="2458">
        <f>VLOOKUP($A78,satpek!$B$20:$L$138,8,0)</f>
        <v>0.93065078521121514</v>
      </c>
      <c r="O78" s="1954">
        <f>VLOOKUP($A78,satpek!$B$20:$L$138,9,0)</f>
        <v>918917.40999999992</v>
      </c>
      <c r="P78" s="1954">
        <f>VLOOKUP($A78,satpek!$B$20:$L$138,10,0)</f>
        <v>1038376.6732999999</v>
      </c>
      <c r="Q78" s="1952">
        <f t="shared" ref="Q78:Q80" si="93">O78*G78</f>
        <v>1627586.5165919997</v>
      </c>
      <c r="R78" s="1952">
        <f t="shared" ref="R78:R80" si="94">N78*L78</f>
        <v>1839172.7701013586</v>
      </c>
      <c r="S78" s="1955">
        <f t="shared" ref="S78:S80" si="95">L78-R78</f>
        <v>137049.45989864133</v>
      </c>
      <c r="V78" s="1956">
        <v>1115753.29</v>
      </c>
      <c r="W78" s="1956">
        <f t="shared" si="5"/>
        <v>-2.7520000003278255E-3</v>
      </c>
      <c r="X78" s="1956">
        <f t="shared" si="6"/>
        <v>1976222.227248</v>
      </c>
      <c r="Y78" s="1836" t="s">
        <v>1905</v>
      </c>
      <c r="AC78" s="1836"/>
      <c r="AD78" s="1836"/>
      <c r="AE78" s="1836"/>
      <c r="AF78" s="1837">
        <v>1191397.42</v>
      </c>
      <c r="AG78" s="1960">
        <f t="shared" si="71"/>
        <v>75644.129999999888</v>
      </c>
    </row>
    <row r="79" spans="1:33" ht="21.95" customHeight="1" x14ac:dyDescent="0.2">
      <c r="A79" s="1833">
        <f>satpek!$B$41</f>
        <v>22</v>
      </c>
      <c r="B79" s="1943">
        <f>B78+1</f>
        <v>2</v>
      </c>
      <c r="C79" s="1937"/>
      <c r="D79" s="1944" t="str">
        <f>VLOOKUP($A79,satpek!$B$20:$N$144,2,0)</f>
        <v>Pembesian 1 kg dengan besi polos atau besi ulir</v>
      </c>
      <c r="E79" s="1944"/>
      <c r="F79" s="2004"/>
      <c r="G79" s="1945">
        <f>'[3]B.VOL RAB'!Q194</f>
        <v>210.41193788536071</v>
      </c>
      <c r="H79" s="2456" t="str">
        <f>VLOOKUP($A79,satpek!$B$20:$N$144,7,0)</f>
        <v>kg</v>
      </c>
      <c r="I79" s="2457" t="str">
        <f>VLOOKUP($A79,satpek!$B$20:$N$144,5,0)</f>
        <v>A.4.1.1.17.</v>
      </c>
      <c r="J79" s="1951">
        <f>VLOOKUP($A79,satpek!$B$20:$N$144,6,0)</f>
        <v>15603.94</v>
      </c>
      <c r="K79" s="1938"/>
      <c r="L79" s="1952">
        <f t="shared" si="92"/>
        <v>3283255.25</v>
      </c>
      <c r="M79" s="1967"/>
      <c r="N79" s="2458">
        <f>VLOOKUP($A79,satpek!$B$20:$L$138,8,0)</f>
        <v>0.46415793062521393</v>
      </c>
      <c r="O79" s="1954">
        <f>VLOOKUP($A79,satpek!$B$20:$L$138,9,0)</f>
        <v>7242.692500000001</v>
      </c>
      <c r="P79" s="1954">
        <f>VLOOKUP($A79,satpek!$B$20:$L$138,10,0)</f>
        <v>8184.2425250000015</v>
      </c>
      <c r="Q79" s="1952">
        <f t="shared" si="93"/>
        <v>1523948.9644327681</v>
      </c>
      <c r="R79" s="1952">
        <f t="shared" si="94"/>
        <v>1523948.9625543694</v>
      </c>
      <c r="S79" s="1955">
        <f t="shared" si="95"/>
        <v>1759306.2874456306</v>
      </c>
      <c r="V79" s="1956">
        <v>15603.94</v>
      </c>
      <c r="W79" s="1956">
        <f t="shared" si="5"/>
        <v>4.0468955412507057E-3</v>
      </c>
      <c r="X79" s="1956">
        <f t="shared" si="6"/>
        <v>3283255.2540468955</v>
      </c>
      <c r="Y79" s="1836" t="s">
        <v>420</v>
      </c>
      <c r="AC79" s="1836"/>
      <c r="AD79" s="1836"/>
      <c r="AE79" s="1836"/>
      <c r="AF79" s="1837">
        <v>15438.06</v>
      </c>
      <c r="AG79" s="1960">
        <f t="shared" si="71"/>
        <v>-165.88000000000102</v>
      </c>
    </row>
    <row r="80" spans="1:33" ht="21.95" customHeight="1" x14ac:dyDescent="0.2">
      <c r="A80" s="1833">
        <f>satpek!$B$46</f>
        <v>27</v>
      </c>
      <c r="B80" s="1943">
        <f>B79+1</f>
        <v>3</v>
      </c>
      <c r="C80" s="1937"/>
      <c r="D80" s="1944" t="str">
        <f>VLOOKUP($A80,satpek!$B$20:$N$144,2,0)</f>
        <v>Memasang bekisting untuk lantai (2x pakai)</v>
      </c>
      <c r="E80" s="1944"/>
      <c r="F80" s="2004"/>
      <c r="G80" s="1945">
        <f>'[3]B.VOL RAB'!Q197</f>
        <v>18.216000000000001</v>
      </c>
      <c r="H80" s="2456" t="str">
        <f>VLOOKUP($A80,satpek!$B$20:$N$144,7,0)</f>
        <v>m2</v>
      </c>
      <c r="I80" s="2457" t="str">
        <f>VLOOKUP($A80,satpek!$B$20:$N$144,5,0)</f>
        <v>A.4.1.1.24</v>
      </c>
      <c r="J80" s="1951">
        <f>VLOOKUP($A80,satpek!$B$20:$N$144,6,0)</f>
        <v>242900.28</v>
      </c>
      <c r="K80" s="1938"/>
      <c r="L80" s="1952">
        <f t="shared" si="92"/>
        <v>4424671.5</v>
      </c>
      <c r="M80" s="1967"/>
      <c r="N80" s="2458">
        <f>VLOOKUP($A80,satpek!$B$20:$L$138,8,0)</f>
        <v>0.76655687675617334</v>
      </c>
      <c r="O80" s="1954">
        <f>VLOOKUP($A80,satpek!$B$20:$L$138,9,0)</f>
        <v>164776</v>
      </c>
      <c r="P80" s="1954">
        <f>VLOOKUP($A80,satpek!$B$20:$L$138,10,0)</f>
        <v>186196.88</v>
      </c>
      <c r="Q80" s="1952">
        <f t="shared" si="93"/>
        <v>3001559.6160000004</v>
      </c>
      <c r="R80" s="1952">
        <f t="shared" si="94"/>
        <v>3391762.3657120527</v>
      </c>
      <c r="S80" s="1955">
        <f t="shared" si="95"/>
        <v>1032909.1342879473</v>
      </c>
      <c r="V80" s="1956">
        <v>242900.28</v>
      </c>
      <c r="W80" s="1956">
        <f t="shared" si="5"/>
        <v>4.7999992966651917E-4</v>
      </c>
      <c r="X80" s="1956">
        <f t="shared" si="6"/>
        <v>4424671.5004799999</v>
      </c>
      <c r="Y80" s="1836" t="s">
        <v>1910</v>
      </c>
      <c r="AC80" s="1836"/>
      <c r="AD80" s="1836"/>
      <c r="AE80" s="1836"/>
      <c r="AF80" s="1837">
        <v>220331.91999999998</v>
      </c>
      <c r="AG80" s="1960">
        <f t="shared" si="71"/>
        <v>-22568.360000000015</v>
      </c>
    </row>
    <row r="81" spans="1:33" ht="21.95" customHeight="1" x14ac:dyDescent="0.2">
      <c r="A81" s="1833">
        <f>satpek!$B$40</f>
        <v>21</v>
      </c>
      <c r="B81" s="1943">
        <v>1</v>
      </c>
      <c r="C81" s="1937"/>
      <c r="D81" s="1944" t="str">
        <f>VLOOKUP($A81,satpek!$B$20:$N$144,2,0)</f>
        <v>Membuat beton mutu f'c = 21,7 Mpa - K 250</v>
      </c>
      <c r="E81" s="1944"/>
      <c r="F81" s="2004"/>
      <c r="G81" s="1945">
        <f>'[3]B.VOL RAB'!Q201</f>
        <v>9.516</v>
      </c>
      <c r="H81" s="2456" t="str">
        <f>VLOOKUP($A81,satpek!$B$20:$N$144,7,0)</f>
        <v>m3</v>
      </c>
      <c r="I81" s="2457" t="str">
        <f>VLOOKUP($A81,satpek!$B$20:$N$144,5,0)</f>
        <v>A.4.1.1.8.</v>
      </c>
      <c r="J81" s="1951">
        <f>VLOOKUP($A81,satpek!$B$20:$N$144,6,0)</f>
        <v>1115753.29</v>
      </c>
      <c r="K81" s="1938"/>
      <c r="L81" s="1952">
        <f t="shared" ref="L81:L83" si="96">ROUND((G81*J81),2)</f>
        <v>10617508.310000001</v>
      </c>
      <c r="M81" s="1967"/>
      <c r="N81" s="2458">
        <f>VLOOKUP($A81,satpek!$B$20:$L$138,8,0)</f>
        <v>0.93065078521121514</v>
      </c>
      <c r="O81" s="1954">
        <f>VLOOKUP($A81,satpek!$B$20:$L$138,9,0)</f>
        <v>918917.40999999992</v>
      </c>
      <c r="P81" s="1954">
        <f>VLOOKUP($A81,satpek!$B$20:$L$138,10,0)</f>
        <v>1038376.6732999999</v>
      </c>
      <c r="Q81" s="1952">
        <f t="shared" ref="Q81:Q83" si="97">O81*G81</f>
        <v>8744418.0735599995</v>
      </c>
      <c r="R81" s="1952">
        <f t="shared" ref="R81:R83" si="98">N81*L81</f>
        <v>9881192.4456881024</v>
      </c>
      <c r="S81" s="1955">
        <f t="shared" ref="S81:S83" si="99">L81-R81</f>
        <v>736315.86431189813</v>
      </c>
      <c r="V81" s="1956">
        <v>1115753.29</v>
      </c>
      <c r="W81" s="1956">
        <f t="shared" ref="W81:W144" si="100">X81-L81</f>
        <v>-2.359999343752861E-3</v>
      </c>
      <c r="X81" s="1956">
        <f t="shared" ref="X81:X144" si="101">V81*G81</f>
        <v>10617508.307640001</v>
      </c>
      <c r="Y81" s="1836" t="s">
        <v>1905</v>
      </c>
      <c r="AC81" s="1836"/>
      <c r="AD81" s="1836"/>
      <c r="AE81" s="1836"/>
      <c r="AF81" s="1837">
        <v>1191397.42</v>
      </c>
      <c r="AG81" s="1960">
        <f t="shared" si="71"/>
        <v>75644.129999999888</v>
      </c>
    </row>
    <row r="82" spans="1:33" ht="21.95" customHeight="1" x14ac:dyDescent="0.2">
      <c r="A82" s="1833">
        <f>satpek!$B$41</f>
        <v>22</v>
      </c>
      <c r="B82" s="1943">
        <f>B81+1</f>
        <v>2</v>
      </c>
      <c r="C82" s="1937"/>
      <c r="D82" s="1944" t="str">
        <f>VLOOKUP($A82,satpek!$B$20:$N$144,2,0)</f>
        <v>Pembesian 1 kg dengan besi polos atau besi ulir</v>
      </c>
      <c r="E82" s="1944"/>
      <c r="F82" s="2004"/>
      <c r="G82" s="1945">
        <f>'[3]B.VOL RAB'!Q203</f>
        <v>1212.5413331559116</v>
      </c>
      <c r="H82" s="2456" t="str">
        <f>VLOOKUP($A82,satpek!$B$20:$N$144,7,0)</f>
        <v>kg</v>
      </c>
      <c r="I82" s="2457" t="str">
        <f>VLOOKUP($A82,satpek!$B$20:$N$144,5,0)</f>
        <v>A.4.1.1.17.</v>
      </c>
      <c r="J82" s="1951">
        <f>VLOOKUP($A82,satpek!$B$20:$N$144,6,0)</f>
        <v>15603.94</v>
      </c>
      <c r="K82" s="1938"/>
      <c r="L82" s="1952">
        <f t="shared" si="96"/>
        <v>18920422.210000001</v>
      </c>
      <c r="M82" s="1967"/>
      <c r="N82" s="2458">
        <f>VLOOKUP($A82,satpek!$B$20:$L$138,8,0)</f>
        <v>0.46415793062521393</v>
      </c>
      <c r="O82" s="1954">
        <f>VLOOKUP($A82,satpek!$B$20:$L$138,9,0)</f>
        <v>7242.692500000001</v>
      </c>
      <c r="P82" s="1954">
        <f>VLOOKUP($A82,satpek!$B$20:$L$138,10,0)</f>
        <v>8184.2425250000015</v>
      </c>
      <c r="Q82" s="1952">
        <f t="shared" si="97"/>
        <v>8782064.0195883233</v>
      </c>
      <c r="R82" s="1952">
        <f t="shared" si="98"/>
        <v>8782064.0195489377</v>
      </c>
      <c r="S82" s="1955">
        <f t="shared" si="99"/>
        <v>10138358.190451063</v>
      </c>
      <c r="V82" s="1956">
        <v>15603.94</v>
      </c>
      <c r="W82" s="1956">
        <f t="shared" si="100"/>
        <v>8.4854662418365479E-5</v>
      </c>
      <c r="X82" s="1956">
        <f t="shared" si="101"/>
        <v>18920422.210084856</v>
      </c>
      <c r="Y82" s="1836" t="s">
        <v>420</v>
      </c>
      <c r="AC82" s="1836"/>
      <c r="AD82" s="1836"/>
      <c r="AE82" s="1836"/>
      <c r="AF82" s="1837">
        <v>15438.06</v>
      </c>
      <c r="AG82" s="1960">
        <f t="shared" si="71"/>
        <v>-165.88000000000102</v>
      </c>
    </row>
    <row r="83" spans="1:33" ht="21.95" customHeight="1" x14ac:dyDescent="0.2">
      <c r="A83" s="1833">
        <f>satpek!$B$46</f>
        <v>27</v>
      </c>
      <c r="B83" s="1943">
        <f>B82+1</f>
        <v>3</v>
      </c>
      <c r="C83" s="1937"/>
      <c r="D83" s="1944" t="str">
        <f>VLOOKUP($A83,satpek!$B$20:$N$144,2,0)</f>
        <v>Memasang bekisting untuk lantai (2x pakai)</v>
      </c>
      <c r="E83" s="1944"/>
      <c r="F83" s="2004"/>
      <c r="G83" s="1945">
        <f>'[3]B.VOL RAB'!Q207</f>
        <v>108.73599999999999</v>
      </c>
      <c r="H83" s="2456" t="str">
        <f>VLOOKUP($A83,satpek!$B$20:$N$144,7,0)</f>
        <v>m2</v>
      </c>
      <c r="I83" s="2457" t="str">
        <f>VLOOKUP($A83,satpek!$B$20:$N$144,5,0)</f>
        <v>A.4.1.1.24</v>
      </c>
      <c r="J83" s="1951">
        <f>VLOOKUP($A83,satpek!$B$20:$N$144,6,0)</f>
        <v>242900.28</v>
      </c>
      <c r="K83" s="1938"/>
      <c r="L83" s="1952">
        <f t="shared" si="96"/>
        <v>26412004.850000001</v>
      </c>
      <c r="M83" s="1967"/>
      <c r="N83" s="2458">
        <f>VLOOKUP($A83,satpek!$B$20:$L$138,8,0)</f>
        <v>0.76655687675617334</v>
      </c>
      <c r="O83" s="1954">
        <f>VLOOKUP($A83,satpek!$B$20:$L$138,9,0)</f>
        <v>164776</v>
      </c>
      <c r="P83" s="1954">
        <f>VLOOKUP($A83,satpek!$B$20:$L$138,10,0)</f>
        <v>186196.88</v>
      </c>
      <c r="Q83" s="1952">
        <f t="shared" si="97"/>
        <v>17917083.136</v>
      </c>
      <c r="R83" s="1952">
        <f t="shared" si="98"/>
        <v>20246303.946684904</v>
      </c>
      <c r="S83" s="1955">
        <f t="shared" si="99"/>
        <v>6165700.9033150971</v>
      </c>
      <c r="V83" s="1956">
        <v>242900.28</v>
      </c>
      <c r="W83" s="1956">
        <f t="shared" si="100"/>
        <v>-3.9200037717819214E-3</v>
      </c>
      <c r="X83" s="1956">
        <f t="shared" si="101"/>
        <v>26412004.846079998</v>
      </c>
      <c r="Y83" s="1836" t="s">
        <v>1910</v>
      </c>
      <c r="AC83" s="1836"/>
      <c r="AD83" s="1836"/>
      <c r="AE83" s="1836"/>
      <c r="AF83" s="1837">
        <v>220331.91999999998</v>
      </c>
      <c r="AG83" s="1960">
        <f t="shared" si="71"/>
        <v>-22568.360000000015</v>
      </c>
    </row>
    <row r="84" spans="1:33" ht="21.95" customHeight="1" x14ac:dyDescent="0.2">
      <c r="A84" s="1833">
        <f>satpek!$B$40</f>
        <v>21</v>
      </c>
      <c r="B84" s="1943">
        <v>1</v>
      </c>
      <c r="C84" s="1937"/>
      <c r="D84" s="1944" t="str">
        <f>VLOOKUP($A84,satpek!$B$20:$N$144,2,0)</f>
        <v>Membuat beton mutu f'c = 21,7 Mpa - K 250</v>
      </c>
      <c r="E84" s="1944"/>
      <c r="F84" s="2004"/>
      <c r="G84" s="1945">
        <f>'[3]B.VOL RAB'!Q210</f>
        <v>9.3940000000000001</v>
      </c>
      <c r="H84" s="2456" t="str">
        <f>VLOOKUP($A84,satpek!$B$20:$N$144,7,0)</f>
        <v>m3</v>
      </c>
      <c r="I84" s="2457" t="str">
        <f>VLOOKUP($A84,satpek!$B$20:$N$144,5,0)</f>
        <v>A.4.1.1.8.</v>
      </c>
      <c r="J84" s="1951">
        <f>VLOOKUP($A84,satpek!$B$20:$N$144,6,0)</f>
        <v>1115753.29</v>
      </c>
      <c r="K84" s="1938"/>
      <c r="L84" s="1952">
        <f t="shared" ref="L84:L86" si="102">ROUND((G84*J84),2)</f>
        <v>10481386.41</v>
      </c>
      <c r="M84" s="1967"/>
      <c r="N84" s="2458">
        <f>VLOOKUP($A84,satpek!$B$20:$L$138,8,0)</f>
        <v>0.93065078521121514</v>
      </c>
      <c r="O84" s="1954">
        <f>VLOOKUP($A84,satpek!$B$20:$L$138,9,0)</f>
        <v>918917.40999999992</v>
      </c>
      <c r="P84" s="1954">
        <f>VLOOKUP($A84,satpek!$B$20:$L$138,10,0)</f>
        <v>1038376.6732999999</v>
      </c>
      <c r="Q84" s="1952">
        <f t="shared" ref="Q84:Q86" si="103">O84*G84</f>
        <v>8632310.1495399997</v>
      </c>
      <c r="R84" s="1952">
        <f t="shared" ref="R84:R86" si="104">N84*L84</f>
        <v>9754510.4925686587</v>
      </c>
      <c r="S84" s="1955">
        <f t="shared" ref="S84:S86" si="105">L84-R84</f>
        <v>726875.91743134148</v>
      </c>
      <c r="V84" s="1956">
        <v>1115753.29</v>
      </c>
      <c r="W84" s="1956">
        <f t="shared" si="100"/>
        <v>-3.7399996072053909E-3</v>
      </c>
      <c r="X84" s="1956">
        <f t="shared" si="101"/>
        <v>10481386.406260001</v>
      </c>
      <c r="Y84" s="1836" t="s">
        <v>1905</v>
      </c>
      <c r="AC84" s="1836"/>
      <c r="AD84" s="1836"/>
      <c r="AE84" s="1836"/>
      <c r="AF84" s="1837">
        <v>1191397.42</v>
      </c>
      <c r="AG84" s="1960">
        <f t="shared" si="71"/>
        <v>75644.129999999888</v>
      </c>
    </row>
    <row r="85" spans="1:33" ht="21.95" customHeight="1" x14ac:dyDescent="0.2">
      <c r="A85" s="1833">
        <f>satpek!$B$41</f>
        <v>22</v>
      </c>
      <c r="B85" s="1943">
        <f>B84+1</f>
        <v>2</v>
      </c>
      <c r="C85" s="1937"/>
      <c r="D85" s="1944" t="str">
        <f>VLOOKUP($A85,satpek!$B$20:$N$144,2,0)</f>
        <v>Pembesian 1 kg dengan besi polos atau besi ulir</v>
      </c>
      <c r="E85" s="1944"/>
      <c r="F85" s="2004"/>
      <c r="G85" s="1945">
        <f>'[3]B.VOL RAB'!Q212</f>
        <v>595.16096804676351</v>
      </c>
      <c r="H85" s="2456" t="str">
        <f>VLOOKUP($A85,satpek!$B$20:$N$144,7,0)</f>
        <v>kg</v>
      </c>
      <c r="I85" s="2457" t="str">
        <f>VLOOKUP($A85,satpek!$B$20:$N$144,5,0)</f>
        <v>A.4.1.1.17.</v>
      </c>
      <c r="J85" s="1951">
        <f>VLOOKUP($A85,satpek!$B$20:$N$144,6,0)</f>
        <v>15603.94</v>
      </c>
      <c r="K85" s="1938"/>
      <c r="L85" s="1952">
        <f t="shared" si="102"/>
        <v>9286856.0399999991</v>
      </c>
      <c r="M85" s="1967"/>
      <c r="N85" s="2458">
        <f>VLOOKUP($A85,satpek!$B$20:$L$138,8,0)</f>
        <v>0.46415793062521393</v>
      </c>
      <c r="O85" s="1954">
        <f>VLOOKUP($A85,satpek!$B$20:$L$138,9,0)</f>
        <v>7242.692500000001</v>
      </c>
      <c r="P85" s="1954">
        <f>VLOOKUP($A85,satpek!$B$20:$L$138,10,0)</f>
        <v>8184.2425250000015</v>
      </c>
      <c r="Q85" s="1952">
        <f t="shared" si="103"/>
        <v>4310567.8795650341</v>
      </c>
      <c r="R85" s="1952">
        <f t="shared" si="104"/>
        <v>4310567.8815406682</v>
      </c>
      <c r="S85" s="1955">
        <f t="shared" si="105"/>
        <v>4976288.1584593309</v>
      </c>
      <c r="V85" s="1956">
        <v>15603.94</v>
      </c>
      <c r="W85" s="1956">
        <f t="shared" si="100"/>
        <v>-4.2563844472169876E-3</v>
      </c>
      <c r="X85" s="1956">
        <f t="shared" si="101"/>
        <v>9286856.0357436147</v>
      </c>
      <c r="Y85" s="1836" t="s">
        <v>420</v>
      </c>
      <c r="AC85" s="1836"/>
      <c r="AD85" s="1836"/>
      <c r="AE85" s="1836"/>
      <c r="AF85" s="1837">
        <v>15438.06</v>
      </c>
      <c r="AG85" s="1960">
        <f t="shared" si="71"/>
        <v>-165.88000000000102</v>
      </c>
    </row>
    <row r="86" spans="1:33" ht="21.95" customHeight="1" x14ac:dyDescent="0.2">
      <c r="A86" s="1833">
        <f>satpek!$B$46</f>
        <v>27</v>
      </c>
      <c r="B86" s="1943">
        <f>B85+1</f>
        <v>3</v>
      </c>
      <c r="C86" s="1937"/>
      <c r="D86" s="1944" t="str">
        <f>VLOOKUP($A86,satpek!$B$20:$N$144,2,0)</f>
        <v>Memasang bekisting untuk lantai (2x pakai)</v>
      </c>
      <c r="E86" s="1944"/>
      <c r="F86" s="2004"/>
      <c r="G86" s="1945">
        <f>'[3]B.VOL RAB'!Q214</f>
        <v>285.63399999999996</v>
      </c>
      <c r="H86" s="2456" t="str">
        <f>VLOOKUP($A86,satpek!$B$20:$N$144,7,0)</f>
        <v>m2</v>
      </c>
      <c r="I86" s="2457" t="str">
        <f>VLOOKUP($A86,satpek!$B$20:$N$144,5,0)</f>
        <v>A.4.1.1.24</v>
      </c>
      <c r="J86" s="1951">
        <f>VLOOKUP($A86,satpek!$B$20:$N$144,6,0)</f>
        <v>242900.28</v>
      </c>
      <c r="K86" s="1938"/>
      <c r="L86" s="1952">
        <f t="shared" si="102"/>
        <v>69380578.579999998</v>
      </c>
      <c r="M86" s="1967"/>
      <c r="N86" s="2458">
        <f>VLOOKUP($A86,satpek!$B$20:$L$138,8,0)</f>
        <v>0.76655687675617334</v>
      </c>
      <c r="O86" s="1954">
        <f>VLOOKUP($A86,satpek!$B$20:$L$138,9,0)</f>
        <v>164776</v>
      </c>
      <c r="P86" s="1954">
        <f>VLOOKUP($A86,satpek!$B$20:$L$138,10,0)</f>
        <v>186196.88</v>
      </c>
      <c r="Q86" s="1952">
        <f t="shared" si="103"/>
        <v>47065627.98399999</v>
      </c>
      <c r="R86" s="1952">
        <f t="shared" si="104"/>
        <v>53184159.623821057</v>
      </c>
      <c r="S86" s="1955">
        <f t="shared" si="105"/>
        <v>16196418.956178941</v>
      </c>
      <c r="V86" s="1956">
        <v>242900.28</v>
      </c>
      <c r="W86" s="1956">
        <f t="shared" si="100"/>
        <v>-2.4800151586532593E-3</v>
      </c>
      <c r="X86" s="1956">
        <f t="shared" si="101"/>
        <v>69380578.577519983</v>
      </c>
      <c r="Y86" s="1836" t="s">
        <v>1910</v>
      </c>
      <c r="AC86" s="1836"/>
      <c r="AD86" s="1836"/>
      <c r="AE86" s="1836"/>
      <c r="AF86" s="1837">
        <v>195923.91999999998</v>
      </c>
      <c r="AG86" s="1960">
        <f t="shared" si="71"/>
        <v>-46976.360000000015</v>
      </c>
    </row>
    <row r="87" spans="1:33" ht="21.95" customHeight="1" x14ac:dyDescent="0.2">
      <c r="A87" s="1833">
        <f>satpek!$B$40</f>
        <v>21</v>
      </c>
      <c r="B87" s="1943">
        <v>1</v>
      </c>
      <c r="C87" s="1937"/>
      <c r="D87" s="1944" t="str">
        <f>VLOOKUP($A87,satpek!$B$20:$N$144,2,0)</f>
        <v>Membuat beton mutu f'c = 21,7 Mpa - K 250</v>
      </c>
      <c r="E87" s="1944"/>
      <c r="F87" s="2004"/>
      <c r="G87" s="1945">
        <f>'[3]B.VOL RAB'!Q219</f>
        <v>11.52</v>
      </c>
      <c r="H87" s="2456" t="str">
        <f>VLOOKUP($A87,satpek!$B$20:$N$144,7,0)</f>
        <v>m3</v>
      </c>
      <c r="I87" s="2457" t="str">
        <f>VLOOKUP($A87,satpek!$B$20:$N$144,5,0)</f>
        <v>A.4.1.1.8.</v>
      </c>
      <c r="J87" s="1951">
        <f>VLOOKUP($A87,satpek!$B$20:$N$144,6,0)</f>
        <v>1115753.29</v>
      </c>
      <c r="K87" s="1938"/>
      <c r="L87" s="1952">
        <f t="shared" ref="L87:L89" si="106">ROUND((G87*J87),2)</f>
        <v>12853477.9</v>
      </c>
      <c r="M87" s="1967"/>
      <c r="N87" s="2458">
        <f>VLOOKUP($A87,satpek!$B$20:$L$138,8,0)</f>
        <v>0.93065078521121514</v>
      </c>
      <c r="O87" s="1954">
        <f>VLOOKUP($A87,satpek!$B$20:$L$138,9,0)</f>
        <v>918917.40999999992</v>
      </c>
      <c r="P87" s="1954">
        <f>VLOOKUP($A87,satpek!$B$20:$L$138,10,0)</f>
        <v>1038376.6732999999</v>
      </c>
      <c r="Q87" s="1952">
        <f t="shared" ref="Q87:Q89" si="107">O87*G87</f>
        <v>10585928.563199999</v>
      </c>
      <c r="R87" s="1952">
        <f t="shared" ref="R87:R89" si="108">N87*L87</f>
        <v>11962099.300330002</v>
      </c>
      <c r="S87" s="1955">
        <f t="shared" ref="S87:S89" si="109">L87-R87</f>
        <v>891378.59966999851</v>
      </c>
      <c r="V87" s="1956">
        <v>1115753.29</v>
      </c>
      <c r="W87" s="1956">
        <f t="shared" si="100"/>
        <v>8.0000050365924835E-4</v>
      </c>
      <c r="X87" s="1956">
        <f t="shared" si="101"/>
        <v>12853477.900800001</v>
      </c>
      <c r="Y87" s="1836" t="s">
        <v>1905</v>
      </c>
      <c r="AC87" s="1836"/>
      <c r="AD87" s="1836"/>
      <c r="AE87" s="1836"/>
      <c r="AF87" s="1837">
        <v>1191397.42</v>
      </c>
      <c r="AG87" s="1960">
        <f t="shared" si="71"/>
        <v>75644.129999999888</v>
      </c>
    </row>
    <row r="88" spans="1:33" ht="21.95" customHeight="1" x14ac:dyDescent="0.2">
      <c r="A88" s="1833">
        <f>satpek!$B$41</f>
        <v>22</v>
      </c>
      <c r="B88" s="1943">
        <f>B87+1</f>
        <v>2</v>
      </c>
      <c r="C88" s="1937"/>
      <c r="D88" s="1944" t="str">
        <f>VLOOKUP($A88,satpek!$B$20:$N$144,2,0)</f>
        <v>Pembesian 1 kg dengan besi polos atau besi ulir</v>
      </c>
      <c r="E88" s="1944"/>
      <c r="F88" s="2004"/>
      <c r="G88" s="1945">
        <f>'[3]B.VOL RAB'!Q221</f>
        <v>1930.3790949339673</v>
      </c>
      <c r="H88" s="2456" t="str">
        <f>VLOOKUP($A88,satpek!$B$20:$N$144,7,0)</f>
        <v>kg</v>
      </c>
      <c r="I88" s="2457" t="str">
        <f>VLOOKUP($A88,satpek!$B$20:$N$144,5,0)</f>
        <v>A.4.1.1.17.</v>
      </c>
      <c r="J88" s="1951">
        <f>VLOOKUP($A88,satpek!$B$20:$N$144,6,0)</f>
        <v>15603.94</v>
      </c>
      <c r="K88" s="1938"/>
      <c r="L88" s="1952">
        <f t="shared" si="106"/>
        <v>30121519.57</v>
      </c>
      <c r="M88" s="1967"/>
      <c r="N88" s="2458">
        <f>VLOOKUP($A88,satpek!$B$20:$L$138,8,0)</f>
        <v>0.46415793062521393</v>
      </c>
      <c r="O88" s="1954">
        <f>VLOOKUP($A88,satpek!$B$20:$L$138,9,0)</f>
        <v>7242.692500000001</v>
      </c>
      <c r="P88" s="1954">
        <f>VLOOKUP($A88,satpek!$B$20:$L$138,10,0)</f>
        <v>8184.2425250000015</v>
      </c>
      <c r="Q88" s="1952">
        <f t="shared" si="107"/>
        <v>13981142.193035034</v>
      </c>
      <c r="R88" s="1952">
        <f t="shared" si="108"/>
        <v>13981142.190898083</v>
      </c>
      <c r="S88" s="1955">
        <f t="shared" si="109"/>
        <v>16140377.379101917</v>
      </c>
      <c r="V88" s="1956">
        <v>15603.94</v>
      </c>
      <c r="W88" s="1956">
        <f t="shared" si="100"/>
        <v>4.6039298176765442E-3</v>
      </c>
      <c r="X88" s="1956">
        <f t="shared" si="101"/>
        <v>30121519.57460393</v>
      </c>
      <c r="Y88" s="1836" t="s">
        <v>420</v>
      </c>
      <c r="AC88" s="1836"/>
      <c r="AD88" s="1836"/>
      <c r="AE88" s="1836"/>
      <c r="AF88" s="1837">
        <v>15556.71</v>
      </c>
      <c r="AG88" s="1960">
        <f t="shared" si="71"/>
        <v>-47.230000000001382</v>
      </c>
    </row>
    <row r="89" spans="1:33" ht="21.95" customHeight="1" x14ac:dyDescent="0.2">
      <c r="A89" s="1833">
        <f>satpek!$B$44</f>
        <v>25</v>
      </c>
      <c r="B89" s="1943">
        <f>B88+1</f>
        <v>3</v>
      </c>
      <c r="C89" s="1937"/>
      <c r="D89" s="1944" t="str">
        <f>VLOOKUP($A89,satpek!$B$20:$N$144,2,0)</f>
        <v>Memasang bekisting untuk kolom (2 kali pakai)</v>
      </c>
      <c r="E89" s="1944"/>
      <c r="F89" s="2004"/>
      <c r="G89" s="1945">
        <f>'[3]B.VOL RAB'!Q224</f>
        <v>57.599999999999994</v>
      </c>
      <c r="H89" s="2456" t="str">
        <f>VLOOKUP($A89,satpek!$B$20:$N$144,7,0)</f>
        <v>m2</v>
      </c>
      <c r="I89" s="2457" t="str">
        <f>VLOOKUP($A89,satpek!$B$20:$N$144,5,0)</f>
        <v>A.4.1.1.22.</v>
      </c>
      <c r="J89" s="1951">
        <f>VLOOKUP($A89,satpek!$B$20:$N$144,6,0)</f>
        <v>192050.28</v>
      </c>
      <c r="K89" s="1938"/>
      <c r="L89" s="1952">
        <f t="shared" si="106"/>
        <v>11062096.130000001</v>
      </c>
      <c r="M89" s="1967"/>
      <c r="N89" s="2458">
        <f>VLOOKUP($A89,satpek!$B$20:$L$138,8,0)</f>
        <v>0.82830850337734474</v>
      </c>
      <c r="O89" s="1954">
        <f>VLOOKUP($A89,satpek!$B$20:$L$138,9,0)</f>
        <v>140776</v>
      </c>
      <c r="P89" s="1954">
        <f>VLOOKUP($A89,satpek!$B$20:$L$138,10,0)</f>
        <v>159076.88</v>
      </c>
      <c r="Q89" s="1952">
        <f t="shared" si="107"/>
        <v>8108697.5999999996</v>
      </c>
      <c r="R89" s="1952">
        <f t="shared" si="108"/>
        <v>9162828.2896566186</v>
      </c>
      <c r="S89" s="1955">
        <f t="shared" si="109"/>
        <v>1899267.8403433822</v>
      </c>
      <c r="V89" s="1956">
        <v>192050.28</v>
      </c>
      <c r="W89" s="1956">
        <f t="shared" si="100"/>
        <v>-2.0000021904706955E-3</v>
      </c>
      <c r="X89" s="1956">
        <f t="shared" si="101"/>
        <v>11062096.127999999</v>
      </c>
      <c r="Y89" s="1836" t="s">
        <v>1908</v>
      </c>
      <c r="AC89" s="1836"/>
      <c r="AD89" s="1836"/>
      <c r="AE89" s="1836"/>
      <c r="AF89" s="1837">
        <v>193211.91999999998</v>
      </c>
      <c r="AG89" s="1960">
        <f t="shared" si="71"/>
        <v>1161.6399999999849</v>
      </c>
    </row>
    <row r="90" spans="1:33" ht="21.95" customHeight="1" x14ac:dyDescent="0.2">
      <c r="A90" s="1833">
        <f>satpek!$B$47</f>
        <v>28</v>
      </c>
      <c r="B90" s="1943">
        <v>1</v>
      </c>
      <c r="C90" s="1937"/>
      <c r="D90" s="1944" t="str">
        <f>VLOOKUP($A90,satpek!$B$20:$N$144,2,0)</f>
        <v>Membuat kolom praktis beton bertulang 11/11 cm</v>
      </c>
      <c r="E90" s="1944"/>
      <c r="F90" s="2004"/>
      <c r="G90" s="1945">
        <f>'[3]B.VOL RAB'!Q228</f>
        <v>152</v>
      </c>
      <c r="H90" s="2456" t="str">
        <f>VLOOKUP($A90,satpek!$B$20:$N$144,7,0)</f>
        <v>m'</v>
      </c>
      <c r="I90" s="2457" t="str">
        <f>VLOOKUP($A90,satpek!$B$20:$N$144,5,0)</f>
        <v>A.4.1.1.35.</v>
      </c>
      <c r="J90" s="1951">
        <f>VLOOKUP($A90,satpek!$B$20:$N$144,6,0)</f>
        <v>112610.15</v>
      </c>
      <c r="K90" s="1938"/>
      <c r="L90" s="1952">
        <f t="shared" ref="L90:L91" si="110">ROUND((G90*J90),2)</f>
        <v>17116742.800000001</v>
      </c>
      <c r="M90" s="1967"/>
      <c r="N90" s="2458">
        <f>VLOOKUP($A90,satpek!$B$20:$L$138,8,0)</f>
        <v>0.69870322613014901</v>
      </c>
      <c r="O90" s="1954">
        <f>VLOOKUP($A90,satpek!$B$20:$L$138,9,0)</f>
        <v>69629.27</v>
      </c>
      <c r="P90" s="1954">
        <f>VLOOKUP($A90,satpek!$B$20:$L$138,10,0)</f>
        <v>78681.075100000002</v>
      </c>
      <c r="Q90" s="1952">
        <f t="shared" ref="Q90:Q91" si="111">O90*G90</f>
        <v>10583649.040000001</v>
      </c>
      <c r="R90" s="1952">
        <f t="shared" ref="R90:R91" si="112">N90*L90</f>
        <v>11959523.415200001</v>
      </c>
      <c r="S90" s="1955">
        <f t="shared" ref="S90:S91" si="113">L90-R90</f>
        <v>5157219.3848000001</v>
      </c>
      <c r="V90" s="1956">
        <v>112610.15</v>
      </c>
      <c r="W90" s="1956">
        <f t="shared" si="100"/>
        <v>0</v>
      </c>
      <c r="X90" s="1956">
        <f t="shared" si="101"/>
        <v>17116742.800000001</v>
      </c>
      <c r="Y90" s="1836" t="s">
        <v>229</v>
      </c>
      <c r="AC90" s="1836"/>
      <c r="AD90" s="1836"/>
      <c r="AE90" s="1836"/>
      <c r="AF90" s="1837">
        <v>111027.02</v>
      </c>
      <c r="AG90" s="1960">
        <f t="shared" si="71"/>
        <v>-1583.1299999999901</v>
      </c>
    </row>
    <row r="91" spans="1:33" ht="21.95" customHeight="1" x14ac:dyDescent="0.2">
      <c r="A91" s="1833">
        <f>satpek!$B$48</f>
        <v>29</v>
      </c>
      <c r="B91" s="1943">
        <f>B90+1</f>
        <v>2</v>
      </c>
      <c r="C91" s="1937"/>
      <c r="D91" s="1944" t="s">
        <v>1783</v>
      </c>
      <c r="E91" s="1944"/>
      <c r="F91" s="2004"/>
      <c r="G91" s="2016">
        <f>'[3]B.VOL RAB'!Q229</f>
        <v>132</v>
      </c>
      <c r="H91" s="2456" t="str">
        <f>VLOOKUP($A91,satpek!$B$20:$N$144,7,0)</f>
        <v>m'</v>
      </c>
      <c r="I91" s="2457" t="str">
        <f>VLOOKUP($A91,satpek!$B$20:$N$144,5,0)</f>
        <v>A.4.1.1.36.</v>
      </c>
      <c r="J91" s="1951">
        <f>VLOOKUP($A91,satpek!$B$20:$N$144,6,0)</f>
        <v>109402.19</v>
      </c>
      <c r="K91" s="1938"/>
      <c r="L91" s="1952">
        <f t="shared" si="110"/>
        <v>14441089.08</v>
      </c>
      <c r="M91" s="1967"/>
      <c r="N91" s="2458">
        <f>VLOOKUP($A91,satpek!$B$20:$L$138,8,0)</f>
        <v>0.75420720314079981</v>
      </c>
      <c r="O91" s="1954">
        <f>VLOOKUP($A91,satpek!$B$20:$L$138,9,0)</f>
        <v>73019.399999999994</v>
      </c>
      <c r="P91" s="1954">
        <f>VLOOKUP($A91,satpek!$B$20:$L$138,10,0)</f>
        <v>82511.921999999991</v>
      </c>
      <c r="Q91" s="1952">
        <f t="shared" si="111"/>
        <v>9638560.7999999989</v>
      </c>
      <c r="R91" s="1952">
        <f t="shared" si="112"/>
        <v>10891573.405333946</v>
      </c>
      <c r="S91" s="1955">
        <f t="shared" si="113"/>
        <v>3549515.6746660545</v>
      </c>
      <c r="V91" s="1956">
        <v>109402.19</v>
      </c>
      <c r="W91" s="1956">
        <f t="shared" si="100"/>
        <v>0</v>
      </c>
      <c r="X91" s="1956">
        <f t="shared" si="101"/>
        <v>14441089.08</v>
      </c>
      <c r="Y91" s="1836" t="s">
        <v>1783</v>
      </c>
      <c r="AC91" s="1836"/>
      <c r="AD91" s="1836"/>
      <c r="AE91" s="1836"/>
      <c r="AF91" s="1837">
        <v>106967.5</v>
      </c>
      <c r="AG91" s="1960">
        <f t="shared" si="71"/>
        <v>-2434.6900000000023</v>
      </c>
    </row>
    <row r="92" spans="1:33" ht="21.95" customHeight="1" x14ac:dyDescent="0.2">
      <c r="A92" s="1833">
        <f>satpek!$B$34</f>
        <v>15</v>
      </c>
      <c r="B92" s="1943">
        <v>1</v>
      </c>
      <c r="C92" s="1937"/>
      <c r="D92" s="1944" t="str">
        <f>VLOOKUP($A92,satpek!$B$20:$N$144,2,0)</f>
        <v>Membuat dinding bt. merah t: 1/2bata, camp 1PC:8PP</v>
      </c>
      <c r="E92" s="1944"/>
      <c r="F92" s="2004"/>
      <c r="G92" s="1945">
        <f>'[3]B.VOL RAB'!Q233</f>
        <v>549.26</v>
      </c>
      <c r="H92" s="2456" t="str">
        <f>VLOOKUP($A92,satpek!$B$20:$N$144,7,0)</f>
        <v>m2</v>
      </c>
      <c r="I92" s="2457" t="str">
        <f>VLOOKUP($A92,satpek!$B$20:$N$144,5,0)</f>
        <v>A.4.4.1.12.</v>
      </c>
      <c r="J92" s="1951">
        <f>VLOOKUP($A92,satpek!$B$20:$N$144,6,0)</f>
        <v>129498</v>
      </c>
      <c r="K92" s="1938"/>
      <c r="L92" s="1952">
        <f t="shared" ref="L92:L96" si="114">ROUND((G92*J92),2)</f>
        <v>71128071.480000004</v>
      </c>
      <c r="M92" s="1967"/>
      <c r="N92" s="2458">
        <f>VLOOKUP($A92,satpek!$B$20:$L$138,8,0)</f>
        <v>0.98988586387434552</v>
      </c>
      <c r="O92" s="1954">
        <f>VLOOKUP($A92,satpek!$B$20:$L$138,9,0)</f>
        <v>113440.92</v>
      </c>
      <c r="P92" s="1954">
        <f>VLOOKUP($A92,satpek!$B$20:$L$138,10,0)</f>
        <v>128188.2396</v>
      </c>
      <c r="Q92" s="1952">
        <f t="shared" ref="Q92:Q96" si="115">O92*G92</f>
        <v>62308559.7192</v>
      </c>
      <c r="R92" s="1952">
        <f t="shared" ref="R92:R96" si="116">N92*L92</f>
        <v>70408672.482695997</v>
      </c>
      <c r="S92" s="1955">
        <f t="shared" ref="S92:S96" si="117">L92-R92</f>
        <v>719398.99730400741</v>
      </c>
      <c r="V92" s="1956">
        <v>129498</v>
      </c>
      <c r="W92" s="1956">
        <f t="shared" si="100"/>
        <v>0</v>
      </c>
      <c r="X92" s="1956">
        <f t="shared" si="101"/>
        <v>71128071.480000004</v>
      </c>
      <c r="Y92" s="1836" t="s">
        <v>666</v>
      </c>
      <c r="AC92" s="1836"/>
      <c r="AD92" s="1836"/>
      <c r="AE92" s="1836"/>
      <c r="AF92" s="1837">
        <v>119970.97</v>
      </c>
      <c r="AG92" s="1960">
        <f t="shared" si="71"/>
        <v>-9527.0299999999988</v>
      </c>
    </row>
    <row r="93" spans="1:33" ht="21.95" customHeight="1" x14ac:dyDescent="0.2">
      <c r="A93" s="1833">
        <f>satpek!$B$58</f>
        <v>39</v>
      </c>
      <c r="B93" s="2105">
        <f>B92+1</f>
        <v>2</v>
      </c>
      <c r="C93" s="1937"/>
      <c r="D93" s="1944" t="str">
        <f>VLOOKUP($A93,satpek!$B$20:$N$144,2,0)</f>
        <v>Membuat dinding partisi gypsum 9mm double</v>
      </c>
      <c r="E93" s="1944"/>
      <c r="F93" s="2004"/>
      <c r="G93" s="1945">
        <f>'[3]B.VOL RAB'!Q262</f>
        <v>247.13599999999997</v>
      </c>
      <c r="H93" s="2456" t="str">
        <f>VLOOKUP($A93,satpek!$B$20:$N$144,7,0)</f>
        <v>m2</v>
      </c>
      <c r="I93" s="2457" t="str">
        <f>VLOOKUP($A93,satpek!$B$20:$N$144,5,0)</f>
        <v>A.4.2.1.20.</v>
      </c>
      <c r="J93" s="1951">
        <f>VLOOKUP($A93,satpek!$B$20:$N$144,6,0)</f>
        <v>210845.94</v>
      </c>
      <c r="K93" s="1938"/>
      <c r="L93" s="1952">
        <f t="shared" si="114"/>
        <v>52107622.229999997</v>
      </c>
      <c r="M93" s="1967"/>
      <c r="N93" s="2458">
        <f>VLOOKUP($A93,satpek!$B$20:$L$138,8,0)</f>
        <v>0.45788799844557021</v>
      </c>
      <c r="O93" s="1954">
        <f>VLOOKUP($A93,satpek!$B$20:$L$138,9,0)</f>
        <v>85437.014844999998</v>
      </c>
      <c r="P93" s="1954">
        <f>VLOOKUP($A93,satpek!$B$20:$L$138,10,0)</f>
        <v>96543.826774849993</v>
      </c>
      <c r="Q93" s="1952">
        <f t="shared" si="115"/>
        <v>21114562.100733917</v>
      </c>
      <c r="R93" s="1952">
        <f t="shared" si="116"/>
        <v>23859454.846652597</v>
      </c>
      <c r="S93" s="1955">
        <f t="shared" si="117"/>
        <v>28248167.3833474</v>
      </c>
      <c r="V93" s="1956">
        <v>210845.94</v>
      </c>
      <c r="W93" s="1956">
        <f t="shared" si="100"/>
        <v>-2.1600052714347839E-3</v>
      </c>
      <c r="X93" s="1956">
        <f t="shared" si="101"/>
        <v>52107622.227839991</v>
      </c>
      <c r="Y93" s="1836" t="s">
        <v>1911</v>
      </c>
      <c r="AC93" s="1836"/>
      <c r="AD93" s="1836"/>
      <c r="AE93" s="1836"/>
      <c r="AF93" s="1837">
        <v>203748.41000000003</v>
      </c>
      <c r="AG93" s="1960">
        <f t="shared" si="71"/>
        <v>-7097.5299999999697</v>
      </c>
    </row>
    <row r="94" spans="1:33" ht="21.95" customHeight="1" x14ac:dyDescent="0.2">
      <c r="A94" s="1833">
        <f>satpek!$B$36</f>
        <v>17</v>
      </c>
      <c r="B94" s="2105">
        <f>B93+1</f>
        <v>3</v>
      </c>
      <c r="C94" s="1937"/>
      <c r="D94" s="1944" t="str">
        <f>VLOOKUP($A94,satpek!$B$20:$N$144,2,0)</f>
        <v>Memasang plesteran 1 PC : 6 PP, tebal 15 mm</v>
      </c>
      <c r="E94" s="1944"/>
      <c r="F94" s="2004"/>
      <c r="G94" s="1945">
        <f>'[3]B.VOL RAB'!Q280</f>
        <v>1098.52</v>
      </c>
      <c r="H94" s="2456" t="str">
        <f>VLOOKUP($A94,satpek!$B$20:$N$144,7,0)</f>
        <v>m2</v>
      </c>
      <c r="I94" s="2457" t="str">
        <f>VLOOKUP($A94,satpek!$B$20:$N$144,5,0)</f>
        <v>A.4.4.2.6.</v>
      </c>
      <c r="J94" s="1951">
        <f>VLOOKUP($A94,satpek!$B$20:$N$144,6,0)</f>
        <v>62262.1</v>
      </c>
      <c r="K94" s="1938"/>
      <c r="L94" s="1952">
        <f t="shared" si="114"/>
        <v>68396162.090000004</v>
      </c>
      <c r="M94" s="1967"/>
      <c r="N94" s="2458">
        <f>VLOOKUP($A94,satpek!$B$20:$L$138,8,0)</f>
        <v>0.9857083021169093</v>
      </c>
      <c r="O94" s="1954">
        <f>VLOOKUP($A94,satpek!$B$20:$L$138,9,0)</f>
        <v>54311.738880000004</v>
      </c>
      <c r="P94" s="1954">
        <f>VLOOKUP($A94,satpek!$B$20:$L$138,10,0)</f>
        <v>61372.264934400009</v>
      </c>
      <c r="Q94" s="1952">
        <f t="shared" si="115"/>
        <v>59662531.394457601</v>
      </c>
      <c r="R94" s="1952">
        <f t="shared" si="116"/>
        <v>67418664.805046827</v>
      </c>
      <c r="S94" s="1955">
        <f t="shared" si="117"/>
        <v>977497.28495317698</v>
      </c>
      <c r="V94" s="1956">
        <v>62262.1</v>
      </c>
      <c r="W94" s="1956">
        <f t="shared" si="100"/>
        <v>1.9999891519546509E-3</v>
      </c>
      <c r="X94" s="1956">
        <f t="shared" si="101"/>
        <v>68396162.091999993</v>
      </c>
      <c r="Y94" s="1836" t="s">
        <v>469</v>
      </c>
      <c r="AC94" s="1836"/>
      <c r="AD94" s="1836"/>
      <c r="AE94" s="1836"/>
      <c r="AF94" s="1837">
        <v>59838.25</v>
      </c>
      <c r="AG94" s="1960">
        <f t="shared" si="71"/>
        <v>-2423.8499999999985</v>
      </c>
    </row>
    <row r="95" spans="1:33" ht="21.95" customHeight="1" x14ac:dyDescent="0.2">
      <c r="A95" s="1833">
        <f>satpek!$B$109</f>
        <v>90</v>
      </c>
      <c r="B95" s="2105">
        <f>B94+1</f>
        <v>4</v>
      </c>
      <c r="C95" s="1937"/>
      <c r="D95" s="1944" t="str">
        <f>VLOOKUP($A95,satpek!$B$20:$N$144,2,0)</f>
        <v>Sponengan</v>
      </c>
      <c r="E95" s="1944"/>
      <c r="F95" s="2004"/>
      <c r="G95" s="1945">
        <f>'[3]B.VOL RAB'!Q281</f>
        <v>1206.2</v>
      </c>
      <c r="H95" s="2456" t="str">
        <f>VLOOKUP($A95,satpek!$B$20:$N$144,7,0)</f>
        <v>m'</v>
      </c>
      <c r="I95" s="2457" t="str">
        <f>VLOOKUP($A95,satpek!$B$20:$N$144,5,0)</f>
        <v>Harga Satuan</v>
      </c>
      <c r="J95" s="1951">
        <f>VLOOKUP($A95,satpek!$B$20:$N$144,6,0)</f>
        <v>15000</v>
      </c>
      <c r="K95" s="1938"/>
      <c r="L95" s="1952">
        <f t="shared" si="114"/>
        <v>18093000</v>
      </c>
      <c r="M95" s="1967"/>
      <c r="N95" s="2458">
        <f>VLOOKUP($A95,satpek!$B$20:$L$138,8,0)</f>
        <v>0.5</v>
      </c>
      <c r="O95" s="1954">
        <f>VLOOKUP($A95,satpek!$B$20:$L$138,9,0)</f>
        <v>0</v>
      </c>
      <c r="P95" s="1954">
        <f>VLOOKUP($A95,satpek!$B$20:$L$138,10,0)</f>
        <v>7500</v>
      </c>
      <c r="Q95" s="1952">
        <f t="shared" si="115"/>
        <v>0</v>
      </c>
      <c r="R95" s="1952">
        <f t="shared" si="116"/>
        <v>9046500</v>
      </c>
      <c r="S95" s="1955">
        <f t="shared" si="117"/>
        <v>9046500</v>
      </c>
      <c r="V95" s="1956">
        <v>15000</v>
      </c>
      <c r="W95" s="1956">
        <f t="shared" si="100"/>
        <v>0</v>
      </c>
      <c r="X95" s="1956">
        <f t="shared" si="101"/>
        <v>18093000</v>
      </c>
      <c r="Y95" s="1836" t="s">
        <v>585</v>
      </c>
      <c r="AC95" s="1836"/>
      <c r="AD95" s="1836"/>
      <c r="AE95" s="1836"/>
      <c r="AF95" s="1837">
        <v>15000</v>
      </c>
      <c r="AG95" s="1960">
        <f t="shared" si="71"/>
        <v>0</v>
      </c>
    </row>
    <row r="96" spans="1:33" ht="21.95" customHeight="1" x14ac:dyDescent="0.2">
      <c r="A96" s="1833">
        <f>satpek!$B$37</f>
        <v>18</v>
      </c>
      <c r="B96" s="2105">
        <f>B95+1</f>
        <v>5</v>
      </c>
      <c r="C96" s="1937"/>
      <c r="D96" s="1944" t="str">
        <f>VLOOKUP($A96,satpek!$B$20:$N$144,2,0)</f>
        <v>Memasang acian</v>
      </c>
      <c r="E96" s="1944"/>
      <c r="F96" s="2004"/>
      <c r="G96" s="1945">
        <f>'[3]B.VOL RAB'!Q284</f>
        <v>1098.52</v>
      </c>
      <c r="H96" s="2456" t="str">
        <f>VLOOKUP($A96,satpek!$B$20:$N$144,7,0)</f>
        <v>m2</v>
      </c>
      <c r="I96" s="2457" t="str">
        <f>VLOOKUP($A96,satpek!$B$20:$N$144,5,0)</f>
        <v>A.4.4.2.27.</v>
      </c>
      <c r="J96" s="1951">
        <f>VLOOKUP($A96,satpek!$B$20:$N$144,6,0)</f>
        <v>36634.6</v>
      </c>
      <c r="K96" s="1938"/>
      <c r="L96" s="1952">
        <f t="shared" si="114"/>
        <v>40243840.789999999</v>
      </c>
      <c r="M96" s="1967"/>
      <c r="N96" s="2458">
        <f>VLOOKUP($A96,satpek!$B$20:$L$138,8,0)</f>
        <v>0.98212399753238744</v>
      </c>
      <c r="O96" s="1954">
        <f>VLOOKUP($A96,satpek!$B$20:$L$138,9,0)</f>
        <v>31840.46</v>
      </c>
      <c r="P96" s="1954">
        <f>VLOOKUP($A96,satpek!$B$20:$L$138,10,0)</f>
        <v>35979.719799999999</v>
      </c>
      <c r="Q96" s="1952">
        <f t="shared" si="115"/>
        <v>34977382.119199999</v>
      </c>
      <c r="R96" s="1952">
        <f t="shared" si="116"/>
        <v>39524441.792731754</v>
      </c>
      <c r="S96" s="1955">
        <f t="shared" si="117"/>
        <v>719398.99726824462</v>
      </c>
      <c r="V96" s="1956">
        <v>36634.6</v>
      </c>
      <c r="W96" s="1956">
        <f t="shared" si="100"/>
        <v>1.9999966025352478E-3</v>
      </c>
      <c r="X96" s="1956">
        <f t="shared" si="101"/>
        <v>40243840.791999996</v>
      </c>
      <c r="Y96" s="1836" t="s">
        <v>470</v>
      </c>
      <c r="AC96" s="1836"/>
      <c r="AD96" s="1836"/>
      <c r="AE96" s="1836"/>
      <c r="AF96" s="1837">
        <v>35628.9</v>
      </c>
      <c r="AG96" s="1960">
        <f t="shared" si="71"/>
        <v>-1005.6999999999971</v>
      </c>
    </row>
    <row r="97" spans="1:33" ht="21.95" customHeight="1" x14ac:dyDescent="0.2">
      <c r="A97" s="1833">
        <f>satpek!$B$34</f>
        <v>15</v>
      </c>
      <c r="B97" s="1943">
        <v>1</v>
      </c>
      <c r="C97" s="1937"/>
      <c r="D97" s="1944" t="str">
        <f>VLOOKUP($A97,satpek!$B$20:$N$144,2,0)</f>
        <v>Membuat dinding bt. merah t: 1/2bata, camp 1PC:8PP</v>
      </c>
      <c r="E97" s="1944"/>
      <c r="F97" s="2004"/>
      <c r="G97" s="1945">
        <f>'[3]B.VOL RAB'!Q288</f>
        <v>407.23250000000002</v>
      </c>
      <c r="H97" s="2456" t="str">
        <f>VLOOKUP($A97,satpek!$B$20:$N$144,7,0)</f>
        <v>m2</v>
      </c>
      <c r="I97" s="2457" t="str">
        <f>VLOOKUP($A97,satpek!$B$20:$N$144,5,0)</f>
        <v>A.4.4.1.12.</v>
      </c>
      <c r="J97" s="1951">
        <f>VLOOKUP($A97,satpek!$B$20:$N$144,6,0)</f>
        <v>129498</v>
      </c>
      <c r="K97" s="1938"/>
      <c r="L97" s="1952">
        <f t="shared" ref="L97:L101" si="118">ROUND((G97*J97),2)</f>
        <v>52735794.289999999</v>
      </c>
      <c r="M97" s="1967"/>
      <c r="N97" s="2458">
        <f>VLOOKUP($A97,satpek!$B$20:$L$138,8,0)</f>
        <v>0.98988586387434552</v>
      </c>
      <c r="O97" s="1954">
        <f>VLOOKUP($A97,satpek!$B$20:$L$138,9,0)</f>
        <v>113440.92</v>
      </c>
      <c r="P97" s="1954">
        <f>VLOOKUP($A97,satpek!$B$20:$L$138,10,0)</f>
        <v>128188.2396</v>
      </c>
      <c r="Q97" s="1952">
        <f t="shared" ref="Q97:Q101" si="119">O97*G97</f>
        <v>46196829.453900002</v>
      </c>
      <c r="R97" s="1952">
        <f t="shared" ref="R97:R101" si="120">N97*L97</f>
        <v>52202417.28785643</v>
      </c>
      <c r="S97" s="1955">
        <f t="shared" ref="S97:S101" si="121">L97-R97</f>
        <v>533377.00214356929</v>
      </c>
      <c r="V97" s="1956">
        <v>129498</v>
      </c>
      <c r="W97" s="1956">
        <f t="shared" si="100"/>
        <v>-4.999995231628418E-3</v>
      </c>
      <c r="X97" s="1956">
        <f t="shared" si="101"/>
        <v>52735794.285000004</v>
      </c>
      <c r="Y97" s="1836" t="s">
        <v>666</v>
      </c>
      <c r="AF97" s="1910">
        <v>119970.97</v>
      </c>
      <c r="AG97" s="1960">
        <f t="shared" si="71"/>
        <v>-9527.0299999999988</v>
      </c>
    </row>
    <row r="98" spans="1:33" ht="21.95" customHeight="1" x14ac:dyDescent="0.2">
      <c r="A98" s="1833">
        <f>satpek!$B$58</f>
        <v>39</v>
      </c>
      <c r="B98" s="2105">
        <f>B97+1</f>
        <v>2</v>
      </c>
      <c r="C98" s="1937"/>
      <c r="D98" s="1944" t="str">
        <f>VLOOKUP($A98,satpek!$B$20:$N$144,2,0)</f>
        <v>Membuat dinding partisi gypsum 9mm double</v>
      </c>
      <c r="E98" s="1944"/>
      <c r="F98" s="2004"/>
      <c r="G98" s="1945">
        <f>'[3]B.VOL RAB'!Q313</f>
        <v>236.99750000000009</v>
      </c>
      <c r="H98" s="2456" t="str">
        <f>VLOOKUP($A98,satpek!$B$20:$N$144,7,0)</f>
        <v>m2</v>
      </c>
      <c r="I98" s="2457" t="str">
        <f>VLOOKUP($A98,satpek!$B$20:$N$144,5,0)</f>
        <v>A.4.2.1.20.</v>
      </c>
      <c r="J98" s="1951">
        <f>VLOOKUP($A98,satpek!$B$20:$N$144,6,0)</f>
        <v>210845.94</v>
      </c>
      <c r="K98" s="1938"/>
      <c r="L98" s="1952">
        <f t="shared" si="118"/>
        <v>49969960.670000002</v>
      </c>
      <c r="M98" s="1967"/>
      <c r="N98" s="2458">
        <f>VLOOKUP($A98,satpek!$B$20:$L$138,8,0)</f>
        <v>0.45788799844557021</v>
      </c>
      <c r="O98" s="1954">
        <f>VLOOKUP($A98,satpek!$B$20:$L$138,9,0)</f>
        <v>85437.014844999998</v>
      </c>
      <c r="P98" s="1954">
        <f>VLOOKUP($A98,satpek!$B$20:$L$138,10,0)</f>
        <v>96543.826774849993</v>
      </c>
      <c r="Q98" s="1952">
        <f t="shared" si="119"/>
        <v>20248358.925727893</v>
      </c>
      <c r="R98" s="1952">
        <f t="shared" si="120"/>
        <v>22880645.273590166</v>
      </c>
      <c r="S98" s="1955">
        <f t="shared" si="121"/>
        <v>27089315.396409836</v>
      </c>
      <c r="V98" s="1956">
        <v>210845.94</v>
      </c>
      <c r="W98" s="1956">
        <f t="shared" si="100"/>
        <v>-4.8499852418899536E-3</v>
      </c>
      <c r="X98" s="1956">
        <f t="shared" si="101"/>
        <v>49969960.665150017</v>
      </c>
      <c r="Y98" s="1836" t="s">
        <v>1911</v>
      </c>
      <c r="AF98" s="1910">
        <v>203748.41000000003</v>
      </c>
      <c r="AG98" s="1960">
        <f t="shared" si="71"/>
        <v>-7097.5299999999697</v>
      </c>
    </row>
    <row r="99" spans="1:33" ht="21.95" customHeight="1" x14ac:dyDescent="0.2">
      <c r="A99" s="1833">
        <f>satpek!$B$36</f>
        <v>17</v>
      </c>
      <c r="B99" s="2105">
        <f>B98+1</f>
        <v>3</v>
      </c>
      <c r="C99" s="1937"/>
      <c r="D99" s="1944" t="str">
        <f>VLOOKUP($A99,satpek!$B$20:$N$144,2,0)</f>
        <v>Memasang plesteran 1 PC : 6 PP, tebal 15 mm</v>
      </c>
      <c r="E99" s="1944"/>
      <c r="F99" s="2004"/>
      <c r="G99" s="1945">
        <f>'[3]B.VOL RAB'!Q330</f>
        <v>814.46500000000003</v>
      </c>
      <c r="H99" s="2456" t="str">
        <f>VLOOKUP($A99,satpek!$B$20:$N$144,7,0)</f>
        <v>m2</v>
      </c>
      <c r="I99" s="2457" t="str">
        <f>VLOOKUP($A99,satpek!$B$20:$N$144,5,0)</f>
        <v>A.4.4.2.6.</v>
      </c>
      <c r="J99" s="1951">
        <f>VLOOKUP($A99,satpek!$B$20:$N$144,6,0)</f>
        <v>62262.1</v>
      </c>
      <c r="K99" s="1938"/>
      <c r="L99" s="1952">
        <f t="shared" si="118"/>
        <v>50710301.280000001</v>
      </c>
      <c r="M99" s="1967"/>
      <c r="N99" s="2458">
        <f>VLOOKUP($A99,satpek!$B$20:$L$138,8,0)</f>
        <v>0.9857083021169093</v>
      </c>
      <c r="O99" s="1954">
        <f>VLOOKUP($A99,satpek!$B$20:$L$138,9,0)</f>
        <v>54311.738880000004</v>
      </c>
      <c r="P99" s="1954">
        <f>VLOOKUP($A99,satpek!$B$20:$L$138,10,0)</f>
        <v>61372.264934400009</v>
      </c>
      <c r="Q99" s="1952">
        <f t="shared" si="119"/>
        <v>44235010.406899206</v>
      </c>
      <c r="R99" s="1952">
        <f t="shared" si="120"/>
        <v>49985564.974545732</v>
      </c>
      <c r="S99" s="1955">
        <f t="shared" si="121"/>
        <v>724736.30545426905</v>
      </c>
      <c r="V99" s="1956">
        <v>62262.1</v>
      </c>
      <c r="W99" s="1956">
        <f t="shared" si="100"/>
        <v>-3.4999996423721313E-3</v>
      </c>
      <c r="X99" s="1956">
        <f t="shared" si="101"/>
        <v>50710301.276500002</v>
      </c>
      <c r="Y99" s="1836" t="s">
        <v>469</v>
      </c>
      <c r="AF99" s="1910">
        <v>59838.25</v>
      </c>
      <c r="AG99" s="1960">
        <f t="shared" ref="AG99:AG143" si="122">AF99-J99</f>
        <v>-2423.8499999999985</v>
      </c>
    </row>
    <row r="100" spans="1:33" ht="21.95" customHeight="1" x14ac:dyDescent="0.2">
      <c r="A100" s="1833">
        <f>satpek!$B$109</f>
        <v>90</v>
      </c>
      <c r="B100" s="2105">
        <f>B99+1</f>
        <v>4</v>
      </c>
      <c r="C100" s="1937"/>
      <c r="D100" s="1944" t="str">
        <f>VLOOKUP($A100,satpek!$B$20:$N$144,2,0)</f>
        <v>Sponengan</v>
      </c>
      <c r="E100" s="1944"/>
      <c r="F100" s="2004"/>
      <c r="G100" s="1945">
        <f>'[3]B.VOL RAB'!Q331</f>
        <v>1006.24</v>
      </c>
      <c r="H100" s="2456" t="str">
        <f>VLOOKUP($A100,satpek!$B$20:$N$144,7,0)</f>
        <v>m'</v>
      </c>
      <c r="I100" s="2457" t="str">
        <f>VLOOKUP($A100,satpek!$B$20:$N$144,5,0)</f>
        <v>Harga Satuan</v>
      </c>
      <c r="J100" s="1951">
        <f>VLOOKUP($A100,satpek!$B$20:$N$144,6,0)</f>
        <v>15000</v>
      </c>
      <c r="K100" s="1938"/>
      <c r="L100" s="1952">
        <f t="shared" si="118"/>
        <v>15093600</v>
      </c>
      <c r="M100" s="1967"/>
      <c r="N100" s="2458">
        <f>VLOOKUP($A100,satpek!$B$20:$L$138,8,0)</f>
        <v>0.5</v>
      </c>
      <c r="O100" s="1954">
        <f>VLOOKUP($A100,satpek!$B$20:$L$138,9,0)</f>
        <v>0</v>
      </c>
      <c r="P100" s="1954">
        <f>VLOOKUP($A100,satpek!$B$20:$L$138,10,0)</f>
        <v>7500</v>
      </c>
      <c r="Q100" s="1952">
        <f t="shared" si="119"/>
        <v>0</v>
      </c>
      <c r="R100" s="1952">
        <f t="shared" si="120"/>
        <v>7546800</v>
      </c>
      <c r="S100" s="1955">
        <f t="shared" si="121"/>
        <v>7546800</v>
      </c>
      <c r="V100" s="1956">
        <v>15000</v>
      </c>
      <c r="W100" s="1956">
        <f t="shared" si="100"/>
        <v>0</v>
      </c>
      <c r="X100" s="1956">
        <f t="shared" si="101"/>
        <v>15093600</v>
      </c>
      <c r="Y100" s="1836" t="s">
        <v>585</v>
      </c>
      <c r="AF100" s="1910">
        <v>15000</v>
      </c>
      <c r="AG100" s="1960">
        <f t="shared" si="122"/>
        <v>0</v>
      </c>
    </row>
    <row r="101" spans="1:33" ht="21.95" customHeight="1" x14ac:dyDescent="0.2">
      <c r="A101" s="1833">
        <f>satpek!$B$37</f>
        <v>18</v>
      </c>
      <c r="B101" s="2105">
        <f>B100+1</f>
        <v>5</v>
      </c>
      <c r="C101" s="1937"/>
      <c r="D101" s="1944" t="str">
        <f>VLOOKUP($A101,satpek!$B$20:$N$144,2,0)</f>
        <v>Memasang acian</v>
      </c>
      <c r="E101" s="1944"/>
      <c r="F101" s="2004"/>
      <c r="G101" s="1945">
        <f>'[3]B.VOL RAB'!Q334</f>
        <v>754.95699999999999</v>
      </c>
      <c r="H101" s="2456" t="str">
        <f>VLOOKUP($A101,satpek!$B$20:$N$144,7,0)</f>
        <v>m2</v>
      </c>
      <c r="I101" s="2457" t="str">
        <f>VLOOKUP($A101,satpek!$B$20:$N$144,5,0)</f>
        <v>A.4.4.2.27.</v>
      </c>
      <c r="J101" s="1951">
        <f>VLOOKUP($A101,satpek!$B$20:$N$144,6,0)</f>
        <v>36634.6</v>
      </c>
      <c r="K101" s="1938"/>
      <c r="L101" s="1952">
        <f t="shared" si="118"/>
        <v>27657547.710000001</v>
      </c>
      <c r="M101" s="1967"/>
      <c r="N101" s="2458">
        <f>VLOOKUP($A101,satpek!$B$20:$L$138,8,0)</f>
        <v>0.98212399753238744</v>
      </c>
      <c r="O101" s="1954">
        <f>VLOOKUP($A101,satpek!$B$20:$L$138,9,0)</f>
        <v>31840.46</v>
      </c>
      <c r="P101" s="1954">
        <f>VLOOKUP($A101,satpek!$B$20:$L$138,10,0)</f>
        <v>35979.719799999999</v>
      </c>
      <c r="Q101" s="1952">
        <f t="shared" si="119"/>
        <v>24038178.160220001</v>
      </c>
      <c r="R101" s="1952">
        <f t="shared" si="120"/>
        <v>27163141.31888793</v>
      </c>
      <c r="S101" s="1955">
        <f t="shared" si="121"/>
        <v>494406.39111207053</v>
      </c>
      <c r="V101" s="1956">
        <v>36634.6</v>
      </c>
      <c r="W101" s="1956">
        <f t="shared" si="100"/>
        <v>2.1999962627887726E-3</v>
      </c>
      <c r="X101" s="1956">
        <f t="shared" si="101"/>
        <v>27657547.712199997</v>
      </c>
      <c r="Y101" s="1836" t="s">
        <v>470</v>
      </c>
      <c r="AF101" s="1910">
        <v>35628.9</v>
      </c>
      <c r="AG101" s="1960">
        <f t="shared" si="122"/>
        <v>-1005.6999999999971</v>
      </c>
    </row>
    <row r="102" spans="1:33" s="1957" customFormat="1" ht="21.95" customHeight="1" x14ac:dyDescent="0.2">
      <c r="A102" s="1942">
        <f>satpek!$B$39</f>
        <v>20</v>
      </c>
      <c r="B102" s="1943">
        <v>1</v>
      </c>
      <c r="C102" s="1930"/>
      <c r="D102" s="1944" t="s">
        <v>1805</v>
      </c>
      <c r="E102" s="1930"/>
      <c r="F102" s="1931"/>
      <c r="G102" s="1945">
        <f>'[3]B.VOL RAB'!Q340</f>
        <v>67.116</v>
      </c>
      <c r="H102" s="2456" t="str">
        <f>VLOOKUP($A102,satpek!$B$20:$N$144,7,0)</f>
        <v>m3</v>
      </c>
      <c r="I102" s="2457" t="str">
        <f>VLOOKUP($A102,satpek!$B$20:$N$144,5,0)</f>
        <v>A.4.1.1.1.</v>
      </c>
      <c r="J102" s="1951">
        <f>VLOOKUP($A102,satpek!$B$20:$N$144,6,0)</f>
        <v>958085.99</v>
      </c>
      <c r="K102" s="1938"/>
      <c r="L102" s="1952">
        <f t="shared" ref="L102:L110" si="123">ROUND((G102*J102),2)</f>
        <v>64302899.299999997</v>
      </c>
      <c r="M102" s="1997"/>
      <c r="N102" s="2458">
        <f>VLOOKUP($A102,satpek!$B$20:$L$138,8,0)</f>
        <v>0.94805174525042479</v>
      </c>
      <c r="O102" s="1954">
        <f>VLOOKUP($A102,satpek!$B$20:$L$138,9,0)</f>
        <v>803818.67</v>
      </c>
      <c r="P102" s="1954">
        <f>VLOOKUP($A102,satpek!$B$20:$L$138,10,0)</f>
        <v>908315.09710000001</v>
      </c>
      <c r="Q102" s="1952">
        <f t="shared" ref="Q102:Q110" si="124">O102*G102</f>
        <v>53949093.855720006</v>
      </c>
      <c r="R102" s="1952">
        <f t="shared" ref="R102:R110" si="125">N102*L102</f>
        <v>60962475.906027317</v>
      </c>
      <c r="S102" s="1955">
        <f t="shared" ref="S102:S110" si="126">L102-R102</f>
        <v>3340423.39397268</v>
      </c>
      <c r="T102" s="1848"/>
      <c r="U102" s="1848"/>
      <c r="V102" s="1956">
        <v>958085.99</v>
      </c>
      <c r="W102" s="1956">
        <f t="shared" si="100"/>
        <v>4.8400014638900757E-3</v>
      </c>
      <c r="X102" s="1956">
        <f t="shared" si="101"/>
        <v>64302899.304839998</v>
      </c>
      <c r="Y102" s="1957" t="s">
        <v>1805</v>
      </c>
      <c r="AF102" s="2109">
        <v>969189.7</v>
      </c>
      <c r="AG102" s="1960">
        <f t="shared" si="122"/>
        <v>11103.709999999963</v>
      </c>
    </row>
    <row r="103" spans="1:33" ht="21.95" customHeight="1" x14ac:dyDescent="0.2">
      <c r="A103" s="1833">
        <f>satpek!$B$62</f>
        <v>43</v>
      </c>
      <c r="B103" s="1943">
        <f>B102+1</f>
        <v>2</v>
      </c>
      <c r="C103" s="1937"/>
      <c r="D103" s="1944" t="s">
        <v>1806</v>
      </c>
      <c r="E103" s="1944"/>
      <c r="F103" s="2004"/>
      <c r="G103" s="1945">
        <f>'[3]B.VOL RAB'!Q341</f>
        <v>742.51</v>
      </c>
      <c r="H103" s="2456" t="str">
        <f>VLOOKUP($A103,satpek!$B$20:$N$144,7,0)</f>
        <v>m2</v>
      </c>
      <c r="I103" s="2457" t="str">
        <f>VLOOKUP($A103,satpek!$B$20:$N$144,5,0)</f>
        <v>An. Dihitung</v>
      </c>
      <c r="J103" s="1951">
        <f>VLOOKUP($A103,satpek!$B$20:$N$144,6,0)</f>
        <v>245041.63</v>
      </c>
      <c r="K103" s="1938"/>
      <c r="L103" s="1952">
        <f t="shared" si="123"/>
        <v>181945860.69</v>
      </c>
      <c r="M103" s="1997"/>
      <c r="N103" s="2458">
        <f>VLOOKUP($A103,satpek!$B$20:$L$138,8,0)</f>
        <v>0.81409874983283448</v>
      </c>
      <c r="O103" s="1954">
        <f>VLOOKUP($A103,satpek!$B$20:$L$138,9,0)</f>
        <v>176538.128</v>
      </c>
      <c r="P103" s="1954">
        <f>VLOOKUP($A103,satpek!$B$20:$L$138,10,0)</f>
        <v>199488.08463999999</v>
      </c>
      <c r="Q103" s="1952">
        <f t="shared" si="124"/>
        <v>131081325.42128</v>
      </c>
      <c r="R103" s="1952">
        <f t="shared" si="125"/>
        <v>148121897.72498807</v>
      </c>
      <c r="S103" s="1955">
        <f t="shared" si="126"/>
        <v>33823962.965011925</v>
      </c>
      <c r="V103" s="1956">
        <v>245041.63</v>
      </c>
      <c r="W103" s="1956">
        <f t="shared" si="100"/>
        <v>1.3000071048736572E-3</v>
      </c>
      <c r="X103" s="1956">
        <f t="shared" si="101"/>
        <v>181945860.6913</v>
      </c>
      <c r="Y103" s="1836" t="s">
        <v>1806</v>
      </c>
      <c r="AC103" s="1836"/>
      <c r="AD103" s="1836"/>
      <c r="AE103" s="1836"/>
      <c r="AF103" s="1837">
        <v>197097.99</v>
      </c>
      <c r="AG103" s="1960">
        <f t="shared" si="122"/>
        <v>-47943.640000000014</v>
      </c>
    </row>
    <row r="104" spans="1:33" ht="21.95" customHeight="1" x14ac:dyDescent="0.2">
      <c r="A104" s="1833">
        <f>satpek!$B$63</f>
        <v>44</v>
      </c>
      <c r="B104" s="1943">
        <f t="shared" ref="B104:B110" si="127">B103+1</f>
        <v>3</v>
      </c>
      <c r="C104" s="1937"/>
      <c r="D104" s="1944" t="s">
        <v>1807</v>
      </c>
      <c r="E104" s="1944"/>
      <c r="F104" s="2004"/>
      <c r="G104" s="1945">
        <f>'[3]B.VOL RAB'!Q348</f>
        <v>80.600000000000009</v>
      </c>
      <c r="H104" s="2456" t="str">
        <f>VLOOKUP($A104,satpek!$B$20:$N$144,7,0)</f>
        <v>m2</v>
      </c>
      <c r="I104" s="2457" t="str">
        <f>VLOOKUP($A104,satpek!$B$20:$N$144,5,0)</f>
        <v>An. Dihitung</v>
      </c>
      <c r="J104" s="1951">
        <f>VLOOKUP($A104,satpek!$B$20:$N$144,6,0)</f>
        <v>301541.63</v>
      </c>
      <c r="K104" s="1938"/>
      <c r="L104" s="1952">
        <f t="shared" si="123"/>
        <v>24304255.379999999</v>
      </c>
      <c r="M104" s="1997"/>
      <c r="N104" s="2458">
        <f>VLOOKUP($A104,satpek!$B$20:$L$138,8,0)</f>
        <v>0.79200800446691222</v>
      </c>
      <c r="O104" s="1954">
        <f>VLOOKUP($A104,satpek!$B$20:$L$138,9,0)</f>
        <v>211348.128</v>
      </c>
      <c r="P104" s="1954">
        <f>VLOOKUP($A104,satpek!$B$20:$L$138,10,0)</f>
        <v>238823.38464</v>
      </c>
      <c r="Q104" s="1952">
        <f t="shared" si="124"/>
        <v>17034659.116800003</v>
      </c>
      <c r="R104" s="1952">
        <f t="shared" si="125"/>
        <v>19249164.803568013</v>
      </c>
      <c r="S104" s="1955">
        <f t="shared" si="126"/>
        <v>5055090.5764319859</v>
      </c>
      <c r="V104" s="1956">
        <v>301541.63</v>
      </c>
      <c r="W104" s="1956">
        <f t="shared" si="100"/>
        <v>-1.9999966025352478E-3</v>
      </c>
      <c r="X104" s="1956">
        <f t="shared" si="101"/>
        <v>24304255.378000002</v>
      </c>
      <c r="Y104" s="1836" t="s">
        <v>1807</v>
      </c>
      <c r="AC104" s="1836"/>
      <c r="AD104" s="1836"/>
      <c r="AE104" s="1836"/>
      <c r="AF104" s="1837">
        <v>230387.79</v>
      </c>
      <c r="AG104" s="1960">
        <f t="shared" si="122"/>
        <v>-71153.84</v>
      </c>
    </row>
    <row r="105" spans="1:33" ht="21.95" customHeight="1" x14ac:dyDescent="0.2">
      <c r="A105" s="1833">
        <f>satpek!$B$64</f>
        <v>45</v>
      </c>
      <c r="B105" s="1943">
        <f t="shared" si="127"/>
        <v>4</v>
      </c>
      <c r="C105" s="1937"/>
      <c r="D105" s="1944" t="str">
        <f>VLOOKUP($A105,satpek!$B$20:$N$144,2,0)</f>
        <v>Memasang dinding Homogenius tile  uk. (30x60) cm</v>
      </c>
      <c r="E105" s="1944"/>
      <c r="F105" s="2004"/>
      <c r="G105" s="1945">
        <f>'[3]B.VOL RAB'!Q353</f>
        <v>67.824000000000012</v>
      </c>
      <c r="H105" s="2456" t="str">
        <f>VLOOKUP($A105,satpek!$B$20:$N$144,7,0)</f>
        <v>m2</v>
      </c>
      <c r="I105" s="2457" t="str">
        <f>VLOOKUP($A105,satpek!$B$20:$N$144,5,0)</f>
        <v>An. Dihitung</v>
      </c>
      <c r="J105" s="1951">
        <f>VLOOKUP($A105,satpek!$B$20:$N$144,6,0)</f>
        <v>281318.25</v>
      </c>
      <c r="K105" s="1938"/>
      <c r="L105" s="1952">
        <f t="shared" si="123"/>
        <v>19080128.989999998</v>
      </c>
      <c r="M105" s="1997"/>
      <c r="N105" s="2458">
        <f>VLOOKUP($A105,satpek!$B$20:$L$138,8,0)</f>
        <v>0.85772412757045269</v>
      </c>
      <c r="O105" s="1954">
        <f>VLOOKUP($A105,satpek!$B$20:$L$138,9,0)</f>
        <v>213534.024</v>
      </c>
      <c r="P105" s="1954">
        <f>VLOOKUP($A105,satpek!$B$20:$L$138,10,0)</f>
        <v>241293.44712</v>
      </c>
      <c r="Q105" s="1952">
        <f t="shared" si="124"/>
        <v>14482731.643776003</v>
      </c>
      <c r="R105" s="1952">
        <f t="shared" si="125"/>
        <v>16365486.991879452</v>
      </c>
      <c r="S105" s="1955">
        <f t="shared" si="126"/>
        <v>2714641.9981205463</v>
      </c>
      <c r="V105" s="1956">
        <v>281318.25</v>
      </c>
      <c r="W105" s="1956">
        <f t="shared" si="100"/>
        <v>-1.9999966025352478E-3</v>
      </c>
      <c r="X105" s="1956">
        <f t="shared" si="101"/>
        <v>19080128.988000002</v>
      </c>
      <c r="Y105" s="1836" t="s">
        <v>1808</v>
      </c>
      <c r="AC105" s="1836"/>
      <c r="AD105" s="1836"/>
      <c r="AE105" s="1836"/>
      <c r="AF105" s="1837">
        <v>228382.94</v>
      </c>
      <c r="AG105" s="1960">
        <f t="shared" si="122"/>
        <v>-52935.31</v>
      </c>
    </row>
    <row r="106" spans="1:33" ht="21.95" customHeight="1" x14ac:dyDescent="0.2">
      <c r="A106" s="1833">
        <f>satpek!$B$61</f>
        <v>42</v>
      </c>
      <c r="B106" s="1943">
        <f t="shared" si="127"/>
        <v>5</v>
      </c>
      <c r="C106" s="1937"/>
      <c r="D106" s="1944" t="str">
        <f>VLOOKUP($A106,satpek!$B$20:$N$144,2,0)</f>
        <v>Pasang batu andesit</v>
      </c>
      <c r="E106" s="1944"/>
      <c r="F106" s="2004"/>
      <c r="G106" s="1945">
        <v>45.2029</v>
      </c>
      <c r="H106" s="2456" t="str">
        <f>VLOOKUP($A106,satpek!$B$20:$N$144,7,0)</f>
        <v>m2</v>
      </c>
      <c r="I106" s="2457" t="str">
        <f>VLOOKUP($A106,satpek!$B$20:$N$144,5,0)</f>
        <v>A.4.4.3.58b.</v>
      </c>
      <c r="J106" s="1951">
        <f>VLOOKUP($A106,satpek!$B$20:$N$144,6,0)</f>
        <v>362752.6</v>
      </c>
      <c r="K106" s="1938"/>
      <c r="L106" s="1952">
        <f t="shared" si="123"/>
        <v>16397469.5</v>
      </c>
      <c r="M106" s="1997"/>
      <c r="N106" s="2458">
        <f>VLOOKUP($A106,satpek!$B$20:$L$138,8,0)</f>
        <v>0.99347311693975449</v>
      </c>
      <c r="O106" s="1954">
        <f>VLOOKUP($A106,satpek!$B$20:$L$138,9,0)</f>
        <v>318924.74</v>
      </c>
      <c r="P106" s="1954">
        <f>VLOOKUP($A106,satpek!$B$20:$L$138,10,0)</f>
        <v>360384.95620000002</v>
      </c>
      <c r="Q106" s="1952">
        <f t="shared" si="124"/>
        <v>14416323.129745999</v>
      </c>
      <c r="R106" s="1952">
        <f t="shared" si="125"/>
        <v>16290445.134089557</v>
      </c>
      <c r="S106" s="1955">
        <f t="shared" si="126"/>
        <v>107024.36591044255</v>
      </c>
      <c r="V106" s="1956">
        <v>362752.6</v>
      </c>
      <c r="W106" s="1956">
        <f t="shared" si="100"/>
        <v>2.5399979203939438E-3</v>
      </c>
      <c r="X106" s="1956">
        <f t="shared" si="101"/>
        <v>16397469.502539998</v>
      </c>
      <c r="Y106" s="1836" t="s">
        <v>1912</v>
      </c>
      <c r="AC106" s="1836"/>
      <c r="AD106" s="1836"/>
      <c r="AE106" s="1836"/>
      <c r="AF106" s="1837">
        <v>358046.15</v>
      </c>
      <c r="AG106" s="1960">
        <f t="shared" si="122"/>
        <v>-4706.4499999999534</v>
      </c>
    </row>
    <row r="107" spans="1:33" ht="21.95" customHeight="1" x14ac:dyDescent="0.2">
      <c r="A107" s="1833">
        <f>satpek!$B$105</f>
        <v>86</v>
      </c>
      <c r="B107" s="1943">
        <f t="shared" si="127"/>
        <v>6</v>
      </c>
      <c r="C107" s="1937"/>
      <c r="D107" s="1944" t="str">
        <f>VLOOKUP($A107,satpek!$B$20:$N$144,2,0)</f>
        <v>Memasang paving tb. 8 cm, K.250, polos</v>
      </c>
      <c r="E107" s="1944"/>
      <c r="F107" s="2004"/>
      <c r="G107" s="1945">
        <f>'[3]B.VOL RAB'!Q359</f>
        <v>183.52999999999997</v>
      </c>
      <c r="H107" s="2456" t="str">
        <f>VLOOKUP($A107,satpek!$B$20:$N$144,7,0)</f>
        <v>m2</v>
      </c>
      <c r="I107" s="2457" t="str">
        <f>VLOOKUP($A107,satpek!$B$20:$N$144,5,0)</f>
        <v>An. Dihitung</v>
      </c>
      <c r="J107" s="1951">
        <f>VLOOKUP($A107,satpek!$B$20:$N$144,6,0)</f>
        <v>206637.45</v>
      </c>
      <c r="K107" s="1938"/>
      <c r="L107" s="1952">
        <f t="shared" si="123"/>
        <v>37924171.200000003</v>
      </c>
      <c r="M107" s="1997"/>
      <c r="N107" s="2458">
        <f>VLOOKUP($A107,satpek!$B$20:$L$138,8,0)</f>
        <v>1</v>
      </c>
      <c r="O107" s="1954">
        <f>VLOOKUP($A107,satpek!$B$20:$L$138,9,0)</f>
        <v>182865</v>
      </c>
      <c r="P107" s="1954">
        <f>VLOOKUP($A107,satpek!$B$20:$L$138,10,0)</f>
        <v>206637.45</v>
      </c>
      <c r="Q107" s="1952">
        <f t="shared" si="124"/>
        <v>33561213.449999996</v>
      </c>
      <c r="R107" s="1952">
        <f t="shared" si="125"/>
        <v>37924171.200000003</v>
      </c>
      <c r="S107" s="1955">
        <f t="shared" si="126"/>
        <v>0</v>
      </c>
      <c r="V107" s="1956">
        <v>206637.45</v>
      </c>
      <c r="W107" s="1956">
        <f t="shared" si="100"/>
        <v>-1.5000030398368835E-3</v>
      </c>
      <c r="X107" s="1956">
        <f t="shared" si="101"/>
        <v>37924171.1985</v>
      </c>
      <c r="Y107" s="1836" t="s">
        <v>234</v>
      </c>
      <c r="AC107" s="1836"/>
      <c r="AD107" s="1836"/>
      <c r="AE107" s="1836"/>
      <c r="AF107" s="1837">
        <v>199348.95</v>
      </c>
      <c r="AG107" s="1960">
        <f t="shared" si="122"/>
        <v>-7288.5</v>
      </c>
    </row>
    <row r="108" spans="1:33" ht="21.95" customHeight="1" x14ac:dyDescent="0.2">
      <c r="A108" s="1833">
        <f>satpek!$B$60</f>
        <v>41</v>
      </c>
      <c r="B108" s="1943">
        <f t="shared" si="127"/>
        <v>7</v>
      </c>
      <c r="C108" s="1937"/>
      <c r="D108" s="1944" t="str">
        <f>VLOOKUP($A108,satpek!$B$20:$N$144,2,0)</f>
        <v xml:space="preserve">Memasang lantai keramik unpolish ukuran 30/30 cm </v>
      </c>
      <c r="E108" s="1944"/>
      <c r="F108" s="2004"/>
      <c r="G108" s="1945">
        <f>'[3]B.VOL RAB'!Q361</f>
        <v>18.840000000000003</v>
      </c>
      <c r="H108" s="2456" t="str">
        <f>VLOOKUP($A108,satpek!$B$20:$N$144,7,0)</f>
        <v>m2</v>
      </c>
      <c r="I108" s="2457" t="str">
        <f>VLOOKUP($A108,satpek!$B$20:$N$144,5,0)</f>
        <v>A.4.4.3.35.</v>
      </c>
      <c r="J108" s="1951">
        <f>VLOOKUP($A108,satpek!$B$20:$N$144,6,0)</f>
        <v>186829.68</v>
      </c>
      <c r="K108" s="1938"/>
      <c r="L108" s="1952">
        <f t="shared" si="123"/>
        <v>3519871.17</v>
      </c>
      <c r="M108" s="1997"/>
      <c r="N108" s="2458">
        <f>VLOOKUP($A108,satpek!$B$20:$L$138,8,0)</f>
        <v>0.83020878695504929</v>
      </c>
      <c r="O108" s="1954">
        <f>VLOOKUP($A108,satpek!$B$20:$L$138,9,0)</f>
        <v>137263.40000000002</v>
      </c>
      <c r="P108" s="1954">
        <f>VLOOKUP($A108,satpek!$B$20:$L$138,10,0)</f>
        <v>155107.64200000002</v>
      </c>
      <c r="Q108" s="1952">
        <f t="shared" si="124"/>
        <v>2586042.4560000007</v>
      </c>
      <c r="R108" s="1952">
        <f t="shared" si="125"/>
        <v>2922227.9742837502</v>
      </c>
      <c r="S108" s="1955">
        <f t="shared" si="126"/>
        <v>597643.19571624976</v>
      </c>
      <c r="V108" s="1956">
        <v>186829.68</v>
      </c>
      <c r="W108" s="1956">
        <f t="shared" si="100"/>
        <v>1.2000007554888725E-3</v>
      </c>
      <c r="X108" s="1956">
        <f t="shared" si="101"/>
        <v>3519871.1712000007</v>
      </c>
      <c r="Y108" s="2016" t="s">
        <v>1809</v>
      </c>
      <c r="AC108" s="1836"/>
      <c r="AD108" s="1836"/>
      <c r="AE108" s="1836"/>
      <c r="AF108" s="1837">
        <v>176741.04</v>
      </c>
      <c r="AG108" s="1960">
        <f t="shared" si="122"/>
        <v>-10088.639999999985</v>
      </c>
    </row>
    <row r="109" spans="1:33" ht="21.95" customHeight="1" x14ac:dyDescent="0.2">
      <c r="A109" s="1833">
        <f>satpek!$B$59</f>
        <v>40</v>
      </c>
      <c r="B109" s="1943">
        <f t="shared" si="127"/>
        <v>8</v>
      </c>
      <c r="C109" s="1937"/>
      <c r="D109" s="1944" t="str">
        <f>VLOOKUP($A109,satpek!$B$20:$N$144,2,0)</f>
        <v>Memasang plint lantai Homogenius tile uk. (10 x 60) cm</v>
      </c>
      <c r="E109" s="1944"/>
      <c r="F109" s="2004"/>
      <c r="G109" s="1945">
        <f>'[3]B.VOL RAB'!Q365</f>
        <v>614.89999999999964</v>
      </c>
      <c r="H109" s="2456" t="str">
        <f>VLOOKUP($A109,satpek!$B$20:$N$144,7,0)</f>
        <v>m'</v>
      </c>
      <c r="I109" s="2457" t="str">
        <f>VLOOKUP($A109,satpek!$B$20:$N$144,5,0)</f>
        <v>A.4.4.3.28.a.</v>
      </c>
      <c r="J109" s="1951">
        <f>VLOOKUP($A109,satpek!$B$20:$N$144,6,0)</f>
        <v>38068.57</v>
      </c>
      <c r="K109" s="1938"/>
      <c r="L109" s="1952">
        <f t="shared" si="123"/>
        <v>23408363.690000001</v>
      </c>
      <c r="M109" s="1997"/>
      <c r="N109" s="2458">
        <f>VLOOKUP($A109,satpek!$B$20:$L$138,8,0)</f>
        <v>0.83654205230193834</v>
      </c>
      <c r="O109" s="1954">
        <f>VLOOKUP($A109,satpek!$B$20:$L$138,9,0)</f>
        <v>28182.265200000002</v>
      </c>
      <c r="P109" s="1954">
        <f>VLOOKUP($A109,satpek!$B$20:$L$138,10,0)</f>
        <v>31845.959676000002</v>
      </c>
      <c r="Q109" s="1952">
        <f t="shared" si="124"/>
        <v>17329274.871479992</v>
      </c>
      <c r="R109" s="1952">
        <f t="shared" si="125"/>
        <v>19582080.602262776</v>
      </c>
      <c r="S109" s="1955">
        <f t="shared" si="126"/>
        <v>3826283.087737225</v>
      </c>
      <c r="V109" s="1956">
        <v>38068.57</v>
      </c>
      <c r="W109" s="1956">
        <f t="shared" si="100"/>
        <v>2.9999837279319763E-3</v>
      </c>
      <c r="X109" s="1956">
        <f t="shared" si="101"/>
        <v>23408363.692999985</v>
      </c>
      <c r="Y109" s="1836" t="s">
        <v>1810</v>
      </c>
      <c r="AC109" s="1836"/>
      <c r="AD109" s="1836"/>
      <c r="AE109" s="1836"/>
      <c r="AF109" s="1837">
        <v>72758.44</v>
      </c>
      <c r="AG109" s="1960">
        <f t="shared" si="122"/>
        <v>34689.870000000003</v>
      </c>
    </row>
    <row r="110" spans="1:33" ht="21.95" customHeight="1" x14ac:dyDescent="0.2">
      <c r="A110" s="1833">
        <f>satpek!$B$65</f>
        <v>46</v>
      </c>
      <c r="B110" s="1943">
        <f t="shared" si="127"/>
        <v>9</v>
      </c>
      <c r="C110" s="1937"/>
      <c r="D110" s="1944" t="s">
        <v>1811</v>
      </c>
      <c r="E110" s="1944"/>
      <c r="F110" s="2004"/>
      <c r="G110" s="1945">
        <f>'[3]B.VOL RAB'!Q368</f>
        <v>175.4</v>
      </c>
      <c r="H110" s="2456" t="str">
        <f>VLOOKUP($A110,satpek!$B$20:$N$144,7,0)</f>
        <v>m'</v>
      </c>
      <c r="I110" s="2457" t="str">
        <f>VLOOKUP($A110,satpek!$B$20:$N$144,5,0)</f>
        <v>An. Dihitung</v>
      </c>
      <c r="J110" s="1951">
        <f>VLOOKUP($A110,satpek!$B$20:$N$144,6,0)</f>
        <v>65535.37</v>
      </c>
      <c r="K110" s="1938"/>
      <c r="L110" s="1952">
        <f t="shared" si="123"/>
        <v>11494903.9</v>
      </c>
      <c r="M110" s="1997"/>
      <c r="N110" s="2458">
        <f>VLOOKUP($A110,satpek!$B$20:$L$138,8,0)</f>
        <v>0.7887839071382633</v>
      </c>
      <c r="O110" s="1954">
        <f>VLOOKUP($A110,satpek!$B$20:$L$138,9,0)</f>
        <v>45746.232600000003</v>
      </c>
      <c r="P110" s="1954">
        <f>VLOOKUP($A110,satpek!$B$20:$L$138,10,0)</f>
        <v>51693.242838000006</v>
      </c>
      <c r="Q110" s="1952">
        <f t="shared" si="124"/>
        <v>8023889.1980400011</v>
      </c>
      <c r="R110" s="1952">
        <f t="shared" si="125"/>
        <v>9066995.21042086</v>
      </c>
      <c r="S110" s="1955">
        <f t="shared" si="126"/>
        <v>2427908.6895791404</v>
      </c>
      <c r="V110" s="1956">
        <v>65535.37</v>
      </c>
      <c r="W110" s="1956">
        <f t="shared" si="100"/>
        <v>-2.0000003278255463E-3</v>
      </c>
      <c r="X110" s="1956">
        <f t="shared" si="101"/>
        <v>11494903.898</v>
      </c>
      <c r="Y110" s="1836" t="s">
        <v>1811</v>
      </c>
      <c r="AC110" s="1836"/>
      <c r="AD110" s="1836"/>
      <c r="AE110" s="1836"/>
      <c r="AF110" s="1837">
        <v>65393.1</v>
      </c>
      <c r="AG110" s="1960">
        <f t="shared" si="122"/>
        <v>-142.27000000000407</v>
      </c>
    </row>
    <row r="111" spans="1:33" s="1957" customFormat="1" ht="21.95" customHeight="1" x14ac:dyDescent="0.2">
      <c r="A111" s="1942">
        <f>satpek!$B$39</f>
        <v>20</v>
      </c>
      <c r="B111" s="1943">
        <v>1</v>
      </c>
      <c r="C111" s="1930"/>
      <c r="D111" s="1944" t="str">
        <f>D102</f>
        <v>Membuat lantai kerja beton mutu f'c = 7,4 Mpa, T : 8 cm</v>
      </c>
      <c r="E111" s="1930"/>
      <c r="F111" s="1931"/>
      <c r="G111" s="1945">
        <f>'[3]B.VOL RAB'!Q374</f>
        <v>61.06</v>
      </c>
      <c r="H111" s="2456" t="str">
        <f>VLOOKUP($A111,satpek!$B$20:$N$144,7,0)</f>
        <v>m3</v>
      </c>
      <c r="I111" s="2457" t="str">
        <f>VLOOKUP($A111,satpek!$B$20:$N$144,5,0)</f>
        <v>A.4.1.1.1.</v>
      </c>
      <c r="J111" s="1951">
        <f>VLOOKUP($A111,satpek!$B$20:$N$144,6,0)</f>
        <v>958085.99</v>
      </c>
      <c r="K111" s="1938"/>
      <c r="L111" s="1952">
        <f t="shared" ref="L111:L115" si="128">ROUND((G111*J111),2)</f>
        <v>58500730.549999997</v>
      </c>
      <c r="M111" s="1997"/>
      <c r="N111" s="2458">
        <f>VLOOKUP($A111,satpek!$B$20:$L$138,8,0)</f>
        <v>0.94805174525042479</v>
      </c>
      <c r="O111" s="1954">
        <f>VLOOKUP($A111,satpek!$B$20:$L$138,9,0)</f>
        <v>803818.67</v>
      </c>
      <c r="P111" s="1954">
        <f>VLOOKUP($A111,satpek!$B$20:$L$138,10,0)</f>
        <v>908315.09710000001</v>
      </c>
      <c r="Q111" s="1952">
        <f t="shared" ref="Q111:Q115" si="129">O111*G111</f>
        <v>49081167.990200005</v>
      </c>
      <c r="R111" s="1952">
        <f t="shared" ref="R111:R115" si="130">N111*L111</f>
        <v>55461719.69635234</v>
      </c>
      <c r="S111" s="1955">
        <f t="shared" ref="S111:S115" si="131">L111-R111</f>
        <v>3039010.8536476567</v>
      </c>
      <c r="T111" s="1848"/>
      <c r="U111" s="1848"/>
      <c r="V111" s="1956">
        <v>958085.99</v>
      </c>
      <c r="W111" s="1956">
        <f t="shared" si="100"/>
        <v>-5.9999525547027588E-4</v>
      </c>
      <c r="X111" s="1956">
        <f t="shared" si="101"/>
        <v>58500730.549400002</v>
      </c>
      <c r="Y111" s="1957" t="s">
        <v>1805</v>
      </c>
      <c r="AF111" s="2109">
        <v>969189.7</v>
      </c>
      <c r="AG111" s="1960">
        <f t="shared" si="122"/>
        <v>11103.709999999963</v>
      </c>
    </row>
    <row r="112" spans="1:33" ht="21.95" customHeight="1" x14ac:dyDescent="0.2">
      <c r="A112" s="1833">
        <f>satpek!$B$62</f>
        <v>43</v>
      </c>
      <c r="B112" s="1943">
        <f>B111+1</f>
        <v>2</v>
      </c>
      <c r="C112" s="1937"/>
      <c r="D112" s="1944" t="s">
        <v>1806</v>
      </c>
      <c r="E112" s="1944"/>
      <c r="F112" s="2004"/>
      <c r="G112" s="1945">
        <f>'[3]B.VOL RAB'!Q375</f>
        <v>724.55499999999995</v>
      </c>
      <c r="H112" s="2456" t="str">
        <f>VLOOKUP($A112,satpek!$B$20:$N$144,7,0)</f>
        <v>m2</v>
      </c>
      <c r="I112" s="2457" t="str">
        <f>VLOOKUP($A112,satpek!$B$20:$N$144,5,0)</f>
        <v>An. Dihitung</v>
      </c>
      <c r="J112" s="1951">
        <f>VLOOKUP($A112,satpek!$B$20:$N$144,6,0)</f>
        <v>245041.63</v>
      </c>
      <c r="K112" s="1938"/>
      <c r="L112" s="1952">
        <f t="shared" si="128"/>
        <v>177546138.22</v>
      </c>
      <c r="M112" s="1997"/>
      <c r="N112" s="2458">
        <f>VLOOKUP($A112,satpek!$B$20:$L$138,8,0)</f>
        <v>0.81409874983283448</v>
      </c>
      <c r="O112" s="1954">
        <f>VLOOKUP($A112,satpek!$B$20:$L$138,9,0)</f>
        <v>176538.128</v>
      </c>
      <c r="P112" s="1954">
        <f>VLOOKUP($A112,satpek!$B$20:$L$138,10,0)</f>
        <v>199488.08463999999</v>
      </c>
      <c r="Q112" s="1952">
        <f t="shared" si="129"/>
        <v>127911583.33303998</v>
      </c>
      <c r="R112" s="1952">
        <f t="shared" si="130"/>
        <v>144540089.16254964</v>
      </c>
      <c r="S112" s="1955">
        <f t="shared" si="131"/>
        <v>33006049.057450354</v>
      </c>
      <c r="V112" s="1956">
        <v>245041.63</v>
      </c>
      <c r="W112" s="1956">
        <f t="shared" si="100"/>
        <v>4.6499967575073242E-3</v>
      </c>
      <c r="X112" s="1956">
        <f t="shared" si="101"/>
        <v>177546138.22465</v>
      </c>
      <c r="Y112" s="1836" t="s">
        <v>1806</v>
      </c>
      <c r="AC112" s="1836"/>
      <c r="AD112" s="1836"/>
      <c r="AE112" s="1836"/>
      <c r="AF112" s="1837">
        <v>197097.99</v>
      </c>
      <c r="AG112" s="1960">
        <f t="shared" si="122"/>
        <v>-47943.640000000014</v>
      </c>
    </row>
    <row r="113" spans="1:33" ht="21.95" customHeight="1" x14ac:dyDescent="0.2">
      <c r="A113" s="1833">
        <f>satpek!$B$64</f>
        <v>45</v>
      </c>
      <c r="B113" s="1943">
        <f>B112+1</f>
        <v>3</v>
      </c>
      <c r="C113" s="1937"/>
      <c r="D113" s="1944" t="str">
        <f>VLOOKUP($A113,satpek!$B$20:$N$144,2,0)</f>
        <v>Memasang dinding Homogenius tile  uk. (30x60) cm</v>
      </c>
      <c r="E113" s="1944"/>
      <c r="F113" s="2004"/>
      <c r="G113" s="1945">
        <f>'[3]B.VOL RAB'!Q381</f>
        <v>59.508000000000017</v>
      </c>
      <c r="H113" s="2456" t="str">
        <f>VLOOKUP($A113,satpek!$B$20:$N$144,7,0)</f>
        <v>m2</v>
      </c>
      <c r="I113" s="2457" t="str">
        <f>VLOOKUP($A113,satpek!$B$20:$N$144,5,0)</f>
        <v>An. Dihitung</v>
      </c>
      <c r="J113" s="1951">
        <f>VLOOKUP($A113,satpek!$B$20:$N$144,6,0)</f>
        <v>281318.25</v>
      </c>
      <c r="K113" s="1938"/>
      <c r="L113" s="1952">
        <f t="shared" si="128"/>
        <v>16740686.42</v>
      </c>
      <c r="M113" s="1997"/>
      <c r="N113" s="2458">
        <f>VLOOKUP($A113,satpek!$B$20:$L$138,8,0)</f>
        <v>0.85772412757045269</v>
      </c>
      <c r="O113" s="1954">
        <f>VLOOKUP($A113,satpek!$B$20:$L$138,9,0)</f>
        <v>213534.024</v>
      </c>
      <c r="P113" s="1954">
        <f>VLOOKUP($A113,satpek!$B$20:$L$138,10,0)</f>
        <v>241293.44712</v>
      </c>
      <c r="Q113" s="1952">
        <f t="shared" si="129"/>
        <v>12706982.700192004</v>
      </c>
      <c r="R113" s="1952">
        <f t="shared" si="130"/>
        <v>14358890.654525025</v>
      </c>
      <c r="S113" s="1955">
        <f t="shared" si="131"/>
        <v>2381795.7654749751</v>
      </c>
      <c r="V113" s="1956">
        <v>281318.25</v>
      </c>
      <c r="W113" s="1956">
        <f t="shared" si="100"/>
        <v>1.0000057518482208E-3</v>
      </c>
      <c r="X113" s="1956">
        <f t="shared" si="101"/>
        <v>16740686.421000006</v>
      </c>
      <c r="Y113" s="1836" t="s">
        <v>1808</v>
      </c>
      <c r="AC113" s="1836"/>
      <c r="AD113" s="1836"/>
      <c r="AE113" s="1836"/>
      <c r="AF113" s="1837">
        <v>228382.94</v>
      </c>
      <c r="AG113" s="1960">
        <f t="shared" si="122"/>
        <v>-52935.31</v>
      </c>
    </row>
    <row r="114" spans="1:33" ht="21.95" customHeight="1" x14ac:dyDescent="0.2">
      <c r="A114" s="1833">
        <f>satpek!$B$60</f>
        <v>41</v>
      </c>
      <c r="B114" s="1943">
        <f>B113+1</f>
        <v>4</v>
      </c>
      <c r="C114" s="1937"/>
      <c r="D114" s="1944" t="str">
        <f>VLOOKUP($A114,satpek!$B$20:$N$144,2,0)</f>
        <v xml:space="preserve">Memasang lantai keramik unpolish ukuran 30/30 cm </v>
      </c>
      <c r="E114" s="1944"/>
      <c r="F114" s="2004"/>
      <c r="G114" s="1945">
        <f>'[3]B.VOL RAB'!Q386</f>
        <v>16.53</v>
      </c>
      <c r="H114" s="2456" t="str">
        <f>VLOOKUP($A114,satpek!$B$20:$N$144,7,0)</f>
        <v>m2</v>
      </c>
      <c r="I114" s="2457" t="str">
        <f>VLOOKUP($A114,satpek!$B$20:$N$144,5,0)</f>
        <v>A.4.4.3.35.</v>
      </c>
      <c r="J114" s="1951">
        <f>VLOOKUP($A114,satpek!$B$20:$N$144,6,0)</f>
        <v>186829.68</v>
      </c>
      <c r="K114" s="1938"/>
      <c r="L114" s="1952">
        <f t="shared" si="128"/>
        <v>3088294.61</v>
      </c>
      <c r="M114" s="1997"/>
      <c r="N114" s="2458">
        <f>VLOOKUP($A114,satpek!$B$20:$L$138,8,0)</f>
        <v>0.83020878695504929</v>
      </c>
      <c r="O114" s="1954">
        <f>VLOOKUP($A114,satpek!$B$20:$L$138,9,0)</f>
        <v>137263.40000000002</v>
      </c>
      <c r="P114" s="1954">
        <f>VLOOKUP($A114,satpek!$B$20:$L$138,10,0)</f>
        <v>155107.64200000002</v>
      </c>
      <c r="Q114" s="1952">
        <f t="shared" si="129"/>
        <v>2268964.0020000003</v>
      </c>
      <c r="R114" s="1952">
        <f t="shared" si="130"/>
        <v>2563929.3219279167</v>
      </c>
      <c r="S114" s="1955">
        <f t="shared" si="131"/>
        <v>524365.28807208315</v>
      </c>
      <c r="V114" s="1956">
        <v>186829.68</v>
      </c>
      <c r="W114" s="1956">
        <f t="shared" si="100"/>
        <v>4.0000025182962418E-4</v>
      </c>
      <c r="X114" s="1956">
        <f t="shared" si="101"/>
        <v>3088294.6104000001</v>
      </c>
      <c r="Y114" s="1836" t="s">
        <v>1809</v>
      </c>
      <c r="AC114" s="1836"/>
      <c r="AD114" s="1836"/>
      <c r="AE114" s="1836"/>
      <c r="AF114" s="1837">
        <v>176741.04</v>
      </c>
      <c r="AG114" s="1960">
        <f t="shared" si="122"/>
        <v>-10088.639999999985</v>
      </c>
    </row>
    <row r="115" spans="1:33" ht="21.95" customHeight="1" x14ac:dyDescent="0.2">
      <c r="A115" s="1833">
        <f>satpek!$B$59</f>
        <v>40</v>
      </c>
      <c r="B115" s="1943">
        <f>B114+1</f>
        <v>5</v>
      </c>
      <c r="C115" s="1937"/>
      <c r="D115" s="1944" t="str">
        <f>VLOOKUP($A115,satpek!$B$20:$N$144,2,0)</f>
        <v>Memasang plint lantai Homogenius tile uk. (10 x 60) cm</v>
      </c>
      <c r="E115" s="1944"/>
      <c r="F115" s="2004"/>
      <c r="G115" s="1945">
        <f>'[3]B.VOL RAB'!Q390</f>
        <v>643.69999999999959</v>
      </c>
      <c r="H115" s="2456" t="str">
        <f>VLOOKUP($A115,satpek!$B$20:$N$144,7,0)</f>
        <v>m'</v>
      </c>
      <c r="I115" s="2457" t="str">
        <f>VLOOKUP($A115,satpek!$B$20:$N$144,5,0)</f>
        <v>A.4.4.3.28.a.</v>
      </c>
      <c r="J115" s="1951">
        <f>VLOOKUP($A115,satpek!$B$20:$N$144,6,0)</f>
        <v>38068.57</v>
      </c>
      <c r="K115" s="1938"/>
      <c r="L115" s="1952">
        <f t="shared" si="128"/>
        <v>24504738.510000002</v>
      </c>
      <c r="M115" s="1997"/>
      <c r="N115" s="2458">
        <f>VLOOKUP($A115,satpek!$B$20:$L$138,8,0)</f>
        <v>0.83654205230193834</v>
      </c>
      <c r="O115" s="1954">
        <f>VLOOKUP($A115,satpek!$B$20:$L$138,9,0)</f>
        <v>28182.265200000002</v>
      </c>
      <c r="P115" s="1954">
        <f>VLOOKUP($A115,satpek!$B$20:$L$138,10,0)</f>
        <v>31845.959676000002</v>
      </c>
      <c r="Q115" s="1952">
        <f t="shared" si="129"/>
        <v>18140924.109239988</v>
      </c>
      <c r="R115" s="1952">
        <f t="shared" si="130"/>
        <v>20499244.244277745</v>
      </c>
      <c r="S115" s="1955">
        <f t="shared" si="131"/>
        <v>4005494.2657222562</v>
      </c>
      <c r="V115" s="1956">
        <v>38068.57</v>
      </c>
      <c r="W115" s="1956">
        <f t="shared" si="100"/>
        <v>-1.0000169277191162E-3</v>
      </c>
      <c r="X115" s="1956">
        <f t="shared" si="101"/>
        <v>24504738.508999985</v>
      </c>
      <c r="Y115" s="1836" t="s">
        <v>1810</v>
      </c>
      <c r="AC115" s="1836"/>
      <c r="AD115" s="1836"/>
      <c r="AE115" s="1836"/>
      <c r="AF115" s="1837">
        <v>72758.44</v>
      </c>
      <c r="AG115" s="1960">
        <f t="shared" si="122"/>
        <v>34689.870000000003</v>
      </c>
    </row>
    <row r="116" spans="1:33" ht="21.95" customHeight="1" x14ac:dyDescent="0.2">
      <c r="A116" s="1833">
        <f>satpek!$B$53</f>
        <v>34</v>
      </c>
      <c r="B116" s="1943">
        <v>1</v>
      </c>
      <c r="C116" s="1937"/>
      <c r="D116" s="1944" t="str">
        <f>VLOOKUP($A116,satpek!$B$20:$N$144,2,0)</f>
        <v>Memasang rk. plafond besi hollow uk. (60x80) cm</v>
      </c>
      <c r="E116" s="1944"/>
      <c r="F116" s="2004"/>
      <c r="G116" s="1945">
        <f>'[3]B.VOL RAB'!Q395</f>
        <v>785.32499999999993</v>
      </c>
      <c r="H116" s="2456" t="str">
        <f>VLOOKUP($A116,satpek!$B$20:$N$144,7,0)</f>
        <v>m2</v>
      </c>
      <c r="I116" s="2457" t="str">
        <f>VLOOKUP($A116,satpek!$B$20:$N$144,5,0)</f>
        <v>A.4.2.1.20.</v>
      </c>
      <c r="J116" s="1951">
        <f>VLOOKUP($A116,satpek!$B$20:$N$144,6,0)</f>
        <v>98134.85</v>
      </c>
      <c r="K116" s="1938"/>
      <c r="L116" s="1952">
        <f t="shared" ref="L116:L117" si="132">ROUND((G116*J116),2)</f>
        <v>77067751.079999998</v>
      </c>
      <c r="M116" s="1967"/>
      <c r="N116" s="2458">
        <f>VLOOKUP($A116,satpek!$B$20:$L$138,8,0)</f>
        <v>0.71051931602279927</v>
      </c>
      <c r="O116" s="1954">
        <f>VLOOKUP($A116,satpek!$B$20:$L$138,9,0)</f>
        <v>61705.05</v>
      </c>
      <c r="P116" s="1954">
        <f>VLOOKUP($A116,satpek!$B$20:$L$138,10,0)</f>
        <v>69726.7065</v>
      </c>
      <c r="Q116" s="1952">
        <f t="shared" ref="Q116:Q120" si="133">O116*G116</f>
        <v>48458518.391249999</v>
      </c>
      <c r="R116" s="1952">
        <f t="shared" ref="R116:R120" si="134">N116*L116</f>
        <v>54758125.784776948</v>
      </c>
      <c r="S116" s="1955">
        <f t="shared" ref="S116:S120" si="135">L116-R116</f>
        <v>22309625.29522305</v>
      </c>
      <c r="V116" s="1956">
        <v>98134.85</v>
      </c>
      <c r="W116" s="1956">
        <f t="shared" si="100"/>
        <v>-3.7499964237213135E-3</v>
      </c>
      <c r="X116" s="1956">
        <f t="shared" si="101"/>
        <v>77067751.076250002</v>
      </c>
      <c r="Y116" s="2061" t="s">
        <v>783</v>
      </c>
      <c r="AC116" s="1836"/>
      <c r="AD116" s="1836"/>
      <c r="AE116" s="1836"/>
      <c r="AF116" s="1837">
        <v>96452.28</v>
      </c>
      <c r="AG116" s="1960">
        <f t="shared" si="122"/>
        <v>-1682.570000000007</v>
      </c>
    </row>
    <row r="117" spans="1:33" ht="21.95" customHeight="1" x14ac:dyDescent="0.2">
      <c r="A117" s="1833">
        <f>satpek!$B$49</f>
        <v>30</v>
      </c>
      <c r="B117" s="1943">
        <f>B116+1</f>
        <v>2</v>
      </c>
      <c r="C117" s="1937"/>
      <c r="D117" s="1944" t="str">
        <f>VLOOKUP($A117,satpek!$B$20:$N$144,2,0)</f>
        <v>Memasang langit-langit gypsum board uk. (120x240), tb. 9 mm.</v>
      </c>
      <c r="E117" s="1944"/>
      <c r="F117" s="2004"/>
      <c r="G117" s="1945">
        <f>'[3]B.VOL RAB'!Q399</f>
        <v>753.75</v>
      </c>
      <c r="H117" s="2456" t="str">
        <f>VLOOKUP($A117,satpek!$B$20:$N$144,7,0)</f>
        <v>m2</v>
      </c>
      <c r="I117" s="2457" t="str">
        <f>VLOOKUP($A117,satpek!$B$20:$N$144,5,0)</f>
        <v>A.4.5.1.7.</v>
      </c>
      <c r="J117" s="1951">
        <f>VLOOKUP($A117,satpek!$B$20:$N$144,6,0)</f>
        <v>54047.9</v>
      </c>
      <c r="K117" s="1938"/>
      <c r="L117" s="1952">
        <f t="shared" si="132"/>
        <v>40738604.630000003</v>
      </c>
      <c r="M117" s="1967"/>
      <c r="N117" s="2458">
        <f>VLOOKUP($A117,satpek!$B$20:$L$138,8,0)</f>
        <v>0.47799105164122929</v>
      </c>
      <c r="O117" s="1954">
        <f>VLOOKUP($A117,satpek!$B$20:$L$138,9,0)</f>
        <v>22862.311999999998</v>
      </c>
      <c r="P117" s="1954">
        <f>VLOOKUP($A117,satpek!$B$20:$L$138,10,0)</f>
        <v>25834.412559999997</v>
      </c>
      <c r="Q117" s="1952">
        <f t="shared" si="133"/>
        <v>17232467.669999998</v>
      </c>
      <c r="R117" s="1952">
        <f t="shared" si="134"/>
        <v>19472688.469489954</v>
      </c>
      <c r="S117" s="1955">
        <f t="shared" si="135"/>
        <v>21265916.160510048</v>
      </c>
      <c r="V117" s="1956">
        <v>54047.9</v>
      </c>
      <c r="W117" s="1956">
        <f t="shared" si="100"/>
        <v>-5.0000026822090149E-3</v>
      </c>
      <c r="X117" s="1956">
        <f t="shared" si="101"/>
        <v>40738604.625</v>
      </c>
      <c r="Y117" s="1836" t="s">
        <v>786</v>
      </c>
      <c r="AC117" s="1836"/>
      <c r="AD117" s="1836"/>
      <c r="AE117" s="1836"/>
      <c r="AF117" s="1837">
        <v>54466.229999999996</v>
      </c>
      <c r="AG117" s="1960">
        <f t="shared" si="122"/>
        <v>418.32999999999447</v>
      </c>
    </row>
    <row r="118" spans="1:33" ht="21.95" customHeight="1" x14ac:dyDescent="0.2">
      <c r="A118" s="1833">
        <f>satpek!$B$50</f>
        <v>31</v>
      </c>
      <c r="B118" s="1943">
        <f t="shared" ref="B118:B120" si="136">B117+1</f>
        <v>3</v>
      </c>
      <c r="C118" s="1937"/>
      <c r="D118" s="1944" t="str">
        <f>VLOOKUP($A118,satpek!$B$20:$N$144,2,0)</f>
        <v>Memasang plafond PVC</v>
      </c>
      <c r="E118" s="1944"/>
      <c r="F118" s="2004"/>
      <c r="G118" s="1945">
        <f>'[3]B.VOL RAB'!Q405</f>
        <v>39.9</v>
      </c>
      <c r="H118" s="2456" t="str">
        <f>VLOOKUP($A118,satpek!$B$20:$N$144,7,0)</f>
        <v>m2</v>
      </c>
      <c r="I118" s="2457" t="str">
        <f>VLOOKUP($A118,satpek!$B$20:$N$144,5,0)</f>
        <v>An.Dihitung</v>
      </c>
      <c r="J118" s="1951">
        <f>VLOOKUP($A118,satpek!$B$20:$N$144,6,0)</f>
        <v>167579</v>
      </c>
      <c r="K118" s="1938"/>
      <c r="L118" s="1952">
        <f>ROUND((G118*J118),2)</f>
        <v>6686402.0999999996</v>
      </c>
      <c r="M118" s="1967"/>
      <c r="N118" s="2458">
        <f>VLOOKUP($A118,satpek!$B$20:$L$138,8,0)</f>
        <v>0.65594032366824007</v>
      </c>
      <c r="O118" s="1954">
        <f>VLOOKUP($A118,satpek!$B$20:$L$138,9,0)</f>
        <v>97275.95</v>
      </c>
      <c r="P118" s="1954">
        <f>VLOOKUP($A118,satpek!$B$20:$L$138,10,0)</f>
        <v>109921.8235</v>
      </c>
      <c r="Q118" s="1952">
        <f t="shared" si="133"/>
        <v>3881310.4049999998</v>
      </c>
      <c r="R118" s="1952">
        <f t="shared" si="134"/>
        <v>4385880.75765</v>
      </c>
      <c r="S118" s="1955">
        <f t="shared" si="135"/>
        <v>2300521.3423499996</v>
      </c>
      <c r="V118" s="1956">
        <v>167579</v>
      </c>
      <c r="W118" s="1956">
        <f t="shared" si="100"/>
        <v>0</v>
      </c>
      <c r="X118" s="1956">
        <f t="shared" si="101"/>
        <v>6686402.0999999996</v>
      </c>
      <c r="Y118" s="1836" t="s">
        <v>1815</v>
      </c>
      <c r="AC118" s="1836"/>
      <c r="AD118" s="1836"/>
      <c r="AE118" s="1836"/>
      <c r="AF118" s="1837">
        <v>167245.65</v>
      </c>
      <c r="AG118" s="1960">
        <f t="shared" si="122"/>
        <v>-333.35000000000582</v>
      </c>
    </row>
    <row r="119" spans="1:33" ht="21.95" customHeight="1" x14ac:dyDescent="0.2">
      <c r="A119" s="1833">
        <f>satpek!$B$51</f>
        <v>32</v>
      </c>
      <c r="B119" s="1943">
        <f t="shared" si="136"/>
        <v>4</v>
      </c>
      <c r="C119" s="1937"/>
      <c r="D119" s="1944" t="str">
        <f>VLOOKUP($A119,satpek!$B$20:$N$144,2,0)</f>
        <v>Memasang list plafond gypsum profil</v>
      </c>
      <c r="E119" s="1944"/>
      <c r="F119" s="2004"/>
      <c r="G119" s="1945">
        <f>'[3]B.VOL RAB'!Q407</f>
        <v>459.6999999999997</v>
      </c>
      <c r="H119" s="2456" t="str">
        <f>VLOOKUP($A119,satpek!$B$20:$N$144,7,0)</f>
        <v>m'</v>
      </c>
      <c r="I119" s="2457" t="str">
        <f>VLOOKUP($A119,satpek!$B$20:$N$144,5,0)</f>
        <v>An.Dihitung</v>
      </c>
      <c r="J119" s="1951">
        <f>VLOOKUP($A119,satpek!$B$20:$N$144,6,0)</f>
        <v>30469.32</v>
      </c>
      <c r="K119" s="1938"/>
      <c r="L119" s="1952">
        <f>ROUND((G119*J119),2)</f>
        <v>14006746.4</v>
      </c>
      <c r="M119" s="1967"/>
      <c r="N119" s="2458">
        <f>VLOOKUP($A119,satpek!$B$20:$L$138,8,0)</f>
        <v>0.58238985313751668</v>
      </c>
      <c r="O119" s="1954">
        <f>VLOOKUP($A119,satpek!$B$20:$L$138,9,0)</f>
        <v>15703.56</v>
      </c>
      <c r="P119" s="1954">
        <f>VLOOKUP($A119,satpek!$B$20:$L$138,10,0)</f>
        <v>17745.022799999999</v>
      </c>
      <c r="Q119" s="1952">
        <f t="shared" si="133"/>
        <v>7218926.531999995</v>
      </c>
      <c r="R119" s="1952">
        <f t="shared" si="134"/>
        <v>8157386.9788304409</v>
      </c>
      <c r="S119" s="1955">
        <f t="shared" si="135"/>
        <v>5849359.4211695595</v>
      </c>
      <c r="V119" s="1956">
        <v>30469.32</v>
      </c>
      <c r="W119" s="1956">
        <f t="shared" si="100"/>
        <v>3.9999913424253464E-3</v>
      </c>
      <c r="X119" s="1956">
        <f t="shared" si="101"/>
        <v>14006746.403999992</v>
      </c>
      <c r="Y119" s="1836" t="s">
        <v>667</v>
      </c>
      <c r="AC119" s="1836"/>
      <c r="AD119" s="1836"/>
      <c r="AE119" s="1836"/>
      <c r="AF119" s="1837">
        <v>30387.96</v>
      </c>
      <c r="AG119" s="1960">
        <f t="shared" si="122"/>
        <v>-81.360000000000582</v>
      </c>
    </row>
    <row r="120" spans="1:33" ht="21.95" customHeight="1" x14ac:dyDescent="0.2">
      <c r="A120" s="1833">
        <f>satpek!$B$52</f>
        <v>33</v>
      </c>
      <c r="B120" s="1943">
        <f t="shared" si="136"/>
        <v>5</v>
      </c>
      <c r="C120" s="1937"/>
      <c r="D120" s="1944" t="str">
        <f>VLOOKUP($A120,satpek!$B$20:$N$144,2,0)</f>
        <v>Memasang list plafond PVC</v>
      </c>
      <c r="E120" s="1944"/>
      <c r="F120" s="2004"/>
      <c r="G120" s="1945">
        <f>'[3]B.VOL RAB'!Q409</f>
        <v>25.4</v>
      </c>
      <c r="H120" s="2456" t="str">
        <f>VLOOKUP($A120,satpek!$B$20:$N$144,7,0)</f>
        <v>m'</v>
      </c>
      <c r="I120" s="2457" t="str">
        <f>VLOOKUP($A120,satpek!$B$20:$N$144,5,0)</f>
        <v>An.Dihitung</v>
      </c>
      <c r="J120" s="1951">
        <f>VLOOKUP($A120,satpek!$B$20:$N$144,6,0)</f>
        <v>39690.120000000003</v>
      </c>
      <c r="K120" s="1938"/>
      <c r="L120" s="1952">
        <f>ROUND((G120*J120),2)</f>
        <v>1008129.05</v>
      </c>
      <c r="M120" s="1967"/>
      <c r="N120" s="2458">
        <f>VLOOKUP($A120,satpek!$B$20:$L$138,8,0)</f>
        <v>0.74739921421250433</v>
      </c>
      <c r="O120" s="1954">
        <f>VLOOKUP($A120,satpek!$B$20:$L$138,9,0)</f>
        <v>26251.65</v>
      </c>
      <c r="P120" s="1954">
        <f>VLOOKUP($A120,satpek!$B$20:$L$138,10,0)</f>
        <v>29664.364500000003</v>
      </c>
      <c r="Q120" s="1952">
        <f t="shared" si="133"/>
        <v>666791.91</v>
      </c>
      <c r="R120" s="1952">
        <f t="shared" si="134"/>
        <v>753474.85979479854</v>
      </c>
      <c r="S120" s="1955">
        <f t="shared" si="135"/>
        <v>254654.19020520151</v>
      </c>
      <c r="V120" s="1956">
        <v>39690.120000000003</v>
      </c>
      <c r="W120" s="1956">
        <f t="shared" si="100"/>
        <v>-1.9999999785795808E-3</v>
      </c>
      <c r="X120" s="1956">
        <f t="shared" si="101"/>
        <v>1008129.0480000001</v>
      </c>
      <c r="Y120" s="1836" t="s">
        <v>1816</v>
      </c>
      <c r="AC120" s="1836"/>
      <c r="AD120" s="1836"/>
      <c r="AE120" s="1836"/>
      <c r="AF120" s="1837">
        <v>39490.11</v>
      </c>
      <c r="AG120" s="1960">
        <f t="shared" si="122"/>
        <v>-200.01000000000204</v>
      </c>
    </row>
    <row r="121" spans="1:33" ht="21.95" customHeight="1" x14ac:dyDescent="0.2">
      <c r="A121" s="1833">
        <f>satpek!$B$53</f>
        <v>34</v>
      </c>
      <c r="B121" s="1943">
        <v>1</v>
      </c>
      <c r="C121" s="1937"/>
      <c r="D121" s="1944" t="str">
        <f>VLOOKUP($A121,satpek!$B$20:$N$144,2,0)</f>
        <v>Memasang rk. plafond besi hollow uk. (60x80) cm</v>
      </c>
      <c r="E121" s="1944"/>
      <c r="F121" s="2004"/>
      <c r="G121" s="1945">
        <f>'[3]B.VOL RAB'!Q412</f>
        <v>831.65</v>
      </c>
      <c r="H121" s="2456" t="str">
        <f>VLOOKUP($A121,satpek!$B$20:$N$144,7,0)</f>
        <v>m2</v>
      </c>
      <c r="I121" s="2457" t="str">
        <f>VLOOKUP($A121,satpek!$B$20:$N$144,5,0)</f>
        <v>A.4.2.1.20.</v>
      </c>
      <c r="J121" s="1951">
        <f>VLOOKUP($A121,satpek!$B$20:$N$144,6,0)</f>
        <v>98134.85</v>
      </c>
      <c r="K121" s="1938"/>
      <c r="L121" s="1952">
        <f t="shared" ref="L121:L125" si="137">ROUND((G121*J121),2)</f>
        <v>81613848</v>
      </c>
      <c r="M121" s="1967"/>
      <c r="N121" s="2458">
        <f>VLOOKUP($A121,satpek!$B$20:$L$138,8,0)</f>
        <v>0.71051931602279927</v>
      </c>
      <c r="O121" s="1954">
        <f>VLOOKUP($A121,satpek!$B$20:$L$138,9,0)</f>
        <v>61705.05</v>
      </c>
      <c r="P121" s="1954">
        <f>VLOOKUP($A121,satpek!$B$20:$L$138,10,0)</f>
        <v>69726.7065</v>
      </c>
      <c r="Q121" s="1952">
        <f t="shared" ref="Q121:Q125" si="138">O121*G121</f>
        <v>51317004.832500003</v>
      </c>
      <c r="R121" s="1952">
        <f t="shared" ref="R121:R125" si="139">N121*L121</f>
        <v>57988215.458948702</v>
      </c>
      <c r="S121" s="1955">
        <f t="shared" ref="S121:S125" si="140">L121-R121</f>
        <v>23625632.541051298</v>
      </c>
      <c r="V121" s="1956">
        <v>98134.85</v>
      </c>
      <c r="W121" s="1956">
        <f t="shared" si="100"/>
        <v>2.499997615814209E-3</v>
      </c>
      <c r="X121" s="1956">
        <f t="shared" si="101"/>
        <v>81613848.002499998</v>
      </c>
      <c r="Y121" s="1836" t="s">
        <v>783</v>
      </c>
      <c r="AF121" s="1910">
        <v>96452.28</v>
      </c>
      <c r="AG121" s="1960">
        <f t="shared" si="122"/>
        <v>-1682.570000000007</v>
      </c>
    </row>
    <row r="122" spans="1:33" ht="21.95" customHeight="1" x14ac:dyDescent="0.2">
      <c r="A122" s="1833">
        <f>satpek!$B$49</f>
        <v>30</v>
      </c>
      <c r="B122" s="1943">
        <f>B121+1</f>
        <v>2</v>
      </c>
      <c r="C122" s="1937"/>
      <c r="D122" s="1944" t="str">
        <f>VLOOKUP($A122,satpek!$B$20:$N$144,2,0)</f>
        <v>Memasang langit-langit gypsum board uk. (120x240), tb. 9 mm.</v>
      </c>
      <c r="E122" s="1944"/>
      <c r="F122" s="2004"/>
      <c r="G122" s="1945">
        <f>'[3]B.VOL RAB'!Q415</f>
        <v>829.65</v>
      </c>
      <c r="H122" s="2456" t="str">
        <f>VLOOKUP($A122,satpek!$B$20:$N$144,7,0)</f>
        <v>m2</v>
      </c>
      <c r="I122" s="2457" t="str">
        <f>VLOOKUP($A122,satpek!$B$20:$N$144,5,0)</f>
        <v>A.4.5.1.7.</v>
      </c>
      <c r="J122" s="1951">
        <f>VLOOKUP($A122,satpek!$B$20:$N$144,6,0)</f>
        <v>54047.9</v>
      </c>
      <c r="K122" s="1938"/>
      <c r="L122" s="1952">
        <f t="shared" si="137"/>
        <v>44840840.240000002</v>
      </c>
      <c r="M122" s="1967"/>
      <c r="N122" s="2458">
        <f>VLOOKUP($A122,satpek!$B$20:$L$138,8,0)</f>
        <v>0.47799105164122929</v>
      </c>
      <c r="O122" s="1954">
        <f>VLOOKUP($A122,satpek!$B$20:$L$138,9,0)</f>
        <v>22862.311999999998</v>
      </c>
      <c r="P122" s="1954">
        <f>VLOOKUP($A122,satpek!$B$20:$L$138,10,0)</f>
        <v>25834.412559999997</v>
      </c>
      <c r="Q122" s="1952">
        <f t="shared" si="138"/>
        <v>18967717.150799997</v>
      </c>
      <c r="R122" s="1952">
        <f t="shared" si="139"/>
        <v>21433520.382793952</v>
      </c>
      <c r="S122" s="1955">
        <f t="shared" si="140"/>
        <v>23407319.85720605</v>
      </c>
      <c r="V122" s="1956">
        <v>54047.9</v>
      </c>
      <c r="W122" s="1956">
        <f t="shared" si="100"/>
        <v>-5.0000026822090149E-3</v>
      </c>
      <c r="X122" s="1956">
        <f t="shared" si="101"/>
        <v>44840840.234999999</v>
      </c>
      <c r="Y122" s="1836" t="s">
        <v>786</v>
      </c>
      <c r="AF122" s="1910">
        <v>54466.229999999996</v>
      </c>
      <c r="AG122" s="1960">
        <f t="shared" si="122"/>
        <v>418.32999999999447</v>
      </c>
    </row>
    <row r="123" spans="1:33" ht="21.95" customHeight="1" x14ac:dyDescent="0.2">
      <c r="A123" s="1833">
        <f>satpek!$B$51</f>
        <v>32</v>
      </c>
      <c r="B123" s="1943">
        <f>B122+1</f>
        <v>3</v>
      </c>
      <c r="C123" s="1937"/>
      <c r="D123" s="1944" t="str">
        <f>VLOOKUP($A123,satpek!$B$20:$N$144,2,0)</f>
        <v>Memasang list plafond gypsum profil</v>
      </c>
      <c r="E123" s="1944"/>
      <c r="F123" s="2004"/>
      <c r="G123" s="1945">
        <f>'[3]B.VOL RAB'!Q419</f>
        <v>427.89999999999981</v>
      </c>
      <c r="H123" s="2456" t="str">
        <f>VLOOKUP($A123,satpek!$B$20:$N$144,7,0)</f>
        <v>m'</v>
      </c>
      <c r="I123" s="2457" t="str">
        <f>VLOOKUP($A123,satpek!$B$20:$N$144,5,0)</f>
        <v>An.Dihitung</v>
      </c>
      <c r="J123" s="1951">
        <f>VLOOKUP($A123,satpek!$B$20:$N$144,6,0)</f>
        <v>30469.32</v>
      </c>
      <c r="K123" s="1938"/>
      <c r="L123" s="1952">
        <f t="shared" si="137"/>
        <v>13037822.029999999</v>
      </c>
      <c r="M123" s="1967"/>
      <c r="N123" s="2458">
        <f>VLOOKUP($A123,satpek!$B$20:$L$138,8,0)</f>
        <v>0.58238985313751668</v>
      </c>
      <c r="O123" s="1954">
        <f>VLOOKUP($A123,satpek!$B$20:$L$138,9,0)</f>
        <v>15703.56</v>
      </c>
      <c r="P123" s="1954">
        <f>VLOOKUP($A123,satpek!$B$20:$L$138,10,0)</f>
        <v>17745.022799999999</v>
      </c>
      <c r="Q123" s="1952">
        <f t="shared" si="138"/>
        <v>6719553.3239999963</v>
      </c>
      <c r="R123" s="1952">
        <f t="shared" si="139"/>
        <v>7593095.2572847791</v>
      </c>
      <c r="S123" s="1955">
        <f t="shared" si="140"/>
        <v>5444726.7727152202</v>
      </c>
      <c r="V123" s="1956">
        <v>30469.32</v>
      </c>
      <c r="W123" s="1956">
        <f t="shared" si="100"/>
        <v>-2.000005915760994E-3</v>
      </c>
      <c r="X123" s="1956">
        <f t="shared" si="101"/>
        <v>13037822.027999993</v>
      </c>
      <c r="Y123" s="1836" t="s">
        <v>667</v>
      </c>
      <c r="AF123" s="1910">
        <v>30387.96</v>
      </c>
      <c r="AG123" s="1960">
        <f t="shared" si="122"/>
        <v>-81.360000000000582</v>
      </c>
    </row>
    <row r="124" spans="1:33" ht="21.95" customHeight="1" x14ac:dyDescent="0.2">
      <c r="A124" s="1833">
        <f>satpek!$B$50</f>
        <v>31</v>
      </c>
      <c r="B124" s="1943">
        <f t="shared" ref="B124:B125" si="141">B123+1</f>
        <v>4</v>
      </c>
      <c r="C124" s="1937"/>
      <c r="D124" s="1944" t="str">
        <f>VLOOKUP($A124,satpek!$B$20:$N$144,2,0)</f>
        <v>Memasang plafond PVC</v>
      </c>
      <c r="E124" s="1944"/>
      <c r="F124" s="2004"/>
      <c r="G124" s="1945">
        <f>'[3]B.VOL RAB'!Q420</f>
        <v>68.399999999999991</v>
      </c>
      <c r="H124" s="2456" t="str">
        <f>VLOOKUP($A124,satpek!$B$20:$N$144,7,0)</f>
        <v>m2</v>
      </c>
      <c r="I124" s="2457" t="str">
        <f>VLOOKUP($A124,satpek!$B$20:$N$144,5,0)</f>
        <v>An.Dihitung</v>
      </c>
      <c r="J124" s="1951">
        <f>VLOOKUP($A124,satpek!$B$20:$N$144,6,0)</f>
        <v>167579</v>
      </c>
      <c r="K124" s="1938"/>
      <c r="L124" s="1952">
        <f t="shared" si="137"/>
        <v>11462403.6</v>
      </c>
      <c r="M124" s="1967"/>
      <c r="N124" s="2458">
        <f>VLOOKUP($A124,satpek!$B$20:$L$138,8,0)</f>
        <v>0.65594032366824007</v>
      </c>
      <c r="O124" s="1954">
        <f>VLOOKUP($A124,satpek!$B$20:$L$138,9,0)</f>
        <v>97275.95</v>
      </c>
      <c r="P124" s="1954">
        <f>VLOOKUP($A124,satpek!$B$20:$L$138,10,0)</f>
        <v>109921.8235</v>
      </c>
      <c r="Q124" s="1952">
        <f t="shared" si="138"/>
        <v>6653674.9799999986</v>
      </c>
      <c r="R124" s="1952">
        <f t="shared" si="139"/>
        <v>7518652.7274000002</v>
      </c>
      <c r="S124" s="1955">
        <f t="shared" si="140"/>
        <v>3943750.8725999994</v>
      </c>
      <c r="V124" s="1956">
        <v>167579</v>
      </c>
      <c r="W124" s="1956">
        <f t="shared" si="100"/>
        <v>0</v>
      </c>
      <c r="X124" s="1956">
        <f t="shared" si="101"/>
        <v>11462403.599999998</v>
      </c>
      <c r="Y124" s="1836" t="s">
        <v>1815</v>
      </c>
      <c r="AC124" s="1836"/>
      <c r="AD124" s="1836"/>
      <c r="AE124" s="1836"/>
      <c r="AF124" s="1837">
        <v>167245.65</v>
      </c>
      <c r="AG124" s="1960">
        <f t="shared" si="122"/>
        <v>-333.35000000000582</v>
      </c>
    </row>
    <row r="125" spans="1:33" ht="21.95" customHeight="1" x14ac:dyDescent="0.2">
      <c r="A125" s="1833">
        <f>satpek!$B$52</f>
        <v>33</v>
      </c>
      <c r="B125" s="1943">
        <f t="shared" si="141"/>
        <v>5</v>
      </c>
      <c r="C125" s="1937"/>
      <c r="D125" s="1944" t="str">
        <f>VLOOKUP($A125,satpek!$B$20:$N$144,2,0)</f>
        <v>Memasang list plafond PVC</v>
      </c>
      <c r="E125" s="1944"/>
      <c r="F125" s="2004"/>
      <c r="G125" s="1945">
        <f>'[3]B.VOL RAB'!Q432</f>
        <v>117.80000000000001</v>
      </c>
      <c r="H125" s="2456" t="str">
        <f>VLOOKUP($A125,satpek!$B$20:$N$144,7,0)</f>
        <v>m'</v>
      </c>
      <c r="I125" s="2457" t="str">
        <f>VLOOKUP($A125,satpek!$B$20:$N$144,5,0)</f>
        <v>An.Dihitung</v>
      </c>
      <c r="J125" s="1951">
        <f>VLOOKUP($A125,satpek!$B$20:$N$144,6,0)</f>
        <v>39690.120000000003</v>
      </c>
      <c r="K125" s="1938"/>
      <c r="L125" s="1952">
        <f t="shared" si="137"/>
        <v>4675496.1399999997</v>
      </c>
      <c r="M125" s="1967"/>
      <c r="N125" s="2458">
        <f>VLOOKUP($A125,satpek!$B$20:$L$138,8,0)</f>
        <v>0.74739921421250433</v>
      </c>
      <c r="O125" s="1954">
        <f>VLOOKUP($A125,satpek!$B$20:$L$138,9,0)</f>
        <v>26251.65</v>
      </c>
      <c r="P125" s="1954">
        <f>VLOOKUP($A125,satpek!$B$20:$L$138,10,0)</f>
        <v>29664.364500000003</v>
      </c>
      <c r="Q125" s="1952">
        <f t="shared" si="138"/>
        <v>3092444.3700000006</v>
      </c>
      <c r="R125" s="1952">
        <f t="shared" si="139"/>
        <v>3494462.1410895968</v>
      </c>
      <c r="S125" s="1955">
        <f t="shared" si="140"/>
        <v>1181033.9989104029</v>
      </c>
      <c r="V125" s="1956">
        <v>39690.120000000003</v>
      </c>
      <c r="W125" s="1956">
        <f t="shared" si="100"/>
        <v>-3.9999987930059433E-3</v>
      </c>
      <c r="X125" s="1956">
        <f t="shared" si="101"/>
        <v>4675496.1360000009</v>
      </c>
      <c r="Y125" s="1836" t="s">
        <v>1816</v>
      </c>
      <c r="AC125" s="1836"/>
      <c r="AD125" s="1836"/>
      <c r="AE125" s="1836"/>
      <c r="AF125" s="1837">
        <v>39490.11</v>
      </c>
      <c r="AG125" s="1960">
        <f t="shared" si="122"/>
        <v>-200.01000000000204</v>
      </c>
    </row>
    <row r="126" spans="1:33" s="2127" customFormat="1" ht="21.95" customHeight="1" x14ac:dyDescent="0.2">
      <c r="A126" s="2130">
        <f>satpek!B113</f>
        <v>94</v>
      </c>
      <c r="B126" s="2131" t="e">
        <f>#REF!+1</f>
        <v>#REF!</v>
      </c>
      <c r="C126" s="2132"/>
      <c r="D126" s="1944" t="str">
        <f>VLOOKUP($A126,satpek!$B$20:$N$144,2,0)</f>
        <v>Pas. rangka atap baja ringan</v>
      </c>
      <c r="E126" s="2133"/>
      <c r="F126" s="2134"/>
      <c r="G126" s="1945">
        <v>974.54500000000007</v>
      </c>
      <c r="H126" s="2456" t="str">
        <f>VLOOKUP($A126,satpek!$B$20:$N$144,7,0)</f>
        <v>m2</v>
      </c>
      <c r="I126" s="2457" t="str">
        <f>VLOOKUP($A126,satpek!$B$20:$N$144,5,0)</f>
        <v>Daftar harga</v>
      </c>
      <c r="J126" s="1951">
        <f>VLOOKUP($A126,satpek!$B$20:$N$144,6,0)</f>
        <v>310000</v>
      </c>
      <c r="K126" s="1938"/>
      <c r="L126" s="1952">
        <f t="shared" ref="L126:L130" si="142">ROUND((G126*J126),2)</f>
        <v>302108950</v>
      </c>
      <c r="M126" s="1967"/>
      <c r="N126" s="2458">
        <f>VLOOKUP($A126,satpek!$B$20:$L$138,8,0)</f>
        <v>0.60189999999999999</v>
      </c>
      <c r="O126" s="1954">
        <f>VLOOKUP($A126,satpek!$B$20:$L$138,9,0)</f>
        <v>0</v>
      </c>
      <c r="P126" s="1954">
        <f>VLOOKUP($A126,satpek!$B$20:$L$138,10,0)</f>
        <v>186589</v>
      </c>
      <c r="Q126" s="1952">
        <f t="shared" ref="Q126:Q130" si="143">O126*G126</f>
        <v>0</v>
      </c>
      <c r="R126" s="1952">
        <f t="shared" ref="R126:R130" si="144">N126*L126</f>
        <v>181839377.005</v>
      </c>
      <c r="S126" s="1955">
        <f t="shared" ref="S126:S130" si="145">L126-R126</f>
        <v>120269572.995</v>
      </c>
      <c r="T126" s="2125"/>
      <c r="U126" s="2125"/>
      <c r="V126" s="1958">
        <v>310000</v>
      </c>
      <c r="W126" s="1956">
        <f t="shared" si="100"/>
        <v>0</v>
      </c>
      <c r="X126" s="1956">
        <f t="shared" si="101"/>
        <v>302108950</v>
      </c>
      <c r="Y126" s="2127" t="s">
        <v>1820</v>
      </c>
      <c r="AC126" s="1909"/>
      <c r="AD126" s="1909"/>
      <c r="AE126" s="1909"/>
      <c r="AF126" s="1910">
        <v>275000</v>
      </c>
      <c r="AG126" s="2128">
        <f t="shared" si="122"/>
        <v>-35000</v>
      </c>
    </row>
    <row r="127" spans="1:33" ht="21.95" customHeight="1" x14ac:dyDescent="0.2">
      <c r="A127" s="1833">
        <f>satpek!B66</f>
        <v>47</v>
      </c>
      <c r="B127" s="1943">
        <v>2</v>
      </c>
      <c r="C127" s="1937"/>
      <c r="D127" s="1944" t="str">
        <f>VLOOKUP($A127,satpek!$B$20:$N$144,2,0)</f>
        <v>Memasang penutup atap galvalum pasir</v>
      </c>
      <c r="E127" s="1944"/>
      <c r="F127" s="2004"/>
      <c r="G127" s="1945">
        <f>G126</f>
        <v>974.54500000000007</v>
      </c>
      <c r="H127" s="2456" t="str">
        <f>VLOOKUP($A127,satpek!$B$20:$N$144,7,0)</f>
        <v>m2</v>
      </c>
      <c r="I127" s="2457" t="str">
        <f>VLOOKUP($A127,satpek!$B$20:$N$144,5,0)</f>
        <v>An. Dihitung</v>
      </c>
      <c r="J127" s="1951">
        <f>VLOOKUP($A127,satpek!$B$20:$N$144,6,0)</f>
        <v>108751.2</v>
      </c>
      <c r="K127" s="1938"/>
      <c r="L127" s="1952">
        <f t="shared" si="142"/>
        <v>105982938.2</v>
      </c>
      <c r="M127" s="1967"/>
      <c r="N127" s="2458">
        <f>VLOOKUP($A127,satpek!$B$20:$L$138,8,0)</f>
        <v>0.57070756442227766</v>
      </c>
      <c r="O127" s="1954">
        <f>VLOOKUP($A127,satpek!$B$20:$L$138,9,0)</f>
        <v>54924.896000000001</v>
      </c>
      <c r="P127" s="1954">
        <f>VLOOKUP($A127,satpek!$B$20:$L$138,10,0)</f>
        <v>62065.13248</v>
      </c>
      <c r="Q127" s="1952">
        <f t="shared" si="143"/>
        <v>53526782.772320002</v>
      </c>
      <c r="R127" s="1952">
        <f t="shared" si="144"/>
        <v>60485264.530438773</v>
      </c>
      <c r="S127" s="1955">
        <f t="shared" si="145"/>
        <v>45497673.66956123</v>
      </c>
      <c r="V127" s="1956">
        <v>108751.2</v>
      </c>
      <c r="W127" s="1956">
        <f t="shared" si="100"/>
        <v>4.0000081062316895E-3</v>
      </c>
      <c r="X127" s="1956">
        <f t="shared" si="101"/>
        <v>105982938.20400001</v>
      </c>
      <c r="Y127" s="1836" t="s">
        <v>1821</v>
      </c>
      <c r="Z127" s="2061" t="e">
        <f>#REF!-J127</f>
        <v>#REF!</v>
      </c>
      <c r="AF127" s="1910">
        <v>108284.51</v>
      </c>
      <c r="AG127" s="1960">
        <f t="shared" si="122"/>
        <v>-466.69000000000233</v>
      </c>
    </row>
    <row r="128" spans="1:33" ht="21.95" customHeight="1" x14ac:dyDescent="0.2">
      <c r="A128" s="1833">
        <f>satpek!B67</f>
        <v>48</v>
      </c>
      <c r="B128" s="1943">
        <f>B127+1</f>
        <v>3</v>
      </c>
      <c r="C128" s="1937"/>
      <c r="D128" s="1944" t="str">
        <f>VLOOKUP($A128,satpek!$B$20:$N$144,2,0)</f>
        <v>Pasang bubungan galvalum pasir</v>
      </c>
      <c r="E128" s="1944"/>
      <c r="F128" s="2004"/>
      <c r="G128" s="1945">
        <f>'[3]B.VOL RAB'!Q430</f>
        <v>74.400000000000006</v>
      </c>
      <c r="H128" s="2456" t="str">
        <f>VLOOKUP($A128,satpek!$B$20:$N$144,7,0)</f>
        <v>m'</v>
      </c>
      <c r="I128" s="2457" t="str">
        <f>VLOOKUP($A128,satpek!$B$20:$N$144,5,0)</f>
        <v>A.4.5.2.39a.</v>
      </c>
      <c r="J128" s="1951">
        <f>VLOOKUP($A128,satpek!$B$20:$N$144,6,0)</f>
        <v>66180.710000000006</v>
      </c>
      <c r="K128" s="1938"/>
      <c r="L128" s="1952">
        <f t="shared" si="142"/>
        <v>4923844.82</v>
      </c>
      <c r="M128" s="1967"/>
      <c r="N128" s="2458">
        <f>VLOOKUP($A128,satpek!$B$20:$L$138,8,0)</f>
        <v>0.67431317977700755</v>
      </c>
      <c r="O128" s="1954">
        <f>VLOOKUP($A128,satpek!$B$20:$L$138,9,0)</f>
        <v>39492.5</v>
      </c>
      <c r="P128" s="1954">
        <f>VLOOKUP($A128,satpek!$B$20:$L$138,10,0)</f>
        <v>44626.525000000001</v>
      </c>
      <c r="Q128" s="1952">
        <f t="shared" si="143"/>
        <v>2938242</v>
      </c>
      <c r="R128" s="1952">
        <f t="shared" si="144"/>
        <v>3320213.4573027478</v>
      </c>
      <c r="S128" s="1955">
        <f t="shared" si="145"/>
        <v>1603631.3626972525</v>
      </c>
      <c r="V128" s="1956">
        <v>66180.710000000006</v>
      </c>
      <c r="W128" s="1956">
        <f t="shared" si="100"/>
        <v>4.0000006556510925E-3</v>
      </c>
      <c r="X128" s="1956">
        <f t="shared" si="101"/>
        <v>4923844.824000001</v>
      </c>
      <c r="Y128" s="1836" t="s">
        <v>1822</v>
      </c>
      <c r="AF128" s="1910">
        <v>65685.77</v>
      </c>
      <c r="AG128" s="1960">
        <f t="shared" si="122"/>
        <v>-494.94000000000233</v>
      </c>
    </row>
    <row r="129" spans="1:33" ht="21.95" customHeight="1" x14ac:dyDescent="0.2">
      <c r="A129" s="1833">
        <f>satpek!B68</f>
        <v>49</v>
      </c>
      <c r="B129" s="1943">
        <f>B128+1</f>
        <v>4</v>
      </c>
      <c r="C129" s="1937"/>
      <c r="D129" s="1944" t="str">
        <f>VLOOKUP($A129,satpek!$B$20:$N$144,2,0)</f>
        <v>Pasang aluminium foil/sisalation</v>
      </c>
      <c r="E129" s="1944"/>
      <c r="F129" s="2004"/>
      <c r="G129" s="1945">
        <f>G127</f>
        <v>974.54500000000007</v>
      </c>
      <c r="H129" s="2456" t="str">
        <f>VLOOKUP($A129,satpek!$B$20:$N$144,7,0)</f>
        <v>m2</v>
      </c>
      <c r="I129" s="2457" t="str">
        <f>VLOOKUP($A129,satpek!$B$20:$N$144,5,0)</f>
        <v>A.4.5.2.43.</v>
      </c>
      <c r="J129" s="1951">
        <f>VLOOKUP($A129,satpek!$B$20:$N$144,6,0)</f>
        <v>38843.75</v>
      </c>
      <c r="K129" s="1938"/>
      <c r="L129" s="1952">
        <f t="shared" si="142"/>
        <v>37854982.340000004</v>
      </c>
      <c r="M129" s="1967"/>
      <c r="N129" s="2458">
        <f>VLOOKUP($A129,satpek!$B$20:$L$138,8,0)</f>
        <v>0.55403636363636366</v>
      </c>
      <c r="O129" s="1954">
        <f>VLOOKUP($A129,satpek!$B$20:$L$138,9,0)</f>
        <v>19045</v>
      </c>
      <c r="P129" s="1954">
        <f>VLOOKUP($A129,satpek!$B$20:$L$138,10,0)</f>
        <v>21520.85</v>
      </c>
      <c r="Q129" s="1952">
        <f t="shared" si="143"/>
        <v>18560209.525000002</v>
      </c>
      <c r="R129" s="1952">
        <f t="shared" si="144"/>
        <v>20973036.761172365</v>
      </c>
      <c r="S129" s="1955">
        <f t="shared" si="145"/>
        <v>16881945.578827638</v>
      </c>
      <c r="V129" s="1956">
        <v>38843.75</v>
      </c>
      <c r="W129" s="1956">
        <f t="shared" si="100"/>
        <v>3.7499964237213135E-3</v>
      </c>
      <c r="X129" s="1956">
        <f t="shared" si="101"/>
        <v>37854982.34375</v>
      </c>
      <c r="Y129" s="1836" t="s">
        <v>1913</v>
      </c>
      <c r="AF129" s="1910">
        <v>31138.28</v>
      </c>
      <c r="AG129" s="1960">
        <f t="shared" si="122"/>
        <v>-7705.4700000000012</v>
      </c>
    </row>
    <row r="130" spans="1:33" ht="21.95" customHeight="1" x14ac:dyDescent="0.2">
      <c r="A130" s="1833">
        <f>satpek!B38</f>
        <v>19</v>
      </c>
      <c r="B130" s="1943">
        <f>B129+1</f>
        <v>5</v>
      </c>
      <c r="C130" s="1937"/>
      <c r="D130" s="1944" t="str">
        <f>VLOOKUP($A130,satpek!$B$20:$N$144,2,0)</f>
        <v>Memasang lisplank woodplank</v>
      </c>
      <c r="E130" s="1944"/>
      <c r="F130" s="2004"/>
      <c r="G130" s="1945">
        <f>'[3]B.VOL RAB'!Q432</f>
        <v>117.80000000000001</v>
      </c>
      <c r="H130" s="2456" t="str">
        <f>VLOOKUP($A130,satpek!$B$20:$N$144,7,0)</f>
        <v>m'</v>
      </c>
      <c r="I130" s="2457" t="str">
        <f>VLOOKUP($A130,satpek!$B$20:$N$144,5,0)</f>
        <v>An. Dihitung</v>
      </c>
      <c r="J130" s="1951">
        <f>VLOOKUP($A130,satpek!$B$20:$N$144,6,0)</f>
        <v>68139</v>
      </c>
      <c r="K130" s="1938"/>
      <c r="L130" s="1952">
        <f t="shared" si="142"/>
        <v>8026774.2000000002</v>
      </c>
      <c r="M130" s="1967"/>
      <c r="N130" s="2458">
        <f>VLOOKUP($A130,satpek!$B$20:$L$138,8,0)</f>
        <v>0.69652404643449417</v>
      </c>
      <c r="O130" s="1954">
        <f>VLOOKUP($A130,satpek!$B$20:$L$138,9,0)</f>
        <v>42000.4</v>
      </c>
      <c r="P130" s="1954">
        <f>VLOOKUP($A130,satpek!$B$20:$L$138,10,0)</f>
        <v>47460.452000000005</v>
      </c>
      <c r="Q130" s="1952">
        <f t="shared" si="143"/>
        <v>4947647.120000001</v>
      </c>
      <c r="R130" s="1952">
        <f t="shared" si="144"/>
        <v>5590841.2456</v>
      </c>
      <c r="S130" s="1955">
        <f t="shared" si="145"/>
        <v>2435932.9544000002</v>
      </c>
      <c r="V130" s="1956">
        <v>68139</v>
      </c>
      <c r="W130" s="1956">
        <f t="shared" si="100"/>
        <v>0</v>
      </c>
      <c r="X130" s="1956">
        <f t="shared" si="101"/>
        <v>8026774.2000000011</v>
      </c>
      <c r="Y130" s="1836" t="s">
        <v>472</v>
      </c>
      <c r="AF130" s="1910">
        <v>66110.649999999994</v>
      </c>
      <c r="AG130" s="1960">
        <f t="shared" si="122"/>
        <v>-2028.3500000000058</v>
      </c>
    </row>
    <row r="131" spans="1:33" ht="21.95" customHeight="1" x14ac:dyDescent="0.2">
      <c r="A131" s="1833">
        <f>satpek!B114</f>
        <v>95</v>
      </c>
      <c r="B131" s="1987">
        <v>1</v>
      </c>
      <c r="C131" s="1928"/>
      <c r="D131" s="1944" t="str">
        <f>VLOOKUP($A131,satpek!$B$20:$N$144,2,0)</f>
        <v>Pintu utama kaca tempered 12 mm</v>
      </c>
      <c r="E131" s="2082"/>
      <c r="F131" s="2083"/>
      <c r="G131" s="1945">
        <v>1</v>
      </c>
      <c r="H131" s="2456" t="str">
        <f>VLOOKUP($A131,satpek!$B$20:$N$144,7,0)</f>
        <v>unit</v>
      </c>
      <c r="I131" s="2457" t="str">
        <f>VLOOKUP($A131,satpek!$B$20:$N$144,5,0)</f>
        <v>Daftar harga</v>
      </c>
      <c r="J131" s="1951">
        <f>VLOOKUP($A131,satpek!$B$20:$N$144,6,0)</f>
        <v>16000000</v>
      </c>
      <c r="K131" s="1938"/>
      <c r="L131" s="1952">
        <f t="shared" ref="L131:L137" si="146">ROUND((G131*J131),2)</f>
        <v>16000000</v>
      </c>
      <c r="M131" s="1967"/>
      <c r="N131" s="2458">
        <f>VLOOKUP($A131,satpek!$B$20:$L$138,8,0)</f>
        <v>0.25</v>
      </c>
      <c r="O131" s="1954">
        <f>VLOOKUP($A131,satpek!$B$20:$L$138,9,0)</f>
        <v>0</v>
      </c>
      <c r="P131" s="1954">
        <f>VLOOKUP($A131,satpek!$B$20:$L$138,10,0)</f>
        <v>4000000</v>
      </c>
      <c r="Q131" s="1952">
        <f t="shared" ref="Q131:Q137" si="147">O131*G131</f>
        <v>0</v>
      </c>
      <c r="R131" s="1952">
        <f t="shared" ref="R131:R137" si="148">N131*L131</f>
        <v>4000000</v>
      </c>
      <c r="S131" s="1955">
        <f t="shared" ref="S131:S137" si="149">L131-R131</f>
        <v>12000000</v>
      </c>
      <c r="V131" s="1956">
        <v>16000000</v>
      </c>
      <c r="W131" s="1956">
        <f t="shared" si="100"/>
        <v>0</v>
      </c>
      <c r="X131" s="1956">
        <f t="shared" si="101"/>
        <v>16000000</v>
      </c>
      <c r="Y131" s="1836" t="s">
        <v>1826</v>
      </c>
      <c r="AF131" s="1910">
        <v>17000000</v>
      </c>
      <c r="AG131" s="1960">
        <f t="shared" si="122"/>
        <v>1000000</v>
      </c>
    </row>
    <row r="132" spans="1:33" ht="21.95" customHeight="1" x14ac:dyDescent="0.2">
      <c r="A132" s="1833">
        <f>satpek!B118</f>
        <v>99</v>
      </c>
      <c r="B132" s="1987">
        <f>B131+1</f>
        <v>2</v>
      </c>
      <c r="C132" s="1928"/>
      <c r="D132" s="1944" t="str">
        <f>VLOOKUP($A132,satpek!$B$20:$N$144,2,0)</f>
        <v>doorcloser tanam</v>
      </c>
      <c r="E132" s="2082"/>
      <c r="F132" s="2083"/>
      <c r="G132" s="1945">
        <v>2</v>
      </c>
      <c r="H132" s="2456" t="str">
        <f>VLOOKUP($A132,satpek!$B$20:$N$144,7,0)</f>
        <v>bh</v>
      </c>
      <c r="I132" s="2457" t="str">
        <f>VLOOKUP($A132,satpek!$B$20:$N$144,5,0)</f>
        <v>Daftar harga</v>
      </c>
      <c r="J132" s="1951">
        <f>VLOOKUP($A132,satpek!$B$20:$N$144,6,0)</f>
        <v>850000</v>
      </c>
      <c r="K132" s="1938"/>
      <c r="L132" s="1952">
        <f t="shared" si="146"/>
        <v>1700000</v>
      </c>
      <c r="M132" s="1967"/>
      <c r="N132" s="2458">
        <f>VLOOKUP($A132,satpek!$B$20:$L$138,8,0)</f>
        <v>0.5</v>
      </c>
      <c r="O132" s="1954">
        <f>VLOOKUP($A132,satpek!$B$20:$L$138,9,0)</f>
        <v>0</v>
      </c>
      <c r="P132" s="1954">
        <f>VLOOKUP($A132,satpek!$B$20:$L$138,10,0)</f>
        <v>425000</v>
      </c>
      <c r="Q132" s="1952">
        <f t="shared" si="147"/>
        <v>0</v>
      </c>
      <c r="R132" s="1952">
        <f t="shared" si="148"/>
        <v>850000</v>
      </c>
      <c r="S132" s="1955">
        <f t="shared" si="149"/>
        <v>850000</v>
      </c>
      <c r="V132" s="1956">
        <v>850000</v>
      </c>
      <c r="W132" s="1956">
        <f t="shared" si="100"/>
        <v>0</v>
      </c>
      <c r="X132" s="1956">
        <f t="shared" si="101"/>
        <v>1700000</v>
      </c>
      <c r="Y132" s="1836" t="s">
        <v>1827</v>
      </c>
      <c r="AF132" s="1910">
        <v>850000</v>
      </c>
      <c r="AG132" s="1960">
        <f t="shared" si="122"/>
        <v>0</v>
      </c>
    </row>
    <row r="133" spans="1:33" ht="21.95" customHeight="1" x14ac:dyDescent="0.2">
      <c r="A133" s="1833">
        <f>satpek!$B$54</f>
        <v>35</v>
      </c>
      <c r="B133" s="1987">
        <f t="shared" ref="B133:B137" si="150">B132+1</f>
        <v>3</v>
      </c>
      <c r="C133" s="1937"/>
      <c r="D133" s="1944" t="str">
        <f>VLOOKUP($A133,satpek!$B$20:$N$144,2,0)</f>
        <v xml:space="preserve">Memasang kusen pintu/jendela alluminium </v>
      </c>
      <c r="E133" s="1944"/>
      <c r="F133" s="2004"/>
      <c r="G133" s="1945">
        <f>'[3]B.VOL RAB'!Q437</f>
        <v>560.6</v>
      </c>
      <c r="H133" s="2456" t="str">
        <f>VLOOKUP($A133,satpek!$B$20:$N$144,7,0)</f>
        <v>m'</v>
      </c>
      <c r="I133" s="2457" t="str">
        <f>VLOOKUP($A133,satpek!$B$20:$N$144,5,0)</f>
        <v>A.4.2.1.11.</v>
      </c>
      <c r="J133" s="1951">
        <f>VLOOKUP($A133,satpek!$B$20:$N$144,6,0)</f>
        <v>152243.43000000002</v>
      </c>
      <c r="K133" s="1938"/>
      <c r="L133" s="1952">
        <f t="shared" si="146"/>
        <v>85347666.859999999</v>
      </c>
      <c r="M133" s="1967"/>
      <c r="N133" s="2458">
        <f>VLOOKUP($A133,satpek!$B$20:$L$138,8,0)</f>
        <v>0.52703841126649331</v>
      </c>
      <c r="O133" s="1954">
        <f>VLOOKUP($A133,satpek!$B$20:$L$138,9,0)</f>
        <v>71007.199999999997</v>
      </c>
      <c r="P133" s="1954">
        <f>VLOOKUP($A133,satpek!$B$20:$L$138,10,0)</f>
        <v>80238.135999999999</v>
      </c>
      <c r="Q133" s="1952">
        <f t="shared" si="147"/>
        <v>39806636.32</v>
      </c>
      <c r="R133" s="1952">
        <f t="shared" si="148"/>
        <v>44981498.747196339</v>
      </c>
      <c r="S133" s="1955">
        <f t="shared" si="149"/>
        <v>40366168.11280366</v>
      </c>
      <c r="V133" s="1956">
        <v>152243.43000000002</v>
      </c>
      <c r="W133" s="1956">
        <f t="shared" si="100"/>
        <v>-1.9999891519546509E-3</v>
      </c>
      <c r="X133" s="1956">
        <f t="shared" si="101"/>
        <v>85347666.85800001</v>
      </c>
      <c r="Y133" s="1836" t="s">
        <v>1080</v>
      </c>
      <c r="AF133" s="1910">
        <v>139049.89000000001</v>
      </c>
      <c r="AG133" s="1960">
        <f t="shared" si="122"/>
        <v>-13193.540000000008</v>
      </c>
    </row>
    <row r="134" spans="1:33" ht="21.95" customHeight="1" x14ac:dyDescent="0.2">
      <c r="A134" s="1833">
        <f>satpek!$B$56</f>
        <v>37</v>
      </c>
      <c r="B134" s="1987">
        <f t="shared" si="150"/>
        <v>4</v>
      </c>
      <c r="C134" s="1937"/>
      <c r="D134" s="1944" t="str">
        <f>VLOOKUP($A134,satpek!$B$20:$N$144,2,0)</f>
        <v>Memasang pintu kaca es rangka alluminium</v>
      </c>
      <c r="E134" s="1944"/>
      <c r="F134" s="2004"/>
      <c r="G134" s="1945">
        <f>'[3]B.VOL RAB'!Q438</f>
        <v>21.84</v>
      </c>
      <c r="H134" s="2456" t="str">
        <f>VLOOKUP($A134,satpek!$B$20:$N$144,7,0)</f>
        <v>m2</v>
      </c>
      <c r="I134" s="2457" t="str">
        <f>VLOOKUP($A134,satpek!$B$20:$N$144,5,0)</f>
        <v>An. Dihitung</v>
      </c>
      <c r="J134" s="1951">
        <f>VLOOKUP($A134,satpek!$B$20:$N$144,6,0)</f>
        <v>853707.66</v>
      </c>
      <c r="K134" s="1938"/>
      <c r="L134" s="1952">
        <f t="shared" si="146"/>
        <v>18644975.289999999</v>
      </c>
      <c r="M134" s="1967"/>
      <c r="N134" s="2458">
        <f>VLOOKUP($A134,satpek!$B$20:$L$138,8,0)</f>
        <v>0.47846365322798945</v>
      </c>
      <c r="O134" s="1954">
        <f>VLOOKUP($A134,satpek!$B$20:$L$138,9,0)</f>
        <v>361476.18000000005</v>
      </c>
      <c r="P134" s="1954">
        <f>VLOOKUP($A134,satpek!$B$20:$L$138,10,0)</f>
        <v>408468.08340000006</v>
      </c>
      <c r="Q134" s="1952">
        <f t="shared" si="147"/>
        <v>7894639.7712000012</v>
      </c>
      <c r="R134" s="1952">
        <f t="shared" si="148"/>
        <v>8920942.9915989917</v>
      </c>
      <c r="S134" s="1955">
        <f t="shared" si="149"/>
        <v>9724032.2984010074</v>
      </c>
      <c r="V134" s="1956">
        <v>853707.66</v>
      </c>
      <c r="W134" s="1956">
        <f t="shared" si="100"/>
        <v>4.3999999761581421E-3</v>
      </c>
      <c r="X134" s="1956">
        <f t="shared" si="101"/>
        <v>18644975.294399999</v>
      </c>
      <c r="Y134" s="1836" t="s">
        <v>1828</v>
      </c>
      <c r="AF134" s="1910">
        <v>850784.35</v>
      </c>
      <c r="AG134" s="1960">
        <f t="shared" si="122"/>
        <v>-2923.3100000000559</v>
      </c>
    </row>
    <row r="135" spans="1:33" ht="21.95" customHeight="1" x14ac:dyDescent="0.2">
      <c r="A135" s="1833">
        <f>satpek!$B$55</f>
        <v>36</v>
      </c>
      <c r="B135" s="1987">
        <f t="shared" si="150"/>
        <v>5</v>
      </c>
      <c r="C135" s="1937"/>
      <c r="D135" s="1944" t="str">
        <f>VLOOKUP($A135,satpek!$B$20:$N$144,2,0)</f>
        <v>Memasang pintu alluminium strip</v>
      </c>
      <c r="E135" s="1944"/>
      <c r="F135" s="2004"/>
      <c r="G135" s="1945">
        <f>'[3]B.VOL RAB'!Q439</f>
        <v>16.695000000000004</v>
      </c>
      <c r="H135" s="2456" t="str">
        <f>VLOOKUP($A135,satpek!$B$20:$N$144,7,0)</f>
        <v>m2</v>
      </c>
      <c r="I135" s="2457" t="str">
        <f>VLOOKUP($A135,satpek!$B$20:$N$144,5,0)</f>
        <v>A.4.2.1.12.</v>
      </c>
      <c r="J135" s="1951">
        <f>VLOOKUP($A135,satpek!$B$20:$N$144,6,0)</f>
        <v>765224.14</v>
      </c>
      <c r="K135" s="1938"/>
      <c r="L135" s="1952">
        <f t="shared" si="146"/>
        <v>12775417.02</v>
      </c>
      <c r="M135" s="1967"/>
      <c r="N135" s="2458">
        <f>VLOOKUP($A135,satpek!$B$20:$L$138,8,0)</f>
        <v>0.53012493548703865</v>
      </c>
      <c r="O135" s="1954">
        <f>VLOOKUP($A135,satpek!$B$20:$L$138,9,0)</f>
        <v>358995.04</v>
      </c>
      <c r="P135" s="1954">
        <f>VLOOKUP($A135,satpek!$B$20:$L$138,10,0)</f>
        <v>405664.39519999997</v>
      </c>
      <c r="Q135" s="1952">
        <f t="shared" si="147"/>
        <v>5993422.1928000012</v>
      </c>
      <c r="R135" s="1952">
        <f t="shared" si="148"/>
        <v>6772567.1235475149</v>
      </c>
      <c r="S135" s="1955">
        <f t="shared" si="149"/>
        <v>6002849.8964524847</v>
      </c>
      <c r="V135" s="1956">
        <v>765224.14</v>
      </c>
      <c r="W135" s="1956">
        <f t="shared" si="100"/>
        <v>-2.6999972760677338E-3</v>
      </c>
      <c r="X135" s="1956">
        <f t="shared" si="101"/>
        <v>12775417.017300002</v>
      </c>
      <c r="Y135" s="1836" t="s">
        <v>1829</v>
      </c>
      <c r="AF135" s="1910">
        <v>759680.81</v>
      </c>
      <c r="AG135" s="1960">
        <f t="shared" si="122"/>
        <v>-5543.3299999999581</v>
      </c>
    </row>
    <row r="136" spans="1:33" ht="21.95" customHeight="1" x14ac:dyDescent="0.2">
      <c r="A136" s="1833">
        <f>satpek!$B$57</f>
        <v>38</v>
      </c>
      <c r="B136" s="1987">
        <f t="shared" si="150"/>
        <v>6</v>
      </c>
      <c r="C136" s="1937"/>
      <c r="D136" s="1944" t="str">
        <f>VLOOKUP($A136,satpek!$B$20:$N$144,2,0)</f>
        <v>Memasang jendela &amp; boven kaca rangka aluminium</v>
      </c>
      <c r="E136" s="1944"/>
      <c r="F136" s="2004"/>
      <c r="G136" s="1945">
        <f>'[3]B.VOL RAB'!Q440</f>
        <v>112.04</v>
      </c>
      <c r="H136" s="2456" t="str">
        <f>VLOOKUP($A136,satpek!$B$20:$N$144,7,0)</f>
        <v>m2</v>
      </c>
      <c r="I136" s="2457" t="str">
        <f>VLOOKUP($A136,satpek!$B$20:$N$144,5,0)</f>
        <v>An. Dihitung</v>
      </c>
      <c r="J136" s="1951">
        <f>VLOOKUP($A136,satpek!$B$20:$N$144,6,0)</f>
        <v>845503.86</v>
      </c>
      <c r="K136" s="1938"/>
      <c r="L136" s="1952">
        <f t="shared" si="146"/>
        <v>94730252.469999999</v>
      </c>
      <c r="M136" s="1967"/>
      <c r="N136" s="2458">
        <f>VLOOKUP($A136,satpek!$B$20:$L$138,8,0)</f>
        <v>0.47806680668534629</v>
      </c>
      <c r="O136" s="1954">
        <f>VLOOKUP($A136,satpek!$B$20:$L$138,9,0)</f>
        <v>357705.60000000003</v>
      </c>
      <c r="P136" s="1954">
        <f>VLOOKUP($A136,satpek!$B$20:$L$138,10,0)</f>
        <v>404207.32800000004</v>
      </c>
      <c r="Q136" s="1952">
        <f t="shared" si="147"/>
        <v>40077335.424000002</v>
      </c>
      <c r="R136" s="1952">
        <f t="shared" si="148"/>
        <v>45287389.29482954</v>
      </c>
      <c r="S136" s="1955">
        <f t="shared" si="149"/>
        <v>49442863.175170459</v>
      </c>
      <c r="V136" s="1956">
        <v>845503.86</v>
      </c>
      <c r="W136" s="1956">
        <f t="shared" si="100"/>
        <v>4.3999999761581421E-3</v>
      </c>
      <c r="X136" s="1956">
        <f t="shared" si="101"/>
        <v>94730252.474399999</v>
      </c>
      <c r="Y136" s="1836" t="s">
        <v>1633</v>
      </c>
      <c r="AF136" s="1910">
        <v>856253.55</v>
      </c>
      <c r="AG136" s="1960">
        <f t="shared" si="122"/>
        <v>10749.690000000061</v>
      </c>
    </row>
    <row r="137" spans="1:33" ht="21.95" customHeight="1" x14ac:dyDescent="0.2">
      <c r="A137" s="1833">
        <f>satpek!$B$83</f>
        <v>64</v>
      </c>
      <c r="B137" s="1987">
        <f t="shared" si="150"/>
        <v>7</v>
      </c>
      <c r="C137" s="1937"/>
      <c r="D137" s="1944" t="str">
        <f>VLOOKUP($A137,satpek!$B$20:$N$144,2,0)</f>
        <v>Pasang kaca mati tebal 5 mm</v>
      </c>
      <c r="E137" s="1944"/>
      <c r="F137" s="2004"/>
      <c r="G137" s="1945">
        <f>'[3]B.VOL RAB'!Q441</f>
        <v>23.64</v>
      </c>
      <c r="H137" s="2456" t="str">
        <f>VLOOKUP($A137,satpek!$B$20:$N$144,7,0)</f>
        <v>m2</v>
      </c>
      <c r="I137" s="2457" t="str">
        <f>VLOOKUP($A137,satpek!$B$20:$N$144,5,0)</f>
        <v>A.4.6.2.17.</v>
      </c>
      <c r="J137" s="1951">
        <f>VLOOKUP($A137,satpek!$B$20:$N$144,6,0)</f>
        <v>170445.25</v>
      </c>
      <c r="K137" s="1938"/>
      <c r="L137" s="1952">
        <f t="shared" si="146"/>
        <v>4029325.71</v>
      </c>
      <c r="M137" s="1967"/>
      <c r="N137" s="2458">
        <f>VLOOKUP($A137,satpek!$B$20:$L$138,8,0)</f>
        <v>0.61858343305499663</v>
      </c>
      <c r="O137" s="1954">
        <f>VLOOKUP($A137,satpek!$B$20:$L$138,9,0)</f>
        <v>93304.960000000006</v>
      </c>
      <c r="P137" s="1954">
        <f>VLOOKUP($A137,satpek!$B$20:$L$138,10,0)</f>
        <v>105434.6048</v>
      </c>
      <c r="Q137" s="1952">
        <f t="shared" si="147"/>
        <v>2205729.2544</v>
      </c>
      <c r="R137" s="1952">
        <f t="shared" si="148"/>
        <v>2492474.1305885618</v>
      </c>
      <c r="S137" s="1955">
        <f t="shared" si="149"/>
        <v>1536851.5794114382</v>
      </c>
      <c r="V137" s="1956">
        <v>170445.25</v>
      </c>
      <c r="W137" s="1956">
        <f t="shared" si="100"/>
        <v>0</v>
      </c>
      <c r="X137" s="1956">
        <f t="shared" si="101"/>
        <v>4029325.71</v>
      </c>
      <c r="Y137" s="1836" t="s">
        <v>1830</v>
      </c>
      <c r="AF137" s="1910">
        <v>170734.07</v>
      </c>
      <c r="AG137" s="1960">
        <f t="shared" si="122"/>
        <v>288.82000000000698</v>
      </c>
    </row>
    <row r="138" spans="1:33" ht="21.95" customHeight="1" x14ac:dyDescent="0.2">
      <c r="A138" s="1833">
        <f>satpek!$B$54</f>
        <v>35</v>
      </c>
      <c r="B138" s="1943" t="e">
        <f>#REF!+1</f>
        <v>#REF!</v>
      </c>
      <c r="C138" s="1937"/>
      <c r="D138" s="1944" t="str">
        <f>VLOOKUP($A138,satpek!$B$20:$N$144,2,0)</f>
        <v xml:space="preserve">Memasang kusen pintu/jendela alluminium </v>
      </c>
      <c r="E138" s="1944"/>
      <c r="F138" s="2004"/>
      <c r="G138" s="1945">
        <f>'[3]B.VOL RAB'!Q474</f>
        <v>576.6</v>
      </c>
      <c r="H138" s="2456" t="str">
        <f>VLOOKUP($A138,satpek!$B$20:$N$144,7,0)</f>
        <v>m'</v>
      </c>
      <c r="I138" s="2457" t="str">
        <f>VLOOKUP($A138,satpek!$B$20:$N$144,5,0)</f>
        <v>A.4.2.1.11.</v>
      </c>
      <c r="J138" s="1951">
        <f>VLOOKUP($A138,satpek!$B$20:$N$144,6,0)</f>
        <v>152243.43000000002</v>
      </c>
      <c r="K138" s="1938"/>
      <c r="L138" s="1952">
        <f t="shared" ref="L138:L142" si="151">ROUND((G138*J138),2)</f>
        <v>87783561.739999995</v>
      </c>
      <c r="M138" s="1967"/>
      <c r="N138" s="2458">
        <f>VLOOKUP($A138,satpek!$B$20:$L$138,8,0)</f>
        <v>0.52703841126649331</v>
      </c>
      <c r="O138" s="1954">
        <f>VLOOKUP($A138,satpek!$B$20:$L$138,9,0)</f>
        <v>71007.199999999997</v>
      </c>
      <c r="P138" s="1954">
        <f>VLOOKUP($A138,satpek!$B$20:$L$138,10,0)</f>
        <v>80238.135999999999</v>
      </c>
      <c r="Q138" s="1952">
        <f t="shared" ref="Q138:Q142" si="152">O138*G138</f>
        <v>40942751.520000003</v>
      </c>
      <c r="R138" s="1952">
        <f t="shared" ref="R138:R142" si="153">N138*L138</f>
        <v>46265308.914763726</v>
      </c>
      <c r="S138" s="1955">
        <f t="shared" ref="S138:S142" si="154">L138-R138</f>
        <v>41518252.825236268</v>
      </c>
      <c r="V138" s="1956">
        <v>152243.43000000002</v>
      </c>
      <c r="W138" s="1956">
        <f t="shared" si="100"/>
        <v>-1.999974250793457E-3</v>
      </c>
      <c r="X138" s="1956">
        <f t="shared" si="101"/>
        <v>87783561.73800002</v>
      </c>
      <c r="Y138" s="1836" t="s">
        <v>1080</v>
      </c>
      <c r="AF138" s="1910">
        <v>139049.89000000001</v>
      </c>
      <c r="AG138" s="1960">
        <f t="shared" si="122"/>
        <v>-13193.540000000008</v>
      </c>
    </row>
    <row r="139" spans="1:33" ht="21.95" customHeight="1" x14ac:dyDescent="0.2">
      <c r="A139" s="1833">
        <f>satpek!$B$56</f>
        <v>37</v>
      </c>
      <c r="B139" s="1943" t="e">
        <f>B138+1</f>
        <v>#REF!</v>
      </c>
      <c r="C139" s="1937"/>
      <c r="D139" s="1944" t="str">
        <f>VLOOKUP($A139,satpek!$B$20:$N$144,2,0)</f>
        <v>Memasang pintu kaca es rangka alluminium</v>
      </c>
      <c r="E139" s="1944"/>
      <c r="F139" s="2004"/>
      <c r="G139" s="1945">
        <f>'[3]B.VOL RAB'!Q475</f>
        <v>48.1</v>
      </c>
      <c r="H139" s="2456" t="str">
        <f>VLOOKUP($A139,satpek!$B$20:$N$144,7,0)</f>
        <v>m2</v>
      </c>
      <c r="I139" s="2457" t="str">
        <f>VLOOKUP($A139,satpek!$B$20:$N$144,5,0)</f>
        <v>An. Dihitung</v>
      </c>
      <c r="J139" s="1951">
        <f>VLOOKUP($A139,satpek!$B$20:$N$144,6,0)</f>
        <v>853707.66</v>
      </c>
      <c r="K139" s="1938"/>
      <c r="L139" s="1952">
        <f t="shared" si="151"/>
        <v>41063338.450000003</v>
      </c>
      <c r="M139" s="1967"/>
      <c r="N139" s="2458">
        <f>VLOOKUP($A139,satpek!$B$20:$L$138,8,0)</f>
        <v>0.47846365322798945</v>
      </c>
      <c r="O139" s="1954">
        <f>VLOOKUP($A139,satpek!$B$20:$L$138,9,0)</f>
        <v>361476.18000000005</v>
      </c>
      <c r="P139" s="1954">
        <f>VLOOKUP($A139,satpek!$B$20:$L$138,10,0)</f>
        <v>408468.08340000006</v>
      </c>
      <c r="Q139" s="1952">
        <f t="shared" si="152"/>
        <v>17387004.258000001</v>
      </c>
      <c r="R139" s="1952">
        <f t="shared" si="153"/>
        <v>19647314.928524368</v>
      </c>
      <c r="S139" s="1955">
        <f t="shared" si="154"/>
        <v>21416023.521475635</v>
      </c>
      <c r="V139" s="1956">
        <v>853707.66</v>
      </c>
      <c r="W139" s="1956">
        <f t="shared" si="100"/>
        <v>-4.0000006556510925E-3</v>
      </c>
      <c r="X139" s="1956">
        <f t="shared" si="101"/>
        <v>41063338.446000002</v>
      </c>
      <c r="Y139" s="1836" t="s">
        <v>1828</v>
      </c>
      <c r="AF139" s="1910">
        <v>850784.35</v>
      </c>
      <c r="AG139" s="1960">
        <f t="shared" si="122"/>
        <v>-2923.3100000000559</v>
      </c>
    </row>
    <row r="140" spans="1:33" ht="21.95" customHeight="1" x14ac:dyDescent="0.2">
      <c r="A140" s="1833">
        <f>satpek!$B$55</f>
        <v>36</v>
      </c>
      <c r="B140" s="1943" t="e">
        <f>B139+1</f>
        <v>#REF!</v>
      </c>
      <c r="C140" s="1937"/>
      <c r="D140" s="1944" t="str">
        <f>VLOOKUP($A140,satpek!$B$20:$N$144,2,0)</f>
        <v>Memasang pintu alluminium strip</v>
      </c>
      <c r="E140" s="1944"/>
      <c r="F140" s="2004"/>
      <c r="G140" s="1945">
        <f>'[3]B.VOL RAB'!Q476</f>
        <v>14.840000000000003</v>
      </c>
      <c r="H140" s="2456" t="str">
        <f>VLOOKUP($A140,satpek!$B$20:$N$144,7,0)</f>
        <v>m2</v>
      </c>
      <c r="I140" s="2457" t="str">
        <f>VLOOKUP($A140,satpek!$B$20:$N$144,5,0)</f>
        <v>A.4.2.1.12.</v>
      </c>
      <c r="J140" s="1951">
        <f>VLOOKUP($A140,satpek!$B$20:$N$144,6,0)</f>
        <v>765224.14</v>
      </c>
      <c r="K140" s="1938"/>
      <c r="L140" s="1952">
        <f t="shared" si="151"/>
        <v>11355926.24</v>
      </c>
      <c r="M140" s="1967"/>
      <c r="N140" s="2458">
        <f>VLOOKUP($A140,satpek!$B$20:$L$138,8,0)</f>
        <v>0.53012493548703865</v>
      </c>
      <c r="O140" s="1954">
        <f>VLOOKUP($A140,satpek!$B$20:$L$138,9,0)</f>
        <v>358995.04</v>
      </c>
      <c r="P140" s="1954">
        <f>VLOOKUP($A140,satpek!$B$20:$L$138,10,0)</f>
        <v>405664.39519999997</v>
      </c>
      <c r="Q140" s="1952">
        <f t="shared" si="152"/>
        <v>5327486.393600001</v>
      </c>
      <c r="R140" s="1952">
        <f t="shared" si="153"/>
        <v>6020059.6653755698</v>
      </c>
      <c r="S140" s="1955">
        <f t="shared" si="154"/>
        <v>5335866.5746244304</v>
      </c>
      <c r="V140" s="1956">
        <v>765224.14</v>
      </c>
      <c r="W140" s="1956">
        <f t="shared" si="100"/>
        <v>-2.3999977856874466E-3</v>
      </c>
      <c r="X140" s="1956">
        <f t="shared" si="101"/>
        <v>11355926.237600002</v>
      </c>
      <c r="Y140" s="1836" t="s">
        <v>1829</v>
      </c>
      <c r="AF140" s="1910">
        <v>759680.81</v>
      </c>
      <c r="AG140" s="1960">
        <f t="shared" si="122"/>
        <v>-5543.3299999999581</v>
      </c>
    </row>
    <row r="141" spans="1:33" ht="21.95" customHeight="1" x14ac:dyDescent="0.2">
      <c r="A141" s="1833">
        <f>satpek!$B$57</f>
        <v>38</v>
      </c>
      <c r="B141" s="1943" t="e">
        <f>B140+1</f>
        <v>#REF!</v>
      </c>
      <c r="C141" s="1937"/>
      <c r="D141" s="1944" t="str">
        <f>VLOOKUP($A141,satpek!$B$20:$N$144,2,0)</f>
        <v>Memasang jendela &amp; boven kaca rangka aluminium</v>
      </c>
      <c r="E141" s="1944"/>
      <c r="F141" s="2004"/>
      <c r="G141" s="1945">
        <f>'[3]B.VOL RAB'!Q477</f>
        <v>104.04</v>
      </c>
      <c r="H141" s="2456" t="str">
        <f>VLOOKUP($A141,satpek!$B$20:$N$144,7,0)</f>
        <v>m2</v>
      </c>
      <c r="I141" s="2457" t="str">
        <f>VLOOKUP($A141,satpek!$B$20:$N$144,5,0)</f>
        <v>An. Dihitung</v>
      </c>
      <c r="J141" s="1951">
        <f>VLOOKUP($A141,satpek!$B$20:$N$144,6,0)</f>
        <v>845503.86</v>
      </c>
      <c r="K141" s="1938"/>
      <c r="L141" s="1952">
        <f t="shared" si="151"/>
        <v>87966221.590000004</v>
      </c>
      <c r="M141" s="1967"/>
      <c r="N141" s="2458">
        <f>VLOOKUP($A141,satpek!$B$20:$L$138,8,0)</f>
        <v>0.47806680668534629</v>
      </c>
      <c r="O141" s="1954">
        <f>VLOOKUP($A141,satpek!$B$20:$L$138,9,0)</f>
        <v>357705.60000000003</v>
      </c>
      <c r="P141" s="1954">
        <f>VLOOKUP($A141,satpek!$B$20:$L$138,10,0)</f>
        <v>404207.32800000004</v>
      </c>
      <c r="Q141" s="1952">
        <f t="shared" si="152"/>
        <v>37215690.624000005</v>
      </c>
      <c r="R141" s="1952">
        <f t="shared" si="153"/>
        <v>42053730.651706867</v>
      </c>
      <c r="S141" s="1955">
        <f t="shared" si="154"/>
        <v>45912490.938293137</v>
      </c>
      <c r="V141" s="1956">
        <v>845503.86</v>
      </c>
      <c r="W141" s="1956">
        <f t="shared" si="100"/>
        <v>4.3999999761581421E-3</v>
      </c>
      <c r="X141" s="1956">
        <f t="shared" si="101"/>
        <v>87966221.594400004</v>
      </c>
      <c r="Y141" s="1836" t="s">
        <v>1633</v>
      </c>
      <c r="AF141" s="1910">
        <v>856253.55</v>
      </c>
      <c r="AG141" s="1960">
        <f t="shared" si="122"/>
        <v>10749.690000000061</v>
      </c>
    </row>
    <row r="142" spans="1:33" ht="21.95" customHeight="1" x14ac:dyDescent="0.2">
      <c r="A142" s="1833">
        <f>satpek!$B$83</f>
        <v>64</v>
      </c>
      <c r="B142" s="2012" t="e">
        <f>B141+1</f>
        <v>#REF!</v>
      </c>
      <c r="C142" s="2013"/>
      <c r="D142" s="1944" t="str">
        <f>VLOOKUP($A142,satpek!$B$20:$N$144,2,0)</f>
        <v>Pasang kaca mati tebal 5 mm</v>
      </c>
      <c r="E142" s="2014"/>
      <c r="F142" s="2015"/>
      <c r="G142" s="2478">
        <f>'[3]B.VOL RAB'!Q478</f>
        <v>23.88</v>
      </c>
      <c r="H142" s="2456" t="str">
        <f>VLOOKUP($A142,satpek!$B$20:$N$144,7,0)</f>
        <v>m2</v>
      </c>
      <c r="I142" s="2457" t="str">
        <f>VLOOKUP($A142,satpek!$B$20:$N$144,5,0)</f>
        <v>A.4.6.2.17.</v>
      </c>
      <c r="J142" s="1951">
        <f>VLOOKUP($A142,satpek!$B$20:$N$144,6,0)</f>
        <v>170445.25</v>
      </c>
      <c r="K142" s="1938"/>
      <c r="L142" s="1952">
        <f t="shared" si="151"/>
        <v>4070232.57</v>
      </c>
      <c r="M142" s="2479"/>
      <c r="N142" s="2458">
        <f>VLOOKUP($A142,satpek!$B$20:$L$138,8,0)</f>
        <v>0.61858343305499663</v>
      </c>
      <c r="O142" s="1954">
        <f>VLOOKUP($A142,satpek!$B$20:$L$138,9,0)</f>
        <v>93304.960000000006</v>
      </c>
      <c r="P142" s="1954">
        <f>VLOOKUP($A142,satpek!$B$20:$L$138,10,0)</f>
        <v>105434.6048</v>
      </c>
      <c r="Q142" s="1952">
        <f t="shared" si="152"/>
        <v>2228122.4448000002</v>
      </c>
      <c r="R142" s="1952">
        <f t="shared" si="153"/>
        <v>2517778.4364828616</v>
      </c>
      <c r="S142" s="1955">
        <f t="shared" si="154"/>
        <v>1552454.1335171382</v>
      </c>
      <c r="V142" s="1956">
        <v>170445.25</v>
      </c>
      <c r="W142" s="1956">
        <f t="shared" si="100"/>
        <v>0</v>
      </c>
      <c r="X142" s="1956">
        <f t="shared" si="101"/>
        <v>4070232.57</v>
      </c>
      <c r="Y142" s="1836" t="s">
        <v>1830</v>
      </c>
      <c r="AF142" s="1910">
        <v>170734.07</v>
      </c>
      <c r="AG142" s="1960">
        <f t="shared" si="122"/>
        <v>288.82000000000698</v>
      </c>
    </row>
    <row r="143" spans="1:33" ht="21.95" customHeight="1" x14ac:dyDescent="0.2">
      <c r="A143" s="1833">
        <f>satpek!$B$84</f>
        <v>65</v>
      </c>
      <c r="B143" s="1943">
        <v>1</v>
      </c>
      <c r="C143" s="1937"/>
      <c r="D143" s="1944" t="str">
        <f>VLOOKUP($A143,satpek!$B$20:$N$144,2,0)</f>
        <v>Pengecatan dinding dalam (cat interior)</v>
      </c>
      <c r="E143" s="1944"/>
      <c r="F143" s="2004"/>
      <c r="G143" s="1945">
        <f>'[3]B.VOL RAB'!Q509</f>
        <v>1114.2919999999999</v>
      </c>
      <c r="H143" s="2456" t="str">
        <f>VLOOKUP($A143,satpek!$B$20:$N$144,7,0)</f>
        <v>m2</v>
      </c>
      <c r="I143" s="2457" t="str">
        <f>VLOOKUP($A143,satpek!$B$20:$N$144,5,0)</f>
        <v>A.4.7.1.10.</v>
      </c>
      <c r="J143" s="1951">
        <f>VLOOKUP($A143,satpek!$B$20:$N$144,6,0)</f>
        <v>23041.599999999999</v>
      </c>
      <c r="K143" s="1938"/>
      <c r="L143" s="1952">
        <f t="shared" ref="L143:L145" si="155">ROUND((G143*J143),2)</f>
        <v>25675070.550000001</v>
      </c>
      <c r="M143" s="1967"/>
      <c r="N143" s="2458">
        <f>VLOOKUP($A143,satpek!$B$20:$L$138,8,0)</f>
        <v>0.52513015673735219</v>
      </c>
      <c r="O143" s="1954">
        <f>VLOOKUP($A143,satpek!$B$20:$L$138,9,0)</f>
        <v>10707.824000000001</v>
      </c>
      <c r="P143" s="1954">
        <f>VLOOKUP($A143,satpek!$B$20:$L$138,10,0)</f>
        <v>12099.841120000001</v>
      </c>
      <c r="Q143" s="1952">
        <f t="shared" ref="Q143:Q145" si="156">O143*G143</f>
        <v>11931642.620608</v>
      </c>
      <c r="R143" s="1952">
        <f t="shared" ref="R143:R145" si="157">N143*L143</f>
        <v>13482753.822164075</v>
      </c>
      <c r="S143" s="1955">
        <f t="shared" ref="S143:S145" si="158">L143-R143</f>
        <v>12192316.727835925</v>
      </c>
      <c r="V143" s="1956">
        <v>23041.599999999999</v>
      </c>
      <c r="W143" s="1956">
        <f t="shared" si="100"/>
        <v>-2.8000026941299438E-3</v>
      </c>
      <c r="X143" s="1956">
        <f t="shared" si="101"/>
        <v>25675070.547199998</v>
      </c>
      <c r="Y143" s="1836" t="s">
        <v>1833</v>
      </c>
      <c r="Z143" s="2141"/>
      <c r="AA143" s="2141"/>
      <c r="AD143" s="1836"/>
      <c r="AE143" s="1836"/>
      <c r="AF143" s="1837">
        <v>31297.379999999997</v>
      </c>
      <c r="AG143" s="1960">
        <f t="shared" si="122"/>
        <v>8255.7799999999988</v>
      </c>
    </row>
    <row r="144" spans="1:33" ht="21.95" customHeight="1" x14ac:dyDescent="0.2">
      <c r="A144" s="1833">
        <f>satpek!$B$85</f>
        <v>66</v>
      </c>
      <c r="B144" s="1943">
        <f>B143+1</f>
        <v>2</v>
      </c>
      <c r="C144" s="1937"/>
      <c r="D144" s="1944" t="str">
        <f>VLOOKUP($A144,satpek!$B$20:$N$144,2,0)</f>
        <v>Pengecatan dinding luar (cat exterior)</v>
      </c>
      <c r="E144" s="1944"/>
      <c r="F144" s="2004"/>
      <c r="G144" s="1945">
        <f>'[3]B.VOL RAB'!Q519</f>
        <v>353.28000000000003</v>
      </c>
      <c r="H144" s="2456" t="str">
        <f>VLOOKUP($A144,satpek!$B$20:$N$144,7,0)</f>
        <v>m2</v>
      </c>
      <c r="I144" s="2457" t="str">
        <f>VLOOKUP($A144,satpek!$B$20:$N$144,5,0)</f>
        <v>A.4.7.1.10a.</v>
      </c>
      <c r="J144" s="1951">
        <f>VLOOKUP($A144,satpek!$B$20:$N$144,6,0)</f>
        <v>56348.350000000006</v>
      </c>
      <c r="K144" s="1938"/>
      <c r="L144" s="1952">
        <f t="shared" si="155"/>
        <v>19906745.09</v>
      </c>
      <c r="M144" s="1967"/>
      <c r="N144" s="2458">
        <f>VLOOKUP($A144,satpek!$B$20:$L$138,8,0)</f>
        <v>0.35460536078835592</v>
      </c>
      <c r="O144" s="1954">
        <f>VLOOKUP($A144,satpek!$B$20:$L$138,9,0)</f>
        <v>17682.68</v>
      </c>
      <c r="P144" s="1954">
        <f>VLOOKUP($A144,satpek!$B$20:$L$138,10,0)</f>
        <v>19981.428400000001</v>
      </c>
      <c r="Q144" s="1952">
        <f t="shared" si="156"/>
        <v>6246937.1904000007</v>
      </c>
      <c r="R144" s="1952">
        <f t="shared" si="157"/>
        <v>7059038.5247612828</v>
      </c>
      <c r="S144" s="1955">
        <f t="shared" si="158"/>
        <v>12847706.565238718</v>
      </c>
      <c r="V144" s="1956">
        <v>56348.350000000006</v>
      </c>
      <c r="W144" s="1956">
        <f t="shared" si="100"/>
        <v>-1.9999966025352478E-3</v>
      </c>
      <c r="X144" s="1956">
        <f t="shared" si="101"/>
        <v>19906745.088000003</v>
      </c>
      <c r="Y144" s="1836" t="s">
        <v>1834</v>
      </c>
      <c r="Z144" s="2141"/>
      <c r="AA144" s="2141"/>
      <c r="AD144" s="1836"/>
      <c r="AE144" s="1836"/>
      <c r="AF144" s="1837">
        <v>70707.83</v>
      </c>
      <c r="AG144" s="1960">
        <f t="shared" ref="AG144:AG181" si="159">AF144-J144</f>
        <v>14359.479999999996</v>
      </c>
    </row>
    <row r="145" spans="1:33" ht="21.95" customHeight="1" x14ac:dyDescent="0.2">
      <c r="A145" s="1833">
        <f>satpek!$B$84</f>
        <v>65</v>
      </c>
      <c r="B145" s="1943">
        <f>B144+1</f>
        <v>3</v>
      </c>
      <c r="C145" s="1937"/>
      <c r="D145" s="1944" t="s">
        <v>1835</v>
      </c>
      <c r="E145" s="1944"/>
      <c r="F145" s="2004"/>
      <c r="G145" s="1945">
        <f>'[3]B.VOL RAB'!Q525</f>
        <v>753.75</v>
      </c>
      <c r="H145" s="2456" t="str">
        <f>VLOOKUP($A145,satpek!$B$20:$N$144,7,0)</f>
        <v>m2</v>
      </c>
      <c r="I145" s="2457" t="str">
        <f>VLOOKUP($A145,satpek!$B$20:$N$144,5,0)</f>
        <v>A.4.7.1.10.</v>
      </c>
      <c r="J145" s="1951">
        <f>VLOOKUP($A145,satpek!$B$20:$N$144,6,0)</f>
        <v>23041.599999999999</v>
      </c>
      <c r="K145" s="1938"/>
      <c r="L145" s="1952">
        <f t="shared" si="155"/>
        <v>17367606</v>
      </c>
      <c r="M145" s="1967"/>
      <c r="N145" s="2458">
        <f>VLOOKUP($A145,satpek!$B$20:$L$138,8,0)</f>
        <v>0.52513015673735219</v>
      </c>
      <c r="O145" s="1954">
        <f>VLOOKUP($A145,satpek!$B$20:$L$138,9,0)</f>
        <v>10707.824000000001</v>
      </c>
      <c r="P145" s="1954">
        <f>VLOOKUP($A145,satpek!$B$20:$L$138,10,0)</f>
        <v>12099.841120000001</v>
      </c>
      <c r="Q145" s="1952">
        <f t="shared" si="156"/>
        <v>8071022.3400000008</v>
      </c>
      <c r="R145" s="1952">
        <f t="shared" si="157"/>
        <v>9120253.6609325781</v>
      </c>
      <c r="S145" s="1955">
        <f t="shared" si="158"/>
        <v>8247352.3390674219</v>
      </c>
      <c r="V145" s="1956">
        <v>23041.599999999999</v>
      </c>
      <c r="W145" s="1956">
        <f t="shared" ref="W145:W208" si="160">X145-L145</f>
        <v>0</v>
      </c>
      <c r="X145" s="1956">
        <f t="shared" ref="X145:X208" si="161">V145*G145</f>
        <v>17367606</v>
      </c>
      <c r="Y145" s="1836" t="s">
        <v>1835</v>
      </c>
      <c r="Z145" s="2141"/>
      <c r="AA145" s="2141"/>
      <c r="AD145" s="1836"/>
      <c r="AE145" s="1836"/>
      <c r="AF145" s="1837">
        <v>20901.379999999997</v>
      </c>
      <c r="AG145" s="1960">
        <f t="shared" si="159"/>
        <v>-2140.2200000000012</v>
      </c>
    </row>
    <row r="146" spans="1:33" ht="21.95" customHeight="1" x14ac:dyDescent="0.2">
      <c r="A146" s="1833">
        <f>satpek!$B$84</f>
        <v>65</v>
      </c>
      <c r="B146" s="1943">
        <v>1</v>
      </c>
      <c r="C146" s="1937"/>
      <c r="D146" s="1944" t="str">
        <f>VLOOKUP($A146,satpek!$B$20:$N$144,2,0)</f>
        <v>Pengecatan dinding dalam (cat interior)</v>
      </c>
      <c r="E146" s="1944"/>
      <c r="F146" s="2004"/>
      <c r="G146" s="1945">
        <f>'[3]B.VOL RAB'!Q531</f>
        <v>816.87500000000023</v>
      </c>
      <c r="H146" s="2456" t="str">
        <f>VLOOKUP($A146,satpek!$B$20:$N$144,7,0)</f>
        <v>m2</v>
      </c>
      <c r="I146" s="2457" t="str">
        <f>VLOOKUP($A146,satpek!$B$20:$N$144,5,0)</f>
        <v>A.4.7.1.10.</v>
      </c>
      <c r="J146" s="1951">
        <f>VLOOKUP($A146,satpek!$B$20:$N$144,6,0)</f>
        <v>23041.599999999999</v>
      </c>
      <c r="K146" s="1938"/>
      <c r="L146" s="1952">
        <f t="shared" ref="L146:L149" si="162">ROUND((G146*J146),2)</f>
        <v>18822107</v>
      </c>
      <c r="M146" s="1967"/>
      <c r="N146" s="2458">
        <f>VLOOKUP($A146,satpek!$B$20:$L$138,8,0)</f>
        <v>0.52513015673735219</v>
      </c>
      <c r="O146" s="1954">
        <f>VLOOKUP($A146,satpek!$B$20:$L$138,9,0)</f>
        <v>10707.824000000001</v>
      </c>
      <c r="P146" s="1954">
        <f>VLOOKUP($A146,satpek!$B$20:$L$138,10,0)</f>
        <v>12099.841120000001</v>
      </c>
      <c r="Q146" s="1952">
        <f t="shared" ref="Q146:Q149" si="163">O146*G146</f>
        <v>8746953.7300000023</v>
      </c>
      <c r="R146" s="1952">
        <f t="shared" ref="R146:R149" si="164">N146*L146</f>
        <v>9884055.9990372136</v>
      </c>
      <c r="S146" s="1955">
        <f t="shared" ref="S146:S149" si="165">L146-R146</f>
        <v>8938051.0009627864</v>
      </c>
      <c r="V146" s="1956">
        <v>23041.599999999999</v>
      </c>
      <c r="W146" s="1956">
        <f t="shared" si="160"/>
        <v>0</v>
      </c>
      <c r="X146" s="1956">
        <f t="shared" si="161"/>
        <v>18822107.000000004</v>
      </c>
      <c r="Y146" s="1836" t="s">
        <v>1833</v>
      </c>
      <c r="Z146" s="2141"/>
      <c r="AA146" s="2141"/>
      <c r="AD146" s="1836"/>
      <c r="AE146" s="1836"/>
      <c r="AF146" s="1837">
        <v>31297.379999999997</v>
      </c>
      <c r="AG146" s="1960">
        <f t="shared" si="159"/>
        <v>8255.7799999999988</v>
      </c>
    </row>
    <row r="147" spans="1:33" ht="21.95" customHeight="1" x14ac:dyDescent="0.2">
      <c r="A147" s="1833">
        <f>satpek!$B$85</f>
        <v>66</v>
      </c>
      <c r="B147" s="1943">
        <f>B146+1</f>
        <v>2</v>
      </c>
      <c r="C147" s="1937"/>
      <c r="D147" s="1944" t="str">
        <f>VLOOKUP($A147,satpek!$B$20:$N$144,2,0)</f>
        <v>Pengecatan dinding luar (cat exterior)</v>
      </c>
      <c r="E147" s="1944"/>
      <c r="F147" s="2004"/>
      <c r="G147" s="1945">
        <f>'[3]B.VOL RAB'!Q542</f>
        <v>564.16000000000008</v>
      </c>
      <c r="H147" s="2456" t="str">
        <f>VLOOKUP($A147,satpek!$B$20:$N$144,7,0)</f>
        <v>m2</v>
      </c>
      <c r="I147" s="2457" t="str">
        <f>VLOOKUP($A147,satpek!$B$20:$N$144,5,0)</f>
        <v>A.4.7.1.10a.</v>
      </c>
      <c r="J147" s="1951">
        <f>VLOOKUP($A147,satpek!$B$20:$N$144,6,0)</f>
        <v>56348.350000000006</v>
      </c>
      <c r="K147" s="1938"/>
      <c r="L147" s="1952">
        <f t="shared" si="162"/>
        <v>31789485.140000001</v>
      </c>
      <c r="M147" s="1967"/>
      <c r="N147" s="2458">
        <f>VLOOKUP($A147,satpek!$B$20:$L$138,8,0)</f>
        <v>0.35460536078835592</v>
      </c>
      <c r="O147" s="1954">
        <f>VLOOKUP($A147,satpek!$B$20:$L$138,9,0)</f>
        <v>17682.68</v>
      </c>
      <c r="P147" s="1954">
        <f>VLOOKUP($A147,satpek!$B$20:$L$138,10,0)</f>
        <v>19981.428400000001</v>
      </c>
      <c r="Q147" s="1952">
        <f t="shared" si="163"/>
        <v>9975860.748800002</v>
      </c>
      <c r="R147" s="1952">
        <f t="shared" si="164"/>
        <v>11272721.847345779</v>
      </c>
      <c r="S147" s="1955">
        <f t="shared" si="165"/>
        <v>20516763.292654224</v>
      </c>
      <c r="V147" s="1956">
        <v>56348.350000000006</v>
      </c>
      <c r="W147" s="1956">
        <f t="shared" si="160"/>
        <v>-3.9999932050704956E-3</v>
      </c>
      <c r="X147" s="1956">
        <f t="shared" si="161"/>
        <v>31789485.136000007</v>
      </c>
      <c r="Y147" s="1836" t="s">
        <v>1834</v>
      </c>
      <c r="Z147" s="2141"/>
      <c r="AA147" s="2141"/>
      <c r="AD147" s="1836"/>
      <c r="AE147" s="1836"/>
      <c r="AF147" s="1837">
        <v>70707.83</v>
      </c>
      <c r="AG147" s="1960">
        <f t="shared" si="159"/>
        <v>14359.479999999996</v>
      </c>
    </row>
    <row r="148" spans="1:33" ht="21.95" customHeight="1" x14ac:dyDescent="0.2">
      <c r="A148" s="1833">
        <f>satpek!$B$84</f>
        <v>65</v>
      </c>
      <c r="B148" s="1943">
        <f>B147+1</f>
        <v>3</v>
      </c>
      <c r="C148" s="1937"/>
      <c r="D148" s="1944" t="s">
        <v>1835</v>
      </c>
      <c r="E148" s="1944"/>
      <c r="F148" s="2004"/>
      <c r="G148" s="1945">
        <f>'[3]B.VOL RAB'!Q549</f>
        <v>829.65</v>
      </c>
      <c r="H148" s="2456" t="str">
        <f>VLOOKUP($A148,satpek!$B$20:$N$144,7,0)</f>
        <v>m2</v>
      </c>
      <c r="I148" s="2457" t="str">
        <f>VLOOKUP($A148,satpek!$B$20:$N$144,5,0)</f>
        <v>A.4.7.1.10.</v>
      </c>
      <c r="J148" s="1951">
        <f>VLOOKUP($A148,satpek!$B$20:$N$144,6,0)</f>
        <v>23041.599999999999</v>
      </c>
      <c r="K148" s="1938"/>
      <c r="L148" s="1952">
        <f t="shared" si="162"/>
        <v>19116463.440000001</v>
      </c>
      <c r="M148" s="1967"/>
      <c r="N148" s="2458">
        <f>VLOOKUP($A148,satpek!$B$20:$L$138,8,0)</f>
        <v>0.52513015673735219</v>
      </c>
      <c r="O148" s="1954">
        <f>VLOOKUP($A148,satpek!$B$20:$L$138,9,0)</f>
        <v>10707.824000000001</v>
      </c>
      <c r="P148" s="1954">
        <f>VLOOKUP($A148,satpek!$B$20:$L$138,10,0)</f>
        <v>12099.841120000001</v>
      </c>
      <c r="Q148" s="1952">
        <f t="shared" si="163"/>
        <v>8883746.1816000007</v>
      </c>
      <c r="R148" s="1952">
        <f t="shared" si="164"/>
        <v>10038631.442511063</v>
      </c>
      <c r="S148" s="1955">
        <f t="shared" si="165"/>
        <v>9077831.9974889383</v>
      </c>
      <c r="V148" s="1956">
        <v>23041.599999999999</v>
      </c>
      <c r="W148" s="1956">
        <f t="shared" si="160"/>
        <v>0</v>
      </c>
      <c r="X148" s="1956">
        <f t="shared" si="161"/>
        <v>19116463.439999998</v>
      </c>
      <c r="Y148" s="1836" t="s">
        <v>1835</v>
      </c>
      <c r="Z148" s="2141"/>
      <c r="AA148" s="2141"/>
      <c r="AD148" s="1836"/>
      <c r="AE148" s="1836"/>
      <c r="AF148" s="1837">
        <v>20901.379999999997</v>
      </c>
      <c r="AG148" s="1960">
        <f t="shared" si="159"/>
        <v>-2140.2200000000012</v>
      </c>
    </row>
    <row r="149" spans="1:33" ht="21.95" customHeight="1" x14ac:dyDescent="0.2">
      <c r="A149" s="1833">
        <f>satpek!B112</f>
        <v>93</v>
      </c>
      <c r="B149" s="1943">
        <f>B148+1</f>
        <v>4</v>
      </c>
      <c r="C149" s="1937"/>
      <c r="D149" s="1944" t="s">
        <v>1836</v>
      </c>
      <c r="E149" s="1944"/>
      <c r="F149" s="2004"/>
      <c r="G149" s="1945">
        <f>'[3]B.VOL RAB'!Q550</f>
        <v>153.20949999999999</v>
      </c>
      <c r="H149" s="2456" t="str">
        <f>VLOOKUP($A149,satpek!$B$20:$N$144,7,0)</f>
        <v>m2</v>
      </c>
      <c r="I149" s="2457" t="str">
        <f>VLOOKUP($A149,satpek!$B$20:$N$144,5,0)</f>
        <v>Daftar harga</v>
      </c>
      <c r="J149" s="1951">
        <f>VLOOKUP($A149,satpek!$B$20:$N$144,6,0)</f>
        <v>52000</v>
      </c>
      <c r="K149" s="1938"/>
      <c r="L149" s="1952">
        <f t="shared" si="162"/>
        <v>7966894</v>
      </c>
      <c r="M149" s="1967"/>
      <c r="N149" s="2458">
        <f>VLOOKUP($A149,satpek!$B$20:$L$138,8,0)</f>
        <v>0.2</v>
      </c>
      <c r="O149" s="1954">
        <f>VLOOKUP($A149,satpek!$B$20:$L$138,9,0)</f>
        <v>0</v>
      </c>
      <c r="P149" s="1954">
        <f>VLOOKUP($A149,satpek!$B$20:$L$138,10,0)</f>
        <v>10400</v>
      </c>
      <c r="Q149" s="1952">
        <f t="shared" si="163"/>
        <v>0</v>
      </c>
      <c r="R149" s="1952">
        <f t="shared" si="164"/>
        <v>1593378.8</v>
      </c>
      <c r="S149" s="1955">
        <f t="shared" si="165"/>
        <v>6373515.2000000002</v>
      </c>
      <c r="V149" s="1956">
        <v>52000</v>
      </c>
      <c r="W149" s="1956">
        <f t="shared" si="160"/>
        <v>0</v>
      </c>
      <c r="X149" s="1956">
        <f t="shared" si="161"/>
        <v>7966894</v>
      </c>
      <c r="Y149" s="2129" t="s">
        <v>1836</v>
      </c>
      <c r="Z149" s="1836">
        <v>19699</v>
      </c>
      <c r="AA149" s="2061" t="e">
        <f>Y149*Z149/50</f>
        <v>#VALUE!</v>
      </c>
      <c r="AB149" s="2061" t="e">
        <f>10%*AA149</f>
        <v>#VALUE!</v>
      </c>
      <c r="AC149" s="2061" t="e">
        <f>AA149+AB149</f>
        <v>#VALUE!</v>
      </c>
      <c r="AD149" s="1836"/>
      <c r="AE149" s="1836"/>
      <c r="AF149" s="1837">
        <v>52000</v>
      </c>
      <c r="AG149" s="1960">
        <f t="shared" si="159"/>
        <v>0</v>
      </c>
    </row>
    <row r="150" spans="1:33" s="2157" customFormat="1" ht="21.95" customHeight="1" x14ac:dyDescent="0.2">
      <c r="A150" s="1833">
        <f>satpek!B110</f>
        <v>91</v>
      </c>
      <c r="B150" s="2159">
        <v>1</v>
      </c>
      <c r="C150" s="2160"/>
      <c r="D150" s="1944" t="str">
        <f>VLOOKUP($A150,satpek!$B$20:$N$144,2,0)</f>
        <v>Pemasangan GRC Listplank</v>
      </c>
      <c r="E150" s="1944"/>
      <c r="F150" s="2004"/>
      <c r="G150" s="1945">
        <f>'[3]B.VOL RAB'!Q555</f>
        <v>176.3</v>
      </c>
      <c r="H150" s="2456" t="str">
        <f>VLOOKUP($A150,satpek!$B$20:$N$144,7,0)</f>
        <v>m'</v>
      </c>
      <c r="I150" s="2457" t="str">
        <f>VLOOKUP($A150,satpek!$B$20:$N$144,5,0)</f>
        <v>Daftar harga</v>
      </c>
      <c r="J150" s="1951">
        <f>VLOOKUP($A150,satpek!$B$20:$N$144,6,0)</f>
        <v>640000</v>
      </c>
      <c r="K150" s="1938"/>
      <c r="L150" s="1952">
        <f t="shared" ref="L150" si="166">ROUND((G150*J150),2)</f>
        <v>112832000</v>
      </c>
      <c r="M150" s="2481"/>
      <c r="N150" s="2458">
        <f>VLOOKUP($A150,satpek!$B$20:$L$138,8,0)</f>
        <v>0.2</v>
      </c>
      <c r="O150" s="1954">
        <f>VLOOKUP($A150,satpek!$B$20:$L$138,9,0)</f>
        <v>0</v>
      </c>
      <c r="P150" s="1954">
        <f>VLOOKUP($A150,satpek!$B$20:$L$138,10,0)</f>
        <v>128000</v>
      </c>
      <c r="Q150" s="1952">
        <f t="shared" ref="Q150" si="167">O150*G150</f>
        <v>0</v>
      </c>
      <c r="R150" s="1952">
        <f t="shared" ref="R150" si="168">N150*L150</f>
        <v>22566400</v>
      </c>
      <c r="S150" s="1955">
        <f t="shared" ref="S150" si="169">L150-R150</f>
        <v>90265600</v>
      </c>
      <c r="T150" s="1848"/>
      <c r="U150" s="1848"/>
      <c r="V150" s="1956">
        <v>640000</v>
      </c>
      <c r="W150" s="1956">
        <f t="shared" si="160"/>
        <v>0</v>
      </c>
      <c r="X150" s="1956">
        <f t="shared" si="161"/>
        <v>112832000</v>
      </c>
      <c r="Y150" s="2157" t="s">
        <v>1914</v>
      </c>
      <c r="AB150" s="2158"/>
      <c r="AC150" s="2158"/>
      <c r="AD150" s="2158"/>
      <c r="AE150" s="2158"/>
      <c r="AF150" s="1837">
        <v>640000</v>
      </c>
      <c r="AG150" s="1960">
        <f t="shared" si="159"/>
        <v>0</v>
      </c>
    </row>
    <row r="151" spans="1:33" ht="21.95" customHeight="1" x14ac:dyDescent="0.2">
      <c r="A151" s="1833">
        <f>satpek!B73</f>
        <v>54</v>
      </c>
      <c r="B151" s="1943">
        <v>1</v>
      </c>
      <c r="C151" s="1937"/>
      <c r="D151" s="1944" t="str">
        <f>VLOOKUP($A151,satpek!$B$20:$N$144,2,0)</f>
        <v>Memasang pipa PVC tipe AW diameter 3/4"</v>
      </c>
      <c r="E151" s="1944"/>
      <c r="F151" s="2004"/>
      <c r="G151" s="1945">
        <f>'[3]B.VOL RAB'!Q560</f>
        <v>29</v>
      </c>
      <c r="H151" s="2456" t="str">
        <f>VLOOKUP($A151,satpek!$B$20:$N$144,7,0)</f>
        <v>m'</v>
      </c>
      <c r="I151" s="2457" t="str">
        <f>VLOOKUP($A151,satpek!$B$20:$N$144,5,0)</f>
        <v>A.5.1.1.26.</v>
      </c>
      <c r="J151" s="1951">
        <f>VLOOKUP($A151,satpek!$B$20:$N$144,6,0)</f>
        <v>24034.87</v>
      </c>
      <c r="K151" s="1938"/>
      <c r="L151" s="1952">
        <f t="shared" ref="L151:L154" si="170">ROUND((G151*J151),2)</f>
        <v>697011.23</v>
      </c>
      <c r="M151" s="1967"/>
      <c r="N151" s="2458">
        <f>VLOOKUP($A151,satpek!$B$20:$L$138,8,0)</f>
        <v>0.94560353176804668</v>
      </c>
      <c r="O151" s="1954">
        <f>VLOOKUP($A151,satpek!$B$20:$L$138,9,0)</f>
        <v>20112.797999999999</v>
      </c>
      <c r="P151" s="1954">
        <f>VLOOKUP($A151,satpek!$B$20:$L$138,10,0)</f>
        <v>22727.461739999999</v>
      </c>
      <c r="Q151" s="1952">
        <f t="shared" ref="Q151:Q154" si="171">O151*G151</f>
        <v>583271.14199999999</v>
      </c>
      <c r="R151" s="1952">
        <f t="shared" ref="R151:R154" si="172">N151*L151</f>
        <v>659096.28076999029</v>
      </c>
      <c r="S151" s="1955">
        <f t="shared" ref="S151:S154" si="173">L151-R151</f>
        <v>37914.94923000969</v>
      </c>
      <c r="V151" s="1956">
        <v>24034.87</v>
      </c>
      <c r="W151" s="1956">
        <f t="shared" si="160"/>
        <v>0</v>
      </c>
      <c r="X151" s="1956">
        <f t="shared" si="161"/>
        <v>697011.23</v>
      </c>
      <c r="Y151" s="1836" t="s">
        <v>455</v>
      </c>
      <c r="AC151" s="1836"/>
      <c r="AD151" s="1836"/>
      <c r="AE151" s="1836"/>
      <c r="AF151" s="1837">
        <v>24319.86</v>
      </c>
      <c r="AG151" s="1960">
        <f t="shared" si="159"/>
        <v>284.9900000000016</v>
      </c>
    </row>
    <row r="152" spans="1:33" ht="21.95" customHeight="1" x14ac:dyDescent="0.2">
      <c r="A152" s="1833">
        <f>satpek!B74</f>
        <v>55</v>
      </c>
      <c r="B152" s="1943">
        <f>B151+1</f>
        <v>2</v>
      </c>
      <c r="C152" s="1937"/>
      <c r="D152" s="1944" t="str">
        <f>VLOOKUP($A152,satpek!$B$20:$N$144,2,0)</f>
        <v>Memasang pipa PVC tipe AW diameter 1"</v>
      </c>
      <c r="E152" s="1944"/>
      <c r="F152" s="2004"/>
      <c r="G152" s="1945">
        <f>'[3]B.VOL RAB'!Q561</f>
        <v>37</v>
      </c>
      <c r="H152" s="2456" t="str">
        <f>VLOOKUP($A152,satpek!$B$20:$N$144,7,0)</f>
        <v>m'</v>
      </c>
      <c r="I152" s="2457" t="str">
        <f>VLOOKUP($A152,satpek!$B$20:$N$144,5,0)</f>
        <v>A.5.1.1.27.</v>
      </c>
      <c r="J152" s="1951">
        <f>VLOOKUP($A152,satpek!$B$20:$N$144,6,0)</f>
        <v>26924.85</v>
      </c>
      <c r="K152" s="1938"/>
      <c r="L152" s="1952">
        <f t="shared" si="170"/>
        <v>996219.45</v>
      </c>
      <c r="M152" s="1967"/>
      <c r="N152" s="2458">
        <f>VLOOKUP($A152,satpek!$B$20:$L$138,8,0)</f>
        <v>0.94103691983565063</v>
      </c>
      <c r="O152" s="1954">
        <f>VLOOKUP($A152,satpek!$B$20:$L$138,9,0)</f>
        <v>22422.368999999999</v>
      </c>
      <c r="P152" s="1954">
        <f>VLOOKUP($A152,satpek!$B$20:$L$138,10,0)</f>
        <v>25337.276969999999</v>
      </c>
      <c r="Q152" s="1952">
        <f t="shared" si="171"/>
        <v>829627.65299999993</v>
      </c>
      <c r="R152" s="1952">
        <f t="shared" si="172"/>
        <v>937479.28270836594</v>
      </c>
      <c r="S152" s="1955">
        <f t="shared" si="173"/>
        <v>58740.167291634018</v>
      </c>
      <c r="V152" s="1956">
        <v>26924.85</v>
      </c>
      <c r="W152" s="1956">
        <f t="shared" si="160"/>
        <v>0</v>
      </c>
      <c r="X152" s="1956">
        <f t="shared" si="161"/>
        <v>996219.45</v>
      </c>
      <c r="Y152" s="1836" t="s">
        <v>456</v>
      </c>
      <c r="AC152" s="1836"/>
      <c r="AD152" s="1836"/>
      <c r="AE152" s="1836"/>
      <c r="AF152" s="1837">
        <v>27340.35</v>
      </c>
      <c r="AG152" s="1960">
        <f t="shared" si="159"/>
        <v>415.5</v>
      </c>
    </row>
    <row r="153" spans="1:33" ht="21.95" customHeight="1" x14ac:dyDescent="0.2">
      <c r="A153" s="1833">
        <f>satpek!B75</f>
        <v>56</v>
      </c>
      <c r="B153" s="1943">
        <f>B152+1</f>
        <v>3</v>
      </c>
      <c r="C153" s="1937"/>
      <c r="D153" s="1944" t="str">
        <f>VLOOKUP($A153,satpek!$B$20:$N$144,2,0)</f>
        <v>Memasang pipa PVC tipe AW diameter 1 1/2"</v>
      </c>
      <c r="E153" s="1944"/>
      <c r="F153" s="2004"/>
      <c r="G153" s="1945">
        <f>'[3]B.VOL RAB'!Q562</f>
        <v>53</v>
      </c>
      <c r="H153" s="2456" t="str">
        <f>VLOOKUP($A153,satpek!$B$20:$N$144,7,0)</f>
        <v>m'</v>
      </c>
      <c r="I153" s="2457" t="str">
        <f>VLOOKUP($A153,satpek!$B$20:$N$144,5,0)</f>
        <v>A.5.1.1.28.</v>
      </c>
      <c r="J153" s="1951">
        <f>VLOOKUP($A153,satpek!$B$20:$N$144,6,0)</f>
        <v>49932.95</v>
      </c>
      <c r="K153" s="1938"/>
      <c r="L153" s="1952">
        <f t="shared" si="170"/>
        <v>2646446.35</v>
      </c>
      <c r="M153" s="1967"/>
      <c r="N153" s="2458">
        <f>VLOOKUP($A153,satpek!$B$20:$L$138,8,0)</f>
        <v>0.93377650720946315</v>
      </c>
      <c r="O153" s="1954">
        <f>VLOOKUP($A153,satpek!$B$20:$L$138,9,0)</f>
        <v>41262.136500000001</v>
      </c>
      <c r="P153" s="1954">
        <f>VLOOKUP($A153,satpek!$B$20:$L$138,10,0)</f>
        <v>46626.214245000003</v>
      </c>
      <c r="Q153" s="1952">
        <f t="shared" si="171"/>
        <v>2186893.2345000003</v>
      </c>
      <c r="R153" s="1952">
        <f t="shared" si="172"/>
        <v>2471189.4292202326</v>
      </c>
      <c r="S153" s="1955">
        <f t="shared" si="173"/>
        <v>175256.92077976745</v>
      </c>
      <c r="V153" s="1956">
        <v>49932.95</v>
      </c>
      <c r="W153" s="1956">
        <f t="shared" si="160"/>
        <v>0</v>
      </c>
      <c r="X153" s="1956">
        <f t="shared" si="161"/>
        <v>2646446.3499999996</v>
      </c>
      <c r="Y153" s="1836" t="s">
        <v>457</v>
      </c>
      <c r="AC153" s="1836"/>
      <c r="AD153" s="1836"/>
      <c r="AE153" s="1836"/>
      <c r="AF153" s="1837">
        <v>50987.3</v>
      </c>
      <c r="AG153" s="1960">
        <f t="shared" si="159"/>
        <v>1054.3500000000058</v>
      </c>
    </row>
    <row r="154" spans="1:33" ht="21.95" customHeight="1" x14ac:dyDescent="0.2">
      <c r="A154" s="1833">
        <f>satpek!$B$115</f>
        <v>96</v>
      </c>
      <c r="B154" s="1943">
        <f>B153+1</f>
        <v>4</v>
      </c>
      <c r="C154" s="2033"/>
      <c r="D154" s="1944" t="str">
        <f>VLOOKUP($A154,satpek!$B$20:$N$144,2,0)</f>
        <v>Pemasangan stop kran PVC 1 1/2"</v>
      </c>
      <c r="E154" s="1944"/>
      <c r="F154" s="2004"/>
      <c r="G154" s="1945">
        <f>'[3]B.VOL RAB'!Q563</f>
        <v>4</v>
      </c>
      <c r="H154" s="2456" t="str">
        <f>VLOOKUP($A154,satpek!$B$20:$N$144,7,0)</f>
        <v>bh</v>
      </c>
      <c r="I154" s="2457" t="str">
        <f>VLOOKUP($A154,satpek!$B$20:$N$144,5,0)</f>
        <v>Daftar harga</v>
      </c>
      <c r="J154" s="1951">
        <f>VLOOKUP($A154,satpek!$B$20:$N$144,6,0)</f>
        <v>159000</v>
      </c>
      <c r="K154" s="1938"/>
      <c r="L154" s="1952">
        <f t="shared" si="170"/>
        <v>636000</v>
      </c>
      <c r="M154" s="1997"/>
      <c r="N154" s="2458">
        <f>VLOOKUP($A154,satpek!$B$20:$L$138,8,0)</f>
        <v>0.2</v>
      </c>
      <c r="O154" s="1954">
        <f>VLOOKUP($A154,satpek!$B$20:$L$138,9,0)</f>
        <v>0</v>
      </c>
      <c r="P154" s="1954">
        <f>VLOOKUP($A154,satpek!$B$20:$L$138,10,0)</f>
        <v>31800</v>
      </c>
      <c r="Q154" s="1952">
        <f t="shared" si="171"/>
        <v>0</v>
      </c>
      <c r="R154" s="1952">
        <f t="shared" si="172"/>
        <v>127200</v>
      </c>
      <c r="S154" s="1955">
        <f t="shared" si="173"/>
        <v>508800</v>
      </c>
      <c r="V154" s="1956">
        <v>159000</v>
      </c>
      <c r="W154" s="1956">
        <f t="shared" si="160"/>
        <v>0</v>
      </c>
      <c r="X154" s="1956">
        <f t="shared" si="161"/>
        <v>636000</v>
      </c>
      <c r="Y154" s="1836" t="s">
        <v>1844</v>
      </c>
      <c r="AC154" s="1836"/>
      <c r="AD154" s="1836"/>
      <c r="AE154" s="1836"/>
      <c r="AF154" s="1837">
        <v>159520.72</v>
      </c>
      <c r="AG154" s="1960">
        <f t="shared" si="159"/>
        <v>520.72000000000116</v>
      </c>
    </row>
    <row r="155" spans="1:33" ht="21.95" customHeight="1" x14ac:dyDescent="0.2">
      <c r="A155" s="1833">
        <f>satpek!B75</f>
        <v>56</v>
      </c>
      <c r="B155" s="1943">
        <v>1</v>
      </c>
      <c r="C155" s="1937"/>
      <c r="D155" s="1944" t="str">
        <f>VLOOKUP($A155,satpek!$B$20:$N$144,2,0)</f>
        <v>Memasang pipa PVC tipe AW diameter 1 1/2"</v>
      </c>
      <c r="E155" s="1944"/>
      <c r="F155" s="2004"/>
      <c r="G155" s="1945">
        <f>'[3]B.VOL RAB'!Q565</f>
        <v>14.8</v>
      </c>
      <c r="H155" s="2456" t="str">
        <f>VLOOKUP($A155,satpek!$B$20:$N$144,7,0)</f>
        <v>m'</v>
      </c>
      <c r="I155" s="2457" t="str">
        <f>VLOOKUP($A155,satpek!$B$20:$N$144,5,0)</f>
        <v>A.5.1.1.28.</v>
      </c>
      <c r="J155" s="1951">
        <f>VLOOKUP($A155,satpek!$B$20:$N$144,6,0)</f>
        <v>49932.95</v>
      </c>
      <c r="K155" s="1938"/>
      <c r="L155" s="1952">
        <f t="shared" ref="L155:L157" si="174">ROUND((G155*J155),2)</f>
        <v>739007.66</v>
      </c>
      <c r="M155" s="1967"/>
      <c r="N155" s="2458">
        <f>VLOOKUP($A155,satpek!$B$20:$L$138,8,0)</f>
        <v>0.93377650720946315</v>
      </c>
      <c r="O155" s="1954">
        <f>VLOOKUP($A155,satpek!$B$20:$L$138,9,0)</f>
        <v>41262.136500000001</v>
      </c>
      <c r="P155" s="1954">
        <f>VLOOKUP($A155,satpek!$B$20:$L$138,10,0)</f>
        <v>46626.214245000003</v>
      </c>
      <c r="Q155" s="1952">
        <f t="shared" ref="Q155:Q157" si="175">O155*G155</f>
        <v>610679.6202</v>
      </c>
      <c r="R155" s="1952">
        <f t="shared" ref="R155:R157" si="176">N155*L155</f>
        <v>690067.9915558385</v>
      </c>
      <c r="S155" s="1955">
        <f t="shared" ref="S155:S157" si="177">L155-R155</f>
        <v>48939.668444161536</v>
      </c>
      <c r="V155" s="1956">
        <v>49932.95</v>
      </c>
      <c r="W155" s="1956">
        <f t="shared" si="160"/>
        <v>0</v>
      </c>
      <c r="X155" s="1956">
        <f t="shared" si="161"/>
        <v>739007.66</v>
      </c>
      <c r="Y155" s="1836" t="s">
        <v>457</v>
      </c>
      <c r="AC155" s="1836"/>
      <c r="AD155" s="1836"/>
      <c r="AE155" s="1836"/>
      <c r="AF155" s="1837">
        <v>50987.3</v>
      </c>
      <c r="AG155" s="1960">
        <f t="shared" si="159"/>
        <v>1054.3500000000058</v>
      </c>
    </row>
    <row r="156" spans="1:33" ht="21.95" customHeight="1" x14ac:dyDescent="0.2">
      <c r="A156" s="1833">
        <f>satpek!B76</f>
        <v>57</v>
      </c>
      <c r="B156" s="1943">
        <f>B155+1</f>
        <v>2</v>
      </c>
      <c r="C156" s="1937"/>
      <c r="D156" s="1944" t="str">
        <f>VLOOKUP($A156,satpek!$B$20:$N$144,2,0)</f>
        <v>Memasang pipa PVC tipe AW diameter 2"</v>
      </c>
      <c r="E156" s="1944"/>
      <c r="F156" s="2004"/>
      <c r="G156" s="1945">
        <f>'[3]B.VOL RAB'!Q566</f>
        <v>15.8</v>
      </c>
      <c r="H156" s="2456" t="str">
        <f>VLOOKUP($A156,satpek!$B$20:$N$144,7,0)</f>
        <v>m'</v>
      </c>
      <c r="I156" s="2457" t="str">
        <f>VLOOKUP($A156,satpek!$B$20:$N$144,5,0)</f>
        <v>A.5.1.1.29.</v>
      </c>
      <c r="J156" s="1951">
        <f>VLOOKUP($A156,satpek!$B$20:$N$144,6,0)</f>
        <v>78438.61</v>
      </c>
      <c r="K156" s="1938"/>
      <c r="L156" s="1952">
        <f t="shared" si="174"/>
        <v>1239330.04</v>
      </c>
      <c r="M156" s="1967"/>
      <c r="N156" s="2458">
        <f>VLOOKUP($A156,satpek!$B$20:$L$138,8,0)</f>
        <v>0.92261300560255965</v>
      </c>
      <c r="O156" s="1954">
        <f>VLOOKUP($A156,satpek!$B$20:$L$138,9,0)</f>
        <v>64042.904999999999</v>
      </c>
      <c r="P156" s="1954">
        <f>VLOOKUP($A156,satpek!$B$20:$L$138,10,0)</f>
        <v>72368.482649999991</v>
      </c>
      <c r="Q156" s="1952">
        <f t="shared" si="175"/>
        <v>1011877.899</v>
      </c>
      <c r="R156" s="1952">
        <f t="shared" si="176"/>
        <v>1143422.0131379406</v>
      </c>
      <c r="S156" s="1955">
        <f t="shared" si="177"/>
        <v>95908.026862059487</v>
      </c>
      <c r="V156" s="1956">
        <v>78438.61</v>
      </c>
      <c r="W156" s="1956">
        <f t="shared" si="160"/>
        <v>-1.999999862164259E-3</v>
      </c>
      <c r="X156" s="1956">
        <f t="shared" si="161"/>
        <v>1239330.0380000002</v>
      </c>
      <c r="Y156" s="1836" t="s">
        <v>458</v>
      </c>
      <c r="AC156" s="1836"/>
      <c r="AD156" s="1836"/>
      <c r="AE156" s="1836"/>
      <c r="AF156" s="1837">
        <v>80780.31</v>
      </c>
      <c r="AG156" s="1960">
        <f t="shared" si="159"/>
        <v>2341.6999999999971</v>
      </c>
    </row>
    <row r="157" spans="1:33" ht="21.95" customHeight="1" x14ac:dyDescent="0.2">
      <c r="A157" s="1833">
        <f>satpek!B78</f>
        <v>59</v>
      </c>
      <c r="B157" s="1943">
        <f>B156+1</f>
        <v>3</v>
      </c>
      <c r="C157" s="1937"/>
      <c r="D157" s="1944" t="str">
        <f>VLOOKUP($A157,satpek!$B$20:$N$144,2,0)</f>
        <v>Memasang pipa PVC tipe AW diameter 3"</v>
      </c>
      <c r="E157" s="1944"/>
      <c r="F157" s="2004"/>
      <c r="G157" s="1945">
        <f>'[3]B.VOL RAB'!Q567</f>
        <v>17.8</v>
      </c>
      <c r="H157" s="2456" t="str">
        <f>VLOOKUP($A157,satpek!$B$20:$N$144,7,0)</f>
        <v>m'</v>
      </c>
      <c r="I157" s="2457" t="str">
        <f>VLOOKUP($A157,satpek!$B$20:$N$144,5,0)</f>
        <v>A.5.1.1.31.</v>
      </c>
      <c r="J157" s="1951">
        <f>VLOOKUP($A157,satpek!$B$20:$N$144,6,0)</f>
        <v>103284.6</v>
      </c>
      <c r="K157" s="1938"/>
      <c r="L157" s="1952">
        <f t="shared" si="174"/>
        <v>1838465.88</v>
      </c>
      <c r="M157" s="1967"/>
      <c r="N157" s="2458">
        <f>VLOOKUP($A157,satpek!$B$20:$L$138,8,0)</f>
        <v>0.92520067875753675</v>
      </c>
      <c r="O157" s="1954">
        <f>VLOOKUP($A157,satpek!$B$20:$L$138,9,0)</f>
        <v>84565.47</v>
      </c>
      <c r="P157" s="1954">
        <f>VLOOKUP($A157,satpek!$B$20:$L$138,10,0)</f>
        <v>95558.981100000005</v>
      </c>
      <c r="Q157" s="1952">
        <f t="shared" si="175"/>
        <v>1505265.3660000002</v>
      </c>
      <c r="R157" s="1952">
        <f t="shared" si="176"/>
        <v>1700949.8800485721</v>
      </c>
      <c r="S157" s="1955">
        <f t="shared" si="177"/>
        <v>137515.9999514278</v>
      </c>
      <c r="V157" s="1956">
        <v>103284.6</v>
      </c>
      <c r="W157" s="1956">
        <f t="shared" si="160"/>
        <v>0</v>
      </c>
      <c r="X157" s="1956">
        <f t="shared" si="161"/>
        <v>1838465.8800000001</v>
      </c>
      <c r="Y157" s="1836" t="s">
        <v>459</v>
      </c>
      <c r="AC157" s="1836"/>
      <c r="AD157" s="1836"/>
      <c r="AE157" s="1836"/>
      <c r="AF157" s="1837">
        <v>106247.69</v>
      </c>
      <c r="AG157" s="1960">
        <f t="shared" si="159"/>
        <v>2963.0899999999965</v>
      </c>
    </row>
    <row r="158" spans="1:33" ht="21.95" customHeight="1" x14ac:dyDescent="0.2">
      <c r="A158" s="1833">
        <f>satpek!B79</f>
        <v>60</v>
      </c>
      <c r="B158" s="1943">
        <v>1</v>
      </c>
      <c r="C158" s="1937"/>
      <c r="D158" s="1944" t="str">
        <f>VLOOKUP($A158,satpek!$B$20:$N$144,2,0)</f>
        <v>Memasang pipa PVC tipe AW diameter 4"</v>
      </c>
      <c r="E158" s="1944"/>
      <c r="F158" s="2004"/>
      <c r="G158" s="1945">
        <f>'[3]B.VOL RAB'!Q569</f>
        <v>32</v>
      </c>
      <c r="H158" s="2456" t="str">
        <f>VLOOKUP($A158,satpek!$B$20:$N$144,7,0)</f>
        <v>m'</v>
      </c>
      <c r="I158" s="2457" t="str">
        <f>VLOOKUP($A158,satpek!$B$20:$N$144,5,0)</f>
        <v>A.5.1.1.32.</v>
      </c>
      <c r="J158" s="1951">
        <f>VLOOKUP($A158,satpek!$B$20:$N$144,6,0)</f>
        <v>167743.75</v>
      </c>
      <c r="K158" s="1938"/>
      <c r="L158" s="1952">
        <f t="shared" ref="L158" si="178">ROUND((G158*J158),2)</f>
        <v>5367800</v>
      </c>
      <c r="M158" s="1967"/>
      <c r="N158" s="2458">
        <f>VLOOKUP($A158,satpek!$B$20:$L$138,8,0)</f>
        <v>0.91674479843821799</v>
      </c>
      <c r="O158" s="1954">
        <f>VLOOKUP($A158,satpek!$B$20:$L$138,9,0)</f>
        <v>136086.91500000001</v>
      </c>
      <c r="P158" s="1954">
        <f>VLOOKUP($A158,satpek!$B$20:$L$138,10,0)</f>
        <v>153778.21395</v>
      </c>
      <c r="Q158" s="1952">
        <f t="shared" ref="Q158" si="179">O158*G158</f>
        <v>4354781.28</v>
      </c>
      <c r="R158" s="1952">
        <f t="shared" ref="R158" si="180">N158*L158</f>
        <v>4920902.7290566666</v>
      </c>
      <c r="S158" s="1955">
        <f t="shared" ref="S158" si="181">L158-R158</f>
        <v>446897.27094333339</v>
      </c>
      <c r="V158" s="1956">
        <v>167743.75</v>
      </c>
      <c r="W158" s="1956">
        <f t="shared" si="160"/>
        <v>0</v>
      </c>
      <c r="X158" s="1956">
        <f t="shared" si="161"/>
        <v>5367800</v>
      </c>
      <c r="Y158" s="1836" t="s">
        <v>460</v>
      </c>
      <c r="AC158" s="1836"/>
      <c r="AD158" s="1836"/>
      <c r="AE158" s="1836"/>
      <c r="AF158" s="1837">
        <v>173522.24</v>
      </c>
      <c r="AG158" s="1960">
        <f t="shared" si="159"/>
        <v>5778.4899999999907</v>
      </c>
    </row>
    <row r="159" spans="1:33" ht="21.95" customHeight="1" x14ac:dyDescent="0.2">
      <c r="A159" s="1833">
        <f>satpek!B69</f>
        <v>50</v>
      </c>
      <c r="B159" s="1943">
        <v>1</v>
      </c>
      <c r="C159" s="1937"/>
      <c r="D159" s="1944" t="str">
        <f>VLOOKUP($A159,satpek!$B$20:$N$144,2,0)</f>
        <v>Memasang kloset duduk/monoblok dan aksesoris</v>
      </c>
      <c r="E159" s="1944"/>
      <c r="F159" s="2004"/>
      <c r="G159" s="1945">
        <f>'[3]B.VOL RAB'!Q571</f>
        <v>8</v>
      </c>
      <c r="H159" s="2456" t="str">
        <f>VLOOKUP($A159,satpek!$B$20:$N$144,7,0)</f>
        <v>bh</v>
      </c>
      <c r="I159" s="2457" t="str">
        <f>VLOOKUP($A159,satpek!$B$20:$N$144,5,0)</f>
        <v>A.5.1.1.1.</v>
      </c>
      <c r="J159" s="1951">
        <f>VLOOKUP($A159,satpek!$B$20:$N$144,6,0)</f>
        <v>3373897.5</v>
      </c>
      <c r="K159" s="1938"/>
      <c r="L159" s="1952">
        <f t="shared" ref="L159:L165" si="182">ROUND((G159*J159),2)</f>
        <v>26991180</v>
      </c>
      <c r="M159" s="1967"/>
      <c r="N159" s="2458">
        <f>VLOOKUP($A159,satpek!$B$20:$L$138,8,0)</f>
        <v>0.46447123838231602</v>
      </c>
      <c r="O159" s="1954">
        <f>VLOOKUP($A159,satpek!$B$20:$L$138,9,0)</f>
        <v>1386795</v>
      </c>
      <c r="P159" s="1954">
        <f>VLOOKUP($A159,satpek!$B$20:$L$138,10,0)</f>
        <v>1567078.35</v>
      </c>
      <c r="Q159" s="1952">
        <f t="shared" ref="Q159:Q165" si="183">O159*G159</f>
        <v>11094360</v>
      </c>
      <c r="R159" s="1952">
        <f t="shared" ref="R159:R165" si="184">N159*L159</f>
        <v>12536626.800000001</v>
      </c>
      <c r="S159" s="1955">
        <f t="shared" ref="S159:S165" si="185">L159-R159</f>
        <v>14454553.199999999</v>
      </c>
      <c r="V159" s="1956">
        <v>3373897.5</v>
      </c>
      <c r="W159" s="1956">
        <f t="shared" si="160"/>
        <v>0</v>
      </c>
      <c r="X159" s="1956">
        <f t="shared" si="161"/>
        <v>26991180</v>
      </c>
      <c r="Y159" s="1836" t="s">
        <v>1848</v>
      </c>
      <c r="AC159" s="1836"/>
      <c r="AD159" s="1836"/>
      <c r="AE159" s="1836"/>
      <c r="AF159" s="1837">
        <v>3359184.9</v>
      </c>
      <c r="AG159" s="1960">
        <f t="shared" si="159"/>
        <v>-14712.600000000093</v>
      </c>
    </row>
    <row r="160" spans="1:33" ht="21.95" customHeight="1" x14ac:dyDescent="0.2">
      <c r="A160" s="1833">
        <f>satpek!B71</f>
        <v>52</v>
      </c>
      <c r="B160" s="1943">
        <f t="shared" ref="B160:B165" si="186">B159+1</f>
        <v>2</v>
      </c>
      <c r="C160" s="1937"/>
      <c r="D160" s="1944" t="str">
        <f>VLOOKUP($A160,satpek!$B$20:$N$144,2,0)</f>
        <v>Memasang wastafel lengkap sifon stainless</v>
      </c>
      <c r="E160" s="1944"/>
      <c r="F160" s="2004"/>
      <c r="G160" s="1945">
        <f>'[3]B.VOL RAB'!Q572</f>
        <v>4</v>
      </c>
      <c r="H160" s="2456" t="str">
        <f>VLOOKUP($A160,satpek!$B$20:$N$144,7,0)</f>
        <v>bh</v>
      </c>
      <c r="I160" s="2457" t="str">
        <f>VLOOKUP($A160,satpek!$B$20:$N$144,5,0)</f>
        <v>A.5.1.1.5.</v>
      </c>
      <c r="J160" s="1951">
        <f>VLOOKUP($A160,satpek!$B$20:$N$144,6,0)</f>
        <v>1376407.8</v>
      </c>
      <c r="K160" s="1938"/>
      <c r="L160" s="1952">
        <f t="shared" si="182"/>
        <v>5505631.2000000002</v>
      </c>
      <c r="M160" s="1967"/>
      <c r="N160" s="2458">
        <f>VLOOKUP($A160,satpek!$B$20:$L$138,8,0)</f>
        <v>0.71936118089420875</v>
      </c>
      <c r="O160" s="1954">
        <f>VLOOKUP($A160,satpek!$B$20:$L$138,9,0)</f>
        <v>876225.08</v>
      </c>
      <c r="P160" s="1954">
        <f>VLOOKUP($A160,satpek!$B$20:$L$138,10,0)</f>
        <v>990134.34039999999</v>
      </c>
      <c r="Q160" s="1952">
        <f t="shared" si="183"/>
        <v>3504900.32</v>
      </c>
      <c r="R160" s="1952">
        <f t="shared" si="184"/>
        <v>3960537.3615999999</v>
      </c>
      <c r="S160" s="1955">
        <f t="shared" si="185"/>
        <v>1545093.8384000002</v>
      </c>
      <c r="V160" s="1956">
        <v>1376407.8</v>
      </c>
      <c r="W160" s="1956">
        <f t="shared" si="160"/>
        <v>0</v>
      </c>
      <c r="X160" s="1956">
        <f t="shared" si="161"/>
        <v>5505631.2000000002</v>
      </c>
      <c r="Y160" s="1836" t="s">
        <v>1849</v>
      </c>
      <c r="Z160" s="2141" t="e">
        <f>Y160+(Y160*10%)</f>
        <v>#VALUE!</v>
      </c>
      <c r="AC160" s="1836"/>
      <c r="AD160" s="1836"/>
      <c r="AE160" s="1836"/>
      <c r="AF160" s="1837">
        <v>1003649.05</v>
      </c>
      <c r="AG160" s="1960">
        <f t="shared" si="159"/>
        <v>-372758.75</v>
      </c>
    </row>
    <row r="161" spans="1:33" ht="21.95" customHeight="1" x14ac:dyDescent="0.2">
      <c r="A161" s="1833">
        <f>satpek!B72</f>
        <v>53</v>
      </c>
      <c r="B161" s="1943">
        <f t="shared" si="186"/>
        <v>3</v>
      </c>
      <c r="C161" s="1937"/>
      <c r="D161" s="1944" t="str">
        <f>VLOOKUP($A161,satpek!$B$20:$N$144,2,0)</f>
        <v>Memasang floor drain stainless</v>
      </c>
      <c r="E161" s="1944"/>
      <c r="F161" s="2004"/>
      <c r="G161" s="1945">
        <f>'[3]B.VOL RAB'!Q573</f>
        <v>10</v>
      </c>
      <c r="H161" s="2456" t="str">
        <f>VLOOKUP($A161,satpek!$B$20:$N$144,7,0)</f>
        <v>bh</v>
      </c>
      <c r="I161" s="2457" t="str">
        <f>VLOOKUP($A161,satpek!$B$20:$N$144,5,0)</f>
        <v>A.5.1.1.14.</v>
      </c>
      <c r="J161" s="1951">
        <f>VLOOKUP($A161,satpek!$B$20:$N$144,6,0)</f>
        <v>120111.09</v>
      </c>
      <c r="K161" s="1938"/>
      <c r="L161" s="1952">
        <f t="shared" si="182"/>
        <v>1201110.8999999999</v>
      </c>
      <c r="M161" s="1967"/>
      <c r="N161" s="2458">
        <f>VLOOKUP($A161,satpek!$B$20:$L$138,8,0)</f>
        <v>0.10624406122698578</v>
      </c>
      <c r="O161" s="1954">
        <f>VLOOKUP($A161,satpek!$B$20:$L$138,9,0)</f>
        <v>11293</v>
      </c>
      <c r="P161" s="1954">
        <f>VLOOKUP($A161,satpek!$B$20:$L$138,10,0)</f>
        <v>12761.09</v>
      </c>
      <c r="Q161" s="1952">
        <f t="shared" si="183"/>
        <v>112930</v>
      </c>
      <c r="R161" s="1952">
        <f t="shared" si="184"/>
        <v>127610.89999999998</v>
      </c>
      <c r="S161" s="1955">
        <f t="shared" si="185"/>
        <v>1073500</v>
      </c>
      <c r="V161" s="1956">
        <v>120111.09</v>
      </c>
      <c r="W161" s="1956">
        <f t="shared" si="160"/>
        <v>0</v>
      </c>
      <c r="X161" s="1956">
        <f t="shared" si="161"/>
        <v>1201110.8999999999</v>
      </c>
      <c r="Y161" s="1836" t="s">
        <v>1915</v>
      </c>
      <c r="AC161" s="1836"/>
      <c r="AD161" s="1836"/>
      <c r="AE161" s="1836"/>
      <c r="AF161" s="1837">
        <v>103903.5</v>
      </c>
      <c r="AG161" s="1960">
        <f t="shared" si="159"/>
        <v>-16207.589999999997</v>
      </c>
    </row>
    <row r="162" spans="1:33" ht="21.95" customHeight="1" x14ac:dyDescent="0.2">
      <c r="A162" s="1833">
        <f>satpek!B81</f>
        <v>62</v>
      </c>
      <c r="B162" s="1943">
        <f t="shared" si="186"/>
        <v>4</v>
      </c>
      <c r="C162" s="1937"/>
      <c r="D162" s="1944" t="str">
        <f>VLOOKUP($A162,satpek!$B$20:$N$144,2,0)</f>
        <v>Memasang bak cuci piring stainlessteel dan aksesoris</v>
      </c>
      <c r="E162" s="1944"/>
      <c r="F162" s="2004"/>
      <c r="G162" s="1945">
        <f>'[3]B.VOL RAB'!Q574</f>
        <v>1</v>
      </c>
      <c r="H162" s="2456" t="str">
        <f>VLOOKUP($A162,satpek!$B$20:$N$144,7,0)</f>
        <v>bh</v>
      </c>
      <c r="I162" s="2457" t="str">
        <f>VLOOKUP($A162,satpek!$B$20:$N$144,5,0)</f>
        <v>A.5.1.1.12.</v>
      </c>
      <c r="J162" s="1951">
        <f>VLOOKUP($A162,satpek!$B$20:$N$144,6,0)</f>
        <v>1106133.27</v>
      </c>
      <c r="K162" s="1938"/>
      <c r="L162" s="1952">
        <f t="shared" si="182"/>
        <v>1106133.27</v>
      </c>
      <c r="M162" s="1967"/>
      <c r="N162" s="2458">
        <f>VLOOKUP($A162,satpek!$B$20:$L$138,8,0)</f>
        <v>3.460999776274698E-2</v>
      </c>
      <c r="O162" s="1954">
        <f>VLOOKUP($A162,satpek!$B$20:$L$138,9,0)</f>
        <v>33879</v>
      </c>
      <c r="P162" s="1954">
        <f>VLOOKUP($A162,satpek!$B$20:$L$138,10,0)</f>
        <v>38283.270000000004</v>
      </c>
      <c r="Q162" s="1952">
        <f t="shared" si="183"/>
        <v>33879</v>
      </c>
      <c r="R162" s="1952">
        <f t="shared" si="184"/>
        <v>38283.270000000004</v>
      </c>
      <c r="S162" s="1955">
        <f t="shared" si="185"/>
        <v>1067850</v>
      </c>
      <c r="V162" s="1956">
        <v>1106133.27</v>
      </c>
      <c r="W162" s="1956">
        <f t="shared" si="160"/>
        <v>0</v>
      </c>
      <c r="X162" s="1956">
        <f t="shared" si="161"/>
        <v>1106133.27</v>
      </c>
      <c r="Y162" s="1836" t="s">
        <v>1850</v>
      </c>
      <c r="AC162" s="1836"/>
      <c r="AD162" s="1836"/>
      <c r="AE162" s="1836"/>
      <c r="AF162" s="1837">
        <v>1106496</v>
      </c>
      <c r="AG162" s="1960">
        <f t="shared" si="159"/>
        <v>362.72999999998137</v>
      </c>
    </row>
    <row r="163" spans="1:33" ht="21.95" customHeight="1" x14ac:dyDescent="0.2">
      <c r="A163" s="1833">
        <f>satpek!B82</f>
        <v>63</v>
      </c>
      <c r="B163" s="1943">
        <f t="shared" si="186"/>
        <v>5</v>
      </c>
      <c r="C163" s="1937"/>
      <c r="D163" s="1944" t="str">
        <f>VLOOKUP($A163,satpek!$B$20:$N$144,2,0)</f>
        <v>Memasang kran diameter 1/2", onda stainless</v>
      </c>
      <c r="E163" s="1944"/>
      <c r="F163" s="2004"/>
      <c r="G163" s="1945">
        <f>'[3]B.VOL RAB'!Q575</f>
        <v>8</v>
      </c>
      <c r="H163" s="2456" t="str">
        <f>VLOOKUP($A163,satpek!$B$20:$N$144,7,0)</f>
        <v>bh</v>
      </c>
      <c r="I163" s="2457" t="str">
        <f>VLOOKUP($A163,satpek!$B$20:$N$144,5,0)</f>
        <v>A.5.1.1.19.</v>
      </c>
      <c r="J163" s="1951">
        <f>VLOOKUP($A163,satpek!$B$20:$N$144,6,0)</f>
        <v>170986.52</v>
      </c>
      <c r="K163" s="1938"/>
      <c r="L163" s="1952">
        <f t="shared" si="182"/>
        <v>1367892.16</v>
      </c>
      <c r="M163" s="1967"/>
      <c r="N163" s="2458">
        <f>VLOOKUP($A163,satpek!$B$20:$L$138,8,0)</f>
        <v>0.95355069374915324</v>
      </c>
      <c r="O163" s="1954">
        <f>VLOOKUP($A163,satpek!$B$20:$L$138,9,0)</f>
        <v>144287</v>
      </c>
      <c r="P163" s="1954">
        <f>VLOOKUP($A163,satpek!$B$20:$L$138,10,0)</f>
        <v>163044.31</v>
      </c>
      <c r="Q163" s="1952">
        <f t="shared" si="183"/>
        <v>1154296</v>
      </c>
      <c r="R163" s="1952">
        <f t="shared" si="184"/>
        <v>1304354.5181420275</v>
      </c>
      <c r="S163" s="1955">
        <f t="shared" si="185"/>
        <v>63537.641857972369</v>
      </c>
      <c r="V163" s="1956">
        <v>170986.52</v>
      </c>
      <c r="W163" s="1956">
        <f t="shared" si="160"/>
        <v>0</v>
      </c>
      <c r="X163" s="1956">
        <f t="shared" si="161"/>
        <v>1367892.16</v>
      </c>
      <c r="Y163" s="1836" t="s">
        <v>1916</v>
      </c>
      <c r="AC163" s="1836"/>
      <c r="AD163" s="1836"/>
      <c r="AE163" s="1836"/>
      <c r="AF163" s="1837">
        <v>104041.93</v>
      </c>
      <c r="AG163" s="1960">
        <f t="shared" si="159"/>
        <v>-66944.59</v>
      </c>
    </row>
    <row r="164" spans="1:33" ht="21.95" customHeight="1" x14ac:dyDescent="0.2">
      <c r="A164" s="1833">
        <f>satpek!B119</f>
        <v>100</v>
      </c>
      <c r="B164" s="1943">
        <f t="shared" si="186"/>
        <v>6</v>
      </c>
      <c r="C164" s="1937"/>
      <c r="D164" s="1944" t="str">
        <f>VLOOKUP($A164,satpek!$B$20:$N$144,2,0)</f>
        <v>Membuat sumur bor lengkap pompa dan aksesories</v>
      </c>
      <c r="E164" s="1944"/>
      <c r="F164" s="2004"/>
      <c r="G164" s="1945">
        <f>'[3]B.VOL RAB'!Q576</f>
        <v>1</v>
      </c>
      <c r="H164" s="2456" t="str">
        <f>VLOOKUP($A164,satpek!$B$20:$N$144,7,0)</f>
        <v>unit</v>
      </c>
      <c r="I164" s="2457" t="str">
        <f>VLOOKUP($A164,satpek!$B$20:$N$144,5,0)</f>
        <v>Daftar harga</v>
      </c>
      <c r="J164" s="1951">
        <f>VLOOKUP($A164,satpek!$B$20:$N$144,6,0)</f>
        <v>25000000</v>
      </c>
      <c r="K164" s="1938"/>
      <c r="L164" s="1952">
        <f t="shared" si="182"/>
        <v>25000000</v>
      </c>
      <c r="M164" s="1967"/>
      <c r="N164" s="2458">
        <f>VLOOKUP($A164,satpek!$B$20:$L$138,8,0)</f>
        <v>0.2</v>
      </c>
      <c r="O164" s="1954">
        <f>VLOOKUP($A164,satpek!$B$20:$L$138,9,0)</f>
        <v>0</v>
      </c>
      <c r="P164" s="1954">
        <f>VLOOKUP($A164,satpek!$B$20:$L$138,10,0)</f>
        <v>5000000</v>
      </c>
      <c r="Q164" s="1952">
        <f t="shared" si="183"/>
        <v>0</v>
      </c>
      <c r="R164" s="1952">
        <f t="shared" si="184"/>
        <v>5000000</v>
      </c>
      <c r="S164" s="1955">
        <f t="shared" si="185"/>
        <v>20000000</v>
      </c>
      <c r="V164" s="1956">
        <v>25000000</v>
      </c>
      <c r="W164" s="1956">
        <f t="shared" si="160"/>
        <v>0</v>
      </c>
      <c r="X164" s="1956">
        <f t="shared" si="161"/>
        <v>25000000</v>
      </c>
      <c r="Y164" s="1836" t="s">
        <v>1851</v>
      </c>
      <c r="AC164" s="1836"/>
      <c r="AD164" s="1836"/>
      <c r="AE164" s="1836"/>
      <c r="AF164" s="1837">
        <v>20000000</v>
      </c>
      <c r="AG164" s="1960">
        <f t="shared" si="159"/>
        <v>-5000000</v>
      </c>
    </row>
    <row r="165" spans="1:33" ht="21.95" customHeight="1" x14ac:dyDescent="0.2">
      <c r="A165" s="1833">
        <f>satpek!B120</f>
        <v>101</v>
      </c>
      <c r="B165" s="1943">
        <f t="shared" si="186"/>
        <v>7</v>
      </c>
      <c r="C165" s="1937"/>
      <c r="D165" s="1944" t="str">
        <f>VLOOKUP($A165,satpek!$B$20:$N$144,2,0)</f>
        <v>Pengadaan dan pemasangan septic tank komunal kap 2000 ltr</v>
      </c>
      <c r="E165" s="1944"/>
      <c r="F165" s="2004"/>
      <c r="G165" s="1945">
        <v>1</v>
      </c>
      <c r="H165" s="2456" t="str">
        <f>VLOOKUP($A165,satpek!$B$20:$N$144,7,0)</f>
        <v>unit</v>
      </c>
      <c r="I165" s="2457" t="str">
        <f>VLOOKUP($A165,satpek!$B$20:$N$144,5,0)</f>
        <v>Daftar harga</v>
      </c>
      <c r="J165" s="1951">
        <f>VLOOKUP($A165,satpek!$B$20:$N$144,6,0)</f>
        <v>10887500</v>
      </c>
      <c r="K165" s="1938"/>
      <c r="L165" s="1952">
        <f t="shared" si="182"/>
        <v>10887500</v>
      </c>
      <c r="M165" s="1967"/>
      <c r="N165" s="2458">
        <f>VLOOKUP($A165,satpek!$B$20:$L$138,8,0)</f>
        <v>0.2</v>
      </c>
      <c r="O165" s="1954">
        <f>VLOOKUP($A165,satpek!$B$20:$L$138,9,0)</f>
        <v>0</v>
      </c>
      <c r="P165" s="1954">
        <f>VLOOKUP($A165,satpek!$B$20:$L$138,10,0)</f>
        <v>2177500</v>
      </c>
      <c r="Q165" s="1952">
        <f t="shared" si="183"/>
        <v>0</v>
      </c>
      <c r="R165" s="1952">
        <f t="shared" si="184"/>
        <v>2177500</v>
      </c>
      <c r="S165" s="1955">
        <f t="shared" si="185"/>
        <v>8710000</v>
      </c>
      <c r="V165" s="1956">
        <v>10887500</v>
      </c>
      <c r="W165" s="1956">
        <f t="shared" si="160"/>
        <v>0</v>
      </c>
      <c r="X165" s="1956">
        <f t="shared" si="161"/>
        <v>10887500</v>
      </c>
      <c r="Y165" s="1836" t="s">
        <v>1852</v>
      </c>
      <c r="AC165" s="1836"/>
      <c r="AD165" s="1836"/>
      <c r="AE165" s="1836"/>
      <c r="AF165" s="1837">
        <v>10887500</v>
      </c>
      <c r="AG165" s="1960">
        <f t="shared" si="159"/>
        <v>0</v>
      </c>
    </row>
    <row r="166" spans="1:33" ht="21.95" customHeight="1" x14ac:dyDescent="0.2">
      <c r="A166" s="1833">
        <f>satpek!B73</f>
        <v>54</v>
      </c>
      <c r="B166" s="1943">
        <v>1</v>
      </c>
      <c r="C166" s="1937"/>
      <c r="D166" s="1944" t="str">
        <f>VLOOKUP($A166,satpek!$B$20:$N$144,2,0)</f>
        <v>Memasang pipa PVC tipe AW diameter 3/4"</v>
      </c>
      <c r="E166" s="1944"/>
      <c r="F166" s="2004"/>
      <c r="G166" s="1945">
        <f>'[3]B.VOL RAB'!Q583</f>
        <v>18</v>
      </c>
      <c r="H166" s="2456" t="str">
        <f>VLOOKUP($A166,satpek!$B$20:$N$144,7,0)</f>
        <v>m'</v>
      </c>
      <c r="I166" s="2457" t="str">
        <f>VLOOKUP($A166,satpek!$B$20:$N$144,5,0)</f>
        <v>A.5.1.1.26.</v>
      </c>
      <c r="J166" s="1951">
        <f>VLOOKUP($A166,satpek!$B$20:$N$144,6,0)</f>
        <v>24034.87</v>
      </c>
      <c r="K166" s="1938"/>
      <c r="L166" s="1952">
        <f t="shared" ref="L166:L169" si="187">ROUND((G166*J166),2)</f>
        <v>432627.66</v>
      </c>
      <c r="M166" s="1967"/>
      <c r="N166" s="2458">
        <f>VLOOKUP($A166,satpek!$B$20:$L$138,8,0)</f>
        <v>0.94560353176804668</v>
      </c>
      <c r="O166" s="1954">
        <f>VLOOKUP($A166,satpek!$B$20:$L$138,9,0)</f>
        <v>20112.797999999999</v>
      </c>
      <c r="P166" s="1954">
        <f>VLOOKUP($A166,satpek!$B$20:$L$138,10,0)</f>
        <v>22727.461739999999</v>
      </c>
      <c r="Q166" s="1952">
        <f t="shared" ref="Q166:Q169" si="188">O166*G166</f>
        <v>362030.364</v>
      </c>
      <c r="R166" s="1952">
        <f t="shared" ref="R166:R169" si="189">N166*L166</f>
        <v>409094.24323654565</v>
      </c>
      <c r="S166" s="1955">
        <f t="shared" ref="S166:S169" si="190">L166-R166</f>
        <v>23533.416763454326</v>
      </c>
      <c r="V166" s="1956">
        <v>24034.87</v>
      </c>
      <c r="W166" s="1956">
        <f t="shared" si="160"/>
        <v>0</v>
      </c>
      <c r="X166" s="1956">
        <f t="shared" si="161"/>
        <v>432627.66</v>
      </c>
      <c r="Y166" s="1836" t="s">
        <v>455</v>
      </c>
      <c r="AC166" s="1836"/>
      <c r="AD166" s="1836"/>
      <c r="AE166" s="1836"/>
      <c r="AF166" s="1837">
        <v>24319.86</v>
      </c>
      <c r="AG166" s="1960">
        <f t="shared" si="159"/>
        <v>284.9900000000016</v>
      </c>
    </row>
    <row r="167" spans="1:33" ht="21.95" customHeight="1" x14ac:dyDescent="0.2">
      <c r="A167" s="1833">
        <f>satpek!B74</f>
        <v>55</v>
      </c>
      <c r="B167" s="1943">
        <f>B166+1</f>
        <v>2</v>
      </c>
      <c r="C167" s="1937"/>
      <c r="D167" s="1944" t="str">
        <f>VLOOKUP($A167,satpek!$B$20:$N$144,2,0)</f>
        <v>Memasang pipa PVC tipe AW diameter 1"</v>
      </c>
      <c r="E167" s="1944"/>
      <c r="F167" s="2004"/>
      <c r="G167" s="1945">
        <f>'[3]B.VOL RAB'!Q584</f>
        <v>27.8</v>
      </c>
      <c r="H167" s="2456" t="str">
        <f>VLOOKUP($A167,satpek!$B$20:$N$144,7,0)</f>
        <v>m'</v>
      </c>
      <c r="I167" s="2457" t="str">
        <f>VLOOKUP($A167,satpek!$B$20:$N$144,5,0)</f>
        <v>A.5.1.1.27.</v>
      </c>
      <c r="J167" s="1951">
        <f>VLOOKUP($A167,satpek!$B$20:$N$144,6,0)</f>
        <v>26924.85</v>
      </c>
      <c r="K167" s="1938"/>
      <c r="L167" s="1952">
        <f t="shared" si="187"/>
        <v>748510.83</v>
      </c>
      <c r="M167" s="1967"/>
      <c r="N167" s="2458">
        <f>VLOOKUP($A167,satpek!$B$20:$L$138,8,0)</f>
        <v>0.94103691983565063</v>
      </c>
      <c r="O167" s="1954">
        <f>VLOOKUP($A167,satpek!$B$20:$L$138,9,0)</f>
        <v>22422.368999999999</v>
      </c>
      <c r="P167" s="1954">
        <f>VLOOKUP($A167,satpek!$B$20:$L$138,10,0)</f>
        <v>25337.276969999999</v>
      </c>
      <c r="Q167" s="1952">
        <f t="shared" si="188"/>
        <v>623341.85820000002</v>
      </c>
      <c r="R167" s="1952">
        <f t="shared" si="189"/>
        <v>704376.32592682634</v>
      </c>
      <c r="S167" s="1955">
        <f t="shared" si="190"/>
        <v>44134.504073173623</v>
      </c>
      <c r="V167" s="1956">
        <v>26924.85</v>
      </c>
      <c r="W167" s="1956">
        <f t="shared" si="160"/>
        <v>0</v>
      </c>
      <c r="X167" s="1956">
        <f t="shared" si="161"/>
        <v>748510.83</v>
      </c>
      <c r="Y167" s="1836" t="s">
        <v>456</v>
      </c>
      <c r="AC167" s="1836"/>
      <c r="AD167" s="1836"/>
      <c r="AE167" s="1836"/>
      <c r="AF167" s="1837">
        <v>27340.35</v>
      </c>
      <c r="AG167" s="1960">
        <f t="shared" si="159"/>
        <v>415.5</v>
      </c>
    </row>
    <row r="168" spans="1:33" ht="21.95" customHeight="1" x14ac:dyDescent="0.2">
      <c r="A168" s="1833">
        <f>satpek!B75</f>
        <v>56</v>
      </c>
      <c r="B168" s="1943">
        <f>B167+1</f>
        <v>3</v>
      </c>
      <c r="C168" s="1937"/>
      <c r="D168" s="1944" t="str">
        <f>VLOOKUP($A168,satpek!$B$20:$N$144,2,0)</f>
        <v>Memasang pipa PVC tipe AW diameter 1 1/2"</v>
      </c>
      <c r="E168" s="1944"/>
      <c r="F168" s="2004"/>
      <c r="G168" s="1945">
        <f>'[3]B.VOL RAB'!Q585</f>
        <v>53</v>
      </c>
      <c r="H168" s="2456" t="str">
        <f>VLOOKUP($A168,satpek!$B$20:$N$144,7,0)</f>
        <v>m'</v>
      </c>
      <c r="I168" s="2457" t="str">
        <f>VLOOKUP($A168,satpek!$B$20:$N$144,5,0)</f>
        <v>A.5.1.1.28.</v>
      </c>
      <c r="J168" s="1951">
        <f>VLOOKUP($A168,satpek!$B$20:$N$144,6,0)</f>
        <v>49932.95</v>
      </c>
      <c r="K168" s="1938"/>
      <c r="L168" s="1952">
        <f t="shared" si="187"/>
        <v>2646446.35</v>
      </c>
      <c r="M168" s="1967"/>
      <c r="N168" s="2458">
        <f>VLOOKUP($A168,satpek!$B$20:$L$138,8,0)</f>
        <v>0.93377650720946315</v>
      </c>
      <c r="O168" s="1954">
        <f>VLOOKUP($A168,satpek!$B$20:$L$138,9,0)</f>
        <v>41262.136500000001</v>
      </c>
      <c r="P168" s="1954">
        <f>VLOOKUP($A168,satpek!$B$20:$L$138,10,0)</f>
        <v>46626.214245000003</v>
      </c>
      <c r="Q168" s="1952">
        <f t="shared" si="188"/>
        <v>2186893.2345000003</v>
      </c>
      <c r="R168" s="1952">
        <f t="shared" si="189"/>
        <v>2471189.4292202326</v>
      </c>
      <c r="S168" s="1955">
        <f t="shared" si="190"/>
        <v>175256.92077976745</v>
      </c>
      <c r="V168" s="1956">
        <v>49932.95</v>
      </c>
      <c r="W168" s="1956">
        <f t="shared" si="160"/>
        <v>0</v>
      </c>
      <c r="X168" s="1956">
        <f t="shared" si="161"/>
        <v>2646446.3499999996</v>
      </c>
      <c r="Y168" s="1836" t="s">
        <v>457</v>
      </c>
      <c r="AC168" s="1836"/>
      <c r="AD168" s="1836"/>
      <c r="AE168" s="1836"/>
      <c r="AF168" s="1837">
        <v>50987.3</v>
      </c>
      <c r="AG168" s="1960">
        <f t="shared" si="159"/>
        <v>1054.3500000000058</v>
      </c>
    </row>
    <row r="169" spans="1:33" ht="21.95" customHeight="1" x14ac:dyDescent="0.2">
      <c r="A169" s="1833">
        <f>satpek!$B$115</f>
        <v>96</v>
      </c>
      <c r="B169" s="1943">
        <f>B168+1</f>
        <v>4</v>
      </c>
      <c r="C169" s="2033"/>
      <c r="D169" s="1944" t="str">
        <f>VLOOKUP($A169,satpek!$B$20:$N$144,2,0)</f>
        <v>Pemasangan stop kran PVC 1 1/2"</v>
      </c>
      <c r="E169" s="1944"/>
      <c r="F169" s="2004"/>
      <c r="G169" s="1945">
        <f>'[3]B.VOL RAB'!Q586</f>
        <v>4</v>
      </c>
      <c r="H169" s="2456" t="str">
        <f>VLOOKUP($A169,satpek!$B$20:$N$144,7,0)</f>
        <v>bh</v>
      </c>
      <c r="I169" s="2457" t="str">
        <f>VLOOKUP($A169,satpek!$B$20:$N$144,5,0)</f>
        <v>Daftar harga</v>
      </c>
      <c r="J169" s="1951">
        <f>VLOOKUP($A169,satpek!$B$20:$N$144,6,0)</f>
        <v>159000</v>
      </c>
      <c r="K169" s="1938"/>
      <c r="L169" s="1952">
        <f t="shared" si="187"/>
        <v>636000</v>
      </c>
      <c r="M169" s="1997"/>
      <c r="N169" s="2458">
        <f>VLOOKUP($A169,satpek!$B$20:$L$138,8,0)</f>
        <v>0.2</v>
      </c>
      <c r="O169" s="1954">
        <f>VLOOKUP($A169,satpek!$B$20:$L$138,9,0)</f>
        <v>0</v>
      </c>
      <c r="P169" s="1954">
        <f>VLOOKUP($A169,satpek!$B$20:$L$138,10,0)</f>
        <v>31800</v>
      </c>
      <c r="Q169" s="1952">
        <f t="shared" si="188"/>
        <v>0</v>
      </c>
      <c r="R169" s="1952">
        <f t="shared" si="189"/>
        <v>127200</v>
      </c>
      <c r="S169" s="1955">
        <f t="shared" si="190"/>
        <v>508800</v>
      </c>
      <c r="V169" s="1956">
        <v>159000</v>
      </c>
      <c r="W169" s="1956">
        <f t="shared" si="160"/>
        <v>0</v>
      </c>
      <c r="X169" s="1956">
        <f t="shared" si="161"/>
        <v>636000</v>
      </c>
      <c r="Y169" s="1836" t="s">
        <v>1857</v>
      </c>
      <c r="AC169" s="1836"/>
      <c r="AD169" s="1836"/>
      <c r="AE169" s="1836"/>
      <c r="AF169" s="1837">
        <v>159520.72</v>
      </c>
      <c r="AG169" s="1960">
        <f t="shared" si="159"/>
        <v>520.72000000000116</v>
      </c>
    </row>
    <row r="170" spans="1:33" ht="21.95" customHeight="1" x14ac:dyDescent="0.2">
      <c r="A170" s="1833">
        <f>satpek!B75</f>
        <v>56</v>
      </c>
      <c r="B170" s="1943">
        <v>1</v>
      </c>
      <c r="C170" s="1937"/>
      <c r="D170" s="1944" t="str">
        <f>VLOOKUP($A170,satpek!$B$20:$N$144,2,0)</f>
        <v>Memasang pipa PVC tipe AW diameter 1 1/2"</v>
      </c>
      <c r="E170" s="1944"/>
      <c r="F170" s="2004"/>
      <c r="G170" s="1945">
        <f>'[3]B.VOL RAB'!Q588</f>
        <v>4</v>
      </c>
      <c r="H170" s="2456" t="str">
        <f>VLOOKUP($A170,satpek!$B$20:$N$144,7,0)</f>
        <v>m'</v>
      </c>
      <c r="I170" s="2457" t="str">
        <f>VLOOKUP($A170,satpek!$B$20:$N$144,5,0)</f>
        <v>A.5.1.1.28.</v>
      </c>
      <c r="J170" s="1951">
        <f>VLOOKUP($A170,satpek!$B$20:$N$144,6,0)</f>
        <v>49932.95</v>
      </c>
      <c r="K170" s="1938"/>
      <c r="L170" s="1952">
        <f t="shared" ref="L170:L172" si="191">ROUND((G170*J170),2)</f>
        <v>199731.8</v>
      </c>
      <c r="M170" s="1967"/>
      <c r="N170" s="2458">
        <f>VLOOKUP($A170,satpek!$B$20:$L$138,8,0)</f>
        <v>0.93377650720946315</v>
      </c>
      <c r="O170" s="1954">
        <f>VLOOKUP($A170,satpek!$B$20:$L$138,9,0)</f>
        <v>41262.136500000001</v>
      </c>
      <c r="P170" s="1954">
        <f>VLOOKUP($A170,satpek!$B$20:$L$138,10,0)</f>
        <v>46626.214245000003</v>
      </c>
      <c r="Q170" s="1952">
        <f t="shared" ref="Q170:Q172" si="192">O170*G170</f>
        <v>165048.546</v>
      </c>
      <c r="R170" s="1952">
        <f t="shared" ref="R170:R172" si="193">N170*L170</f>
        <v>186504.86258265903</v>
      </c>
      <c r="S170" s="1955">
        <f t="shared" ref="S170:S172" si="194">L170-R170</f>
        <v>13226.93741734096</v>
      </c>
      <c r="V170" s="1956">
        <v>49932.95</v>
      </c>
      <c r="W170" s="1956">
        <f t="shared" si="160"/>
        <v>0</v>
      </c>
      <c r="X170" s="1956">
        <f t="shared" si="161"/>
        <v>199731.8</v>
      </c>
      <c r="Y170" s="1836" t="s">
        <v>457</v>
      </c>
      <c r="AC170" s="1836"/>
      <c r="AD170" s="1836"/>
      <c r="AE170" s="1836"/>
      <c r="AF170" s="1837">
        <v>50987.3</v>
      </c>
      <c r="AG170" s="1960">
        <f t="shared" si="159"/>
        <v>1054.3500000000058</v>
      </c>
    </row>
    <row r="171" spans="1:33" ht="21.95" customHeight="1" x14ac:dyDescent="0.2">
      <c r="A171" s="1833">
        <f>satpek!B76</f>
        <v>57</v>
      </c>
      <c r="B171" s="1943">
        <f>B170+1</f>
        <v>2</v>
      </c>
      <c r="C171" s="1937"/>
      <c r="D171" s="1944" t="str">
        <f>VLOOKUP($A171,satpek!$B$20:$N$144,2,0)</f>
        <v>Memasang pipa PVC tipe AW diameter 2"</v>
      </c>
      <c r="E171" s="1944"/>
      <c r="F171" s="2004"/>
      <c r="G171" s="1945">
        <f>'[3]B.VOL RAB'!Q589</f>
        <v>12</v>
      </c>
      <c r="H171" s="2456" t="str">
        <f>VLOOKUP($A171,satpek!$B$20:$N$144,7,0)</f>
        <v>m'</v>
      </c>
      <c r="I171" s="2457" t="str">
        <f>VLOOKUP($A171,satpek!$B$20:$N$144,5,0)</f>
        <v>A.5.1.1.29.</v>
      </c>
      <c r="J171" s="1951">
        <f>VLOOKUP($A171,satpek!$B$20:$N$144,6,0)</f>
        <v>78438.61</v>
      </c>
      <c r="K171" s="1938"/>
      <c r="L171" s="1952">
        <f t="shared" si="191"/>
        <v>941263.32</v>
      </c>
      <c r="M171" s="1967"/>
      <c r="N171" s="2458">
        <f>VLOOKUP($A171,satpek!$B$20:$L$138,8,0)</f>
        <v>0.92261300560255965</v>
      </c>
      <c r="O171" s="1954">
        <f>VLOOKUP($A171,satpek!$B$20:$L$138,9,0)</f>
        <v>64042.904999999999</v>
      </c>
      <c r="P171" s="1954">
        <f>VLOOKUP($A171,satpek!$B$20:$L$138,10,0)</f>
        <v>72368.482649999991</v>
      </c>
      <c r="Q171" s="1952">
        <f t="shared" si="192"/>
        <v>768514.86</v>
      </c>
      <c r="R171" s="1952">
        <f t="shared" si="193"/>
        <v>868421.78072864388</v>
      </c>
      <c r="S171" s="1955">
        <f t="shared" si="194"/>
        <v>72841.539271356072</v>
      </c>
      <c r="V171" s="1956">
        <v>78438.61</v>
      </c>
      <c r="W171" s="1956">
        <f t="shared" si="160"/>
        <v>0</v>
      </c>
      <c r="X171" s="1956">
        <f t="shared" si="161"/>
        <v>941263.32000000007</v>
      </c>
      <c r="Y171" s="1836" t="s">
        <v>458</v>
      </c>
      <c r="AC171" s="1836"/>
      <c r="AD171" s="1836"/>
      <c r="AE171" s="1836"/>
      <c r="AF171" s="1837">
        <v>80780.31</v>
      </c>
      <c r="AG171" s="1960">
        <f t="shared" si="159"/>
        <v>2341.6999999999971</v>
      </c>
    </row>
    <row r="172" spans="1:33" ht="21.95" customHeight="1" x14ac:dyDescent="0.2">
      <c r="A172" s="1833">
        <f>satpek!B78</f>
        <v>59</v>
      </c>
      <c r="B172" s="1943">
        <f>B171+1</f>
        <v>3</v>
      </c>
      <c r="C172" s="1937"/>
      <c r="D172" s="1944" t="str">
        <f>VLOOKUP($A172,satpek!$B$20:$N$144,2,0)</f>
        <v>Memasang pipa PVC tipe AW diameter 3"</v>
      </c>
      <c r="E172" s="1944"/>
      <c r="F172" s="2004"/>
      <c r="G172" s="1945">
        <f>'[3]B.VOL RAB'!Q590</f>
        <v>24</v>
      </c>
      <c r="H172" s="2456" t="str">
        <f>VLOOKUP($A172,satpek!$B$20:$N$144,7,0)</f>
        <v>m'</v>
      </c>
      <c r="I172" s="2457" t="str">
        <f>VLOOKUP($A172,satpek!$B$20:$N$144,5,0)</f>
        <v>A.5.1.1.31.</v>
      </c>
      <c r="J172" s="1951">
        <f>VLOOKUP($A172,satpek!$B$20:$N$144,6,0)</f>
        <v>103284.6</v>
      </c>
      <c r="K172" s="1938"/>
      <c r="L172" s="1952">
        <f t="shared" si="191"/>
        <v>2478830.4</v>
      </c>
      <c r="M172" s="1967"/>
      <c r="N172" s="2458">
        <f>VLOOKUP($A172,satpek!$B$20:$L$138,8,0)</f>
        <v>0.92520067875753675</v>
      </c>
      <c r="O172" s="1954">
        <f>VLOOKUP($A172,satpek!$B$20:$L$138,9,0)</f>
        <v>84565.47</v>
      </c>
      <c r="P172" s="1954">
        <f>VLOOKUP($A172,satpek!$B$20:$L$138,10,0)</f>
        <v>95558.981100000005</v>
      </c>
      <c r="Q172" s="1952">
        <f t="shared" si="192"/>
        <v>2029571.28</v>
      </c>
      <c r="R172" s="1952">
        <f t="shared" si="193"/>
        <v>2293415.5686048162</v>
      </c>
      <c r="S172" s="1955">
        <f t="shared" si="194"/>
        <v>185414.83139518369</v>
      </c>
      <c r="V172" s="1956">
        <v>103284.6</v>
      </c>
      <c r="W172" s="1956">
        <f t="shared" si="160"/>
        <v>0</v>
      </c>
      <c r="X172" s="1956">
        <f t="shared" si="161"/>
        <v>2478830.4000000004</v>
      </c>
      <c r="Y172" s="1836" t="s">
        <v>459</v>
      </c>
      <c r="AC172" s="1836"/>
      <c r="AD172" s="1836"/>
      <c r="AE172" s="1836"/>
      <c r="AF172" s="1837">
        <v>106247.69</v>
      </c>
      <c r="AG172" s="1960">
        <f t="shared" si="159"/>
        <v>2963.0899999999965</v>
      </c>
    </row>
    <row r="173" spans="1:33" ht="21.95" customHeight="1" x14ac:dyDescent="0.2">
      <c r="A173" s="1833">
        <f>satpek!$B$79</f>
        <v>60</v>
      </c>
      <c r="B173" s="1943">
        <v>1</v>
      </c>
      <c r="C173" s="1937"/>
      <c r="D173" s="1944" t="str">
        <f>VLOOKUP($A173,satpek!$B$20:$N$144,2,0)</f>
        <v>Memasang pipa PVC tipe AW diameter 4"</v>
      </c>
      <c r="E173" s="1944"/>
      <c r="F173" s="2004"/>
      <c r="G173" s="1945">
        <f>'[3]B.VOL RAB'!Q592</f>
        <v>24</v>
      </c>
      <c r="H173" s="2456" t="str">
        <f>VLOOKUP($A173,satpek!$B$20:$N$144,7,0)</f>
        <v>m'</v>
      </c>
      <c r="I173" s="2457" t="str">
        <f>VLOOKUP($A173,satpek!$B$20:$N$144,5,0)</f>
        <v>A.5.1.1.32.</v>
      </c>
      <c r="J173" s="1951">
        <f>VLOOKUP($A173,satpek!$B$20:$N$144,6,0)</f>
        <v>167743.75</v>
      </c>
      <c r="K173" s="1938"/>
      <c r="L173" s="1952">
        <f t="shared" ref="L173" si="195">ROUND((G173*J173),2)</f>
        <v>4025850</v>
      </c>
      <c r="M173" s="1967"/>
      <c r="N173" s="2458">
        <f>VLOOKUP($A173,satpek!$B$20:$L$138,8,0)</f>
        <v>0.91674479843821799</v>
      </c>
      <c r="O173" s="1954">
        <f>VLOOKUP($A173,satpek!$B$20:$L$138,9,0)</f>
        <v>136086.91500000001</v>
      </c>
      <c r="P173" s="1954">
        <f>VLOOKUP($A173,satpek!$B$20:$L$138,10,0)</f>
        <v>153778.21395</v>
      </c>
      <c r="Q173" s="1952">
        <f t="shared" ref="Q173" si="196">O173*G173</f>
        <v>3266085.96</v>
      </c>
      <c r="R173" s="1952">
        <f t="shared" ref="R173" si="197">N173*L173</f>
        <v>3690677.0467924997</v>
      </c>
      <c r="S173" s="1955">
        <f t="shared" ref="S173" si="198">L173-R173</f>
        <v>335172.95320750028</v>
      </c>
      <c r="V173" s="1956">
        <v>167743.75</v>
      </c>
      <c r="W173" s="1956">
        <f t="shared" si="160"/>
        <v>0</v>
      </c>
      <c r="X173" s="1956">
        <f t="shared" si="161"/>
        <v>4025850</v>
      </c>
      <c r="Y173" s="1836" t="s">
        <v>460</v>
      </c>
      <c r="AC173" s="1836"/>
      <c r="AD173" s="1836"/>
      <c r="AE173" s="1836"/>
      <c r="AF173" s="1837">
        <v>173522.24</v>
      </c>
      <c r="AG173" s="1960">
        <f t="shared" si="159"/>
        <v>5778.4899999999907</v>
      </c>
    </row>
    <row r="174" spans="1:33" ht="21" customHeight="1" x14ac:dyDescent="0.2">
      <c r="A174" s="1833">
        <f>satpek!$B$79</f>
        <v>60</v>
      </c>
      <c r="B174" s="1943">
        <v>1</v>
      </c>
      <c r="C174" s="1937"/>
      <c r="D174" s="1944" t="str">
        <f>VLOOKUP($A174,satpek!$B$20:$N$144,2,0)</f>
        <v>Memasang pipa PVC tipe AW diameter 4"</v>
      </c>
      <c r="E174" s="1944"/>
      <c r="F174" s="2004"/>
      <c r="G174" s="1945">
        <f>'[3]B.VOL RAB'!Q594</f>
        <v>102</v>
      </c>
      <c r="H174" s="2456" t="str">
        <f>VLOOKUP($A174,satpek!$B$20:$N$144,7,0)</f>
        <v>m'</v>
      </c>
      <c r="I174" s="2457" t="str">
        <f>VLOOKUP($A174,satpek!$B$20:$N$144,5,0)</f>
        <v>A.5.1.1.32.</v>
      </c>
      <c r="J174" s="1951">
        <f>VLOOKUP($A174,satpek!$B$20:$N$144,6,0)</f>
        <v>167743.75</v>
      </c>
      <c r="K174" s="1938"/>
      <c r="L174" s="1952">
        <f t="shared" ref="L174" si="199">ROUND((G174*J174),2)</f>
        <v>17109862.5</v>
      </c>
      <c r="M174" s="1967"/>
      <c r="N174" s="2458">
        <f>VLOOKUP($A174,satpek!$B$20:$L$138,8,0)</f>
        <v>0.91674479843821799</v>
      </c>
      <c r="O174" s="1954">
        <f>VLOOKUP($A174,satpek!$B$20:$L$138,9,0)</f>
        <v>136086.91500000001</v>
      </c>
      <c r="P174" s="1954">
        <f>VLOOKUP($A174,satpek!$B$20:$L$138,10,0)</f>
        <v>153778.21395</v>
      </c>
      <c r="Q174" s="1952">
        <f t="shared" ref="Q174" si="200">O174*G174</f>
        <v>13880865.33</v>
      </c>
      <c r="R174" s="1952">
        <f t="shared" ref="R174" si="201">N174*L174</f>
        <v>15685377.448868124</v>
      </c>
      <c r="S174" s="1955">
        <f t="shared" ref="S174" si="202">L174-R174</f>
        <v>1424485.0511318762</v>
      </c>
      <c r="V174" s="1956">
        <v>167743.75</v>
      </c>
      <c r="W174" s="1956">
        <f t="shared" si="160"/>
        <v>0</v>
      </c>
      <c r="X174" s="1956">
        <f t="shared" si="161"/>
        <v>17109862.5</v>
      </c>
      <c r="Y174" s="1836" t="s">
        <v>460</v>
      </c>
      <c r="AC174" s="1836"/>
      <c r="AD174" s="1836"/>
      <c r="AE174" s="1836"/>
      <c r="AF174" s="1837">
        <v>173522.24</v>
      </c>
      <c r="AG174" s="1960">
        <f t="shared" si="159"/>
        <v>5778.4899999999907</v>
      </c>
    </row>
    <row r="175" spans="1:33" ht="21.95" customHeight="1" x14ac:dyDescent="0.2">
      <c r="A175" s="1833">
        <f>satpek!B69</f>
        <v>50</v>
      </c>
      <c r="B175" s="1943">
        <v>1</v>
      </c>
      <c r="C175" s="1937"/>
      <c r="D175" s="1944" t="str">
        <f>VLOOKUP($A175,satpek!$B$20:$N$144,2,0)</f>
        <v>Memasang kloset duduk/monoblok dan aksesoris</v>
      </c>
      <c r="E175" s="1944"/>
      <c r="F175" s="2004"/>
      <c r="G175" s="1945">
        <f>'[3]B.VOL RAB'!Q596</f>
        <v>7</v>
      </c>
      <c r="H175" s="2456" t="str">
        <f>VLOOKUP($A175,satpek!$B$20:$N$144,7,0)</f>
        <v>bh</v>
      </c>
      <c r="I175" s="2457" t="str">
        <f>VLOOKUP($A175,satpek!$B$20:$N$144,5,0)</f>
        <v>A.5.1.1.1.</v>
      </c>
      <c r="J175" s="1951">
        <f>VLOOKUP($A175,satpek!$B$20:$N$144,6,0)</f>
        <v>3373897.5</v>
      </c>
      <c r="K175" s="1938"/>
      <c r="L175" s="1952">
        <f t="shared" ref="L175:L180" si="203">ROUND((G175*J175),2)</f>
        <v>23617282.5</v>
      </c>
      <c r="M175" s="1967"/>
      <c r="N175" s="2458">
        <f>VLOOKUP($A175,satpek!$B$20:$L$138,8,0)</f>
        <v>0.46447123838231602</v>
      </c>
      <c r="O175" s="1954">
        <f>VLOOKUP($A175,satpek!$B$20:$L$138,9,0)</f>
        <v>1386795</v>
      </c>
      <c r="P175" s="1954">
        <f>VLOOKUP($A175,satpek!$B$20:$L$138,10,0)</f>
        <v>1567078.35</v>
      </c>
      <c r="Q175" s="1952">
        <f t="shared" ref="Q175:Q180" si="204">O175*G175</f>
        <v>9707565</v>
      </c>
      <c r="R175" s="1952">
        <f t="shared" ref="R175:R180" si="205">N175*L175</f>
        <v>10969548.450000001</v>
      </c>
      <c r="S175" s="1955">
        <f t="shared" ref="S175:S180" si="206">L175-R175</f>
        <v>12647734.049999999</v>
      </c>
      <c r="V175" s="1956">
        <v>3373897.5</v>
      </c>
      <c r="W175" s="1956">
        <f t="shared" si="160"/>
        <v>0</v>
      </c>
      <c r="X175" s="1956">
        <f t="shared" si="161"/>
        <v>23617282.5</v>
      </c>
      <c r="Y175" s="1836" t="s">
        <v>1848</v>
      </c>
      <c r="AC175" s="1836"/>
      <c r="AD175" s="1836"/>
      <c r="AE175" s="1836"/>
      <c r="AF175" s="1837">
        <v>3359184.9</v>
      </c>
      <c r="AG175" s="1960">
        <f t="shared" si="159"/>
        <v>-14712.600000000093</v>
      </c>
    </row>
    <row r="176" spans="1:33" ht="21.95" customHeight="1" x14ac:dyDescent="0.2">
      <c r="A176" s="1833">
        <f>satpek!B71</f>
        <v>52</v>
      </c>
      <c r="B176" s="1943">
        <f>B175+1</f>
        <v>2</v>
      </c>
      <c r="C176" s="1937"/>
      <c r="D176" s="1944" t="str">
        <f>VLOOKUP($A176,satpek!$B$20:$N$144,2,0)</f>
        <v>Memasang wastafel lengkap sifon stainless</v>
      </c>
      <c r="E176" s="1944"/>
      <c r="F176" s="2004"/>
      <c r="G176" s="1945">
        <f>'[3]B.VOL RAB'!Q597</f>
        <v>4</v>
      </c>
      <c r="H176" s="2456" t="str">
        <f>VLOOKUP($A176,satpek!$B$20:$N$144,7,0)</f>
        <v>bh</v>
      </c>
      <c r="I176" s="2457" t="str">
        <f>VLOOKUP($A176,satpek!$B$20:$N$144,5,0)</f>
        <v>A.5.1.1.5.</v>
      </c>
      <c r="J176" s="1951">
        <f>VLOOKUP($A176,satpek!$B$20:$N$144,6,0)</f>
        <v>1376407.8</v>
      </c>
      <c r="K176" s="1938"/>
      <c r="L176" s="1952">
        <f t="shared" si="203"/>
        <v>5505631.2000000002</v>
      </c>
      <c r="M176" s="1967"/>
      <c r="N176" s="2458">
        <f>VLOOKUP($A176,satpek!$B$20:$L$138,8,0)</f>
        <v>0.71936118089420875</v>
      </c>
      <c r="O176" s="1954">
        <f>VLOOKUP($A176,satpek!$B$20:$L$138,9,0)</f>
        <v>876225.08</v>
      </c>
      <c r="P176" s="1954">
        <f>VLOOKUP($A176,satpek!$B$20:$L$138,10,0)</f>
        <v>990134.34039999999</v>
      </c>
      <c r="Q176" s="1952">
        <f t="shared" si="204"/>
        <v>3504900.32</v>
      </c>
      <c r="R176" s="1952">
        <f t="shared" si="205"/>
        <v>3960537.3615999999</v>
      </c>
      <c r="S176" s="1955">
        <f t="shared" si="206"/>
        <v>1545093.8384000002</v>
      </c>
      <c r="V176" s="1956">
        <v>1376407.8</v>
      </c>
      <c r="W176" s="1956">
        <f t="shared" si="160"/>
        <v>0</v>
      </c>
      <c r="X176" s="1956">
        <f t="shared" si="161"/>
        <v>5505631.2000000002</v>
      </c>
      <c r="Y176" s="1836" t="s">
        <v>1849</v>
      </c>
      <c r="AC176" s="1836"/>
      <c r="AD176" s="1836"/>
      <c r="AE176" s="1836"/>
      <c r="AF176" s="1837">
        <v>1003649.05</v>
      </c>
      <c r="AG176" s="1960">
        <f t="shared" si="159"/>
        <v>-372758.75</v>
      </c>
    </row>
    <row r="177" spans="1:33" ht="21.95" customHeight="1" x14ac:dyDescent="0.2">
      <c r="A177" s="1833">
        <f>satpek!B72</f>
        <v>53</v>
      </c>
      <c r="B177" s="1943">
        <f>B176+1</f>
        <v>3</v>
      </c>
      <c r="C177" s="1937"/>
      <c r="D177" s="1944" t="str">
        <f>VLOOKUP($A177,satpek!$B$20:$N$144,2,0)</f>
        <v>Memasang floor drain stainless</v>
      </c>
      <c r="E177" s="1944"/>
      <c r="F177" s="2004"/>
      <c r="G177" s="1945">
        <f>'[3]B.VOL RAB'!Q598</f>
        <v>9</v>
      </c>
      <c r="H177" s="2456" t="str">
        <f>VLOOKUP($A177,satpek!$B$20:$N$144,7,0)</f>
        <v>bh</v>
      </c>
      <c r="I177" s="2457" t="str">
        <f>VLOOKUP($A177,satpek!$B$20:$N$144,5,0)</f>
        <v>A.5.1.1.14.</v>
      </c>
      <c r="J177" s="1951">
        <f>VLOOKUP($A177,satpek!$B$20:$N$144,6,0)</f>
        <v>120111.09</v>
      </c>
      <c r="K177" s="1938"/>
      <c r="L177" s="1952">
        <f t="shared" si="203"/>
        <v>1080999.81</v>
      </c>
      <c r="M177" s="1967"/>
      <c r="N177" s="2458">
        <f>VLOOKUP($A177,satpek!$B$20:$L$138,8,0)</f>
        <v>0.10624406122698578</v>
      </c>
      <c r="O177" s="1954">
        <f>VLOOKUP($A177,satpek!$B$20:$L$138,9,0)</f>
        <v>11293</v>
      </c>
      <c r="P177" s="1954">
        <f>VLOOKUP($A177,satpek!$B$20:$L$138,10,0)</f>
        <v>12761.09</v>
      </c>
      <c r="Q177" s="1952">
        <f t="shared" si="204"/>
        <v>101637</v>
      </c>
      <c r="R177" s="1952">
        <f t="shared" si="205"/>
        <v>114849.81</v>
      </c>
      <c r="S177" s="1955">
        <f t="shared" si="206"/>
        <v>966150</v>
      </c>
      <c r="V177" s="1956">
        <v>120111.09</v>
      </c>
      <c r="W177" s="1956">
        <f t="shared" si="160"/>
        <v>0</v>
      </c>
      <c r="X177" s="1956">
        <f t="shared" si="161"/>
        <v>1080999.81</v>
      </c>
      <c r="Y177" s="1836" t="s">
        <v>1915</v>
      </c>
      <c r="AC177" s="1836"/>
      <c r="AD177" s="1836"/>
      <c r="AE177" s="1836"/>
      <c r="AF177" s="1837">
        <v>103903.5</v>
      </c>
      <c r="AG177" s="1960">
        <f t="shared" si="159"/>
        <v>-16207.589999999997</v>
      </c>
    </row>
    <row r="178" spans="1:33" ht="21.95" customHeight="1" x14ac:dyDescent="0.2">
      <c r="A178" s="1833">
        <f>satpek!B82</f>
        <v>63</v>
      </c>
      <c r="B178" s="1943">
        <f>B177+1</f>
        <v>4</v>
      </c>
      <c r="C178" s="1937"/>
      <c r="D178" s="1944" t="str">
        <f>VLOOKUP($A178,satpek!$B$20:$N$144,2,0)</f>
        <v>Memasang kran diameter 1/2", onda stainless</v>
      </c>
      <c r="E178" s="1944"/>
      <c r="F178" s="2004"/>
      <c r="G178" s="1945">
        <f>'[3]B.VOL RAB'!Q599</f>
        <v>7</v>
      </c>
      <c r="H178" s="2456" t="str">
        <f>VLOOKUP($A178,satpek!$B$20:$N$144,7,0)</f>
        <v>bh</v>
      </c>
      <c r="I178" s="2457" t="str">
        <f>VLOOKUP($A178,satpek!$B$20:$N$144,5,0)</f>
        <v>A.5.1.1.19.</v>
      </c>
      <c r="J178" s="1951">
        <f>VLOOKUP($A178,satpek!$B$20:$N$144,6,0)</f>
        <v>170986.52</v>
      </c>
      <c r="K178" s="1938"/>
      <c r="L178" s="1952">
        <f t="shared" si="203"/>
        <v>1196905.6399999999</v>
      </c>
      <c r="M178" s="1967"/>
      <c r="N178" s="2458">
        <f>VLOOKUP($A178,satpek!$B$20:$L$138,8,0)</f>
        <v>0.95355069374915324</v>
      </c>
      <c r="O178" s="1954">
        <f>VLOOKUP($A178,satpek!$B$20:$L$138,9,0)</f>
        <v>144287</v>
      </c>
      <c r="P178" s="1954">
        <f>VLOOKUP($A178,satpek!$B$20:$L$138,10,0)</f>
        <v>163044.31</v>
      </c>
      <c r="Q178" s="1952">
        <f t="shared" si="204"/>
        <v>1010009</v>
      </c>
      <c r="R178" s="1952">
        <f t="shared" si="205"/>
        <v>1141310.2033742741</v>
      </c>
      <c r="S178" s="1955">
        <f t="shared" si="206"/>
        <v>55595.436625725823</v>
      </c>
      <c r="V178" s="1956">
        <v>170986.52</v>
      </c>
      <c r="W178" s="1956">
        <f t="shared" si="160"/>
        <v>0</v>
      </c>
      <c r="X178" s="1956">
        <f t="shared" si="161"/>
        <v>1196905.6399999999</v>
      </c>
      <c r="Y178" s="1836" t="s">
        <v>1916</v>
      </c>
      <c r="AC178" s="1836"/>
      <c r="AD178" s="1836"/>
      <c r="AE178" s="1836"/>
      <c r="AF178" s="1837">
        <v>104041.93</v>
      </c>
      <c r="AG178" s="1960">
        <f t="shared" si="159"/>
        <v>-66944.59</v>
      </c>
    </row>
    <row r="179" spans="1:33" ht="21.95" customHeight="1" x14ac:dyDescent="0.2">
      <c r="A179" s="1833">
        <f>satpek!B123</f>
        <v>102</v>
      </c>
      <c r="B179" s="1943">
        <f>B178+1</f>
        <v>5</v>
      </c>
      <c r="C179" s="1937"/>
      <c r="D179" s="1944" t="str">
        <f>VLOOKUP($A179,satpek!$B$20:$N$144,2,0)</f>
        <v>Torn kapasitas 1000ltr+radar otomatis</v>
      </c>
      <c r="E179" s="1944"/>
      <c r="F179" s="2004"/>
      <c r="G179" s="1945">
        <f>'[3]B.VOL RAB'!Q600</f>
        <v>2</v>
      </c>
      <c r="H179" s="2456" t="str">
        <f>VLOOKUP($A179,satpek!$B$20:$N$144,7,0)</f>
        <v>unit</v>
      </c>
      <c r="I179" s="2457" t="str">
        <f>VLOOKUP($A179,satpek!$B$20:$N$144,5,0)</f>
        <v>Daftar harga</v>
      </c>
      <c r="J179" s="1951">
        <f>VLOOKUP($A179,satpek!$B$20:$N$144,6,0)</f>
        <v>2250000</v>
      </c>
      <c r="K179" s="1938"/>
      <c r="L179" s="1952">
        <f t="shared" si="203"/>
        <v>4500000</v>
      </c>
      <c r="M179" s="1967"/>
      <c r="N179" s="2458">
        <f>VLOOKUP($A179,satpek!$B$20:$L$138,8,0)</f>
        <v>0.2</v>
      </c>
      <c r="O179" s="1954">
        <f>VLOOKUP($A179,satpek!$B$20:$L$138,9,0)</f>
        <v>0</v>
      </c>
      <c r="P179" s="1954">
        <f>VLOOKUP($A179,satpek!$B$20:$L$138,10,0)</f>
        <v>450000</v>
      </c>
      <c r="Q179" s="1952">
        <f t="shared" si="204"/>
        <v>0</v>
      </c>
      <c r="R179" s="1952">
        <f t="shared" si="205"/>
        <v>900000</v>
      </c>
      <c r="S179" s="1955">
        <f t="shared" si="206"/>
        <v>3600000</v>
      </c>
      <c r="V179" s="1956">
        <v>2250000</v>
      </c>
      <c r="W179" s="1956">
        <f t="shared" si="160"/>
        <v>0</v>
      </c>
      <c r="X179" s="1956">
        <f t="shared" si="161"/>
        <v>4500000</v>
      </c>
      <c r="Y179" s="1836" t="s">
        <v>1862</v>
      </c>
      <c r="AC179" s="1836"/>
      <c r="AD179" s="1836"/>
      <c r="AE179" s="1836"/>
      <c r="AF179" s="1837">
        <v>2050000</v>
      </c>
      <c r="AG179" s="1960">
        <f t="shared" si="159"/>
        <v>-200000</v>
      </c>
    </row>
    <row r="180" spans="1:33" ht="21.95" customHeight="1" x14ac:dyDescent="0.2">
      <c r="A180" s="1833">
        <f>A177</f>
        <v>53</v>
      </c>
      <c r="B180" s="1943">
        <f>B179+1</f>
        <v>6</v>
      </c>
      <c r="C180" s="1937"/>
      <c r="D180" s="1944" t="s">
        <v>1968</v>
      </c>
      <c r="E180" s="1944"/>
      <c r="F180" s="2004"/>
      <c r="G180" s="1945">
        <f>'[3]B.VOL RAB'!Q601</f>
        <v>12</v>
      </c>
      <c r="H180" s="2456" t="str">
        <f>VLOOKUP($A180,satpek!$B$20:$N$144,7,0)</f>
        <v>bh</v>
      </c>
      <c r="I180" s="2457" t="str">
        <f>VLOOKUP($A180,satpek!$B$20:$N$144,5,0)</f>
        <v>A.5.1.1.14.</v>
      </c>
      <c r="J180" s="1951">
        <f>VLOOKUP($A180,satpek!$B$20:$N$144,6,0)</f>
        <v>120111.09</v>
      </c>
      <c r="K180" s="1938"/>
      <c r="L180" s="1952">
        <f t="shared" si="203"/>
        <v>1441333.08</v>
      </c>
      <c r="M180" s="1967"/>
      <c r="N180" s="2458">
        <f>VLOOKUP($A180,satpek!$B$20:$L$138,8,0)</f>
        <v>0.10624406122698578</v>
      </c>
      <c r="O180" s="1954">
        <f>VLOOKUP($A180,satpek!$B$20:$L$138,9,0)</f>
        <v>11293</v>
      </c>
      <c r="P180" s="1954">
        <f>VLOOKUP($A180,satpek!$B$20:$L$138,10,0)</f>
        <v>12761.09</v>
      </c>
      <c r="Q180" s="1952">
        <f t="shared" si="204"/>
        <v>135516</v>
      </c>
      <c r="R180" s="1952">
        <f t="shared" si="205"/>
        <v>153133.07999999999</v>
      </c>
      <c r="S180" s="1955">
        <f t="shared" si="206"/>
        <v>1288200</v>
      </c>
      <c r="V180" s="1956">
        <v>120111.09</v>
      </c>
      <c r="W180" s="1956">
        <f t="shared" si="160"/>
        <v>0</v>
      </c>
      <c r="X180" s="1956">
        <f t="shared" si="161"/>
        <v>1441333.08</v>
      </c>
      <c r="Y180" s="1836" t="s">
        <v>1863</v>
      </c>
      <c r="AC180" s="1836"/>
      <c r="AD180" s="1836"/>
      <c r="AE180" s="1836"/>
      <c r="AF180" s="1837">
        <v>174300.72</v>
      </c>
      <c r="AG180" s="1960">
        <f t="shared" si="159"/>
        <v>54189.630000000005</v>
      </c>
    </row>
    <row r="181" spans="1:33" ht="21.95" customHeight="1" x14ac:dyDescent="0.2">
      <c r="A181" s="1833">
        <f>satpek!B124</f>
        <v>103</v>
      </c>
      <c r="B181" s="1943">
        <v>1</v>
      </c>
      <c r="C181" s="1937"/>
      <c r="D181" s="1944" t="str">
        <f>VLOOKUP($A181,satpek!$B$20:$N$144,2,0)</f>
        <v>Penyambungan Daya PLN Tegangan Rendah (TR) 3 phase 44 KVA</v>
      </c>
      <c r="E181" s="2035"/>
      <c r="F181" s="2036"/>
      <c r="G181" s="1945">
        <f>'[3]B.VOL RAB'!Q606</f>
        <v>44000</v>
      </c>
      <c r="H181" s="2456" t="str">
        <f>VLOOKUP($A181,satpek!$B$20:$N$144,7,0)</f>
        <v>va</v>
      </c>
      <c r="I181" s="2457" t="str">
        <f>VLOOKUP($A181,satpek!$B$20:$N$144,5,0)</f>
        <v>Daftar harga</v>
      </c>
      <c r="J181" s="1951">
        <f>VLOOKUP($A181,satpek!$B$20:$N$144,6,0)</f>
        <v>1564.5</v>
      </c>
      <c r="K181" s="1938"/>
      <c r="L181" s="1952">
        <f t="shared" ref="L181" si="207">ROUND((G181*J181),2)</f>
        <v>68838000</v>
      </c>
      <c r="M181" s="1997"/>
      <c r="N181" s="2458">
        <f>VLOOKUP($A181,satpek!$B$20:$L$138,8,0)</f>
        <v>0.2</v>
      </c>
      <c r="O181" s="1954">
        <f>VLOOKUP($A181,satpek!$B$20:$L$138,9,0)</f>
        <v>0</v>
      </c>
      <c r="P181" s="1954">
        <f>VLOOKUP($A181,satpek!$B$20:$L$138,10,0)</f>
        <v>312.90000000000003</v>
      </c>
      <c r="Q181" s="1952">
        <f t="shared" ref="Q181" si="208">O181*G181</f>
        <v>0</v>
      </c>
      <c r="R181" s="1952">
        <f t="shared" ref="R181" si="209">N181*L181</f>
        <v>13767600</v>
      </c>
      <c r="S181" s="1955">
        <f t="shared" ref="S181" si="210">L181-R181</f>
        <v>55070400</v>
      </c>
      <c r="V181" s="1956">
        <v>1564.5</v>
      </c>
      <c r="W181" s="1956">
        <f t="shared" si="160"/>
        <v>0</v>
      </c>
      <c r="X181" s="1956">
        <f t="shared" si="161"/>
        <v>68838000</v>
      </c>
      <c r="Y181" s="1836" t="s">
        <v>1866</v>
      </c>
      <c r="AC181" s="1836"/>
      <c r="AD181" s="1836"/>
      <c r="AE181" s="1836"/>
      <c r="AF181" s="1837">
        <v>1350</v>
      </c>
      <c r="AG181" s="1960">
        <f t="shared" si="159"/>
        <v>-214.5</v>
      </c>
    </row>
    <row r="182" spans="1:33" ht="21.95" customHeight="1" x14ac:dyDescent="0.2">
      <c r="A182" s="1833">
        <f>satpek!B87</f>
        <v>68</v>
      </c>
      <c r="B182" s="1943">
        <v>2</v>
      </c>
      <c r="C182" s="1937"/>
      <c r="D182" s="1944" t="s">
        <v>1872</v>
      </c>
      <c r="E182" s="1944"/>
      <c r="F182" s="2004"/>
      <c r="G182" s="1945">
        <f>'[3]B.VOL RAB'!Q607</f>
        <v>61.3</v>
      </c>
      <c r="H182" s="2456" t="str">
        <f>VLOOKUP($A182,satpek!$B$20:$N$144,7,0)</f>
        <v>ttk</v>
      </c>
      <c r="I182" s="2457" t="str">
        <f>VLOOKUP($A182,satpek!$B$20:$N$144,5,0)</f>
        <v>An. Dihitung</v>
      </c>
      <c r="J182" s="1951">
        <f>VLOOKUP($A182,satpek!$B$20:$N$144,6,0)</f>
        <v>841092.9</v>
      </c>
      <c r="K182" s="1938"/>
      <c r="L182" s="1952">
        <f t="shared" ref="L182:L201" si="211">ROUND((G182*J182),2)</f>
        <v>51558994.770000003</v>
      </c>
      <c r="M182" s="1967"/>
      <c r="N182" s="2458">
        <f>VLOOKUP($A182,satpek!$B$20:$L$138,8,0)</f>
        <v>0.87338949122029208</v>
      </c>
      <c r="O182" s="1954">
        <f>VLOOKUP($A182,satpek!$B$20:$L$138,9,0)</f>
        <v>650090</v>
      </c>
      <c r="P182" s="1954">
        <f>VLOOKUP($A182,satpek!$B$20:$L$138,10,0)</f>
        <v>734601.7</v>
      </c>
      <c r="Q182" s="1952">
        <f t="shared" ref="Q182:Q201" si="212">O182*G182</f>
        <v>39850517</v>
      </c>
      <c r="R182" s="1952">
        <f t="shared" ref="R182:R201" si="213">N182*L182</f>
        <v>45031084.210000001</v>
      </c>
      <c r="S182" s="1955">
        <f t="shared" ref="S182:S201" si="214">L182-R182</f>
        <v>6527910.5600000024</v>
      </c>
      <c r="V182" s="1956">
        <v>841092.9</v>
      </c>
      <c r="W182" s="1956">
        <f t="shared" si="160"/>
        <v>0</v>
      </c>
      <c r="X182" s="1956">
        <f t="shared" si="161"/>
        <v>51558994.769999996</v>
      </c>
      <c r="Y182" s="1836" t="s">
        <v>1872</v>
      </c>
      <c r="AC182" s="1836"/>
      <c r="AD182" s="1836"/>
      <c r="AE182" s="1836"/>
      <c r="AF182" s="1837">
        <v>839929</v>
      </c>
      <c r="AG182" s="1960">
        <f t="shared" ref="AG182:AG221" si="215">AF182-J182</f>
        <v>-1163.9000000000233</v>
      </c>
    </row>
    <row r="183" spans="1:33" ht="21.95" customHeight="1" x14ac:dyDescent="0.2">
      <c r="A183" s="1833">
        <f>satpek!B86</f>
        <v>67</v>
      </c>
      <c r="B183" s="1943">
        <f>B182+1</f>
        <v>3</v>
      </c>
      <c r="C183" s="1937"/>
      <c r="D183" s="1944" t="s">
        <v>1873</v>
      </c>
      <c r="E183" s="1944"/>
      <c r="F183" s="2004"/>
      <c r="G183" s="1945">
        <f>'[3]B.VOL RAB'!Q608</f>
        <v>3.2</v>
      </c>
      <c r="H183" s="2456" t="str">
        <f>VLOOKUP($A183,satpek!$B$20:$N$144,7,0)</f>
        <v>ttk</v>
      </c>
      <c r="I183" s="2457" t="str">
        <f>VLOOKUP($A183,satpek!$B$20:$N$144,5,0)</f>
        <v>An. Dihitung</v>
      </c>
      <c r="J183" s="1951">
        <f>VLOOKUP($A183,satpek!$B$20:$N$144,6,0)</f>
        <v>490227.9</v>
      </c>
      <c r="K183" s="1938"/>
      <c r="L183" s="1952">
        <f t="shared" si="211"/>
        <v>1568729.28</v>
      </c>
      <c r="M183" s="1967"/>
      <c r="N183" s="2458">
        <f>VLOOKUP($A183,satpek!$B$20:$L$138,8,0)</f>
        <v>0.87737132056335432</v>
      </c>
      <c r="O183" s="1954">
        <f>VLOOKUP($A183,satpek!$B$20:$L$138,9,0)</f>
        <v>380630</v>
      </c>
      <c r="P183" s="1954">
        <f>VLOOKUP($A183,satpek!$B$20:$L$138,10,0)</f>
        <v>430111.9</v>
      </c>
      <c r="Q183" s="1952">
        <f t="shared" si="212"/>
        <v>1218016</v>
      </c>
      <c r="R183" s="1952">
        <f t="shared" si="213"/>
        <v>1376358.08</v>
      </c>
      <c r="S183" s="1955">
        <f t="shared" si="214"/>
        <v>192371.19999999995</v>
      </c>
      <c r="V183" s="1956">
        <v>490227.9</v>
      </c>
      <c r="W183" s="1956">
        <f t="shared" si="160"/>
        <v>0</v>
      </c>
      <c r="X183" s="1956">
        <f t="shared" si="161"/>
        <v>1568729.2800000003</v>
      </c>
      <c r="Y183" s="1836" t="s">
        <v>1873</v>
      </c>
      <c r="AC183" s="1836"/>
      <c r="AD183" s="1836"/>
      <c r="AE183" s="1836"/>
      <c r="AF183" s="1837">
        <v>489064</v>
      </c>
      <c r="AG183" s="1960">
        <f t="shared" si="215"/>
        <v>-1163.9000000000233</v>
      </c>
    </row>
    <row r="184" spans="1:33" ht="21.95" customHeight="1" x14ac:dyDescent="0.2">
      <c r="A184" s="1833">
        <f>satpek!B89</f>
        <v>70</v>
      </c>
      <c r="B184" s="1943">
        <f t="shared" ref="B184:B201" si="216">B183+1</f>
        <v>4</v>
      </c>
      <c r="C184" s="1937"/>
      <c r="D184" s="1944" t="str">
        <f>VLOOKUP($A184,satpek!$B$20:$N$144,2,0)</f>
        <v>Memasang instalasi titik lampu (kabel 2x1,5 mm) tanpa fitting</v>
      </c>
      <c r="E184" s="1944"/>
      <c r="F184" s="2004"/>
      <c r="G184" s="1945">
        <f>'[3]B.VOL RAB'!Q609</f>
        <v>142</v>
      </c>
      <c r="H184" s="2456" t="str">
        <f>VLOOKUP($A184,satpek!$B$20:$N$144,7,0)</f>
        <v>ttk</v>
      </c>
      <c r="I184" s="2457" t="str">
        <f>VLOOKUP($A184,satpek!$B$20:$N$144,5,0)</f>
        <v>An. Dihitung</v>
      </c>
      <c r="J184" s="1951">
        <f>VLOOKUP($A184,satpek!$B$20:$N$144,6,0)</f>
        <v>115332.32</v>
      </c>
      <c r="K184" s="1938"/>
      <c r="L184" s="1952">
        <f t="shared" si="211"/>
        <v>16377189.439999999</v>
      </c>
      <c r="M184" s="1967"/>
      <c r="N184" s="2458">
        <f>VLOOKUP($A184,satpek!$B$20:$L$138,8,0)</f>
        <v>0.80012051261953288</v>
      </c>
      <c r="O184" s="1954">
        <f>VLOOKUP($A184,satpek!$B$20:$L$138,9,0)</f>
        <v>81663.5</v>
      </c>
      <c r="P184" s="1954">
        <f>VLOOKUP($A184,satpek!$B$20:$L$138,10,0)</f>
        <v>92279.755000000005</v>
      </c>
      <c r="Q184" s="1952">
        <f t="shared" si="212"/>
        <v>11596217</v>
      </c>
      <c r="R184" s="1952">
        <f t="shared" si="213"/>
        <v>13103725.210000001</v>
      </c>
      <c r="S184" s="1955">
        <f t="shared" si="214"/>
        <v>3273464.2299999986</v>
      </c>
      <c r="V184" s="1956">
        <v>115332.32</v>
      </c>
      <c r="W184" s="1956">
        <f t="shared" si="160"/>
        <v>0</v>
      </c>
      <c r="X184" s="1956">
        <f t="shared" si="161"/>
        <v>16377189.440000001</v>
      </c>
      <c r="Y184" s="1836" t="s">
        <v>1917</v>
      </c>
      <c r="AC184" s="1836"/>
      <c r="AD184" s="1836"/>
      <c r="AE184" s="1836"/>
      <c r="AF184" s="1837">
        <v>215790.45</v>
      </c>
      <c r="AG184" s="1960">
        <f t="shared" si="215"/>
        <v>100458.13</v>
      </c>
    </row>
    <row r="185" spans="1:33" ht="21.95" customHeight="1" x14ac:dyDescent="0.2">
      <c r="A185" s="1833">
        <f>satpek!B91</f>
        <v>72</v>
      </c>
      <c r="B185" s="1943">
        <f t="shared" si="216"/>
        <v>5</v>
      </c>
      <c r="C185" s="1937"/>
      <c r="D185" s="1944" t="str">
        <f>VLOOKUP($A185,satpek!$B$20:$N$144,2,0)</f>
        <v>Memasang Instalasi titik stop kontak (kabel 3x2,5 mm)</v>
      </c>
      <c r="E185" s="1944"/>
      <c r="F185" s="2004"/>
      <c r="G185" s="1945">
        <f>'[3]B.VOL RAB'!Q610</f>
        <v>42</v>
      </c>
      <c r="H185" s="2456" t="str">
        <f>VLOOKUP($A185,satpek!$B$20:$N$144,7,0)</f>
        <v>ttk</v>
      </c>
      <c r="I185" s="2457" t="str">
        <f>VLOOKUP($A185,satpek!$B$20:$N$144,5,0)</f>
        <v>An. Dihitung</v>
      </c>
      <c r="J185" s="1951">
        <f>VLOOKUP($A185,satpek!$B$20:$N$144,6,0)</f>
        <v>145842.32</v>
      </c>
      <c r="K185" s="1938"/>
      <c r="L185" s="1952">
        <f t="shared" si="211"/>
        <v>6125377.4400000004</v>
      </c>
      <c r="M185" s="1967"/>
      <c r="N185" s="2458">
        <f>VLOOKUP($A185,satpek!$B$20:$L$138,8,0)</f>
        <v>0.8179817764829852</v>
      </c>
      <c r="O185" s="1954">
        <f>VLOOKUP($A185,satpek!$B$20:$L$138,9,0)</f>
        <v>105572</v>
      </c>
      <c r="P185" s="1954">
        <f>VLOOKUP($A185,satpek!$B$20:$L$138,10,0)</f>
        <v>119296.36</v>
      </c>
      <c r="Q185" s="1952">
        <f t="shared" si="212"/>
        <v>4434024</v>
      </c>
      <c r="R185" s="1952">
        <f t="shared" si="213"/>
        <v>5010447.12</v>
      </c>
      <c r="S185" s="1955">
        <f t="shared" si="214"/>
        <v>1114930.3200000003</v>
      </c>
      <c r="V185" s="1956">
        <v>145842.32</v>
      </c>
      <c r="W185" s="1956">
        <f t="shared" si="160"/>
        <v>0</v>
      </c>
      <c r="X185" s="1956">
        <f t="shared" si="161"/>
        <v>6125377.4400000004</v>
      </c>
      <c r="Y185" s="1836" t="s">
        <v>1918</v>
      </c>
      <c r="AD185" s="1836"/>
      <c r="AE185" s="1836"/>
      <c r="AF185" s="1837">
        <v>249351.45</v>
      </c>
      <c r="AG185" s="1960">
        <f t="shared" si="215"/>
        <v>103509.13</v>
      </c>
    </row>
    <row r="186" spans="1:33" ht="21.95" customHeight="1" x14ac:dyDescent="0.2">
      <c r="A186" s="1833">
        <f>A185</f>
        <v>72</v>
      </c>
      <c r="B186" s="1943">
        <f t="shared" si="216"/>
        <v>6</v>
      </c>
      <c r="C186" s="1937"/>
      <c r="D186" s="1944" t="s">
        <v>1874</v>
      </c>
      <c r="E186" s="1944"/>
      <c r="F186" s="2004"/>
      <c r="G186" s="1945">
        <f>'[3]B.VOL RAB'!Q611</f>
        <v>13</v>
      </c>
      <c r="H186" s="2456" t="str">
        <f>VLOOKUP($A186,satpek!$B$20:$N$144,7,0)</f>
        <v>ttk</v>
      </c>
      <c r="I186" s="2457" t="str">
        <f>VLOOKUP($A186,satpek!$B$20:$N$144,5,0)</f>
        <v>An. Dihitung</v>
      </c>
      <c r="J186" s="1951">
        <f>VLOOKUP($A186,satpek!$B$20:$N$144,6,0)</f>
        <v>145842.32</v>
      </c>
      <c r="K186" s="1938"/>
      <c r="L186" s="1952">
        <f t="shared" si="211"/>
        <v>1895950.16</v>
      </c>
      <c r="M186" s="1967"/>
      <c r="N186" s="2458">
        <f>VLOOKUP($A186,satpek!$B$20:$L$138,8,0)</f>
        <v>0.8179817764829852</v>
      </c>
      <c r="O186" s="1954">
        <f>VLOOKUP($A186,satpek!$B$20:$L$138,9,0)</f>
        <v>105572</v>
      </c>
      <c r="P186" s="1954">
        <f>VLOOKUP($A186,satpek!$B$20:$L$138,10,0)</f>
        <v>119296.36</v>
      </c>
      <c r="Q186" s="1952">
        <f t="shared" si="212"/>
        <v>1372436</v>
      </c>
      <c r="R186" s="1952">
        <f t="shared" si="213"/>
        <v>1550852.68</v>
      </c>
      <c r="S186" s="1955">
        <f t="shared" si="214"/>
        <v>345097.48</v>
      </c>
      <c r="V186" s="1956">
        <v>145842.32</v>
      </c>
      <c r="W186" s="1956">
        <f t="shared" si="160"/>
        <v>0</v>
      </c>
      <c r="X186" s="1956">
        <f t="shared" si="161"/>
        <v>1895950.1600000001</v>
      </c>
      <c r="Y186" s="1836" t="s">
        <v>1874</v>
      </c>
      <c r="AD186" s="1836"/>
      <c r="AE186" s="1836"/>
      <c r="AF186" s="1837">
        <v>249351.45</v>
      </c>
      <c r="AG186" s="1960">
        <f t="shared" si="215"/>
        <v>103509.13</v>
      </c>
    </row>
    <row r="187" spans="1:33" ht="21.95" customHeight="1" x14ac:dyDescent="0.2">
      <c r="A187" s="1833">
        <f>satpek!B92</f>
        <v>73</v>
      </c>
      <c r="B187" s="1943">
        <f t="shared" si="216"/>
        <v>7</v>
      </c>
      <c r="C187" s="1937"/>
      <c r="D187" s="1944" t="str">
        <f>VLOOKUP($A187,satpek!$B$20:$N$144,2,0)</f>
        <v>Instalasi titik Telephone 2 pair</v>
      </c>
      <c r="E187" s="1944"/>
      <c r="F187" s="2004"/>
      <c r="G187" s="1945">
        <f>'[3]B.VOL RAB'!Q612</f>
        <v>6</v>
      </c>
      <c r="H187" s="2456" t="str">
        <f>VLOOKUP($A187,satpek!$B$20:$N$144,7,0)</f>
        <v>ttk</v>
      </c>
      <c r="I187" s="2457" t="str">
        <f>VLOOKUP($A187,satpek!$B$20:$N$144,5,0)</f>
        <v>An. Dihitung</v>
      </c>
      <c r="J187" s="1951">
        <f>VLOOKUP($A187,satpek!$B$20:$N$144,6,0)</f>
        <v>93371.9</v>
      </c>
      <c r="K187" s="1938"/>
      <c r="L187" s="1952">
        <f t="shared" si="211"/>
        <v>560231.4</v>
      </c>
      <c r="M187" s="1967"/>
      <c r="N187" s="2458">
        <f>VLOOKUP($A187,satpek!$B$20:$L$138,8,0)</f>
        <v>0.9071039574004599</v>
      </c>
      <c r="O187" s="1954">
        <f>VLOOKUP($A187,satpek!$B$20:$L$138,9,0)</f>
        <v>74954</v>
      </c>
      <c r="P187" s="1954">
        <f>VLOOKUP($A187,satpek!$B$20:$L$138,10,0)</f>
        <v>84698.02</v>
      </c>
      <c r="Q187" s="1952">
        <f t="shared" si="212"/>
        <v>449724</v>
      </c>
      <c r="R187" s="1952">
        <f t="shared" si="213"/>
        <v>508188.12000000005</v>
      </c>
      <c r="S187" s="1955">
        <f t="shared" si="214"/>
        <v>52043.27999999997</v>
      </c>
      <c r="V187" s="1956">
        <v>93371.9</v>
      </c>
      <c r="W187" s="1956">
        <f t="shared" si="160"/>
        <v>0</v>
      </c>
      <c r="X187" s="1956">
        <f t="shared" si="161"/>
        <v>560231.39999999991</v>
      </c>
      <c r="Y187" s="1836" t="s">
        <v>1875</v>
      </c>
      <c r="AD187" s="1836"/>
      <c r="AE187" s="1836"/>
      <c r="AF187" s="1837">
        <v>92208</v>
      </c>
      <c r="AG187" s="1960">
        <f t="shared" si="215"/>
        <v>-1163.8999999999942</v>
      </c>
    </row>
    <row r="188" spans="1:33" ht="21.95" customHeight="1" x14ac:dyDescent="0.2">
      <c r="A188" s="1833">
        <f>satpek!B93</f>
        <v>74</v>
      </c>
      <c r="B188" s="1943">
        <f t="shared" si="216"/>
        <v>8</v>
      </c>
      <c r="C188" s="1937"/>
      <c r="D188" s="1944" t="str">
        <f>VLOOKUP($A188,satpek!$B$20:$N$144,2,0)</f>
        <v>Instalasi titik Data CAT 6</v>
      </c>
      <c r="E188" s="1944"/>
      <c r="F188" s="2004"/>
      <c r="G188" s="1945">
        <f>'[3]B.VOL RAB'!Q613</f>
        <v>12</v>
      </c>
      <c r="H188" s="2456" t="str">
        <f>VLOOKUP($A188,satpek!$B$20:$N$144,7,0)</f>
        <v>ttk</v>
      </c>
      <c r="I188" s="2457" t="str">
        <f>VLOOKUP($A188,satpek!$B$20:$N$144,5,0)</f>
        <v>An. Dihitung</v>
      </c>
      <c r="J188" s="1951">
        <f>VLOOKUP($A188,satpek!$B$20:$N$144,6,0)</f>
        <v>140437.33000000002</v>
      </c>
      <c r="K188" s="1938"/>
      <c r="L188" s="1952">
        <f t="shared" si="211"/>
        <v>1685247.96</v>
      </c>
      <c r="M188" s="1967"/>
      <c r="N188" s="2458">
        <f>VLOOKUP($A188,satpek!$B$20:$L$138,8,0)</f>
        <v>0.88809056240536555</v>
      </c>
      <c r="O188" s="1954">
        <f>VLOOKUP($A188,satpek!$B$20:$L$138,9,0)</f>
        <v>110372.62333</v>
      </c>
      <c r="P188" s="1954">
        <f>VLOOKUP($A188,satpek!$B$20:$L$138,10,0)</f>
        <v>124721.0643629</v>
      </c>
      <c r="Q188" s="1952">
        <f t="shared" si="212"/>
        <v>1324471.4799600001</v>
      </c>
      <c r="R188" s="1952">
        <f t="shared" si="213"/>
        <v>1496652.808588895</v>
      </c>
      <c r="S188" s="1955">
        <f t="shared" si="214"/>
        <v>188595.15141110495</v>
      </c>
      <c r="V188" s="1956">
        <v>140437.33000000002</v>
      </c>
      <c r="W188" s="1956">
        <f t="shared" si="160"/>
        <v>0</v>
      </c>
      <c r="X188" s="1956">
        <f t="shared" si="161"/>
        <v>1685247.9600000002</v>
      </c>
      <c r="Y188" s="1836" t="s">
        <v>1876</v>
      </c>
      <c r="AD188" s="1836"/>
      <c r="AE188" s="1836"/>
      <c r="AF188" s="1837">
        <v>139273.43</v>
      </c>
      <c r="AG188" s="1960">
        <f t="shared" si="215"/>
        <v>-1163.9000000000233</v>
      </c>
    </row>
    <row r="189" spans="1:33" ht="21.95" customHeight="1" x14ac:dyDescent="0.2">
      <c r="A189" s="1833">
        <f>satpek!B94</f>
        <v>75</v>
      </c>
      <c r="B189" s="1943">
        <f t="shared" si="216"/>
        <v>9</v>
      </c>
      <c r="C189" s="1937"/>
      <c r="D189" s="1944" t="str">
        <f>VLOOKUP($A189,satpek!$B$20:$N$144,2,0)</f>
        <v>Memasang saklar ganda</v>
      </c>
      <c r="E189" s="1944"/>
      <c r="F189" s="2004"/>
      <c r="G189" s="1945">
        <f>'[3]B.VOL RAB'!Q615</f>
        <v>28</v>
      </c>
      <c r="H189" s="2456" t="str">
        <f>VLOOKUP($A189,satpek!$B$20:$N$144,7,0)</f>
        <v>bh</v>
      </c>
      <c r="I189" s="2457" t="str">
        <f>VLOOKUP($A189,satpek!$B$20:$N$144,5,0)</f>
        <v>An. Dihitung</v>
      </c>
      <c r="J189" s="1951">
        <f>VLOOKUP($A189,satpek!$B$20:$N$144,6,0)</f>
        <v>49855.6</v>
      </c>
      <c r="K189" s="1938"/>
      <c r="L189" s="1952">
        <f t="shared" si="211"/>
        <v>1395956.8</v>
      </c>
      <c r="M189" s="1967"/>
      <c r="N189" s="2458">
        <f>VLOOKUP($A189,satpek!$B$20:$L$138,8,0)</f>
        <v>0.55736627379873072</v>
      </c>
      <c r="O189" s="1954">
        <f>VLOOKUP($A189,satpek!$B$20:$L$138,9,0)</f>
        <v>24591</v>
      </c>
      <c r="P189" s="1954">
        <f>VLOOKUP($A189,satpek!$B$20:$L$138,10,0)</f>
        <v>27787.83</v>
      </c>
      <c r="Q189" s="1952">
        <f t="shared" si="212"/>
        <v>688548</v>
      </c>
      <c r="R189" s="1952">
        <f t="shared" si="213"/>
        <v>778059.24</v>
      </c>
      <c r="S189" s="1955">
        <f t="shared" si="214"/>
        <v>617897.56000000006</v>
      </c>
      <c r="V189" s="1956">
        <v>49855.6</v>
      </c>
      <c r="W189" s="1956">
        <f t="shared" si="160"/>
        <v>0</v>
      </c>
      <c r="X189" s="1956">
        <f t="shared" si="161"/>
        <v>1395956.8</v>
      </c>
      <c r="Y189" s="1836" t="s">
        <v>372</v>
      </c>
      <c r="AD189" s="1836"/>
      <c r="AE189" s="1836"/>
      <c r="AF189" s="1837">
        <v>49482.7</v>
      </c>
      <c r="AG189" s="1960">
        <f t="shared" si="215"/>
        <v>-372.90000000000146</v>
      </c>
    </row>
    <row r="190" spans="1:33" ht="21.95" customHeight="1" x14ac:dyDescent="0.2">
      <c r="A190" s="1833">
        <f>satpek!B95</f>
        <v>76</v>
      </c>
      <c r="B190" s="1943">
        <f t="shared" si="216"/>
        <v>10</v>
      </c>
      <c r="C190" s="1937"/>
      <c r="D190" s="1944" t="str">
        <f>VLOOKUP($A190,satpek!$B$20:$N$144,2,0)</f>
        <v>Memasang saklar tunggal</v>
      </c>
      <c r="E190" s="1944"/>
      <c r="F190" s="2004"/>
      <c r="G190" s="1945">
        <f>'[3]B.VOL RAB'!Q616</f>
        <v>11</v>
      </c>
      <c r="H190" s="2456" t="str">
        <f>VLOOKUP($A190,satpek!$B$20:$N$144,7,0)</f>
        <v>bh</v>
      </c>
      <c r="I190" s="2457" t="str">
        <f>VLOOKUP($A190,satpek!$B$20:$N$144,5,0)</f>
        <v>An. Dihitung</v>
      </c>
      <c r="J190" s="1951">
        <f>VLOOKUP($A190,satpek!$B$20:$N$144,6,0)</f>
        <v>41826.949999999997</v>
      </c>
      <c r="K190" s="1938"/>
      <c r="L190" s="1952">
        <f t="shared" si="211"/>
        <v>460096.45</v>
      </c>
      <c r="M190" s="1967"/>
      <c r="N190" s="2458">
        <f>VLOOKUP($A190,satpek!$B$20:$L$138,8,0)</f>
        <v>0.5819465081723626</v>
      </c>
      <c r="O190" s="1954">
        <f>VLOOKUP($A190,satpek!$B$20:$L$138,9,0)</f>
        <v>21540.75</v>
      </c>
      <c r="P190" s="1954">
        <f>VLOOKUP($A190,satpek!$B$20:$L$138,10,0)</f>
        <v>24341.047500000001</v>
      </c>
      <c r="Q190" s="1952">
        <f t="shared" si="212"/>
        <v>236948.25</v>
      </c>
      <c r="R190" s="1952">
        <f t="shared" si="213"/>
        <v>267751.52250000002</v>
      </c>
      <c r="S190" s="1955">
        <f t="shared" si="214"/>
        <v>192344.92749999999</v>
      </c>
      <c r="V190" s="1956">
        <v>41826.949999999997</v>
      </c>
      <c r="W190" s="1956">
        <f t="shared" si="160"/>
        <v>0</v>
      </c>
      <c r="X190" s="1956">
        <f t="shared" si="161"/>
        <v>460096.44999999995</v>
      </c>
      <c r="Y190" s="1836" t="s">
        <v>373</v>
      </c>
      <c r="AD190" s="1836"/>
      <c r="AE190" s="1836"/>
      <c r="AF190" s="1837">
        <v>41454.050000000003</v>
      </c>
      <c r="AG190" s="1960">
        <f t="shared" si="215"/>
        <v>-372.89999999999418</v>
      </c>
    </row>
    <row r="191" spans="1:33" ht="21.95" customHeight="1" x14ac:dyDescent="0.2">
      <c r="A191" s="1833">
        <f>satpek!B96</f>
        <v>77</v>
      </c>
      <c r="B191" s="1943">
        <f t="shared" si="216"/>
        <v>11</v>
      </c>
      <c r="C191" s="1937"/>
      <c r="D191" s="1944" t="str">
        <f>VLOOKUP($A191,satpek!$B$20:$N$144,2,0)</f>
        <v>Memasang stop kontak</v>
      </c>
      <c r="E191" s="1944"/>
      <c r="F191" s="2004"/>
      <c r="G191" s="1945">
        <f>'[3]B.VOL RAB'!Q617</f>
        <v>42</v>
      </c>
      <c r="H191" s="2456" t="str">
        <f>VLOOKUP($A191,satpek!$B$20:$N$144,7,0)</f>
        <v>bh</v>
      </c>
      <c r="I191" s="2457" t="str">
        <f>VLOOKUP($A191,satpek!$B$20:$N$144,5,0)</f>
        <v>An. Dihitung</v>
      </c>
      <c r="J191" s="1951">
        <f>VLOOKUP($A191,satpek!$B$20:$N$144,6,0)</f>
        <v>37730.699999999997</v>
      </c>
      <c r="K191" s="1938"/>
      <c r="L191" s="1952">
        <f t="shared" si="211"/>
        <v>1584689.4</v>
      </c>
      <c r="M191" s="1967"/>
      <c r="N191" s="2458">
        <f>VLOOKUP($A191,satpek!$B$20:$L$138,8,0)</f>
        <v>0.59851752021563343</v>
      </c>
      <c r="O191" s="1954">
        <f>VLOOKUP($A191,satpek!$B$20:$L$138,9,0)</f>
        <v>19984.5</v>
      </c>
      <c r="P191" s="1954">
        <f>VLOOKUP($A191,satpek!$B$20:$L$138,10,0)</f>
        <v>22582.485000000001</v>
      </c>
      <c r="Q191" s="1952">
        <f t="shared" si="212"/>
        <v>839349</v>
      </c>
      <c r="R191" s="1952">
        <f t="shared" si="213"/>
        <v>948464.37</v>
      </c>
      <c r="S191" s="1955">
        <f t="shared" si="214"/>
        <v>636225.02999999991</v>
      </c>
      <c r="V191" s="1956">
        <v>37730.699999999997</v>
      </c>
      <c r="W191" s="1956">
        <f t="shared" si="160"/>
        <v>0</v>
      </c>
      <c r="X191" s="1956">
        <f t="shared" si="161"/>
        <v>1584689.4</v>
      </c>
      <c r="Y191" s="1836" t="s">
        <v>374</v>
      </c>
      <c r="AD191" s="1836"/>
      <c r="AE191" s="1836"/>
      <c r="AF191" s="1837">
        <v>37357.800000000003</v>
      </c>
      <c r="AG191" s="1960">
        <f t="shared" si="215"/>
        <v>-372.89999999999418</v>
      </c>
    </row>
    <row r="192" spans="1:33" ht="21.95" customHeight="1" x14ac:dyDescent="0.2">
      <c r="A192" s="1833">
        <f>satpek!B97</f>
        <v>78</v>
      </c>
      <c r="B192" s="1943">
        <f t="shared" si="216"/>
        <v>12</v>
      </c>
      <c r="C192" s="1937"/>
      <c r="D192" s="1944" t="str">
        <f>VLOOKUP($A192,satpek!$B$20:$N$144,2,0)</f>
        <v xml:space="preserve">Memasang stop kontak AC </v>
      </c>
      <c r="E192" s="1944"/>
      <c r="F192" s="2004"/>
      <c r="G192" s="1945">
        <f>'[3]B.VOL RAB'!Q618</f>
        <v>13</v>
      </c>
      <c r="H192" s="2456" t="str">
        <f>VLOOKUP($A192,satpek!$B$20:$N$144,7,0)</f>
        <v>bh</v>
      </c>
      <c r="I192" s="2457" t="str">
        <f>VLOOKUP($A192,satpek!$B$20:$N$144,5,0)</f>
        <v>An. Dihitung</v>
      </c>
      <c r="J192" s="1951">
        <f>VLOOKUP($A192,satpek!$B$20:$N$144,6,0)</f>
        <v>115836.3</v>
      </c>
      <c r="K192" s="1938"/>
      <c r="L192" s="1952">
        <f t="shared" si="211"/>
        <v>1505871.9</v>
      </c>
      <c r="M192" s="1967"/>
      <c r="N192" s="2458">
        <f>VLOOKUP($A192,satpek!$B$20:$L$138,8,0)</f>
        <v>0.46296458882060287</v>
      </c>
      <c r="O192" s="1954">
        <f>VLOOKUP($A192,satpek!$B$20:$L$138,9,0)</f>
        <v>47458.5</v>
      </c>
      <c r="P192" s="1954">
        <f>VLOOKUP($A192,satpek!$B$20:$L$138,10,0)</f>
        <v>53628.105000000003</v>
      </c>
      <c r="Q192" s="1952">
        <f t="shared" si="212"/>
        <v>616960.5</v>
      </c>
      <c r="R192" s="1952">
        <f t="shared" si="213"/>
        <v>697165.36499999999</v>
      </c>
      <c r="S192" s="1955">
        <f t="shared" si="214"/>
        <v>808706.53499999992</v>
      </c>
      <c r="V192" s="1956">
        <v>115836.3</v>
      </c>
      <c r="W192" s="1956">
        <f t="shared" si="160"/>
        <v>0</v>
      </c>
      <c r="X192" s="1956">
        <f t="shared" si="161"/>
        <v>1505871.9000000001</v>
      </c>
      <c r="Y192" s="1836" t="s">
        <v>1877</v>
      </c>
      <c r="AD192" s="1836"/>
      <c r="AE192" s="1836"/>
      <c r="AF192" s="1837">
        <v>115463.4</v>
      </c>
      <c r="AG192" s="1960">
        <f t="shared" si="215"/>
        <v>-372.90000000000873</v>
      </c>
    </row>
    <row r="193" spans="1:33" ht="21.95" customHeight="1" x14ac:dyDescent="0.2">
      <c r="A193" s="1833">
        <f>satpek!$B$98</f>
        <v>79</v>
      </c>
      <c r="B193" s="1943">
        <f t="shared" si="216"/>
        <v>13</v>
      </c>
      <c r="C193" s="1937"/>
      <c r="D193" s="1944" t="str">
        <f>VLOOKUP($A193,satpek!$B$20:$N$144,2,0)</f>
        <v>Memasang stop kontak outlet Telephone</v>
      </c>
      <c r="E193" s="1944"/>
      <c r="F193" s="2004"/>
      <c r="G193" s="1945">
        <f>'[3]B.VOL RAB'!Q619</f>
        <v>6</v>
      </c>
      <c r="H193" s="2456" t="str">
        <f>VLOOKUP($A193,satpek!$B$20:$N$144,7,0)</f>
        <v>bh</v>
      </c>
      <c r="I193" s="2457" t="str">
        <f>VLOOKUP($A193,satpek!$B$20:$N$144,5,0)</f>
        <v>An. Dihitung</v>
      </c>
      <c r="J193" s="1951">
        <f>VLOOKUP($A193,satpek!$B$20:$N$144,6,0)</f>
        <v>82122.75</v>
      </c>
      <c r="K193" s="1938"/>
      <c r="L193" s="1952">
        <f t="shared" si="211"/>
        <v>492736.5</v>
      </c>
      <c r="M193" s="1967"/>
      <c r="N193" s="2458">
        <f>VLOOKUP($A193,satpek!$B$20:$L$138,8,0)</f>
        <v>0.48653250773993806</v>
      </c>
      <c r="O193" s="1954">
        <f>VLOOKUP($A193,satpek!$B$20:$L$138,9,0)</f>
        <v>35358.75</v>
      </c>
      <c r="P193" s="1954">
        <f>VLOOKUP($A193,satpek!$B$20:$L$138,10,0)</f>
        <v>39955.387499999997</v>
      </c>
      <c r="Q193" s="1952">
        <f t="shared" si="212"/>
        <v>212152.5</v>
      </c>
      <c r="R193" s="1952">
        <f t="shared" si="213"/>
        <v>239732.32499999998</v>
      </c>
      <c r="S193" s="1955">
        <f t="shared" si="214"/>
        <v>253004.17500000002</v>
      </c>
      <c r="V193" s="1956">
        <v>82122.75</v>
      </c>
      <c r="W193" s="1956">
        <f t="shared" si="160"/>
        <v>0</v>
      </c>
      <c r="X193" s="1956">
        <f t="shared" si="161"/>
        <v>492736.5</v>
      </c>
      <c r="Y193" s="1836" t="s">
        <v>1878</v>
      </c>
      <c r="AD193" s="1836"/>
      <c r="AE193" s="1836"/>
      <c r="AF193" s="1837">
        <v>81749.850000000006</v>
      </c>
      <c r="AG193" s="1960">
        <f t="shared" si="215"/>
        <v>-372.89999999999418</v>
      </c>
    </row>
    <row r="194" spans="1:33" ht="21.95" customHeight="1" x14ac:dyDescent="0.2">
      <c r="A194" s="1833">
        <f>satpek!$B$99</f>
        <v>80</v>
      </c>
      <c r="B194" s="1943">
        <f t="shared" si="216"/>
        <v>14</v>
      </c>
      <c r="C194" s="1937"/>
      <c r="D194" s="1944" t="s">
        <v>1879</v>
      </c>
      <c r="E194" s="1944"/>
      <c r="F194" s="2004"/>
      <c r="G194" s="1945">
        <f>'[3]B.VOL RAB'!Q620</f>
        <v>12</v>
      </c>
      <c r="H194" s="2456" t="str">
        <f>VLOOKUP($A194,satpek!$B$20:$N$144,7,0)</f>
        <v>bh</v>
      </c>
      <c r="I194" s="2457" t="str">
        <f>VLOOKUP($A194,satpek!$B$20:$N$144,5,0)</f>
        <v>An. Dihitung</v>
      </c>
      <c r="J194" s="1951">
        <f>VLOOKUP($A194,satpek!$B$20:$N$144,6,0)</f>
        <v>136278</v>
      </c>
      <c r="K194" s="1938"/>
      <c r="L194" s="1952">
        <f t="shared" si="211"/>
        <v>1635336</v>
      </c>
      <c r="M194" s="1967"/>
      <c r="N194" s="2458">
        <f>VLOOKUP($A194,satpek!$B$20:$L$138,8,0)</f>
        <v>0.45435323383084575</v>
      </c>
      <c r="O194" s="1954">
        <f>VLOOKUP($A194,satpek!$B$20:$L$138,9,0)</f>
        <v>54795</v>
      </c>
      <c r="P194" s="1954">
        <f>VLOOKUP($A194,satpek!$B$20:$L$138,10,0)</f>
        <v>61918.35</v>
      </c>
      <c r="Q194" s="1952">
        <f t="shared" si="212"/>
        <v>657540</v>
      </c>
      <c r="R194" s="1952">
        <f t="shared" si="213"/>
        <v>743020.2</v>
      </c>
      <c r="S194" s="1955">
        <f t="shared" si="214"/>
        <v>892315.8</v>
      </c>
      <c r="V194" s="1956">
        <v>136278</v>
      </c>
      <c r="W194" s="1956">
        <f t="shared" si="160"/>
        <v>0</v>
      </c>
      <c r="X194" s="1956">
        <f t="shared" si="161"/>
        <v>1635336</v>
      </c>
      <c r="Y194" s="1836" t="s">
        <v>1879</v>
      </c>
      <c r="AD194" s="1836"/>
      <c r="AE194" s="1836"/>
      <c r="AF194" s="1837">
        <v>135905.1</v>
      </c>
      <c r="AG194" s="1960">
        <f t="shared" si="215"/>
        <v>-372.89999999999418</v>
      </c>
    </row>
    <row r="195" spans="1:33" ht="21.95" customHeight="1" x14ac:dyDescent="0.2">
      <c r="A195" s="1833">
        <f>satpek!B100</f>
        <v>81</v>
      </c>
      <c r="B195" s="1943">
        <f t="shared" si="216"/>
        <v>15</v>
      </c>
      <c r="C195" s="1937"/>
      <c r="D195" s="1944" t="str">
        <f>VLOOKUP($A195,satpek!$B$20:$N$144,2,0)</f>
        <v>Memasang downlight LED 10 watt tipe inbow</v>
      </c>
      <c r="E195" s="1944"/>
      <c r="F195" s="2004"/>
      <c r="G195" s="1945">
        <f>'[3]B.VOL RAB'!Q621</f>
        <v>12</v>
      </c>
      <c r="H195" s="2456" t="str">
        <f>VLOOKUP($A195,satpek!$B$20:$N$144,7,0)</f>
        <v>ttk</v>
      </c>
      <c r="I195" s="2457" t="str">
        <f>VLOOKUP($A195,satpek!$B$20:$N$144,5,0)</f>
        <v>An. Dihitung</v>
      </c>
      <c r="J195" s="1951">
        <f>VLOOKUP($A195,satpek!$B$20:$N$144,6,0)</f>
        <v>124333.9</v>
      </c>
      <c r="K195" s="1938"/>
      <c r="L195" s="1952">
        <f t="shared" si="211"/>
        <v>1492006.8</v>
      </c>
      <c r="M195" s="1967"/>
      <c r="N195" s="2458">
        <f>VLOOKUP($A195,satpek!$B$20:$L$138,8,0)</f>
        <v>0.71568663091884033</v>
      </c>
      <c r="O195" s="1954">
        <f>VLOOKUP($A195,satpek!$B$20:$L$138,9,0)</f>
        <v>78747</v>
      </c>
      <c r="P195" s="1954">
        <f>VLOOKUP($A195,satpek!$B$20:$L$138,10,0)</f>
        <v>88984.11</v>
      </c>
      <c r="Q195" s="1952">
        <f t="shared" si="212"/>
        <v>944964</v>
      </c>
      <c r="R195" s="1952">
        <f t="shared" si="213"/>
        <v>1067809.32</v>
      </c>
      <c r="S195" s="1955">
        <f t="shared" si="214"/>
        <v>424197.48</v>
      </c>
      <c r="V195" s="1956">
        <v>124333.9</v>
      </c>
      <c r="W195" s="1956">
        <f t="shared" si="160"/>
        <v>0</v>
      </c>
      <c r="X195" s="1956">
        <f t="shared" si="161"/>
        <v>1492006.7999999998</v>
      </c>
      <c r="Y195" s="1836" t="s">
        <v>1880</v>
      </c>
      <c r="AD195" s="1836"/>
      <c r="AE195" s="1836"/>
      <c r="AF195" s="1837">
        <v>123237.8</v>
      </c>
      <c r="AG195" s="1960">
        <f t="shared" si="215"/>
        <v>-1096.0999999999913</v>
      </c>
    </row>
    <row r="196" spans="1:33" ht="21.95" customHeight="1" x14ac:dyDescent="0.2">
      <c r="A196" s="1833">
        <f>satpek!B101</f>
        <v>82</v>
      </c>
      <c r="B196" s="1943">
        <f t="shared" si="216"/>
        <v>16</v>
      </c>
      <c r="C196" s="1937"/>
      <c r="D196" s="1944" t="str">
        <f>VLOOKUP($A196,satpek!$B$20:$N$144,2,0)</f>
        <v>Memasang downlight LED 17 watt tipe inbow</v>
      </c>
      <c r="E196" s="1944"/>
      <c r="F196" s="2004"/>
      <c r="G196" s="1945">
        <f>'[3]B.VOL RAB'!Q622</f>
        <v>122</v>
      </c>
      <c r="H196" s="2456" t="str">
        <f>VLOOKUP($A196,satpek!$B$20:$N$144,7,0)</f>
        <v>ttk</v>
      </c>
      <c r="I196" s="2457" t="str">
        <f>VLOOKUP($A196,satpek!$B$20:$N$144,5,0)</f>
        <v>An. Dihitung</v>
      </c>
      <c r="J196" s="1951">
        <f>VLOOKUP($A196,satpek!$B$20:$N$144,6,0)</f>
        <v>186709.9</v>
      </c>
      <c r="K196" s="1938"/>
      <c r="L196" s="1952">
        <f t="shared" si="211"/>
        <v>22778607.800000001</v>
      </c>
      <c r="M196" s="1967"/>
      <c r="N196" s="2458">
        <f>VLOOKUP($A196,satpek!$B$20:$L$138,8,0)</f>
        <v>0.68084367245657573</v>
      </c>
      <c r="O196" s="1954">
        <f>VLOOKUP($A196,satpek!$B$20:$L$138,9,0)</f>
        <v>112495.8</v>
      </c>
      <c r="P196" s="1954">
        <f>VLOOKUP($A196,satpek!$B$20:$L$138,10,0)</f>
        <v>127120.254</v>
      </c>
      <c r="Q196" s="1952">
        <f t="shared" si="212"/>
        <v>13724487.6</v>
      </c>
      <c r="R196" s="1952">
        <f t="shared" si="213"/>
        <v>15508670.988000002</v>
      </c>
      <c r="S196" s="1955">
        <f t="shared" si="214"/>
        <v>7269936.811999999</v>
      </c>
      <c r="V196" s="1956">
        <v>186709.9</v>
      </c>
      <c r="W196" s="1956">
        <f t="shared" si="160"/>
        <v>0</v>
      </c>
      <c r="X196" s="1956">
        <f t="shared" si="161"/>
        <v>22778607.800000001</v>
      </c>
      <c r="Y196" s="1836" t="s">
        <v>1881</v>
      </c>
      <c r="AD196" s="1836"/>
      <c r="AE196" s="1836"/>
      <c r="AF196" s="1837">
        <v>185613.8</v>
      </c>
      <c r="AG196" s="1960">
        <f t="shared" si="215"/>
        <v>-1096.1000000000058</v>
      </c>
    </row>
    <row r="197" spans="1:33" ht="21.95" customHeight="1" x14ac:dyDescent="0.2">
      <c r="A197" s="1833">
        <f>satpek!B102</f>
        <v>83</v>
      </c>
      <c r="B197" s="1943">
        <f t="shared" si="216"/>
        <v>17</v>
      </c>
      <c r="C197" s="1937"/>
      <c r="D197" s="1944" t="str">
        <f>VLOOKUP($A197,satpek!$B$20:$N$144,2,0)</f>
        <v>Memasang downlight LED 17 watt tipe outbow</v>
      </c>
      <c r="E197" s="1944"/>
      <c r="F197" s="2004"/>
      <c r="G197" s="1945">
        <f>'[3]B.VOL RAB'!Q623</f>
        <v>8</v>
      </c>
      <c r="H197" s="2456" t="str">
        <f>VLOOKUP($A197,satpek!$B$20:$N$144,7,0)</f>
        <v>ttk</v>
      </c>
      <c r="I197" s="2457" t="str">
        <f>VLOOKUP($A197,satpek!$B$20:$N$144,5,0)</f>
        <v>An. Dihitung</v>
      </c>
      <c r="J197" s="1951">
        <f>VLOOKUP($A197,satpek!$B$20:$N$144,6,0)</f>
        <v>118457.9</v>
      </c>
      <c r="K197" s="1938"/>
      <c r="L197" s="1952">
        <f t="shared" si="211"/>
        <v>947663.2</v>
      </c>
      <c r="M197" s="1967"/>
      <c r="N197" s="2458">
        <f>VLOOKUP($A197,satpek!$B$20:$L$138,8,0)</f>
        <v>0.67070304302203565</v>
      </c>
      <c r="O197" s="1954">
        <f>VLOOKUP($A197,satpek!$B$20:$L$138,9,0)</f>
        <v>70309.8</v>
      </c>
      <c r="P197" s="1954">
        <f>VLOOKUP($A197,satpek!$B$20:$L$138,10,0)</f>
        <v>79450.074000000008</v>
      </c>
      <c r="Q197" s="1952">
        <f t="shared" si="212"/>
        <v>562478.4</v>
      </c>
      <c r="R197" s="1952">
        <f t="shared" si="213"/>
        <v>635600.59199999995</v>
      </c>
      <c r="S197" s="1955">
        <f t="shared" si="214"/>
        <v>312062.60800000001</v>
      </c>
      <c r="V197" s="1956">
        <v>118457.9</v>
      </c>
      <c r="W197" s="1956">
        <f t="shared" si="160"/>
        <v>0</v>
      </c>
      <c r="X197" s="1956">
        <f t="shared" si="161"/>
        <v>947663.2</v>
      </c>
      <c r="Y197" s="1836" t="s">
        <v>1882</v>
      </c>
      <c r="AD197" s="1836"/>
      <c r="AE197" s="1836"/>
      <c r="AF197" s="1837">
        <v>117361.8</v>
      </c>
      <c r="AG197" s="1960">
        <f t="shared" si="215"/>
        <v>-1096.0999999999913</v>
      </c>
    </row>
    <row r="198" spans="1:33" ht="21.95" customHeight="1" x14ac:dyDescent="0.2">
      <c r="A198" s="1833">
        <f>satpek!B103</f>
        <v>84</v>
      </c>
      <c r="B198" s="1943">
        <f t="shared" si="216"/>
        <v>18</v>
      </c>
      <c r="C198" s="1937"/>
      <c r="D198" s="1944" t="s">
        <v>1883</v>
      </c>
      <c r="E198" s="1944"/>
      <c r="F198" s="2004"/>
      <c r="G198" s="1945">
        <f>'[3]B.VOL RAB'!Q624</f>
        <v>55</v>
      </c>
      <c r="H198" s="2456" t="str">
        <f>VLOOKUP($A198,satpek!$B$20:$N$144,7,0)</f>
        <v>m'</v>
      </c>
      <c r="I198" s="2457" t="str">
        <f>VLOOKUP($A198,satpek!$B$20:$N$144,5,0)</f>
        <v>An. Dihitung</v>
      </c>
      <c r="J198" s="1951">
        <f>VLOOKUP($A198,satpek!$B$20:$N$144,6,0)</f>
        <v>274370.78000000003</v>
      </c>
      <c r="K198" s="1938"/>
      <c r="L198" s="1952">
        <f t="shared" si="211"/>
        <v>15090392.9</v>
      </c>
      <c r="M198" s="1967"/>
      <c r="N198" s="2458">
        <f>VLOOKUP($A198,satpek!$B$20:$L$138,8,0)</f>
        <v>0.80899051094289265</v>
      </c>
      <c r="O198" s="1954">
        <f>VLOOKUP($A198,satpek!$B$20:$L$138,9,0)</f>
        <v>196427.75</v>
      </c>
      <c r="P198" s="1954">
        <f>VLOOKUP($A198,satpek!$B$20:$L$138,10,0)</f>
        <v>221963.35750000001</v>
      </c>
      <c r="Q198" s="1952">
        <f t="shared" si="212"/>
        <v>10803526.25</v>
      </c>
      <c r="R198" s="1952">
        <f t="shared" si="213"/>
        <v>12207984.6625</v>
      </c>
      <c r="S198" s="1955">
        <f t="shared" si="214"/>
        <v>2882408.2375000007</v>
      </c>
      <c r="V198" s="1956">
        <v>274370.78000000003</v>
      </c>
      <c r="W198" s="1956">
        <f t="shared" si="160"/>
        <v>0</v>
      </c>
      <c r="X198" s="1956">
        <f t="shared" si="161"/>
        <v>15090392.900000002</v>
      </c>
      <c r="Y198" s="1836" t="s">
        <v>1883</v>
      </c>
      <c r="AD198" s="1836"/>
      <c r="AE198" s="1836"/>
      <c r="AF198" s="1837">
        <v>286212.05</v>
      </c>
      <c r="AG198" s="1960">
        <f t="shared" si="215"/>
        <v>11841.26999999996</v>
      </c>
    </row>
    <row r="199" spans="1:33" ht="21.95" customHeight="1" x14ac:dyDescent="0.2">
      <c r="A199" s="1833">
        <f>satpek!B129</f>
        <v>104</v>
      </c>
      <c r="B199" s="1943">
        <f t="shared" si="216"/>
        <v>19</v>
      </c>
      <c r="C199" s="1937"/>
      <c r="D199" s="1944" t="str">
        <f>VLOOKUP($A199,satpek!$B$20:$N$144,2,0)</f>
        <v>Memasang Unit AC 1 PK</v>
      </c>
      <c r="E199" s="1944"/>
      <c r="F199" s="2004"/>
      <c r="G199" s="1945">
        <f>'[3]B.VOL RAB'!Q625</f>
        <v>13</v>
      </c>
      <c r="H199" s="2456" t="str">
        <f>VLOOKUP($A199,satpek!$B$20:$N$144,7,0)</f>
        <v>unit</v>
      </c>
      <c r="I199" s="2457" t="str">
        <f>VLOOKUP($A199,satpek!$B$20:$N$144,5,0)</f>
        <v>Daftar harga</v>
      </c>
      <c r="J199" s="1951">
        <f>VLOOKUP($A199,satpek!$B$20:$N$144,6,0)</f>
        <v>4950000</v>
      </c>
      <c r="K199" s="1938"/>
      <c r="L199" s="1952">
        <f t="shared" si="211"/>
        <v>64350000</v>
      </c>
      <c r="M199" s="1967"/>
      <c r="N199" s="2458">
        <f>VLOOKUP($A199,satpek!$B$20:$L$138,8,0)</f>
        <v>0.1082</v>
      </c>
      <c r="O199" s="1954">
        <f>VLOOKUP($A199,satpek!$B$20:$L$138,9,0)</f>
        <v>0</v>
      </c>
      <c r="P199" s="1954">
        <f>VLOOKUP($A199,satpek!$B$20:$L$138,10,0)</f>
        <v>535590</v>
      </c>
      <c r="Q199" s="1952">
        <f t="shared" si="212"/>
        <v>0</v>
      </c>
      <c r="R199" s="1952">
        <f t="shared" si="213"/>
        <v>6962670</v>
      </c>
      <c r="S199" s="1955">
        <f t="shared" si="214"/>
        <v>57387330</v>
      </c>
      <c r="V199" s="1956">
        <v>4950000</v>
      </c>
      <c r="W199" s="1956">
        <f t="shared" si="160"/>
        <v>0</v>
      </c>
      <c r="X199" s="1956">
        <f t="shared" si="161"/>
        <v>64350000</v>
      </c>
      <c r="Y199" s="1836" t="s">
        <v>1884</v>
      </c>
      <c r="AD199" s="1836"/>
      <c r="AE199" s="1836"/>
      <c r="AF199" s="1837">
        <v>4950000</v>
      </c>
      <c r="AG199" s="1960">
        <f t="shared" si="215"/>
        <v>0</v>
      </c>
    </row>
    <row r="200" spans="1:33" ht="21.95" customHeight="1" x14ac:dyDescent="0.2">
      <c r="A200" s="1833">
        <f>satpek!B117</f>
        <v>98</v>
      </c>
      <c r="B200" s="1943">
        <f t="shared" si="216"/>
        <v>20</v>
      </c>
      <c r="C200" s="1937"/>
      <c r="D200" s="1944" t="str">
        <f>VLOOKUP($A200,satpek!$B$20:$N$144,2,0)</f>
        <v>Panel uk 50x70x25 lengkap dengan asesoris 3 phase</v>
      </c>
      <c r="E200" s="1944"/>
      <c r="F200" s="2004"/>
      <c r="G200" s="1945">
        <f>'[3]B.VOL RAB'!Q626</f>
        <v>1</v>
      </c>
      <c r="H200" s="2456" t="str">
        <f>VLOOKUP($A200,satpek!$B$20:$N$144,7,0)</f>
        <v>unit</v>
      </c>
      <c r="I200" s="2457" t="str">
        <f>VLOOKUP($A200,satpek!$B$20:$N$144,5,0)</f>
        <v>Daftar harga</v>
      </c>
      <c r="J200" s="1951">
        <f>VLOOKUP($A200,satpek!$B$20:$N$144,6,0)</f>
        <v>5000000</v>
      </c>
      <c r="K200" s="1938"/>
      <c r="L200" s="1952">
        <f t="shared" si="211"/>
        <v>5000000</v>
      </c>
      <c r="M200" s="1967"/>
      <c r="N200" s="2458">
        <f>VLOOKUP($A200,satpek!$B$20:$L$138,8,0)</f>
        <v>0.3</v>
      </c>
      <c r="O200" s="1954">
        <f>VLOOKUP($A200,satpek!$B$20:$L$138,9,0)</f>
        <v>0</v>
      </c>
      <c r="P200" s="1954">
        <f>VLOOKUP($A200,satpek!$B$20:$L$138,10,0)</f>
        <v>1500000</v>
      </c>
      <c r="Q200" s="1952">
        <f t="shared" si="212"/>
        <v>0</v>
      </c>
      <c r="R200" s="1952">
        <f t="shared" si="213"/>
        <v>1500000</v>
      </c>
      <c r="S200" s="1955">
        <f t="shared" si="214"/>
        <v>3500000</v>
      </c>
      <c r="V200" s="1956">
        <v>5000000</v>
      </c>
      <c r="W200" s="1956">
        <f t="shared" si="160"/>
        <v>0</v>
      </c>
      <c r="X200" s="1956">
        <f t="shared" si="161"/>
        <v>5000000</v>
      </c>
      <c r="Y200" s="1836" t="s">
        <v>1885</v>
      </c>
      <c r="AD200" s="1836"/>
      <c r="AE200" s="1836"/>
      <c r="AF200" s="1837">
        <v>5000000</v>
      </c>
      <c r="AG200" s="1960">
        <f t="shared" si="215"/>
        <v>0</v>
      </c>
    </row>
    <row r="201" spans="1:33" ht="21.95" customHeight="1" x14ac:dyDescent="0.2">
      <c r="A201" s="1833">
        <f>satpek!B104</f>
        <v>85</v>
      </c>
      <c r="B201" s="1943">
        <f t="shared" si="216"/>
        <v>21</v>
      </c>
      <c r="C201" s="1937"/>
      <c r="D201" s="1944" t="str">
        <f>VLOOKUP($A201,satpek!$B$20:$N$144,2,0)</f>
        <v>Memasang Exhaust fan</v>
      </c>
      <c r="E201" s="1944"/>
      <c r="F201" s="2004"/>
      <c r="G201" s="1945">
        <f>'[3]B.VOL RAB'!Q627</f>
        <v>10</v>
      </c>
      <c r="H201" s="2456" t="str">
        <f>VLOOKUP($A201,satpek!$B$20:$N$144,7,0)</f>
        <v>bh</v>
      </c>
      <c r="I201" s="2457" t="str">
        <f>VLOOKUP($A201,satpek!$B$20:$N$144,5,0)</f>
        <v>An. Dihitung</v>
      </c>
      <c r="J201" s="1951">
        <f>VLOOKUP($A201,satpek!$B$20:$N$144,6,0)</f>
        <v>556977</v>
      </c>
      <c r="K201" s="1938"/>
      <c r="L201" s="1952">
        <f t="shared" si="211"/>
        <v>5569770</v>
      </c>
      <c r="M201" s="1967"/>
      <c r="N201" s="2458">
        <f>VLOOKUP($A201,satpek!$B$20:$L$138,8,0)</f>
        <v>0.11594643944004869</v>
      </c>
      <c r="O201" s="1954">
        <f>VLOOKUP($A201,satpek!$B$20:$L$138,9,0)</f>
        <v>57150</v>
      </c>
      <c r="P201" s="1954">
        <f>VLOOKUP($A201,satpek!$B$20:$L$138,10,0)</f>
        <v>64579.5</v>
      </c>
      <c r="Q201" s="1952">
        <f t="shared" si="212"/>
        <v>571500</v>
      </c>
      <c r="R201" s="1952">
        <f t="shared" si="213"/>
        <v>645795</v>
      </c>
      <c r="S201" s="1955">
        <f t="shared" si="214"/>
        <v>4923975</v>
      </c>
      <c r="V201" s="1956">
        <v>556977</v>
      </c>
      <c r="W201" s="1956">
        <f t="shared" si="160"/>
        <v>0</v>
      </c>
      <c r="X201" s="1956">
        <f t="shared" si="161"/>
        <v>5569770</v>
      </c>
      <c r="Y201" s="1836" t="s">
        <v>1886</v>
      </c>
      <c r="AD201" s="1836"/>
      <c r="AE201" s="1836"/>
      <c r="AF201" s="1837">
        <v>556604.1</v>
      </c>
      <c r="AG201" s="1960">
        <f t="shared" si="215"/>
        <v>-372.90000000002328</v>
      </c>
    </row>
    <row r="202" spans="1:33" ht="21.95" customHeight="1" x14ac:dyDescent="0.2">
      <c r="A202" s="1833">
        <f>satpek!B86</f>
        <v>67</v>
      </c>
      <c r="B202" s="1943">
        <v>1</v>
      </c>
      <c r="C202" s="1937"/>
      <c r="D202" s="1944" t="s">
        <v>1887</v>
      </c>
      <c r="E202" s="1944"/>
      <c r="F202" s="2004"/>
      <c r="G202" s="1945">
        <f>'[3]B.VOL RAB'!Q631</f>
        <v>7.6</v>
      </c>
      <c r="H202" s="2456" t="str">
        <f>VLOOKUP($A202,satpek!$B$20:$N$144,7,0)</f>
        <v>ttk</v>
      </c>
      <c r="I202" s="2457" t="str">
        <f>VLOOKUP($A202,satpek!$B$20:$N$144,5,0)</f>
        <v>An. Dihitung</v>
      </c>
      <c r="J202" s="1951">
        <f>VLOOKUP($A202,satpek!$B$20:$N$144,6,0)</f>
        <v>490227.9</v>
      </c>
      <c r="K202" s="1938"/>
      <c r="L202" s="1952">
        <f t="shared" ref="L202:L221" si="217">ROUND((G202*J202),2)</f>
        <v>3725732.04</v>
      </c>
      <c r="M202" s="1967"/>
      <c r="N202" s="2458">
        <f>VLOOKUP($A202,satpek!$B$20:$L$138,8,0)</f>
        <v>0.87737132056335432</v>
      </c>
      <c r="O202" s="1954">
        <f>VLOOKUP($A202,satpek!$B$20:$L$138,9,0)</f>
        <v>380630</v>
      </c>
      <c r="P202" s="1954">
        <f>VLOOKUP($A202,satpek!$B$20:$L$138,10,0)</f>
        <v>430111.9</v>
      </c>
      <c r="Q202" s="1952">
        <f t="shared" ref="Q202:Q221" si="218">O202*G202</f>
        <v>2892788</v>
      </c>
      <c r="R202" s="1952">
        <f t="shared" ref="R202:R221" si="219">N202*L202</f>
        <v>3268850.44</v>
      </c>
      <c r="S202" s="1955">
        <f t="shared" ref="S202:S221" si="220">L202-R202</f>
        <v>456881.60000000009</v>
      </c>
      <c r="V202" s="1956">
        <v>490227.9</v>
      </c>
      <c r="W202" s="1956">
        <f t="shared" si="160"/>
        <v>0</v>
      </c>
      <c r="X202" s="1956">
        <f t="shared" si="161"/>
        <v>3725732.04</v>
      </c>
      <c r="Y202" s="1836" t="s">
        <v>1887</v>
      </c>
      <c r="AC202" s="1836"/>
      <c r="AD202" s="1836"/>
      <c r="AE202" s="1836"/>
      <c r="AF202" s="1837">
        <v>167950.77</v>
      </c>
      <c r="AG202" s="1960">
        <f t="shared" si="215"/>
        <v>-322277.13</v>
      </c>
    </row>
    <row r="203" spans="1:33" ht="21.95" customHeight="1" x14ac:dyDescent="0.2">
      <c r="A203" s="1833">
        <f>satpek!B89</f>
        <v>70</v>
      </c>
      <c r="B203" s="1943">
        <f t="shared" ref="B203:B221" si="221">B202+1</f>
        <v>2</v>
      </c>
      <c r="C203" s="1937"/>
      <c r="D203" s="1944" t="str">
        <f>VLOOKUP($A203,satpek!$B$20:$N$144,2,0)</f>
        <v>Memasang instalasi titik lampu (kabel 2x1,5 mm) tanpa fitting</v>
      </c>
      <c r="E203" s="1944"/>
      <c r="F203" s="2004"/>
      <c r="G203" s="1945">
        <f>'[3]B.VOL RAB'!Q632</f>
        <v>12</v>
      </c>
      <c r="H203" s="2456" t="str">
        <f>VLOOKUP($A203,satpek!$B$20:$N$144,7,0)</f>
        <v>ttk</v>
      </c>
      <c r="I203" s="2457" t="str">
        <f>VLOOKUP($A203,satpek!$B$20:$N$144,5,0)</f>
        <v>An. Dihitung</v>
      </c>
      <c r="J203" s="1951">
        <f>VLOOKUP($A203,satpek!$B$20:$N$144,6,0)</f>
        <v>115332.32</v>
      </c>
      <c r="K203" s="1938"/>
      <c r="L203" s="1952">
        <f t="shared" si="217"/>
        <v>1383987.84</v>
      </c>
      <c r="M203" s="1967"/>
      <c r="N203" s="2458">
        <f>VLOOKUP($A203,satpek!$B$20:$L$138,8,0)</f>
        <v>0.80012051261953288</v>
      </c>
      <c r="O203" s="1954">
        <f>VLOOKUP($A203,satpek!$B$20:$L$138,9,0)</f>
        <v>81663.5</v>
      </c>
      <c r="P203" s="1954">
        <f>VLOOKUP($A203,satpek!$B$20:$L$138,10,0)</f>
        <v>92279.755000000005</v>
      </c>
      <c r="Q203" s="1952">
        <f t="shared" si="218"/>
        <v>979962</v>
      </c>
      <c r="R203" s="1952">
        <f t="shared" si="219"/>
        <v>1107357.06</v>
      </c>
      <c r="S203" s="1955">
        <f t="shared" si="220"/>
        <v>276630.78000000003</v>
      </c>
      <c r="V203" s="1956">
        <v>115332.32</v>
      </c>
      <c r="W203" s="1956">
        <f t="shared" si="160"/>
        <v>0</v>
      </c>
      <c r="X203" s="1956">
        <f t="shared" si="161"/>
        <v>1383987.84</v>
      </c>
      <c r="Y203" s="1836" t="s">
        <v>1917</v>
      </c>
      <c r="AC203" s="1836"/>
      <c r="AD203" s="1836"/>
      <c r="AE203" s="1836"/>
      <c r="AF203" s="1837">
        <v>215790.45</v>
      </c>
      <c r="AG203" s="1960">
        <f t="shared" si="215"/>
        <v>100458.13</v>
      </c>
    </row>
    <row r="204" spans="1:33" ht="21.95" customHeight="1" x14ac:dyDescent="0.2">
      <c r="A204" s="1833">
        <f>satpek!B91</f>
        <v>72</v>
      </c>
      <c r="B204" s="1943">
        <f t="shared" si="221"/>
        <v>3</v>
      </c>
      <c r="C204" s="1937"/>
      <c r="D204" s="1944" t="str">
        <f>VLOOKUP($A204,satpek!$B$20:$N$144,2,0)</f>
        <v>Memasang Instalasi titik stop kontak (kabel 3x2,5 mm)</v>
      </c>
      <c r="E204" s="1944"/>
      <c r="F204" s="2004"/>
      <c r="G204" s="1945">
        <f>'[3]B.VOL RAB'!Q633</f>
        <v>42</v>
      </c>
      <c r="H204" s="2456" t="str">
        <f>VLOOKUP($A204,satpek!$B$20:$N$144,7,0)</f>
        <v>ttk</v>
      </c>
      <c r="I204" s="2457" t="str">
        <f>VLOOKUP($A204,satpek!$B$20:$N$144,5,0)</f>
        <v>An. Dihitung</v>
      </c>
      <c r="J204" s="1951">
        <f>VLOOKUP($A204,satpek!$B$20:$N$144,6,0)</f>
        <v>145842.32</v>
      </c>
      <c r="K204" s="1938"/>
      <c r="L204" s="1952">
        <f t="shared" si="217"/>
        <v>6125377.4400000004</v>
      </c>
      <c r="M204" s="1967"/>
      <c r="N204" s="2458">
        <f>VLOOKUP($A204,satpek!$B$20:$L$138,8,0)</f>
        <v>0.8179817764829852</v>
      </c>
      <c r="O204" s="1954">
        <f>VLOOKUP($A204,satpek!$B$20:$L$138,9,0)</f>
        <v>105572</v>
      </c>
      <c r="P204" s="1954">
        <f>VLOOKUP($A204,satpek!$B$20:$L$138,10,0)</f>
        <v>119296.36</v>
      </c>
      <c r="Q204" s="1952">
        <f t="shared" si="218"/>
        <v>4434024</v>
      </c>
      <c r="R204" s="1952">
        <f t="shared" si="219"/>
        <v>5010447.12</v>
      </c>
      <c r="S204" s="1955">
        <f t="shared" si="220"/>
        <v>1114930.3200000003</v>
      </c>
      <c r="V204" s="1956">
        <v>145842.32</v>
      </c>
      <c r="W204" s="1956">
        <f t="shared" si="160"/>
        <v>0</v>
      </c>
      <c r="X204" s="1956">
        <f t="shared" si="161"/>
        <v>6125377.4400000004</v>
      </c>
      <c r="Y204" s="1836" t="s">
        <v>1918</v>
      </c>
      <c r="AD204" s="1836"/>
      <c r="AE204" s="1836"/>
      <c r="AF204" s="1837">
        <v>249351.45</v>
      </c>
      <c r="AG204" s="1960">
        <f t="shared" si="215"/>
        <v>103509.13</v>
      </c>
    </row>
    <row r="205" spans="1:33" ht="21.95" customHeight="1" x14ac:dyDescent="0.2">
      <c r="A205" s="1833">
        <f>A204</f>
        <v>72</v>
      </c>
      <c r="B205" s="1943">
        <f t="shared" si="221"/>
        <v>4</v>
      </c>
      <c r="C205" s="1937"/>
      <c r="D205" s="1944" t="s">
        <v>1874</v>
      </c>
      <c r="E205" s="1944"/>
      <c r="F205" s="2004"/>
      <c r="G205" s="1945">
        <f>'[3]B.VOL RAB'!Q634</f>
        <v>12</v>
      </c>
      <c r="H205" s="2456" t="str">
        <f>VLOOKUP($A205,satpek!$B$20:$N$144,7,0)</f>
        <v>ttk</v>
      </c>
      <c r="I205" s="2457" t="str">
        <f>VLOOKUP($A205,satpek!$B$20:$N$144,5,0)</f>
        <v>An. Dihitung</v>
      </c>
      <c r="J205" s="1951">
        <f>VLOOKUP($A205,satpek!$B$20:$N$144,6,0)</f>
        <v>145842.32</v>
      </c>
      <c r="K205" s="1938"/>
      <c r="L205" s="1952">
        <f t="shared" si="217"/>
        <v>1750107.84</v>
      </c>
      <c r="M205" s="1967"/>
      <c r="N205" s="2458">
        <f>VLOOKUP($A205,satpek!$B$20:$L$138,8,0)</f>
        <v>0.8179817764829852</v>
      </c>
      <c r="O205" s="1954">
        <f>VLOOKUP($A205,satpek!$B$20:$L$138,9,0)</f>
        <v>105572</v>
      </c>
      <c r="P205" s="1954">
        <f>VLOOKUP($A205,satpek!$B$20:$L$138,10,0)</f>
        <v>119296.36</v>
      </c>
      <c r="Q205" s="1952">
        <f t="shared" si="218"/>
        <v>1266864</v>
      </c>
      <c r="R205" s="1952">
        <f t="shared" si="219"/>
        <v>1431556.32</v>
      </c>
      <c r="S205" s="1955">
        <f t="shared" si="220"/>
        <v>318551.52</v>
      </c>
      <c r="V205" s="1956">
        <v>145842.32</v>
      </c>
      <c r="W205" s="1956">
        <f t="shared" si="160"/>
        <v>0</v>
      </c>
      <c r="X205" s="1956">
        <f t="shared" si="161"/>
        <v>1750107.84</v>
      </c>
      <c r="Y205" s="1836" t="s">
        <v>1874</v>
      </c>
      <c r="AD205" s="1836"/>
      <c r="AE205" s="1836"/>
      <c r="AF205" s="1837">
        <v>249351.45</v>
      </c>
      <c r="AG205" s="1960">
        <f t="shared" si="215"/>
        <v>103509.13</v>
      </c>
    </row>
    <row r="206" spans="1:33" ht="21.95" customHeight="1" x14ac:dyDescent="0.2">
      <c r="A206" s="1833">
        <f>satpek!B92</f>
        <v>73</v>
      </c>
      <c r="B206" s="1943">
        <f t="shared" si="221"/>
        <v>5</v>
      </c>
      <c r="C206" s="1937"/>
      <c r="D206" s="1944" t="str">
        <f>VLOOKUP($A206,satpek!$B$20:$N$144,2,0)</f>
        <v>Instalasi titik Telephone 2 pair</v>
      </c>
      <c r="E206" s="1944"/>
      <c r="F206" s="2004"/>
      <c r="G206" s="1945">
        <f>'[3]B.VOL RAB'!Q637</f>
        <v>28</v>
      </c>
      <c r="H206" s="2456" t="str">
        <f>VLOOKUP($A206,satpek!$B$20:$N$144,7,0)</f>
        <v>ttk</v>
      </c>
      <c r="I206" s="2457" t="str">
        <f>VLOOKUP($A206,satpek!$B$20:$N$144,5,0)</f>
        <v>An. Dihitung</v>
      </c>
      <c r="J206" s="1951">
        <f>VLOOKUP($A206,satpek!$B$20:$N$144,6,0)</f>
        <v>93371.9</v>
      </c>
      <c r="K206" s="1938"/>
      <c r="L206" s="1952">
        <f t="shared" si="217"/>
        <v>2614413.2000000002</v>
      </c>
      <c r="M206" s="1967"/>
      <c r="N206" s="2458">
        <f>VLOOKUP($A206,satpek!$B$20:$L$138,8,0)</f>
        <v>0.9071039574004599</v>
      </c>
      <c r="O206" s="1954">
        <f>VLOOKUP($A206,satpek!$B$20:$L$138,9,0)</f>
        <v>74954</v>
      </c>
      <c r="P206" s="1954">
        <f>VLOOKUP($A206,satpek!$B$20:$L$138,10,0)</f>
        <v>84698.02</v>
      </c>
      <c r="Q206" s="1952">
        <f t="shared" si="218"/>
        <v>2098712</v>
      </c>
      <c r="R206" s="1952">
        <f t="shared" si="219"/>
        <v>2371544.56</v>
      </c>
      <c r="S206" s="1955">
        <f t="shared" si="220"/>
        <v>242868.64000000013</v>
      </c>
      <c r="V206" s="1956">
        <v>93371.9</v>
      </c>
      <c r="W206" s="1956">
        <f t="shared" si="160"/>
        <v>0</v>
      </c>
      <c r="X206" s="1956">
        <f t="shared" si="161"/>
        <v>2614413.1999999997</v>
      </c>
      <c r="Y206" s="1836" t="s">
        <v>1875</v>
      </c>
      <c r="AD206" s="1836"/>
      <c r="AE206" s="1836"/>
      <c r="AF206" s="1837">
        <v>92208</v>
      </c>
      <c r="AG206" s="1960">
        <f t="shared" si="215"/>
        <v>-1163.8999999999942</v>
      </c>
    </row>
    <row r="207" spans="1:33" ht="21.95" customHeight="1" x14ac:dyDescent="0.2">
      <c r="A207" s="1833">
        <f>A188</f>
        <v>74</v>
      </c>
      <c r="B207" s="1943">
        <f t="shared" si="221"/>
        <v>6</v>
      </c>
      <c r="C207" s="1937"/>
      <c r="D207" s="1944" t="str">
        <f>VLOOKUP($A207,satpek!$B$20:$N$144,2,0)</f>
        <v>Instalasi titik Data CAT 6</v>
      </c>
      <c r="E207" s="1944"/>
      <c r="F207" s="2004"/>
      <c r="G207" s="1945">
        <f>'[3]B.VOL RAB'!Q638</f>
        <v>12</v>
      </c>
      <c r="H207" s="2456" t="str">
        <f>VLOOKUP($A207,satpek!$B$20:$N$144,7,0)</f>
        <v>ttk</v>
      </c>
      <c r="I207" s="2457" t="str">
        <f>VLOOKUP($A207,satpek!$B$20:$N$144,5,0)</f>
        <v>An. Dihitung</v>
      </c>
      <c r="J207" s="1951">
        <f>VLOOKUP($A207,satpek!$B$20:$N$144,6,0)</f>
        <v>140437.33000000002</v>
      </c>
      <c r="K207" s="1938"/>
      <c r="L207" s="1952">
        <f t="shared" si="217"/>
        <v>1685247.96</v>
      </c>
      <c r="M207" s="1967"/>
      <c r="N207" s="2458">
        <f>VLOOKUP($A207,satpek!$B$20:$L$138,8,0)</f>
        <v>0.88809056240536555</v>
      </c>
      <c r="O207" s="1954">
        <f>VLOOKUP($A207,satpek!$B$20:$L$138,9,0)</f>
        <v>110372.62333</v>
      </c>
      <c r="P207" s="1954">
        <f>VLOOKUP($A207,satpek!$B$20:$L$138,10,0)</f>
        <v>124721.0643629</v>
      </c>
      <c r="Q207" s="1952">
        <f t="shared" si="218"/>
        <v>1324471.4799600001</v>
      </c>
      <c r="R207" s="1952">
        <f t="shared" si="219"/>
        <v>1496652.808588895</v>
      </c>
      <c r="S207" s="1955">
        <f t="shared" si="220"/>
        <v>188595.15141110495</v>
      </c>
      <c r="V207" s="1956">
        <v>140437.33000000002</v>
      </c>
      <c r="W207" s="1956">
        <f t="shared" si="160"/>
        <v>0</v>
      </c>
      <c r="X207" s="1956">
        <f t="shared" si="161"/>
        <v>1685247.9600000002</v>
      </c>
      <c r="Y207" s="1836" t="s">
        <v>1876</v>
      </c>
      <c r="AD207" s="1836"/>
      <c r="AE207" s="1836"/>
      <c r="AF207" s="1837">
        <v>139273.43</v>
      </c>
      <c r="AG207" s="1960">
        <f t="shared" si="215"/>
        <v>-1163.9000000000233</v>
      </c>
    </row>
    <row r="208" spans="1:33" ht="21.95" customHeight="1" x14ac:dyDescent="0.2">
      <c r="A208" s="1833">
        <f>satpek!B94</f>
        <v>75</v>
      </c>
      <c r="B208" s="1943">
        <f t="shared" si="221"/>
        <v>7</v>
      </c>
      <c r="C208" s="1937"/>
      <c r="D208" s="1944" t="str">
        <f>VLOOKUP($A208,satpek!$B$20:$N$144,2,0)</f>
        <v>Memasang saklar ganda</v>
      </c>
      <c r="E208" s="1944"/>
      <c r="F208" s="2004"/>
      <c r="G208" s="1945">
        <f>'[3]B.VOL RAB'!Q637</f>
        <v>28</v>
      </c>
      <c r="H208" s="2456" t="str">
        <f>VLOOKUP($A208,satpek!$B$20:$N$144,7,0)</f>
        <v>bh</v>
      </c>
      <c r="I208" s="2457" t="str">
        <f>VLOOKUP($A208,satpek!$B$20:$N$144,5,0)</f>
        <v>An. Dihitung</v>
      </c>
      <c r="J208" s="1951">
        <f>VLOOKUP($A208,satpek!$B$20:$N$144,6,0)</f>
        <v>49855.6</v>
      </c>
      <c r="K208" s="1938"/>
      <c r="L208" s="1952">
        <f t="shared" si="217"/>
        <v>1395956.8</v>
      </c>
      <c r="M208" s="1967"/>
      <c r="N208" s="2458">
        <f>VLOOKUP($A208,satpek!$B$20:$L$138,8,0)</f>
        <v>0.55736627379873072</v>
      </c>
      <c r="O208" s="1954">
        <f>VLOOKUP($A208,satpek!$B$20:$L$138,9,0)</f>
        <v>24591</v>
      </c>
      <c r="P208" s="1954">
        <f>VLOOKUP($A208,satpek!$B$20:$L$138,10,0)</f>
        <v>27787.83</v>
      </c>
      <c r="Q208" s="1952">
        <f t="shared" si="218"/>
        <v>688548</v>
      </c>
      <c r="R208" s="1952">
        <f t="shared" si="219"/>
        <v>778059.24</v>
      </c>
      <c r="S208" s="1955">
        <f t="shared" si="220"/>
        <v>617897.56000000006</v>
      </c>
      <c r="V208" s="1956">
        <v>49855.6</v>
      </c>
      <c r="W208" s="1956">
        <f t="shared" si="160"/>
        <v>0</v>
      </c>
      <c r="X208" s="1956">
        <f t="shared" si="161"/>
        <v>1395956.8</v>
      </c>
      <c r="Y208" s="1836" t="s">
        <v>372</v>
      </c>
      <c r="AD208" s="1836"/>
      <c r="AE208" s="1836"/>
      <c r="AF208" s="1837">
        <v>49482.7</v>
      </c>
      <c r="AG208" s="1960">
        <f t="shared" si="215"/>
        <v>-372.90000000000146</v>
      </c>
    </row>
    <row r="209" spans="1:33" ht="21.95" customHeight="1" x14ac:dyDescent="0.2">
      <c r="A209" s="1833">
        <f>satpek!B95</f>
        <v>76</v>
      </c>
      <c r="B209" s="1943">
        <f t="shared" si="221"/>
        <v>8</v>
      </c>
      <c r="C209" s="1937"/>
      <c r="D209" s="1944" t="str">
        <f>VLOOKUP($A209,satpek!$B$20:$N$144,2,0)</f>
        <v>Memasang saklar tunggal</v>
      </c>
      <c r="E209" s="1944"/>
      <c r="F209" s="2004"/>
      <c r="G209" s="1945">
        <f>'[3]B.VOL RAB'!Q638</f>
        <v>12</v>
      </c>
      <c r="H209" s="2456" t="str">
        <f>VLOOKUP($A209,satpek!$B$20:$N$144,7,0)</f>
        <v>bh</v>
      </c>
      <c r="I209" s="2457" t="str">
        <f>VLOOKUP($A209,satpek!$B$20:$N$144,5,0)</f>
        <v>An. Dihitung</v>
      </c>
      <c r="J209" s="1951">
        <f>VLOOKUP($A209,satpek!$B$20:$N$144,6,0)</f>
        <v>41826.949999999997</v>
      </c>
      <c r="K209" s="1938"/>
      <c r="L209" s="1952">
        <f t="shared" si="217"/>
        <v>501923.4</v>
      </c>
      <c r="M209" s="1967"/>
      <c r="N209" s="2458">
        <f>VLOOKUP($A209,satpek!$B$20:$L$138,8,0)</f>
        <v>0.5819465081723626</v>
      </c>
      <c r="O209" s="1954">
        <f>VLOOKUP($A209,satpek!$B$20:$L$138,9,0)</f>
        <v>21540.75</v>
      </c>
      <c r="P209" s="1954">
        <f>VLOOKUP($A209,satpek!$B$20:$L$138,10,0)</f>
        <v>24341.047500000001</v>
      </c>
      <c r="Q209" s="1952">
        <f t="shared" si="218"/>
        <v>258489</v>
      </c>
      <c r="R209" s="1952">
        <f t="shared" si="219"/>
        <v>292092.57</v>
      </c>
      <c r="S209" s="1955">
        <f t="shared" si="220"/>
        <v>209830.83000000002</v>
      </c>
      <c r="V209" s="1956">
        <v>41826.949999999997</v>
      </c>
      <c r="W209" s="1956">
        <f t="shared" ref="W209:W223" si="222">X209-L209</f>
        <v>0</v>
      </c>
      <c r="X209" s="1956">
        <f t="shared" ref="X209:X223" si="223">V209*G209</f>
        <v>501923.39999999997</v>
      </c>
      <c r="Y209" s="1836" t="s">
        <v>373</v>
      </c>
      <c r="AD209" s="1836"/>
      <c r="AE209" s="1836"/>
      <c r="AF209" s="1837">
        <v>41454.050000000003</v>
      </c>
      <c r="AG209" s="1960">
        <f t="shared" si="215"/>
        <v>-372.89999999999418</v>
      </c>
    </row>
    <row r="210" spans="1:33" ht="21.95" customHeight="1" x14ac:dyDescent="0.2">
      <c r="A210" s="1833">
        <f>satpek!B96</f>
        <v>77</v>
      </c>
      <c r="B210" s="1943">
        <f t="shared" si="221"/>
        <v>9</v>
      </c>
      <c r="C210" s="1937"/>
      <c r="D210" s="1944" t="str">
        <f>VLOOKUP($A210,satpek!$B$20:$N$144,2,0)</f>
        <v>Memasang stop kontak</v>
      </c>
      <c r="E210" s="1944"/>
      <c r="F210" s="2004"/>
      <c r="G210" s="1945">
        <f>'[3]B.VOL RAB'!Q639</f>
        <v>42</v>
      </c>
      <c r="H210" s="2456" t="str">
        <f>VLOOKUP($A210,satpek!$B$20:$N$144,7,0)</f>
        <v>bh</v>
      </c>
      <c r="I210" s="2457" t="str">
        <f>VLOOKUP($A210,satpek!$B$20:$N$144,5,0)</f>
        <v>An. Dihitung</v>
      </c>
      <c r="J210" s="1951">
        <f>VLOOKUP($A210,satpek!$B$20:$N$144,6,0)</f>
        <v>37730.699999999997</v>
      </c>
      <c r="K210" s="1938"/>
      <c r="L210" s="1952">
        <f t="shared" si="217"/>
        <v>1584689.4</v>
      </c>
      <c r="M210" s="1967"/>
      <c r="N210" s="2458">
        <f>VLOOKUP($A210,satpek!$B$20:$L$138,8,0)</f>
        <v>0.59851752021563343</v>
      </c>
      <c r="O210" s="1954">
        <f>VLOOKUP($A210,satpek!$B$20:$L$138,9,0)</f>
        <v>19984.5</v>
      </c>
      <c r="P210" s="1954">
        <f>VLOOKUP($A210,satpek!$B$20:$L$138,10,0)</f>
        <v>22582.485000000001</v>
      </c>
      <c r="Q210" s="1952">
        <f t="shared" si="218"/>
        <v>839349</v>
      </c>
      <c r="R210" s="1952">
        <f t="shared" si="219"/>
        <v>948464.37</v>
      </c>
      <c r="S210" s="1955">
        <f t="shared" si="220"/>
        <v>636225.02999999991</v>
      </c>
      <c r="V210" s="1956">
        <v>37730.699999999997</v>
      </c>
      <c r="W210" s="1956">
        <f t="shared" si="222"/>
        <v>0</v>
      </c>
      <c r="X210" s="1956">
        <f t="shared" si="223"/>
        <v>1584689.4</v>
      </c>
      <c r="Y210" s="1836" t="s">
        <v>374</v>
      </c>
      <c r="AD210" s="1836"/>
      <c r="AE210" s="1836"/>
      <c r="AF210" s="1837">
        <v>37357.800000000003</v>
      </c>
      <c r="AG210" s="1960">
        <f t="shared" si="215"/>
        <v>-372.89999999999418</v>
      </c>
    </row>
    <row r="211" spans="1:33" ht="21.95" customHeight="1" x14ac:dyDescent="0.2">
      <c r="A211" s="1833">
        <f>satpek!B97</f>
        <v>78</v>
      </c>
      <c r="B211" s="1943">
        <f t="shared" si="221"/>
        <v>10</v>
      </c>
      <c r="C211" s="1937"/>
      <c r="D211" s="1944" t="str">
        <f>VLOOKUP($A211,satpek!$B$20:$N$144,2,0)</f>
        <v xml:space="preserve">Memasang stop kontak AC </v>
      </c>
      <c r="E211" s="1944"/>
      <c r="F211" s="2004"/>
      <c r="G211" s="1945">
        <f>'[3]B.VOL RAB'!Q640</f>
        <v>12</v>
      </c>
      <c r="H211" s="2456" t="str">
        <f>VLOOKUP($A211,satpek!$B$20:$N$144,7,0)</f>
        <v>bh</v>
      </c>
      <c r="I211" s="2457" t="str">
        <f>VLOOKUP($A211,satpek!$B$20:$N$144,5,0)</f>
        <v>An. Dihitung</v>
      </c>
      <c r="J211" s="1951">
        <f>VLOOKUP($A211,satpek!$B$20:$N$144,6,0)</f>
        <v>115836.3</v>
      </c>
      <c r="K211" s="1938"/>
      <c r="L211" s="1952">
        <f t="shared" si="217"/>
        <v>1390035.6</v>
      </c>
      <c r="M211" s="1967"/>
      <c r="N211" s="2458">
        <f>VLOOKUP($A211,satpek!$B$20:$L$138,8,0)</f>
        <v>0.46296458882060287</v>
      </c>
      <c r="O211" s="1954">
        <f>VLOOKUP($A211,satpek!$B$20:$L$138,9,0)</f>
        <v>47458.5</v>
      </c>
      <c r="P211" s="1954">
        <f>VLOOKUP($A211,satpek!$B$20:$L$138,10,0)</f>
        <v>53628.105000000003</v>
      </c>
      <c r="Q211" s="1952">
        <f t="shared" si="218"/>
        <v>569502</v>
      </c>
      <c r="R211" s="1952">
        <f t="shared" si="219"/>
        <v>643537.26</v>
      </c>
      <c r="S211" s="1955">
        <f t="shared" si="220"/>
        <v>746498.34000000008</v>
      </c>
      <c r="V211" s="1956">
        <v>115836.3</v>
      </c>
      <c r="W211" s="1956">
        <f t="shared" si="222"/>
        <v>0</v>
      </c>
      <c r="X211" s="1956">
        <f t="shared" si="223"/>
        <v>1390035.6</v>
      </c>
      <c r="Y211" s="1836" t="s">
        <v>1877</v>
      </c>
      <c r="AD211" s="1836"/>
      <c r="AE211" s="1836"/>
      <c r="AF211" s="1837">
        <v>115463.4</v>
      </c>
      <c r="AG211" s="1960">
        <f t="shared" si="215"/>
        <v>-372.90000000000873</v>
      </c>
    </row>
    <row r="212" spans="1:33" ht="21.95" customHeight="1" x14ac:dyDescent="0.2">
      <c r="A212" s="1833">
        <f>satpek!$B$98</f>
        <v>79</v>
      </c>
      <c r="B212" s="1943">
        <f t="shared" si="221"/>
        <v>11</v>
      </c>
      <c r="C212" s="1937"/>
      <c r="D212" s="1944" t="str">
        <f>VLOOKUP($A212,satpek!$B$20:$N$144,2,0)</f>
        <v>Memasang stop kontak outlet Telephone</v>
      </c>
      <c r="E212" s="1944"/>
      <c r="F212" s="2004"/>
      <c r="G212" s="1945">
        <f>'[3]B.VOL RAB'!Q641</f>
        <v>4</v>
      </c>
      <c r="H212" s="2456" t="str">
        <f>VLOOKUP($A212,satpek!$B$20:$N$144,7,0)</f>
        <v>bh</v>
      </c>
      <c r="I212" s="2457" t="str">
        <f>VLOOKUP($A212,satpek!$B$20:$N$144,5,0)</f>
        <v>An. Dihitung</v>
      </c>
      <c r="J212" s="1951">
        <f>VLOOKUP($A212,satpek!$B$20:$N$144,6,0)</f>
        <v>82122.75</v>
      </c>
      <c r="K212" s="1938"/>
      <c r="L212" s="1952">
        <f t="shared" si="217"/>
        <v>328491</v>
      </c>
      <c r="M212" s="1967"/>
      <c r="N212" s="2458">
        <f>VLOOKUP($A212,satpek!$B$20:$L$138,8,0)</f>
        <v>0.48653250773993806</v>
      </c>
      <c r="O212" s="1954">
        <f>VLOOKUP($A212,satpek!$B$20:$L$138,9,0)</f>
        <v>35358.75</v>
      </c>
      <c r="P212" s="1954">
        <f>VLOOKUP($A212,satpek!$B$20:$L$138,10,0)</f>
        <v>39955.387499999997</v>
      </c>
      <c r="Q212" s="1952">
        <f t="shared" si="218"/>
        <v>141435</v>
      </c>
      <c r="R212" s="1952">
        <f t="shared" si="219"/>
        <v>159821.54999999999</v>
      </c>
      <c r="S212" s="1955">
        <f t="shared" si="220"/>
        <v>168669.45</v>
      </c>
      <c r="V212" s="1956">
        <v>82122.75</v>
      </c>
      <c r="W212" s="1956">
        <f t="shared" si="222"/>
        <v>0</v>
      </c>
      <c r="X212" s="1956">
        <f t="shared" si="223"/>
        <v>328491</v>
      </c>
      <c r="Y212" s="1836" t="s">
        <v>1878</v>
      </c>
      <c r="AD212" s="1836"/>
      <c r="AE212" s="1836"/>
      <c r="AF212" s="1837">
        <v>81749.850000000006</v>
      </c>
      <c r="AG212" s="1960">
        <f t="shared" si="215"/>
        <v>-372.89999999999418</v>
      </c>
    </row>
    <row r="213" spans="1:33" ht="21.95" customHeight="1" x14ac:dyDescent="0.2">
      <c r="A213" s="1833">
        <f>satpek!B99</f>
        <v>80</v>
      </c>
      <c r="B213" s="1943">
        <f t="shared" si="221"/>
        <v>12</v>
      </c>
      <c r="C213" s="1937"/>
      <c r="D213" s="1944" t="str">
        <f>VLOOKUP($A213,satpek!$B$20:$N$144,2,0)</f>
        <v>Memasang stop kontak outlet Data</v>
      </c>
      <c r="E213" s="1944"/>
      <c r="F213" s="2004"/>
      <c r="G213" s="1945">
        <f>'[3]B.VOL RAB'!Q642</f>
        <v>8</v>
      </c>
      <c r="H213" s="2456" t="str">
        <f>VLOOKUP($A213,satpek!$B$20:$N$144,7,0)</f>
        <v>bh</v>
      </c>
      <c r="I213" s="2457" t="str">
        <f>VLOOKUP($A213,satpek!$B$20:$N$144,5,0)</f>
        <v>An. Dihitung</v>
      </c>
      <c r="J213" s="1951">
        <f>VLOOKUP($A213,satpek!$B$20:$N$144,6,0)</f>
        <v>136278</v>
      </c>
      <c r="K213" s="1938"/>
      <c r="L213" s="1952">
        <f t="shared" si="217"/>
        <v>1090224</v>
      </c>
      <c r="M213" s="1967"/>
      <c r="N213" s="2458">
        <f>VLOOKUP($A213,satpek!$B$20:$L$138,8,0)</f>
        <v>0.45435323383084575</v>
      </c>
      <c r="O213" s="1954">
        <f>VLOOKUP($A213,satpek!$B$20:$L$138,9,0)</f>
        <v>54795</v>
      </c>
      <c r="P213" s="1954">
        <f>VLOOKUP($A213,satpek!$B$20:$L$138,10,0)</f>
        <v>61918.35</v>
      </c>
      <c r="Q213" s="1952">
        <f t="shared" si="218"/>
        <v>438360</v>
      </c>
      <c r="R213" s="1952">
        <f t="shared" si="219"/>
        <v>495346.8</v>
      </c>
      <c r="S213" s="1955">
        <f t="shared" si="220"/>
        <v>594877.19999999995</v>
      </c>
      <c r="V213" s="1956">
        <v>136278</v>
      </c>
      <c r="W213" s="1956">
        <f t="shared" si="222"/>
        <v>0</v>
      </c>
      <c r="X213" s="1956">
        <f t="shared" si="223"/>
        <v>1090224</v>
      </c>
      <c r="Y213" s="1836" t="s">
        <v>1879</v>
      </c>
      <c r="AD213" s="1836"/>
      <c r="AE213" s="1836"/>
      <c r="AF213" s="1837">
        <v>135905.1</v>
      </c>
      <c r="AG213" s="1960">
        <f t="shared" si="215"/>
        <v>-372.89999999999418</v>
      </c>
    </row>
    <row r="214" spans="1:33" ht="21.95" customHeight="1" x14ac:dyDescent="0.2">
      <c r="A214" s="1833">
        <f>satpek!B100</f>
        <v>81</v>
      </c>
      <c r="B214" s="1943">
        <f t="shared" si="221"/>
        <v>13</v>
      </c>
      <c r="C214" s="1937"/>
      <c r="D214" s="1944" t="str">
        <f>VLOOKUP($A214,satpek!$B$20:$N$144,2,0)</f>
        <v>Memasang downlight LED 10 watt tipe inbow</v>
      </c>
      <c r="E214" s="1944"/>
      <c r="F214" s="2004"/>
      <c r="G214" s="1945">
        <f>'[3]B.VOL RAB'!Q643</f>
        <v>12</v>
      </c>
      <c r="H214" s="2456" t="str">
        <f>VLOOKUP($A214,satpek!$B$20:$N$144,7,0)</f>
        <v>ttk</v>
      </c>
      <c r="I214" s="2457" t="str">
        <f>VLOOKUP($A214,satpek!$B$20:$N$144,5,0)</f>
        <v>An. Dihitung</v>
      </c>
      <c r="J214" s="1951">
        <f>VLOOKUP($A214,satpek!$B$20:$N$144,6,0)</f>
        <v>124333.9</v>
      </c>
      <c r="K214" s="1938"/>
      <c r="L214" s="1952">
        <f t="shared" si="217"/>
        <v>1492006.8</v>
      </c>
      <c r="M214" s="1967"/>
      <c r="N214" s="2458">
        <f>VLOOKUP($A214,satpek!$B$20:$L$138,8,0)</f>
        <v>0.71568663091884033</v>
      </c>
      <c r="O214" s="1954">
        <f>VLOOKUP($A214,satpek!$B$20:$L$138,9,0)</f>
        <v>78747</v>
      </c>
      <c r="P214" s="1954">
        <f>VLOOKUP($A214,satpek!$B$20:$L$138,10,0)</f>
        <v>88984.11</v>
      </c>
      <c r="Q214" s="1952">
        <f t="shared" si="218"/>
        <v>944964</v>
      </c>
      <c r="R214" s="1952">
        <f t="shared" si="219"/>
        <v>1067809.32</v>
      </c>
      <c r="S214" s="1955">
        <f t="shared" si="220"/>
        <v>424197.48</v>
      </c>
      <c r="V214" s="1956">
        <v>124333.9</v>
      </c>
      <c r="W214" s="1956">
        <f t="shared" si="222"/>
        <v>0</v>
      </c>
      <c r="X214" s="1956">
        <f t="shared" si="223"/>
        <v>1492006.7999999998</v>
      </c>
      <c r="Y214" s="1836" t="s">
        <v>1880</v>
      </c>
      <c r="AD214" s="1836"/>
      <c r="AE214" s="1836"/>
      <c r="AF214" s="1837">
        <v>123237.8</v>
      </c>
      <c r="AG214" s="1960">
        <f t="shared" si="215"/>
        <v>-1096.0999999999913</v>
      </c>
    </row>
    <row r="215" spans="1:33" ht="21.95" customHeight="1" x14ac:dyDescent="0.2">
      <c r="A215" s="1833">
        <f>satpek!B101</f>
        <v>82</v>
      </c>
      <c r="B215" s="1943">
        <f t="shared" si="221"/>
        <v>14</v>
      </c>
      <c r="C215" s="1937"/>
      <c r="D215" s="1944" t="str">
        <f>VLOOKUP($A215,satpek!$B$20:$N$144,2,0)</f>
        <v>Memasang downlight LED 17 watt tipe inbow</v>
      </c>
      <c r="E215" s="1944"/>
      <c r="F215" s="2004"/>
      <c r="G215" s="1945">
        <f>'[3]B.VOL RAB'!Q644</f>
        <v>116</v>
      </c>
      <c r="H215" s="2456" t="str">
        <f>VLOOKUP($A215,satpek!$B$20:$N$144,7,0)</f>
        <v>ttk</v>
      </c>
      <c r="I215" s="2457" t="str">
        <f>VLOOKUP($A215,satpek!$B$20:$N$144,5,0)</f>
        <v>An. Dihitung</v>
      </c>
      <c r="J215" s="1951">
        <f>VLOOKUP($A215,satpek!$B$20:$N$144,6,0)</f>
        <v>186709.9</v>
      </c>
      <c r="K215" s="1938"/>
      <c r="L215" s="1952">
        <f t="shared" si="217"/>
        <v>21658348.399999999</v>
      </c>
      <c r="M215" s="1967"/>
      <c r="N215" s="2458">
        <f>VLOOKUP($A215,satpek!$B$20:$L$138,8,0)</f>
        <v>0.68084367245657573</v>
      </c>
      <c r="O215" s="1954">
        <f>VLOOKUP($A215,satpek!$B$20:$L$138,9,0)</f>
        <v>112495.8</v>
      </c>
      <c r="P215" s="1954">
        <f>VLOOKUP($A215,satpek!$B$20:$L$138,10,0)</f>
        <v>127120.254</v>
      </c>
      <c r="Q215" s="1952">
        <f t="shared" si="218"/>
        <v>13049512.800000001</v>
      </c>
      <c r="R215" s="1952">
        <f t="shared" si="219"/>
        <v>14745949.464</v>
      </c>
      <c r="S215" s="1955">
        <f t="shared" si="220"/>
        <v>6912398.9359999988</v>
      </c>
      <c r="V215" s="1956">
        <v>186709.9</v>
      </c>
      <c r="W215" s="1956">
        <f t="shared" si="222"/>
        <v>0</v>
      </c>
      <c r="X215" s="1956">
        <f t="shared" si="223"/>
        <v>21658348.399999999</v>
      </c>
      <c r="Y215" s="1836" t="s">
        <v>1881</v>
      </c>
      <c r="AD215" s="1836"/>
      <c r="AE215" s="1836"/>
      <c r="AF215" s="1837">
        <v>185613.8</v>
      </c>
      <c r="AG215" s="1960">
        <f t="shared" si="215"/>
        <v>-1096.1000000000058</v>
      </c>
    </row>
    <row r="216" spans="1:33" ht="21.95" customHeight="1" x14ac:dyDescent="0.2">
      <c r="A216" s="1833">
        <f>satpek!B103</f>
        <v>84</v>
      </c>
      <c r="B216" s="1943">
        <f t="shared" si="221"/>
        <v>15</v>
      </c>
      <c r="C216" s="1937"/>
      <c r="D216" s="1944" t="str">
        <f>VLOOKUP($A216,satpek!$B$20:$N$144,2,0)</f>
        <v>Memasang kabel tray galvanis</v>
      </c>
      <c r="E216" s="1944"/>
      <c r="F216" s="2004"/>
      <c r="G216" s="1945">
        <f>'[3]B.VOL RAB'!Q645</f>
        <v>55</v>
      </c>
      <c r="H216" s="2456" t="str">
        <f>VLOOKUP($A216,satpek!$B$20:$N$144,7,0)</f>
        <v>m'</v>
      </c>
      <c r="I216" s="2457" t="str">
        <f>VLOOKUP($A216,satpek!$B$20:$N$144,5,0)</f>
        <v>An. Dihitung</v>
      </c>
      <c r="J216" s="1951">
        <f>VLOOKUP($A216,satpek!$B$20:$N$144,6,0)</f>
        <v>274370.78000000003</v>
      </c>
      <c r="K216" s="1938"/>
      <c r="L216" s="1952">
        <f t="shared" si="217"/>
        <v>15090392.9</v>
      </c>
      <c r="M216" s="1967"/>
      <c r="N216" s="2458">
        <f>VLOOKUP($A216,satpek!$B$20:$L$138,8,0)</f>
        <v>0.80899051094289265</v>
      </c>
      <c r="O216" s="1954">
        <f>VLOOKUP($A216,satpek!$B$20:$L$138,9,0)</f>
        <v>196427.75</v>
      </c>
      <c r="P216" s="1954">
        <f>VLOOKUP($A216,satpek!$B$20:$L$138,10,0)</f>
        <v>221963.35750000001</v>
      </c>
      <c r="Q216" s="1952">
        <f t="shared" si="218"/>
        <v>10803526.25</v>
      </c>
      <c r="R216" s="1952">
        <f t="shared" si="219"/>
        <v>12207984.6625</v>
      </c>
      <c r="S216" s="1955">
        <f t="shared" si="220"/>
        <v>2882408.2375000007</v>
      </c>
      <c r="V216" s="1956">
        <v>274370.78000000003</v>
      </c>
      <c r="W216" s="1956">
        <f t="shared" si="222"/>
        <v>0</v>
      </c>
      <c r="X216" s="1956">
        <f t="shared" si="223"/>
        <v>15090392.900000002</v>
      </c>
      <c r="Y216" s="1836" t="s">
        <v>1883</v>
      </c>
      <c r="AD216" s="1836"/>
      <c r="AE216" s="1836"/>
      <c r="AF216" s="1837">
        <v>286212.05</v>
      </c>
      <c r="AG216" s="1960">
        <f t="shared" si="215"/>
        <v>11841.26999999996</v>
      </c>
    </row>
    <row r="217" spans="1:33" ht="21.95" customHeight="1" x14ac:dyDescent="0.2">
      <c r="A217" s="1833">
        <f>satpek!B104</f>
        <v>85</v>
      </c>
      <c r="B217" s="1943">
        <f t="shared" si="221"/>
        <v>16</v>
      </c>
      <c r="C217" s="1937"/>
      <c r="D217" s="1944" t="str">
        <f>VLOOKUP($A217,satpek!$B$20:$N$144,2,0)</f>
        <v>Memasang Exhaust fan</v>
      </c>
      <c r="E217" s="1944"/>
      <c r="F217" s="2004"/>
      <c r="G217" s="1945">
        <f>'[3]B.VOL RAB'!Q646</f>
        <v>9</v>
      </c>
      <c r="H217" s="2456" t="str">
        <f>VLOOKUP($A217,satpek!$B$20:$N$144,7,0)</f>
        <v>bh</v>
      </c>
      <c r="I217" s="2457" t="str">
        <f>VLOOKUP($A217,satpek!$B$20:$N$144,5,0)</f>
        <v>An. Dihitung</v>
      </c>
      <c r="J217" s="1951">
        <f>VLOOKUP($A217,satpek!$B$20:$N$144,6,0)</f>
        <v>556977</v>
      </c>
      <c r="K217" s="1938"/>
      <c r="L217" s="1952">
        <f t="shared" si="217"/>
        <v>5012793</v>
      </c>
      <c r="M217" s="1967"/>
      <c r="N217" s="2458">
        <f>VLOOKUP($A217,satpek!$B$20:$L$138,8,0)</f>
        <v>0.11594643944004869</v>
      </c>
      <c r="O217" s="1954">
        <f>VLOOKUP($A217,satpek!$B$20:$L$138,9,0)</f>
        <v>57150</v>
      </c>
      <c r="P217" s="1954">
        <f>VLOOKUP($A217,satpek!$B$20:$L$138,10,0)</f>
        <v>64579.5</v>
      </c>
      <c r="Q217" s="1952">
        <f t="shared" si="218"/>
        <v>514350</v>
      </c>
      <c r="R217" s="1952">
        <f t="shared" si="219"/>
        <v>581215.5</v>
      </c>
      <c r="S217" s="1955">
        <f t="shared" si="220"/>
        <v>4431577.5</v>
      </c>
      <c r="V217" s="1956">
        <v>556977</v>
      </c>
      <c r="W217" s="1956">
        <f t="shared" si="222"/>
        <v>0</v>
      </c>
      <c r="X217" s="1956">
        <f t="shared" si="223"/>
        <v>5012793</v>
      </c>
      <c r="Y217" s="1836" t="s">
        <v>1886</v>
      </c>
      <c r="AD217" s="1836"/>
      <c r="AE217" s="1836"/>
      <c r="AF217" s="1837">
        <v>556604.1</v>
      </c>
      <c r="AG217" s="1960">
        <f t="shared" si="215"/>
        <v>-372.90000000002328</v>
      </c>
    </row>
    <row r="218" spans="1:33" ht="21.95" customHeight="1" x14ac:dyDescent="0.2">
      <c r="A218" s="1833">
        <f>satpek!B129</f>
        <v>104</v>
      </c>
      <c r="B218" s="1943">
        <f t="shared" si="221"/>
        <v>17</v>
      </c>
      <c r="C218" s="1937"/>
      <c r="D218" s="1944" t="str">
        <f>VLOOKUP($A218,satpek!$B$20:$N$144,2,0)</f>
        <v>Memasang Unit AC 1 PK</v>
      </c>
      <c r="E218" s="1944"/>
      <c r="F218" s="2004"/>
      <c r="G218" s="1945">
        <f>'[3]B.VOL RAB'!Q647</f>
        <v>12</v>
      </c>
      <c r="H218" s="2456" t="str">
        <f>VLOOKUP($A218,satpek!$B$20:$N$144,7,0)</f>
        <v>unit</v>
      </c>
      <c r="I218" s="2457" t="str">
        <f>VLOOKUP($A218,satpek!$B$20:$N$144,5,0)</f>
        <v>Daftar harga</v>
      </c>
      <c r="J218" s="1951">
        <f>VLOOKUP($A218,satpek!$B$20:$N$144,6,0)</f>
        <v>4950000</v>
      </c>
      <c r="K218" s="1938"/>
      <c r="L218" s="1952">
        <f t="shared" si="217"/>
        <v>59400000</v>
      </c>
      <c r="M218" s="1967"/>
      <c r="N218" s="2458">
        <f>VLOOKUP($A218,satpek!$B$20:$L$138,8,0)</f>
        <v>0.1082</v>
      </c>
      <c r="O218" s="1954">
        <f>VLOOKUP($A218,satpek!$B$20:$L$138,9,0)</f>
        <v>0</v>
      </c>
      <c r="P218" s="1954">
        <f>VLOOKUP($A218,satpek!$B$20:$L$138,10,0)</f>
        <v>535590</v>
      </c>
      <c r="Q218" s="1952">
        <f t="shared" si="218"/>
        <v>0</v>
      </c>
      <c r="R218" s="1952">
        <f t="shared" si="219"/>
        <v>6427080</v>
      </c>
      <c r="S218" s="1955">
        <f t="shared" si="220"/>
        <v>52972920</v>
      </c>
      <c r="V218" s="1956">
        <v>4950000</v>
      </c>
      <c r="W218" s="1956">
        <f t="shared" si="222"/>
        <v>0</v>
      </c>
      <c r="X218" s="1956">
        <f t="shared" si="223"/>
        <v>59400000</v>
      </c>
      <c r="Y218" s="1836" t="s">
        <v>1884</v>
      </c>
      <c r="AD218" s="1836"/>
      <c r="AE218" s="1836"/>
      <c r="AF218" s="1837">
        <v>4950000</v>
      </c>
      <c r="AG218" s="1960">
        <f t="shared" si="215"/>
        <v>0</v>
      </c>
    </row>
    <row r="219" spans="1:33" ht="21.95" customHeight="1" x14ac:dyDescent="0.2">
      <c r="A219" s="1833">
        <f>satpek!B116</f>
        <v>97</v>
      </c>
      <c r="B219" s="1943">
        <f t="shared" si="221"/>
        <v>18</v>
      </c>
      <c r="C219" s="1937"/>
      <c r="D219" s="1944" t="str">
        <f>VLOOKUP($A219,satpek!$B$20:$N$144,2,0)</f>
        <v>Panel uk 40x60x25 lengkap dengan asesoris 3 phase</v>
      </c>
      <c r="E219" s="1944"/>
      <c r="F219" s="2004"/>
      <c r="G219" s="1945">
        <f>'[3]B.VOL RAB'!Q648</f>
        <v>1</v>
      </c>
      <c r="H219" s="2456" t="str">
        <f>VLOOKUP($A219,satpek!$B$20:$N$144,7,0)</f>
        <v>unit</v>
      </c>
      <c r="I219" s="2457" t="str">
        <f>VLOOKUP($A219,satpek!$B$20:$N$144,5,0)</f>
        <v>Daftar harga</v>
      </c>
      <c r="J219" s="1951">
        <f>VLOOKUP($A219,satpek!$B$20:$N$144,6,0)</f>
        <v>4500000</v>
      </c>
      <c r="K219" s="1938"/>
      <c r="L219" s="1952">
        <f t="shared" si="217"/>
        <v>4500000</v>
      </c>
      <c r="M219" s="1967"/>
      <c r="N219" s="2458">
        <f>VLOOKUP($A219,satpek!$B$20:$L$138,8,0)</f>
        <v>0.3</v>
      </c>
      <c r="O219" s="1954">
        <f>VLOOKUP($A219,satpek!$B$20:$L$138,9,0)</f>
        <v>0</v>
      </c>
      <c r="P219" s="1954">
        <f>VLOOKUP($A219,satpek!$B$20:$L$138,10,0)</f>
        <v>1350000</v>
      </c>
      <c r="Q219" s="1952">
        <f t="shared" si="218"/>
        <v>0</v>
      </c>
      <c r="R219" s="1952">
        <f t="shared" si="219"/>
        <v>1350000</v>
      </c>
      <c r="S219" s="1955">
        <f t="shared" si="220"/>
        <v>3150000</v>
      </c>
      <c r="V219" s="1956">
        <v>4500000</v>
      </c>
      <c r="W219" s="1956">
        <f t="shared" si="222"/>
        <v>0</v>
      </c>
      <c r="X219" s="1956">
        <f t="shared" si="223"/>
        <v>4500000</v>
      </c>
      <c r="Y219" s="1836" t="s">
        <v>1888</v>
      </c>
      <c r="AD219" s="1836"/>
      <c r="AE219" s="1836"/>
      <c r="AF219" s="1837">
        <v>5000000</v>
      </c>
      <c r="AG219" s="1960">
        <f t="shared" si="215"/>
        <v>500000</v>
      </c>
    </row>
    <row r="220" spans="1:33" ht="21.95" customHeight="1" x14ac:dyDescent="0.2">
      <c r="A220" s="1833">
        <f>satpek!B130</f>
        <v>105</v>
      </c>
      <c r="B220" s="1943">
        <f t="shared" si="221"/>
        <v>19</v>
      </c>
      <c r="C220" s="1937"/>
      <c r="D220" s="1944" t="str">
        <f>VLOOKUP($A220,satpek!$B$20:$N$144,2,0)</f>
        <v>Pasang instalasi penangkal petir 1 split lengkap</v>
      </c>
      <c r="E220" s="1944"/>
      <c r="F220" s="2004"/>
      <c r="G220" s="1945">
        <f>'[3]B.VOL RAB'!Q649</f>
        <v>1</v>
      </c>
      <c r="H220" s="2456" t="str">
        <f>VLOOKUP($A220,satpek!$B$20:$N$144,7,0)</f>
        <v>unit</v>
      </c>
      <c r="I220" s="2457" t="str">
        <f>VLOOKUP($A220,satpek!$B$20:$N$144,5,0)</f>
        <v>Daftar harga</v>
      </c>
      <c r="J220" s="1951">
        <f>VLOOKUP($A220,satpek!$B$20:$N$144,6,0)</f>
        <v>8200000</v>
      </c>
      <c r="K220" s="1938"/>
      <c r="L220" s="1952">
        <f t="shared" si="217"/>
        <v>8200000</v>
      </c>
      <c r="M220" s="1967"/>
      <c r="N220" s="2458">
        <f>VLOOKUP($A220,satpek!$B$20:$L$138,8,0)</f>
        <v>0.2</v>
      </c>
      <c r="O220" s="1954">
        <f>VLOOKUP($A220,satpek!$B$20:$L$138,9,0)</f>
        <v>0</v>
      </c>
      <c r="P220" s="1954">
        <f>VLOOKUP($A220,satpek!$B$20:$L$138,10,0)</f>
        <v>1640000</v>
      </c>
      <c r="Q220" s="1952">
        <f t="shared" si="218"/>
        <v>0</v>
      </c>
      <c r="R220" s="1952">
        <f t="shared" si="219"/>
        <v>1640000</v>
      </c>
      <c r="S220" s="1955">
        <f t="shared" si="220"/>
        <v>6560000</v>
      </c>
      <c r="V220" s="1956">
        <v>8200000</v>
      </c>
      <c r="W220" s="1956">
        <f t="shared" si="222"/>
        <v>0</v>
      </c>
      <c r="X220" s="1956">
        <f t="shared" si="223"/>
        <v>8200000</v>
      </c>
      <c r="Y220" s="1836" t="s">
        <v>1392</v>
      </c>
      <c r="AD220" s="1836"/>
      <c r="AE220" s="1836"/>
      <c r="AF220" s="1837">
        <v>8600000</v>
      </c>
      <c r="AG220" s="1960">
        <f t="shared" si="215"/>
        <v>400000</v>
      </c>
    </row>
    <row r="221" spans="1:33" ht="21.95" customHeight="1" x14ac:dyDescent="0.2">
      <c r="A221" s="1833">
        <f>satpek!B131</f>
        <v>106</v>
      </c>
      <c r="B221" s="1943">
        <f t="shared" si="221"/>
        <v>20</v>
      </c>
      <c r="C221" s="2013"/>
      <c r="D221" s="1944" t="str">
        <f>VLOOKUP($A221,satpek!$B$20:$N$144,2,0)</f>
        <v>Testing &amp; Comissioning Instalasi Litrik</v>
      </c>
      <c r="E221" s="2014"/>
      <c r="F221" s="2015"/>
      <c r="G221" s="2175">
        <f>'[3]B.VOL RAB'!Q650</f>
        <v>1</v>
      </c>
      <c r="H221" s="2456" t="str">
        <f>VLOOKUP($A221,satpek!$B$20:$N$144,7,0)</f>
        <v>lot</v>
      </c>
      <c r="I221" s="2457" t="str">
        <f>VLOOKUP($A221,satpek!$B$20:$N$144,5,0)</f>
        <v>Daftar harga</v>
      </c>
      <c r="J221" s="1951">
        <f>VLOOKUP($A221,satpek!$B$20:$N$144,6,0)</f>
        <v>3100000</v>
      </c>
      <c r="K221" s="1938"/>
      <c r="L221" s="1952">
        <f t="shared" si="217"/>
        <v>3100000</v>
      </c>
      <c r="M221" s="2479"/>
      <c r="N221" s="2458">
        <f>VLOOKUP($A221,satpek!$B$20:$L$138,8,0)</f>
        <v>0.75</v>
      </c>
      <c r="O221" s="1954">
        <f>VLOOKUP($A221,satpek!$B$20:$L$138,9,0)</f>
        <v>0</v>
      </c>
      <c r="P221" s="1954">
        <f>VLOOKUP($A221,satpek!$B$20:$L$138,10,0)</f>
        <v>2325000</v>
      </c>
      <c r="Q221" s="1952">
        <f t="shared" si="218"/>
        <v>0</v>
      </c>
      <c r="R221" s="1952">
        <f t="shared" si="219"/>
        <v>2325000</v>
      </c>
      <c r="S221" s="1955">
        <f t="shared" si="220"/>
        <v>775000</v>
      </c>
      <c r="V221" s="1956">
        <v>3100000</v>
      </c>
      <c r="W221" s="1956">
        <f t="shared" si="222"/>
        <v>0</v>
      </c>
      <c r="X221" s="1956">
        <f t="shared" si="223"/>
        <v>3100000</v>
      </c>
      <c r="Y221" s="1836" t="s">
        <v>1889</v>
      </c>
      <c r="Z221" s="1836">
        <v>0.01</v>
      </c>
      <c r="AB221" s="2129">
        <f>SUM(L182:L219)</f>
        <v>332804575.82000005</v>
      </c>
      <c r="AC221" s="1909">
        <f>Z221*AB221</f>
        <v>3328045.7582000005</v>
      </c>
      <c r="AD221" s="1836"/>
      <c r="AE221" s="1836"/>
      <c r="AF221" s="1837">
        <v>3583839.5447</v>
      </c>
      <c r="AG221" s="1960">
        <f t="shared" si="215"/>
        <v>483839.54469999997</v>
      </c>
    </row>
    <row r="222" spans="1:33" s="1957" customFormat="1" ht="21.95" customHeight="1" x14ac:dyDescent="0.2">
      <c r="A222" s="1942">
        <f>satpek!B105</f>
        <v>86</v>
      </c>
      <c r="B222" s="2209">
        <v>1</v>
      </c>
      <c r="C222" s="2210"/>
      <c r="D222" s="1944" t="str">
        <f>VLOOKUP($A222,satpek!$B$20:$N$144,2,0)</f>
        <v>Memasang paving tb. 8 cm, K.250, polos</v>
      </c>
      <c r="E222" s="2211"/>
      <c r="F222" s="2212"/>
      <c r="G222" s="2213">
        <v>623</v>
      </c>
      <c r="H222" s="2456" t="str">
        <f>VLOOKUP($A222,satpek!$B$20:$N$144,7,0)</f>
        <v>m2</v>
      </c>
      <c r="I222" s="2457" t="str">
        <f>VLOOKUP($A222,satpek!$B$20:$N$144,5,0)</f>
        <v>An. Dihitung</v>
      </c>
      <c r="J222" s="1951">
        <f>VLOOKUP($A222,satpek!$B$20:$N$144,6,0)</f>
        <v>206637.45</v>
      </c>
      <c r="K222" s="1938"/>
      <c r="L222" s="1952">
        <f t="shared" ref="L222:L223" si="224">ROUND((G222*J222),2)</f>
        <v>128735131.34999999</v>
      </c>
      <c r="M222" s="2212"/>
      <c r="N222" s="2458">
        <f>VLOOKUP($A222,satpek!$B$20:$L$138,8,0)</f>
        <v>1</v>
      </c>
      <c r="O222" s="1954">
        <f>VLOOKUP($A222,satpek!$B$20:$L$138,9,0)</f>
        <v>182865</v>
      </c>
      <c r="P222" s="1954">
        <f>VLOOKUP($A222,satpek!$B$20:$L$138,10,0)</f>
        <v>206637.45</v>
      </c>
      <c r="Q222" s="2369">
        <f t="shared" ref="Q222:Q223" si="225">O222*G222</f>
        <v>113924895</v>
      </c>
      <c r="R222" s="1952">
        <f t="shared" ref="R222:R223" si="226">N222*L222</f>
        <v>128735131.34999999</v>
      </c>
      <c r="S222" s="1955">
        <f t="shared" ref="S222:S223" si="227">L222-R222</f>
        <v>0</v>
      </c>
      <c r="T222" s="1848"/>
      <c r="U222" s="1848"/>
      <c r="V222" s="1956">
        <v>206637.45</v>
      </c>
      <c r="W222" s="1956">
        <f t="shared" si="222"/>
        <v>0</v>
      </c>
      <c r="X222" s="1956">
        <f t="shared" si="223"/>
        <v>128735131.35000001</v>
      </c>
      <c r="Y222" s="1957" t="s">
        <v>234</v>
      </c>
      <c r="AF222" s="2109">
        <v>204546.95</v>
      </c>
      <c r="AG222" s="1960">
        <f>AF222-J222</f>
        <v>-2090.5</v>
      </c>
    </row>
    <row r="223" spans="1:33" s="1957" customFormat="1" ht="21.95" customHeight="1" x14ac:dyDescent="0.2">
      <c r="A223" s="1942">
        <f>satpek!B29</f>
        <v>10</v>
      </c>
      <c r="B223" s="2214">
        <v>2</v>
      </c>
      <c r="C223" s="2215"/>
      <c r="D223" s="2008" t="str">
        <f>VLOOKUP($A223,satpek!$B$20:$N$144,2,0)</f>
        <v>Mengurug pasir urug</v>
      </c>
      <c r="E223" s="2217"/>
      <c r="F223" s="2218"/>
      <c r="G223" s="2219">
        <f>G222*0.07</f>
        <v>43.610000000000007</v>
      </c>
      <c r="H223" s="2232" t="str">
        <f>VLOOKUP($A223,satpek!$B$20:$N$144,7,0)</f>
        <v>m3</v>
      </c>
      <c r="I223" s="2495" t="str">
        <f>VLOOKUP($A223,satpek!$B$20:$N$144,5,0)</f>
        <v>A.2.3.1.11.</v>
      </c>
      <c r="J223" s="2237">
        <f>VLOOKUP($A223,satpek!$B$20:$N$144,6,0)</f>
        <v>251978.7</v>
      </c>
      <c r="K223" s="2238"/>
      <c r="L223" s="2239">
        <f t="shared" si="224"/>
        <v>10988791.109999999</v>
      </c>
      <c r="M223" s="2218"/>
      <c r="N223" s="2496">
        <f>VLOOKUP($A223,satpek!$B$20:$L$138,8,0)</f>
        <v>1</v>
      </c>
      <c r="O223" s="2241">
        <f>VLOOKUP($A223,satpek!$B$20:$L$138,9,0)</f>
        <v>222990</v>
      </c>
      <c r="P223" s="2241">
        <f>VLOOKUP($A223,satpek!$B$20:$L$138,10,0)</f>
        <v>251978.7</v>
      </c>
      <c r="Q223" s="2497">
        <f t="shared" si="225"/>
        <v>9724593.9000000022</v>
      </c>
      <c r="R223" s="1952">
        <f t="shared" si="226"/>
        <v>10988791.109999999</v>
      </c>
      <c r="S223" s="2242">
        <f t="shared" si="227"/>
        <v>0</v>
      </c>
      <c r="T223" s="1848"/>
      <c r="U223" s="1848"/>
      <c r="V223" s="1956">
        <v>251978.7</v>
      </c>
      <c r="W223" s="1956">
        <f t="shared" si="222"/>
        <v>-2.9999967664480209E-3</v>
      </c>
      <c r="X223" s="1956">
        <f t="shared" si="223"/>
        <v>10988791.107000003</v>
      </c>
      <c r="Y223" s="1957" t="s">
        <v>467</v>
      </c>
      <c r="AF223" s="2109">
        <v>237435.6</v>
      </c>
      <c r="AG223" s="1960">
        <f>AF223-J223</f>
        <v>-14543.100000000006</v>
      </c>
    </row>
    <row r="224" spans="1:33" s="1957" customFormat="1" ht="18.75" x14ac:dyDescent="0.2">
      <c r="A224" s="1942"/>
      <c r="B224" s="2257"/>
      <c r="C224" s="2258"/>
      <c r="D224" s="2259"/>
      <c r="E224" s="2259"/>
      <c r="F224" s="2260"/>
      <c r="G224" s="2261"/>
      <c r="H224" s="2498"/>
      <c r="I224" s="3515" t="s">
        <v>1894</v>
      </c>
      <c r="J224" s="3515"/>
      <c r="K224" s="3515"/>
      <c r="L224" s="3516"/>
      <c r="M224" s="2463">
        <f>SUM(L16:L223)</f>
        <v>5224166701.8799963</v>
      </c>
      <c r="N224" s="2464">
        <f>R224/M224</f>
        <v>2.6745686045913923E-2</v>
      </c>
      <c r="O224" s="2266"/>
      <c r="P224" s="2266"/>
      <c r="Q224" s="2266">
        <f>SUM(Q14:Q223)</f>
        <v>2879859187.2039547</v>
      </c>
      <c r="R224" s="2266">
        <f>SUM(R222:R223)</f>
        <v>139723922.45999998</v>
      </c>
      <c r="S224" s="2267">
        <f>SUM(S222:S223)</f>
        <v>0</v>
      </c>
      <c r="T224" s="1848"/>
      <c r="U224" s="1848">
        <f>M224-T224</f>
        <v>5224166701.8799963</v>
      </c>
      <c r="V224" s="1956"/>
      <c r="W224" s="1956"/>
      <c r="X224" s="1956"/>
      <c r="Y224" s="2268">
        <f>Rekap!Q48</f>
        <v>1175000</v>
      </c>
      <c r="AF224" s="2109"/>
    </row>
    <row r="225" spans="1:32" s="2157" customFormat="1" ht="18.75" x14ac:dyDescent="0.2">
      <c r="A225" s="1833"/>
      <c r="B225" s="2269"/>
      <c r="C225" s="2270"/>
      <c r="D225" s="2271"/>
      <c r="E225" s="2271"/>
      <c r="F225" s="2271"/>
      <c r="G225" s="2272"/>
      <c r="H225" s="2499"/>
      <c r="I225" s="2276"/>
      <c r="J225" s="2277"/>
      <c r="K225" s="2276"/>
      <c r="L225" s="2278" t="s">
        <v>2021</v>
      </c>
      <c r="M225" s="2500"/>
      <c r="N225" s="2501"/>
      <c r="O225" s="2279"/>
      <c r="P225" s="2279"/>
      <c r="Q225" s="2279"/>
      <c r="R225" s="2502">
        <f>SUM(R16:R224)/2</f>
        <v>1830418718.6000099</v>
      </c>
      <c r="S225" s="2281">
        <f>SUM(S15:S224)/2</f>
        <v>851526593.56998944</v>
      </c>
      <c r="T225" s="1848"/>
      <c r="U225" s="1848"/>
      <c r="V225" s="1956"/>
      <c r="W225" s="1956"/>
      <c r="X225" s="1956"/>
      <c r="Y225" s="2187"/>
      <c r="AB225" s="2158"/>
      <c r="AC225" s="2158"/>
      <c r="AD225" s="2158"/>
      <c r="AE225" s="2158"/>
      <c r="AF225" s="1837"/>
    </row>
    <row r="226" spans="1:32" s="2293" customFormat="1" ht="18.75" x14ac:dyDescent="0.2">
      <c r="A226" s="2130"/>
      <c r="B226" s="2282"/>
      <c r="C226" s="2283"/>
      <c r="D226" s="2284"/>
      <c r="E226" s="2284"/>
      <c r="F226" s="2285"/>
      <c r="G226" s="2286"/>
      <c r="H226" s="2289"/>
      <c r="I226" s="2291"/>
      <c r="J226" s="2291"/>
      <c r="K226" s="2292"/>
      <c r="L226" s="2290" t="s">
        <v>1646</v>
      </c>
      <c r="M226" s="2503">
        <f>M225*0.11</f>
        <v>0</v>
      </c>
      <c r="N226" s="2490"/>
      <c r="O226" s="2184"/>
      <c r="P226" s="2184"/>
      <c r="Q226" s="2184"/>
      <c r="R226" s="2184"/>
      <c r="S226" s="2186"/>
      <c r="T226" s="2125"/>
      <c r="U226" s="2125"/>
      <c r="V226" s="2125"/>
      <c r="W226" s="2125"/>
      <c r="X226" s="2125"/>
      <c r="Y226" s="2187"/>
      <c r="AB226" s="2158"/>
      <c r="AC226" s="2158"/>
      <c r="AD226" s="2158"/>
      <c r="AE226" s="2158"/>
      <c r="AF226" s="1910"/>
    </row>
    <row r="227" spans="1:32" s="2293" customFormat="1" ht="18.75" x14ac:dyDescent="0.2">
      <c r="A227" s="2130"/>
      <c r="B227" s="2282"/>
      <c r="C227" s="2283"/>
      <c r="D227" s="2284"/>
      <c r="E227" s="2284"/>
      <c r="F227" s="2285"/>
      <c r="G227" s="2286"/>
      <c r="H227" s="2289"/>
      <c r="I227" s="2291"/>
      <c r="J227" s="2291"/>
      <c r="K227" s="2292"/>
      <c r="L227" s="2290" t="s">
        <v>360</v>
      </c>
      <c r="M227" s="2503">
        <f>SUM(M225:M226)</f>
        <v>0</v>
      </c>
      <c r="N227" s="2490"/>
      <c r="O227" s="2184"/>
      <c r="P227" s="2184"/>
      <c r="Q227" s="2184"/>
      <c r="R227" s="2184"/>
      <c r="S227" s="2186"/>
      <c r="T227" s="2125"/>
      <c r="U227" s="2125"/>
      <c r="V227" s="2125"/>
      <c r="W227" s="2125"/>
      <c r="X227" s="2125"/>
      <c r="Y227" s="2187"/>
      <c r="AB227" s="2158"/>
      <c r="AC227" s="2158"/>
      <c r="AD227" s="2158"/>
      <c r="AE227" s="2158"/>
      <c r="AF227" s="1910"/>
    </row>
    <row r="228" spans="1:32" s="2293" customFormat="1" ht="18.75" x14ac:dyDescent="0.2">
      <c r="A228" s="2130"/>
      <c r="B228" s="2294"/>
      <c r="C228" s="2295"/>
      <c r="D228" s="2296"/>
      <c r="E228" s="2296"/>
      <c r="F228" s="2297"/>
      <c r="G228" s="2298"/>
      <c r="H228" s="2302"/>
      <c r="I228" s="2304"/>
      <c r="J228" s="2304"/>
      <c r="K228" s="2305"/>
      <c r="L228" s="2303" t="s">
        <v>359</v>
      </c>
      <c r="M228" s="2504">
        <f>ROUNDDOWN(M227,-3)</f>
        <v>0</v>
      </c>
      <c r="N228" s="2494"/>
      <c r="O228" s="2206"/>
      <c r="P228" s="2206"/>
      <c r="Q228" s="2206"/>
      <c r="R228" s="2206"/>
      <c r="S228" s="2208"/>
      <c r="T228" s="2125"/>
      <c r="U228" s="2125"/>
      <c r="V228" s="2125"/>
      <c r="W228" s="2125"/>
      <c r="X228" s="2125"/>
      <c r="Y228" s="2187"/>
      <c r="AB228" s="2158"/>
      <c r="AC228" s="2158"/>
      <c r="AD228" s="2158"/>
      <c r="AE228" s="2158"/>
      <c r="AF228" s="1910"/>
    </row>
    <row r="229" spans="1:32" ht="16.5" thickBot="1" x14ac:dyDescent="0.25">
      <c r="B229" s="2306"/>
      <c r="C229" s="2307"/>
      <c r="D229" s="2308"/>
      <c r="E229" s="2308"/>
      <c r="F229" s="2309"/>
      <c r="G229" s="2310"/>
      <c r="H229" s="2313"/>
      <c r="I229" s="2505"/>
      <c r="J229" s="2315"/>
      <c r="K229" s="2316"/>
      <c r="L229" s="2317"/>
      <c r="M229" s="2506"/>
      <c r="N229" s="2507"/>
      <c r="O229" s="2319"/>
      <c r="P229" s="2319"/>
      <c r="Q229" s="2319"/>
      <c r="R229" s="2319"/>
      <c r="S229" s="2320"/>
      <c r="AD229" s="1836"/>
      <c r="AE229" s="1836"/>
      <c r="AF229" s="1837"/>
    </row>
    <row r="230" spans="1:32" ht="16.5" thickTop="1" x14ac:dyDescent="0.2">
      <c r="B230" s="2321"/>
      <c r="F230" s="1847"/>
      <c r="G230" s="2322"/>
      <c r="L230" s="1847"/>
      <c r="M230" s="2141"/>
      <c r="N230" s="1847"/>
      <c r="O230" s="1847"/>
      <c r="P230" s="1847"/>
      <c r="Q230" s="1847"/>
      <c r="R230" s="1847"/>
      <c r="S230" s="1847"/>
      <c r="AC230" s="1836"/>
      <c r="AD230" s="1836"/>
      <c r="AE230" s="1836"/>
      <c r="AF230" s="1837"/>
    </row>
    <row r="231" spans="1:32" x14ac:dyDescent="0.2">
      <c r="F231" s="1847"/>
      <c r="G231" s="2322"/>
      <c r="L231" s="1847"/>
      <c r="M231" s="2141"/>
      <c r="N231" s="1847"/>
      <c r="O231" s="1847"/>
      <c r="P231" s="1847"/>
      <c r="Q231" s="1847"/>
      <c r="R231" s="1847"/>
      <c r="S231" s="1847"/>
      <c r="AC231" s="1836"/>
      <c r="AD231" s="1836"/>
      <c r="AE231" s="1836"/>
      <c r="AF231" s="1837"/>
    </row>
    <row r="232" spans="1:32" ht="18.75" x14ac:dyDescent="0.2">
      <c r="M232" s="2351" t="str">
        <f>'data primer'!$E$11</f>
        <v>Karanganyar,                               2022</v>
      </c>
      <c r="N232" s="2323"/>
      <c r="O232" s="2323"/>
      <c r="P232" s="2323"/>
      <c r="Q232" s="2323"/>
      <c r="R232" s="2323"/>
      <c r="S232" s="2323">
        <f>Rekap!Q48</f>
        <v>1175000</v>
      </c>
      <c r="AC232" s="1836"/>
      <c r="AD232" s="1836"/>
      <c r="AE232" s="1836"/>
      <c r="AF232" s="1837"/>
    </row>
    <row r="233" spans="1:32" x14ac:dyDescent="0.2">
      <c r="M233" s="3175" t="str">
        <f>'data primer'!$E$12</f>
        <v>PEJABAT PENANDATANGAN KONTRAK</v>
      </c>
    </row>
    <row r="234" spans="1:32" x14ac:dyDescent="0.2">
      <c r="M234" s="3175"/>
    </row>
    <row r="235" spans="1:32" x14ac:dyDescent="0.2">
      <c r="M235" s="2332"/>
    </row>
    <row r="236" spans="1:32" x14ac:dyDescent="0.2">
      <c r="M236" s="2332"/>
    </row>
    <row r="237" spans="1:32" x14ac:dyDescent="0.2">
      <c r="M237" s="2332"/>
    </row>
    <row r="238" spans="1:32" x14ac:dyDescent="0.2">
      <c r="B238" s="1836"/>
      <c r="G238" s="1836"/>
      <c r="I238" s="1836"/>
      <c r="M238" s="2332"/>
      <c r="AC238" s="1836"/>
      <c r="AD238" s="1836"/>
      <c r="AE238" s="1836"/>
      <c r="AF238" s="1837"/>
    </row>
    <row r="239" spans="1:32" x14ac:dyDescent="0.2">
      <c r="A239" s="1836"/>
      <c r="B239" s="1836"/>
      <c r="G239" s="1836"/>
      <c r="I239" s="1836"/>
      <c r="M239" s="2332"/>
      <c r="AC239" s="1836"/>
      <c r="AD239" s="1836"/>
      <c r="AE239" s="1836"/>
      <c r="AF239" s="1837"/>
    </row>
    <row r="240" spans="1:32" x14ac:dyDescent="0.2">
      <c r="A240" s="1836"/>
      <c r="B240" s="1836"/>
      <c r="G240" s="1836"/>
      <c r="I240" s="1836"/>
      <c r="M240" s="2332"/>
      <c r="AC240" s="1836"/>
      <c r="AD240" s="1836"/>
      <c r="AE240" s="1836"/>
      <c r="AF240" s="1837"/>
    </row>
    <row r="241" spans="1:32" x14ac:dyDescent="0.2">
      <c r="A241" s="1836"/>
      <c r="B241" s="1836"/>
      <c r="G241" s="1836"/>
      <c r="I241" s="1836"/>
      <c r="M241" s="2332"/>
      <c r="AC241" s="1836"/>
      <c r="AD241" s="1836"/>
      <c r="AE241" s="1836"/>
      <c r="AF241" s="1837"/>
    </row>
    <row r="242" spans="1:32" x14ac:dyDescent="0.2">
      <c r="A242" s="1836"/>
      <c r="B242" s="1836"/>
      <c r="G242" s="1836"/>
      <c r="I242" s="1836"/>
      <c r="M242" s="2332"/>
      <c r="AC242" s="1836"/>
      <c r="AD242" s="1836"/>
      <c r="AE242" s="1836"/>
      <c r="AF242" s="1837"/>
    </row>
    <row r="243" spans="1:32" x14ac:dyDescent="0.2">
      <c r="A243" s="1836"/>
      <c r="B243" s="1836"/>
      <c r="G243" s="1836"/>
      <c r="I243" s="1836"/>
      <c r="M243" s="2433" t="str">
        <f>'data primer'!$E$15</f>
        <v>FERIANA DWI KURNIAWATI, SP, M.Si</v>
      </c>
      <c r="AC243" s="1836"/>
      <c r="AD243" s="1836"/>
      <c r="AE243" s="1836"/>
      <c r="AF243" s="1837"/>
    </row>
    <row r="244" spans="1:32" x14ac:dyDescent="0.2">
      <c r="A244" s="1836"/>
      <c r="B244" s="1836"/>
      <c r="G244" s="1836"/>
      <c r="I244" s="1836"/>
      <c r="M244" s="2332" t="str">
        <f>'data primer'!$E$16</f>
        <v>NIP. 19810226 200501 2 015</v>
      </c>
      <c r="AC244" s="1836"/>
      <c r="AD244" s="1836"/>
      <c r="AE244" s="1836"/>
      <c r="AF244" s="1837"/>
    </row>
    <row r="245" spans="1:32" x14ac:dyDescent="0.2">
      <c r="A245" s="1836"/>
      <c r="B245" s="1836"/>
      <c r="G245" s="1836"/>
      <c r="I245" s="1836"/>
      <c r="L245" s="2322"/>
      <c r="AC245" s="1836"/>
      <c r="AD245" s="1836"/>
      <c r="AE245" s="1836"/>
      <c r="AF245" s="1837"/>
    </row>
    <row r="246" spans="1:32" x14ac:dyDescent="0.2">
      <c r="A246" s="1836"/>
      <c r="B246" s="1836"/>
      <c r="G246" s="1836"/>
      <c r="I246" s="1836"/>
      <c r="L246" s="1847"/>
      <c r="AC246" s="1836"/>
      <c r="AD246" s="1836"/>
      <c r="AE246" s="1836"/>
      <c r="AF246" s="1837"/>
    </row>
    <row r="247" spans="1:32" x14ac:dyDescent="0.2">
      <c r="A247" s="1836"/>
      <c r="B247" s="1836"/>
      <c r="G247" s="1836"/>
      <c r="I247" s="1836"/>
      <c r="L247" s="1847"/>
      <c r="AC247" s="1836"/>
      <c r="AD247" s="1836"/>
      <c r="AE247" s="1836"/>
      <c r="AF247" s="1837"/>
    </row>
  </sheetData>
  <mergeCells count="3">
    <mergeCell ref="B1:M1"/>
    <mergeCell ref="B2:M2"/>
    <mergeCell ref="I224:L2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372"/>
  <sheetViews>
    <sheetView workbookViewId="0">
      <selection activeCell="E10" sqref="E10"/>
    </sheetView>
  </sheetViews>
  <sheetFormatPr defaultRowHeight="12.75" x14ac:dyDescent="0.2"/>
  <cols>
    <col min="1" max="1" width="9.140625" style="885"/>
    <col min="2" max="2" width="19.85546875" style="885" customWidth="1"/>
    <col min="3" max="3" width="4" style="885" customWidth="1"/>
    <col min="4" max="4" width="3.42578125" style="885" customWidth="1"/>
    <col min="5" max="16384" width="9.140625" style="885"/>
  </cols>
  <sheetData>
    <row r="3" spans="2:5" x14ac:dyDescent="0.2">
      <c r="B3" s="885" t="s">
        <v>429</v>
      </c>
      <c r="D3" s="885" t="s">
        <v>341</v>
      </c>
    </row>
    <row r="4" spans="2:5" x14ac:dyDescent="0.2">
      <c r="B4" s="885" t="s">
        <v>342</v>
      </c>
      <c r="D4" s="885" t="s">
        <v>341</v>
      </c>
      <c r="E4" s="885" t="s">
        <v>1895</v>
      </c>
    </row>
    <row r="5" spans="2:5" x14ac:dyDescent="0.2">
      <c r="B5" s="885" t="s">
        <v>422</v>
      </c>
      <c r="D5" s="885" t="s">
        <v>341</v>
      </c>
    </row>
    <row r="6" spans="2:5" x14ac:dyDescent="0.2">
      <c r="B6" s="885" t="s">
        <v>343</v>
      </c>
      <c r="D6" s="885" t="s">
        <v>341</v>
      </c>
      <c r="E6" s="885" t="s">
        <v>345</v>
      </c>
    </row>
    <row r="7" spans="2:5" x14ac:dyDescent="0.2">
      <c r="B7" s="885" t="s">
        <v>344</v>
      </c>
      <c r="D7" s="885" t="s">
        <v>341</v>
      </c>
      <c r="E7" s="885" t="s">
        <v>345</v>
      </c>
    </row>
    <row r="8" spans="2:5" x14ac:dyDescent="0.2">
      <c r="B8" s="885" t="s">
        <v>1153</v>
      </c>
      <c r="D8" s="885" t="s">
        <v>341</v>
      </c>
      <c r="E8" s="885" t="s">
        <v>1896</v>
      </c>
    </row>
    <row r="9" spans="2:5" x14ac:dyDescent="0.2">
      <c r="B9" s="885" t="s">
        <v>346</v>
      </c>
      <c r="D9" s="885" t="s">
        <v>341</v>
      </c>
      <c r="E9" s="947" t="s">
        <v>1753</v>
      </c>
    </row>
    <row r="11" spans="2:5" x14ac:dyDescent="0.2">
      <c r="B11" s="885" t="s">
        <v>1353</v>
      </c>
      <c r="D11" s="885" t="s">
        <v>341</v>
      </c>
      <c r="E11" s="885" t="s">
        <v>2007</v>
      </c>
    </row>
    <row r="12" spans="2:5" x14ac:dyDescent="0.2">
      <c r="B12" s="885" t="s">
        <v>1357</v>
      </c>
      <c r="D12" s="885" t="s">
        <v>341</v>
      </c>
      <c r="E12" s="885" t="s">
        <v>2004</v>
      </c>
    </row>
    <row r="13" spans="2:5" x14ac:dyDescent="0.2">
      <c r="B13" s="885" t="s">
        <v>1356</v>
      </c>
      <c r="D13" s="885" t="s">
        <v>341</v>
      </c>
    </row>
    <row r="15" spans="2:5" x14ac:dyDescent="0.2">
      <c r="B15" s="885" t="s">
        <v>1355</v>
      </c>
      <c r="D15" s="885" t="s">
        <v>341</v>
      </c>
      <c r="E15" s="885" t="s">
        <v>2005</v>
      </c>
    </row>
    <row r="16" spans="2:5" x14ac:dyDescent="0.2">
      <c r="B16" s="885" t="s">
        <v>1354</v>
      </c>
      <c r="D16" s="885" t="s">
        <v>341</v>
      </c>
      <c r="E16" s="885" t="s">
        <v>2006</v>
      </c>
    </row>
    <row r="18" spans="2:5" x14ac:dyDescent="0.2">
      <c r="B18" s="885" t="s">
        <v>1501</v>
      </c>
      <c r="D18" s="885" t="s">
        <v>341</v>
      </c>
      <c r="E18" s="948">
        <v>0.1</v>
      </c>
    </row>
    <row r="19" spans="2:5" x14ac:dyDescent="0.2">
      <c r="B19" s="885" t="s">
        <v>1502</v>
      </c>
      <c r="D19" s="885" t="s">
        <v>341</v>
      </c>
      <c r="E19" s="948">
        <v>0.03</v>
      </c>
    </row>
    <row r="372" spans="7:7" ht="15.75" x14ac:dyDescent="0.25">
      <c r="G372" s="946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47"/>
  <sheetViews>
    <sheetView zoomScale="70" zoomScaleNormal="70" workbookViewId="0">
      <selection activeCell="G20" sqref="G20"/>
    </sheetView>
  </sheetViews>
  <sheetFormatPr defaultColWidth="12.5703125" defaultRowHeight="15.75" x14ac:dyDescent="0.2"/>
  <cols>
    <col min="1" max="1" width="8.28515625" style="1910" customWidth="1"/>
    <col min="2" max="2" width="5.7109375" style="3187" customWidth="1"/>
    <col min="3" max="3" width="2.7109375" style="2127" customWidth="1"/>
    <col min="4" max="4" width="35.7109375" style="2127" customWidth="1"/>
    <col min="5" max="5" width="6.42578125" style="2127" customWidth="1"/>
    <col min="6" max="6" width="19.28515625" style="2127" customWidth="1"/>
    <col min="7" max="7" width="12.7109375" style="3187" customWidth="1"/>
    <col min="8" max="8" width="7.7109375" style="2127" customWidth="1"/>
    <col min="9" max="9" width="15.7109375" style="3187" customWidth="1"/>
    <col min="10" max="10" width="18.7109375" style="2127" customWidth="1"/>
    <col min="11" max="11" width="4.7109375" style="2127" customWidth="1"/>
    <col min="12" max="12" width="19.7109375" style="2127" customWidth="1"/>
    <col min="13" max="13" width="22.7109375" style="2329" customWidth="1"/>
    <col min="14" max="14" width="10.7109375" style="2127" customWidth="1"/>
    <col min="15" max="16" width="14.85546875" style="2127" hidden="1" customWidth="1"/>
    <col min="17" max="17" width="20.28515625" style="2127" hidden="1" customWidth="1"/>
    <col min="18" max="19" width="22.7109375" style="2127" customWidth="1"/>
    <col min="20" max="20" width="23.140625" style="2125" customWidth="1"/>
    <col min="21" max="21" width="22.85546875" style="2125" hidden="1" customWidth="1"/>
    <col min="22" max="23" width="14.85546875" style="2125" customWidth="1"/>
    <col min="24" max="24" width="22.85546875" style="2125" customWidth="1"/>
    <col min="25" max="25" width="34.5703125" style="2127" customWidth="1"/>
    <col min="26" max="26" width="19.140625" style="2127" hidden="1" customWidth="1"/>
    <col min="27" max="27" width="17.7109375" style="2127" hidden="1" customWidth="1"/>
    <col min="28" max="28" width="16.7109375" style="2127" hidden="1" customWidth="1"/>
    <col min="29" max="29" width="18" style="1909" hidden="1" customWidth="1"/>
    <col min="30" max="30" width="1.7109375" style="1909" hidden="1" customWidth="1"/>
    <col min="31" max="31" width="19.42578125" style="1909" hidden="1" customWidth="1"/>
    <col min="32" max="32" width="21.28515625" style="1910" customWidth="1"/>
    <col min="33" max="33" width="17.28515625" style="2127" customWidth="1"/>
    <col min="34" max="16384" width="12.5703125" style="2127"/>
  </cols>
  <sheetData>
    <row r="1" spans="1:32" ht="25.5" x14ac:dyDescent="0.2">
      <c r="B1" s="3542" t="s">
        <v>2036</v>
      </c>
      <c r="C1" s="3542"/>
      <c r="D1" s="3542"/>
      <c r="E1" s="3542"/>
      <c r="F1" s="3542"/>
      <c r="G1" s="3542"/>
      <c r="H1" s="3542"/>
      <c r="I1" s="3542"/>
      <c r="J1" s="3542"/>
      <c r="K1" s="3542"/>
      <c r="L1" s="3542"/>
      <c r="M1" s="3542"/>
      <c r="N1" s="3190"/>
      <c r="O1" s="3190"/>
      <c r="P1" s="3190"/>
      <c r="Q1" s="3190"/>
      <c r="R1" s="3190"/>
      <c r="S1" s="3190"/>
      <c r="T1" s="3191"/>
      <c r="U1" s="3191"/>
      <c r="V1" s="3191"/>
      <c r="W1" s="3191"/>
      <c r="X1" s="3191"/>
      <c r="AC1" s="2127"/>
      <c r="AD1" s="2127"/>
      <c r="AE1" s="2127"/>
    </row>
    <row r="2" spans="1:32" ht="20.25" x14ac:dyDescent="0.2">
      <c r="B2" s="3543"/>
      <c r="C2" s="3543"/>
      <c r="D2" s="3543"/>
      <c r="E2" s="3543"/>
      <c r="F2" s="3543"/>
      <c r="G2" s="3543"/>
      <c r="H2" s="3543"/>
      <c r="I2" s="3543"/>
      <c r="J2" s="3543"/>
      <c r="K2" s="3543"/>
      <c r="L2" s="3543"/>
      <c r="M2" s="3543"/>
      <c r="N2" s="3192"/>
      <c r="O2" s="3192"/>
      <c r="P2" s="3192"/>
      <c r="Q2" s="3192"/>
      <c r="R2" s="3192"/>
      <c r="S2" s="3192"/>
      <c r="T2" s="3191"/>
      <c r="U2" s="3191"/>
      <c r="V2" s="3191"/>
      <c r="W2" s="3191"/>
      <c r="X2" s="3191"/>
      <c r="AC2" s="2127"/>
      <c r="AD2" s="2127"/>
      <c r="AE2" s="2127"/>
    </row>
    <row r="3" spans="1:32" ht="18.75" x14ac:dyDescent="0.2">
      <c r="A3" s="3374"/>
      <c r="B3" s="3193"/>
      <c r="D3" s="3194" t="s">
        <v>342</v>
      </c>
      <c r="E3" s="3195" t="s">
        <v>341</v>
      </c>
      <c r="F3" s="3196" t="s">
        <v>1895</v>
      </c>
      <c r="G3" s="3197"/>
      <c r="H3" s="3197"/>
      <c r="I3" s="3197"/>
      <c r="J3" s="3197"/>
      <c r="K3" s="3193"/>
      <c r="L3" s="3193"/>
      <c r="M3" s="3198"/>
      <c r="N3" s="3193"/>
      <c r="O3" s="3193"/>
      <c r="P3" s="3193"/>
      <c r="Q3" s="3193"/>
      <c r="R3" s="3193"/>
      <c r="S3" s="3193"/>
      <c r="T3" s="3199"/>
      <c r="U3" s="3199"/>
      <c r="V3" s="3199"/>
      <c r="W3" s="3199"/>
      <c r="X3" s="3199"/>
      <c r="AC3" s="2127"/>
      <c r="AD3" s="2127"/>
      <c r="AE3" s="2127"/>
    </row>
    <row r="4" spans="1:32" ht="18.75" x14ac:dyDescent="0.2">
      <c r="D4" s="3194" t="s">
        <v>1131</v>
      </c>
      <c r="E4" s="3195" t="s">
        <v>341</v>
      </c>
      <c r="F4" s="3194" t="str">
        <f>F3</f>
        <v>PEMBANGUNAN GEDUNG KANTOR DINAS PERTANIAN, PANGAN DAN PERIKANAN KARANGANYAR</v>
      </c>
      <c r="L4" s="3200"/>
      <c r="AC4" s="2127"/>
      <c r="AD4" s="2127"/>
      <c r="AE4" s="2127"/>
    </row>
    <row r="5" spans="1:32" ht="18.75" x14ac:dyDescent="0.2">
      <c r="D5" s="3194" t="s">
        <v>343</v>
      </c>
      <c r="E5" s="3195" t="s">
        <v>341</v>
      </c>
      <c r="F5" s="3194" t="s">
        <v>345</v>
      </c>
      <c r="I5" s="1849"/>
      <c r="AC5" s="2127"/>
      <c r="AD5" s="2127"/>
      <c r="AE5" s="2127"/>
    </row>
    <row r="6" spans="1:32" ht="18.75" x14ac:dyDescent="0.2">
      <c r="D6" s="3194" t="s">
        <v>344</v>
      </c>
      <c r="E6" s="3195" t="s">
        <v>341</v>
      </c>
      <c r="F6" s="3194" t="s">
        <v>345</v>
      </c>
      <c r="AC6" s="2127"/>
      <c r="AD6" s="2127"/>
      <c r="AE6" s="2127"/>
    </row>
    <row r="7" spans="1:32" ht="18.75" x14ac:dyDescent="0.2">
      <c r="D7" s="3201" t="s">
        <v>346</v>
      </c>
      <c r="E7" s="3195" t="s">
        <v>341</v>
      </c>
      <c r="F7" s="3202" t="s">
        <v>1753</v>
      </c>
      <c r="J7" s="3200"/>
      <c r="AC7" s="2127"/>
      <c r="AD7" s="2127"/>
      <c r="AE7" s="2127"/>
    </row>
    <row r="8" spans="1:32" ht="16.5" thickBot="1" x14ac:dyDescent="0.25">
      <c r="AC8" s="2127"/>
      <c r="AD8" s="2127"/>
      <c r="AE8" s="2127"/>
    </row>
    <row r="9" spans="1:32" ht="19.5" thickTop="1" x14ac:dyDescent="0.2">
      <c r="B9" s="3203"/>
      <c r="C9" s="3204"/>
      <c r="D9" s="3205"/>
      <c r="E9" s="3205"/>
      <c r="F9" s="3206"/>
      <c r="G9" s="3207"/>
      <c r="H9" s="3206"/>
      <c r="I9" s="3208"/>
      <c r="J9" s="3206"/>
      <c r="K9" s="3205"/>
      <c r="L9" s="3206"/>
      <c r="M9" s="3209"/>
      <c r="N9" s="3210"/>
      <c r="O9" s="3208"/>
      <c r="P9" s="3208"/>
      <c r="Q9" s="3208"/>
      <c r="R9" s="3208"/>
      <c r="S9" s="3211"/>
      <c r="AC9" s="2127"/>
      <c r="AD9" s="2127"/>
      <c r="AE9" s="2127"/>
    </row>
    <row r="10" spans="1:32" ht="18.75" x14ac:dyDescent="0.2">
      <c r="B10" s="3212" t="s">
        <v>423</v>
      </c>
      <c r="C10" s="3213" t="s">
        <v>1754</v>
      </c>
      <c r="D10" s="3213"/>
      <c r="E10" s="3213"/>
      <c r="F10" s="3214"/>
      <c r="G10" s="3195" t="s">
        <v>1755</v>
      </c>
      <c r="H10" s="3214" t="s">
        <v>1756</v>
      </c>
      <c r="I10" s="3215" t="s">
        <v>1757</v>
      </c>
      <c r="J10" s="3215" t="s">
        <v>347</v>
      </c>
      <c r="K10" s="3201"/>
      <c r="L10" s="3215" t="s">
        <v>284</v>
      </c>
      <c r="M10" s="3216" t="s">
        <v>347</v>
      </c>
      <c r="N10" s="3217" t="s">
        <v>2010</v>
      </c>
      <c r="O10" s="3215" t="s">
        <v>2019</v>
      </c>
      <c r="P10" s="3215" t="s">
        <v>2019</v>
      </c>
      <c r="Q10" s="3215" t="s">
        <v>2015</v>
      </c>
      <c r="R10" s="3215" t="s">
        <v>2015</v>
      </c>
      <c r="S10" s="3218" t="s">
        <v>2017</v>
      </c>
      <c r="AC10" s="2127"/>
      <c r="AD10" s="2127"/>
      <c r="AE10" s="2127"/>
    </row>
    <row r="11" spans="1:32" ht="18.75" x14ac:dyDescent="0.2">
      <c r="B11" s="3212"/>
      <c r="C11" s="3213"/>
      <c r="D11" s="3213"/>
      <c r="E11" s="3213"/>
      <c r="F11" s="3214"/>
      <c r="G11" s="3195"/>
      <c r="H11" s="3214"/>
      <c r="I11" s="3215"/>
      <c r="J11" s="3215" t="s">
        <v>1758</v>
      </c>
      <c r="K11" s="3213"/>
      <c r="L11" s="3214" t="s">
        <v>347</v>
      </c>
      <c r="M11" s="3216" t="s">
        <v>448</v>
      </c>
      <c r="N11" s="3217"/>
      <c r="O11" s="3215" t="str">
        <f>N10</f>
        <v>TKDN</v>
      </c>
      <c r="P11" s="3215" t="str">
        <f>O11</f>
        <v>TKDN</v>
      </c>
      <c r="Q11" s="3215" t="s">
        <v>2016</v>
      </c>
      <c r="R11" s="3215" t="s">
        <v>2016</v>
      </c>
      <c r="S11" s="3218"/>
      <c r="AC11" s="2127"/>
      <c r="AD11" s="2127"/>
      <c r="AE11" s="2127"/>
    </row>
    <row r="12" spans="1:32" ht="18.75" x14ac:dyDescent="0.2">
      <c r="B12" s="3219"/>
      <c r="C12" s="3220"/>
      <c r="D12" s="3220"/>
      <c r="E12" s="3220"/>
      <c r="F12" s="3221"/>
      <c r="G12" s="3222" t="s">
        <v>278</v>
      </c>
      <c r="H12" s="3221"/>
      <c r="I12" s="3223"/>
      <c r="J12" s="3223" t="s">
        <v>348</v>
      </c>
      <c r="K12" s="3224"/>
      <c r="L12" s="3225" t="s">
        <v>348</v>
      </c>
      <c r="M12" s="3226" t="s">
        <v>348</v>
      </c>
      <c r="N12" s="3227"/>
      <c r="O12" s="3223"/>
      <c r="P12" s="3228" t="s">
        <v>2020</v>
      </c>
      <c r="Q12" s="3223"/>
      <c r="R12" s="3215"/>
      <c r="S12" s="3229"/>
      <c r="AC12" s="2127"/>
      <c r="AD12" s="2127"/>
      <c r="AE12" s="2127"/>
    </row>
    <row r="13" spans="1:32" ht="19.5" thickBot="1" x14ac:dyDescent="0.25">
      <c r="B13" s="3230" t="s">
        <v>349</v>
      </c>
      <c r="C13" s="3231"/>
      <c r="D13" s="3232"/>
      <c r="E13" s="1887" t="s">
        <v>228</v>
      </c>
      <c r="F13" s="3233"/>
      <c r="G13" s="3234" t="s">
        <v>350</v>
      </c>
      <c r="H13" s="3231"/>
      <c r="I13" s="3235" t="s">
        <v>351</v>
      </c>
      <c r="J13" s="3235" t="s">
        <v>352</v>
      </c>
      <c r="K13" s="3236" t="s">
        <v>353</v>
      </c>
      <c r="L13" s="3236"/>
      <c r="M13" s="3237" t="s">
        <v>354</v>
      </c>
      <c r="N13" s="3238">
        <v>8</v>
      </c>
      <c r="O13" s="3239"/>
      <c r="P13" s="3239"/>
      <c r="Q13" s="3240"/>
      <c r="R13" s="3241">
        <v>9</v>
      </c>
      <c r="S13" s="3242">
        <v>10</v>
      </c>
      <c r="AC13" s="2127"/>
      <c r="AD13" s="2127"/>
      <c r="AE13" s="2127"/>
    </row>
    <row r="14" spans="1:32" ht="16.5" thickTop="1" x14ac:dyDescent="0.2">
      <c r="B14" s="3243"/>
      <c r="C14" s="3244"/>
      <c r="D14" s="3245"/>
      <c r="E14" s="3245"/>
      <c r="F14" s="3246"/>
      <c r="G14" s="3247"/>
      <c r="H14" s="3245"/>
      <c r="I14" s="3248"/>
      <c r="J14" s="3248"/>
      <c r="K14" s="3244"/>
      <c r="L14" s="3246"/>
      <c r="M14" s="3247"/>
      <c r="N14" s="3249"/>
      <c r="O14" s="3250"/>
      <c r="P14" s="3250"/>
      <c r="Q14" s="3248"/>
      <c r="R14" s="3251"/>
      <c r="S14" s="3252"/>
    </row>
    <row r="15" spans="1:32" s="3264" customFormat="1" ht="20.25" x14ac:dyDescent="0.2">
      <c r="A15" s="1926"/>
      <c r="B15" s="3212" t="s">
        <v>542</v>
      </c>
      <c r="C15" s="3253"/>
      <c r="D15" s="3201" t="s">
        <v>1759</v>
      </c>
      <c r="E15" s="3253"/>
      <c r="F15" s="3254"/>
      <c r="G15" s="3255"/>
      <c r="H15" s="3253"/>
      <c r="I15" s="3256"/>
      <c r="J15" s="3255"/>
      <c r="K15" s="3257"/>
      <c r="L15" s="3254"/>
      <c r="M15" s="3258"/>
      <c r="N15" s="3259"/>
      <c r="O15" s="3260"/>
      <c r="P15" s="3260"/>
      <c r="Q15" s="3261"/>
      <c r="R15" s="3262"/>
      <c r="S15" s="3263"/>
      <c r="T15" s="2125"/>
      <c r="U15" s="2125"/>
      <c r="V15" s="2125"/>
      <c r="W15" s="2125"/>
      <c r="X15" s="2125"/>
      <c r="AC15" s="1925"/>
      <c r="AD15" s="1925"/>
      <c r="AE15" s="1925"/>
      <c r="AF15" s="1926"/>
    </row>
    <row r="16" spans="1:32" ht="18.75" x14ac:dyDescent="0.2">
      <c r="B16" s="3265" t="s">
        <v>1760</v>
      </c>
      <c r="C16" s="3266"/>
      <c r="D16" s="3267" t="s">
        <v>355</v>
      </c>
      <c r="E16" s="3268"/>
      <c r="F16" s="3269"/>
      <c r="G16" s="3270"/>
      <c r="H16" s="3271"/>
      <c r="I16" s="3272"/>
      <c r="J16" s="2132"/>
      <c r="K16" s="3273"/>
      <c r="L16" s="3274"/>
      <c r="M16" s="3275"/>
      <c r="N16" s="3276"/>
      <c r="O16" s="3277"/>
      <c r="P16" s="3277"/>
      <c r="Q16" s="3278"/>
      <c r="R16" s="3279"/>
      <c r="S16" s="3280"/>
    </row>
    <row r="17" spans="1:33" s="2329" customFormat="1" ht="21.95" customHeight="1" x14ac:dyDescent="0.2">
      <c r="A17" s="1959">
        <f>satpek!B20</f>
        <v>1</v>
      </c>
      <c r="B17" s="2131">
        <v>1</v>
      </c>
      <c r="C17" s="2132"/>
      <c r="D17" s="2133" t="str">
        <f>VLOOKUP($A17,satpek!$B$20:$N$144,2,0)</f>
        <v>Administrasi dan dokumentasi</v>
      </c>
      <c r="E17" s="3268"/>
      <c r="F17" s="3269"/>
      <c r="G17" s="1945">
        <v>1</v>
      </c>
      <c r="H17" s="2456" t="str">
        <f>VLOOKUP($A17,satpek!$B$20:$N$144,7,0)</f>
        <v>ls</v>
      </c>
      <c r="I17" s="3281" t="str">
        <f>VLOOKUP($A17,satpek!$B$20:$N$144,5,0)</f>
        <v>An. Dihitung</v>
      </c>
      <c r="J17" s="1951">
        <f>VLOOKUP($A17,satpek!$B$20:$L$138,6,0)</f>
        <v>287076.5</v>
      </c>
      <c r="K17" s="3273"/>
      <c r="L17" s="1952">
        <f t="shared" ref="L17:L22" si="0">ROUND((G17*J17),2)</f>
        <v>287076.5</v>
      </c>
      <c r="M17" s="3275"/>
      <c r="N17" s="2458">
        <f>VLOOKUP($A17,satpek!$B$20:$L$138,8,0)</f>
        <v>0.58185101358000391</v>
      </c>
      <c r="O17" s="1954">
        <f>VLOOKUP($A17,satpek!$B$20:$L$138,9,0)</f>
        <v>147819.25</v>
      </c>
      <c r="P17" s="1954">
        <f>VLOOKUP($A17,satpek!$B$20:$L$138,10,0)</f>
        <v>167035.7525</v>
      </c>
      <c r="Q17" s="1952">
        <f>O17*G17</f>
        <v>147819.25</v>
      </c>
      <c r="R17" s="1952">
        <f>N17*L17</f>
        <v>167035.7525</v>
      </c>
      <c r="S17" s="3282">
        <f>L17-R17</f>
        <v>120040.7475</v>
      </c>
      <c r="T17" s="3283"/>
      <c r="U17" s="2125"/>
      <c r="V17" s="1958">
        <v>1</v>
      </c>
      <c r="W17" s="1958"/>
      <c r="X17" s="1958">
        <f t="shared" ref="X17:X80" si="1">V17-G17</f>
        <v>0</v>
      </c>
      <c r="Y17" s="2329" t="s">
        <v>366</v>
      </c>
      <c r="AC17" s="1958"/>
      <c r="AD17" s="1958"/>
      <c r="AE17" s="1958"/>
      <c r="AF17" s="1959">
        <v>283912.5</v>
      </c>
      <c r="AG17" s="2128">
        <f t="shared" ref="AG17:AG80" si="2">AF17-J17</f>
        <v>-3164</v>
      </c>
    </row>
    <row r="18" spans="1:33" s="2329" customFormat="1" ht="21.95" customHeight="1" x14ac:dyDescent="0.2">
      <c r="A18" s="1959">
        <f>satpek!B21</f>
        <v>2</v>
      </c>
      <c r="B18" s="2131">
        <f>B17+1</f>
        <v>2</v>
      </c>
      <c r="C18" s="2132"/>
      <c r="D18" s="2133" t="str">
        <f>VLOOKUP($A18,satpek!$B$20:$N$144,2,0)</f>
        <v>Air dan listrik kerja</v>
      </c>
      <c r="E18" s="2133"/>
      <c r="F18" s="2134"/>
      <c r="G18" s="1945">
        <f>'[3]B.VOL RAB'!Q15</f>
        <v>1</v>
      </c>
      <c r="H18" s="2456" t="str">
        <f>VLOOKUP($A18,satpek!$B$20:$N$144,7,0)</f>
        <v>ls</v>
      </c>
      <c r="I18" s="3281" t="str">
        <f>VLOOKUP($A18,satpek!$B$20:$N$144,5,0)</f>
        <v>An. Dihitung</v>
      </c>
      <c r="J18" s="1951">
        <f>VLOOKUP($A18,satpek!$B$20:$N$144,6,0)</f>
        <v>10379502</v>
      </c>
      <c r="K18" s="3273"/>
      <c r="L18" s="1952">
        <f t="shared" si="0"/>
        <v>10379502</v>
      </c>
      <c r="M18" s="3275"/>
      <c r="N18" s="2458">
        <f>VLOOKUP($A18,satpek!$B$20:$L$138,8,0)</f>
        <v>0.45130315500685869</v>
      </c>
      <c r="O18" s="1954">
        <f>VLOOKUP($A18,satpek!$B$20:$L$138,9,0)</f>
        <v>4145400</v>
      </c>
      <c r="P18" s="1954">
        <f>VLOOKUP($A18,satpek!$B$20:$L$138,10,0)</f>
        <v>4684302</v>
      </c>
      <c r="Q18" s="1952">
        <f t="shared" ref="Q18:Q22" si="3">O18*G18</f>
        <v>4145400</v>
      </c>
      <c r="R18" s="1952">
        <f t="shared" ref="R18:R22" si="4">N18*L18</f>
        <v>4684302</v>
      </c>
      <c r="S18" s="3282">
        <f t="shared" ref="S18:S22" si="5">L18-R18</f>
        <v>5695200</v>
      </c>
      <c r="T18" s="2125"/>
      <c r="U18" s="2125"/>
      <c r="V18" s="1958">
        <v>1</v>
      </c>
      <c r="W18" s="1958"/>
      <c r="X18" s="1958">
        <f t="shared" si="1"/>
        <v>0</v>
      </c>
      <c r="Y18" s="2329" t="s">
        <v>1897</v>
      </c>
      <c r="AC18" s="1958"/>
      <c r="AD18" s="1958"/>
      <c r="AE18" s="1958"/>
      <c r="AF18" s="1959">
        <v>11022585</v>
      </c>
      <c r="AG18" s="2128">
        <f t="shared" si="2"/>
        <v>643083</v>
      </c>
    </row>
    <row r="19" spans="1:33" ht="21.95" customHeight="1" x14ac:dyDescent="0.2">
      <c r="A19" s="1910">
        <f>satpek!B23</f>
        <v>4</v>
      </c>
      <c r="B19" s="2131">
        <f>B18+1</f>
        <v>3</v>
      </c>
      <c r="C19" s="2132"/>
      <c r="D19" s="2133" t="str">
        <f>VLOOKUP($A19,satpek!$B$20:$N$144,2,0)</f>
        <v xml:space="preserve">Pengukuran dan pemasangan bouwplank  </v>
      </c>
      <c r="E19" s="2133"/>
      <c r="F19" s="2134"/>
      <c r="G19" s="1945">
        <f>'[3]B.VOL RAB'!Q17</f>
        <v>205.8</v>
      </c>
      <c r="H19" s="2456" t="str">
        <f>VLOOKUP($A19,satpek!$B$20:$N$144,7,0)</f>
        <v>m'</v>
      </c>
      <c r="I19" s="3281" t="str">
        <f>VLOOKUP($A19,satpek!$B$20:$N$144,5,0)</f>
        <v>A.2.2.1.4.</v>
      </c>
      <c r="J19" s="1951">
        <f>VLOOKUP($A19,satpek!$B$20:$N$144,6,0)</f>
        <v>59589.42</v>
      </c>
      <c r="K19" s="3273"/>
      <c r="L19" s="1952">
        <f t="shared" si="0"/>
        <v>12263502.640000001</v>
      </c>
      <c r="M19" s="3275"/>
      <c r="N19" s="2458">
        <f>VLOOKUP($A19,satpek!$B$20:$L$138,8,0)</f>
        <v>0.99355254674403615</v>
      </c>
      <c r="O19" s="1954">
        <f>VLOOKUP($A19,satpek!$B$20:$L$138,9,0)</f>
        <v>52394</v>
      </c>
      <c r="P19" s="1954">
        <f>VLOOKUP($A19,satpek!$B$20:$L$138,10,0)</f>
        <v>59205.22</v>
      </c>
      <c r="Q19" s="1952">
        <f t="shared" si="3"/>
        <v>10782685.200000001</v>
      </c>
      <c r="R19" s="1952">
        <f t="shared" si="4"/>
        <v>12184434.279974211</v>
      </c>
      <c r="S19" s="3282">
        <f t="shared" si="5"/>
        <v>79068.360025789589</v>
      </c>
      <c r="V19" s="1958">
        <v>205.8</v>
      </c>
      <c r="W19" s="1958"/>
      <c r="X19" s="1958">
        <f t="shared" si="1"/>
        <v>0</v>
      </c>
      <c r="Y19" s="2127" t="s">
        <v>1903</v>
      </c>
      <c r="AF19" s="1910">
        <v>59256.07</v>
      </c>
      <c r="AG19" s="2128">
        <f t="shared" si="2"/>
        <v>-333.34999999999854</v>
      </c>
    </row>
    <row r="20" spans="1:33" ht="21.95" customHeight="1" x14ac:dyDescent="0.2">
      <c r="A20" s="1910">
        <f>satpek!B22</f>
        <v>3</v>
      </c>
      <c r="B20" s="2131">
        <f>B19+1</f>
        <v>4</v>
      </c>
      <c r="C20" s="2132"/>
      <c r="D20" s="2133" t="str">
        <f>VLOOKUP($A20,satpek!$B$20:$N$144,2,0)</f>
        <v>Pembersihan lapangan dan perataan</v>
      </c>
      <c r="E20" s="2133"/>
      <c r="F20" s="2134"/>
      <c r="G20" s="1945">
        <f>'[3]B.VOL RAB'!Q20</f>
        <v>767.55000000000007</v>
      </c>
      <c r="H20" s="2456" t="str">
        <f>VLOOKUP($A20,satpek!$B$20:$N$144,7,0)</f>
        <v>m2</v>
      </c>
      <c r="I20" s="3281" t="str">
        <f>VLOOKUP($A20,satpek!$B$20:$N$144,5,0)</f>
        <v>A.2.2.1.9.</v>
      </c>
      <c r="J20" s="1951">
        <f>VLOOKUP($A20,satpek!$B$20:$N$144,6,0)</f>
        <v>15062.9</v>
      </c>
      <c r="K20" s="3273"/>
      <c r="L20" s="1952">
        <f t="shared" si="0"/>
        <v>11561528.9</v>
      </c>
      <c r="M20" s="3275"/>
      <c r="N20" s="2458">
        <f>VLOOKUP($A20,satpek!$B$20:$L$138,8,0)</f>
        <v>1</v>
      </c>
      <c r="O20" s="1954">
        <f>VLOOKUP($A20,satpek!$B$20:$L$138,9,0)</f>
        <v>13330</v>
      </c>
      <c r="P20" s="1954">
        <f>VLOOKUP($A20,satpek!$B$20:$L$138,10,0)</f>
        <v>15062.9</v>
      </c>
      <c r="Q20" s="1952">
        <f t="shared" si="3"/>
        <v>10231441.5</v>
      </c>
      <c r="R20" s="1952">
        <f t="shared" si="4"/>
        <v>11561528.9</v>
      </c>
      <c r="S20" s="3282">
        <f t="shared" si="5"/>
        <v>0</v>
      </c>
      <c r="V20" s="1958">
        <v>767.55000000000007</v>
      </c>
      <c r="W20" s="1958"/>
      <c r="X20" s="1958">
        <f t="shared" si="1"/>
        <v>0</v>
      </c>
      <c r="Y20" s="2127" t="s">
        <v>742</v>
      </c>
      <c r="AF20" s="1910">
        <v>14577</v>
      </c>
      <c r="AG20" s="2128">
        <f t="shared" si="2"/>
        <v>-485.89999999999964</v>
      </c>
    </row>
    <row r="21" spans="1:33" ht="21.95" customHeight="1" x14ac:dyDescent="0.2">
      <c r="A21" s="1910">
        <f>satpek!B107</f>
        <v>88</v>
      </c>
      <c r="B21" s="2131">
        <f>B20+1</f>
        <v>5</v>
      </c>
      <c r="C21" s="2132"/>
      <c r="D21" s="2133" t="str">
        <f>VLOOKUP($A21,satpek!$B$20:$N$144,2,0)</f>
        <v>Penyelenggaraan K3</v>
      </c>
      <c r="E21" s="2133"/>
      <c r="F21" s="2134"/>
      <c r="G21" s="1945">
        <f>'[3]B.VOL RAB'!Q22</f>
        <v>1</v>
      </c>
      <c r="H21" s="2456" t="str">
        <f>VLOOKUP($A21,satpek!$B$20:$N$144,7,0)</f>
        <v>ls</v>
      </c>
      <c r="I21" s="3281" t="str">
        <f>VLOOKUP($A21,satpek!$B$20:$N$144,5,0)</f>
        <v>Dihitung</v>
      </c>
      <c r="J21" s="1951">
        <f>VLOOKUP($A21,satpek!$B$20:$N$144,6,0)</f>
        <v>8258800</v>
      </c>
      <c r="K21" s="3273"/>
      <c r="L21" s="1952">
        <f t="shared" si="0"/>
        <v>8258800</v>
      </c>
      <c r="M21" s="3275"/>
      <c r="N21" s="2458">
        <f>VLOOKUP($A21,satpek!$B$20:$L$138,8,0)</f>
        <v>0.46616941928609484</v>
      </c>
      <c r="O21" s="1954">
        <f>VLOOKUP($A21,satpek!$B$20:$L$138,9,0)</f>
        <v>0</v>
      </c>
      <c r="P21" s="1954">
        <f>VLOOKUP($A21,satpek!$B$20:$L$138,10,0)</f>
        <v>3850000</v>
      </c>
      <c r="Q21" s="1952">
        <f t="shared" si="3"/>
        <v>0</v>
      </c>
      <c r="R21" s="1952">
        <f t="shared" si="4"/>
        <v>3850000</v>
      </c>
      <c r="S21" s="3282">
        <f t="shared" si="5"/>
        <v>4408800</v>
      </c>
      <c r="V21" s="1958">
        <v>1</v>
      </c>
      <c r="W21" s="1958"/>
      <c r="X21" s="1958">
        <f t="shared" si="1"/>
        <v>0</v>
      </c>
      <c r="Y21" s="2127" t="s">
        <v>1395</v>
      </c>
      <c r="AF21" s="1910">
        <v>8772500</v>
      </c>
      <c r="AG21" s="2128">
        <f t="shared" si="2"/>
        <v>513700</v>
      </c>
    </row>
    <row r="22" spans="1:33" ht="21.95" customHeight="1" x14ac:dyDescent="0.2">
      <c r="A22" s="1910">
        <f>satpek!B108</f>
        <v>89</v>
      </c>
      <c r="B22" s="3284">
        <f>B21+1</f>
        <v>6</v>
      </c>
      <c r="C22" s="3285"/>
      <c r="D22" s="2133" t="str">
        <f>VLOOKUP($A22,satpek!$B$20:$N$144,2,0)</f>
        <v>Papan Nama Proyek</v>
      </c>
      <c r="E22" s="3286"/>
      <c r="F22" s="3287"/>
      <c r="G22" s="2016">
        <f>'[3]B.VOL RAB'!Q23</f>
        <v>1</v>
      </c>
      <c r="H22" s="2456" t="str">
        <f>VLOOKUP($A22,satpek!$B$20:$N$144,7,0)</f>
        <v>ls</v>
      </c>
      <c r="I22" s="3281" t="str">
        <f>VLOOKUP($A22,satpek!$B$20:$N$144,5,0)</f>
        <v>Daftar harga</v>
      </c>
      <c r="J22" s="1951">
        <f>VLOOKUP($A22,satpek!$B$20:$N$144,6,0)</f>
        <v>350000</v>
      </c>
      <c r="K22" s="3273"/>
      <c r="L22" s="1952">
        <f t="shared" si="0"/>
        <v>350000</v>
      </c>
      <c r="M22" s="3288"/>
      <c r="N22" s="2458">
        <f>VLOOKUP($A22,satpek!$B$20:$L$138,8,0)</f>
        <v>0.2</v>
      </c>
      <c r="O22" s="1954">
        <f>VLOOKUP($A22,satpek!$B$20:$L$138,9,0)</f>
        <v>0</v>
      </c>
      <c r="P22" s="1954">
        <f>VLOOKUP($A22,satpek!$B$20:$L$138,10,0)</f>
        <v>70000</v>
      </c>
      <c r="Q22" s="1952">
        <f t="shared" si="3"/>
        <v>0</v>
      </c>
      <c r="R22" s="1952">
        <f t="shared" si="4"/>
        <v>70000</v>
      </c>
      <c r="S22" s="3282">
        <f t="shared" si="5"/>
        <v>280000</v>
      </c>
      <c r="V22" s="1958">
        <v>1</v>
      </c>
      <c r="W22" s="1958"/>
      <c r="X22" s="1958">
        <f t="shared" si="1"/>
        <v>0</v>
      </c>
      <c r="Y22" s="2127" t="s">
        <v>427</v>
      </c>
      <c r="AF22" s="1910">
        <v>350000</v>
      </c>
      <c r="AG22" s="2128">
        <f t="shared" si="2"/>
        <v>0</v>
      </c>
    </row>
    <row r="23" spans="1:33" ht="21.95" customHeight="1" x14ac:dyDescent="0.2">
      <c r="B23" s="2114"/>
      <c r="C23" s="2115"/>
      <c r="D23" s="2116"/>
      <c r="E23" s="2116"/>
      <c r="F23" s="2117"/>
      <c r="G23" s="2021"/>
      <c r="H23" s="3289"/>
      <c r="I23" s="3290"/>
      <c r="J23" s="2026"/>
      <c r="K23" s="2027"/>
      <c r="L23" s="2065" t="s">
        <v>1761</v>
      </c>
      <c r="M23" s="2463">
        <f>SUM(L17:L23)</f>
        <v>43100410.039999999</v>
      </c>
      <c r="N23" s="3291">
        <f>R23/M23</f>
        <v>0.75445456092635843</v>
      </c>
      <c r="O23" s="2121"/>
      <c r="P23" s="2120"/>
      <c r="Q23" s="2119"/>
      <c r="R23" s="2123">
        <f>SUM(R17:R22)</f>
        <v>32517300.932474211</v>
      </c>
      <c r="S23" s="3292">
        <f>SUM(S17:S22)</f>
        <v>10583109.107525788</v>
      </c>
      <c r="U23" s="2125">
        <f>M23-T23</f>
        <v>43100410.039999999</v>
      </c>
      <c r="V23" s="1958"/>
      <c r="W23" s="1958">
        <f>R23/M23</f>
        <v>0.75445456092635843</v>
      </c>
      <c r="X23" s="1958">
        <f t="shared" si="1"/>
        <v>0</v>
      </c>
      <c r="AG23" s="2128">
        <f t="shared" si="2"/>
        <v>0</v>
      </c>
    </row>
    <row r="24" spans="1:33" ht="21.95" customHeight="1" x14ac:dyDescent="0.2">
      <c r="B24" s="3293" t="s">
        <v>1762</v>
      </c>
      <c r="C24" s="2164"/>
      <c r="D24" s="2165" t="s">
        <v>356</v>
      </c>
      <c r="E24" s="2166"/>
      <c r="F24" s="2167"/>
      <c r="G24" s="1991"/>
      <c r="H24" s="2168"/>
      <c r="I24" s="2169"/>
      <c r="J24" s="1997"/>
      <c r="K24" s="2041"/>
      <c r="L24" s="2042"/>
      <c r="M24" s="1997"/>
      <c r="N24" s="2482"/>
      <c r="O24" s="2171"/>
      <c r="P24" s="2171"/>
      <c r="Q24" s="2169"/>
      <c r="R24" s="2172"/>
      <c r="S24" s="2173"/>
      <c r="V24" s="1958"/>
      <c r="W24" s="1958"/>
      <c r="X24" s="1958">
        <f t="shared" si="1"/>
        <v>0</v>
      </c>
      <c r="Y24" s="2127" t="s">
        <v>356</v>
      </c>
      <c r="AG24" s="2128">
        <f t="shared" si="2"/>
        <v>0</v>
      </c>
    </row>
    <row r="25" spans="1:33" ht="21.95" customHeight="1" x14ac:dyDescent="0.2">
      <c r="A25" s="1910">
        <f>satpek!B24</f>
        <v>5</v>
      </c>
      <c r="B25" s="2131">
        <v>1</v>
      </c>
      <c r="C25" s="2132"/>
      <c r="D25" s="2133" t="str">
        <f>VLOOKUP($A25,satpek!$B$20:$N$144,2,0)</f>
        <v xml:space="preserve">Menggali tanah biasa sedalam 1 m' </v>
      </c>
      <c r="E25" s="2133"/>
      <c r="F25" s="2134"/>
      <c r="G25" s="1945">
        <f>'[3]B.VOL RAB'!Q26</f>
        <v>125.12000000000002</v>
      </c>
      <c r="H25" s="2456" t="str">
        <f>VLOOKUP($A25,satpek!$B$20:$N$144,7,0)</f>
        <v>m3</v>
      </c>
      <c r="I25" s="3281" t="str">
        <f>VLOOKUP($A25,satpek!$B$20:$N$144,5,0)</f>
        <v>A.2.3.1.1.</v>
      </c>
      <c r="J25" s="1951">
        <f>VLOOKUP($A25,satpek!$B$20:$N$144,6,0)</f>
        <v>77376.75</v>
      </c>
      <c r="K25" s="3273"/>
      <c r="L25" s="1952">
        <f t="shared" ref="L25:L29" si="6">ROUND((G25*J25),2)</f>
        <v>9681378.9600000009</v>
      </c>
      <c r="M25" s="1967"/>
      <c r="N25" s="2458">
        <f>VLOOKUP($A25,satpek!$B$20:$L$138,8,0)</f>
        <v>1</v>
      </c>
      <c r="O25" s="1954">
        <f>VLOOKUP($A25,satpek!$B$20:$L$138,9,0)</f>
        <v>68475</v>
      </c>
      <c r="P25" s="1954">
        <f>VLOOKUP($A25,satpek!$B$20:$L$138,10,0)</f>
        <v>77376.75</v>
      </c>
      <c r="Q25" s="1952">
        <f t="shared" ref="Q25:Q29" si="7">O25*G25</f>
        <v>8567592.0000000019</v>
      </c>
      <c r="R25" s="1952">
        <f t="shared" ref="R25:R29" si="8">N25*L25</f>
        <v>9681378.9600000009</v>
      </c>
      <c r="S25" s="3282">
        <f t="shared" ref="S25:S29" si="9">L25-R25</f>
        <v>0</v>
      </c>
      <c r="V25" s="1958">
        <v>125.12000000000002</v>
      </c>
      <c r="W25" s="1958"/>
      <c r="X25" s="1958">
        <f t="shared" si="1"/>
        <v>0</v>
      </c>
      <c r="Y25" s="2127" t="s">
        <v>701</v>
      </c>
      <c r="AF25" s="1910">
        <v>74919</v>
      </c>
      <c r="AG25" s="2128">
        <f t="shared" si="2"/>
        <v>-2457.75</v>
      </c>
    </row>
    <row r="26" spans="1:33" ht="21.95" customHeight="1" x14ac:dyDescent="0.2">
      <c r="A26" s="1910">
        <f>satpek!B25</f>
        <v>6</v>
      </c>
      <c r="B26" s="2131">
        <f>B25+1</f>
        <v>2</v>
      </c>
      <c r="C26" s="2132"/>
      <c r="D26" s="2133" t="str">
        <f>VLOOKUP($A26,satpek!$B$20:$N$144,2,0)</f>
        <v>Menggali tanah biasa sedalam 2 m'</v>
      </c>
      <c r="E26" s="2133"/>
      <c r="F26" s="2134"/>
      <c r="G26" s="1945">
        <f>'[3]B.VOL RAB'!Q30</f>
        <v>415</v>
      </c>
      <c r="H26" s="2456" t="str">
        <f>VLOOKUP($A26,satpek!$B$20:$N$144,7,0)</f>
        <v>m3</v>
      </c>
      <c r="I26" s="3281" t="str">
        <f>VLOOKUP($A26,satpek!$B$20:$N$144,5,0)</f>
        <v>A.2.3.1.2.</v>
      </c>
      <c r="J26" s="1951">
        <f>VLOOKUP($A26,satpek!$B$20:$N$144,6,0)</f>
        <v>94377.600000000006</v>
      </c>
      <c r="K26" s="3273"/>
      <c r="L26" s="1952">
        <f t="shared" si="6"/>
        <v>39166704</v>
      </c>
      <c r="M26" s="1967"/>
      <c r="N26" s="2458">
        <f>VLOOKUP($A26,satpek!$B$20:$L$138,8,0)</f>
        <v>1</v>
      </c>
      <c r="O26" s="1954">
        <f>VLOOKUP($A26,satpek!$B$20:$L$138,9,0)</f>
        <v>83520</v>
      </c>
      <c r="P26" s="1954">
        <f>VLOOKUP($A26,satpek!$B$20:$L$138,10,0)</f>
        <v>94377.600000000006</v>
      </c>
      <c r="Q26" s="1952">
        <f t="shared" si="7"/>
        <v>34660800</v>
      </c>
      <c r="R26" s="1952">
        <f t="shared" si="8"/>
        <v>39166704</v>
      </c>
      <c r="S26" s="3282">
        <f t="shared" si="9"/>
        <v>0</v>
      </c>
      <c r="V26" s="1958">
        <v>415</v>
      </c>
      <c r="W26" s="1958"/>
      <c r="X26" s="1958">
        <f t="shared" si="1"/>
        <v>0</v>
      </c>
      <c r="Y26" s="2127" t="s">
        <v>745</v>
      </c>
      <c r="AF26" s="1910">
        <v>91377.45</v>
      </c>
      <c r="AG26" s="2128">
        <f t="shared" si="2"/>
        <v>-3000.1500000000087</v>
      </c>
    </row>
    <row r="27" spans="1:33" ht="21.95" customHeight="1" x14ac:dyDescent="0.2">
      <c r="A27" s="1910">
        <f>satpek!B26</f>
        <v>7</v>
      </c>
      <c r="B27" s="2131">
        <f>B26+1</f>
        <v>3</v>
      </c>
      <c r="C27" s="2132"/>
      <c r="D27" s="2133" t="str">
        <f>VLOOKUP($A27,satpek!$B$20:$N$144,2,0)</f>
        <v>Pengurugan kembali galian tanah</v>
      </c>
      <c r="E27" s="2133"/>
      <c r="F27" s="2134"/>
      <c r="G27" s="1945">
        <f>'[3]B.VOL RAB'!Q33</f>
        <v>162.036</v>
      </c>
      <c r="H27" s="2456" t="str">
        <f>VLOOKUP($A27,satpek!$B$20:$N$144,7,0)</f>
        <v>m3</v>
      </c>
      <c r="I27" s="3281" t="str">
        <f>VLOOKUP($A27,satpek!$B$20:$N$144,5,0)</f>
        <v>A.2.3.1.9.</v>
      </c>
      <c r="J27" s="1951">
        <f>VLOOKUP($A27,satpek!$B$20:$N$144,6,0)</f>
        <v>54974.5</v>
      </c>
      <c r="K27" s="3273"/>
      <c r="L27" s="1952">
        <f t="shared" si="6"/>
        <v>8907848.0800000001</v>
      </c>
      <c r="M27" s="1967"/>
      <c r="N27" s="2458">
        <f>VLOOKUP($A27,satpek!$B$20:$L$138,8,0)</f>
        <v>1</v>
      </c>
      <c r="O27" s="1954">
        <f>VLOOKUP($A27,satpek!$B$20:$L$138,9,0)</f>
        <v>48650</v>
      </c>
      <c r="P27" s="1954">
        <f>VLOOKUP($A27,satpek!$B$20:$L$138,10,0)</f>
        <v>54974.5</v>
      </c>
      <c r="Q27" s="1952">
        <f t="shared" si="7"/>
        <v>7883051.4000000004</v>
      </c>
      <c r="R27" s="1952">
        <f t="shared" si="8"/>
        <v>8907848.0800000001</v>
      </c>
      <c r="S27" s="3282">
        <f>L27-R27</f>
        <v>0</v>
      </c>
      <c r="V27" s="1958">
        <v>162.036</v>
      </c>
      <c r="W27" s="1958"/>
      <c r="X27" s="1958">
        <f t="shared" si="1"/>
        <v>0</v>
      </c>
      <c r="Y27" s="2127" t="s">
        <v>1067</v>
      </c>
      <c r="AF27" s="1910">
        <v>53223</v>
      </c>
      <c r="AG27" s="2128">
        <f t="shared" si="2"/>
        <v>-1751.5</v>
      </c>
    </row>
    <row r="28" spans="1:33" ht="21.95" customHeight="1" x14ac:dyDescent="0.2">
      <c r="A28" s="1910">
        <f>satpek!B28</f>
        <v>9</v>
      </c>
      <c r="B28" s="2131">
        <f>B27+1</f>
        <v>4</v>
      </c>
      <c r="C28" s="2132"/>
      <c r="D28" s="2133" t="s">
        <v>1999</v>
      </c>
      <c r="E28" s="2133"/>
      <c r="F28" s="2134"/>
      <c r="G28" s="1945">
        <f>'[3]B.VOL RAB'!Q35</f>
        <v>631.13400000000001</v>
      </c>
      <c r="H28" s="2456" t="str">
        <f>VLOOKUP($A28,satpek!$B$20:$N$144,7,0)</f>
        <v>m3</v>
      </c>
      <c r="I28" s="3281" t="str">
        <f>VLOOKUP($A28,satpek!$B$20:$N$144,5,0)</f>
        <v>An. Dihitung</v>
      </c>
      <c r="J28" s="1951">
        <f>VLOOKUP($A28,satpek!$B$20:$N$144,6,0)+satpek!G27</f>
        <v>148301.20000000001</v>
      </c>
      <c r="K28" s="3273"/>
      <c r="L28" s="1952">
        <f t="shared" si="6"/>
        <v>93597929.560000002</v>
      </c>
      <c r="M28" s="1967"/>
      <c r="N28" s="2458">
        <f>VLOOKUP($A28,satpek!$B$20:$L$138,8,0)</f>
        <v>1</v>
      </c>
      <c r="O28" s="1954">
        <f>VLOOKUP($A28,satpek!$B$20:$L$138,9,0)</f>
        <v>82590</v>
      </c>
      <c r="P28" s="1954">
        <f>VLOOKUP($A28,satpek!$B$20:$L$138,10,0)+satpek!K27</f>
        <v>148301.20000000001</v>
      </c>
      <c r="Q28" s="1952">
        <f t="shared" si="7"/>
        <v>52125357.060000002</v>
      </c>
      <c r="R28" s="1952">
        <f t="shared" si="8"/>
        <v>93597929.560000002</v>
      </c>
      <c r="S28" s="3282">
        <f t="shared" si="9"/>
        <v>0</v>
      </c>
      <c r="V28" s="1958">
        <v>559.54500000000007</v>
      </c>
      <c r="W28" s="1958"/>
      <c r="X28" s="1958">
        <f t="shared" si="1"/>
        <v>-71.588999999999942</v>
      </c>
      <c r="Y28" s="2404" t="s">
        <v>1763</v>
      </c>
      <c r="AF28" s="1910">
        <v>93699.6</v>
      </c>
      <c r="AG28" s="2128">
        <f t="shared" si="2"/>
        <v>-54601.600000000006</v>
      </c>
    </row>
    <row r="29" spans="1:33" ht="21.95" customHeight="1" x14ac:dyDescent="0.2">
      <c r="A29" s="1910">
        <f>satpek!B29</f>
        <v>10</v>
      </c>
      <c r="B29" s="2131">
        <f>B28+1</f>
        <v>5</v>
      </c>
      <c r="C29" s="2132"/>
      <c r="D29" s="2133" t="str">
        <f>VLOOKUP($A29,satpek!$B$20:$N$144,2,0)</f>
        <v>Mengurug pasir urug</v>
      </c>
      <c r="E29" s="2133"/>
      <c r="F29" s="2134"/>
      <c r="G29" s="2016">
        <f>'[3]B.VOL RAB'!Q36</f>
        <v>26.52</v>
      </c>
      <c r="H29" s="2456" t="str">
        <f>VLOOKUP($A29,satpek!$B$20:$N$144,7,0)</f>
        <v>m3</v>
      </c>
      <c r="I29" s="3281" t="str">
        <f>VLOOKUP($A29,satpek!$B$20:$N$144,5,0)</f>
        <v>A.2.3.1.11.</v>
      </c>
      <c r="J29" s="1951">
        <f>VLOOKUP($A29,satpek!$B$20:$N$144,6,0)</f>
        <v>251978.7</v>
      </c>
      <c r="K29" s="3273"/>
      <c r="L29" s="1952">
        <f t="shared" si="6"/>
        <v>6682475.1200000001</v>
      </c>
      <c r="M29" s="1967"/>
      <c r="N29" s="2458">
        <f>VLOOKUP($A29,satpek!$B$20:$L$138,8,0)</f>
        <v>1</v>
      </c>
      <c r="O29" s="1954">
        <f>VLOOKUP($A29,satpek!$B$20:$L$138,9,0)</f>
        <v>222990</v>
      </c>
      <c r="P29" s="1954">
        <f>VLOOKUP($A29,satpek!$B$20:$L$138,10,0)</f>
        <v>251978.7</v>
      </c>
      <c r="Q29" s="1952">
        <f t="shared" si="7"/>
        <v>5913694.7999999998</v>
      </c>
      <c r="R29" s="1952">
        <f t="shared" si="8"/>
        <v>6682475.1200000001</v>
      </c>
      <c r="S29" s="3282">
        <f t="shared" si="9"/>
        <v>0</v>
      </c>
      <c r="V29" s="1958">
        <v>26.52</v>
      </c>
      <c r="W29" s="1958"/>
      <c r="X29" s="1958">
        <f t="shared" si="1"/>
        <v>0</v>
      </c>
      <c r="Y29" s="2127" t="s">
        <v>467</v>
      </c>
      <c r="AF29" s="1910">
        <v>250995.6</v>
      </c>
      <c r="AG29" s="2128">
        <f t="shared" si="2"/>
        <v>-983.10000000000582</v>
      </c>
    </row>
    <row r="30" spans="1:33" ht="21.95" customHeight="1" x14ac:dyDescent="0.2">
      <c r="B30" s="2114"/>
      <c r="C30" s="2115"/>
      <c r="D30" s="2116"/>
      <c r="E30" s="2116"/>
      <c r="F30" s="2117"/>
      <c r="G30" s="2021"/>
      <c r="H30" s="3289"/>
      <c r="I30" s="3290"/>
      <c r="J30" s="2026"/>
      <c r="K30" s="2027"/>
      <c r="L30" s="2065" t="s">
        <v>1764</v>
      </c>
      <c r="M30" s="2463">
        <f>SUM(L25:L30)</f>
        <v>158036335.72</v>
      </c>
      <c r="N30" s="3291">
        <f>R30/M30</f>
        <v>1</v>
      </c>
      <c r="O30" s="2121"/>
      <c r="P30" s="2121"/>
      <c r="Q30" s="2119"/>
      <c r="R30" s="2123">
        <f>SUM(R25:R29)</f>
        <v>158036335.72</v>
      </c>
      <c r="S30" s="3294">
        <f>SUM(S25:S29)</f>
        <v>0</v>
      </c>
      <c r="U30" s="2125">
        <f>M30-T30</f>
        <v>158036335.72</v>
      </c>
      <c r="V30" s="1958"/>
      <c r="W30" s="1958"/>
      <c r="X30" s="1958">
        <f t="shared" si="1"/>
        <v>0</v>
      </c>
      <c r="Y30" s="1910"/>
      <c r="AC30" s="2127"/>
      <c r="AD30" s="2127"/>
      <c r="AE30" s="2127"/>
      <c r="AG30" s="2128">
        <f t="shared" si="2"/>
        <v>0</v>
      </c>
    </row>
    <row r="31" spans="1:33" ht="21.95" customHeight="1" x14ac:dyDescent="0.2">
      <c r="B31" s="3293" t="s">
        <v>1765</v>
      </c>
      <c r="C31" s="3266"/>
      <c r="D31" s="3267" t="s">
        <v>259</v>
      </c>
      <c r="E31" s="3268"/>
      <c r="F31" s="3269"/>
      <c r="G31" s="1945"/>
      <c r="H31" s="3271"/>
      <c r="I31" s="3272"/>
      <c r="J31" s="1951"/>
      <c r="K31" s="2066"/>
      <c r="L31" s="2067"/>
      <c r="M31" s="1967"/>
      <c r="N31" s="3276"/>
      <c r="O31" s="3277"/>
      <c r="P31" s="3277"/>
      <c r="Q31" s="3278"/>
      <c r="R31" s="3295"/>
      <c r="S31" s="3280"/>
      <c r="V31" s="1958"/>
      <c r="W31" s="1958"/>
      <c r="X31" s="1958">
        <f t="shared" si="1"/>
        <v>0</v>
      </c>
      <c r="Y31" s="2127" t="s">
        <v>259</v>
      </c>
      <c r="AC31" s="2127"/>
      <c r="AD31" s="2127"/>
      <c r="AE31" s="2127"/>
      <c r="AG31" s="2128">
        <f t="shared" si="2"/>
        <v>0</v>
      </c>
    </row>
    <row r="32" spans="1:33" ht="21.95" customHeight="1" x14ac:dyDescent="0.2">
      <c r="A32" s="1910">
        <f>satpek!B32</f>
        <v>13</v>
      </c>
      <c r="B32" s="2131">
        <v>1</v>
      </c>
      <c r="C32" s="2132"/>
      <c r="D32" s="2133" t="str">
        <f>VLOOKUP($A32,satpek!$B$20:$N$144,2,0)</f>
        <v>Memasang batu kosong ( anstamping )</v>
      </c>
      <c r="E32" s="2133"/>
      <c r="F32" s="2134"/>
      <c r="G32" s="1945">
        <f>'[3]B.VOL RAB'!Q42</f>
        <v>9.9200000000000017</v>
      </c>
      <c r="H32" s="2456" t="str">
        <f>VLOOKUP($A32,satpek!$B$20:$N$144,7,0)</f>
        <v>m3</v>
      </c>
      <c r="I32" s="3281" t="str">
        <f>VLOOKUP($A32,satpek!$B$20:$N$144,5,0)</f>
        <v>A.3.2.1.9.</v>
      </c>
      <c r="J32" s="1951">
        <f>VLOOKUP($A32,satpek!$B$20:$N$144,6,0)</f>
        <v>571377.72</v>
      </c>
      <c r="K32" s="3273"/>
      <c r="L32" s="1952">
        <f t="shared" ref="L32:L34" si="10">ROUND((G32*J32),2)</f>
        <v>5668066.9800000004</v>
      </c>
      <c r="M32" s="1967"/>
      <c r="N32" s="2458">
        <f>VLOOKUP($A32,satpek!$B$20:$L$138,8,0)</f>
        <v>1</v>
      </c>
      <c r="O32" s="1954">
        <f>VLOOKUP($A32,satpek!$B$20:$L$138,9,0)</f>
        <v>505644</v>
      </c>
      <c r="P32" s="1954">
        <f>VLOOKUP($A32,satpek!$B$20:$L$138,10,0)</f>
        <v>571377.72</v>
      </c>
      <c r="Q32" s="1952">
        <f t="shared" ref="Q32:Q34" si="11">O32*G32</f>
        <v>5015988.4800000004</v>
      </c>
      <c r="R32" s="1952">
        <f t="shared" ref="R32:R34" si="12">N32*L32</f>
        <v>5668066.9800000004</v>
      </c>
      <c r="S32" s="3282">
        <f t="shared" ref="S32:S34" si="13">L32-R32</f>
        <v>0</v>
      </c>
      <c r="V32" s="1958">
        <v>9.9200000000000017</v>
      </c>
      <c r="W32" s="1958"/>
      <c r="X32" s="1958">
        <f t="shared" si="1"/>
        <v>0</v>
      </c>
      <c r="Y32" s="2127" t="s">
        <v>1904</v>
      </c>
      <c r="AC32" s="2127"/>
      <c r="AD32" s="2127"/>
      <c r="AE32" s="2127"/>
      <c r="AF32" s="1910">
        <v>582913.89</v>
      </c>
      <c r="AG32" s="2128">
        <f t="shared" si="2"/>
        <v>11536.170000000042</v>
      </c>
    </row>
    <row r="33" spans="1:33" ht="21.95" customHeight="1" x14ac:dyDescent="0.2">
      <c r="A33" s="1910">
        <f>satpek!B30</f>
        <v>11</v>
      </c>
      <c r="B33" s="2131">
        <f>B32+1</f>
        <v>2</v>
      </c>
      <c r="C33" s="2132"/>
      <c r="D33" s="2133" t="str">
        <f>VLOOKUP($A33,satpek!$B$20:$N$144,2,0)</f>
        <v>Memasang pondasi batu belah, campuran 1 PC : 6 PP</v>
      </c>
      <c r="E33" s="2133"/>
      <c r="F33" s="2134"/>
      <c r="G33" s="1945">
        <f>'[3]B.VOL RAB'!Q43</f>
        <v>44.044000000000004</v>
      </c>
      <c r="H33" s="2456" t="str">
        <f>VLOOKUP($A33,satpek!$B$20:$N$144,7,0)</f>
        <v>m3</v>
      </c>
      <c r="I33" s="3281" t="str">
        <f>VLOOKUP($A33,satpek!$B$20:$N$144,5,0)</f>
        <v>A.3.2.1.4.</v>
      </c>
      <c r="J33" s="1951">
        <f>VLOOKUP($A33,satpek!$B$20:$N$144,6,0)</f>
        <v>931300.8</v>
      </c>
      <c r="K33" s="3273"/>
      <c r="L33" s="1952">
        <f t="shared" si="10"/>
        <v>41018212.439999998</v>
      </c>
      <c r="M33" s="1967"/>
      <c r="N33" s="2458">
        <f>VLOOKUP($A33,satpek!$B$20:$L$138,8,0)</f>
        <v>0.97468520675596981</v>
      </c>
      <c r="O33" s="1954">
        <f>VLOOKUP($A33,satpek!$B$20:$L$138,9,0)</f>
        <v>803296.56</v>
      </c>
      <c r="P33" s="1954">
        <f>VLOOKUP($A33,satpek!$B$20:$L$138,10,0)</f>
        <v>907725.1128</v>
      </c>
      <c r="Q33" s="1952">
        <f t="shared" si="11"/>
        <v>35380393.688640006</v>
      </c>
      <c r="R33" s="1952">
        <f t="shared" si="12"/>
        <v>39979844.872841693</v>
      </c>
      <c r="S33" s="3282">
        <f t="shared" si="13"/>
        <v>1038367.5671583042</v>
      </c>
      <c r="V33" s="1958">
        <v>44.044000000000004</v>
      </c>
      <c r="W33" s="1958"/>
      <c r="X33" s="1958">
        <f t="shared" si="1"/>
        <v>0</v>
      </c>
      <c r="Y33" s="2127" t="s">
        <v>663</v>
      </c>
      <c r="AC33" s="2127"/>
      <c r="AD33" s="2127"/>
      <c r="AE33" s="2127"/>
      <c r="AF33" s="1910">
        <v>864060.15</v>
      </c>
      <c r="AG33" s="2128">
        <f t="shared" si="2"/>
        <v>-67240.650000000023</v>
      </c>
    </row>
    <row r="34" spans="1:33" ht="21.95" customHeight="1" x14ac:dyDescent="0.2">
      <c r="A34" s="1910">
        <f>satpek!B33</f>
        <v>14</v>
      </c>
      <c r="B34" s="2131">
        <f>B33+1</f>
        <v>3</v>
      </c>
      <c r="C34" s="2132"/>
      <c r="D34" s="2133" t="s">
        <v>1766</v>
      </c>
      <c r="E34" s="2133"/>
      <c r="F34" s="2134"/>
      <c r="G34" s="2016">
        <f>'[3]B.VOL RAB'!Q45</f>
        <v>7.68</v>
      </c>
      <c r="H34" s="2456" t="str">
        <f>VLOOKUP($A34,satpek!$B$20:$N$144,7,0)</f>
        <v>m2</v>
      </c>
      <c r="I34" s="3281" t="str">
        <f>VLOOKUP($A34,satpek!$B$20:$N$144,5,0)</f>
        <v>A.4.4.1.4.</v>
      </c>
      <c r="J34" s="1951">
        <f>VLOOKUP($A34,satpek!$B$20:$N$144,6,0)</f>
        <v>272058.8</v>
      </c>
      <c r="K34" s="3273"/>
      <c r="L34" s="1952">
        <f t="shared" si="10"/>
        <v>2089411.58</v>
      </c>
      <c r="M34" s="1967"/>
      <c r="N34" s="2458">
        <f>VLOOKUP($A34,satpek!$B$20:$L$138,8,0)</f>
        <v>0.98355746801794319</v>
      </c>
      <c r="O34" s="1954">
        <f>VLOOKUP($A34,satpek!$B$20:$L$138,9,0)</f>
        <v>236801.296</v>
      </c>
      <c r="P34" s="1954">
        <f>VLOOKUP($A34,satpek!$B$20:$L$138,10,0)</f>
        <v>267585.46448000002</v>
      </c>
      <c r="Q34" s="1952">
        <f t="shared" si="11"/>
        <v>1818633.95328</v>
      </c>
      <c r="R34" s="1952">
        <f t="shared" si="12"/>
        <v>2055056.3632721703</v>
      </c>
      <c r="S34" s="3282">
        <f t="shared" si="13"/>
        <v>34355.216727829771</v>
      </c>
      <c r="V34" s="1958">
        <v>7.68</v>
      </c>
      <c r="W34" s="1958"/>
      <c r="X34" s="1958">
        <f t="shared" si="1"/>
        <v>0</v>
      </c>
      <c r="Y34" s="2127" t="s">
        <v>1766</v>
      </c>
      <c r="AC34" s="2127"/>
      <c r="AD34" s="2127"/>
      <c r="AE34" s="2127"/>
      <c r="AF34" s="1910">
        <v>248520.9</v>
      </c>
      <c r="AG34" s="2128">
        <f t="shared" si="2"/>
        <v>-23537.899999999994</v>
      </c>
    </row>
    <row r="35" spans="1:33" ht="21.95" customHeight="1" x14ac:dyDescent="0.2">
      <c r="B35" s="2114"/>
      <c r="C35" s="2115"/>
      <c r="D35" s="2116"/>
      <c r="E35" s="2116"/>
      <c r="F35" s="2117"/>
      <c r="G35" s="2021"/>
      <c r="H35" s="3289"/>
      <c r="I35" s="3290"/>
      <c r="J35" s="2026"/>
      <c r="K35" s="2027"/>
      <c r="L35" s="2065" t="s">
        <v>1767</v>
      </c>
      <c r="M35" s="2463">
        <f>SUM(L32:L35)</f>
        <v>48775691</v>
      </c>
      <c r="N35" s="3291">
        <f>R35/M35</f>
        <v>0.97800702026166797</v>
      </c>
      <c r="O35" s="2121"/>
      <c r="P35" s="2121"/>
      <c r="Q35" s="2119"/>
      <c r="R35" s="2123">
        <f>SUM(R32:R34)</f>
        <v>47702968.216113858</v>
      </c>
      <c r="S35" s="3294">
        <f>SUM(S32:S34)</f>
        <v>1072722.7838861339</v>
      </c>
      <c r="U35" s="2125">
        <f>M35-T35</f>
        <v>48775691</v>
      </c>
      <c r="V35" s="1958"/>
      <c r="W35" s="1958"/>
      <c r="X35" s="1958">
        <f t="shared" si="1"/>
        <v>0</v>
      </c>
      <c r="Y35" s="2069"/>
      <c r="AC35" s="2127"/>
      <c r="AD35" s="2127"/>
      <c r="AE35" s="2127"/>
      <c r="AG35" s="2128">
        <f t="shared" si="2"/>
        <v>0</v>
      </c>
    </row>
    <row r="36" spans="1:33" ht="21.95" customHeight="1" x14ac:dyDescent="0.2">
      <c r="B36" s="3265" t="s">
        <v>1768</v>
      </c>
      <c r="C36" s="2164"/>
      <c r="D36" s="2165" t="s">
        <v>269</v>
      </c>
      <c r="E36" s="3296"/>
      <c r="F36" s="3297"/>
      <c r="G36" s="1945"/>
      <c r="H36" s="3298"/>
      <c r="I36" s="3299"/>
      <c r="J36" s="2076"/>
      <c r="K36" s="2077"/>
      <c r="L36" s="2078"/>
      <c r="M36" s="1997"/>
      <c r="N36" s="3300"/>
      <c r="O36" s="3301"/>
      <c r="P36" s="3301"/>
      <c r="Q36" s="3299"/>
      <c r="R36" s="3302"/>
      <c r="S36" s="3303"/>
      <c r="V36" s="1958"/>
      <c r="W36" s="1958"/>
      <c r="X36" s="1958">
        <f t="shared" si="1"/>
        <v>0</v>
      </c>
      <c r="Y36" s="2127" t="s">
        <v>269</v>
      </c>
      <c r="AC36" s="2127"/>
      <c r="AD36" s="2127"/>
      <c r="AE36" s="2127"/>
      <c r="AG36" s="2128">
        <f t="shared" si="2"/>
        <v>0</v>
      </c>
    </row>
    <row r="37" spans="1:33" ht="21.95" customHeight="1" x14ac:dyDescent="0.2">
      <c r="B37" s="3265"/>
      <c r="C37" s="2164"/>
      <c r="D37" s="2165" t="s">
        <v>1769</v>
      </c>
      <c r="E37" s="3296"/>
      <c r="F37" s="3297"/>
      <c r="G37" s="1945"/>
      <c r="H37" s="3298"/>
      <c r="I37" s="3299"/>
      <c r="J37" s="2076"/>
      <c r="K37" s="2077"/>
      <c r="L37" s="2078"/>
      <c r="M37" s="1997"/>
      <c r="N37" s="3300"/>
      <c r="O37" s="3301"/>
      <c r="P37" s="3301"/>
      <c r="Q37" s="3299"/>
      <c r="R37" s="3302"/>
      <c r="S37" s="3303"/>
      <c r="V37" s="1958"/>
      <c r="W37" s="1958"/>
      <c r="X37" s="1958">
        <f t="shared" si="1"/>
        <v>0</v>
      </c>
      <c r="Y37" s="2127" t="s">
        <v>1769</v>
      </c>
      <c r="AC37" s="2127"/>
      <c r="AD37" s="2127"/>
      <c r="AE37" s="2127"/>
      <c r="AG37" s="2128">
        <f t="shared" si="2"/>
        <v>0</v>
      </c>
    </row>
    <row r="38" spans="1:33" ht="21.95" customHeight="1" x14ac:dyDescent="0.2">
      <c r="B38" s="3265"/>
      <c r="C38" s="3266"/>
      <c r="D38" s="3304" t="s">
        <v>1770</v>
      </c>
      <c r="E38" s="3305"/>
      <c r="F38" s="3306"/>
      <c r="G38" s="1945"/>
      <c r="H38" s="3307"/>
      <c r="I38" s="3308"/>
      <c r="J38" s="2088"/>
      <c r="K38" s="2089"/>
      <c r="L38" s="2090"/>
      <c r="M38" s="1967"/>
      <c r="N38" s="3309"/>
      <c r="O38" s="3310"/>
      <c r="P38" s="3310"/>
      <c r="Q38" s="3311"/>
      <c r="R38" s="3312"/>
      <c r="S38" s="3313"/>
      <c r="V38" s="1958"/>
      <c r="W38" s="1958"/>
      <c r="X38" s="1958">
        <f t="shared" si="1"/>
        <v>0</v>
      </c>
      <c r="Y38" s="2127" t="s">
        <v>1770</v>
      </c>
      <c r="AC38" s="2127"/>
      <c r="AD38" s="2127"/>
      <c r="AE38" s="2127"/>
      <c r="AG38" s="2128">
        <f t="shared" si="2"/>
        <v>0</v>
      </c>
    </row>
    <row r="39" spans="1:33" ht="21.95" customHeight="1" x14ac:dyDescent="0.2">
      <c r="A39" s="1910">
        <f>satpek!B39</f>
        <v>20</v>
      </c>
      <c r="B39" s="2131">
        <v>1</v>
      </c>
      <c r="C39" s="2132"/>
      <c r="D39" s="2133" t="s">
        <v>1771</v>
      </c>
      <c r="E39" s="2133"/>
      <c r="F39" s="2134"/>
      <c r="G39" s="1945">
        <f>'[3]B.VOL RAB'!Q52</f>
        <v>8.2999999999999989</v>
      </c>
      <c r="H39" s="2456" t="str">
        <f>VLOOKUP($A39,satpek!$B$20:$N$144,7,0)</f>
        <v>m3</v>
      </c>
      <c r="I39" s="3281" t="str">
        <f>VLOOKUP($A39,satpek!$B$20:$N$144,5,0)</f>
        <v>A.4.1.1.1.</v>
      </c>
      <c r="J39" s="1951">
        <f>VLOOKUP($A39,satpek!$B$20:$N$144,6,0)</f>
        <v>958085.99</v>
      </c>
      <c r="K39" s="3273"/>
      <c r="L39" s="1952">
        <f t="shared" ref="L39" si="14">ROUND((G39*J39),2)</f>
        <v>7952113.7199999997</v>
      </c>
      <c r="M39" s="1967"/>
      <c r="N39" s="2458">
        <f>VLOOKUP($A39,satpek!$B$20:$L$138,8,0)</f>
        <v>0.94805174525042479</v>
      </c>
      <c r="O39" s="1954">
        <f>VLOOKUP($A39,satpek!$B$20:$L$138,9,0)</f>
        <v>803818.67</v>
      </c>
      <c r="P39" s="1954">
        <f>VLOOKUP($A39,satpek!$B$20:$L$138,10,0)</f>
        <v>908315.09710000001</v>
      </c>
      <c r="Q39" s="1952">
        <f t="shared" ref="Q39" si="15">O39*G39</f>
        <v>6671694.9609999992</v>
      </c>
      <c r="R39" s="1952">
        <f t="shared" ref="R39" si="16">N39*L39</f>
        <v>7539015.2906758478</v>
      </c>
      <c r="S39" s="3282">
        <f t="shared" ref="S39" si="17">L39-R39</f>
        <v>413098.42932415195</v>
      </c>
      <c r="V39" s="1958">
        <v>8.2999999999999989</v>
      </c>
      <c r="W39" s="1958"/>
      <c r="X39" s="1958">
        <f t="shared" si="1"/>
        <v>0</v>
      </c>
      <c r="Y39" s="2127" t="s">
        <v>1771</v>
      </c>
      <c r="AC39" s="2127"/>
      <c r="AD39" s="2127"/>
      <c r="AE39" s="2127"/>
      <c r="AF39" s="1910">
        <v>969189.7</v>
      </c>
      <c r="AG39" s="2128">
        <f t="shared" si="2"/>
        <v>11103.709999999963</v>
      </c>
    </row>
    <row r="40" spans="1:33" ht="21.95" customHeight="1" x14ac:dyDescent="0.2">
      <c r="B40" s="2131"/>
      <c r="C40" s="2132"/>
      <c r="D40" s="3304" t="s">
        <v>1772</v>
      </c>
      <c r="E40" s="2133"/>
      <c r="F40" s="2134"/>
      <c r="G40" s="1945"/>
      <c r="H40" s="3314"/>
      <c r="I40" s="3281"/>
      <c r="J40" s="1951"/>
      <c r="K40" s="2095"/>
      <c r="L40" s="1952"/>
      <c r="M40" s="1967"/>
      <c r="N40" s="3315"/>
      <c r="O40" s="3316"/>
      <c r="P40" s="3316"/>
      <c r="Q40" s="3317"/>
      <c r="R40" s="3318"/>
      <c r="S40" s="3319"/>
      <c r="V40" s="1958"/>
      <c r="W40" s="1958"/>
      <c r="X40" s="1958">
        <f t="shared" si="1"/>
        <v>0</v>
      </c>
      <c r="Y40" s="2127" t="s">
        <v>1772</v>
      </c>
      <c r="AC40" s="2127"/>
      <c r="AD40" s="2127"/>
      <c r="AE40" s="2127"/>
      <c r="AG40" s="2128">
        <f t="shared" si="2"/>
        <v>0</v>
      </c>
    </row>
    <row r="41" spans="1:33" ht="21.95" customHeight="1" x14ac:dyDescent="0.2">
      <c r="A41" s="1910">
        <f>satpek!$B$40</f>
        <v>21</v>
      </c>
      <c r="B41" s="2131">
        <f>B39+1</f>
        <v>2</v>
      </c>
      <c r="C41" s="2132"/>
      <c r="D41" s="2133" t="str">
        <f>VLOOKUP($A41,satpek!$B$20:$N$144,2,0)</f>
        <v>Membuat beton mutu f'c = 21,7 Mpa - K 250</v>
      </c>
      <c r="E41" s="2133"/>
      <c r="F41" s="2134"/>
      <c r="G41" s="1945">
        <f>'[3]B.VOL RAB'!Q56</f>
        <v>41.471999999999994</v>
      </c>
      <c r="H41" s="2456" t="str">
        <f>VLOOKUP($A41,satpek!$B$20:$N$144,7,0)</f>
        <v>m3</v>
      </c>
      <c r="I41" s="3281" t="str">
        <f>VLOOKUP($A41,satpek!$B$20:$N$144,5,0)</f>
        <v>A.4.1.1.8.</v>
      </c>
      <c r="J41" s="1951">
        <f>VLOOKUP($A41,satpek!$B$20:$N$144,6,0)</f>
        <v>1115753.29</v>
      </c>
      <c r="K41" s="3273"/>
      <c r="L41" s="1952">
        <f t="shared" ref="L41:L43" si="18">ROUND((G41*J41),2)</f>
        <v>46272520.439999998</v>
      </c>
      <c r="M41" s="1967"/>
      <c r="N41" s="2458">
        <f>VLOOKUP($A41,satpek!$B$20:$L$138,8,0)</f>
        <v>0.93065078521121514</v>
      </c>
      <c r="O41" s="1954">
        <f>VLOOKUP($A41,satpek!$B$20:$L$138,9,0)</f>
        <v>918917.40999999992</v>
      </c>
      <c r="P41" s="1954">
        <f>VLOOKUP($A41,satpek!$B$20:$L$138,10,0)</f>
        <v>1038376.6732999999</v>
      </c>
      <c r="Q41" s="1952">
        <f t="shared" ref="Q41:Q43" si="19">O41*G41</f>
        <v>38109342.827519991</v>
      </c>
      <c r="R41" s="1952">
        <f t="shared" ref="R41:R43" si="20">N41*L41</f>
        <v>43063557.481187999</v>
      </c>
      <c r="S41" s="3282">
        <f t="shared" ref="S41:S43" si="21">L41-R41</f>
        <v>3208962.9588119984</v>
      </c>
      <c r="V41" s="1958">
        <v>41.471999999999994</v>
      </c>
      <c r="W41" s="1958"/>
      <c r="X41" s="1958">
        <f t="shared" si="1"/>
        <v>0</v>
      </c>
      <c r="Y41" s="2127" t="s">
        <v>1905</v>
      </c>
      <c r="AC41" s="2127"/>
      <c r="AD41" s="2127"/>
      <c r="AE41" s="2127"/>
      <c r="AF41" s="1910">
        <v>1191397.42</v>
      </c>
      <c r="AG41" s="2128">
        <f t="shared" si="2"/>
        <v>75644.129999999888</v>
      </c>
    </row>
    <row r="42" spans="1:33" ht="21.95" customHeight="1" x14ac:dyDescent="0.2">
      <c r="A42" s="1910">
        <f>satpek!$B$41</f>
        <v>22</v>
      </c>
      <c r="B42" s="2131">
        <f t="shared" ref="B42:B43" si="22">B41+1</f>
        <v>3</v>
      </c>
      <c r="C42" s="2132"/>
      <c r="D42" s="2133" t="str">
        <f>VLOOKUP($A42,satpek!$B$20:$N$144,2,0)</f>
        <v>Pembesian 1 kg dengan besi polos atau besi ulir</v>
      </c>
      <c r="E42" s="2133"/>
      <c r="F42" s="2134"/>
      <c r="G42" s="1945">
        <f>'[3]B.VOL RAB'!Q58</f>
        <v>3622.2814623302602</v>
      </c>
      <c r="H42" s="2456" t="str">
        <f>VLOOKUP($A42,satpek!$B$20:$N$144,7,0)</f>
        <v>kg</v>
      </c>
      <c r="I42" s="3281" t="str">
        <f>VLOOKUP($A42,satpek!$B$20:$N$144,5,0)</f>
        <v>A.4.1.1.17.</v>
      </c>
      <c r="J42" s="1951">
        <f>VLOOKUP($A42,satpek!$B$20:$N$144,6,0)</f>
        <v>15603.94</v>
      </c>
      <c r="K42" s="3273"/>
      <c r="L42" s="1952">
        <f t="shared" si="18"/>
        <v>56521862.600000001</v>
      </c>
      <c r="M42" s="1967"/>
      <c r="N42" s="2458">
        <f>VLOOKUP($A42,satpek!$B$20:$L$138,8,0)</f>
        <v>0.46415793062521393</v>
      </c>
      <c r="O42" s="1954">
        <f>VLOOKUP($A42,satpek!$B$20:$L$138,9,0)</f>
        <v>7242.692500000001</v>
      </c>
      <c r="P42" s="1954">
        <f>VLOOKUP($A42,satpek!$B$20:$L$138,10,0)</f>
        <v>8184.2425250000015</v>
      </c>
      <c r="Q42" s="1952">
        <f t="shared" si="19"/>
        <v>26235070.780108411</v>
      </c>
      <c r="R42" s="1952">
        <f t="shared" si="20"/>
        <v>26235070.779498674</v>
      </c>
      <c r="S42" s="3282">
        <f t="shared" si="21"/>
        <v>30286791.820501328</v>
      </c>
      <c r="V42" s="1958">
        <v>3622.2814623302602</v>
      </c>
      <c r="W42" s="1958"/>
      <c r="X42" s="1958">
        <f t="shared" si="1"/>
        <v>0</v>
      </c>
      <c r="Y42" s="2127" t="s">
        <v>420</v>
      </c>
      <c r="AC42" s="2127"/>
      <c r="AD42" s="2127"/>
      <c r="AE42" s="2127"/>
      <c r="AF42" s="1910">
        <v>15438.06</v>
      </c>
      <c r="AG42" s="2128">
        <f t="shared" si="2"/>
        <v>-165.88000000000102</v>
      </c>
    </row>
    <row r="43" spans="1:33" ht="21.95" customHeight="1" x14ac:dyDescent="0.2">
      <c r="A43" s="1910">
        <f>satpek!$B$42</f>
        <v>23</v>
      </c>
      <c r="B43" s="2131">
        <f t="shared" si="22"/>
        <v>4</v>
      </c>
      <c r="C43" s="2132"/>
      <c r="D43" s="2133" t="str">
        <f>VLOOKUP($A43,satpek!$B$20:$N$144,2,0)</f>
        <v>Memasang bekisting untuk pondasi ( 2x pakai )</v>
      </c>
      <c r="E43" s="2133"/>
      <c r="F43" s="2134"/>
      <c r="G43" s="1945">
        <f>'[3]B.VOL RAB'!Q61</f>
        <v>138.24</v>
      </c>
      <c r="H43" s="2456" t="str">
        <f>VLOOKUP($A43,satpek!$B$20:$N$144,7,0)</f>
        <v>m2</v>
      </c>
      <c r="I43" s="3281" t="str">
        <f>VLOOKUP($A43,satpek!$B$20:$N$144,5,0)</f>
        <v>A.4.1.1.20.</v>
      </c>
      <c r="J43" s="1951">
        <f>VLOOKUP($A43,satpek!$B$20:$N$144,6,0)</f>
        <v>115782.06</v>
      </c>
      <c r="K43" s="3273"/>
      <c r="L43" s="1952">
        <f t="shared" si="18"/>
        <v>16005711.970000001</v>
      </c>
      <c r="M43" s="1967"/>
      <c r="N43" s="2458">
        <f>VLOOKUP($A43,satpek!$B$20:$L$138,8,0)</f>
        <v>0.94349124553493002</v>
      </c>
      <c r="O43" s="1954">
        <f>VLOOKUP($A43,satpek!$B$20:$L$138,9,0)</f>
        <v>96672</v>
      </c>
      <c r="P43" s="1954">
        <f>VLOOKUP($A43,satpek!$B$20:$L$138,10,0)</f>
        <v>109239.36</v>
      </c>
      <c r="Q43" s="1952">
        <f t="shared" si="19"/>
        <v>13363937.280000001</v>
      </c>
      <c r="R43" s="1952">
        <f t="shared" si="20"/>
        <v>15101249.122248638</v>
      </c>
      <c r="S43" s="3282">
        <f t="shared" si="21"/>
        <v>904462.84775136225</v>
      </c>
      <c r="V43" s="1958">
        <v>138.24</v>
      </c>
      <c r="W43" s="1958"/>
      <c r="X43" s="1958">
        <f t="shared" si="1"/>
        <v>0</v>
      </c>
      <c r="Y43" s="2127" t="s">
        <v>1906</v>
      </c>
      <c r="AC43" s="2127"/>
      <c r="AD43" s="2127"/>
      <c r="AE43" s="2127"/>
      <c r="AF43" s="1910">
        <v>114048.64</v>
      </c>
      <c r="AG43" s="2128">
        <f t="shared" si="2"/>
        <v>-1733.4199999999983</v>
      </c>
    </row>
    <row r="44" spans="1:33" ht="21.95" customHeight="1" x14ac:dyDescent="0.2">
      <c r="B44" s="2131"/>
      <c r="C44" s="2132"/>
      <c r="D44" s="3304" t="s">
        <v>1773</v>
      </c>
      <c r="E44" s="2133"/>
      <c r="F44" s="2134"/>
      <c r="G44" s="1945"/>
      <c r="H44" s="3314"/>
      <c r="I44" s="3281"/>
      <c r="J44" s="1951"/>
      <c r="K44" s="2095"/>
      <c r="L44" s="1952"/>
      <c r="M44" s="1967"/>
      <c r="N44" s="3315"/>
      <c r="O44" s="3316"/>
      <c r="P44" s="3316"/>
      <c r="Q44" s="3317"/>
      <c r="R44" s="3318"/>
      <c r="S44" s="3319"/>
      <c r="V44" s="1958"/>
      <c r="W44" s="1958"/>
      <c r="X44" s="1958">
        <f t="shared" si="1"/>
        <v>0</v>
      </c>
      <c r="Y44" s="2127" t="s">
        <v>1773</v>
      </c>
      <c r="AC44" s="2127"/>
      <c r="AD44" s="2127"/>
      <c r="AE44" s="2127"/>
      <c r="AG44" s="2128">
        <f t="shared" si="2"/>
        <v>0</v>
      </c>
    </row>
    <row r="45" spans="1:33" ht="21.95" customHeight="1" x14ac:dyDescent="0.2">
      <c r="A45" s="1910">
        <f>satpek!$B$40</f>
        <v>21</v>
      </c>
      <c r="B45" s="2131">
        <f>B43+1</f>
        <v>5</v>
      </c>
      <c r="C45" s="2132"/>
      <c r="D45" s="2133" t="str">
        <f>VLOOKUP($A45,satpek!$B$20:$N$144,2,0)</f>
        <v>Membuat beton mutu f'c = 21,7 Mpa - K 250</v>
      </c>
      <c r="E45" s="2133"/>
      <c r="F45" s="2134"/>
      <c r="G45" s="1945">
        <f>'[3]B.VOL RAB'!Q65</f>
        <v>0.76800000000000013</v>
      </c>
      <c r="H45" s="2456" t="str">
        <f>VLOOKUP($A45,satpek!$B$20:$N$144,7,0)</f>
        <v>m3</v>
      </c>
      <c r="I45" s="3281" t="str">
        <f>VLOOKUP($A45,satpek!$B$20:$N$144,5,0)</f>
        <v>A.4.1.1.8.</v>
      </c>
      <c r="J45" s="1951">
        <f>VLOOKUP($A45,satpek!$B$20:$N$144,6,0)</f>
        <v>1115753.29</v>
      </c>
      <c r="K45" s="3273"/>
      <c r="L45" s="1952">
        <f t="shared" ref="L45:L46" si="23">ROUND((G45*J45),2)</f>
        <v>856898.53</v>
      </c>
      <c r="M45" s="1967"/>
      <c r="N45" s="2458">
        <f>VLOOKUP($A45,satpek!$B$20:$L$138,8,0)</f>
        <v>0.93065078521121514</v>
      </c>
      <c r="O45" s="1954">
        <f>VLOOKUP($A45,satpek!$B$20:$L$138,9,0)</f>
        <v>918917.40999999992</v>
      </c>
      <c r="P45" s="1954">
        <f>VLOOKUP($A45,satpek!$B$20:$L$138,10,0)</f>
        <v>1038376.6732999999</v>
      </c>
      <c r="Q45" s="1952">
        <f t="shared" ref="Q45:Q47" si="24">O45*G45</f>
        <v>705728.57088000001</v>
      </c>
      <c r="R45" s="1952">
        <f t="shared" ref="R45:R47" si="25">N45*L45</f>
        <v>797473.28979083605</v>
      </c>
      <c r="S45" s="3282">
        <f t="shared" ref="S45:S47" si="26">L45-R45</f>
        <v>59425.240209163981</v>
      </c>
      <c r="V45" s="1958">
        <v>0.76800000000000013</v>
      </c>
      <c r="W45" s="1958"/>
      <c r="X45" s="1958">
        <f t="shared" si="1"/>
        <v>0</v>
      </c>
      <c r="Y45" s="2127" t="s">
        <v>1905</v>
      </c>
      <c r="AC45" s="2127"/>
      <c r="AD45" s="2127"/>
      <c r="AE45" s="2127"/>
      <c r="AF45" s="1910">
        <v>1191397.42</v>
      </c>
      <c r="AG45" s="2128">
        <f t="shared" si="2"/>
        <v>75644.129999999888</v>
      </c>
    </row>
    <row r="46" spans="1:33" ht="21.95" customHeight="1" x14ac:dyDescent="0.2">
      <c r="A46" s="1910">
        <f>satpek!$B$41</f>
        <v>22</v>
      </c>
      <c r="B46" s="2131">
        <f t="shared" ref="B46:B47" si="27">B45+1</f>
        <v>6</v>
      </c>
      <c r="C46" s="2132"/>
      <c r="D46" s="2133" t="str">
        <f>VLOOKUP($A46,satpek!$B$20:$N$144,2,0)</f>
        <v>Pembesian 1 kg dengan besi polos atau besi ulir</v>
      </c>
      <c r="E46" s="2133"/>
      <c r="F46" s="2134"/>
      <c r="G46" s="1945">
        <f>'[3]B.VOL RAB'!Q67</f>
        <v>73.353172532374217</v>
      </c>
      <c r="H46" s="2456" t="str">
        <f>VLOOKUP($A46,satpek!$B$20:$N$144,7,0)</f>
        <v>kg</v>
      </c>
      <c r="I46" s="3281" t="str">
        <f>VLOOKUP($A46,satpek!$B$20:$N$144,5,0)</f>
        <v>A.4.1.1.17.</v>
      </c>
      <c r="J46" s="1951">
        <f>VLOOKUP($A46,satpek!$B$20:$N$144,6,0)</f>
        <v>15603.94</v>
      </c>
      <c r="K46" s="3273"/>
      <c r="L46" s="1952">
        <f t="shared" si="23"/>
        <v>1144598.5</v>
      </c>
      <c r="M46" s="1967"/>
      <c r="N46" s="2458">
        <f>VLOOKUP($A46,satpek!$B$20:$L$138,8,0)</f>
        <v>0.46415793062521393</v>
      </c>
      <c r="O46" s="1954">
        <f>VLOOKUP($A46,satpek!$B$20:$L$138,9,0)</f>
        <v>7242.692500000001</v>
      </c>
      <c r="P46" s="1954">
        <f>VLOOKUP($A46,satpek!$B$20:$L$138,10,0)</f>
        <v>8184.2425250000015</v>
      </c>
      <c r="Q46" s="1952">
        <f t="shared" si="24"/>
        <v>531274.47255143279</v>
      </c>
      <c r="R46" s="1952">
        <f t="shared" si="25"/>
        <v>531274.47115672391</v>
      </c>
      <c r="S46" s="3282">
        <f t="shared" si="26"/>
        <v>613324.02884327609</v>
      </c>
      <c r="V46" s="1958">
        <v>73.353172532374217</v>
      </c>
      <c r="W46" s="1958"/>
      <c r="X46" s="1958">
        <f t="shared" si="1"/>
        <v>0</v>
      </c>
      <c r="Y46" s="2127" t="s">
        <v>420</v>
      </c>
      <c r="AC46" s="2127"/>
      <c r="AD46" s="2127"/>
      <c r="AE46" s="2127"/>
      <c r="AF46" s="1910">
        <v>15438.06</v>
      </c>
      <c r="AG46" s="2128">
        <f t="shared" si="2"/>
        <v>-165.88000000000102</v>
      </c>
    </row>
    <row r="47" spans="1:33" ht="21.95" customHeight="1" x14ac:dyDescent="0.2">
      <c r="A47" s="1910">
        <f>satpek!$B$42</f>
        <v>23</v>
      </c>
      <c r="B47" s="2131">
        <f t="shared" si="27"/>
        <v>7</v>
      </c>
      <c r="C47" s="2132"/>
      <c r="D47" s="2133" t="str">
        <f>VLOOKUP($A47,satpek!$B$20:$N$144,2,0)</f>
        <v>Memasang bekisting untuk pondasi ( 2x pakai )</v>
      </c>
      <c r="E47" s="2133"/>
      <c r="F47" s="2134"/>
      <c r="G47" s="1945">
        <f>'[3]B.VOL RAB'!Q70</f>
        <v>3.84</v>
      </c>
      <c r="H47" s="3314" t="str">
        <f>VLOOKUP(A47,[3]Rekap!$B$12:$K$773,10)</f>
        <v>m3</v>
      </c>
      <c r="I47" s="3281" t="str">
        <f>VLOOKUP(A47,[3]Rekap!$B$12:$K$769,4)</f>
        <v>A.3.2.1.1.</v>
      </c>
      <c r="J47" s="1951">
        <f>J43</f>
        <v>115782.06</v>
      </c>
      <c r="K47" s="2095"/>
      <c r="L47" s="1952">
        <f>ROUND((G47*J47),2)</f>
        <v>444603.11</v>
      </c>
      <c r="M47" s="1967"/>
      <c r="N47" s="2458">
        <f>VLOOKUP($A47,satpek!$B$20:$L$138,8,0)</f>
        <v>0.94349124553493002</v>
      </c>
      <c r="O47" s="1954">
        <f>VLOOKUP($A47,satpek!$B$20:$L$138,9,0)</f>
        <v>96672</v>
      </c>
      <c r="P47" s="1954">
        <f>VLOOKUP($A47,satpek!$B$20:$L$138,10,0)</f>
        <v>109239.36</v>
      </c>
      <c r="Q47" s="1952">
        <f t="shared" si="24"/>
        <v>371220.47999999998</v>
      </c>
      <c r="R47" s="1952">
        <f t="shared" si="25"/>
        <v>419479.14202260348</v>
      </c>
      <c r="S47" s="3282">
        <f t="shared" si="26"/>
        <v>25123.967977396504</v>
      </c>
      <c r="V47" s="1958">
        <v>3.84</v>
      </c>
      <c r="W47" s="1958"/>
      <c r="X47" s="1958">
        <f t="shared" si="1"/>
        <v>0</v>
      </c>
      <c r="Y47" s="2127" t="s">
        <v>1906</v>
      </c>
      <c r="AC47" s="2127"/>
      <c r="AD47" s="2127"/>
      <c r="AE47" s="2127"/>
      <c r="AF47" s="1910">
        <v>114048.64</v>
      </c>
      <c r="AG47" s="2128">
        <f t="shared" si="2"/>
        <v>-1733.4199999999983</v>
      </c>
    </row>
    <row r="48" spans="1:33" ht="21.95" customHeight="1" x14ac:dyDescent="0.2">
      <c r="B48" s="3320"/>
      <c r="C48" s="3321"/>
      <c r="D48" s="3304" t="s">
        <v>1774</v>
      </c>
      <c r="E48" s="3268"/>
      <c r="F48" s="3269"/>
      <c r="G48" s="1945"/>
      <c r="H48" s="3271"/>
      <c r="I48" s="3272"/>
      <c r="J48" s="1951"/>
      <c r="K48" s="2066"/>
      <c r="L48" s="2067"/>
      <c r="M48" s="1967"/>
      <c r="N48" s="3276"/>
      <c r="O48" s="3277"/>
      <c r="P48" s="3277"/>
      <c r="Q48" s="3278"/>
      <c r="R48" s="3295"/>
      <c r="S48" s="3280"/>
      <c r="V48" s="1958"/>
      <c r="W48" s="1958"/>
      <c r="X48" s="1958">
        <f t="shared" si="1"/>
        <v>0</v>
      </c>
      <c r="Y48" s="2127" t="s">
        <v>1774</v>
      </c>
      <c r="AC48" s="2127"/>
      <c r="AD48" s="2127"/>
      <c r="AE48" s="2127"/>
      <c r="AG48" s="2128">
        <f t="shared" si="2"/>
        <v>0</v>
      </c>
    </row>
    <row r="49" spans="1:33" ht="21.95" customHeight="1" x14ac:dyDescent="0.2">
      <c r="B49" s="3320"/>
      <c r="C49" s="3321"/>
      <c r="D49" s="3304" t="s">
        <v>1775</v>
      </c>
      <c r="E49" s="3268"/>
      <c r="F49" s="3269"/>
      <c r="G49" s="1945"/>
      <c r="H49" s="3271"/>
      <c r="I49" s="3272"/>
      <c r="J49" s="1951"/>
      <c r="K49" s="2066"/>
      <c r="L49" s="2067"/>
      <c r="M49" s="1967"/>
      <c r="N49" s="3276"/>
      <c r="O49" s="3277"/>
      <c r="P49" s="3277"/>
      <c r="Q49" s="3278"/>
      <c r="R49" s="3295"/>
      <c r="S49" s="3280"/>
      <c r="V49" s="1958"/>
      <c r="W49" s="1958"/>
      <c r="X49" s="1958">
        <f t="shared" si="1"/>
        <v>0</v>
      </c>
      <c r="Y49" s="2127" t="s">
        <v>1775</v>
      </c>
      <c r="AC49" s="2127"/>
      <c r="AD49" s="2127"/>
      <c r="AE49" s="2127"/>
      <c r="AG49" s="2128">
        <f t="shared" si="2"/>
        <v>0</v>
      </c>
    </row>
    <row r="50" spans="1:33" ht="21.95" customHeight="1" x14ac:dyDescent="0.2">
      <c r="A50" s="1910">
        <f>satpek!$B$40</f>
        <v>21</v>
      </c>
      <c r="B50" s="2131">
        <f>B47+1</f>
        <v>8</v>
      </c>
      <c r="C50" s="2132"/>
      <c r="D50" s="2133" t="str">
        <f>VLOOKUP($A50,satpek!$B$20:$N$144,2,0)</f>
        <v>Membuat beton mutu f'c = 21,7 Mpa - K 250</v>
      </c>
      <c r="E50" s="2133"/>
      <c r="F50" s="2134"/>
      <c r="G50" s="1945">
        <f>'[3]B.VOL RAB'!Q75</f>
        <v>24.736000000000008</v>
      </c>
      <c r="H50" s="2456" t="str">
        <f>VLOOKUP($A50,satpek!$B$20:$N$144,7,0)</f>
        <v>m3</v>
      </c>
      <c r="I50" s="3281" t="str">
        <f>VLOOKUP($A50,satpek!$B$20:$N$144,5,0)</f>
        <v>A.4.1.1.8.</v>
      </c>
      <c r="J50" s="1951">
        <f>VLOOKUP($A50,satpek!$B$20:$N$144,6,0)</f>
        <v>1115753.29</v>
      </c>
      <c r="K50" s="3273"/>
      <c r="L50" s="1952">
        <f t="shared" ref="L50:L52" si="28">ROUND((G50*J50),2)</f>
        <v>27599273.379999999</v>
      </c>
      <c r="M50" s="1967"/>
      <c r="N50" s="2458">
        <f>VLOOKUP($A50,satpek!$B$20:$L$138,8,0)</f>
        <v>0.93065078521121514</v>
      </c>
      <c r="O50" s="1954">
        <f>VLOOKUP($A50,satpek!$B$20:$L$138,9,0)</f>
        <v>918917.40999999992</v>
      </c>
      <c r="P50" s="1954">
        <f>VLOOKUP($A50,satpek!$B$20:$L$138,10,0)</f>
        <v>1038376.6732999999</v>
      </c>
      <c r="Q50" s="1952">
        <f t="shared" ref="Q50:Q52" si="29">O50*G50</f>
        <v>22730341.053760003</v>
      </c>
      <c r="R50" s="1952">
        <f t="shared" ref="R50:R52" si="30">N50*L50</f>
        <v>25685285.442355987</v>
      </c>
      <c r="S50" s="3282">
        <f t="shared" ref="S50:S52" si="31">L50-R50</f>
        <v>1913987.9376440123</v>
      </c>
      <c r="V50" s="1958">
        <v>24.736000000000008</v>
      </c>
      <c r="W50" s="1958"/>
      <c r="X50" s="1958">
        <f t="shared" si="1"/>
        <v>0</v>
      </c>
      <c r="Y50" s="2127" t="s">
        <v>1905</v>
      </c>
      <c r="AC50" s="2127"/>
      <c r="AD50" s="2127"/>
      <c r="AE50" s="2127"/>
      <c r="AF50" s="1910">
        <v>1191397.42</v>
      </c>
      <c r="AG50" s="2128">
        <f t="shared" si="2"/>
        <v>75644.129999999888</v>
      </c>
    </row>
    <row r="51" spans="1:33" ht="21.95" customHeight="1" x14ac:dyDescent="0.2">
      <c r="A51" s="1910">
        <f>satpek!$B$41</f>
        <v>22</v>
      </c>
      <c r="B51" s="2131">
        <f t="shared" ref="B51:B52" si="32">B50+1</f>
        <v>9</v>
      </c>
      <c r="C51" s="2132"/>
      <c r="D51" s="2133" t="str">
        <f>VLOOKUP($A51,satpek!$B$20:$N$144,2,0)</f>
        <v>Pembesian 1 kg dengan besi polos atau besi ulir</v>
      </c>
      <c r="E51" s="2133"/>
      <c r="F51" s="2134"/>
      <c r="G51" s="1945">
        <f>'[3]B.VOL RAB'!Q77</f>
        <v>4504.2409055814333</v>
      </c>
      <c r="H51" s="2456" t="str">
        <f>VLOOKUP($A51,satpek!$B$20:$N$144,7,0)</f>
        <v>kg</v>
      </c>
      <c r="I51" s="3281" t="str">
        <f>VLOOKUP($A51,satpek!$B$20:$N$144,5,0)</f>
        <v>A.4.1.1.17.</v>
      </c>
      <c r="J51" s="1951">
        <f>VLOOKUP($A51,satpek!$B$20:$N$144,6,0)</f>
        <v>15603.94</v>
      </c>
      <c r="K51" s="3273"/>
      <c r="L51" s="1952">
        <f t="shared" si="28"/>
        <v>70283904.840000004</v>
      </c>
      <c r="M51" s="1967"/>
      <c r="N51" s="2458">
        <f>VLOOKUP($A51,satpek!$B$20:$L$138,8,0)</f>
        <v>0.46415793062521393</v>
      </c>
      <c r="O51" s="1954">
        <f>VLOOKUP($A51,satpek!$B$20:$L$138,9,0)</f>
        <v>7242.692500000001</v>
      </c>
      <c r="P51" s="1954">
        <f>VLOOKUP($A51,satpek!$B$20:$L$138,10,0)</f>
        <v>8184.2425250000015</v>
      </c>
      <c r="Q51" s="1952">
        <f t="shared" si="29"/>
        <v>32622831.825047858</v>
      </c>
      <c r="R51" s="1952">
        <f t="shared" si="30"/>
        <v>32622831.826793861</v>
      </c>
      <c r="S51" s="3282">
        <f t="shared" si="31"/>
        <v>37661073.013206139</v>
      </c>
      <c r="V51" s="1958">
        <v>4504.2409055814333</v>
      </c>
      <c r="W51" s="1958"/>
      <c r="X51" s="1958">
        <f t="shared" si="1"/>
        <v>0</v>
      </c>
      <c r="Y51" s="2127" t="s">
        <v>420</v>
      </c>
      <c r="AC51" s="2127"/>
      <c r="AD51" s="2127"/>
      <c r="AE51" s="2127"/>
      <c r="AF51" s="1910">
        <v>15438.06</v>
      </c>
      <c r="AG51" s="2128">
        <f t="shared" si="2"/>
        <v>-165.88000000000102</v>
      </c>
    </row>
    <row r="52" spans="1:33" ht="21.95" customHeight="1" x14ac:dyDescent="0.2">
      <c r="A52" s="1910">
        <f>satpek!$B$43</f>
        <v>24</v>
      </c>
      <c r="B52" s="2131">
        <f t="shared" si="32"/>
        <v>10</v>
      </c>
      <c r="C52" s="2132"/>
      <c r="D52" s="2133" t="str">
        <f>VLOOKUP($A52,satpek!$B$20:$N$144,2,0)</f>
        <v>Memasang bekisting untuk sloof (2 kali pakai)</v>
      </c>
      <c r="E52" s="2133"/>
      <c r="F52" s="2134"/>
      <c r="G52" s="1945">
        <f>'[3]B.VOL RAB'!Q81</f>
        <v>247.36000000000004</v>
      </c>
      <c r="H52" s="2456" t="str">
        <f>VLOOKUP($A52,satpek!$B$20:$N$144,7,0)</f>
        <v>m2</v>
      </c>
      <c r="I52" s="3281" t="str">
        <f>VLOOKUP($A52,satpek!$B$20:$N$144,5,0)</f>
        <v>A.4.1.1.21.</v>
      </c>
      <c r="J52" s="1951">
        <f>VLOOKUP($A52,satpek!$B$20:$N$144,6,0)</f>
        <v>118889.56</v>
      </c>
      <c r="K52" s="3273"/>
      <c r="L52" s="1952">
        <f t="shared" si="28"/>
        <v>29408521.559999999</v>
      </c>
      <c r="M52" s="1967"/>
      <c r="N52" s="2458">
        <f>VLOOKUP($A52,satpek!$B$20:$L$138,8,0)</f>
        <v>0.94496825457172184</v>
      </c>
      <c r="O52" s="1954">
        <f>VLOOKUP($A52,satpek!$B$20:$L$138,9,0)</f>
        <v>99422</v>
      </c>
      <c r="P52" s="1954">
        <f>VLOOKUP($A52,satpek!$B$20:$L$138,10,0)</f>
        <v>112346.86</v>
      </c>
      <c r="Q52" s="1952">
        <f t="shared" si="29"/>
        <v>24593025.920000006</v>
      </c>
      <c r="R52" s="1952">
        <f t="shared" si="30"/>
        <v>27790119.28808805</v>
      </c>
      <c r="S52" s="3282">
        <f t="shared" si="31"/>
        <v>1618402.2719119489</v>
      </c>
      <c r="V52" s="1958">
        <v>247.36000000000004</v>
      </c>
      <c r="W52" s="1958"/>
      <c r="X52" s="1958">
        <f t="shared" si="1"/>
        <v>0</v>
      </c>
      <c r="Y52" s="2127" t="s">
        <v>1907</v>
      </c>
      <c r="AC52" s="2127"/>
      <c r="AD52" s="2127"/>
      <c r="AE52" s="2127"/>
      <c r="AF52" s="1910">
        <v>117156.14</v>
      </c>
      <c r="AG52" s="2128">
        <f t="shared" si="2"/>
        <v>-1733.4199999999983</v>
      </c>
    </row>
    <row r="53" spans="1:33" ht="21.95" customHeight="1" x14ac:dyDescent="0.2">
      <c r="B53" s="3320"/>
      <c r="C53" s="3321"/>
      <c r="D53" s="3304" t="s">
        <v>1776</v>
      </c>
      <c r="E53" s="3268"/>
      <c r="F53" s="3269"/>
      <c r="G53" s="1945"/>
      <c r="H53" s="3271"/>
      <c r="I53" s="3272"/>
      <c r="J53" s="1951"/>
      <c r="K53" s="2066"/>
      <c r="L53" s="2067"/>
      <c r="M53" s="1967"/>
      <c r="N53" s="3276"/>
      <c r="O53" s="3277"/>
      <c r="P53" s="3277"/>
      <c r="Q53" s="3278"/>
      <c r="R53" s="3295"/>
      <c r="S53" s="3280"/>
      <c r="V53" s="1958"/>
      <c r="W53" s="1958"/>
      <c r="X53" s="1958">
        <f t="shared" si="1"/>
        <v>0</v>
      </c>
      <c r="Y53" s="2127" t="s">
        <v>1776</v>
      </c>
      <c r="AC53" s="2127"/>
      <c r="AD53" s="2127"/>
      <c r="AE53" s="2127"/>
      <c r="AG53" s="2128">
        <f t="shared" si="2"/>
        <v>0</v>
      </c>
    </row>
    <row r="54" spans="1:33" ht="21.95" customHeight="1" x14ac:dyDescent="0.2">
      <c r="A54" s="1910">
        <f>satpek!$B$40</f>
        <v>21</v>
      </c>
      <c r="B54" s="2131">
        <f>B52+1</f>
        <v>11</v>
      </c>
      <c r="C54" s="2132"/>
      <c r="D54" s="2133" t="str">
        <f>VLOOKUP($A54,satpek!$B$20:$N$144,2,0)</f>
        <v>Membuat beton mutu f'c = 21,7 Mpa - K 250</v>
      </c>
      <c r="E54" s="2133"/>
      <c r="F54" s="2134"/>
      <c r="G54" s="1945">
        <f>'[3]B.VOL RAB'!Q85</f>
        <v>13.343999999999998</v>
      </c>
      <c r="H54" s="2456" t="str">
        <f>VLOOKUP($A54,satpek!$B$20:$N$144,7,0)</f>
        <v>m3</v>
      </c>
      <c r="I54" s="3281" t="str">
        <f>VLOOKUP($A54,satpek!$B$20:$N$144,5,0)</f>
        <v>A.4.1.1.8.</v>
      </c>
      <c r="J54" s="1951">
        <f>VLOOKUP($A54,satpek!$B$20:$N$144,6,0)</f>
        <v>1115753.29</v>
      </c>
      <c r="K54" s="3273"/>
      <c r="L54" s="1952">
        <f t="shared" ref="L54:L56" si="33">ROUND((G54*J54),2)</f>
        <v>14888611.9</v>
      </c>
      <c r="M54" s="1967"/>
      <c r="N54" s="2458">
        <f>VLOOKUP($A54,satpek!$B$20:$L$138,8,0)</f>
        <v>0.93065078521121514</v>
      </c>
      <c r="O54" s="1954">
        <f>VLOOKUP($A54,satpek!$B$20:$L$138,9,0)</f>
        <v>918917.40999999992</v>
      </c>
      <c r="P54" s="1954">
        <f>VLOOKUP($A54,satpek!$B$20:$L$138,10,0)</f>
        <v>1038376.6732999999</v>
      </c>
      <c r="Q54" s="1952">
        <f t="shared" ref="Q54:Q56" si="34">O54*G54</f>
        <v>12262033.919039996</v>
      </c>
      <c r="R54" s="1952">
        <f t="shared" ref="R54:R56" si="35">N54*L54</f>
        <v>13856098.355440043</v>
      </c>
      <c r="S54" s="3282">
        <f t="shared" ref="S54:S56" si="36">L54-R54</f>
        <v>1032513.5445599575</v>
      </c>
      <c r="V54" s="1958">
        <v>13.343999999999998</v>
      </c>
      <c r="W54" s="1958"/>
      <c r="X54" s="1958">
        <f t="shared" si="1"/>
        <v>0</v>
      </c>
      <c r="Y54" s="2127" t="s">
        <v>1905</v>
      </c>
      <c r="AC54" s="2127"/>
      <c r="AD54" s="2127"/>
      <c r="AE54" s="2127"/>
      <c r="AF54" s="1910">
        <v>1191397.42</v>
      </c>
      <c r="AG54" s="2128">
        <f t="shared" si="2"/>
        <v>75644.129999999888</v>
      </c>
    </row>
    <row r="55" spans="1:33" ht="21.95" customHeight="1" x14ac:dyDescent="0.2">
      <c r="A55" s="1910">
        <f>satpek!$B$41</f>
        <v>22</v>
      </c>
      <c r="B55" s="2131">
        <f t="shared" ref="B55:B56" si="37">B54+1</f>
        <v>12</v>
      </c>
      <c r="C55" s="2132"/>
      <c r="D55" s="2133" t="str">
        <f>VLOOKUP($A55,satpek!$B$20:$N$144,2,0)</f>
        <v>Pembesian 1 kg dengan besi polos atau besi ulir</v>
      </c>
      <c r="E55" s="2133"/>
      <c r="F55" s="2134"/>
      <c r="G55" s="1945">
        <f>'[3]B.VOL RAB'!Q87</f>
        <v>2070.8000451047028</v>
      </c>
      <c r="H55" s="2456" t="str">
        <f>VLOOKUP($A55,satpek!$B$20:$N$144,7,0)</f>
        <v>kg</v>
      </c>
      <c r="I55" s="3281" t="str">
        <f>VLOOKUP($A55,satpek!$B$20:$N$144,5,0)</f>
        <v>A.4.1.1.17.</v>
      </c>
      <c r="J55" s="1951">
        <f>VLOOKUP($A55,satpek!$B$20:$N$144,6,0)</f>
        <v>15603.94</v>
      </c>
      <c r="K55" s="3273"/>
      <c r="L55" s="1952">
        <f t="shared" si="33"/>
        <v>32312639.66</v>
      </c>
      <c r="M55" s="1967"/>
      <c r="N55" s="2458">
        <f>VLOOKUP($A55,satpek!$B$20:$L$138,8,0)</f>
        <v>0.46415793062521393</v>
      </c>
      <c r="O55" s="1954">
        <f>VLOOKUP($A55,satpek!$B$20:$L$138,9,0)</f>
        <v>7242.692500000001</v>
      </c>
      <c r="P55" s="1954">
        <f>VLOOKUP($A55,satpek!$B$20:$L$138,10,0)</f>
        <v>8184.2425250000015</v>
      </c>
      <c r="Q55" s="1952">
        <f t="shared" si="34"/>
        <v>14998167.955679495</v>
      </c>
      <c r="R55" s="1952">
        <f t="shared" si="35"/>
        <v>14998167.957623817</v>
      </c>
      <c r="S55" s="3282">
        <f t="shared" si="36"/>
        <v>17314471.702376183</v>
      </c>
      <c r="V55" s="1958">
        <v>2070.8000451047028</v>
      </c>
      <c r="W55" s="1958"/>
      <c r="X55" s="1958">
        <f t="shared" si="1"/>
        <v>0</v>
      </c>
      <c r="Y55" s="2127" t="s">
        <v>420</v>
      </c>
      <c r="AC55" s="2127"/>
      <c r="AD55" s="2127"/>
      <c r="AE55" s="2127"/>
      <c r="AF55" s="1910">
        <v>15438.06</v>
      </c>
      <c r="AG55" s="2128">
        <f t="shared" si="2"/>
        <v>-165.88000000000102</v>
      </c>
    </row>
    <row r="56" spans="1:33" ht="21.95" customHeight="1" x14ac:dyDescent="0.2">
      <c r="A56" s="1910">
        <f>satpek!$B$43</f>
        <v>24</v>
      </c>
      <c r="B56" s="2131">
        <f t="shared" si="37"/>
        <v>13</v>
      </c>
      <c r="C56" s="2132"/>
      <c r="D56" s="2133" t="str">
        <f>VLOOKUP($A56,satpek!$B$20:$N$144,2,0)</f>
        <v>Memasang bekisting untuk sloof (2 kali pakai)</v>
      </c>
      <c r="E56" s="2133"/>
      <c r="F56" s="2134"/>
      <c r="G56" s="1945">
        <f>'[3]B.VOL RAB'!Q90</f>
        <v>133.43999999999997</v>
      </c>
      <c r="H56" s="2456" t="str">
        <f>VLOOKUP($A56,satpek!$B$20:$N$144,7,0)</f>
        <v>m2</v>
      </c>
      <c r="I56" s="3281" t="str">
        <f>VLOOKUP($A56,satpek!$B$20:$N$144,5,0)</f>
        <v>A.4.1.1.21.</v>
      </c>
      <c r="J56" s="1951">
        <f>VLOOKUP($A56,satpek!$B$20:$N$144,6,0)</f>
        <v>118889.56</v>
      </c>
      <c r="K56" s="3273"/>
      <c r="L56" s="1952">
        <f t="shared" si="33"/>
        <v>15864622.890000001</v>
      </c>
      <c r="M56" s="1967"/>
      <c r="N56" s="2458">
        <f>VLOOKUP($A56,satpek!$B$20:$L$138,8,0)</f>
        <v>0.94496825457172184</v>
      </c>
      <c r="O56" s="1954">
        <f>VLOOKUP($A56,satpek!$B$20:$L$138,9,0)</f>
        <v>99422</v>
      </c>
      <c r="P56" s="1954">
        <f>VLOOKUP($A56,satpek!$B$20:$L$138,10,0)</f>
        <v>112346.86</v>
      </c>
      <c r="Q56" s="1952">
        <f t="shared" si="34"/>
        <v>13266871.679999998</v>
      </c>
      <c r="R56" s="1952">
        <f t="shared" si="35"/>
        <v>14991565.001801886</v>
      </c>
      <c r="S56" s="3282">
        <f t="shared" si="36"/>
        <v>873057.88819811493</v>
      </c>
      <c r="V56" s="1958">
        <v>133.43999999999997</v>
      </c>
      <c r="W56" s="1958"/>
      <c r="X56" s="1958">
        <f t="shared" si="1"/>
        <v>0</v>
      </c>
      <c r="Y56" s="2127" t="s">
        <v>1907</v>
      </c>
      <c r="AC56" s="2127"/>
      <c r="AD56" s="2127"/>
      <c r="AE56" s="2127"/>
      <c r="AF56" s="1910">
        <v>117156.14</v>
      </c>
      <c r="AG56" s="2128">
        <f t="shared" si="2"/>
        <v>-1733.4199999999983</v>
      </c>
    </row>
    <row r="57" spans="1:33" ht="21.95" customHeight="1" x14ac:dyDescent="0.2">
      <c r="B57" s="3320"/>
      <c r="C57" s="3321"/>
      <c r="D57" s="3304" t="s">
        <v>1777</v>
      </c>
      <c r="E57" s="3268"/>
      <c r="F57" s="3269"/>
      <c r="G57" s="1945"/>
      <c r="H57" s="3271"/>
      <c r="I57" s="3272"/>
      <c r="J57" s="1951"/>
      <c r="K57" s="2066"/>
      <c r="L57" s="2067"/>
      <c r="M57" s="1967"/>
      <c r="N57" s="3276"/>
      <c r="O57" s="3277"/>
      <c r="P57" s="3277"/>
      <c r="Q57" s="3278"/>
      <c r="R57" s="3295"/>
      <c r="S57" s="3280"/>
      <c r="V57" s="1958"/>
      <c r="W57" s="1958"/>
      <c r="X57" s="1958">
        <f t="shared" si="1"/>
        <v>0</v>
      </c>
      <c r="Y57" s="2127" t="s">
        <v>1777</v>
      </c>
      <c r="AC57" s="2127"/>
      <c r="AD57" s="2127"/>
      <c r="AE57" s="2127"/>
      <c r="AG57" s="2128">
        <f t="shared" si="2"/>
        <v>0</v>
      </c>
    </row>
    <row r="58" spans="1:33" ht="21.95" customHeight="1" x14ac:dyDescent="0.2">
      <c r="A58" s="1910">
        <f>satpek!$B$40</f>
        <v>21</v>
      </c>
      <c r="B58" s="2131">
        <f>B56+1</f>
        <v>14</v>
      </c>
      <c r="C58" s="2132"/>
      <c r="D58" s="2133" t="str">
        <f>VLOOKUP($A58,satpek!$B$20:$N$144,2,0)</f>
        <v>Membuat beton mutu f'c = 21,7 Mpa - K 250</v>
      </c>
      <c r="E58" s="2133"/>
      <c r="F58" s="2134"/>
      <c r="G58" s="1945">
        <f>'[3]B.VOL RAB'!Q93</f>
        <v>2.4750000000000001</v>
      </c>
      <c r="H58" s="2456" t="str">
        <f>VLOOKUP($A58,satpek!$B$20:$N$144,7,0)</f>
        <v>m3</v>
      </c>
      <c r="I58" s="3281" t="str">
        <f>VLOOKUP($A58,satpek!$B$20:$N$144,5,0)</f>
        <v>A.4.1.1.8.</v>
      </c>
      <c r="J58" s="1951">
        <f>VLOOKUP($A58,satpek!$B$20:$N$144,6,0)</f>
        <v>1115753.29</v>
      </c>
      <c r="K58" s="3273"/>
      <c r="L58" s="1952">
        <f t="shared" ref="L58:L60" si="38">ROUND((G58*J58),2)</f>
        <v>2761489.39</v>
      </c>
      <c r="M58" s="1967"/>
      <c r="N58" s="2458">
        <f>VLOOKUP($A58,satpek!$B$20:$L$138,8,0)</f>
        <v>0.93065078521121514</v>
      </c>
      <c r="O58" s="1954">
        <f>VLOOKUP($A58,satpek!$B$20:$L$138,9,0)</f>
        <v>918917.40999999992</v>
      </c>
      <c r="P58" s="1954">
        <f>VLOOKUP($A58,satpek!$B$20:$L$138,10,0)</f>
        <v>1038376.6732999999</v>
      </c>
      <c r="Q58" s="1952">
        <f t="shared" ref="Q58:Q60" si="39">O58*G58</f>
        <v>2274320.5897499998</v>
      </c>
      <c r="R58" s="1952">
        <f t="shared" ref="R58:R60" si="40">N58*L58</f>
        <v>2569982.2691559396</v>
      </c>
      <c r="S58" s="3282">
        <f t="shared" ref="S58:S60" si="41">L58-R58</f>
        <v>191507.12084406056</v>
      </c>
      <c r="V58" s="1958">
        <v>2.4750000000000001</v>
      </c>
      <c r="W58" s="1958"/>
      <c r="X58" s="1958">
        <f t="shared" si="1"/>
        <v>0</v>
      </c>
      <c r="Y58" s="2127" t="s">
        <v>1905</v>
      </c>
      <c r="AC58" s="2127"/>
      <c r="AD58" s="2127"/>
      <c r="AE58" s="2127"/>
      <c r="AF58" s="1910">
        <v>1191397.42</v>
      </c>
      <c r="AG58" s="2128">
        <f t="shared" si="2"/>
        <v>75644.129999999888</v>
      </c>
    </row>
    <row r="59" spans="1:33" ht="21.95" customHeight="1" x14ac:dyDescent="0.2">
      <c r="A59" s="1910">
        <f>satpek!$B$41</f>
        <v>22</v>
      </c>
      <c r="B59" s="2131">
        <f t="shared" ref="B59:B60" si="42">B58+1</f>
        <v>15</v>
      </c>
      <c r="C59" s="2132"/>
      <c r="D59" s="2133" t="str">
        <f>VLOOKUP($A59,satpek!$B$20:$N$144,2,0)</f>
        <v>Pembesian 1 kg dengan besi polos atau besi ulir</v>
      </c>
      <c r="E59" s="2133"/>
      <c r="F59" s="2134"/>
      <c r="G59" s="1945">
        <f>'[3]B.VOL RAB'!Q95</f>
        <v>547.33738272710912</v>
      </c>
      <c r="H59" s="2456" t="str">
        <f>VLOOKUP($A59,satpek!$B$20:$N$144,7,0)</f>
        <v>kg</v>
      </c>
      <c r="I59" s="3281" t="str">
        <f>VLOOKUP($A59,satpek!$B$20:$N$144,5,0)</f>
        <v>A.4.1.1.17.</v>
      </c>
      <c r="J59" s="1951">
        <f>VLOOKUP($A59,satpek!$B$20:$N$144,6,0)</f>
        <v>15603.94</v>
      </c>
      <c r="K59" s="3273"/>
      <c r="L59" s="1952">
        <f t="shared" si="38"/>
        <v>8540619.6799999997</v>
      </c>
      <c r="M59" s="1967"/>
      <c r="N59" s="2458">
        <f>VLOOKUP($A59,satpek!$B$20:$L$138,8,0)</f>
        <v>0.46415793062521393</v>
      </c>
      <c r="O59" s="1954">
        <f>VLOOKUP($A59,satpek!$B$20:$L$138,9,0)</f>
        <v>7242.692500000001</v>
      </c>
      <c r="P59" s="1954">
        <f>VLOOKUP($A59,satpek!$B$20:$L$138,10,0)</f>
        <v>8184.2425250000015</v>
      </c>
      <c r="Q59" s="1952">
        <f t="shared" si="39"/>
        <v>3964196.3568472634</v>
      </c>
      <c r="R59" s="1952">
        <f t="shared" si="40"/>
        <v>3964196.3569257767</v>
      </c>
      <c r="S59" s="3282">
        <f t="shared" si="41"/>
        <v>4576423.3230742235</v>
      </c>
      <c r="V59" s="1958">
        <v>547.33738272710912</v>
      </c>
      <c r="W59" s="1958"/>
      <c r="X59" s="1958">
        <f t="shared" si="1"/>
        <v>0</v>
      </c>
      <c r="Y59" s="2127" t="s">
        <v>420</v>
      </c>
      <c r="AC59" s="2127"/>
      <c r="AD59" s="2127"/>
      <c r="AE59" s="2127"/>
      <c r="AF59" s="1910">
        <v>15438.06</v>
      </c>
      <c r="AG59" s="2128">
        <f t="shared" si="2"/>
        <v>-165.88000000000102</v>
      </c>
    </row>
    <row r="60" spans="1:33" ht="21.95" customHeight="1" x14ac:dyDescent="0.2">
      <c r="A60" s="1910">
        <f>satpek!$B$43</f>
        <v>24</v>
      </c>
      <c r="B60" s="2131">
        <f t="shared" si="42"/>
        <v>16</v>
      </c>
      <c r="C60" s="2132"/>
      <c r="D60" s="2133" t="str">
        <f>VLOOKUP($A60,satpek!$B$20:$N$144,2,0)</f>
        <v>Memasang bekisting untuk sloof (2 kali pakai)</v>
      </c>
      <c r="E60" s="2133"/>
      <c r="F60" s="2134"/>
      <c r="G60" s="1945">
        <f>'[3]B.VOL RAB'!Q97</f>
        <v>33</v>
      </c>
      <c r="H60" s="2456" t="str">
        <f>VLOOKUP($A60,satpek!$B$20:$N$144,7,0)</f>
        <v>m2</v>
      </c>
      <c r="I60" s="3281" t="str">
        <f>VLOOKUP($A60,satpek!$B$20:$N$144,5,0)</f>
        <v>A.4.1.1.21.</v>
      </c>
      <c r="J60" s="1951">
        <f>VLOOKUP($A60,satpek!$B$20:$N$144,6,0)</f>
        <v>118889.56</v>
      </c>
      <c r="K60" s="3273"/>
      <c r="L60" s="1952">
        <f t="shared" si="38"/>
        <v>3923355.48</v>
      </c>
      <c r="M60" s="1967"/>
      <c r="N60" s="2458">
        <f>VLOOKUP($A60,satpek!$B$20:$L$138,8,0)</f>
        <v>0.94496825457172184</v>
      </c>
      <c r="O60" s="1954">
        <f>VLOOKUP($A60,satpek!$B$20:$L$138,9,0)</f>
        <v>99422</v>
      </c>
      <c r="P60" s="1954">
        <f>VLOOKUP($A60,satpek!$B$20:$L$138,10,0)</f>
        <v>112346.86</v>
      </c>
      <c r="Q60" s="1952">
        <f t="shared" si="39"/>
        <v>3280926</v>
      </c>
      <c r="R60" s="1952">
        <f t="shared" si="40"/>
        <v>3707446.38</v>
      </c>
      <c r="S60" s="3282">
        <f t="shared" si="41"/>
        <v>215909.10000000009</v>
      </c>
      <c r="V60" s="1958">
        <v>33</v>
      </c>
      <c r="W60" s="1958"/>
      <c r="X60" s="1958">
        <f t="shared" si="1"/>
        <v>0</v>
      </c>
      <c r="Y60" s="2127" t="s">
        <v>1907</v>
      </c>
      <c r="AC60" s="2127"/>
      <c r="AD60" s="2127"/>
      <c r="AE60" s="2127"/>
      <c r="AF60" s="1910">
        <v>117156.14</v>
      </c>
      <c r="AG60" s="2128">
        <f t="shared" si="2"/>
        <v>-1733.4199999999983</v>
      </c>
    </row>
    <row r="61" spans="1:33" ht="21.95" customHeight="1" x14ac:dyDescent="0.2">
      <c r="B61" s="3320"/>
      <c r="C61" s="3321"/>
      <c r="D61" s="3304" t="s">
        <v>1778</v>
      </c>
      <c r="E61" s="3268"/>
      <c r="F61" s="3269"/>
      <c r="G61" s="1945"/>
      <c r="H61" s="3271"/>
      <c r="I61" s="3272"/>
      <c r="J61" s="1951"/>
      <c r="K61" s="2066"/>
      <c r="L61" s="2067"/>
      <c r="M61" s="1967"/>
      <c r="N61" s="3276"/>
      <c r="O61" s="3277"/>
      <c r="P61" s="3277"/>
      <c r="Q61" s="3278"/>
      <c r="R61" s="3295"/>
      <c r="S61" s="3280"/>
      <c r="V61" s="1958"/>
      <c r="W61" s="1958"/>
      <c r="X61" s="1958">
        <f t="shared" si="1"/>
        <v>0</v>
      </c>
      <c r="Y61" s="2127" t="s">
        <v>1778</v>
      </c>
      <c r="AC61" s="2127"/>
      <c r="AD61" s="2127"/>
      <c r="AE61" s="2127"/>
      <c r="AG61" s="2128">
        <f t="shared" si="2"/>
        <v>0</v>
      </c>
    </row>
    <row r="62" spans="1:33" ht="21.95" customHeight="1" x14ac:dyDescent="0.2">
      <c r="B62" s="3320"/>
      <c r="C62" s="3321"/>
      <c r="D62" s="3304" t="s">
        <v>1779</v>
      </c>
      <c r="E62" s="3268"/>
      <c r="F62" s="3269"/>
      <c r="G62" s="1945"/>
      <c r="H62" s="3271"/>
      <c r="I62" s="3272"/>
      <c r="J62" s="1951"/>
      <c r="K62" s="2066"/>
      <c r="L62" s="2067"/>
      <c r="M62" s="1967"/>
      <c r="N62" s="3276"/>
      <c r="O62" s="3277"/>
      <c r="P62" s="3277"/>
      <c r="Q62" s="3278"/>
      <c r="R62" s="3295"/>
      <c r="S62" s="3280"/>
      <c r="V62" s="1958"/>
      <c r="W62" s="1958"/>
      <c r="X62" s="1958">
        <f t="shared" si="1"/>
        <v>0</v>
      </c>
      <c r="Y62" s="2127" t="s">
        <v>1779</v>
      </c>
      <c r="AC62" s="2127"/>
      <c r="AD62" s="2127"/>
      <c r="AE62" s="2127"/>
      <c r="AG62" s="2128">
        <f t="shared" si="2"/>
        <v>0</v>
      </c>
    </row>
    <row r="63" spans="1:33" ht="21.95" customHeight="1" x14ac:dyDescent="0.2">
      <c r="A63" s="1910">
        <f>satpek!$B$40</f>
        <v>21</v>
      </c>
      <c r="B63" s="2131">
        <f>B60+1</f>
        <v>17</v>
      </c>
      <c r="C63" s="2132"/>
      <c r="D63" s="2133" t="str">
        <f>VLOOKUP($A63,satpek!$B$20:$N$144,2,0)</f>
        <v>Membuat beton mutu f'c = 21,7 Mpa - K 250</v>
      </c>
      <c r="E63" s="2133"/>
      <c r="F63" s="2134"/>
      <c r="G63" s="1945">
        <f>'[3]B.VOL RAB'!Q102</f>
        <v>14.400000000000002</v>
      </c>
      <c r="H63" s="2456" t="str">
        <f>VLOOKUP($A63,satpek!$B$20:$N$144,7,0)</f>
        <v>m3</v>
      </c>
      <c r="I63" s="3281" t="str">
        <f>VLOOKUP($A63,satpek!$B$20:$N$144,5,0)</f>
        <v>A.4.1.1.8.</v>
      </c>
      <c r="J63" s="1951">
        <f>VLOOKUP($A63,satpek!$B$20:$N$144,6,0)</f>
        <v>1115753.29</v>
      </c>
      <c r="K63" s="3273"/>
      <c r="L63" s="1952">
        <f t="shared" ref="L63:L65" si="43">ROUND((G63*J63),2)</f>
        <v>16066847.380000001</v>
      </c>
      <c r="M63" s="1967"/>
      <c r="N63" s="2458">
        <f>VLOOKUP($A63,satpek!$B$20:$L$138,8,0)</f>
        <v>0.93065078521121514</v>
      </c>
      <c r="O63" s="1954">
        <f>VLOOKUP($A63,satpek!$B$20:$L$138,9,0)</f>
        <v>918917.40999999992</v>
      </c>
      <c r="P63" s="1954">
        <f>VLOOKUP($A63,satpek!$B$20:$L$138,10,0)</f>
        <v>1038376.6732999999</v>
      </c>
      <c r="Q63" s="1952">
        <f t="shared" ref="Q63:Q65" si="44">O63*G63</f>
        <v>13232410.704</v>
      </c>
      <c r="R63" s="1952">
        <f t="shared" ref="R63:R65" si="45">N63*L63</f>
        <v>14952624.130065756</v>
      </c>
      <c r="S63" s="3282">
        <f t="shared" ref="S63:S65" si="46">L63-R63</f>
        <v>1114223.2499342449</v>
      </c>
      <c r="V63" s="1958">
        <v>16.2</v>
      </c>
      <c r="W63" s="1958"/>
      <c r="X63" s="1958">
        <f t="shared" si="1"/>
        <v>1.7999999999999972</v>
      </c>
      <c r="Y63" s="2127" t="s">
        <v>1905</v>
      </c>
      <c r="AC63" s="2127"/>
      <c r="AD63" s="2127"/>
      <c r="AE63" s="2127"/>
      <c r="AF63" s="1910">
        <v>1191397.42</v>
      </c>
      <c r="AG63" s="2128">
        <f t="shared" si="2"/>
        <v>75644.129999999888</v>
      </c>
    </row>
    <row r="64" spans="1:33" ht="21.95" customHeight="1" x14ac:dyDescent="0.2">
      <c r="A64" s="1910">
        <f>satpek!$B$41</f>
        <v>22</v>
      </c>
      <c r="B64" s="2131">
        <f t="shared" ref="B64:B65" si="47">B63+1</f>
        <v>18</v>
      </c>
      <c r="C64" s="2132"/>
      <c r="D64" s="2133" t="str">
        <f>VLOOKUP($A64,satpek!$B$20:$N$144,2,0)</f>
        <v>Pembesian 1 kg dengan besi polos atau besi ulir</v>
      </c>
      <c r="E64" s="2133"/>
      <c r="F64" s="2134"/>
      <c r="G64" s="1945">
        <f>'[3]B.VOL RAB'!Q104</f>
        <v>1991.5889437187145</v>
      </c>
      <c r="H64" s="2456" t="str">
        <f>VLOOKUP($A64,satpek!$B$20:$N$144,7,0)</f>
        <v>kg</v>
      </c>
      <c r="I64" s="3281" t="str">
        <f>VLOOKUP($A64,satpek!$B$20:$N$144,5,0)</f>
        <v>A.4.1.1.17.</v>
      </c>
      <c r="J64" s="1951">
        <f>VLOOKUP($A64,satpek!$B$20:$N$144,6,0)</f>
        <v>15603.94</v>
      </c>
      <c r="K64" s="3273"/>
      <c r="L64" s="1952">
        <f t="shared" si="43"/>
        <v>31076634.379999999</v>
      </c>
      <c r="M64" s="1967"/>
      <c r="N64" s="2458">
        <f>VLOOKUP($A64,satpek!$B$20:$L$138,8,0)</f>
        <v>0.46415793062521393</v>
      </c>
      <c r="O64" s="1954">
        <f>VLOOKUP($A64,satpek!$B$20:$L$138,9,0)</f>
        <v>7242.692500000001</v>
      </c>
      <c r="P64" s="1954">
        <f>VLOOKUP($A64,satpek!$B$20:$L$138,10,0)</f>
        <v>8184.2425250000015</v>
      </c>
      <c r="Q64" s="1952">
        <f t="shared" si="44"/>
        <v>14424466.305754459</v>
      </c>
      <c r="R64" s="1952">
        <f t="shared" si="45"/>
        <v>14424466.304617178</v>
      </c>
      <c r="S64" s="3282">
        <f t="shared" si="46"/>
        <v>16652168.075382821</v>
      </c>
      <c r="V64" s="1958">
        <v>2046.154983775577</v>
      </c>
      <c r="W64" s="1958"/>
      <c r="X64" s="1958">
        <f t="shared" si="1"/>
        <v>54.566040056862448</v>
      </c>
      <c r="Y64" s="2127" t="s">
        <v>420</v>
      </c>
      <c r="AC64" s="2127"/>
      <c r="AD64" s="2127"/>
      <c r="AE64" s="2127"/>
      <c r="AF64" s="1910">
        <v>15438.06</v>
      </c>
      <c r="AG64" s="2128">
        <f t="shared" si="2"/>
        <v>-165.88000000000102</v>
      </c>
    </row>
    <row r="65" spans="1:33" ht="21.95" customHeight="1" x14ac:dyDescent="0.2">
      <c r="A65" s="1910">
        <f>satpek!$B$44</f>
        <v>25</v>
      </c>
      <c r="B65" s="2131">
        <f t="shared" si="47"/>
        <v>19</v>
      </c>
      <c r="C65" s="2132"/>
      <c r="D65" s="2133" t="str">
        <f>VLOOKUP($A65,satpek!$B$20:$N$144,2,0)</f>
        <v>Memasang bekisting untuk kolom (2 kali pakai)</v>
      </c>
      <c r="E65" s="2133"/>
      <c r="F65" s="2134"/>
      <c r="G65" s="1945">
        <f>'[3]B.VOL RAB'!Q106</f>
        <v>57.600000000000009</v>
      </c>
      <c r="H65" s="2456" t="str">
        <f>VLOOKUP($A65,satpek!$B$20:$N$144,7,0)</f>
        <v>m2</v>
      </c>
      <c r="I65" s="3281" t="str">
        <f>VLOOKUP($A65,satpek!$B$20:$N$144,5,0)</f>
        <v>A.4.1.1.22.</v>
      </c>
      <c r="J65" s="1951">
        <f>VLOOKUP($A65,satpek!$B$20:$N$144,6,0)</f>
        <v>192050.28</v>
      </c>
      <c r="K65" s="3273"/>
      <c r="L65" s="1952">
        <f t="shared" si="43"/>
        <v>11062096.130000001</v>
      </c>
      <c r="M65" s="1967"/>
      <c r="N65" s="2458">
        <f>VLOOKUP($A65,satpek!$B$20:$L$138,8,0)</f>
        <v>0.82830850337734474</v>
      </c>
      <c r="O65" s="1954">
        <f>VLOOKUP($A65,satpek!$B$20:$L$138,9,0)</f>
        <v>140776</v>
      </c>
      <c r="P65" s="1954">
        <f>VLOOKUP($A65,satpek!$B$20:$L$138,10,0)</f>
        <v>159076.88</v>
      </c>
      <c r="Q65" s="1952">
        <f t="shared" si="44"/>
        <v>8108697.6000000015</v>
      </c>
      <c r="R65" s="1952">
        <f t="shared" si="45"/>
        <v>9162828.2896566186</v>
      </c>
      <c r="S65" s="3282">
        <f t="shared" si="46"/>
        <v>1899267.8403433822</v>
      </c>
      <c r="V65" s="1958">
        <v>64.8</v>
      </c>
      <c r="W65" s="1958"/>
      <c r="X65" s="1958">
        <f t="shared" si="1"/>
        <v>7.1999999999999886</v>
      </c>
      <c r="Y65" s="2127" t="s">
        <v>1908</v>
      </c>
      <c r="AC65" s="2127"/>
      <c r="AD65" s="2127"/>
      <c r="AE65" s="2127"/>
      <c r="AF65" s="1910">
        <v>193211.91999999998</v>
      </c>
      <c r="AG65" s="2128">
        <f t="shared" si="2"/>
        <v>1161.6399999999849</v>
      </c>
    </row>
    <row r="66" spans="1:33" ht="21.95" customHeight="1" x14ac:dyDescent="0.2">
      <c r="B66" s="3320"/>
      <c r="C66" s="3321"/>
      <c r="D66" s="3304" t="s">
        <v>1780</v>
      </c>
      <c r="E66" s="3268"/>
      <c r="F66" s="3269"/>
      <c r="G66" s="1945"/>
      <c r="H66" s="3271"/>
      <c r="I66" s="3272"/>
      <c r="J66" s="1951"/>
      <c r="K66" s="2066"/>
      <c r="L66" s="2067"/>
      <c r="M66" s="1967"/>
      <c r="N66" s="3276"/>
      <c r="O66" s="3277"/>
      <c r="P66" s="3277"/>
      <c r="Q66" s="3278"/>
      <c r="R66" s="3295"/>
      <c r="S66" s="3280"/>
      <c r="V66" s="1958"/>
      <c r="W66" s="1958"/>
      <c r="X66" s="1958">
        <f t="shared" si="1"/>
        <v>0</v>
      </c>
      <c r="Y66" s="2127" t="s">
        <v>1780</v>
      </c>
      <c r="AC66" s="2127"/>
      <c r="AD66" s="2127"/>
      <c r="AE66" s="2127"/>
      <c r="AG66" s="2128">
        <f t="shared" si="2"/>
        <v>0</v>
      </c>
    </row>
    <row r="67" spans="1:33" ht="21.95" customHeight="1" x14ac:dyDescent="0.2">
      <c r="A67" s="1910">
        <f>satpek!$B$40</f>
        <v>21</v>
      </c>
      <c r="B67" s="2131">
        <f>B65+1</f>
        <v>20</v>
      </c>
      <c r="C67" s="2132"/>
      <c r="D67" s="2133" t="str">
        <f>VLOOKUP($A67,satpek!$B$20:$N$144,2,0)</f>
        <v>Membuat beton mutu f'c = 21,7 Mpa - K 250</v>
      </c>
      <c r="E67" s="2133"/>
      <c r="F67" s="2134"/>
      <c r="G67" s="1945">
        <f>'[3]B.VOL RAB'!Q110</f>
        <v>38.400000000000006</v>
      </c>
      <c r="H67" s="2456" t="str">
        <f>VLOOKUP($A67,satpek!$B$20:$N$144,7,0)</f>
        <v>m3</v>
      </c>
      <c r="I67" s="3281" t="str">
        <f>VLOOKUP($A67,satpek!$B$20:$N$144,5,0)</f>
        <v>A.4.1.1.8.</v>
      </c>
      <c r="J67" s="1951">
        <f>VLOOKUP($A67,satpek!$B$20:$N$144,6,0)</f>
        <v>1115753.29</v>
      </c>
      <c r="K67" s="3273"/>
      <c r="L67" s="1952">
        <f t="shared" ref="L67:L69" si="48">ROUND((G67*J67),2)</f>
        <v>42844926.340000004</v>
      </c>
      <c r="M67" s="1967"/>
      <c r="N67" s="2458">
        <f>VLOOKUP($A67,satpek!$B$20:$L$138,8,0)</f>
        <v>0.93065078521121514</v>
      </c>
      <c r="O67" s="1954">
        <f>VLOOKUP($A67,satpek!$B$20:$L$138,9,0)</f>
        <v>918917.40999999992</v>
      </c>
      <c r="P67" s="1954">
        <f>VLOOKUP($A67,satpek!$B$20:$L$138,10,0)</f>
        <v>1038376.6732999999</v>
      </c>
      <c r="Q67" s="1952">
        <f t="shared" ref="Q67:Q69" si="49">O67*G67</f>
        <v>35286428.544</v>
      </c>
      <c r="R67" s="1952">
        <f t="shared" ref="R67:R69" si="50">N67*L67</f>
        <v>39873664.340637676</v>
      </c>
      <c r="S67" s="3282">
        <f t="shared" ref="S67:S69" si="51">L67-R67</f>
        <v>2971261.9993623272</v>
      </c>
      <c r="V67" s="1958">
        <v>41.04</v>
      </c>
      <c r="W67" s="1958"/>
      <c r="X67" s="1958">
        <f t="shared" si="1"/>
        <v>2.6399999999999935</v>
      </c>
      <c r="Y67" s="2127" t="s">
        <v>1905</v>
      </c>
      <c r="AC67" s="2127"/>
      <c r="AD67" s="2127"/>
      <c r="AE67" s="2127"/>
      <c r="AF67" s="1910">
        <v>1191397.42</v>
      </c>
      <c r="AG67" s="2128">
        <f t="shared" si="2"/>
        <v>75644.129999999888</v>
      </c>
    </row>
    <row r="68" spans="1:33" ht="21.95" customHeight="1" x14ac:dyDescent="0.2">
      <c r="A68" s="1910">
        <f>satpek!$B$41</f>
        <v>22</v>
      </c>
      <c r="B68" s="2131">
        <f t="shared" ref="B68:B69" si="52">B67+1</f>
        <v>21</v>
      </c>
      <c r="C68" s="2132"/>
      <c r="D68" s="2133" t="str">
        <f>VLOOKUP($A68,satpek!$B$20:$N$144,2,0)</f>
        <v>Pembesian 1 kg dengan besi polos atau besi ulir</v>
      </c>
      <c r="E68" s="2133"/>
      <c r="F68" s="2134"/>
      <c r="G68" s="1945">
        <f>'[3]B.VOL RAB'!Q112</f>
        <v>5309.0542372417713</v>
      </c>
      <c r="H68" s="2456" t="str">
        <f>VLOOKUP($A68,satpek!$B$20:$N$144,7,0)</f>
        <v>kg</v>
      </c>
      <c r="I68" s="3281" t="str">
        <f>VLOOKUP($A68,satpek!$B$20:$N$144,5,0)</f>
        <v>A.4.1.1.17.</v>
      </c>
      <c r="J68" s="1951">
        <f>VLOOKUP($A68,satpek!$B$20:$N$144,6,0)</f>
        <v>15603.94</v>
      </c>
      <c r="K68" s="3273"/>
      <c r="L68" s="1952">
        <f t="shared" si="48"/>
        <v>82842163.769999996</v>
      </c>
      <c r="M68" s="1967"/>
      <c r="N68" s="2458">
        <f>VLOOKUP($A68,satpek!$B$20:$L$138,8,0)</f>
        <v>0.46415793062521393</v>
      </c>
      <c r="O68" s="1954">
        <f>VLOOKUP($A68,satpek!$B$20:$L$138,9,0)</f>
        <v>7242.692500000001</v>
      </c>
      <c r="P68" s="1954">
        <f>VLOOKUP($A68,satpek!$B$20:$L$138,10,0)</f>
        <v>8184.2425250000015</v>
      </c>
      <c r="Q68" s="1952">
        <f t="shared" si="49"/>
        <v>38451847.306164205</v>
      </c>
      <c r="R68" s="1952">
        <f t="shared" si="50"/>
        <v>38451847.303998269</v>
      </c>
      <c r="S68" s="3282">
        <f t="shared" si="51"/>
        <v>44390316.466001727</v>
      </c>
      <c r="V68" s="1958">
        <v>5668.791571739398</v>
      </c>
      <c r="W68" s="1958"/>
      <c r="X68" s="1958">
        <f t="shared" si="1"/>
        <v>359.73733449762676</v>
      </c>
      <c r="Y68" s="2127" t="s">
        <v>420</v>
      </c>
      <c r="AC68" s="2127"/>
      <c r="AD68" s="2127"/>
      <c r="AE68" s="2127"/>
      <c r="AF68" s="1910">
        <v>15438.06</v>
      </c>
      <c r="AG68" s="2128">
        <f t="shared" si="2"/>
        <v>-165.88000000000102</v>
      </c>
    </row>
    <row r="69" spans="1:33" ht="21.95" customHeight="1" x14ac:dyDescent="0.2">
      <c r="A69" s="1910">
        <f>satpek!$B$44</f>
        <v>25</v>
      </c>
      <c r="B69" s="2131">
        <f t="shared" si="52"/>
        <v>22</v>
      </c>
      <c r="C69" s="2132"/>
      <c r="D69" s="2133" t="str">
        <f>VLOOKUP($A69,satpek!$B$20:$N$144,2,0)</f>
        <v>Memasang bekisting untuk kolom (2 kali pakai)</v>
      </c>
      <c r="E69" s="2133"/>
      <c r="F69" s="2134"/>
      <c r="G69" s="1945">
        <f>'[3]B.VOL RAB'!Q115</f>
        <v>153.60000000000002</v>
      </c>
      <c r="H69" s="2456" t="str">
        <f>VLOOKUP($A69,satpek!$B$20:$N$144,7,0)</f>
        <v>m2</v>
      </c>
      <c r="I69" s="3281" t="str">
        <f>VLOOKUP($A69,satpek!$B$20:$N$144,5,0)</f>
        <v>A.4.1.1.22.</v>
      </c>
      <c r="J69" s="1951">
        <f>VLOOKUP($A69,satpek!$B$20:$N$144,6,0)</f>
        <v>192050.28</v>
      </c>
      <c r="K69" s="3273"/>
      <c r="L69" s="1952">
        <f t="shared" si="48"/>
        <v>29498923.010000002</v>
      </c>
      <c r="M69" s="1967"/>
      <c r="N69" s="2458">
        <f>VLOOKUP($A69,satpek!$B$20:$L$138,8,0)</f>
        <v>0.82830850337734474</v>
      </c>
      <c r="O69" s="1954">
        <f>VLOOKUP($A69,satpek!$B$20:$L$138,9,0)</f>
        <v>140776</v>
      </c>
      <c r="P69" s="1954">
        <f>VLOOKUP($A69,satpek!$B$20:$L$138,10,0)</f>
        <v>159076.88</v>
      </c>
      <c r="Q69" s="1952">
        <f t="shared" si="49"/>
        <v>21623193.600000001</v>
      </c>
      <c r="R69" s="1952">
        <f t="shared" si="50"/>
        <v>24434208.769656617</v>
      </c>
      <c r="S69" s="3282">
        <f t="shared" si="51"/>
        <v>5064714.2403433844</v>
      </c>
      <c r="V69" s="1958">
        <v>164.16</v>
      </c>
      <c r="W69" s="1958"/>
      <c r="X69" s="1958">
        <f t="shared" si="1"/>
        <v>10.559999999999974</v>
      </c>
      <c r="Y69" s="2127" t="s">
        <v>1908</v>
      </c>
      <c r="AC69" s="2127"/>
      <c r="AD69" s="2127"/>
      <c r="AE69" s="2127"/>
      <c r="AF69" s="1910">
        <v>193211.91999999998</v>
      </c>
      <c r="AG69" s="2128">
        <f t="shared" si="2"/>
        <v>1161.6399999999849</v>
      </c>
    </row>
    <row r="70" spans="1:33" ht="21.95" customHeight="1" x14ac:dyDescent="0.2">
      <c r="B70" s="3320"/>
      <c r="C70" s="3321"/>
      <c r="D70" s="3304" t="s">
        <v>1781</v>
      </c>
      <c r="E70" s="3268"/>
      <c r="F70" s="3269"/>
      <c r="G70" s="1945"/>
      <c r="H70" s="3271"/>
      <c r="I70" s="3272"/>
      <c r="J70" s="1951"/>
      <c r="K70" s="2066"/>
      <c r="L70" s="2067"/>
      <c r="M70" s="1967"/>
      <c r="N70" s="3276"/>
      <c r="O70" s="3277"/>
      <c r="P70" s="3277"/>
      <c r="Q70" s="3278"/>
      <c r="R70" s="3295"/>
      <c r="S70" s="3280"/>
      <c r="V70" s="1958"/>
      <c r="W70" s="1958"/>
      <c r="X70" s="1958">
        <f t="shared" si="1"/>
        <v>0</v>
      </c>
      <c r="Y70" s="2127" t="s">
        <v>1781</v>
      </c>
      <c r="AC70" s="2127"/>
      <c r="AD70" s="2127"/>
      <c r="AE70" s="2127"/>
      <c r="AG70" s="2128">
        <f t="shared" si="2"/>
        <v>0</v>
      </c>
    </row>
    <row r="71" spans="1:33" ht="21.95" customHeight="1" x14ac:dyDescent="0.2">
      <c r="A71" s="1910">
        <f>satpek!$B$40</f>
        <v>21</v>
      </c>
      <c r="B71" s="2131">
        <f>B69+1</f>
        <v>23</v>
      </c>
      <c r="C71" s="2132"/>
      <c r="D71" s="2133" t="str">
        <f>VLOOKUP($A71,satpek!$B$20:$N$144,2,0)</f>
        <v>Membuat beton mutu f'c = 21,7 Mpa - K 250</v>
      </c>
      <c r="E71" s="2133"/>
      <c r="F71" s="2134"/>
      <c r="G71" s="1945">
        <f>'[3]B.VOL RAB'!Q118</f>
        <v>1.44</v>
      </c>
      <c r="H71" s="2456" t="str">
        <f>VLOOKUP($A71,satpek!$B$20:$N$144,7,0)</f>
        <v>m3</v>
      </c>
      <c r="I71" s="3281" t="str">
        <f>VLOOKUP($A71,satpek!$B$20:$N$144,5,0)</f>
        <v>A.4.1.1.8.</v>
      </c>
      <c r="J71" s="1951">
        <f>VLOOKUP($A71,satpek!$B$20:$N$144,6,0)</f>
        <v>1115753.29</v>
      </c>
      <c r="K71" s="3273"/>
      <c r="L71" s="1952">
        <f t="shared" ref="L71:L73" si="53">ROUND((G71*J71),2)</f>
        <v>1606684.74</v>
      </c>
      <c r="M71" s="1967"/>
      <c r="N71" s="2458">
        <f>VLOOKUP($A71,satpek!$B$20:$L$138,8,0)</f>
        <v>0.93065078521121514</v>
      </c>
      <c r="O71" s="1954">
        <f>VLOOKUP($A71,satpek!$B$20:$L$138,9,0)</f>
        <v>918917.40999999992</v>
      </c>
      <c r="P71" s="1954">
        <f>VLOOKUP($A71,satpek!$B$20:$L$138,10,0)</f>
        <v>1038376.6732999999</v>
      </c>
      <c r="Q71" s="1952">
        <f t="shared" ref="Q71:Q73" si="54">O71*G71</f>
        <v>1323241.0703999999</v>
      </c>
      <c r="R71" s="1952">
        <f t="shared" ref="R71:R73" si="55">N71*L71</f>
        <v>1495262.414867877</v>
      </c>
      <c r="S71" s="3282">
        <f t="shared" ref="S71:S73" si="56">L71-R71</f>
        <v>111422.32513212296</v>
      </c>
      <c r="V71" s="1958">
        <v>1.3679999999999999</v>
      </c>
      <c r="W71" s="1958"/>
      <c r="X71" s="1958">
        <f t="shared" si="1"/>
        <v>-7.2000000000000064E-2</v>
      </c>
      <c r="Y71" s="2127" t="s">
        <v>1905</v>
      </c>
      <c r="AC71" s="2127"/>
      <c r="AD71" s="2127"/>
      <c r="AE71" s="2127"/>
      <c r="AF71" s="1910">
        <v>1191397.42</v>
      </c>
      <c r="AG71" s="2128">
        <f t="shared" si="2"/>
        <v>75644.129999999888</v>
      </c>
    </row>
    <row r="72" spans="1:33" ht="21.95" customHeight="1" x14ac:dyDescent="0.2">
      <c r="A72" s="1910">
        <f>satpek!$B$41</f>
        <v>22</v>
      </c>
      <c r="B72" s="2131">
        <f t="shared" ref="B72:B73" si="57">B71+1</f>
        <v>24</v>
      </c>
      <c r="C72" s="2132"/>
      <c r="D72" s="2133" t="str">
        <f>VLOOKUP($A72,satpek!$B$20:$N$144,2,0)</f>
        <v>Pembesian 1 kg dengan besi polos atau besi ulir</v>
      </c>
      <c r="E72" s="2133"/>
      <c r="F72" s="2134"/>
      <c r="G72" s="1945">
        <f>'[3]B.VOL RAB'!Q120</f>
        <v>173.56765340332495</v>
      </c>
      <c r="H72" s="2456" t="str">
        <f>VLOOKUP($A72,satpek!$B$20:$N$144,7,0)</f>
        <v>kg</v>
      </c>
      <c r="I72" s="3281" t="str">
        <f>VLOOKUP($A72,satpek!$B$20:$N$144,5,0)</f>
        <v>A.4.1.1.17.</v>
      </c>
      <c r="J72" s="1951">
        <f>VLOOKUP($A72,satpek!$B$20:$N$144,6,0)</f>
        <v>15603.94</v>
      </c>
      <c r="K72" s="3273"/>
      <c r="L72" s="1952">
        <f t="shared" si="53"/>
        <v>2708339.25</v>
      </c>
      <c r="M72" s="1967"/>
      <c r="N72" s="2458">
        <f>VLOOKUP($A72,satpek!$B$20:$L$138,8,0)</f>
        <v>0.46415793062521393</v>
      </c>
      <c r="O72" s="1954">
        <f>VLOOKUP($A72,satpek!$B$20:$L$138,9,0)</f>
        <v>7242.692500000001</v>
      </c>
      <c r="P72" s="1954">
        <f>VLOOKUP($A72,satpek!$B$20:$L$138,10,0)</f>
        <v>8184.2425250000015</v>
      </c>
      <c r="Q72" s="1952">
        <f t="shared" si="54"/>
        <v>1257097.1415468613</v>
      </c>
      <c r="R72" s="1952">
        <f t="shared" si="55"/>
        <v>1257097.1417110439</v>
      </c>
      <c r="S72" s="3282">
        <f t="shared" si="56"/>
        <v>1451242.1082889561</v>
      </c>
      <c r="V72" s="1958">
        <v>164.92626298665471</v>
      </c>
      <c r="W72" s="1958"/>
      <c r="X72" s="1958">
        <f t="shared" si="1"/>
        <v>-8.641390416670248</v>
      </c>
      <c r="Y72" s="2127" t="s">
        <v>420</v>
      </c>
      <c r="AC72" s="2127"/>
      <c r="AD72" s="2127"/>
      <c r="AE72" s="2127"/>
      <c r="AF72" s="1910">
        <v>15438.06</v>
      </c>
      <c r="AG72" s="2128">
        <f t="shared" si="2"/>
        <v>-165.88000000000102</v>
      </c>
    </row>
    <row r="73" spans="1:33" ht="21.95" customHeight="1" x14ac:dyDescent="0.2">
      <c r="A73" s="1910">
        <f>satpek!$B$44</f>
        <v>25</v>
      </c>
      <c r="B73" s="2131">
        <f t="shared" si="57"/>
        <v>25</v>
      </c>
      <c r="C73" s="2132"/>
      <c r="D73" s="2133" t="str">
        <f>VLOOKUP($A73,satpek!$B$20:$N$144,2,0)</f>
        <v>Memasang bekisting untuk kolom (2 kali pakai)</v>
      </c>
      <c r="E73" s="2133"/>
      <c r="F73" s="2134"/>
      <c r="G73" s="1945">
        <f>'[3]B.VOL RAB'!Q122</f>
        <v>9.6</v>
      </c>
      <c r="H73" s="2456" t="str">
        <f>VLOOKUP($A73,satpek!$B$20:$N$144,7,0)</f>
        <v>m2</v>
      </c>
      <c r="I73" s="3281" t="str">
        <f>VLOOKUP($A73,satpek!$B$20:$N$144,5,0)</f>
        <v>A.4.1.1.22.</v>
      </c>
      <c r="J73" s="1951">
        <f>VLOOKUP($A73,satpek!$B$20:$N$144,6,0)</f>
        <v>192050.28</v>
      </c>
      <c r="K73" s="3273"/>
      <c r="L73" s="1952">
        <f t="shared" si="53"/>
        <v>1843682.69</v>
      </c>
      <c r="M73" s="1967"/>
      <c r="N73" s="2458">
        <f>VLOOKUP($A73,satpek!$B$20:$L$138,8,0)</f>
        <v>0.82830850337734474</v>
      </c>
      <c r="O73" s="1954">
        <f>VLOOKUP($A73,satpek!$B$20:$L$138,9,0)</f>
        <v>140776</v>
      </c>
      <c r="P73" s="1954">
        <f>VLOOKUP($A73,satpek!$B$20:$L$138,10,0)</f>
        <v>159076.88</v>
      </c>
      <c r="Q73" s="1952">
        <f t="shared" si="54"/>
        <v>1351449.5999999999</v>
      </c>
      <c r="R73" s="1952">
        <f t="shared" si="55"/>
        <v>1527138.049656617</v>
      </c>
      <c r="S73" s="3282">
        <f t="shared" si="56"/>
        <v>316544.64034338295</v>
      </c>
      <c r="V73" s="1958">
        <v>9.1199999999999992</v>
      </c>
      <c r="W73" s="1958"/>
      <c r="X73" s="1958">
        <f t="shared" si="1"/>
        <v>-0.48000000000000043</v>
      </c>
      <c r="Y73" s="2127" t="s">
        <v>1908</v>
      </c>
      <c r="AC73" s="2127"/>
      <c r="AD73" s="2127"/>
      <c r="AE73" s="2127"/>
      <c r="AF73" s="1910">
        <v>193211.91999999998</v>
      </c>
      <c r="AG73" s="2128">
        <f t="shared" si="2"/>
        <v>1161.6399999999849</v>
      </c>
    </row>
    <row r="74" spans="1:33" ht="21.95" customHeight="1" x14ac:dyDescent="0.2">
      <c r="B74" s="3320"/>
      <c r="C74" s="3321"/>
      <c r="D74" s="3304" t="s">
        <v>1782</v>
      </c>
      <c r="E74" s="3268"/>
      <c r="F74" s="3269"/>
      <c r="G74" s="2104"/>
      <c r="H74" s="3271"/>
      <c r="I74" s="3272"/>
      <c r="J74" s="1951"/>
      <c r="K74" s="2066"/>
      <c r="L74" s="2067"/>
      <c r="M74" s="1967"/>
      <c r="N74" s="3276"/>
      <c r="O74" s="3277"/>
      <c r="P74" s="3277"/>
      <c r="Q74" s="3278"/>
      <c r="R74" s="3295"/>
      <c r="S74" s="3280"/>
      <c r="V74" s="1958"/>
      <c r="W74" s="1958"/>
      <c r="X74" s="1958">
        <f t="shared" si="1"/>
        <v>0</v>
      </c>
      <c r="Y74" s="2127" t="s">
        <v>1782</v>
      </c>
      <c r="AC74" s="2127"/>
      <c r="AD74" s="2127"/>
      <c r="AE74" s="2127"/>
      <c r="AG74" s="2128">
        <f t="shared" si="2"/>
        <v>0</v>
      </c>
    </row>
    <row r="75" spans="1:33" ht="21.95" customHeight="1" x14ac:dyDescent="0.2">
      <c r="A75" s="1910">
        <f>satpek!$B$47</f>
        <v>28</v>
      </c>
      <c r="B75" s="2131">
        <f>B73+1</f>
        <v>26</v>
      </c>
      <c r="C75" s="2132"/>
      <c r="D75" s="2133" t="str">
        <f>VLOOKUP($A75,satpek!$B$20:$N$144,2,0)</f>
        <v>Membuat kolom praktis beton bertulang 11/11 cm</v>
      </c>
      <c r="E75" s="2133"/>
      <c r="F75" s="2134"/>
      <c r="G75" s="1945">
        <f>'[3]B.VOL RAB'!Q126</f>
        <v>212.79999999999998</v>
      </c>
      <c r="H75" s="2456" t="str">
        <f>VLOOKUP($A75,satpek!$B$20:$N$144,7,0)</f>
        <v>m'</v>
      </c>
      <c r="I75" s="3281" t="str">
        <f>VLOOKUP($A75,satpek!$B$20:$N$144,5,0)</f>
        <v>A.4.1.1.35.</v>
      </c>
      <c r="J75" s="1951">
        <f>VLOOKUP($A75,satpek!$B$20:$N$144,6,0)</f>
        <v>112610.15</v>
      </c>
      <c r="K75" s="3273"/>
      <c r="L75" s="1952">
        <f t="shared" ref="L75:L76" si="58">ROUND((G75*J75),2)</f>
        <v>23963439.920000002</v>
      </c>
      <c r="M75" s="1967"/>
      <c r="N75" s="2458">
        <f>VLOOKUP($A75,satpek!$B$20:$L$138,8,0)</f>
        <v>0.69870322613014901</v>
      </c>
      <c r="O75" s="1954">
        <f>VLOOKUP($A75,satpek!$B$20:$L$138,9,0)</f>
        <v>69629.27</v>
      </c>
      <c r="P75" s="1954">
        <f>VLOOKUP($A75,satpek!$B$20:$L$138,10,0)</f>
        <v>78681.075100000002</v>
      </c>
      <c r="Q75" s="1952">
        <f t="shared" ref="Q75:Q76" si="59">O75*G75</f>
        <v>14817108.655999999</v>
      </c>
      <c r="R75" s="1952">
        <f t="shared" ref="R75:R76" si="60">N75*L75</f>
        <v>16743332.781280002</v>
      </c>
      <c r="S75" s="3282">
        <f t="shared" ref="S75:S76" si="61">L75-R75</f>
        <v>7220107.1387200002</v>
      </c>
      <c r="V75" s="1958">
        <v>212.79999999999998</v>
      </c>
      <c r="W75" s="1958"/>
      <c r="X75" s="1958">
        <f t="shared" si="1"/>
        <v>0</v>
      </c>
      <c r="Y75" s="2127" t="s">
        <v>229</v>
      </c>
      <c r="AC75" s="2127"/>
      <c r="AD75" s="2127"/>
      <c r="AE75" s="2127"/>
      <c r="AF75" s="1910">
        <v>111027.02</v>
      </c>
      <c r="AG75" s="2128">
        <f t="shared" si="2"/>
        <v>-1583.1299999999901</v>
      </c>
    </row>
    <row r="76" spans="1:33" ht="21.95" customHeight="1" x14ac:dyDescent="0.2">
      <c r="A76" s="1910">
        <f>satpek!$B$48</f>
        <v>29</v>
      </c>
      <c r="B76" s="2131">
        <f>B75+1</f>
        <v>27</v>
      </c>
      <c r="C76" s="2132"/>
      <c r="D76" s="2133" t="s">
        <v>1783</v>
      </c>
      <c r="E76" s="2133"/>
      <c r="F76" s="2134"/>
      <c r="G76" s="1945">
        <f>'[3]B.VOL RAB'!Q127</f>
        <v>132</v>
      </c>
      <c r="H76" s="2456" t="str">
        <f>VLOOKUP($A76,satpek!$B$20:$N$144,7,0)</f>
        <v>m'</v>
      </c>
      <c r="I76" s="3281" t="str">
        <f>VLOOKUP($A76,satpek!$B$20:$N$144,5,0)</f>
        <v>A.4.1.1.36.</v>
      </c>
      <c r="J76" s="1951">
        <f>VLOOKUP($A76,satpek!$B$20:$N$144,6,0)</f>
        <v>109402.19</v>
      </c>
      <c r="K76" s="3273"/>
      <c r="L76" s="1952">
        <f t="shared" si="58"/>
        <v>14441089.08</v>
      </c>
      <c r="M76" s="1967"/>
      <c r="N76" s="2458">
        <f>VLOOKUP($A76,satpek!$B$20:$L$138,8,0)</f>
        <v>0.75420720314079981</v>
      </c>
      <c r="O76" s="1954">
        <f>VLOOKUP($A76,satpek!$B$20:$L$138,9,0)</f>
        <v>73019.399999999994</v>
      </c>
      <c r="P76" s="1954">
        <f>VLOOKUP($A76,satpek!$B$20:$L$138,10,0)</f>
        <v>82511.921999999991</v>
      </c>
      <c r="Q76" s="1952">
        <f t="shared" si="59"/>
        <v>9638560.7999999989</v>
      </c>
      <c r="R76" s="1952">
        <f t="shared" si="60"/>
        <v>10891573.405333946</v>
      </c>
      <c r="S76" s="3282">
        <f t="shared" si="61"/>
        <v>3549515.6746660545</v>
      </c>
      <c r="V76" s="1958">
        <v>132</v>
      </c>
      <c r="W76" s="1958"/>
      <c r="X76" s="1958">
        <f t="shared" si="1"/>
        <v>0</v>
      </c>
      <c r="Y76" s="2127" t="s">
        <v>1783</v>
      </c>
      <c r="AC76" s="2127"/>
      <c r="AD76" s="2127"/>
      <c r="AE76" s="2127"/>
      <c r="AF76" s="1910">
        <v>106967.5</v>
      </c>
      <c r="AG76" s="2128">
        <f t="shared" si="2"/>
        <v>-2434.6900000000023</v>
      </c>
    </row>
    <row r="77" spans="1:33" ht="21.95" customHeight="1" x14ac:dyDescent="0.2">
      <c r="B77" s="3320"/>
      <c r="C77" s="3321"/>
      <c r="D77" s="3304" t="s">
        <v>1784</v>
      </c>
      <c r="E77" s="3268"/>
      <c r="F77" s="3269"/>
      <c r="G77" s="1945"/>
      <c r="H77" s="3271"/>
      <c r="I77" s="3272"/>
      <c r="J77" s="1951"/>
      <c r="K77" s="2066"/>
      <c r="L77" s="2067"/>
      <c r="M77" s="1967"/>
      <c r="N77" s="3276"/>
      <c r="O77" s="3277"/>
      <c r="P77" s="3277"/>
      <c r="Q77" s="3278"/>
      <c r="R77" s="3295"/>
      <c r="S77" s="3280"/>
      <c r="V77" s="1958"/>
      <c r="W77" s="1958"/>
      <c r="X77" s="1958">
        <f t="shared" si="1"/>
        <v>0</v>
      </c>
      <c r="Y77" s="2127" t="s">
        <v>1784</v>
      </c>
      <c r="AC77" s="2127"/>
      <c r="AD77" s="2127"/>
      <c r="AE77" s="2127"/>
      <c r="AG77" s="2128">
        <f t="shared" si="2"/>
        <v>0</v>
      </c>
    </row>
    <row r="78" spans="1:33" ht="21.95" customHeight="1" x14ac:dyDescent="0.2">
      <c r="A78" s="1910">
        <f>satpek!$B$40</f>
        <v>21</v>
      </c>
      <c r="B78" s="2131">
        <f>B76+1</f>
        <v>28</v>
      </c>
      <c r="C78" s="2132"/>
      <c r="D78" s="2133" t="str">
        <f>VLOOKUP($A78,satpek!$B$20:$N$144,2,0)</f>
        <v>Membuat beton mutu f'c = 21,7 Mpa - K 250</v>
      </c>
      <c r="E78" s="2133"/>
      <c r="F78" s="2134"/>
      <c r="G78" s="1945">
        <f>'[3]B.VOL RAB'!Q130</f>
        <v>0.128</v>
      </c>
      <c r="H78" s="2456" t="str">
        <f>VLOOKUP($A78,satpek!$B$20:$N$144,7,0)</f>
        <v>m3</v>
      </c>
      <c r="I78" s="3281" t="str">
        <f>VLOOKUP($A78,satpek!$B$20:$N$144,5,0)</f>
        <v>A.4.1.1.8.</v>
      </c>
      <c r="J78" s="1951">
        <f>VLOOKUP($A78,satpek!$B$20:$N$144,6,0)</f>
        <v>1115753.29</v>
      </c>
      <c r="K78" s="3273"/>
      <c r="L78" s="1952">
        <f t="shared" ref="L78:L80" si="62">ROUND((G78*J78),2)</f>
        <v>142816.42000000001</v>
      </c>
      <c r="M78" s="1967"/>
      <c r="N78" s="2458">
        <f>VLOOKUP($A78,satpek!$B$20:$L$138,8,0)</f>
        <v>0.93065078521121514</v>
      </c>
      <c r="O78" s="1954">
        <f>VLOOKUP($A78,satpek!$B$20:$L$138,9,0)</f>
        <v>918917.40999999992</v>
      </c>
      <c r="P78" s="1954">
        <f>VLOOKUP($A78,satpek!$B$20:$L$138,10,0)</f>
        <v>1038376.6732999999</v>
      </c>
      <c r="Q78" s="1952">
        <f t="shared" ref="Q78:Q80" si="63">O78*G78</f>
        <v>117621.42847999999</v>
      </c>
      <c r="R78" s="1952">
        <f t="shared" ref="R78:R80" si="64">N78*L78</f>
        <v>132912.21341405471</v>
      </c>
      <c r="S78" s="3282">
        <f t="shared" ref="S78:S80" si="65">L78-R78</f>
        <v>9904.2065859452996</v>
      </c>
      <c r="V78" s="1958">
        <v>0.128</v>
      </c>
      <c r="W78" s="1958"/>
      <c r="X78" s="1958">
        <f t="shared" si="1"/>
        <v>0</v>
      </c>
      <c r="Y78" s="2127" t="s">
        <v>1905</v>
      </c>
      <c r="AC78" s="2127"/>
      <c r="AD78" s="2127"/>
      <c r="AE78" s="2127"/>
      <c r="AF78" s="1910">
        <v>1191397.42</v>
      </c>
      <c r="AG78" s="2128">
        <f t="shared" si="2"/>
        <v>75644.129999999888</v>
      </c>
    </row>
    <row r="79" spans="1:33" ht="21.95" customHeight="1" x14ac:dyDescent="0.2">
      <c r="A79" s="1910">
        <f>satpek!$B$41</f>
        <v>22</v>
      </c>
      <c r="B79" s="2131">
        <f>B78+1</f>
        <v>29</v>
      </c>
      <c r="C79" s="2132"/>
      <c r="D79" s="2133" t="str">
        <f>VLOOKUP($A79,satpek!$B$20:$N$144,2,0)</f>
        <v>Pembesian 1 kg dengan besi polos atau besi ulir</v>
      </c>
      <c r="E79" s="2133"/>
      <c r="F79" s="2134"/>
      <c r="G79" s="1945">
        <f>'[3]B.VOL RAB'!Q132</f>
        <v>11.632337419335084</v>
      </c>
      <c r="H79" s="2456" t="str">
        <f>VLOOKUP($A79,satpek!$B$20:$N$144,7,0)</f>
        <v>kg</v>
      </c>
      <c r="I79" s="3281" t="str">
        <f>VLOOKUP($A79,satpek!$B$20:$N$144,5,0)</f>
        <v>A.4.1.1.17.</v>
      </c>
      <c r="J79" s="1951">
        <f>VLOOKUP($A79,satpek!$B$20:$N$144,6,0)</f>
        <v>15603.94</v>
      </c>
      <c r="K79" s="3273"/>
      <c r="L79" s="1952">
        <f t="shared" si="62"/>
        <v>181510.3</v>
      </c>
      <c r="M79" s="1967"/>
      <c r="N79" s="2458">
        <f>VLOOKUP($A79,satpek!$B$20:$L$138,8,0)</f>
        <v>0.46415793062521393</v>
      </c>
      <c r="O79" s="1954">
        <f>VLOOKUP($A79,satpek!$B$20:$L$138,9,0)</f>
        <v>7242.692500000001</v>
      </c>
      <c r="P79" s="1954">
        <f>VLOOKUP($A79,satpek!$B$20:$L$138,10,0)</f>
        <v>8184.2425250000015</v>
      </c>
      <c r="Q79" s="1952">
        <f t="shared" si="63"/>
        <v>84249.44298448757</v>
      </c>
      <c r="R79" s="1952">
        <f t="shared" si="64"/>
        <v>84249.445235161766</v>
      </c>
      <c r="S79" s="3282">
        <f t="shared" si="65"/>
        <v>97260.854764838223</v>
      </c>
      <c r="V79" s="1958">
        <v>11.632337419335084</v>
      </c>
      <c r="W79" s="1958"/>
      <c r="X79" s="1958">
        <f t="shared" si="1"/>
        <v>0</v>
      </c>
      <c r="Y79" s="2127" t="s">
        <v>420</v>
      </c>
      <c r="AC79" s="2127"/>
      <c r="AD79" s="2127"/>
      <c r="AE79" s="2127"/>
      <c r="AF79" s="1910">
        <v>15438.06</v>
      </c>
      <c r="AG79" s="2128">
        <f t="shared" si="2"/>
        <v>-165.88000000000102</v>
      </c>
    </row>
    <row r="80" spans="1:33" ht="21.95" customHeight="1" x14ac:dyDescent="0.2">
      <c r="A80" s="1910">
        <f>satpek!B46</f>
        <v>27</v>
      </c>
      <c r="B80" s="2131">
        <f>B79+1</f>
        <v>30</v>
      </c>
      <c r="C80" s="2132"/>
      <c r="D80" s="2133" t="s">
        <v>1785</v>
      </c>
      <c r="E80" s="2133"/>
      <c r="F80" s="2134"/>
      <c r="G80" s="1945">
        <f>'[3]B.VOL RAB'!Q134</f>
        <v>2.048</v>
      </c>
      <c r="H80" s="2456" t="str">
        <f>VLOOKUP($A80,satpek!$B$20:$N$144,7,0)</f>
        <v>m2</v>
      </c>
      <c r="I80" s="3281" t="str">
        <f>VLOOKUP($A80,satpek!$B$20:$N$144,5,0)</f>
        <v>A.4.1.1.24</v>
      </c>
      <c r="J80" s="1951">
        <f>VLOOKUP($A80,satpek!$B$20:$N$144,6,0)*0.25</f>
        <v>60725.07</v>
      </c>
      <c r="K80" s="3273"/>
      <c r="L80" s="1952">
        <f t="shared" si="62"/>
        <v>124364.94</v>
      </c>
      <c r="M80" s="1967"/>
      <c r="N80" s="2458">
        <f>VLOOKUP($A80,satpek!$B$20:$L$138,8,0)</f>
        <v>0.76655687675617334</v>
      </c>
      <c r="O80" s="1954">
        <f>VLOOKUP($A80,satpek!$B$20:$L$138,9,0)</f>
        <v>164776</v>
      </c>
      <c r="P80" s="1954">
        <f>VLOOKUP($A80,satpek!$B$20:$L$138,10,0)</f>
        <v>186196.88</v>
      </c>
      <c r="Q80" s="1952">
        <f t="shared" si="63"/>
        <v>337461.24800000002</v>
      </c>
      <c r="R80" s="1952">
        <f t="shared" si="64"/>
        <v>95332.799984368889</v>
      </c>
      <c r="S80" s="3282">
        <f t="shared" si="65"/>
        <v>29032.140015631114</v>
      </c>
      <c r="V80" s="1958">
        <v>2.048</v>
      </c>
      <c r="W80" s="1958"/>
      <c r="X80" s="1958">
        <f t="shared" si="1"/>
        <v>0</v>
      </c>
      <c r="Y80" s="2127" t="s">
        <v>1785</v>
      </c>
      <c r="AC80" s="2127"/>
      <c r="AD80" s="2127"/>
      <c r="AE80" s="2127"/>
      <c r="AF80" s="1910">
        <v>59938.45</v>
      </c>
      <c r="AG80" s="2128">
        <f t="shared" si="2"/>
        <v>-786.62000000000262</v>
      </c>
    </row>
    <row r="81" spans="1:33" ht="21.95" customHeight="1" x14ac:dyDescent="0.2">
      <c r="B81" s="2131"/>
      <c r="C81" s="2132"/>
      <c r="D81" s="3322"/>
      <c r="E81" s="2133"/>
      <c r="F81" s="2134"/>
      <c r="G81" s="1945"/>
      <c r="H81" s="3314"/>
      <c r="I81" s="3281"/>
      <c r="J81" s="1951"/>
      <c r="K81" s="2095"/>
      <c r="L81" s="1952"/>
      <c r="M81" s="1967"/>
      <c r="N81" s="3315"/>
      <c r="O81" s="3316"/>
      <c r="P81" s="3316"/>
      <c r="Q81" s="3317"/>
      <c r="R81" s="3318"/>
      <c r="S81" s="3319"/>
      <c r="V81" s="1958"/>
      <c r="W81" s="1958"/>
      <c r="X81" s="1958">
        <f t="shared" ref="X81:X144" si="66">V81-G81</f>
        <v>0</v>
      </c>
      <c r="AC81" s="2127"/>
      <c r="AD81" s="2127"/>
      <c r="AE81" s="2127"/>
      <c r="AG81" s="2128">
        <f t="shared" ref="AG81:AG144" si="67">AF81-J81</f>
        <v>0</v>
      </c>
    </row>
    <row r="82" spans="1:33" ht="21.95" customHeight="1" x14ac:dyDescent="0.2">
      <c r="B82" s="2131"/>
      <c r="C82" s="2132"/>
      <c r="D82" s="2165" t="s">
        <v>1786</v>
      </c>
      <c r="E82" s="2133"/>
      <c r="F82" s="2134"/>
      <c r="G82" s="1945"/>
      <c r="H82" s="3314"/>
      <c r="I82" s="3281"/>
      <c r="J82" s="1951"/>
      <c r="K82" s="2095"/>
      <c r="L82" s="1952"/>
      <c r="M82" s="1967"/>
      <c r="N82" s="3315"/>
      <c r="O82" s="3316"/>
      <c r="P82" s="3316"/>
      <c r="Q82" s="3317"/>
      <c r="R82" s="3318"/>
      <c r="S82" s="3319"/>
      <c r="V82" s="1958"/>
      <c r="W82" s="1958"/>
      <c r="X82" s="1958">
        <f t="shared" si="66"/>
        <v>0</v>
      </c>
      <c r="Y82" s="2127" t="s">
        <v>1786</v>
      </c>
      <c r="AC82" s="2127"/>
      <c r="AD82" s="2127"/>
      <c r="AE82" s="2127"/>
      <c r="AG82" s="2128">
        <f t="shared" si="67"/>
        <v>0</v>
      </c>
    </row>
    <row r="83" spans="1:33" ht="21.95" customHeight="1" x14ac:dyDescent="0.2">
      <c r="B83" s="3320"/>
      <c r="C83" s="3321"/>
      <c r="D83" s="3304" t="s">
        <v>1787</v>
      </c>
      <c r="E83" s="3268"/>
      <c r="F83" s="3269"/>
      <c r="G83" s="1945"/>
      <c r="H83" s="3271"/>
      <c r="I83" s="3272"/>
      <c r="J83" s="1951"/>
      <c r="K83" s="2066"/>
      <c r="L83" s="2067"/>
      <c r="M83" s="1967"/>
      <c r="N83" s="3276"/>
      <c r="O83" s="3277"/>
      <c r="P83" s="3277"/>
      <c r="Q83" s="3278"/>
      <c r="R83" s="3295"/>
      <c r="S83" s="3280"/>
      <c r="V83" s="1958"/>
      <c r="W83" s="1958"/>
      <c r="X83" s="1958">
        <f t="shared" si="66"/>
        <v>0</v>
      </c>
      <c r="Y83" s="2127" t="s">
        <v>1787</v>
      </c>
      <c r="AC83" s="2127"/>
      <c r="AD83" s="2127"/>
      <c r="AE83" s="2127"/>
      <c r="AG83" s="2128">
        <f t="shared" si="67"/>
        <v>0</v>
      </c>
    </row>
    <row r="84" spans="1:33" ht="21.95" customHeight="1" x14ac:dyDescent="0.2">
      <c r="B84" s="3320"/>
      <c r="C84" s="3321"/>
      <c r="D84" s="3304" t="s">
        <v>2001</v>
      </c>
      <c r="E84" s="3268"/>
      <c r="F84" s="3269"/>
      <c r="G84" s="1945"/>
      <c r="H84" s="3271"/>
      <c r="I84" s="3272"/>
      <c r="J84" s="1951"/>
      <c r="K84" s="2066"/>
      <c r="L84" s="2067"/>
      <c r="M84" s="1967"/>
      <c r="N84" s="3276"/>
      <c r="O84" s="3277"/>
      <c r="P84" s="3277"/>
      <c r="Q84" s="3278"/>
      <c r="R84" s="3295"/>
      <c r="S84" s="3280"/>
      <c r="V84" s="1958"/>
      <c r="W84" s="1958"/>
      <c r="X84" s="1958">
        <f t="shared" si="66"/>
        <v>0</v>
      </c>
      <c r="Y84" s="2127" t="s">
        <v>1788</v>
      </c>
      <c r="AC84" s="2127"/>
      <c r="AD84" s="2127"/>
      <c r="AE84" s="2127"/>
      <c r="AG84" s="2128">
        <f t="shared" si="67"/>
        <v>0</v>
      </c>
    </row>
    <row r="85" spans="1:33" ht="21.95" customHeight="1" x14ac:dyDescent="0.2">
      <c r="A85" s="1910">
        <f>satpek!$B$40</f>
        <v>21</v>
      </c>
      <c r="B85" s="2131">
        <v>1</v>
      </c>
      <c r="C85" s="2132"/>
      <c r="D85" s="2133" t="str">
        <f>VLOOKUP($A85,satpek!$B$20:$N$144,2,0)</f>
        <v>Membuat beton mutu f'c = 21,7 Mpa - K 250</v>
      </c>
      <c r="E85" s="2133"/>
      <c r="F85" s="2134"/>
      <c r="G85" s="1945">
        <f>'[3]B.VOL RAB'!Q140</f>
        <v>35.824499999999993</v>
      </c>
      <c r="H85" s="2456" t="str">
        <f>VLOOKUP($A85,satpek!$B$20:$N$144,7,0)</f>
        <v>m3</v>
      </c>
      <c r="I85" s="3281" t="str">
        <f>VLOOKUP($A85,satpek!$B$20:$N$144,5,0)</f>
        <v>A.4.1.1.8.</v>
      </c>
      <c r="J85" s="1951">
        <f>VLOOKUP($A85,satpek!$B$20:$N$144,6,0)</f>
        <v>1115753.29</v>
      </c>
      <c r="K85" s="3273"/>
      <c r="L85" s="1952">
        <f t="shared" ref="L85:L87" si="68">ROUND((G85*J85),2)</f>
        <v>39971303.740000002</v>
      </c>
      <c r="M85" s="1967"/>
      <c r="N85" s="2458">
        <f>VLOOKUP($A85,satpek!$B$20:$L$138,8,0)</f>
        <v>0.93065078521121514</v>
      </c>
      <c r="O85" s="1954">
        <f>VLOOKUP($A85,satpek!$B$20:$L$138,9,0)</f>
        <v>918917.40999999992</v>
      </c>
      <c r="P85" s="1954">
        <f>VLOOKUP($A85,satpek!$B$20:$L$138,10,0)</f>
        <v>1038376.6732999999</v>
      </c>
      <c r="Q85" s="1952">
        <f t="shared" ref="Q85:Q87" si="69">O85*G85</f>
        <v>32919756.754544992</v>
      </c>
      <c r="R85" s="1952">
        <f t="shared" ref="R85:R87" si="70">N85*L85</f>
        <v>37199325.21154698</v>
      </c>
      <c r="S85" s="3282">
        <f t="shared" ref="S85:S87" si="71">L85-R85</f>
        <v>2771978.5284530222</v>
      </c>
      <c r="V85" s="1958">
        <v>35.824499999999993</v>
      </c>
      <c r="W85" s="1958"/>
      <c r="X85" s="1958">
        <f t="shared" si="66"/>
        <v>0</v>
      </c>
      <c r="Y85" s="2127" t="s">
        <v>1905</v>
      </c>
      <c r="AC85" s="2127"/>
      <c r="AD85" s="2127"/>
      <c r="AE85" s="2127"/>
      <c r="AF85" s="1910">
        <v>1191397.42</v>
      </c>
      <c r="AG85" s="2128">
        <f t="shared" si="67"/>
        <v>75644.129999999888</v>
      </c>
    </row>
    <row r="86" spans="1:33" ht="21.95" customHeight="1" x14ac:dyDescent="0.2">
      <c r="A86" s="1910">
        <f>satpek!$B$41</f>
        <v>22</v>
      </c>
      <c r="B86" s="2131">
        <f>B85+1</f>
        <v>2</v>
      </c>
      <c r="C86" s="2132"/>
      <c r="D86" s="2133" t="str">
        <f>VLOOKUP($A86,satpek!$B$20:$N$144,2,0)</f>
        <v>Pembesian 1 kg dengan besi polos atau besi ulir</v>
      </c>
      <c r="E86" s="2133"/>
      <c r="F86" s="2134"/>
      <c r="G86" s="1945">
        <f>'[3]B.VOL RAB'!Q142</f>
        <v>9036.6563445005468</v>
      </c>
      <c r="H86" s="2456" t="str">
        <f>VLOOKUP($A86,satpek!$B$20:$N$144,7,0)</f>
        <v>kg</v>
      </c>
      <c r="I86" s="3281" t="str">
        <f>VLOOKUP($A86,satpek!$B$20:$N$144,5,0)</f>
        <v>A.4.1.1.17.</v>
      </c>
      <c r="J86" s="1951">
        <f>VLOOKUP($A86,satpek!$B$20:$N$144,6,0)</f>
        <v>15603.94</v>
      </c>
      <c r="K86" s="3273"/>
      <c r="L86" s="1952">
        <f t="shared" si="68"/>
        <v>141007443.40000001</v>
      </c>
      <c r="M86" s="1967"/>
      <c r="N86" s="2458">
        <f>VLOOKUP($A86,satpek!$B$20:$L$138,8,0)</f>
        <v>0.46415793062521393</v>
      </c>
      <c r="O86" s="1954">
        <f>VLOOKUP($A86,satpek!$B$20:$L$138,9,0)</f>
        <v>7242.692500000001</v>
      </c>
      <c r="P86" s="1954">
        <f>VLOOKUP($A86,satpek!$B$20:$L$138,10,0)</f>
        <v>8184.2425250000015</v>
      </c>
      <c r="Q86" s="1952">
        <f t="shared" si="69"/>
        <v>65449723.131391533</v>
      </c>
      <c r="R86" s="1952">
        <f t="shared" si="70"/>
        <v>65449723.131295986</v>
      </c>
      <c r="S86" s="3282">
        <f t="shared" si="71"/>
        <v>75557720.268704027</v>
      </c>
      <c r="V86" s="1958">
        <v>7846.2752208014263</v>
      </c>
      <c r="W86" s="1958"/>
      <c r="X86" s="1958">
        <f t="shared" si="66"/>
        <v>-1190.3811236991205</v>
      </c>
      <c r="Y86" s="2127" t="s">
        <v>420</v>
      </c>
      <c r="AC86" s="2127"/>
      <c r="AD86" s="2127"/>
      <c r="AE86" s="2127"/>
      <c r="AF86" s="1910">
        <v>15438.06</v>
      </c>
      <c r="AG86" s="2128">
        <f t="shared" si="67"/>
        <v>-165.88000000000102</v>
      </c>
    </row>
    <row r="87" spans="1:33" ht="21.95" customHeight="1" x14ac:dyDescent="0.2">
      <c r="A87" s="1910">
        <f>satpek!$B$45</f>
        <v>26</v>
      </c>
      <c r="B87" s="2131">
        <f>B86+1</f>
        <v>3</v>
      </c>
      <c r="C87" s="2132"/>
      <c r="D87" s="2133" t="str">
        <f>VLOOKUP($A87,satpek!$B$20:$N$144,2,0)</f>
        <v>Memasang bekisting untuk balok (2x pakai)</v>
      </c>
      <c r="E87" s="2133"/>
      <c r="F87" s="2134"/>
      <c r="G87" s="1945">
        <f>'[3]B.VOL RAB'!Q144</f>
        <v>471.37499999999989</v>
      </c>
      <c r="H87" s="2456" t="str">
        <f>VLOOKUP($A87,satpek!$B$20:$N$144,7,0)</f>
        <v>m2</v>
      </c>
      <c r="I87" s="3281" t="str">
        <f>VLOOKUP($A87,satpek!$B$20:$N$144,5,0)</f>
        <v>A.4.1.1.23.</v>
      </c>
      <c r="J87" s="1951">
        <f>VLOOKUP($A87,satpek!$B$20:$N$144,6,0)</f>
        <v>194762.28</v>
      </c>
      <c r="K87" s="3273"/>
      <c r="L87" s="1952">
        <f t="shared" si="68"/>
        <v>91806069.739999995</v>
      </c>
      <c r="M87" s="1967"/>
      <c r="N87" s="2458">
        <f>VLOOKUP($A87,satpek!$B$20:$L$138,8,0)</f>
        <v>0.83069925038873027</v>
      </c>
      <c r="O87" s="1954">
        <f>VLOOKUP($A87,satpek!$B$20:$L$138,9,0)</f>
        <v>143176</v>
      </c>
      <c r="P87" s="1954">
        <f>VLOOKUP($A87,satpek!$B$20:$L$138,10,0)</f>
        <v>161788.88</v>
      </c>
      <c r="Q87" s="1952">
        <f t="shared" si="69"/>
        <v>67489586.999999985</v>
      </c>
      <c r="R87" s="1952">
        <f t="shared" si="70"/>
        <v>76263233.314153492</v>
      </c>
      <c r="S87" s="3282">
        <f t="shared" si="71"/>
        <v>15542836.425846502</v>
      </c>
      <c r="T87" s="3323"/>
      <c r="V87" s="1958">
        <v>471.37499999999989</v>
      </c>
      <c r="W87" s="1958"/>
      <c r="X87" s="1958">
        <f t="shared" si="66"/>
        <v>0</v>
      </c>
      <c r="Y87" s="2127" t="s">
        <v>1909</v>
      </c>
      <c r="AC87" s="2127"/>
      <c r="AD87" s="2127"/>
      <c r="AE87" s="2127"/>
      <c r="AF87" s="1910">
        <v>195923.91999999998</v>
      </c>
      <c r="AG87" s="2128">
        <f t="shared" si="67"/>
        <v>1161.6399999999849</v>
      </c>
    </row>
    <row r="88" spans="1:33" ht="21.95" customHeight="1" x14ac:dyDescent="0.2">
      <c r="B88" s="3320"/>
      <c r="C88" s="3321"/>
      <c r="D88" s="3304" t="s">
        <v>2002</v>
      </c>
      <c r="E88" s="3268"/>
      <c r="F88" s="3269"/>
      <c r="G88" s="1945"/>
      <c r="H88" s="3271"/>
      <c r="I88" s="3272"/>
      <c r="J88" s="1951"/>
      <c r="K88" s="2066"/>
      <c r="L88" s="2067"/>
      <c r="M88" s="1967"/>
      <c r="N88" s="3276"/>
      <c r="O88" s="3277"/>
      <c r="P88" s="3277"/>
      <c r="Q88" s="3278"/>
      <c r="R88" s="3295"/>
      <c r="S88" s="3280"/>
      <c r="V88" s="1958"/>
      <c r="W88" s="1958"/>
      <c r="X88" s="1958">
        <f t="shared" si="66"/>
        <v>0</v>
      </c>
      <c r="Y88" s="2127" t="s">
        <v>1789</v>
      </c>
      <c r="AC88" s="2127"/>
      <c r="AD88" s="2127"/>
      <c r="AE88" s="2127"/>
      <c r="AG88" s="2128">
        <f t="shared" si="67"/>
        <v>0</v>
      </c>
    </row>
    <row r="89" spans="1:33" ht="21.95" customHeight="1" x14ac:dyDescent="0.2">
      <c r="A89" s="1910">
        <f>satpek!$B$40</f>
        <v>21</v>
      </c>
      <c r="B89" s="2131">
        <v>1</v>
      </c>
      <c r="C89" s="2132"/>
      <c r="D89" s="2133" t="str">
        <f>VLOOKUP($A89,satpek!$B$20:$N$144,2,0)</f>
        <v>Membuat beton mutu f'c = 21,7 Mpa - K 250</v>
      </c>
      <c r="E89" s="2133"/>
      <c r="F89" s="2134"/>
      <c r="G89" s="1945">
        <f>'[3]B.VOL RAB'!Q148</f>
        <v>14.512000000000004</v>
      </c>
      <c r="H89" s="2456" t="str">
        <f>VLOOKUP($A89,satpek!$B$20:$N$144,7,0)</f>
        <v>m3</v>
      </c>
      <c r="I89" s="3281" t="str">
        <f>VLOOKUP($A89,satpek!$B$20:$N$144,5,0)</f>
        <v>A.4.1.1.8.</v>
      </c>
      <c r="J89" s="1951">
        <f>VLOOKUP($A89,satpek!$B$20:$N$144,6,0)</f>
        <v>1115753.29</v>
      </c>
      <c r="K89" s="3273"/>
      <c r="L89" s="1952">
        <f t="shared" ref="L89:L91" si="72">ROUND((G89*J89),2)</f>
        <v>16191811.74</v>
      </c>
      <c r="M89" s="1967"/>
      <c r="N89" s="2458">
        <f>VLOOKUP($A89,satpek!$B$20:$L$138,8,0)</f>
        <v>0.93065078521121514</v>
      </c>
      <c r="O89" s="1954">
        <f>VLOOKUP($A89,satpek!$B$20:$L$138,9,0)</f>
        <v>918917.40999999992</v>
      </c>
      <c r="P89" s="1954">
        <f>VLOOKUP($A89,satpek!$B$20:$L$138,10,0)</f>
        <v>1038376.6732999999</v>
      </c>
      <c r="Q89" s="1952">
        <f t="shared" ref="Q89:Q91" si="73">O89*G89</f>
        <v>13335329.453920003</v>
      </c>
      <c r="R89" s="1952">
        <f t="shared" ref="R89:R91" si="74">N89*L89</f>
        <v>15068922.309823172</v>
      </c>
      <c r="S89" s="3282">
        <f t="shared" ref="S89:S91" si="75">L89-R89</f>
        <v>1122889.4301768281</v>
      </c>
      <c r="V89" s="1958">
        <v>14.512000000000004</v>
      </c>
      <c r="W89" s="1958"/>
      <c r="X89" s="1958">
        <f t="shared" si="66"/>
        <v>0</v>
      </c>
      <c r="Y89" s="2127" t="s">
        <v>1905</v>
      </c>
      <c r="AC89" s="2127"/>
      <c r="AD89" s="2127"/>
      <c r="AE89" s="2127"/>
      <c r="AF89" s="1910">
        <v>1191397.42</v>
      </c>
      <c r="AG89" s="2128">
        <f t="shared" si="67"/>
        <v>75644.129999999888</v>
      </c>
    </row>
    <row r="90" spans="1:33" ht="21.95" customHeight="1" x14ac:dyDescent="0.2">
      <c r="A90" s="1910">
        <f>satpek!$B$41</f>
        <v>22</v>
      </c>
      <c r="B90" s="2131">
        <f>B89+1</f>
        <v>2</v>
      </c>
      <c r="C90" s="2132"/>
      <c r="D90" s="2133" t="str">
        <f>VLOOKUP($A90,satpek!$B$20:$N$144,2,0)</f>
        <v>Pembesian 1 kg dengan besi polos atau besi ulir</v>
      </c>
      <c r="E90" s="2133"/>
      <c r="F90" s="2134"/>
      <c r="G90" s="1945">
        <f>'[3]B.VOL RAB'!Q150</f>
        <v>2074.4589900004985</v>
      </c>
      <c r="H90" s="2456" t="str">
        <f>VLOOKUP($A90,satpek!$B$20:$N$144,7,0)</f>
        <v>kg</v>
      </c>
      <c r="I90" s="3281" t="str">
        <f>VLOOKUP($A90,satpek!$B$20:$N$144,5,0)</f>
        <v>A.4.1.1.17.</v>
      </c>
      <c r="J90" s="1951">
        <f>VLOOKUP($A90,satpek!$B$20:$N$144,6,0)</f>
        <v>15603.94</v>
      </c>
      <c r="K90" s="3273"/>
      <c r="L90" s="1952">
        <f t="shared" si="72"/>
        <v>32369733.609999999</v>
      </c>
      <c r="M90" s="1967"/>
      <c r="N90" s="2458">
        <f>VLOOKUP($A90,satpek!$B$20:$L$138,8,0)</f>
        <v>0.46415793062521393</v>
      </c>
      <c r="O90" s="1954">
        <f>VLOOKUP($A90,satpek!$B$20:$L$138,9,0)</f>
        <v>7242.692500000001</v>
      </c>
      <c r="P90" s="1954">
        <f>VLOOKUP($A90,satpek!$B$20:$L$138,10,0)</f>
        <v>8184.2425250000015</v>
      </c>
      <c r="Q90" s="1952">
        <f t="shared" si="73"/>
        <v>15024668.568434188</v>
      </c>
      <c r="R90" s="1952">
        <f t="shared" si="74"/>
        <v>15024668.567307036</v>
      </c>
      <c r="S90" s="3282">
        <f t="shared" si="75"/>
        <v>17345065.042692963</v>
      </c>
      <c r="V90" s="1958">
        <v>1696.4400838251379</v>
      </c>
      <c r="W90" s="1958"/>
      <c r="X90" s="1958">
        <f t="shared" si="66"/>
        <v>-378.0189061753606</v>
      </c>
      <c r="Y90" s="2127" t="s">
        <v>420</v>
      </c>
      <c r="AC90" s="2127"/>
      <c r="AD90" s="2127"/>
      <c r="AE90" s="2127"/>
      <c r="AF90" s="1910">
        <v>15438.06</v>
      </c>
      <c r="AG90" s="2128">
        <f t="shared" si="67"/>
        <v>-165.88000000000102</v>
      </c>
    </row>
    <row r="91" spans="1:33" ht="21.95" customHeight="1" x14ac:dyDescent="0.2">
      <c r="A91" s="1910">
        <f>satpek!$B$45</f>
        <v>26</v>
      </c>
      <c r="B91" s="2131">
        <f>B90+1</f>
        <v>3</v>
      </c>
      <c r="C91" s="2132"/>
      <c r="D91" s="2133" t="str">
        <f>VLOOKUP($A91,satpek!$B$20:$N$144,2,0)</f>
        <v>Memasang bekisting untuk balok (2x pakai)</v>
      </c>
      <c r="E91" s="2133"/>
      <c r="F91" s="2134"/>
      <c r="G91" s="1945">
        <f>'[3]B.VOL RAB'!Q152</f>
        <v>181.4</v>
      </c>
      <c r="H91" s="2456" t="str">
        <f>VLOOKUP($A91,satpek!$B$20:$N$144,7,0)</f>
        <v>m2</v>
      </c>
      <c r="I91" s="3281" t="str">
        <f>VLOOKUP($A91,satpek!$B$20:$N$144,5,0)</f>
        <v>A.4.1.1.23.</v>
      </c>
      <c r="J91" s="1951">
        <f>VLOOKUP($A91,satpek!$B$20:$N$144,6,0)</f>
        <v>194762.28</v>
      </c>
      <c r="K91" s="3273"/>
      <c r="L91" s="1952">
        <f t="shared" si="72"/>
        <v>35329877.590000004</v>
      </c>
      <c r="M91" s="1967"/>
      <c r="N91" s="2458">
        <f>VLOOKUP($A91,satpek!$B$20:$L$138,8,0)</f>
        <v>0.83069925038873027</v>
      </c>
      <c r="O91" s="1954">
        <f>VLOOKUP($A91,satpek!$B$20:$L$138,9,0)</f>
        <v>143176</v>
      </c>
      <c r="P91" s="1954">
        <f>VLOOKUP($A91,satpek!$B$20:$L$138,10,0)</f>
        <v>161788.88</v>
      </c>
      <c r="Q91" s="1952">
        <f t="shared" si="73"/>
        <v>25972126.400000002</v>
      </c>
      <c r="R91" s="1952">
        <f t="shared" si="74"/>
        <v>29348502.830338605</v>
      </c>
      <c r="S91" s="3282">
        <f t="shared" si="75"/>
        <v>5981374.7596613988</v>
      </c>
      <c r="V91" s="1958">
        <v>181.4</v>
      </c>
      <c r="W91" s="1958"/>
      <c r="X91" s="1958">
        <f t="shared" si="66"/>
        <v>0</v>
      </c>
      <c r="Y91" s="2127" t="s">
        <v>1909</v>
      </c>
      <c r="AC91" s="2127"/>
      <c r="AD91" s="2127"/>
      <c r="AE91" s="2127"/>
      <c r="AF91" s="1910">
        <v>195923.91999999998</v>
      </c>
      <c r="AG91" s="2128">
        <f t="shared" si="67"/>
        <v>1161.6399999999849</v>
      </c>
    </row>
    <row r="92" spans="1:33" ht="21.95" customHeight="1" x14ac:dyDescent="0.2">
      <c r="B92" s="3320"/>
      <c r="C92" s="3321"/>
      <c r="D92" s="3304" t="s">
        <v>1790</v>
      </c>
      <c r="E92" s="3268"/>
      <c r="F92" s="3269"/>
      <c r="G92" s="1945"/>
      <c r="H92" s="3271"/>
      <c r="I92" s="3272"/>
      <c r="J92" s="1951"/>
      <c r="K92" s="2066"/>
      <c r="L92" s="2067"/>
      <c r="M92" s="1967"/>
      <c r="N92" s="3276"/>
      <c r="O92" s="3277"/>
      <c r="P92" s="3277"/>
      <c r="Q92" s="3278"/>
      <c r="R92" s="3295"/>
      <c r="S92" s="3280"/>
      <c r="V92" s="1958"/>
      <c r="W92" s="1958"/>
      <c r="X92" s="1958">
        <f t="shared" si="66"/>
        <v>0</v>
      </c>
      <c r="Y92" s="2127" t="s">
        <v>1790</v>
      </c>
      <c r="AC92" s="2127"/>
      <c r="AD92" s="2127"/>
      <c r="AE92" s="2127"/>
      <c r="AG92" s="2128">
        <f t="shared" si="67"/>
        <v>0</v>
      </c>
    </row>
    <row r="93" spans="1:33" ht="21.95" customHeight="1" x14ac:dyDescent="0.2">
      <c r="A93" s="1910">
        <f>satpek!$B$40</f>
        <v>21</v>
      </c>
      <c r="B93" s="2131">
        <v>1</v>
      </c>
      <c r="C93" s="2132"/>
      <c r="D93" s="2133" t="str">
        <f>VLOOKUP($A93,satpek!$B$20:$N$144,2,0)</f>
        <v>Membuat beton mutu f'c = 21,7 Mpa - K 250</v>
      </c>
      <c r="E93" s="2133"/>
      <c r="F93" s="2134"/>
      <c r="G93" s="1945">
        <f>'[3]B.VOL RAB'!Q156</f>
        <v>10.17</v>
      </c>
      <c r="H93" s="2456" t="str">
        <f>VLOOKUP($A93,satpek!$B$20:$N$144,7,0)</f>
        <v>m3</v>
      </c>
      <c r="I93" s="3281" t="str">
        <f>VLOOKUP($A93,satpek!$B$20:$N$144,5,0)</f>
        <v>A.4.1.1.8.</v>
      </c>
      <c r="J93" s="1951">
        <f>VLOOKUP($A93,satpek!$B$20:$N$144,6,0)</f>
        <v>1115753.29</v>
      </c>
      <c r="K93" s="3273"/>
      <c r="L93" s="1952">
        <f t="shared" ref="L93:L95" si="76">ROUND((G93*J93),2)</f>
        <v>11347210.960000001</v>
      </c>
      <c r="M93" s="1967"/>
      <c r="N93" s="2458">
        <f>VLOOKUP($A93,satpek!$B$20:$L$138,8,0)</f>
        <v>0.93065078521121514</v>
      </c>
      <c r="O93" s="1954">
        <f>VLOOKUP($A93,satpek!$B$20:$L$138,9,0)</f>
        <v>918917.40999999992</v>
      </c>
      <c r="P93" s="1954">
        <f>VLOOKUP($A93,satpek!$B$20:$L$138,10,0)</f>
        <v>1038376.6732999999</v>
      </c>
      <c r="Q93" s="1952">
        <f t="shared" ref="Q93:Q95" si="77">O93*G93</f>
        <v>9345390.0596999992</v>
      </c>
      <c r="R93" s="1952">
        <f t="shared" ref="R93:R95" si="78">N93*L93</f>
        <v>10560290.789881308</v>
      </c>
      <c r="S93" s="3282">
        <f t="shared" ref="S93:S95" si="79">L93-R93</f>
        <v>786920.17011869326</v>
      </c>
      <c r="V93" s="1958">
        <v>8.4749999999999996</v>
      </c>
      <c r="W93" s="1958"/>
      <c r="X93" s="1958">
        <f t="shared" si="66"/>
        <v>-1.6950000000000003</v>
      </c>
      <c r="Y93" s="2127" t="s">
        <v>1905</v>
      </c>
      <c r="AC93" s="2127"/>
      <c r="AD93" s="2127"/>
      <c r="AE93" s="2127"/>
      <c r="AF93" s="1910">
        <v>1191397.42</v>
      </c>
      <c r="AG93" s="2128">
        <f t="shared" si="67"/>
        <v>75644.129999999888</v>
      </c>
    </row>
    <row r="94" spans="1:33" ht="21.95" customHeight="1" x14ac:dyDescent="0.2">
      <c r="A94" s="1910">
        <f>satpek!$B$41</f>
        <v>22</v>
      </c>
      <c r="B94" s="2131">
        <f>B93+1</f>
        <v>2</v>
      </c>
      <c r="C94" s="2132"/>
      <c r="D94" s="2133" t="str">
        <f>VLOOKUP($A94,satpek!$B$20:$N$144,2,0)</f>
        <v>Pembesian 1 kg dengan besi polos atau besi ulir</v>
      </c>
      <c r="E94" s="2133"/>
      <c r="F94" s="2134"/>
      <c r="G94" s="1945">
        <f>'[3]B.VOL RAB'!Q158</f>
        <v>2361.0873008388248</v>
      </c>
      <c r="H94" s="2456" t="str">
        <f>VLOOKUP($A94,satpek!$B$20:$N$144,7,0)</f>
        <v>kg</v>
      </c>
      <c r="I94" s="3281" t="str">
        <f>VLOOKUP($A94,satpek!$B$20:$N$144,5,0)</f>
        <v>A.4.1.1.17.</v>
      </c>
      <c r="J94" s="1951">
        <f>VLOOKUP($A94,satpek!$B$20:$N$144,6,0)</f>
        <v>15603.94</v>
      </c>
      <c r="K94" s="3273"/>
      <c r="L94" s="1952">
        <f t="shared" si="76"/>
        <v>36842264.579999998</v>
      </c>
      <c r="M94" s="1967"/>
      <c r="N94" s="2458">
        <f>VLOOKUP($A94,satpek!$B$20:$L$138,8,0)</f>
        <v>0.46415793062521393</v>
      </c>
      <c r="O94" s="1954">
        <f>VLOOKUP($A94,satpek!$B$20:$L$138,9,0)</f>
        <v>7242.692500000001</v>
      </c>
      <c r="P94" s="1954">
        <f>VLOOKUP($A94,satpek!$B$20:$L$138,10,0)</f>
        <v>8184.2425250000015</v>
      </c>
      <c r="Q94" s="1952">
        <f t="shared" si="77"/>
        <v>17100629.285630602</v>
      </c>
      <c r="R94" s="1952">
        <f t="shared" si="78"/>
        <v>17100629.286999416</v>
      </c>
      <c r="S94" s="3282">
        <f t="shared" si="79"/>
        <v>19741635.293000583</v>
      </c>
      <c r="V94" s="1958">
        <v>3206.3224789193041</v>
      </c>
      <c r="W94" s="1958"/>
      <c r="X94" s="1958">
        <f t="shared" si="66"/>
        <v>845.23517808047927</v>
      </c>
      <c r="Y94" s="2127" t="s">
        <v>420</v>
      </c>
      <c r="AC94" s="2127"/>
      <c r="AD94" s="2127"/>
      <c r="AE94" s="2127"/>
      <c r="AF94" s="1910">
        <v>15438.06</v>
      </c>
      <c r="AG94" s="2128">
        <f t="shared" si="67"/>
        <v>-165.88000000000102</v>
      </c>
    </row>
    <row r="95" spans="1:33" ht="21.95" customHeight="1" x14ac:dyDescent="0.2">
      <c r="A95" s="1910">
        <f>satpek!$B$45</f>
        <v>26</v>
      </c>
      <c r="B95" s="2131">
        <f>B94+1</f>
        <v>3</v>
      </c>
      <c r="C95" s="2132"/>
      <c r="D95" s="2133" t="str">
        <f>VLOOKUP($A95,satpek!$B$20:$N$144,2,0)</f>
        <v>Memasang bekisting untuk balok (2x pakai)</v>
      </c>
      <c r="E95" s="2133"/>
      <c r="F95" s="2134"/>
      <c r="G95" s="1945">
        <f>'[3]B.VOL RAB'!Q160</f>
        <v>135.6</v>
      </c>
      <c r="H95" s="2456" t="str">
        <f>VLOOKUP($A95,satpek!$B$20:$N$144,7,0)</f>
        <v>m2</v>
      </c>
      <c r="I95" s="3281" t="str">
        <f>VLOOKUP($A95,satpek!$B$20:$N$144,5,0)</f>
        <v>A.4.1.1.23.</v>
      </c>
      <c r="J95" s="1951">
        <f>VLOOKUP($A95,satpek!$B$20:$N$144,6,0)</f>
        <v>194762.28</v>
      </c>
      <c r="K95" s="3273"/>
      <c r="L95" s="1952">
        <f t="shared" si="76"/>
        <v>26409765.170000002</v>
      </c>
      <c r="M95" s="1967"/>
      <c r="N95" s="2458">
        <f>VLOOKUP($A95,satpek!$B$20:$L$138,8,0)</f>
        <v>0.83069925038873027</v>
      </c>
      <c r="O95" s="1954">
        <f>VLOOKUP($A95,satpek!$B$20:$L$138,9,0)</f>
        <v>143176</v>
      </c>
      <c r="P95" s="1954">
        <f>VLOOKUP($A95,satpek!$B$20:$L$138,10,0)</f>
        <v>161788.88</v>
      </c>
      <c r="Q95" s="1952">
        <f t="shared" si="77"/>
        <v>19414665.599999998</v>
      </c>
      <c r="R95" s="1952">
        <f t="shared" si="78"/>
        <v>21938572.1296614</v>
      </c>
      <c r="S95" s="3282">
        <f t="shared" si="79"/>
        <v>4471193.0403386019</v>
      </c>
      <c r="V95" s="1958">
        <v>113</v>
      </c>
      <c r="W95" s="1958"/>
      <c r="X95" s="1958">
        <f t="shared" si="66"/>
        <v>-22.599999999999994</v>
      </c>
      <c r="Y95" s="2127" t="s">
        <v>1909</v>
      </c>
      <c r="AC95" s="2127"/>
      <c r="AD95" s="2127"/>
      <c r="AE95" s="2127"/>
      <c r="AF95" s="1910">
        <v>195923.91999999998</v>
      </c>
      <c r="AG95" s="2128">
        <f t="shared" si="67"/>
        <v>1161.6399999999849</v>
      </c>
    </row>
    <row r="96" spans="1:33" ht="21.95" customHeight="1" x14ac:dyDescent="0.2">
      <c r="B96" s="3320"/>
      <c r="C96" s="3321"/>
      <c r="D96" s="3304" t="s">
        <v>1791</v>
      </c>
      <c r="E96" s="3268"/>
      <c r="F96" s="3269"/>
      <c r="G96" s="1945"/>
      <c r="H96" s="3271"/>
      <c r="I96" s="3272"/>
      <c r="J96" s="1951"/>
      <c r="K96" s="2066"/>
      <c r="L96" s="2067"/>
      <c r="M96" s="1967"/>
      <c r="N96" s="3276"/>
      <c r="O96" s="3277"/>
      <c r="P96" s="3277"/>
      <c r="Q96" s="3278"/>
      <c r="R96" s="3295"/>
      <c r="S96" s="3280"/>
      <c r="V96" s="1958"/>
      <c r="W96" s="1958"/>
      <c r="X96" s="1958">
        <f t="shared" si="66"/>
        <v>0</v>
      </c>
      <c r="Y96" s="2127" t="s">
        <v>1791</v>
      </c>
      <c r="AC96" s="2127"/>
      <c r="AD96" s="2127"/>
      <c r="AE96" s="2127"/>
      <c r="AG96" s="2128">
        <f t="shared" si="67"/>
        <v>0</v>
      </c>
    </row>
    <row r="97" spans="1:33" ht="21.95" customHeight="1" x14ac:dyDescent="0.2">
      <c r="A97" s="1910">
        <f>satpek!$B$40</f>
        <v>21</v>
      </c>
      <c r="B97" s="2131">
        <v>1</v>
      </c>
      <c r="C97" s="2132"/>
      <c r="D97" s="2133" t="str">
        <f>VLOOKUP($A97,satpek!$B$20:$N$144,2,0)</f>
        <v>Membuat beton mutu f'c = 21,7 Mpa - K 250</v>
      </c>
      <c r="E97" s="2133"/>
      <c r="F97" s="2134"/>
      <c r="G97" s="1945">
        <f>'[3]B.VOL RAB'!Q164</f>
        <v>2.88</v>
      </c>
      <c r="H97" s="2456" t="str">
        <f>VLOOKUP($A97,satpek!$B$20:$N$144,7,0)</f>
        <v>m3</v>
      </c>
      <c r="I97" s="3281" t="str">
        <f>VLOOKUP($A97,satpek!$B$20:$N$144,5,0)</f>
        <v>A.4.1.1.8.</v>
      </c>
      <c r="J97" s="1951">
        <f>VLOOKUP($A97,satpek!$B$20:$N$144,6,0)</f>
        <v>1115753.29</v>
      </c>
      <c r="K97" s="3273"/>
      <c r="L97" s="1952">
        <f t="shared" ref="L97:L99" si="80">ROUND((G97*J97),2)</f>
        <v>3213369.48</v>
      </c>
      <c r="M97" s="1967"/>
      <c r="N97" s="2458">
        <f>VLOOKUP($A97,satpek!$B$20:$L$138,8,0)</f>
        <v>0.93065078521121514</v>
      </c>
      <c r="O97" s="1954">
        <f>VLOOKUP($A97,satpek!$B$20:$L$138,9,0)</f>
        <v>918917.40999999992</v>
      </c>
      <c r="P97" s="1954">
        <f>VLOOKUP($A97,satpek!$B$20:$L$138,10,0)</f>
        <v>1038376.6732999999</v>
      </c>
      <c r="Q97" s="1952">
        <f t="shared" ref="Q97:Q99" si="81">O97*G97</f>
        <v>2646482.1407999997</v>
      </c>
      <c r="R97" s="1952">
        <f t="shared" ref="R97:R99" si="82">N97*L97</f>
        <v>2990524.8297357541</v>
      </c>
      <c r="S97" s="3282">
        <f t="shared" ref="S97:S99" si="83">L97-R97</f>
        <v>222844.65026424592</v>
      </c>
      <c r="V97" s="1958">
        <v>2.88</v>
      </c>
      <c r="W97" s="1958"/>
      <c r="X97" s="1958">
        <f t="shared" si="66"/>
        <v>0</v>
      </c>
      <c r="Y97" s="2127" t="s">
        <v>1905</v>
      </c>
      <c r="AC97" s="2127"/>
      <c r="AD97" s="2127"/>
      <c r="AE97" s="2127"/>
      <c r="AF97" s="1910">
        <v>1191397.42</v>
      </c>
      <c r="AG97" s="2128">
        <f t="shared" si="67"/>
        <v>75644.129999999888</v>
      </c>
    </row>
    <row r="98" spans="1:33" ht="21.95" customHeight="1" x14ac:dyDescent="0.2">
      <c r="A98" s="1910">
        <f>satpek!$B$41</f>
        <v>22</v>
      </c>
      <c r="B98" s="2131">
        <f>B97+1</f>
        <v>2</v>
      </c>
      <c r="C98" s="2132"/>
      <c r="D98" s="2133" t="str">
        <f>VLOOKUP($A98,satpek!$B$20:$N$144,2,0)</f>
        <v>Pembesian 1 kg dengan besi polos atau besi ulir</v>
      </c>
      <c r="E98" s="2133"/>
      <c r="F98" s="2134"/>
      <c r="G98" s="1945">
        <f>'[3]B.VOL RAB'!Q166</f>
        <v>607.11686437667709</v>
      </c>
      <c r="H98" s="2456" t="str">
        <f>VLOOKUP($A98,satpek!$B$20:$N$144,7,0)</f>
        <v>kg</v>
      </c>
      <c r="I98" s="3281" t="str">
        <f>VLOOKUP($A98,satpek!$B$20:$N$144,5,0)</f>
        <v>A.4.1.1.17.</v>
      </c>
      <c r="J98" s="1951">
        <f>VLOOKUP($A98,satpek!$B$20:$N$144,6,0)</f>
        <v>15603.94</v>
      </c>
      <c r="K98" s="3273"/>
      <c r="L98" s="1952">
        <f t="shared" si="80"/>
        <v>9473415.1199999992</v>
      </c>
      <c r="M98" s="1967"/>
      <c r="N98" s="2458">
        <f>VLOOKUP($A98,satpek!$B$20:$L$138,8,0)</f>
        <v>0.46415793062521393</v>
      </c>
      <c r="O98" s="1954">
        <f>VLOOKUP($A98,satpek!$B$20:$L$138,9,0)</f>
        <v>7242.692500000001</v>
      </c>
      <c r="P98" s="1954">
        <f>VLOOKUP($A98,satpek!$B$20:$L$138,10,0)</f>
        <v>8184.2425250000015</v>
      </c>
      <c r="Q98" s="1952">
        <f t="shared" si="81"/>
        <v>4397160.7602444766</v>
      </c>
      <c r="R98" s="1952">
        <f t="shared" si="82"/>
        <v>4397160.758052812</v>
      </c>
      <c r="S98" s="3282">
        <f t="shared" si="83"/>
        <v>5076254.3619471872</v>
      </c>
      <c r="V98" s="1958">
        <v>507.08981092343959</v>
      </c>
      <c r="W98" s="1958"/>
      <c r="X98" s="1958">
        <f t="shared" si="66"/>
        <v>-100.0270534532375</v>
      </c>
      <c r="Y98" s="2127" t="s">
        <v>420</v>
      </c>
      <c r="AC98" s="2127"/>
      <c r="AD98" s="2127"/>
      <c r="AE98" s="2127"/>
      <c r="AF98" s="1910">
        <v>15438.06</v>
      </c>
      <c r="AG98" s="2128">
        <f t="shared" si="67"/>
        <v>-165.88000000000102</v>
      </c>
    </row>
    <row r="99" spans="1:33" ht="21.95" customHeight="1" x14ac:dyDescent="0.2">
      <c r="A99" s="1910">
        <f>satpek!$B$45</f>
        <v>26</v>
      </c>
      <c r="B99" s="2131">
        <f>B98+1</f>
        <v>3</v>
      </c>
      <c r="C99" s="2132"/>
      <c r="D99" s="2133" t="str">
        <f>VLOOKUP($A99,satpek!$B$20:$N$144,2,0)</f>
        <v>Memasang bekisting untuk balok (2x pakai)</v>
      </c>
      <c r="E99" s="2133"/>
      <c r="F99" s="2134"/>
      <c r="G99" s="1945">
        <f>'[3]B.VOL RAB'!Q168</f>
        <v>38.4</v>
      </c>
      <c r="H99" s="2456" t="str">
        <f>VLOOKUP($A99,satpek!$B$20:$N$144,7,0)</f>
        <v>m2</v>
      </c>
      <c r="I99" s="3281" t="str">
        <f>VLOOKUP($A99,satpek!$B$20:$N$144,5,0)</f>
        <v>A.4.1.1.23.</v>
      </c>
      <c r="J99" s="1951">
        <f>VLOOKUP($A99,satpek!$B$20:$N$144,6,0)</f>
        <v>194762.28</v>
      </c>
      <c r="K99" s="3273"/>
      <c r="L99" s="1952">
        <f t="shared" si="80"/>
        <v>7478871.5499999998</v>
      </c>
      <c r="M99" s="1967"/>
      <c r="N99" s="2458">
        <f>VLOOKUP($A99,satpek!$B$20:$L$138,8,0)</f>
        <v>0.83069925038873027</v>
      </c>
      <c r="O99" s="1954">
        <f>VLOOKUP($A99,satpek!$B$20:$L$138,9,0)</f>
        <v>143176</v>
      </c>
      <c r="P99" s="1954">
        <f>VLOOKUP($A99,satpek!$B$20:$L$138,10,0)</f>
        <v>161788.88</v>
      </c>
      <c r="Q99" s="1952">
        <f t="shared" si="81"/>
        <v>5497958.3999999994</v>
      </c>
      <c r="R99" s="1952">
        <f t="shared" si="82"/>
        <v>6212692.9903386012</v>
      </c>
      <c r="S99" s="3282">
        <f t="shared" si="83"/>
        <v>1266178.5596613986</v>
      </c>
      <c r="V99" s="1958">
        <v>38.4</v>
      </c>
      <c r="W99" s="1958"/>
      <c r="X99" s="1958">
        <f t="shared" si="66"/>
        <v>0</v>
      </c>
      <c r="Y99" s="2127" t="s">
        <v>1909</v>
      </c>
      <c r="AC99" s="2127"/>
      <c r="AD99" s="2127"/>
      <c r="AE99" s="2127"/>
      <c r="AF99" s="1910">
        <v>195923.91999999998</v>
      </c>
      <c r="AG99" s="2128">
        <f t="shared" si="67"/>
        <v>1161.6399999999849</v>
      </c>
    </row>
    <row r="100" spans="1:33" ht="21.95" customHeight="1" x14ac:dyDescent="0.2">
      <c r="B100" s="3320"/>
      <c r="C100" s="3321"/>
      <c r="D100" s="3304" t="s">
        <v>1792</v>
      </c>
      <c r="E100" s="3268"/>
      <c r="F100" s="3269"/>
      <c r="G100" s="1945"/>
      <c r="H100" s="3271"/>
      <c r="I100" s="3272"/>
      <c r="J100" s="1951"/>
      <c r="K100" s="2066"/>
      <c r="L100" s="2067"/>
      <c r="M100" s="1967"/>
      <c r="N100" s="3276"/>
      <c r="O100" s="3277"/>
      <c r="P100" s="3277"/>
      <c r="Q100" s="3278"/>
      <c r="R100" s="3295"/>
      <c r="S100" s="3280"/>
      <c r="V100" s="1958"/>
      <c r="W100" s="1958"/>
      <c r="X100" s="1958">
        <f t="shared" si="66"/>
        <v>0</v>
      </c>
      <c r="Y100" s="2127" t="s">
        <v>1792</v>
      </c>
      <c r="AC100" s="2127"/>
      <c r="AD100" s="2127"/>
      <c r="AE100" s="2127"/>
      <c r="AG100" s="2128">
        <f t="shared" si="67"/>
        <v>0</v>
      </c>
    </row>
    <row r="101" spans="1:33" ht="21.95" customHeight="1" x14ac:dyDescent="0.2">
      <c r="A101" s="1910">
        <f>satpek!$B$40</f>
        <v>21</v>
      </c>
      <c r="B101" s="2131">
        <v>1</v>
      </c>
      <c r="C101" s="2132"/>
      <c r="D101" s="2133" t="str">
        <f>VLOOKUP($A101,satpek!$B$20:$N$144,2,0)</f>
        <v>Membuat beton mutu f'c = 21,7 Mpa - K 250</v>
      </c>
      <c r="E101" s="2133"/>
      <c r="F101" s="2134"/>
      <c r="G101" s="1945">
        <f>'[3]B.VOL RAB'!Q172</f>
        <v>5.7059999999999986</v>
      </c>
      <c r="H101" s="2456" t="str">
        <f>VLOOKUP($A101,satpek!$B$20:$N$144,7,0)</f>
        <v>m3</v>
      </c>
      <c r="I101" s="3281" t="str">
        <f>VLOOKUP($A101,satpek!$B$20:$N$144,5,0)</f>
        <v>A.4.1.1.8.</v>
      </c>
      <c r="J101" s="1951">
        <f>VLOOKUP($A101,satpek!$B$20:$N$144,6,0)</f>
        <v>1115753.29</v>
      </c>
      <c r="K101" s="3273"/>
      <c r="L101" s="1952">
        <f t="shared" ref="L101:L103" si="84">ROUND((G101*J101),2)</f>
        <v>6366488.2699999996</v>
      </c>
      <c r="M101" s="1967"/>
      <c r="N101" s="2458">
        <f>VLOOKUP($A101,satpek!$B$20:$L$138,8,0)</f>
        <v>0.93065078521121514</v>
      </c>
      <c r="O101" s="1954">
        <f>VLOOKUP($A101,satpek!$B$20:$L$138,9,0)</f>
        <v>918917.40999999992</v>
      </c>
      <c r="P101" s="1954">
        <f>VLOOKUP($A101,satpek!$B$20:$L$138,10,0)</f>
        <v>1038376.6732999999</v>
      </c>
      <c r="Q101" s="1952">
        <f t="shared" ref="Q101:Q103" si="85">O101*G101</f>
        <v>5243342.7414599983</v>
      </c>
      <c r="R101" s="1952">
        <f t="shared" ref="R101:R103" si="86">N101*L101</f>
        <v>5924977.3075134903</v>
      </c>
      <c r="S101" s="3282">
        <f t="shared" ref="S101:S103" si="87">L101-R101</f>
        <v>441510.96248650923</v>
      </c>
      <c r="V101" s="1958">
        <v>5.7059999999999986</v>
      </c>
      <c r="W101" s="1958"/>
      <c r="X101" s="1958">
        <f t="shared" si="66"/>
        <v>0</v>
      </c>
      <c r="Y101" s="2127" t="s">
        <v>1905</v>
      </c>
      <c r="AC101" s="2127"/>
      <c r="AD101" s="2127"/>
      <c r="AE101" s="2127"/>
      <c r="AF101" s="1910">
        <v>1191397.42</v>
      </c>
      <c r="AG101" s="2128">
        <f t="shared" si="67"/>
        <v>75644.129999999888</v>
      </c>
    </row>
    <row r="102" spans="1:33" ht="21.95" customHeight="1" x14ac:dyDescent="0.2">
      <c r="A102" s="1910">
        <f>satpek!$B$41</f>
        <v>22</v>
      </c>
      <c r="B102" s="2131">
        <f>B101+1</f>
        <v>2</v>
      </c>
      <c r="C102" s="2132"/>
      <c r="D102" s="2133" t="str">
        <f>VLOOKUP($A102,satpek!$B$20:$N$144,2,0)</f>
        <v>Pembesian 1 kg dengan besi polos atau besi ulir</v>
      </c>
      <c r="E102" s="2133"/>
      <c r="F102" s="2134"/>
      <c r="G102" s="1945">
        <f>'[3]B.VOL RAB'!Q174</f>
        <v>1272.2671760379098</v>
      </c>
      <c r="H102" s="2456" t="str">
        <f>VLOOKUP($A102,satpek!$B$20:$N$144,7,0)</f>
        <v>kg</v>
      </c>
      <c r="I102" s="3281" t="str">
        <f>VLOOKUP($A102,satpek!$B$20:$N$144,5,0)</f>
        <v>A.4.1.1.17.</v>
      </c>
      <c r="J102" s="1951">
        <f>VLOOKUP($A102,satpek!$B$20:$N$144,6,0)</f>
        <v>15603.94</v>
      </c>
      <c r="K102" s="3273"/>
      <c r="L102" s="1952">
        <f t="shared" si="84"/>
        <v>19852380.68</v>
      </c>
      <c r="M102" s="1967"/>
      <c r="N102" s="2458">
        <f>VLOOKUP($A102,satpek!$B$20:$L$138,8,0)</f>
        <v>0.46415793062521393</v>
      </c>
      <c r="O102" s="1954">
        <f>VLOOKUP($A102,satpek!$B$20:$L$138,9,0)</f>
        <v>7242.692500000001</v>
      </c>
      <c r="P102" s="1954">
        <f>VLOOKUP($A102,satpek!$B$20:$L$138,10,0)</f>
        <v>8184.2425250000015</v>
      </c>
      <c r="Q102" s="1952">
        <f t="shared" si="85"/>
        <v>9214639.9338859506</v>
      </c>
      <c r="R102" s="1952">
        <f t="shared" si="86"/>
        <v>9214639.9344127774</v>
      </c>
      <c r="S102" s="3282">
        <f t="shared" si="87"/>
        <v>10637740.745587222</v>
      </c>
      <c r="V102" s="1958">
        <v>1272.2671760379098</v>
      </c>
      <c r="W102" s="1958"/>
      <c r="X102" s="1958">
        <f t="shared" si="66"/>
        <v>0</v>
      </c>
      <c r="Y102" s="2127" t="s">
        <v>420</v>
      </c>
      <c r="AC102" s="2127"/>
      <c r="AD102" s="2127"/>
      <c r="AE102" s="2127"/>
      <c r="AF102" s="1910">
        <v>15438.06</v>
      </c>
      <c r="AG102" s="2128">
        <f t="shared" si="67"/>
        <v>-165.88000000000102</v>
      </c>
    </row>
    <row r="103" spans="1:33" ht="21.95" customHeight="1" x14ac:dyDescent="0.2">
      <c r="A103" s="1910">
        <f>satpek!$B$45</f>
        <v>26</v>
      </c>
      <c r="B103" s="2131">
        <f>B102+1</f>
        <v>3</v>
      </c>
      <c r="C103" s="2132"/>
      <c r="D103" s="2133" t="str">
        <f>VLOOKUP($A103,satpek!$B$20:$N$144,2,0)</f>
        <v>Memasang bekisting untuk balok (2x pakai)</v>
      </c>
      <c r="E103" s="2133"/>
      <c r="F103" s="2134"/>
      <c r="G103" s="1945">
        <f>'[3]B.VOL RAB'!Q176</f>
        <v>95.09999999999998</v>
      </c>
      <c r="H103" s="2456" t="str">
        <f>VLOOKUP($A103,satpek!$B$20:$N$144,7,0)</f>
        <v>m2</v>
      </c>
      <c r="I103" s="3281" t="str">
        <f>VLOOKUP($A103,satpek!$B$20:$N$144,5,0)</f>
        <v>A.4.1.1.23.</v>
      </c>
      <c r="J103" s="1951">
        <f>VLOOKUP($A103,satpek!$B$20:$N$144,6,0)</f>
        <v>194762.28</v>
      </c>
      <c r="K103" s="3273"/>
      <c r="L103" s="1952">
        <f t="shared" si="84"/>
        <v>18521892.829999998</v>
      </c>
      <c r="M103" s="1967"/>
      <c r="N103" s="2458">
        <f>VLOOKUP($A103,satpek!$B$20:$L$138,8,0)</f>
        <v>0.83069925038873027</v>
      </c>
      <c r="O103" s="1954">
        <f>VLOOKUP($A103,satpek!$B$20:$L$138,9,0)</f>
        <v>143176</v>
      </c>
      <c r="P103" s="1954">
        <f>VLOOKUP($A103,satpek!$B$20:$L$138,10,0)</f>
        <v>161788.88</v>
      </c>
      <c r="Q103" s="1952">
        <f t="shared" si="85"/>
        <v>13616037.599999998</v>
      </c>
      <c r="R103" s="1952">
        <f t="shared" si="86"/>
        <v>15386122.489661396</v>
      </c>
      <c r="S103" s="3282">
        <f t="shared" si="87"/>
        <v>3135770.3403386027</v>
      </c>
      <c r="V103" s="1958">
        <v>95.09999999999998</v>
      </c>
      <c r="W103" s="1958"/>
      <c r="X103" s="1958">
        <f t="shared" si="66"/>
        <v>0</v>
      </c>
      <c r="Y103" s="2127" t="s">
        <v>1909</v>
      </c>
      <c r="AC103" s="2127"/>
      <c r="AD103" s="2127"/>
      <c r="AE103" s="2127"/>
      <c r="AF103" s="1910">
        <v>195923.91999999998</v>
      </c>
      <c r="AG103" s="2128">
        <f t="shared" si="67"/>
        <v>1161.6399999999849</v>
      </c>
    </row>
    <row r="104" spans="1:33" ht="21.95" customHeight="1" x14ac:dyDescent="0.2">
      <c r="B104" s="2131"/>
      <c r="C104" s="2132"/>
      <c r="D104" s="2133"/>
      <c r="E104" s="2133"/>
      <c r="F104" s="2134"/>
      <c r="G104" s="1945"/>
      <c r="H104" s="3314"/>
      <c r="I104" s="3281"/>
      <c r="J104" s="1951"/>
      <c r="K104" s="2095"/>
      <c r="L104" s="1952"/>
      <c r="M104" s="1967"/>
      <c r="N104" s="3315"/>
      <c r="O104" s="3316"/>
      <c r="P104" s="3316"/>
      <c r="Q104" s="3317"/>
      <c r="R104" s="3318"/>
      <c r="S104" s="3319"/>
      <c r="V104" s="1958"/>
      <c r="W104" s="1958"/>
      <c r="X104" s="1958">
        <f t="shared" si="66"/>
        <v>0</v>
      </c>
      <c r="AC104" s="2127"/>
      <c r="AD104" s="2127"/>
      <c r="AE104" s="2127"/>
      <c r="AG104" s="2128">
        <f t="shared" si="67"/>
        <v>0</v>
      </c>
    </row>
    <row r="105" spans="1:33" ht="21.95" customHeight="1" x14ac:dyDescent="0.2">
      <c r="B105" s="3320"/>
      <c r="C105" s="3321"/>
      <c r="D105" s="3304" t="s">
        <v>1793</v>
      </c>
      <c r="E105" s="3268"/>
      <c r="F105" s="3269"/>
      <c r="G105" s="1945"/>
      <c r="H105" s="3271"/>
      <c r="I105" s="3272"/>
      <c r="J105" s="1951"/>
      <c r="K105" s="2066"/>
      <c r="L105" s="2067"/>
      <c r="M105" s="1967"/>
      <c r="N105" s="3276"/>
      <c r="O105" s="3277"/>
      <c r="P105" s="3277"/>
      <c r="Q105" s="3278"/>
      <c r="R105" s="3295"/>
      <c r="S105" s="3280"/>
      <c r="V105" s="1958"/>
      <c r="W105" s="1958"/>
      <c r="X105" s="1958">
        <f t="shared" si="66"/>
        <v>0</v>
      </c>
      <c r="Y105" s="2127" t="s">
        <v>1793</v>
      </c>
      <c r="AC105" s="2127"/>
      <c r="AD105" s="2127"/>
      <c r="AE105" s="2127"/>
      <c r="AG105" s="2128">
        <f t="shared" si="67"/>
        <v>0</v>
      </c>
    </row>
    <row r="106" spans="1:33" ht="21.95" customHeight="1" x14ac:dyDescent="0.2">
      <c r="B106" s="3320"/>
      <c r="C106" s="3321"/>
      <c r="D106" s="3304" t="s">
        <v>1794</v>
      </c>
      <c r="E106" s="3268"/>
      <c r="F106" s="3269"/>
      <c r="G106" s="1945"/>
      <c r="H106" s="3271"/>
      <c r="I106" s="3272"/>
      <c r="J106" s="1951"/>
      <c r="K106" s="2066"/>
      <c r="L106" s="2067"/>
      <c r="M106" s="1967"/>
      <c r="N106" s="3276"/>
      <c r="O106" s="3277"/>
      <c r="P106" s="3277"/>
      <c r="Q106" s="3278"/>
      <c r="R106" s="3295"/>
      <c r="S106" s="3280"/>
      <c r="V106" s="1958"/>
      <c r="W106" s="1958"/>
      <c r="X106" s="1958">
        <f t="shared" si="66"/>
        <v>0</v>
      </c>
      <c r="Y106" s="2127" t="s">
        <v>1794</v>
      </c>
      <c r="AC106" s="2127"/>
      <c r="AD106" s="2127"/>
      <c r="AE106" s="2127"/>
      <c r="AG106" s="2128">
        <f t="shared" si="67"/>
        <v>0</v>
      </c>
    </row>
    <row r="107" spans="1:33" ht="21.95" customHeight="1" x14ac:dyDescent="0.2">
      <c r="A107" s="1910">
        <f>satpek!$B$40</f>
        <v>21</v>
      </c>
      <c r="B107" s="2131">
        <v>1</v>
      </c>
      <c r="C107" s="2132"/>
      <c r="D107" s="2133" t="str">
        <f>VLOOKUP($A107,satpek!$B$20:$N$144,2,0)</f>
        <v>Membuat beton mutu f'c = 21,7 Mpa - K 250</v>
      </c>
      <c r="E107" s="2133"/>
      <c r="F107" s="2134"/>
      <c r="G107" s="1945">
        <f>'[3]B.VOL RAB'!Q181</f>
        <v>74.461199999999977</v>
      </c>
      <c r="H107" s="2456" t="str">
        <f>VLOOKUP($A107,satpek!$B$20:$N$144,7,0)</f>
        <v>m3</v>
      </c>
      <c r="I107" s="3281" t="str">
        <f>VLOOKUP($A107,satpek!$B$20:$N$144,5,0)</f>
        <v>A.4.1.1.8.</v>
      </c>
      <c r="J107" s="1951">
        <f>VLOOKUP($A107,satpek!$B$20:$N$144,6,0)</f>
        <v>1115753.29</v>
      </c>
      <c r="K107" s="3273"/>
      <c r="L107" s="1952">
        <f t="shared" ref="L107:L109" si="88">ROUND((G107*J107),2)</f>
        <v>83080328.879999995</v>
      </c>
      <c r="M107" s="1967"/>
      <c r="N107" s="2458">
        <f>VLOOKUP($A107,satpek!$B$20:$L$138,8,0)</f>
        <v>0.93065078521121514</v>
      </c>
      <c r="O107" s="1954">
        <f>VLOOKUP($A107,satpek!$B$20:$L$138,9,0)</f>
        <v>918917.40999999992</v>
      </c>
      <c r="P107" s="1954">
        <f>VLOOKUP($A107,satpek!$B$20:$L$138,10,0)</f>
        <v>1038376.6732999999</v>
      </c>
      <c r="Q107" s="1952">
        <f t="shared" ref="Q107:Q109" si="89">O107*G107</f>
        <v>68423693.049491972</v>
      </c>
      <c r="R107" s="1952">
        <f t="shared" ref="R107:R109" si="90">N107*L107</f>
        <v>77318773.307777986</v>
      </c>
      <c r="S107" s="3282">
        <f t="shared" ref="S107:S109" si="91">L107-R107</f>
        <v>5761555.5722220093</v>
      </c>
      <c r="V107" s="1958">
        <v>74.461199999999977</v>
      </c>
      <c r="W107" s="1958"/>
      <c r="X107" s="1958">
        <f t="shared" si="66"/>
        <v>0</v>
      </c>
      <c r="Y107" s="2127" t="s">
        <v>1905</v>
      </c>
      <c r="AC107" s="2127"/>
      <c r="AD107" s="2127"/>
      <c r="AE107" s="2127"/>
      <c r="AF107" s="1910">
        <v>1191397.42</v>
      </c>
      <c r="AG107" s="2128">
        <f t="shared" si="67"/>
        <v>75644.129999999888</v>
      </c>
    </row>
    <row r="108" spans="1:33" ht="21.95" customHeight="1" x14ac:dyDescent="0.2">
      <c r="A108" s="1910">
        <f>satpek!$B$41</f>
        <v>22</v>
      </c>
      <c r="B108" s="2131">
        <f>B107+1</f>
        <v>2</v>
      </c>
      <c r="C108" s="2132"/>
      <c r="D108" s="2133" t="str">
        <f>VLOOKUP($A108,satpek!$B$20:$N$144,2,0)</f>
        <v>Pembesian 1 kg dengan besi polos atau besi ulir</v>
      </c>
      <c r="E108" s="2133"/>
      <c r="F108" s="2134"/>
      <c r="G108" s="1945">
        <f>'[3]B.VOL RAB'!Q183</f>
        <v>6158.315468184197</v>
      </c>
      <c r="H108" s="2456" t="str">
        <f>VLOOKUP($A108,satpek!$B$20:$N$144,7,0)</f>
        <v>kg</v>
      </c>
      <c r="I108" s="3281" t="str">
        <f>VLOOKUP($A108,satpek!$B$20:$N$144,5,0)</f>
        <v>A.4.1.1.17.</v>
      </c>
      <c r="J108" s="1951">
        <f>VLOOKUP($A108,satpek!$B$20:$N$144,6,0)</f>
        <v>15603.94</v>
      </c>
      <c r="K108" s="3273"/>
      <c r="L108" s="1952">
        <f t="shared" si="88"/>
        <v>96093985.069999993</v>
      </c>
      <c r="M108" s="1967"/>
      <c r="N108" s="2458">
        <f>VLOOKUP($A108,satpek!$B$20:$L$138,8,0)</f>
        <v>0.46415793062521393</v>
      </c>
      <c r="O108" s="1954">
        <f>VLOOKUP($A108,satpek!$B$20:$L$138,9,0)</f>
        <v>7242.692500000001</v>
      </c>
      <c r="P108" s="1954">
        <f>VLOOKUP($A108,satpek!$B$20:$L$138,10,0)</f>
        <v>8184.2425250000015</v>
      </c>
      <c r="Q108" s="1952">
        <f t="shared" si="89"/>
        <v>44602785.254051678</v>
      </c>
      <c r="R108" s="1952">
        <f t="shared" si="90"/>
        <v>44602785.255621403</v>
      </c>
      <c r="S108" s="3282">
        <f t="shared" si="91"/>
        <v>51491199.814378589</v>
      </c>
      <c r="V108" s="1958">
        <v>6158.315468184197</v>
      </c>
      <c r="W108" s="1958"/>
      <c r="X108" s="1958">
        <f t="shared" si="66"/>
        <v>0</v>
      </c>
      <c r="Y108" s="2127" t="s">
        <v>420</v>
      </c>
      <c r="AC108" s="2127"/>
      <c r="AD108" s="2127"/>
      <c r="AE108" s="2127"/>
      <c r="AF108" s="1910">
        <v>15438.06</v>
      </c>
      <c r="AG108" s="2128">
        <f t="shared" si="67"/>
        <v>-165.88000000000102</v>
      </c>
    </row>
    <row r="109" spans="1:33" ht="21.95" customHeight="1" x14ac:dyDescent="0.2">
      <c r="A109" s="1910">
        <f>satpek!B46</f>
        <v>27</v>
      </c>
      <c r="B109" s="2131">
        <f>B108+1</f>
        <v>3</v>
      </c>
      <c r="C109" s="2132"/>
      <c r="D109" s="2133" t="str">
        <f>VLOOKUP($A109,satpek!$B$20:$N$144,2,0)</f>
        <v>Memasang bekisting untuk lantai (2x pakai)</v>
      </c>
      <c r="E109" s="2133"/>
      <c r="F109" s="2134"/>
      <c r="G109" s="1945">
        <f>'[3]B.VOL RAB'!Q187</f>
        <v>732.87119999999982</v>
      </c>
      <c r="H109" s="2456" t="str">
        <f>VLOOKUP($A109,satpek!$B$20:$N$144,7,0)</f>
        <v>m2</v>
      </c>
      <c r="I109" s="3281" t="str">
        <f>VLOOKUP($A109,satpek!$B$20:$N$144,5,0)</f>
        <v>A.4.1.1.24</v>
      </c>
      <c r="J109" s="1951">
        <f>VLOOKUP($A109,satpek!$B$20:$N$144,6,0)</f>
        <v>242900.28</v>
      </c>
      <c r="K109" s="3273"/>
      <c r="L109" s="1952">
        <f t="shared" si="88"/>
        <v>178014619.68000001</v>
      </c>
      <c r="M109" s="1967"/>
      <c r="N109" s="2458">
        <f>VLOOKUP($A109,satpek!$B$20:$L$138,8,0)</f>
        <v>0.76655687675617334</v>
      </c>
      <c r="O109" s="1954">
        <f>VLOOKUP($A109,satpek!$B$20:$L$138,9,0)</f>
        <v>164776</v>
      </c>
      <c r="P109" s="1954">
        <f>VLOOKUP($A109,satpek!$B$20:$L$138,10,0)</f>
        <v>186196.88</v>
      </c>
      <c r="Q109" s="1952">
        <f t="shared" si="89"/>
        <v>120759584.85119997</v>
      </c>
      <c r="R109" s="1952">
        <f t="shared" si="90"/>
        <v>136458330.87883884</v>
      </c>
      <c r="S109" s="3282">
        <f t="shared" si="91"/>
        <v>41556288.80116117</v>
      </c>
      <c r="V109" s="1958">
        <v>732.87119999999982</v>
      </c>
      <c r="W109" s="1958"/>
      <c r="X109" s="1958">
        <f t="shared" si="66"/>
        <v>0</v>
      </c>
      <c r="Y109" s="2127" t="s">
        <v>1910</v>
      </c>
      <c r="AC109" s="2127"/>
      <c r="AD109" s="2127"/>
      <c r="AE109" s="2127"/>
      <c r="AF109" s="1910">
        <v>220331.91999999998</v>
      </c>
      <c r="AG109" s="2128">
        <f t="shared" si="67"/>
        <v>-22568.360000000015</v>
      </c>
    </row>
    <row r="110" spans="1:33" ht="21.95" customHeight="1" x14ac:dyDescent="0.2">
      <c r="B110" s="3320"/>
      <c r="C110" s="3321"/>
      <c r="D110" s="3304" t="s">
        <v>1795</v>
      </c>
      <c r="E110" s="3268"/>
      <c r="F110" s="3269"/>
      <c r="G110" s="1945"/>
      <c r="H110" s="3271"/>
      <c r="I110" s="3272"/>
      <c r="J110" s="1951"/>
      <c r="K110" s="2066"/>
      <c r="L110" s="2067"/>
      <c r="M110" s="1967"/>
      <c r="N110" s="3276"/>
      <c r="O110" s="3277"/>
      <c r="P110" s="3277"/>
      <c r="Q110" s="3278"/>
      <c r="R110" s="3295"/>
      <c r="S110" s="3280"/>
      <c r="V110" s="1958"/>
      <c r="W110" s="1958"/>
      <c r="X110" s="1958">
        <f t="shared" si="66"/>
        <v>0</v>
      </c>
      <c r="Y110" s="2127" t="s">
        <v>1795</v>
      </c>
      <c r="AC110" s="2127"/>
      <c r="AD110" s="2127"/>
      <c r="AE110" s="2127"/>
      <c r="AG110" s="2128">
        <f t="shared" si="67"/>
        <v>0</v>
      </c>
    </row>
    <row r="111" spans="1:33" ht="21.95" customHeight="1" x14ac:dyDescent="0.2">
      <c r="A111" s="1910">
        <f>satpek!$B$40</f>
        <v>21</v>
      </c>
      <c r="B111" s="2131">
        <v>1</v>
      </c>
      <c r="C111" s="2132"/>
      <c r="D111" s="2133" t="str">
        <f>VLOOKUP($A111,satpek!$B$20:$N$144,2,0)</f>
        <v>Membuat beton mutu f'c = 21,7 Mpa - K 250</v>
      </c>
      <c r="E111" s="2133"/>
      <c r="F111" s="2134"/>
      <c r="G111" s="1945">
        <f>'[3]B.VOL RAB'!Q191</f>
        <v>1.7711999999999999</v>
      </c>
      <c r="H111" s="2456" t="str">
        <f>VLOOKUP($A111,satpek!$B$20:$N$144,7,0)</f>
        <v>m3</v>
      </c>
      <c r="I111" s="3281" t="str">
        <f>VLOOKUP($A111,satpek!$B$20:$N$144,5,0)</f>
        <v>A.4.1.1.8.</v>
      </c>
      <c r="J111" s="1951">
        <f>VLOOKUP($A111,satpek!$B$20:$N$144,6,0)</f>
        <v>1115753.29</v>
      </c>
      <c r="K111" s="3273"/>
      <c r="L111" s="1952">
        <f t="shared" ref="L111:L113" si="92">ROUND((G111*J111),2)</f>
        <v>1976222.23</v>
      </c>
      <c r="M111" s="1967"/>
      <c r="N111" s="2458">
        <f>VLOOKUP($A111,satpek!$B$20:$L$138,8,0)</f>
        <v>0.93065078521121514</v>
      </c>
      <c r="O111" s="1954">
        <f>VLOOKUP($A111,satpek!$B$20:$L$138,9,0)</f>
        <v>918917.40999999992</v>
      </c>
      <c r="P111" s="1954">
        <f>VLOOKUP($A111,satpek!$B$20:$L$138,10,0)</f>
        <v>1038376.6732999999</v>
      </c>
      <c r="Q111" s="1952">
        <f t="shared" ref="Q111:Q113" si="93">O111*G111</f>
        <v>1627586.5165919997</v>
      </c>
      <c r="R111" s="1952">
        <f t="shared" ref="R111:R113" si="94">N111*L111</f>
        <v>1839172.7701013586</v>
      </c>
      <c r="S111" s="3282">
        <f t="shared" ref="S111:S113" si="95">L111-R111</f>
        <v>137049.45989864133</v>
      </c>
      <c r="V111" s="1958">
        <v>1.7711999999999999</v>
      </c>
      <c r="W111" s="1958"/>
      <c r="X111" s="1958">
        <f t="shared" si="66"/>
        <v>0</v>
      </c>
      <c r="Y111" s="2127" t="s">
        <v>1905</v>
      </c>
      <c r="AC111" s="2127"/>
      <c r="AD111" s="2127"/>
      <c r="AE111" s="2127"/>
      <c r="AF111" s="1910">
        <v>1191397.42</v>
      </c>
      <c r="AG111" s="2128">
        <f t="shared" si="67"/>
        <v>75644.129999999888</v>
      </c>
    </row>
    <row r="112" spans="1:33" ht="21.95" customHeight="1" x14ac:dyDescent="0.2">
      <c r="A112" s="1910">
        <f>satpek!$B$41</f>
        <v>22</v>
      </c>
      <c r="B112" s="2131">
        <f>B111+1</f>
        <v>2</v>
      </c>
      <c r="C112" s="2132"/>
      <c r="D112" s="2133" t="str">
        <f>VLOOKUP($A112,satpek!$B$20:$N$144,2,0)</f>
        <v>Pembesian 1 kg dengan besi polos atau besi ulir</v>
      </c>
      <c r="E112" s="2133"/>
      <c r="F112" s="2134"/>
      <c r="G112" s="1945">
        <f>'[3]B.VOL RAB'!Q194</f>
        <v>210.41193788536071</v>
      </c>
      <c r="H112" s="2456" t="str">
        <f>VLOOKUP($A112,satpek!$B$20:$N$144,7,0)</f>
        <v>kg</v>
      </c>
      <c r="I112" s="3281" t="str">
        <f>VLOOKUP($A112,satpek!$B$20:$N$144,5,0)</f>
        <v>A.4.1.1.17.</v>
      </c>
      <c r="J112" s="1951">
        <f>VLOOKUP($A112,satpek!$B$20:$N$144,6,0)</f>
        <v>15603.94</v>
      </c>
      <c r="K112" s="3273"/>
      <c r="L112" s="1952">
        <f t="shared" si="92"/>
        <v>3283255.25</v>
      </c>
      <c r="M112" s="1967"/>
      <c r="N112" s="2458">
        <f>VLOOKUP($A112,satpek!$B$20:$L$138,8,0)</f>
        <v>0.46415793062521393</v>
      </c>
      <c r="O112" s="1954">
        <f>VLOOKUP($A112,satpek!$B$20:$L$138,9,0)</f>
        <v>7242.692500000001</v>
      </c>
      <c r="P112" s="1954">
        <f>VLOOKUP($A112,satpek!$B$20:$L$138,10,0)</f>
        <v>8184.2425250000015</v>
      </c>
      <c r="Q112" s="1952">
        <f t="shared" si="93"/>
        <v>1523948.9644327681</v>
      </c>
      <c r="R112" s="1952">
        <f t="shared" si="94"/>
        <v>1523948.9625543694</v>
      </c>
      <c r="S112" s="3282">
        <f t="shared" si="95"/>
        <v>1759306.2874456306</v>
      </c>
      <c r="V112" s="1958">
        <v>210.41193788536071</v>
      </c>
      <c r="W112" s="1958"/>
      <c r="X112" s="1958">
        <f t="shared" si="66"/>
        <v>0</v>
      </c>
      <c r="Y112" s="2127" t="s">
        <v>420</v>
      </c>
      <c r="AC112" s="2127"/>
      <c r="AD112" s="2127"/>
      <c r="AE112" s="2127"/>
      <c r="AF112" s="1910">
        <v>15438.06</v>
      </c>
      <c r="AG112" s="2128">
        <f t="shared" si="67"/>
        <v>-165.88000000000102</v>
      </c>
    </row>
    <row r="113" spans="1:33" ht="21.95" customHeight="1" x14ac:dyDescent="0.2">
      <c r="A113" s="1910">
        <f>satpek!$B$46</f>
        <v>27</v>
      </c>
      <c r="B113" s="2131">
        <f>B112+1</f>
        <v>3</v>
      </c>
      <c r="C113" s="2132"/>
      <c r="D113" s="2133" t="str">
        <f>VLOOKUP($A113,satpek!$B$20:$N$144,2,0)</f>
        <v>Memasang bekisting untuk lantai (2x pakai)</v>
      </c>
      <c r="E113" s="2133"/>
      <c r="F113" s="2134"/>
      <c r="G113" s="1945">
        <f>'[3]B.VOL RAB'!Q197</f>
        <v>18.216000000000001</v>
      </c>
      <c r="H113" s="2456" t="str">
        <f>VLOOKUP($A113,satpek!$B$20:$N$144,7,0)</f>
        <v>m2</v>
      </c>
      <c r="I113" s="3281" t="str">
        <f>VLOOKUP($A113,satpek!$B$20:$N$144,5,0)</f>
        <v>A.4.1.1.24</v>
      </c>
      <c r="J113" s="1951">
        <f>VLOOKUP($A113,satpek!$B$20:$N$144,6,0)</f>
        <v>242900.28</v>
      </c>
      <c r="K113" s="3273"/>
      <c r="L113" s="1952">
        <f t="shared" si="92"/>
        <v>4424671.5</v>
      </c>
      <c r="M113" s="1967"/>
      <c r="N113" s="2458">
        <f>VLOOKUP($A113,satpek!$B$20:$L$138,8,0)</f>
        <v>0.76655687675617334</v>
      </c>
      <c r="O113" s="1954">
        <f>VLOOKUP($A113,satpek!$B$20:$L$138,9,0)</f>
        <v>164776</v>
      </c>
      <c r="P113" s="1954">
        <f>VLOOKUP($A113,satpek!$B$20:$L$138,10,0)</f>
        <v>186196.88</v>
      </c>
      <c r="Q113" s="1952">
        <f t="shared" si="93"/>
        <v>3001559.6160000004</v>
      </c>
      <c r="R113" s="1952">
        <f t="shared" si="94"/>
        <v>3391762.3657120527</v>
      </c>
      <c r="S113" s="3282">
        <f t="shared" si="95"/>
        <v>1032909.1342879473</v>
      </c>
      <c r="V113" s="1958">
        <v>18.216000000000001</v>
      </c>
      <c r="W113" s="1958"/>
      <c r="X113" s="1958">
        <f t="shared" si="66"/>
        <v>0</v>
      </c>
      <c r="Y113" s="2127" t="s">
        <v>1910</v>
      </c>
      <c r="AC113" s="2127"/>
      <c r="AD113" s="2127"/>
      <c r="AE113" s="2127"/>
      <c r="AF113" s="1910">
        <v>220331.91999999998</v>
      </c>
      <c r="AG113" s="2128">
        <f t="shared" si="67"/>
        <v>-22568.360000000015</v>
      </c>
    </row>
    <row r="114" spans="1:33" ht="21.95" customHeight="1" x14ac:dyDescent="0.2">
      <c r="B114" s="3320"/>
      <c r="C114" s="3321"/>
      <c r="D114" s="3304" t="s">
        <v>1796</v>
      </c>
      <c r="E114" s="3268"/>
      <c r="F114" s="3269"/>
      <c r="G114" s="1945"/>
      <c r="H114" s="3271"/>
      <c r="I114" s="3272"/>
      <c r="J114" s="1951"/>
      <c r="K114" s="2066"/>
      <c r="L114" s="2067"/>
      <c r="M114" s="1967"/>
      <c r="N114" s="3276"/>
      <c r="O114" s="3277"/>
      <c r="P114" s="3277"/>
      <c r="Q114" s="3278"/>
      <c r="R114" s="3295"/>
      <c r="S114" s="3280"/>
      <c r="V114" s="1958"/>
      <c r="W114" s="1958"/>
      <c r="X114" s="1958">
        <f t="shared" si="66"/>
        <v>0</v>
      </c>
      <c r="Y114" s="2127" t="s">
        <v>1796</v>
      </c>
      <c r="AC114" s="2127"/>
      <c r="AD114" s="2127"/>
      <c r="AE114" s="2127"/>
      <c r="AG114" s="2128">
        <f t="shared" si="67"/>
        <v>0</v>
      </c>
    </row>
    <row r="115" spans="1:33" ht="21.95" customHeight="1" x14ac:dyDescent="0.2">
      <c r="A115" s="1910">
        <f>satpek!$B$40</f>
        <v>21</v>
      </c>
      <c r="B115" s="2131">
        <v>1</v>
      </c>
      <c r="C115" s="2132"/>
      <c r="D115" s="2133" t="str">
        <f>VLOOKUP($A115,satpek!$B$20:$N$144,2,0)</f>
        <v>Membuat beton mutu f'c = 21,7 Mpa - K 250</v>
      </c>
      <c r="E115" s="2133"/>
      <c r="F115" s="2134"/>
      <c r="G115" s="1945">
        <f>'[3]B.VOL RAB'!Q201</f>
        <v>9.516</v>
      </c>
      <c r="H115" s="2456" t="str">
        <f>VLOOKUP($A115,satpek!$B$20:$N$144,7,0)</f>
        <v>m3</v>
      </c>
      <c r="I115" s="3281" t="str">
        <f>VLOOKUP($A115,satpek!$B$20:$N$144,5,0)</f>
        <v>A.4.1.1.8.</v>
      </c>
      <c r="J115" s="1951">
        <f>VLOOKUP($A115,satpek!$B$20:$N$144,6,0)</f>
        <v>1115753.29</v>
      </c>
      <c r="K115" s="3273"/>
      <c r="L115" s="1952">
        <f t="shared" ref="L115:L117" si="96">ROUND((G115*J115),2)</f>
        <v>10617508.310000001</v>
      </c>
      <c r="M115" s="1967"/>
      <c r="N115" s="2458">
        <f>VLOOKUP($A115,satpek!$B$20:$L$138,8,0)</f>
        <v>0.93065078521121514</v>
      </c>
      <c r="O115" s="1954">
        <f>VLOOKUP($A115,satpek!$B$20:$L$138,9,0)</f>
        <v>918917.40999999992</v>
      </c>
      <c r="P115" s="1954">
        <f>VLOOKUP($A115,satpek!$B$20:$L$138,10,0)</f>
        <v>1038376.6732999999</v>
      </c>
      <c r="Q115" s="1952">
        <f t="shared" ref="Q115:Q117" si="97">O115*G115</f>
        <v>8744418.0735599995</v>
      </c>
      <c r="R115" s="1952">
        <f t="shared" ref="R115:R117" si="98">N115*L115</f>
        <v>9881192.4456881024</v>
      </c>
      <c r="S115" s="3282">
        <f t="shared" ref="S115:S117" si="99">L115-R115</f>
        <v>736315.86431189813</v>
      </c>
      <c r="V115" s="1958">
        <v>9.516</v>
      </c>
      <c r="W115" s="1958"/>
      <c r="X115" s="1958">
        <f t="shared" si="66"/>
        <v>0</v>
      </c>
      <c r="Y115" s="2127" t="s">
        <v>1905</v>
      </c>
      <c r="AC115" s="2127"/>
      <c r="AD115" s="2127"/>
      <c r="AE115" s="2127"/>
      <c r="AF115" s="1910">
        <v>1191397.42</v>
      </c>
      <c r="AG115" s="2128">
        <f t="shared" si="67"/>
        <v>75644.129999999888</v>
      </c>
    </row>
    <row r="116" spans="1:33" ht="21.95" customHeight="1" x14ac:dyDescent="0.2">
      <c r="A116" s="1910">
        <f>satpek!$B$41</f>
        <v>22</v>
      </c>
      <c r="B116" s="2131">
        <f>B115+1</f>
        <v>2</v>
      </c>
      <c r="C116" s="2132"/>
      <c r="D116" s="2133" t="str">
        <f>VLOOKUP($A116,satpek!$B$20:$N$144,2,0)</f>
        <v>Pembesian 1 kg dengan besi polos atau besi ulir</v>
      </c>
      <c r="E116" s="2133"/>
      <c r="F116" s="2134"/>
      <c r="G116" s="1945">
        <f>'[3]B.VOL RAB'!Q203</f>
        <v>1212.5413331559116</v>
      </c>
      <c r="H116" s="2456" t="str">
        <f>VLOOKUP($A116,satpek!$B$20:$N$144,7,0)</f>
        <v>kg</v>
      </c>
      <c r="I116" s="3281" t="str">
        <f>VLOOKUP($A116,satpek!$B$20:$N$144,5,0)</f>
        <v>A.4.1.1.17.</v>
      </c>
      <c r="J116" s="1951">
        <f>VLOOKUP($A116,satpek!$B$20:$N$144,6,0)</f>
        <v>15603.94</v>
      </c>
      <c r="K116" s="3273"/>
      <c r="L116" s="1952">
        <f t="shared" si="96"/>
        <v>18920422.210000001</v>
      </c>
      <c r="M116" s="1967"/>
      <c r="N116" s="2458">
        <f>VLOOKUP($A116,satpek!$B$20:$L$138,8,0)</f>
        <v>0.46415793062521393</v>
      </c>
      <c r="O116" s="1954">
        <f>VLOOKUP($A116,satpek!$B$20:$L$138,9,0)</f>
        <v>7242.692500000001</v>
      </c>
      <c r="P116" s="1954">
        <f>VLOOKUP($A116,satpek!$B$20:$L$138,10,0)</f>
        <v>8184.2425250000015</v>
      </c>
      <c r="Q116" s="1952">
        <f t="shared" si="97"/>
        <v>8782064.0195883233</v>
      </c>
      <c r="R116" s="1952">
        <f t="shared" si="98"/>
        <v>8782064.0195489377</v>
      </c>
      <c r="S116" s="3282">
        <f t="shared" si="99"/>
        <v>10138358.190451063</v>
      </c>
      <c r="V116" s="1958">
        <v>1212.5413331559116</v>
      </c>
      <c r="W116" s="1958"/>
      <c r="X116" s="1958">
        <f t="shared" si="66"/>
        <v>0</v>
      </c>
      <c r="Y116" s="2127" t="s">
        <v>420</v>
      </c>
      <c r="AC116" s="2127"/>
      <c r="AD116" s="2127"/>
      <c r="AE116" s="2127"/>
      <c r="AF116" s="1910">
        <v>15438.06</v>
      </c>
      <c r="AG116" s="2128">
        <f t="shared" si="67"/>
        <v>-165.88000000000102</v>
      </c>
    </row>
    <row r="117" spans="1:33" ht="21.95" customHeight="1" x14ac:dyDescent="0.2">
      <c r="A117" s="1910">
        <f>satpek!$B$46</f>
        <v>27</v>
      </c>
      <c r="B117" s="2131">
        <f>B116+1</f>
        <v>3</v>
      </c>
      <c r="C117" s="2132"/>
      <c r="D117" s="2133" t="str">
        <f>VLOOKUP($A117,satpek!$B$20:$N$144,2,0)</f>
        <v>Memasang bekisting untuk lantai (2x pakai)</v>
      </c>
      <c r="E117" s="2133"/>
      <c r="F117" s="2134"/>
      <c r="G117" s="1945">
        <f>'[3]B.VOL RAB'!Q207</f>
        <v>108.73599999999999</v>
      </c>
      <c r="H117" s="2456" t="str">
        <f>VLOOKUP($A117,satpek!$B$20:$N$144,7,0)</f>
        <v>m2</v>
      </c>
      <c r="I117" s="3281" t="str">
        <f>VLOOKUP($A117,satpek!$B$20:$N$144,5,0)</f>
        <v>A.4.1.1.24</v>
      </c>
      <c r="J117" s="1951">
        <f>VLOOKUP($A117,satpek!$B$20:$N$144,6,0)</f>
        <v>242900.28</v>
      </c>
      <c r="K117" s="3273"/>
      <c r="L117" s="1952">
        <f t="shared" si="96"/>
        <v>26412004.850000001</v>
      </c>
      <c r="M117" s="1967"/>
      <c r="N117" s="2458">
        <f>VLOOKUP($A117,satpek!$B$20:$L$138,8,0)</f>
        <v>0.76655687675617334</v>
      </c>
      <c r="O117" s="1954">
        <f>VLOOKUP($A117,satpek!$B$20:$L$138,9,0)</f>
        <v>164776</v>
      </c>
      <c r="P117" s="1954">
        <f>VLOOKUP($A117,satpek!$B$20:$L$138,10,0)</f>
        <v>186196.88</v>
      </c>
      <c r="Q117" s="1952">
        <f t="shared" si="97"/>
        <v>17917083.136</v>
      </c>
      <c r="R117" s="1952">
        <f t="shared" si="98"/>
        <v>20246303.946684904</v>
      </c>
      <c r="S117" s="3282">
        <f t="shared" si="99"/>
        <v>6165700.9033150971</v>
      </c>
      <c r="V117" s="1958">
        <v>108.73599999999999</v>
      </c>
      <c r="W117" s="1958"/>
      <c r="X117" s="1958">
        <f t="shared" si="66"/>
        <v>0</v>
      </c>
      <c r="Y117" s="2127" t="s">
        <v>1910</v>
      </c>
      <c r="AC117" s="2127"/>
      <c r="AD117" s="2127"/>
      <c r="AE117" s="2127"/>
      <c r="AF117" s="1910">
        <v>220331.91999999998</v>
      </c>
      <c r="AG117" s="2128">
        <f t="shared" si="67"/>
        <v>-22568.360000000015</v>
      </c>
    </row>
    <row r="118" spans="1:33" ht="21.95" customHeight="1" x14ac:dyDescent="0.2">
      <c r="B118" s="3320"/>
      <c r="C118" s="3321"/>
      <c r="D118" s="3304" t="s">
        <v>1797</v>
      </c>
      <c r="E118" s="3268"/>
      <c r="F118" s="3269"/>
      <c r="G118" s="1945"/>
      <c r="H118" s="3271"/>
      <c r="I118" s="3272"/>
      <c r="J118" s="1951"/>
      <c r="K118" s="2066"/>
      <c r="L118" s="2067"/>
      <c r="M118" s="1967"/>
      <c r="N118" s="3276"/>
      <c r="O118" s="3277"/>
      <c r="P118" s="3277"/>
      <c r="Q118" s="3278"/>
      <c r="R118" s="3295"/>
      <c r="S118" s="3280"/>
      <c r="V118" s="1958"/>
      <c r="W118" s="1958"/>
      <c r="X118" s="1958">
        <f t="shared" si="66"/>
        <v>0</v>
      </c>
      <c r="Y118" s="2127" t="s">
        <v>1797</v>
      </c>
      <c r="AC118" s="2127"/>
      <c r="AD118" s="2127"/>
      <c r="AE118" s="2127"/>
      <c r="AG118" s="2128">
        <f t="shared" si="67"/>
        <v>0</v>
      </c>
    </row>
    <row r="119" spans="1:33" ht="21.95" customHeight="1" x14ac:dyDescent="0.2">
      <c r="A119" s="1910">
        <f>satpek!$B$40</f>
        <v>21</v>
      </c>
      <c r="B119" s="2131">
        <v>1</v>
      </c>
      <c r="C119" s="2132"/>
      <c r="D119" s="2133" t="str">
        <f>VLOOKUP($A119,satpek!$B$20:$N$144,2,0)</f>
        <v>Membuat beton mutu f'c = 21,7 Mpa - K 250</v>
      </c>
      <c r="E119" s="2133"/>
      <c r="F119" s="2134"/>
      <c r="G119" s="1945">
        <f>'[3]B.VOL RAB'!Q210</f>
        <v>9.3940000000000001</v>
      </c>
      <c r="H119" s="2456" t="str">
        <f>VLOOKUP($A119,satpek!$B$20:$N$144,7,0)</f>
        <v>m3</v>
      </c>
      <c r="I119" s="3281" t="str">
        <f>VLOOKUP($A119,satpek!$B$20:$N$144,5,0)</f>
        <v>A.4.1.1.8.</v>
      </c>
      <c r="J119" s="1951">
        <f>VLOOKUP($A119,satpek!$B$20:$N$144,6,0)</f>
        <v>1115753.29</v>
      </c>
      <c r="K119" s="3273"/>
      <c r="L119" s="1952">
        <f t="shared" ref="L119:L121" si="100">ROUND((G119*J119),2)</f>
        <v>10481386.41</v>
      </c>
      <c r="M119" s="1967"/>
      <c r="N119" s="2458">
        <f>VLOOKUP($A119,satpek!$B$20:$L$138,8,0)</f>
        <v>0.93065078521121514</v>
      </c>
      <c r="O119" s="1954">
        <f>VLOOKUP($A119,satpek!$B$20:$L$138,9,0)</f>
        <v>918917.40999999992</v>
      </c>
      <c r="P119" s="1954">
        <f>VLOOKUP($A119,satpek!$B$20:$L$138,10,0)</f>
        <v>1038376.6732999999</v>
      </c>
      <c r="Q119" s="1952">
        <f t="shared" ref="Q119:Q121" si="101">O119*G119</f>
        <v>8632310.1495399997</v>
      </c>
      <c r="R119" s="1952">
        <f t="shared" ref="R119:R121" si="102">N119*L119</f>
        <v>9754510.4925686587</v>
      </c>
      <c r="S119" s="3282">
        <f t="shared" ref="S119:S121" si="103">L119-R119</f>
        <v>726875.91743134148</v>
      </c>
      <c r="V119" s="1958">
        <v>9.3940000000000001</v>
      </c>
      <c r="W119" s="1958"/>
      <c r="X119" s="1958">
        <f t="shared" si="66"/>
        <v>0</v>
      </c>
      <c r="Y119" s="2127" t="s">
        <v>1905</v>
      </c>
      <c r="AC119" s="2127"/>
      <c r="AD119" s="2127"/>
      <c r="AE119" s="2127"/>
      <c r="AF119" s="1910">
        <v>1191397.42</v>
      </c>
      <c r="AG119" s="2128">
        <f t="shared" si="67"/>
        <v>75644.129999999888</v>
      </c>
    </row>
    <row r="120" spans="1:33" ht="21.95" customHeight="1" x14ac:dyDescent="0.2">
      <c r="A120" s="1910">
        <f>satpek!$B$41</f>
        <v>22</v>
      </c>
      <c r="B120" s="2131">
        <f>B119+1</f>
        <v>2</v>
      </c>
      <c r="C120" s="2132"/>
      <c r="D120" s="2133" t="str">
        <f>VLOOKUP($A120,satpek!$B$20:$N$144,2,0)</f>
        <v>Pembesian 1 kg dengan besi polos atau besi ulir</v>
      </c>
      <c r="E120" s="2133"/>
      <c r="F120" s="2134"/>
      <c r="G120" s="1945">
        <f>'[3]B.VOL RAB'!Q212</f>
        <v>595.16096804676351</v>
      </c>
      <c r="H120" s="2456" t="str">
        <f>VLOOKUP($A120,satpek!$B$20:$N$144,7,0)</f>
        <v>kg</v>
      </c>
      <c r="I120" s="3281" t="str">
        <f>VLOOKUP($A120,satpek!$B$20:$N$144,5,0)</f>
        <v>A.4.1.1.17.</v>
      </c>
      <c r="J120" s="1951">
        <f>VLOOKUP($A120,satpek!$B$20:$N$144,6,0)</f>
        <v>15603.94</v>
      </c>
      <c r="K120" s="3273"/>
      <c r="L120" s="1952">
        <f t="shared" si="100"/>
        <v>9286856.0399999991</v>
      </c>
      <c r="M120" s="1967"/>
      <c r="N120" s="2458">
        <f>VLOOKUP($A120,satpek!$B$20:$L$138,8,0)</f>
        <v>0.46415793062521393</v>
      </c>
      <c r="O120" s="1954">
        <f>VLOOKUP($A120,satpek!$B$20:$L$138,9,0)</f>
        <v>7242.692500000001</v>
      </c>
      <c r="P120" s="1954">
        <f>VLOOKUP($A120,satpek!$B$20:$L$138,10,0)</f>
        <v>8184.2425250000015</v>
      </c>
      <c r="Q120" s="1952">
        <f t="shared" si="101"/>
        <v>4310567.8795650341</v>
      </c>
      <c r="R120" s="1952">
        <f t="shared" si="102"/>
        <v>4310567.8815406682</v>
      </c>
      <c r="S120" s="3282">
        <f t="shared" si="103"/>
        <v>4976288.1584593309</v>
      </c>
      <c r="V120" s="1958">
        <v>595.16096804676351</v>
      </c>
      <c r="W120" s="1958"/>
      <c r="X120" s="1958">
        <f t="shared" si="66"/>
        <v>0</v>
      </c>
      <c r="Y120" s="2127" t="s">
        <v>420</v>
      </c>
      <c r="AC120" s="2127"/>
      <c r="AD120" s="2127"/>
      <c r="AE120" s="2127"/>
      <c r="AF120" s="1910">
        <v>15438.06</v>
      </c>
      <c r="AG120" s="2128">
        <f t="shared" si="67"/>
        <v>-165.88000000000102</v>
      </c>
    </row>
    <row r="121" spans="1:33" ht="21.95" customHeight="1" x14ac:dyDescent="0.2">
      <c r="A121" s="1910">
        <f>satpek!$B$46</f>
        <v>27</v>
      </c>
      <c r="B121" s="2131">
        <f>B120+1</f>
        <v>3</v>
      </c>
      <c r="C121" s="2132"/>
      <c r="D121" s="2133" t="str">
        <f>VLOOKUP($A121,satpek!$B$20:$N$144,2,0)</f>
        <v>Memasang bekisting untuk lantai (2x pakai)</v>
      </c>
      <c r="E121" s="2133"/>
      <c r="F121" s="2134"/>
      <c r="G121" s="1945">
        <f>'[3]B.VOL RAB'!Q214</f>
        <v>285.63399999999996</v>
      </c>
      <c r="H121" s="2456" t="str">
        <f>VLOOKUP($A121,satpek!$B$20:$N$144,7,0)</f>
        <v>m2</v>
      </c>
      <c r="I121" s="3281" t="str">
        <f>VLOOKUP($A121,satpek!$B$20:$N$144,5,0)</f>
        <v>A.4.1.1.24</v>
      </c>
      <c r="J121" s="1951">
        <f>VLOOKUP($A121,satpek!$B$20:$N$144,6,0)</f>
        <v>242900.28</v>
      </c>
      <c r="K121" s="3273"/>
      <c r="L121" s="1952">
        <f t="shared" si="100"/>
        <v>69380578.579999998</v>
      </c>
      <c r="M121" s="1967"/>
      <c r="N121" s="2458">
        <f>VLOOKUP($A121,satpek!$B$20:$L$138,8,0)</f>
        <v>0.76655687675617334</v>
      </c>
      <c r="O121" s="1954">
        <f>VLOOKUP($A121,satpek!$B$20:$L$138,9,0)</f>
        <v>164776</v>
      </c>
      <c r="P121" s="1954">
        <f>VLOOKUP($A121,satpek!$B$20:$L$138,10,0)</f>
        <v>186196.88</v>
      </c>
      <c r="Q121" s="1952">
        <f t="shared" si="101"/>
        <v>47065627.98399999</v>
      </c>
      <c r="R121" s="1952">
        <f t="shared" si="102"/>
        <v>53184159.623821057</v>
      </c>
      <c r="S121" s="3282">
        <f t="shared" si="103"/>
        <v>16196418.956178941</v>
      </c>
      <c r="V121" s="1958">
        <v>285.63399999999996</v>
      </c>
      <c r="W121" s="1958"/>
      <c r="X121" s="1958">
        <f t="shared" si="66"/>
        <v>0</v>
      </c>
      <c r="Y121" s="2127" t="s">
        <v>1910</v>
      </c>
      <c r="AC121" s="2127"/>
      <c r="AD121" s="2127"/>
      <c r="AE121" s="2127"/>
      <c r="AF121" s="1910">
        <v>195923.91999999998</v>
      </c>
      <c r="AG121" s="2128">
        <f t="shared" si="67"/>
        <v>-46976.360000000015</v>
      </c>
    </row>
    <row r="122" spans="1:33" ht="21.95" customHeight="1" x14ac:dyDescent="0.2">
      <c r="B122" s="2131"/>
      <c r="C122" s="2132"/>
      <c r="D122" s="2133"/>
      <c r="E122" s="2133"/>
      <c r="F122" s="2134"/>
      <c r="G122" s="1945"/>
      <c r="H122" s="3314"/>
      <c r="I122" s="3281"/>
      <c r="J122" s="1951"/>
      <c r="K122" s="2095"/>
      <c r="L122" s="1952"/>
      <c r="M122" s="1967"/>
      <c r="N122" s="3315"/>
      <c r="O122" s="3316"/>
      <c r="P122" s="3316"/>
      <c r="Q122" s="3317"/>
      <c r="R122" s="3318"/>
      <c r="S122" s="3319"/>
      <c r="V122" s="1958"/>
      <c r="W122" s="1958"/>
      <c r="X122" s="1958">
        <f t="shared" si="66"/>
        <v>0</v>
      </c>
      <c r="AC122" s="2127"/>
      <c r="AD122" s="2127"/>
      <c r="AE122" s="2127"/>
      <c r="AG122" s="2128">
        <f t="shared" si="67"/>
        <v>0</v>
      </c>
    </row>
    <row r="123" spans="1:33" ht="21.95" customHeight="1" x14ac:dyDescent="0.2">
      <c r="B123" s="3320"/>
      <c r="C123" s="3321"/>
      <c r="D123" s="3304" t="s">
        <v>1778</v>
      </c>
      <c r="E123" s="3268"/>
      <c r="F123" s="3269"/>
      <c r="G123" s="1945"/>
      <c r="H123" s="3271"/>
      <c r="I123" s="3272"/>
      <c r="J123" s="1951"/>
      <c r="K123" s="2066"/>
      <c r="L123" s="2067"/>
      <c r="M123" s="1967"/>
      <c r="N123" s="3276"/>
      <c r="O123" s="3277"/>
      <c r="P123" s="3277"/>
      <c r="Q123" s="3278"/>
      <c r="R123" s="3295"/>
      <c r="S123" s="3280"/>
      <c r="V123" s="1958"/>
      <c r="W123" s="1958"/>
      <c r="X123" s="1958">
        <f t="shared" si="66"/>
        <v>0</v>
      </c>
      <c r="Y123" s="2127" t="s">
        <v>1778</v>
      </c>
      <c r="AC123" s="2127"/>
      <c r="AD123" s="2127"/>
      <c r="AE123" s="2127"/>
      <c r="AG123" s="2128">
        <f t="shared" si="67"/>
        <v>0</v>
      </c>
    </row>
    <row r="124" spans="1:33" ht="21.95" customHeight="1" x14ac:dyDescent="0.2">
      <c r="B124" s="3320"/>
      <c r="C124" s="3321"/>
      <c r="D124" s="3304" t="s">
        <v>1798</v>
      </c>
      <c r="E124" s="3268"/>
      <c r="F124" s="3269"/>
      <c r="G124" s="1945"/>
      <c r="H124" s="3271"/>
      <c r="I124" s="3272"/>
      <c r="J124" s="1951"/>
      <c r="K124" s="2066"/>
      <c r="L124" s="2067"/>
      <c r="M124" s="1967"/>
      <c r="N124" s="3276"/>
      <c r="O124" s="3277"/>
      <c r="P124" s="3277"/>
      <c r="Q124" s="3278"/>
      <c r="R124" s="3295"/>
      <c r="S124" s="3280"/>
      <c r="V124" s="1958"/>
      <c r="W124" s="1958"/>
      <c r="X124" s="1958">
        <f t="shared" si="66"/>
        <v>0</v>
      </c>
      <c r="Y124" s="2127" t="s">
        <v>1798</v>
      </c>
      <c r="AC124" s="2127"/>
      <c r="AD124" s="2127"/>
      <c r="AE124" s="2127"/>
      <c r="AG124" s="2128">
        <f t="shared" si="67"/>
        <v>0</v>
      </c>
    </row>
    <row r="125" spans="1:33" ht="21.95" customHeight="1" x14ac:dyDescent="0.2">
      <c r="A125" s="1910">
        <f>satpek!$B$40</f>
        <v>21</v>
      </c>
      <c r="B125" s="2131">
        <v>1</v>
      </c>
      <c r="C125" s="2132"/>
      <c r="D125" s="2133" t="str">
        <f>VLOOKUP($A125,satpek!$B$20:$N$144,2,0)</f>
        <v>Membuat beton mutu f'c = 21,7 Mpa - K 250</v>
      </c>
      <c r="E125" s="2133"/>
      <c r="F125" s="2134"/>
      <c r="G125" s="1945">
        <f>'[3]B.VOL RAB'!Q219</f>
        <v>11.52</v>
      </c>
      <c r="H125" s="2456" t="str">
        <f>VLOOKUP($A125,satpek!$B$20:$N$144,7,0)</f>
        <v>m3</v>
      </c>
      <c r="I125" s="3281" t="str">
        <f>VLOOKUP($A125,satpek!$B$20:$N$144,5,0)</f>
        <v>A.4.1.1.8.</v>
      </c>
      <c r="J125" s="1951">
        <f>VLOOKUP($A125,satpek!$B$20:$N$144,6,0)</f>
        <v>1115753.29</v>
      </c>
      <c r="K125" s="3273"/>
      <c r="L125" s="1952">
        <f t="shared" ref="L125:L127" si="104">ROUND((G125*J125),2)</f>
        <v>12853477.9</v>
      </c>
      <c r="M125" s="1967"/>
      <c r="N125" s="2458">
        <f>VLOOKUP($A125,satpek!$B$20:$L$138,8,0)</f>
        <v>0.93065078521121514</v>
      </c>
      <c r="O125" s="1954">
        <f>VLOOKUP($A125,satpek!$B$20:$L$138,9,0)</f>
        <v>918917.40999999992</v>
      </c>
      <c r="P125" s="1954">
        <f>VLOOKUP($A125,satpek!$B$20:$L$138,10,0)</f>
        <v>1038376.6732999999</v>
      </c>
      <c r="Q125" s="1952">
        <f t="shared" ref="Q125:Q127" si="105">O125*G125</f>
        <v>10585928.563199999</v>
      </c>
      <c r="R125" s="1952">
        <f t="shared" ref="R125:R127" si="106">N125*L125</f>
        <v>11962099.300330002</v>
      </c>
      <c r="S125" s="3282">
        <f t="shared" ref="S125:S127" si="107">L125-R125</f>
        <v>891378.59966999851</v>
      </c>
      <c r="T125" s="2125">
        <f>L125+L119+L115+L111+L107+L101+L97+L93+L89+L85+L78+L71+L67+L58+L54+L50+L45+L41+L63</f>
        <v>349139176.44</v>
      </c>
      <c r="V125" s="1958">
        <v>14.591999999999999</v>
      </c>
      <c r="W125" s="1958"/>
      <c r="X125" s="1958">
        <f t="shared" si="66"/>
        <v>3.0719999999999992</v>
      </c>
      <c r="Y125" s="2127" t="s">
        <v>1905</v>
      </c>
      <c r="AC125" s="2127"/>
      <c r="AD125" s="2127"/>
      <c r="AE125" s="2127"/>
      <c r="AF125" s="1910">
        <v>1191397.42</v>
      </c>
      <c r="AG125" s="2128">
        <f t="shared" si="67"/>
        <v>75644.129999999888</v>
      </c>
    </row>
    <row r="126" spans="1:33" ht="21.95" customHeight="1" x14ac:dyDescent="0.2">
      <c r="A126" s="1910">
        <f>satpek!$B$41</f>
        <v>22</v>
      </c>
      <c r="B126" s="2131">
        <f>B125+1</f>
        <v>2</v>
      </c>
      <c r="C126" s="2132"/>
      <c r="D126" s="2133" t="str">
        <f>VLOOKUP($A126,satpek!$B$20:$N$144,2,0)</f>
        <v>Pembesian 1 kg dengan besi polos atau besi ulir</v>
      </c>
      <c r="E126" s="2133"/>
      <c r="F126" s="2134"/>
      <c r="G126" s="1945">
        <f>'[3]B.VOL RAB'!Q221</f>
        <v>1930.3790949339673</v>
      </c>
      <c r="H126" s="2456" t="str">
        <f>VLOOKUP($A126,satpek!$B$20:$N$144,7,0)</f>
        <v>kg</v>
      </c>
      <c r="I126" s="3281" t="str">
        <f>VLOOKUP($A126,satpek!$B$20:$N$144,5,0)</f>
        <v>A.4.1.1.17.</v>
      </c>
      <c r="J126" s="1951">
        <f>VLOOKUP($A126,satpek!$B$20:$N$144,6,0)</f>
        <v>15603.94</v>
      </c>
      <c r="K126" s="3273"/>
      <c r="L126" s="1952">
        <f t="shared" si="104"/>
        <v>30121519.57</v>
      </c>
      <c r="M126" s="1967"/>
      <c r="N126" s="2458">
        <f>VLOOKUP($A126,satpek!$B$20:$L$138,8,0)</f>
        <v>0.46415793062521393</v>
      </c>
      <c r="O126" s="1954">
        <f>VLOOKUP($A126,satpek!$B$20:$L$138,9,0)</f>
        <v>7242.692500000001</v>
      </c>
      <c r="P126" s="1954">
        <f>VLOOKUP($A126,satpek!$B$20:$L$138,10,0)</f>
        <v>8184.2425250000015</v>
      </c>
      <c r="Q126" s="1952">
        <f t="shared" si="105"/>
        <v>13981142.193035034</v>
      </c>
      <c r="R126" s="1952">
        <f t="shared" si="106"/>
        <v>13981142.190898083</v>
      </c>
      <c r="S126" s="3282">
        <f t="shared" si="107"/>
        <v>16140377.379101917</v>
      </c>
      <c r="T126" s="2125">
        <f>L126+L120+L116+L112+L108+L102+L98+L94+L90+L86+L79+L72+L68+L59+L55+L51+L46+L42+L64</f>
        <v>682863548.50999999</v>
      </c>
      <c r="V126" s="1958">
        <v>2444.9166795612718</v>
      </c>
      <c r="W126" s="1958"/>
      <c r="X126" s="1958">
        <f t="shared" si="66"/>
        <v>514.53758462730457</v>
      </c>
      <c r="Y126" s="2127" t="s">
        <v>420</v>
      </c>
      <c r="AC126" s="2127"/>
      <c r="AD126" s="2127"/>
      <c r="AE126" s="2127"/>
      <c r="AF126" s="1910">
        <v>15556.71</v>
      </c>
      <c r="AG126" s="2128">
        <f t="shared" si="67"/>
        <v>-47.230000000001382</v>
      </c>
    </row>
    <row r="127" spans="1:33" ht="21.95" customHeight="1" x14ac:dyDescent="0.2">
      <c r="A127" s="1910">
        <f>satpek!$B$44</f>
        <v>25</v>
      </c>
      <c r="B127" s="2131">
        <f>B126+1</f>
        <v>3</v>
      </c>
      <c r="C127" s="2132"/>
      <c r="D127" s="2133" t="str">
        <f>VLOOKUP($A127,satpek!$B$20:$N$144,2,0)</f>
        <v>Memasang bekisting untuk kolom (2 kali pakai)</v>
      </c>
      <c r="E127" s="2133"/>
      <c r="F127" s="2134"/>
      <c r="G127" s="1945">
        <f>'[3]B.VOL RAB'!Q224</f>
        <v>57.599999999999994</v>
      </c>
      <c r="H127" s="2456" t="str">
        <f>VLOOKUP($A127,satpek!$B$20:$N$144,7,0)</f>
        <v>m2</v>
      </c>
      <c r="I127" s="3281" t="str">
        <f>VLOOKUP($A127,satpek!$B$20:$N$144,5,0)</f>
        <v>A.4.1.1.22.</v>
      </c>
      <c r="J127" s="1951">
        <f>VLOOKUP($A127,satpek!$B$20:$N$144,6,0)</f>
        <v>192050.28</v>
      </c>
      <c r="K127" s="3273"/>
      <c r="L127" s="1952">
        <f t="shared" si="104"/>
        <v>11062096.130000001</v>
      </c>
      <c r="M127" s="1967"/>
      <c r="N127" s="2458">
        <f>VLOOKUP($A127,satpek!$B$20:$L$138,8,0)</f>
        <v>0.82830850337734474</v>
      </c>
      <c r="O127" s="1954">
        <f>VLOOKUP($A127,satpek!$B$20:$L$138,9,0)</f>
        <v>140776</v>
      </c>
      <c r="P127" s="1954">
        <f>VLOOKUP($A127,satpek!$B$20:$L$138,10,0)</f>
        <v>159076.88</v>
      </c>
      <c r="Q127" s="1952">
        <f t="shared" si="105"/>
        <v>8108697.5999999996</v>
      </c>
      <c r="R127" s="1952">
        <f t="shared" si="106"/>
        <v>9162828.2896566186</v>
      </c>
      <c r="S127" s="3282">
        <f t="shared" si="107"/>
        <v>1899267.8403433822</v>
      </c>
      <c r="V127" s="1958">
        <v>72.959999999999994</v>
      </c>
      <c r="W127" s="1958"/>
      <c r="X127" s="1958">
        <f t="shared" si="66"/>
        <v>15.36</v>
      </c>
      <c r="Y127" s="2127" t="s">
        <v>1908</v>
      </c>
      <c r="AC127" s="2127"/>
      <c r="AD127" s="2127"/>
      <c r="AE127" s="2127"/>
      <c r="AF127" s="1910">
        <v>193211.91999999998</v>
      </c>
      <c r="AG127" s="2128">
        <f t="shared" si="67"/>
        <v>1161.6399999999849</v>
      </c>
    </row>
    <row r="128" spans="1:33" ht="21.95" customHeight="1" x14ac:dyDescent="0.2">
      <c r="B128" s="2131"/>
      <c r="C128" s="2132"/>
      <c r="D128" s="2133"/>
      <c r="E128" s="2133"/>
      <c r="F128" s="2134"/>
      <c r="G128" s="1945"/>
      <c r="H128" s="3314"/>
      <c r="I128" s="3281"/>
      <c r="J128" s="1951"/>
      <c r="K128" s="2095"/>
      <c r="L128" s="1952"/>
      <c r="M128" s="1967"/>
      <c r="N128" s="3315"/>
      <c r="O128" s="3316"/>
      <c r="P128" s="3316"/>
      <c r="Q128" s="3317"/>
      <c r="R128" s="3318"/>
      <c r="S128" s="3319"/>
      <c r="V128" s="1958"/>
      <c r="W128" s="1958"/>
      <c r="X128" s="1958">
        <f t="shared" si="66"/>
        <v>0</v>
      </c>
      <c r="AC128" s="2127"/>
      <c r="AD128" s="2127"/>
      <c r="AE128" s="2127"/>
      <c r="AG128" s="2128">
        <f t="shared" si="67"/>
        <v>0</v>
      </c>
    </row>
    <row r="129" spans="1:33" ht="21.95" customHeight="1" x14ac:dyDescent="0.2">
      <c r="B129" s="3320"/>
      <c r="C129" s="3321"/>
      <c r="D129" s="3304" t="s">
        <v>1782</v>
      </c>
      <c r="E129" s="3268"/>
      <c r="F129" s="3269"/>
      <c r="G129" s="2104"/>
      <c r="H129" s="3271"/>
      <c r="I129" s="3272"/>
      <c r="J129" s="1951"/>
      <c r="K129" s="2066"/>
      <c r="L129" s="2067"/>
      <c r="M129" s="1967"/>
      <c r="N129" s="3276"/>
      <c r="O129" s="3277"/>
      <c r="P129" s="3277"/>
      <c r="Q129" s="3278"/>
      <c r="R129" s="3295"/>
      <c r="S129" s="3280"/>
      <c r="V129" s="1958"/>
      <c r="W129" s="1958"/>
      <c r="X129" s="1958">
        <f t="shared" si="66"/>
        <v>0</v>
      </c>
      <c r="Y129" s="2127" t="s">
        <v>1782</v>
      </c>
      <c r="AC129" s="2127"/>
      <c r="AD129" s="2127"/>
      <c r="AE129" s="2127"/>
      <c r="AG129" s="2128">
        <f t="shared" si="67"/>
        <v>0</v>
      </c>
    </row>
    <row r="130" spans="1:33" ht="21.95" customHeight="1" x14ac:dyDescent="0.2">
      <c r="A130" s="1910">
        <f>satpek!$B$47</f>
        <v>28</v>
      </c>
      <c r="B130" s="2131">
        <v>1</v>
      </c>
      <c r="C130" s="2132"/>
      <c r="D130" s="2133" t="str">
        <f>VLOOKUP($A130,satpek!$B$20:$N$144,2,0)</f>
        <v>Membuat kolom praktis beton bertulang 11/11 cm</v>
      </c>
      <c r="E130" s="2133"/>
      <c r="F130" s="2134"/>
      <c r="G130" s="1945">
        <f>'[3]B.VOL RAB'!Q228</f>
        <v>152</v>
      </c>
      <c r="H130" s="2456" t="str">
        <f>VLOOKUP($A130,satpek!$B$20:$N$144,7,0)</f>
        <v>m'</v>
      </c>
      <c r="I130" s="3281" t="str">
        <f>VLOOKUP($A130,satpek!$B$20:$N$144,5,0)</f>
        <v>A.4.1.1.35.</v>
      </c>
      <c r="J130" s="1951">
        <f>VLOOKUP($A130,satpek!$B$20:$N$144,6,0)</f>
        <v>112610.15</v>
      </c>
      <c r="K130" s="3273"/>
      <c r="L130" s="1952">
        <f t="shared" ref="L130:L131" si="108">ROUND((G130*J130),2)</f>
        <v>17116742.800000001</v>
      </c>
      <c r="M130" s="1967"/>
      <c r="N130" s="2458">
        <f>VLOOKUP($A130,satpek!$B$20:$L$138,8,0)</f>
        <v>0.69870322613014901</v>
      </c>
      <c r="O130" s="1954">
        <f>VLOOKUP($A130,satpek!$B$20:$L$138,9,0)</f>
        <v>69629.27</v>
      </c>
      <c r="P130" s="1954">
        <f>VLOOKUP($A130,satpek!$B$20:$L$138,10,0)</f>
        <v>78681.075100000002</v>
      </c>
      <c r="Q130" s="1952">
        <f t="shared" ref="Q130:Q131" si="109">O130*G130</f>
        <v>10583649.040000001</v>
      </c>
      <c r="R130" s="1952">
        <f t="shared" ref="R130:R131" si="110">N130*L130</f>
        <v>11959523.415200001</v>
      </c>
      <c r="S130" s="3282">
        <f t="shared" ref="S130:S131" si="111">L130-R130</f>
        <v>5157219.3848000001</v>
      </c>
      <c r="V130" s="1958">
        <v>152</v>
      </c>
      <c r="W130" s="1958"/>
      <c r="X130" s="1958">
        <f t="shared" si="66"/>
        <v>0</v>
      </c>
      <c r="Y130" s="2127" t="s">
        <v>229</v>
      </c>
      <c r="AC130" s="2127"/>
      <c r="AD130" s="2127"/>
      <c r="AE130" s="2127"/>
      <c r="AF130" s="1910">
        <v>111027.02</v>
      </c>
      <c r="AG130" s="2128">
        <f t="shared" si="67"/>
        <v>-1583.1299999999901</v>
      </c>
    </row>
    <row r="131" spans="1:33" ht="21.95" customHeight="1" x14ac:dyDescent="0.2">
      <c r="A131" s="1910">
        <f>satpek!$B$48</f>
        <v>29</v>
      </c>
      <c r="B131" s="2131">
        <f>B130+1</f>
        <v>2</v>
      </c>
      <c r="C131" s="2132"/>
      <c r="D131" s="2133" t="s">
        <v>1783</v>
      </c>
      <c r="E131" s="2133"/>
      <c r="F131" s="2134"/>
      <c r="G131" s="2016">
        <f>'[3]B.VOL RAB'!Q229</f>
        <v>132</v>
      </c>
      <c r="H131" s="2456" t="str">
        <f>VLOOKUP($A131,satpek!$B$20:$N$144,7,0)</f>
        <v>m'</v>
      </c>
      <c r="I131" s="3281" t="str">
        <f>VLOOKUP($A131,satpek!$B$20:$N$144,5,0)</f>
        <v>A.4.1.1.36.</v>
      </c>
      <c r="J131" s="1951">
        <f>VLOOKUP($A131,satpek!$B$20:$N$144,6,0)</f>
        <v>109402.19</v>
      </c>
      <c r="K131" s="3273"/>
      <c r="L131" s="1952">
        <f t="shared" si="108"/>
        <v>14441089.08</v>
      </c>
      <c r="M131" s="1967"/>
      <c r="N131" s="2458">
        <f>VLOOKUP($A131,satpek!$B$20:$L$138,8,0)</f>
        <v>0.75420720314079981</v>
      </c>
      <c r="O131" s="1954">
        <f>VLOOKUP($A131,satpek!$B$20:$L$138,9,0)</f>
        <v>73019.399999999994</v>
      </c>
      <c r="P131" s="1954">
        <f>VLOOKUP($A131,satpek!$B$20:$L$138,10,0)</f>
        <v>82511.921999999991</v>
      </c>
      <c r="Q131" s="1952">
        <f t="shared" si="109"/>
        <v>9638560.7999999989</v>
      </c>
      <c r="R131" s="1952">
        <f t="shared" si="110"/>
        <v>10891573.405333946</v>
      </c>
      <c r="S131" s="3282">
        <f t="shared" si="111"/>
        <v>3549515.6746660545</v>
      </c>
      <c r="V131" s="1958">
        <v>132</v>
      </c>
      <c r="W131" s="1958"/>
      <c r="X131" s="1958">
        <f t="shared" si="66"/>
        <v>0</v>
      </c>
      <c r="Y131" s="2127" t="s">
        <v>1783</v>
      </c>
      <c r="AC131" s="2127"/>
      <c r="AD131" s="2127"/>
      <c r="AE131" s="2127"/>
      <c r="AF131" s="1910">
        <v>106967.5</v>
      </c>
      <c r="AG131" s="2128">
        <f t="shared" si="67"/>
        <v>-2434.6900000000023</v>
      </c>
    </row>
    <row r="132" spans="1:33" ht="21.95" customHeight="1" x14ac:dyDescent="0.2">
      <c r="B132" s="2114"/>
      <c r="C132" s="2115"/>
      <c r="D132" s="2116"/>
      <c r="E132" s="2116"/>
      <c r="F132" s="2117"/>
      <c r="G132" s="2021"/>
      <c r="H132" s="3289"/>
      <c r="I132" s="3290"/>
      <c r="J132" s="2026"/>
      <c r="K132" s="2027"/>
      <c r="L132" s="2065" t="s">
        <v>1799</v>
      </c>
      <c r="M132" s="2463">
        <f>SUM(L39:L132)</f>
        <v>1686933528.95</v>
      </c>
      <c r="N132" s="3291">
        <f>R132/M132</f>
        <v>0.69281335287996504</v>
      </c>
      <c r="O132" s="2121"/>
      <c r="P132" s="2121"/>
      <c r="Q132" s="2119"/>
      <c r="R132" s="2123">
        <f>SUM(R37:R131)</f>
        <v>1168730074.2774811</v>
      </c>
      <c r="S132" s="3294">
        <f>SUM(S38:S131)</f>
        <v>518203454.67251885</v>
      </c>
      <c r="U132" s="2125">
        <f>M132-T132</f>
        <v>1686933528.95</v>
      </c>
      <c r="V132" s="1958"/>
      <c r="W132" s="1958"/>
      <c r="X132" s="1958">
        <f t="shared" si="66"/>
        <v>0</v>
      </c>
      <c r="Y132" s="2069"/>
      <c r="AC132" s="2127"/>
      <c r="AD132" s="2127"/>
      <c r="AE132" s="2127"/>
      <c r="AG132" s="2128">
        <f t="shared" si="67"/>
        <v>0</v>
      </c>
    </row>
    <row r="133" spans="1:33" ht="21.95" customHeight="1" x14ac:dyDescent="0.2">
      <c r="B133" s="3324"/>
      <c r="C133" s="3325"/>
      <c r="D133" s="3325"/>
      <c r="E133" s="3325"/>
      <c r="F133" s="3326"/>
      <c r="G133" s="1991"/>
      <c r="H133" s="2168"/>
      <c r="I133" s="2169"/>
      <c r="J133" s="1997"/>
      <c r="K133" s="2392"/>
      <c r="L133" s="2475"/>
      <c r="M133" s="2476"/>
      <c r="N133" s="2482"/>
      <c r="O133" s="2171"/>
      <c r="P133" s="2171"/>
      <c r="Q133" s="2169"/>
      <c r="R133" s="2172"/>
      <c r="S133" s="2173"/>
      <c r="V133" s="1958"/>
      <c r="W133" s="1958"/>
      <c r="X133" s="1958">
        <f t="shared" si="66"/>
        <v>0</v>
      </c>
      <c r="Y133" s="2069"/>
      <c r="AC133" s="2127"/>
      <c r="AD133" s="2127"/>
      <c r="AE133" s="2127"/>
      <c r="AG133" s="2128">
        <f t="shared" si="67"/>
        <v>0</v>
      </c>
    </row>
    <row r="134" spans="1:33" ht="21.95" customHeight="1" x14ac:dyDescent="0.2">
      <c r="B134" s="3293" t="s">
        <v>1800</v>
      </c>
      <c r="C134" s="3266"/>
      <c r="D134" s="3267" t="s">
        <v>1801</v>
      </c>
      <c r="E134" s="3268"/>
      <c r="F134" s="3269"/>
      <c r="G134" s="1945"/>
      <c r="H134" s="3271"/>
      <c r="I134" s="3272"/>
      <c r="J134" s="1951"/>
      <c r="K134" s="2089"/>
      <c r="L134" s="2090"/>
      <c r="M134" s="1967"/>
      <c r="N134" s="3276"/>
      <c r="O134" s="3277"/>
      <c r="P134" s="3277"/>
      <c r="Q134" s="3278"/>
      <c r="R134" s="3295"/>
      <c r="S134" s="3280"/>
      <c r="V134" s="1958"/>
      <c r="W134" s="1958"/>
      <c r="X134" s="1958">
        <f t="shared" si="66"/>
        <v>0</v>
      </c>
      <c r="Y134" s="2127" t="s">
        <v>1801</v>
      </c>
      <c r="AC134" s="2127"/>
      <c r="AD134" s="2127"/>
      <c r="AE134" s="2127"/>
      <c r="AG134" s="2128">
        <f t="shared" si="67"/>
        <v>0</v>
      </c>
    </row>
    <row r="135" spans="1:33" ht="21.95" customHeight="1" x14ac:dyDescent="0.2">
      <c r="B135" s="3293"/>
      <c r="C135" s="3266"/>
      <c r="D135" s="3267" t="s">
        <v>1769</v>
      </c>
      <c r="E135" s="3268"/>
      <c r="F135" s="3269"/>
      <c r="G135" s="1945"/>
      <c r="H135" s="3271"/>
      <c r="I135" s="3272"/>
      <c r="J135" s="1951"/>
      <c r="K135" s="2089"/>
      <c r="L135" s="2090"/>
      <c r="M135" s="1967"/>
      <c r="N135" s="3276"/>
      <c r="O135" s="3277"/>
      <c r="P135" s="3277"/>
      <c r="Q135" s="3278"/>
      <c r="R135" s="3295"/>
      <c r="S135" s="3280"/>
      <c r="V135" s="1958"/>
      <c r="W135" s="1958"/>
      <c r="X135" s="1958">
        <f t="shared" si="66"/>
        <v>0</v>
      </c>
      <c r="Y135" s="2127" t="s">
        <v>1769</v>
      </c>
      <c r="AC135" s="2127"/>
      <c r="AD135" s="2127"/>
      <c r="AE135" s="2127"/>
      <c r="AG135" s="2128">
        <f t="shared" si="67"/>
        <v>0</v>
      </c>
    </row>
    <row r="136" spans="1:33" ht="21.95" customHeight="1" x14ac:dyDescent="0.2">
      <c r="A136" s="1910">
        <f>satpek!$B$34</f>
        <v>15</v>
      </c>
      <c r="B136" s="2131">
        <v>1</v>
      </c>
      <c r="C136" s="2132"/>
      <c r="D136" s="2133" t="str">
        <f>VLOOKUP($A136,satpek!$B$20:$N$144,2,0)</f>
        <v>Membuat dinding bt. merah t: 1/2bata, camp 1PC:8PP</v>
      </c>
      <c r="E136" s="2133"/>
      <c r="F136" s="2134"/>
      <c r="G136" s="1945">
        <f>'[3]B.VOL RAB'!Q233</f>
        <v>549.26</v>
      </c>
      <c r="H136" s="2456" t="str">
        <f>VLOOKUP($A136,satpek!$B$20:$N$144,7,0)</f>
        <v>m2</v>
      </c>
      <c r="I136" s="3281" t="str">
        <f>VLOOKUP($A136,satpek!$B$20:$N$144,5,0)</f>
        <v>A.4.4.1.12.</v>
      </c>
      <c r="J136" s="1951">
        <f>VLOOKUP($A136,satpek!$B$20:$N$144,6,0)</f>
        <v>129498</v>
      </c>
      <c r="K136" s="3273"/>
      <c r="L136" s="1952">
        <f t="shared" ref="L136:L140" si="112">ROUND((G136*J136),2)</f>
        <v>71128071.480000004</v>
      </c>
      <c r="M136" s="1967"/>
      <c r="N136" s="2458">
        <f>VLOOKUP($A136,satpek!$B$20:$L$138,8,0)</f>
        <v>0.98988586387434552</v>
      </c>
      <c r="O136" s="1954">
        <f>VLOOKUP($A136,satpek!$B$20:$L$138,9,0)</f>
        <v>113440.92</v>
      </c>
      <c r="P136" s="1954">
        <f>VLOOKUP($A136,satpek!$B$20:$L$138,10,0)</f>
        <v>128188.2396</v>
      </c>
      <c r="Q136" s="1952">
        <f t="shared" ref="Q136:Q140" si="113">O136*G136</f>
        <v>62308559.7192</v>
      </c>
      <c r="R136" s="1952">
        <f t="shared" ref="R136:R140" si="114">N136*L136</f>
        <v>70408672.482695997</v>
      </c>
      <c r="S136" s="3282">
        <f t="shared" ref="S136:S140" si="115">L136-R136</f>
        <v>719398.99730400741</v>
      </c>
      <c r="V136" s="1958">
        <v>549.26</v>
      </c>
      <c r="W136" s="1958"/>
      <c r="X136" s="1958">
        <f t="shared" si="66"/>
        <v>0</v>
      </c>
      <c r="Y136" s="2127" t="s">
        <v>666</v>
      </c>
      <c r="AC136" s="2127"/>
      <c r="AD136" s="2127"/>
      <c r="AE136" s="2127"/>
      <c r="AF136" s="1910">
        <v>119970.97</v>
      </c>
      <c r="AG136" s="2128">
        <f t="shared" si="67"/>
        <v>-9527.0299999999988</v>
      </c>
    </row>
    <row r="137" spans="1:33" ht="21.95" customHeight="1" x14ac:dyDescent="0.2">
      <c r="A137" s="1910">
        <f>satpek!$B$58</f>
        <v>39</v>
      </c>
      <c r="B137" s="3327">
        <f>B136+1</f>
        <v>2</v>
      </c>
      <c r="C137" s="2132"/>
      <c r="D137" s="2133" t="str">
        <f>VLOOKUP($A137,satpek!$B$20:$N$144,2,0)</f>
        <v>Membuat dinding partisi gypsum 9mm double</v>
      </c>
      <c r="E137" s="2133"/>
      <c r="F137" s="2134"/>
      <c r="G137" s="1945">
        <f>'[3]B.VOL RAB'!Q262</f>
        <v>247.13599999999997</v>
      </c>
      <c r="H137" s="2456" t="str">
        <f>VLOOKUP($A137,satpek!$B$20:$N$144,7,0)</f>
        <v>m2</v>
      </c>
      <c r="I137" s="3281" t="str">
        <f>VLOOKUP($A137,satpek!$B$20:$N$144,5,0)</f>
        <v>A.4.2.1.20.</v>
      </c>
      <c r="J137" s="1951">
        <f>VLOOKUP($A137,satpek!$B$20:$N$144,6,0)</f>
        <v>210845.94</v>
      </c>
      <c r="K137" s="3273"/>
      <c r="L137" s="1952">
        <f t="shared" si="112"/>
        <v>52107622.229999997</v>
      </c>
      <c r="M137" s="1967"/>
      <c r="N137" s="2458">
        <f>VLOOKUP($A137,satpek!$B$20:$L$138,8,0)</f>
        <v>0.45788799844557021</v>
      </c>
      <c r="O137" s="1954">
        <f>VLOOKUP($A137,satpek!$B$20:$L$138,9,0)</f>
        <v>85437.014844999998</v>
      </c>
      <c r="P137" s="1954">
        <f>VLOOKUP($A137,satpek!$B$20:$L$138,10,0)</f>
        <v>96543.826774849993</v>
      </c>
      <c r="Q137" s="1952">
        <f t="shared" si="113"/>
        <v>21114562.100733917</v>
      </c>
      <c r="R137" s="1952">
        <f t="shared" si="114"/>
        <v>23859454.846652597</v>
      </c>
      <c r="S137" s="3282">
        <f t="shared" si="115"/>
        <v>28248167.3833474</v>
      </c>
      <c r="V137" s="1958">
        <v>247.13599999999997</v>
      </c>
      <c r="W137" s="1958"/>
      <c r="X137" s="1958">
        <f t="shared" si="66"/>
        <v>0</v>
      </c>
      <c r="Y137" s="2127" t="s">
        <v>1911</v>
      </c>
      <c r="AC137" s="2127"/>
      <c r="AD137" s="2127"/>
      <c r="AE137" s="2127"/>
      <c r="AF137" s="1910">
        <v>203748.41000000003</v>
      </c>
      <c r="AG137" s="2128">
        <f t="shared" si="67"/>
        <v>-7097.5299999999697</v>
      </c>
    </row>
    <row r="138" spans="1:33" ht="21.95" customHeight="1" x14ac:dyDescent="0.2">
      <c r="A138" s="1910">
        <f>satpek!$B$36</f>
        <v>17</v>
      </c>
      <c r="B138" s="3327">
        <f>B137+1</f>
        <v>3</v>
      </c>
      <c r="C138" s="2132"/>
      <c r="D138" s="2133" t="str">
        <f>VLOOKUP($A138,satpek!$B$20:$N$144,2,0)</f>
        <v>Memasang plesteran 1 PC : 6 PP, tebal 15 mm</v>
      </c>
      <c r="E138" s="2133"/>
      <c r="F138" s="2134"/>
      <c r="G138" s="1945">
        <f>'[3]B.VOL RAB'!Q280</f>
        <v>1098.52</v>
      </c>
      <c r="H138" s="2456" t="str">
        <f>VLOOKUP($A138,satpek!$B$20:$N$144,7,0)</f>
        <v>m2</v>
      </c>
      <c r="I138" s="3281" t="str">
        <f>VLOOKUP($A138,satpek!$B$20:$N$144,5,0)</f>
        <v>A.4.4.2.6.</v>
      </c>
      <c r="J138" s="1951">
        <f>VLOOKUP($A138,satpek!$B$20:$N$144,6,0)</f>
        <v>62262.1</v>
      </c>
      <c r="K138" s="3273"/>
      <c r="L138" s="1952">
        <f t="shared" si="112"/>
        <v>68396162.090000004</v>
      </c>
      <c r="M138" s="1967"/>
      <c r="N138" s="2458">
        <f>VLOOKUP($A138,satpek!$B$20:$L$138,8,0)</f>
        <v>0.9857083021169093</v>
      </c>
      <c r="O138" s="1954">
        <f>VLOOKUP($A138,satpek!$B$20:$L$138,9,0)</f>
        <v>54311.738880000004</v>
      </c>
      <c r="P138" s="1954">
        <f>VLOOKUP($A138,satpek!$B$20:$L$138,10,0)</f>
        <v>61372.264934400009</v>
      </c>
      <c r="Q138" s="1952">
        <f t="shared" si="113"/>
        <v>59662531.394457601</v>
      </c>
      <c r="R138" s="1952">
        <f t="shared" si="114"/>
        <v>67418664.805046827</v>
      </c>
      <c r="S138" s="3282">
        <f t="shared" si="115"/>
        <v>977497.28495317698</v>
      </c>
      <c r="V138" s="1958">
        <v>1098.52</v>
      </c>
      <c r="W138" s="1958"/>
      <c r="X138" s="1958">
        <f t="shared" si="66"/>
        <v>0</v>
      </c>
      <c r="Y138" s="2127" t="s">
        <v>469</v>
      </c>
      <c r="AC138" s="2127"/>
      <c r="AD138" s="2127"/>
      <c r="AE138" s="2127"/>
      <c r="AF138" s="1910">
        <v>59838.25</v>
      </c>
      <c r="AG138" s="2128">
        <f t="shared" si="67"/>
        <v>-2423.8499999999985</v>
      </c>
    </row>
    <row r="139" spans="1:33" ht="21.95" customHeight="1" x14ac:dyDescent="0.2">
      <c r="A139" s="1910">
        <f>satpek!$B$109</f>
        <v>90</v>
      </c>
      <c r="B139" s="3327">
        <f>B138+1</f>
        <v>4</v>
      </c>
      <c r="C139" s="2132"/>
      <c r="D139" s="2133" t="str">
        <f>VLOOKUP($A139,satpek!$B$20:$N$144,2,0)</f>
        <v>Sponengan</v>
      </c>
      <c r="E139" s="2133"/>
      <c r="F139" s="2134"/>
      <c r="G139" s="1945">
        <f>'[3]B.VOL RAB'!Q281</f>
        <v>1206.2</v>
      </c>
      <c r="H139" s="2456" t="str">
        <f>VLOOKUP($A139,satpek!$B$20:$N$144,7,0)</f>
        <v>m'</v>
      </c>
      <c r="I139" s="3281" t="str">
        <f>VLOOKUP($A139,satpek!$B$20:$N$144,5,0)</f>
        <v>Harga Satuan</v>
      </c>
      <c r="J139" s="1951">
        <f>VLOOKUP($A139,satpek!$B$20:$N$144,6,0)</f>
        <v>15000</v>
      </c>
      <c r="K139" s="3273"/>
      <c r="L139" s="1952">
        <f t="shared" si="112"/>
        <v>18093000</v>
      </c>
      <c r="M139" s="1967"/>
      <c r="N139" s="2458">
        <f>VLOOKUP($A139,satpek!$B$20:$L$138,8,0)</f>
        <v>0.5</v>
      </c>
      <c r="O139" s="1954">
        <f>VLOOKUP($A139,satpek!$B$20:$L$138,9,0)</f>
        <v>0</v>
      </c>
      <c r="P139" s="1954">
        <f>VLOOKUP($A139,satpek!$B$20:$L$138,10,0)</f>
        <v>7500</v>
      </c>
      <c r="Q139" s="1952">
        <f t="shared" si="113"/>
        <v>0</v>
      </c>
      <c r="R139" s="1952">
        <f t="shared" si="114"/>
        <v>9046500</v>
      </c>
      <c r="S139" s="3282">
        <f t="shared" si="115"/>
        <v>9046500</v>
      </c>
      <c r="V139" s="1958">
        <v>1206.2</v>
      </c>
      <c r="W139" s="1958"/>
      <c r="X139" s="1958">
        <f t="shared" si="66"/>
        <v>0</v>
      </c>
      <c r="Y139" s="2127" t="s">
        <v>585</v>
      </c>
      <c r="AC139" s="2127"/>
      <c r="AD139" s="2127"/>
      <c r="AE139" s="2127"/>
      <c r="AF139" s="1910">
        <v>15000</v>
      </c>
      <c r="AG139" s="2128">
        <f t="shared" si="67"/>
        <v>0</v>
      </c>
    </row>
    <row r="140" spans="1:33" ht="21.95" customHeight="1" x14ac:dyDescent="0.2">
      <c r="A140" s="1910">
        <f>satpek!$B$37</f>
        <v>18</v>
      </c>
      <c r="B140" s="3327">
        <f>B139+1</f>
        <v>5</v>
      </c>
      <c r="C140" s="2132"/>
      <c r="D140" s="2133" t="str">
        <f>VLOOKUP($A140,satpek!$B$20:$N$144,2,0)</f>
        <v>Memasang acian</v>
      </c>
      <c r="E140" s="2133"/>
      <c r="F140" s="2134"/>
      <c r="G140" s="1945">
        <f>'[3]B.VOL RAB'!Q284</f>
        <v>1098.52</v>
      </c>
      <c r="H140" s="2456" t="str">
        <f>VLOOKUP($A140,satpek!$B$20:$N$144,7,0)</f>
        <v>m2</v>
      </c>
      <c r="I140" s="3281" t="str">
        <f>VLOOKUP($A140,satpek!$B$20:$N$144,5,0)</f>
        <v>A.4.4.2.27.</v>
      </c>
      <c r="J140" s="1951">
        <f>VLOOKUP($A140,satpek!$B$20:$N$144,6,0)</f>
        <v>36634.6</v>
      </c>
      <c r="K140" s="3273"/>
      <c r="L140" s="1952">
        <f t="shared" si="112"/>
        <v>40243840.789999999</v>
      </c>
      <c r="M140" s="1967"/>
      <c r="N140" s="2458">
        <f>VLOOKUP($A140,satpek!$B$20:$L$138,8,0)</f>
        <v>0.98212399753238744</v>
      </c>
      <c r="O140" s="1954">
        <f>VLOOKUP($A140,satpek!$B$20:$L$138,9,0)</f>
        <v>31840.46</v>
      </c>
      <c r="P140" s="1954">
        <f>VLOOKUP($A140,satpek!$B$20:$L$138,10,0)</f>
        <v>35979.719799999999</v>
      </c>
      <c r="Q140" s="1952">
        <f t="shared" si="113"/>
        <v>34977382.119199999</v>
      </c>
      <c r="R140" s="1952">
        <f t="shared" si="114"/>
        <v>39524441.792731754</v>
      </c>
      <c r="S140" s="3282">
        <f t="shared" si="115"/>
        <v>719398.99726824462</v>
      </c>
      <c r="V140" s="1958">
        <v>1098.52</v>
      </c>
      <c r="W140" s="1958"/>
      <c r="X140" s="1958">
        <f t="shared" si="66"/>
        <v>0</v>
      </c>
      <c r="Y140" s="2127" t="s">
        <v>470</v>
      </c>
      <c r="AC140" s="2127"/>
      <c r="AD140" s="2127"/>
      <c r="AE140" s="2127"/>
      <c r="AF140" s="1910">
        <v>35628.9</v>
      </c>
      <c r="AG140" s="2128">
        <f t="shared" si="67"/>
        <v>-1005.6999999999971</v>
      </c>
    </row>
    <row r="141" spans="1:33" ht="21.95" customHeight="1" x14ac:dyDescent="0.2">
      <c r="B141" s="3328"/>
      <c r="C141" s="2132"/>
      <c r="D141" s="2133"/>
      <c r="E141" s="2133"/>
      <c r="F141" s="2134"/>
      <c r="G141" s="1945"/>
      <c r="H141" s="3314"/>
      <c r="I141" s="3281"/>
      <c r="J141" s="1951"/>
      <c r="K141" s="2108"/>
      <c r="L141" s="1952"/>
      <c r="M141" s="1967"/>
      <c r="N141" s="3315"/>
      <c r="O141" s="3316"/>
      <c r="P141" s="3316"/>
      <c r="Q141" s="3317"/>
      <c r="R141" s="3318"/>
      <c r="S141" s="3319"/>
      <c r="V141" s="1958"/>
      <c r="W141" s="1958"/>
      <c r="X141" s="1958">
        <f t="shared" si="66"/>
        <v>0</v>
      </c>
      <c r="AC141" s="2127"/>
      <c r="AD141" s="2127"/>
      <c r="AE141" s="2127"/>
      <c r="AG141" s="2128">
        <f t="shared" si="67"/>
        <v>0</v>
      </c>
    </row>
    <row r="142" spans="1:33" ht="21.95" customHeight="1" x14ac:dyDescent="0.2">
      <c r="B142" s="3293"/>
      <c r="C142" s="3266"/>
      <c r="D142" s="3267" t="s">
        <v>1786</v>
      </c>
      <c r="E142" s="3268"/>
      <c r="F142" s="3269"/>
      <c r="G142" s="1945"/>
      <c r="H142" s="3314"/>
      <c r="I142" s="3281"/>
      <c r="J142" s="1951"/>
      <c r="K142" s="2108"/>
      <c r="L142" s="1952"/>
      <c r="M142" s="1967"/>
      <c r="N142" s="3315"/>
      <c r="O142" s="3316"/>
      <c r="P142" s="3316"/>
      <c r="Q142" s="3317"/>
      <c r="R142" s="3318"/>
      <c r="S142" s="3319"/>
      <c r="V142" s="1958"/>
      <c r="W142" s="1958"/>
      <c r="X142" s="1958">
        <f t="shared" si="66"/>
        <v>0</v>
      </c>
      <c r="Y142" s="2127" t="s">
        <v>1786</v>
      </c>
      <c r="AG142" s="2128">
        <f t="shared" si="67"/>
        <v>0</v>
      </c>
    </row>
    <row r="143" spans="1:33" ht="21.95" customHeight="1" x14ac:dyDescent="0.2">
      <c r="A143" s="1910">
        <f>satpek!$B$34</f>
        <v>15</v>
      </c>
      <c r="B143" s="2131">
        <v>1</v>
      </c>
      <c r="C143" s="2132"/>
      <c r="D143" s="2133" t="str">
        <f>VLOOKUP($A143,satpek!$B$20:$N$144,2,0)</f>
        <v>Membuat dinding bt. merah t: 1/2bata, camp 1PC:8PP</v>
      </c>
      <c r="E143" s="2133"/>
      <c r="F143" s="2134"/>
      <c r="G143" s="1945">
        <f>'[3]B.VOL RAB'!Q288</f>
        <v>407.23250000000002</v>
      </c>
      <c r="H143" s="2456" t="str">
        <f>VLOOKUP($A143,satpek!$B$20:$N$144,7,0)</f>
        <v>m2</v>
      </c>
      <c r="I143" s="3281" t="str">
        <f>VLOOKUP($A143,satpek!$B$20:$N$144,5,0)</f>
        <v>A.4.4.1.12.</v>
      </c>
      <c r="J143" s="1951">
        <f>VLOOKUP($A143,satpek!$B$20:$N$144,6,0)</f>
        <v>129498</v>
      </c>
      <c r="K143" s="3273"/>
      <c r="L143" s="1952">
        <f t="shared" ref="L143:L147" si="116">ROUND((G143*J143),2)</f>
        <v>52735794.289999999</v>
      </c>
      <c r="M143" s="1967"/>
      <c r="N143" s="2458">
        <f>VLOOKUP($A143,satpek!$B$20:$L$138,8,0)</f>
        <v>0.98988586387434552</v>
      </c>
      <c r="O143" s="1954">
        <f>VLOOKUP($A143,satpek!$B$20:$L$138,9,0)</f>
        <v>113440.92</v>
      </c>
      <c r="P143" s="1954">
        <f>VLOOKUP($A143,satpek!$B$20:$L$138,10,0)</f>
        <v>128188.2396</v>
      </c>
      <c r="Q143" s="1952">
        <f t="shared" ref="Q143:Q147" si="117">O143*G143</f>
        <v>46196829.453900002</v>
      </c>
      <c r="R143" s="1952">
        <f t="shared" ref="R143:R147" si="118">N143*L143</f>
        <v>52202417.28785643</v>
      </c>
      <c r="S143" s="3282">
        <f t="shared" ref="S143:S147" si="119">L143-R143</f>
        <v>533377.00214356929</v>
      </c>
      <c r="V143" s="1958">
        <v>407.23250000000002</v>
      </c>
      <c r="W143" s="1958"/>
      <c r="X143" s="1958">
        <f t="shared" si="66"/>
        <v>0</v>
      </c>
      <c r="Y143" s="2127" t="s">
        <v>666</v>
      </c>
      <c r="AF143" s="1910">
        <v>119970.97</v>
      </c>
      <c r="AG143" s="2128">
        <f t="shared" si="67"/>
        <v>-9527.0299999999988</v>
      </c>
    </row>
    <row r="144" spans="1:33" ht="21.95" customHeight="1" x14ac:dyDescent="0.2">
      <c r="A144" s="1910">
        <f>satpek!$B$58</f>
        <v>39</v>
      </c>
      <c r="B144" s="3327">
        <f>B143+1</f>
        <v>2</v>
      </c>
      <c r="C144" s="2132"/>
      <c r="D144" s="2133" t="str">
        <f>VLOOKUP($A144,satpek!$B$20:$N$144,2,0)</f>
        <v>Membuat dinding partisi gypsum 9mm double</v>
      </c>
      <c r="E144" s="2133"/>
      <c r="F144" s="2134"/>
      <c r="G144" s="1945">
        <f>'[3]B.VOL RAB'!Q313</f>
        <v>236.99750000000009</v>
      </c>
      <c r="H144" s="2456" t="str">
        <f>VLOOKUP($A144,satpek!$B$20:$N$144,7,0)</f>
        <v>m2</v>
      </c>
      <c r="I144" s="3281" t="str">
        <f>VLOOKUP($A144,satpek!$B$20:$N$144,5,0)</f>
        <v>A.4.2.1.20.</v>
      </c>
      <c r="J144" s="1951">
        <f>VLOOKUP($A144,satpek!$B$20:$N$144,6,0)</f>
        <v>210845.94</v>
      </c>
      <c r="K144" s="3273"/>
      <c r="L144" s="1952">
        <f t="shared" si="116"/>
        <v>49969960.670000002</v>
      </c>
      <c r="M144" s="1967"/>
      <c r="N144" s="2458">
        <f>VLOOKUP($A144,satpek!$B$20:$L$138,8,0)</f>
        <v>0.45788799844557021</v>
      </c>
      <c r="O144" s="1954">
        <f>VLOOKUP($A144,satpek!$B$20:$L$138,9,0)</f>
        <v>85437.014844999998</v>
      </c>
      <c r="P144" s="1954">
        <f>VLOOKUP($A144,satpek!$B$20:$L$138,10,0)</f>
        <v>96543.826774849993</v>
      </c>
      <c r="Q144" s="1952">
        <f t="shared" si="117"/>
        <v>20248358.925727893</v>
      </c>
      <c r="R144" s="1952">
        <f t="shared" si="118"/>
        <v>22880645.273590166</v>
      </c>
      <c r="S144" s="3282">
        <f t="shared" si="119"/>
        <v>27089315.396409836</v>
      </c>
      <c r="V144" s="1958">
        <v>236.99750000000009</v>
      </c>
      <c r="W144" s="1958"/>
      <c r="X144" s="1958">
        <f t="shared" si="66"/>
        <v>0</v>
      </c>
      <c r="Y144" s="2127" t="s">
        <v>1911</v>
      </c>
      <c r="AF144" s="1910">
        <v>203748.41000000003</v>
      </c>
      <c r="AG144" s="2128">
        <f t="shared" si="67"/>
        <v>-7097.5299999999697</v>
      </c>
    </row>
    <row r="145" spans="1:33" ht="21.95" customHeight="1" x14ac:dyDescent="0.2">
      <c r="A145" s="1910">
        <f>satpek!$B$36</f>
        <v>17</v>
      </c>
      <c r="B145" s="3327">
        <f>B144+1</f>
        <v>3</v>
      </c>
      <c r="C145" s="2132"/>
      <c r="D145" s="2133" t="str">
        <f>VLOOKUP($A145,satpek!$B$20:$N$144,2,0)</f>
        <v>Memasang plesteran 1 PC : 6 PP, tebal 15 mm</v>
      </c>
      <c r="E145" s="2133"/>
      <c r="F145" s="2134"/>
      <c r="G145" s="1945">
        <f>'[3]B.VOL RAB'!Q330</f>
        <v>814.46500000000003</v>
      </c>
      <c r="H145" s="2456" t="str">
        <f>VLOOKUP($A145,satpek!$B$20:$N$144,7,0)</f>
        <v>m2</v>
      </c>
      <c r="I145" s="3281" t="str">
        <f>VLOOKUP($A145,satpek!$B$20:$N$144,5,0)</f>
        <v>A.4.4.2.6.</v>
      </c>
      <c r="J145" s="1951">
        <f>VLOOKUP($A145,satpek!$B$20:$N$144,6,0)</f>
        <v>62262.1</v>
      </c>
      <c r="K145" s="3273"/>
      <c r="L145" s="1952">
        <f t="shared" si="116"/>
        <v>50710301.280000001</v>
      </c>
      <c r="M145" s="1967"/>
      <c r="N145" s="2458">
        <f>VLOOKUP($A145,satpek!$B$20:$L$138,8,0)</f>
        <v>0.9857083021169093</v>
      </c>
      <c r="O145" s="1954">
        <f>VLOOKUP($A145,satpek!$B$20:$L$138,9,0)</f>
        <v>54311.738880000004</v>
      </c>
      <c r="P145" s="1954">
        <f>VLOOKUP($A145,satpek!$B$20:$L$138,10,0)</f>
        <v>61372.264934400009</v>
      </c>
      <c r="Q145" s="1952">
        <f t="shared" si="117"/>
        <v>44235010.406899206</v>
      </c>
      <c r="R145" s="1952">
        <f t="shared" si="118"/>
        <v>49985564.974545732</v>
      </c>
      <c r="S145" s="3282">
        <f t="shared" si="119"/>
        <v>724736.30545426905</v>
      </c>
      <c r="V145" s="1958">
        <v>814.46500000000003</v>
      </c>
      <c r="W145" s="1958"/>
      <c r="X145" s="1958">
        <f t="shared" ref="X145:X208" si="120">V145-G145</f>
        <v>0</v>
      </c>
      <c r="Y145" s="2127" t="s">
        <v>469</v>
      </c>
      <c r="AF145" s="1910">
        <v>59838.25</v>
      </c>
      <c r="AG145" s="2128">
        <f t="shared" ref="AG145:AG208" si="121">AF145-J145</f>
        <v>-2423.8499999999985</v>
      </c>
    </row>
    <row r="146" spans="1:33" ht="21.95" customHeight="1" x14ac:dyDescent="0.2">
      <c r="A146" s="1910">
        <f>satpek!$B$109</f>
        <v>90</v>
      </c>
      <c r="B146" s="3327">
        <f>B145+1</f>
        <v>4</v>
      </c>
      <c r="C146" s="2132"/>
      <c r="D146" s="2133" t="str">
        <f>VLOOKUP($A146,satpek!$B$20:$N$144,2,0)</f>
        <v>Sponengan</v>
      </c>
      <c r="E146" s="2133"/>
      <c r="F146" s="2134"/>
      <c r="G146" s="1945">
        <f>'[3]B.VOL RAB'!Q331</f>
        <v>1006.24</v>
      </c>
      <c r="H146" s="2456" t="str">
        <f>VLOOKUP($A146,satpek!$B$20:$N$144,7,0)</f>
        <v>m'</v>
      </c>
      <c r="I146" s="3281" t="str">
        <f>VLOOKUP($A146,satpek!$B$20:$N$144,5,0)</f>
        <v>Harga Satuan</v>
      </c>
      <c r="J146" s="1951">
        <f>VLOOKUP($A146,satpek!$B$20:$N$144,6,0)</f>
        <v>15000</v>
      </c>
      <c r="K146" s="3273"/>
      <c r="L146" s="1952">
        <f t="shared" si="116"/>
        <v>15093600</v>
      </c>
      <c r="M146" s="1967"/>
      <c r="N146" s="2458">
        <f>VLOOKUP($A146,satpek!$B$20:$L$138,8,0)</f>
        <v>0.5</v>
      </c>
      <c r="O146" s="1954">
        <f>VLOOKUP($A146,satpek!$B$20:$L$138,9,0)</f>
        <v>0</v>
      </c>
      <c r="P146" s="1954">
        <f>VLOOKUP($A146,satpek!$B$20:$L$138,10,0)</f>
        <v>7500</v>
      </c>
      <c r="Q146" s="1952">
        <f t="shared" si="117"/>
        <v>0</v>
      </c>
      <c r="R146" s="1952">
        <f t="shared" si="118"/>
        <v>7546800</v>
      </c>
      <c r="S146" s="3282">
        <f t="shared" si="119"/>
        <v>7546800</v>
      </c>
      <c r="V146" s="1958">
        <v>1006.24</v>
      </c>
      <c r="W146" s="1958"/>
      <c r="X146" s="1958">
        <f t="shared" si="120"/>
        <v>0</v>
      </c>
      <c r="Y146" s="2127" t="s">
        <v>585</v>
      </c>
      <c r="AF146" s="1910">
        <v>15000</v>
      </c>
      <c r="AG146" s="2128">
        <f t="shared" si="121"/>
        <v>0</v>
      </c>
    </row>
    <row r="147" spans="1:33" ht="21.95" customHeight="1" x14ac:dyDescent="0.2">
      <c r="A147" s="1910">
        <f>satpek!$B$37</f>
        <v>18</v>
      </c>
      <c r="B147" s="3327">
        <f>B146+1</f>
        <v>5</v>
      </c>
      <c r="C147" s="2132"/>
      <c r="D147" s="2133" t="str">
        <f>VLOOKUP($A147,satpek!$B$20:$N$144,2,0)</f>
        <v>Memasang acian</v>
      </c>
      <c r="E147" s="2133"/>
      <c r="F147" s="2134"/>
      <c r="G147" s="1945">
        <f>'[3]B.VOL RAB'!Q334</f>
        <v>754.95699999999999</v>
      </c>
      <c r="H147" s="2456" t="str">
        <f>VLOOKUP($A147,satpek!$B$20:$N$144,7,0)</f>
        <v>m2</v>
      </c>
      <c r="I147" s="3281" t="str">
        <f>VLOOKUP($A147,satpek!$B$20:$N$144,5,0)</f>
        <v>A.4.4.2.27.</v>
      </c>
      <c r="J147" s="1951">
        <f>VLOOKUP($A147,satpek!$B$20:$N$144,6,0)</f>
        <v>36634.6</v>
      </c>
      <c r="K147" s="3273"/>
      <c r="L147" s="1952">
        <f t="shared" si="116"/>
        <v>27657547.710000001</v>
      </c>
      <c r="M147" s="1967"/>
      <c r="N147" s="2458">
        <f>VLOOKUP($A147,satpek!$B$20:$L$138,8,0)</f>
        <v>0.98212399753238744</v>
      </c>
      <c r="O147" s="1954">
        <f>VLOOKUP($A147,satpek!$B$20:$L$138,9,0)</f>
        <v>31840.46</v>
      </c>
      <c r="P147" s="1954">
        <f>VLOOKUP($A147,satpek!$B$20:$L$138,10,0)</f>
        <v>35979.719799999999</v>
      </c>
      <c r="Q147" s="1952">
        <f t="shared" si="117"/>
        <v>24038178.160220001</v>
      </c>
      <c r="R147" s="1952">
        <f t="shared" si="118"/>
        <v>27163141.31888793</v>
      </c>
      <c r="S147" s="3282">
        <f t="shared" si="119"/>
        <v>494406.39111207053</v>
      </c>
      <c r="V147" s="1958">
        <v>754.95699999999999</v>
      </c>
      <c r="W147" s="1958"/>
      <c r="X147" s="1958">
        <f t="shared" si="120"/>
        <v>0</v>
      </c>
      <c r="Y147" s="2127" t="s">
        <v>470</v>
      </c>
      <c r="AF147" s="1910">
        <v>35628.9</v>
      </c>
      <c r="AG147" s="2128">
        <f t="shared" si="121"/>
        <v>-1005.6999999999971</v>
      </c>
    </row>
    <row r="148" spans="1:33" ht="21.95" customHeight="1" x14ac:dyDescent="0.2">
      <c r="B148" s="2114"/>
      <c r="C148" s="2115"/>
      <c r="D148" s="2116"/>
      <c r="E148" s="2116"/>
      <c r="F148" s="2117"/>
      <c r="G148" s="2021"/>
      <c r="H148" s="3289"/>
      <c r="I148" s="3290"/>
      <c r="J148" s="2026"/>
      <c r="K148" s="2027"/>
      <c r="L148" s="2065" t="s">
        <v>1802</v>
      </c>
      <c r="M148" s="2463">
        <f>SUM(L136:L148)</f>
        <v>446135900.54000002</v>
      </c>
      <c r="N148" s="3291">
        <f>R148/M148</f>
        <v>0.82942507503681706</v>
      </c>
      <c r="O148" s="2121"/>
      <c r="P148" s="2121"/>
      <c r="Q148" s="2119"/>
      <c r="R148" s="2123">
        <f>SUM(R134:R147)</f>
        <v>370036302.78200746</v>
      </c>
      <c r="S148" s="3294">
        <f>SUM(S136:S147)</f>
        <v>76099597.757992581</v>
      </c>
      <c r="U148" s="2125">
        <f>M148-T148</f>
        <v>446135900.54000002</v>
      </c>
      <c r="V148" s="1958"/>
      <c r="W148" s="1958"/>
      <c r="X148" s="1958">
        <f t="shared" si="120"/>
        <v>0</v>
      </c>
      <c r="AG148" s="2128">
        <f t="shared" si="121"/>
        <v>0</v>
      </c>
    </row>
    <row r="149" spans="1:33" ht="21.95" customHeight="1" x14ac:dyDescent="0.2">
      <c r="B149" s="3265" t="s">
        <v>1803</v>
      </c>
      <c r="C149" s="3266"/>
      <c r="D149" s="3267" t="s">
        <v>1804</v>
      </c>
      <c r="E149" s="3268"/>
      <c r="F149" s="3269"/>
      <c r="G149" s="1945"/>
      <c r="H149" s="3271"/>
      <c r="I149" s="3272"/>
      <c r="J149" s="1951"/>
      <c r="K149" s="2089"/>
      <c r="L149" s="2090"/>
      <c r="M149" s="1967"/>
      <c r="N149" s="3276"/>
      <c r="O149" s="3277"/>
      <c r="P149" s="3277"/>
      <c r="Q149" s="3278"/>
      <c r="R149" s="3295"/>
      <c r="S149" s="3280"/>
      <c r="V149" s="1958">
        <f>Rekap!Q48</f>
        <v>1175000</v>
      </c>
      <c r="W149" s="1958"/>
      <c r="X149" s="1958">
        <f t="shared" si="120"/>
        <v>1175000</v>
      </c>
      <c r="Y149" s="2127" t="s">
        <v>1804</v>
      </c>
      <c r="AC149" s="2127"/>
      <c r="AD149" s="2127"/>
      <c r="AE149" s="2127"/>
      <c r="AG149" s="2128">
        <f t="shared" si="121"/>
        <v>0</v>
      </c>
    </row>
    <row r="150" spans="1:33" ht="21.95" customHeight="1" x14ac:dyDescent="0.2">
      <c r="B150" s="3265"/>
      <c r="C150" s="3266"/>
      <c r="D150" s="3267" t="s">
        <v>1769</v>
      </c>
      <c r="E150" s="3268"/>
      <c r="F150" s="3269"/>
      <c r="G150" s="1945"/>
      <c r="H150" s="3271"/>
      <c r="I150" s="3272"/>
      <c r="J150" s="1951"/>
      <c r="K150" s="2089"/>
      <c r="L150" s="2090"/>
      <c r="M150" s="1997"/>
      <c r="N150" s="3276"/>
      <c r="O150" s="3277"/>
      <c r="P150" s="3277"/>
      <c r="Q150" s="3278"/>
      <c r="R150" s="3295"/>
      <c r="S150" s="3280"/>
      <c r="V150" s="1958"/>
      <c r="W150" s="1958"/>
      <c r="X150" s="1958">
        <f t="shared" si="120"/>
        <v>0</v>
      </c>
      <c r="Y150" s="2127" t="s">
        <v>1769</v>
      </c>
      <c r="AC150" s="2127"/>
      <c r="AD150" s="2127"/>
      <c r="AE150" s="2127"/>
      <c r="AG150" s="2128">
        <f t="shared" si="121"/>
        <v>0</v>
      </c>
    </row>
    <row r="151" spans="1:33" s="2329" customFormat="1" ht="21.95" customHeight="1" x14ac:dyDescent="0.2">
      <c r="A151" s="1959">
        <f>satpek!$B$39</f>
        <v>20</v>
      </c>
      <c r="B151" s="2131">
        <v>1</v>
      </c>
      <c r="C151" s="3268"/>
      <c r="D151" s="2133" t="s">
        <v>1805</v>
      </c>
      <c r="E151" s="3268"/>
      <c r="F151" s="3269"/>
      <c r="G151" s="1945">
        <f>'[3]B.VOL RAB'!Q340</f>
        <v>67.116</v>
      </c>
      <c r="H151" s="2456" t="str">
        <f>VLOOKUP($A151,satpek!$B$20:$N$144,7,0)</f>
        <v>m3</v>
      </c>
      <c r="I151" s="3281" t="str">
        <f>VLOOKUP($A151,satpek!$B$20:$N$144,5,0)</f>
        <v>A.4.1.1.1.</v>
      </c>
      <c r="J151" s="1951">
        <f>VLOOKUP($A151,satpek!$B$20:$N$144,6,0)</f>
        <v>958085.99</v>
      </c>
      <c r="K151" s="3273"/>
      <c r="L151" s="1952">
        <f t="shared" ref="L151:L159" si="122">ROUND((G151*J151),2)</f>
        <v>64302899.299999997</v>
      </c>
      <c r="M151" s="1997"/>
      <c r="N151" s="2458">
        <f>VLOOKUP($A151,satpek!$B$20:$L$138,8,0)</f>
        <v>0.94805174525042479</v>
      </c>
      <c r="O151" s="1954">
        <f>VLOOKUP($A151,satpek!$B$20:$L$138,9,0)</f>
        <v>803818.67</v>
      </c>
      <c r="P151" s="1954">
        <f>VLOOKUP($A151,satpek!$B$20:$L$138,10,0)</f>
        <v>908315.09710000001</v>
      </c>
      <c r="Q151" s="1952">
        <f t="shared" ref="Q151:Q159" si="123">O151*G151</f>
        <v>53949093.855720006</v>
      </c>
      <c r="R151" s="1952">
        <f t="shared" ref="R151:R159" si="124">N151*L151</f>
        <v>60962475.906027317</v>
      </c>
      <c r="S151" s="3282">
        <f t="shared" ref="S151:S159" si="125">L151-R151</f>
        <v>3340423.39397268</v>
      </c>
      <c r="T151" s="2125"/>
      <c r="U151" s="2125"/>
      <c r="V151" s="1958">
        <v>67.116</v>
      </c>
      <c r="W151" s="1958"/>
      <c r="X151" s="1958">
        <f t="shared" si="120"/>
        <v>0</v>
      </c>
      <c r="Y151" s="2329" t="s">
        <v>1805</v>
      </c>
      <c r="AF151" s="1959">
        <v>969189.7</v>
      </c>
      <c r="AG151" s="2128">
        <f t="shared" si="121"/>
        <v>11103.709999999963</v>
      </c>
    </row>
    <row r="152" spans="1:33" ht="21.95" customHeight="1" x14ac:dyDescent="0.2">
      <c r="A152" s="1910">
        <f>satpek!$B$62</f>
        <v>43</v>
      </c>
      <c r="B152" s="2131">
        <f>B151+1</f>
        <v>2</v>
      </c>
      <c r="C152" s="2132"/>
      <c r="D152" s="2133" t="s">
        <v>1806</v>
      </c>
      <c r="E152" s="2133"/>
      <c r="F152" s="2134"/>
      <c r="G152" s="1945">
        <f>'[3]B.VOL RAB'!Q341</f>
        <v>742.51</v>
      </c>
      <c r="H152" s="2456" t="str">
        <f>VLOOKUP($A152,satpek!$B$20:$N$144,7,0)</f>
        <v>m2</v>
      </c>
      <c r="I152" s="3281" t="str">
        <f>VLOOKUP($A152,satpek!$B$20:$N$144,5,0)</f>
        <v>An. Dihitung</v>
      </c>
      <c r="J152" s="1951">
        <f>VLOOKUP($A152,satpek!$B$20:$N$144,6,0)</f>
        <v>245041.63</v>
      </c>
      <c r="K152" s="3273"/>
      <c r="L152" s="1952">
        <f t="shared" si="122"/>
        <v>181945860.69</v>
      </c>
      <c r="M152" s="1997"/>
      <c r="N152" s="2458">
        <f>VLOOKUP($A152,satpek!$B$20:$L$138,8,0)</f>
        <v>0.81409874983283448</v>
      </c>
      <c r="O152" s="1954">
        <f>VLOOKUP($A152,satpek!$B$20:$L$138,9,0)</f>
        <v>176538.128</v>
      </c>
      <c r="P152" s="1954">
        <f>VLOOKUP($A152,satpek!$B$20:$L$138,10,0)</f>
        <v>199488.08463999999</v>
      </c>
      <c r="Q152" s="1952">
        <f t="shared" si="123"/>
        <v>131081325.42128</v>
      </c>
      <c r="R152" s="1952">
        <f t="shared" si="124"/>
        <v>148121897.72498807</v>
      </c>
      <c r="S152" s="3282">
        <f t="shared" si="125"/>
        <v>33823962.965011925</v>
      </c>
      <c r="V152" s="1958">
        <v>742.51</v>
      </c>
      <c r="W152" s="1958"/>
      <c r="X152" s="1958">
        <f t="shared" si="120"/>
        <v>0</v>
      </c>
      <c r="Y152" s="2127" t="s">
        <v>1806</v>
      </c>
      <c r="AC152" s="2127"/>
      <c r="AD152" s="2127"/>
      <c r="AE152" s="2127"/>
      <c r="AF152" s="1910">
        <v>197097.99</v>
      </c>
      <c r="AG152" s="2128">
        <f t="shared" si="121"/>
        <v>-47943.640000000014</v>
      </c>
    </row>
    <row r="153" spans="1:33" ht="21.95" customHeight="1" x14ac:dyDescent="0.2">
      <c r="A153" s="1910">
        <f>satpek!$B$63</f>
        <v>44</v>
      </c>
      <c r="B153" s="2131">
        <f t="shared" ref="B153:B159" si="126">B152+1</f>
        <v>3</v>
      </c>
      <c r="C153" s="2132"/>
      <c r="D153" s="2133" t="s">
        <v>1807</v>
      </c>
      <c r="E153" s="2133"/>
      <c r="F153" s="2134"/>
      <c r="G153" s="1945">
        <f>'[3]B.VOL RAB'!Q348</f>
        <v>80.600000000000009</v>
      </c>
      <c r="H153" s="2456" t="str">
        <f>VLOOKUP($A153,satpek!$B$20:$N$144,7,0)</f>
        <v>m2</v>
      </c>
      <c r="I153" s="3281" t="str">
        <f>VLOOKUP($A153,satpek!$B$20:$N$144,5,0)</f>
        <v>An. Dihitung</v>
      </c>
      <c r="J153" s="1951">
        <f>VLOOKUP($A153,satpek!$B$20:$N$144,6,0)</f>
        <v>301541.63</v>
      </c>
      <c r="K153" s="3273"/>
      <c r="L153" s="1952">
        <f t="shared" si="122"/>
        <v>24304255.379999999</v>
      </c>
      <c r="M153" s="1997"/>
      <c r="N153" s="2458">
        <f>VLOOKUP($A153,satpek!$B$20:$L$138,8,0)</f>
        <v>0.79200800446691222</v>
      </c>
      <c r="O153" s="1954">
        <f>VLOOKUP($A153,satpek!$B$20:$L$138,9,0)</f>
        <v>211348.128</v>
      </c>
      <c r="P153" s="1954">
        <f>VLOOKUP($A153,satpek!$B$20:$L$138,10,0)</f>
        <v>238823.38464</v>
      </c>
      <c r="Q153" s="1952">
        <f t="shared" si="123"/>
        <v>17034659.116800003</v>
      </c>
      <c r="R153" s="1952">
        <f t="shared" si="124"/>
        <v>19249164.803568013</v>
      </c>
      <c r="S153" s="3282">
        <f t="shared" si="125"/>
        <v>5055090.5764319859</v>
      </c>
      <c r="V153" s="1958">
        <v>80.600000000000009</v>
      </c>
      <c r="W153" s="1958"/>
      <c r="X153" s="1958">
        <f t="shared" si="120"/>
        <v>0</v>
      </c>
      <c r="Y153" s="2127" t="s">
        <v>1807</v>
      </c>
      <c r="AC153" s="2127"/>
      <c r="AD153" s="2127"/>
      <c r="AE153" s="2127"/>
      <c r="AF153" s="1910">
        <v>230387.79</v>
      </c>
      <c r="AG153" s="2128">
        <f t="shared" si="121"/>
        <v>-71153.84</v>
      </c>
    </row>
    <row r="154" spans="1:33" ht="21.95" customHeight="1" x14ac:dyDescent="0.2">
      <c r="A154" s="1910">
        <f>satpek!$B$64</f>
        <v>45</v>
      </c>
      <c r="B154" s="2131">
        <f t="shared" si="126"/>
        <v>4</v>
      </c>
      <c r="C154" s="2132"/>
      <c r="D154" s="2133" t="str">
        <f>VLOOKUP($A154,satpek!$B$20:$N$144,2,0)</f>
        <v>Memasang dinding Homogenius tile  uk. (30x60) cm</v>
      </c>
      <c r="E154" s="2133"/>
      <c r="F154" s="2134"/>
      <c r="G154" s="1945">
        <f>'[3]B.VOL RAB'!Q353</f>
        <v>67.824000000000012</v>
      </c>
      <c r="H154" s="2456" t="str">
        <f>VLOOKUP($A154,satpek!$B$20:$N$144,7,0)</f>
        <v>m2</v>
      </c>
      <c r="I154" s="3281" t="str">
        <f>VLOOKUP($A154,satpek!$B$20:$N$144,5,0)</f>
        <v>An. Dihitung</v>
      </c>
      <c r="J154" s="1951">
        <f>VLOOKUP($A154,satpek!$B$20:$N$144,6,0)</f>
        <v>281318.25</v>
      </c>
      <c r="K154" s="3273"/>
      <c r="L154" s="1952">
        <f t="shared" si="122"/>
        <v>19080128.989999998</v>
      </c>
      <c r="M154" s="1997"/>
      <c r="N154" s="2458">
        <f>VLOOKUP($A154,satpek!$B$20:$L$138,8,0)</f>
        <v>0.85772412757045269</v>
      </c>
      <c r="O154" s="1954">
        <f>VLOOKUP($A154,satpek!$B$20:$L$138,9,0)</f>
        <v>213534.024</v>
      </c>
      <c r="P154" s="1954">
        <f>VLOOKUP($A154,satpek!$B$20:$L$138,10,0)</f>
        <v>241293.44712</v>
      </c>
      <c r="Q154" s="1952">
        <f t="shared" si="123"/>
        <v>14482731.643776003</v>
      </c>
      <c r="R154" s="1952">
        <f t="shared" si="124"/>
        <v>16365486.991879452</v>
      </c>
      <c r="S154" s="3282">
        <f t="shared" si="125"/>
        <v>2714641.9981205463</v>
      </c>
      <c r="V154" s="1958">
        <v>67.824000000000012</v>
      </c>
      <c r="W154" s="1958"/>
      <c r="X154" s="1958">
        <f t="shared" si="120"/>
        <v>0</v>
      </c>
      <c r="Y154" s="2127" t="s">
        <v>1808</v>
      </c>
      <c r="AC154" s="2127"/>
      <c r="AD154" s="2127"/>
      <c r="AE154" s="2127"/>
      <c r="AF154" s="1910">
        <v>228382.94</v>
      </c>
      <c r="AG154" s="2128">
        <f t="shared" si="121"/>
        <v>-52935.31</v>
      </c>
    </row>
    <row r="155" spans="1:33" ht="21.95" customHeight="1" x14ac:dyDescent="0.2">
      <c r="A155" s="1910">
        <f>satpek!$B$61</f>
        <v>42</v>
      </c>
      <c r="B155" s="2131">
        <f t="shared" si="126"/>
        <v>5</v>
      </c>
      <c r="C155" s="2132"/>
      <c r="D155" s="2133" t="str">
        <f>VLOOKUP($A155,satpek!$B$20:$N$144,2,0)</f>
        <v>Pasang batu andesit</v>
      </c>
      <c r="E155" s="2133"/>
      <c r="F155" s="2134"/>
      <c r="G155" s="1945">
        <v>45.2029</v>
      </c>
      <c r="H155" s="2456" t="str">
        <f>VLOOKUP($A155,satpek!$B$20:$N$144,7,0)</f>
        <v>m2</v>
      </c>
      <c r="I155" s="3281" t="str">
        <f>VLOOKUP($A155,satpek!$B$20:$N$144,5,0)</f>
        <v>A.4.4.3.58b.</v>
      </c>
      <c r="J155" s="1951">
        <f>VLOOKUP($A155,satpek!$B$20:$N$144,6,0)</f>
        <v>362752.6</v>
      </c>
      <c r="K155" s="3273"/>
      <c r="L155" s="1952">
        <f t="shared" si="122"/>
        <v>16397469.5</v>
      </c>
      <c r="M155" s="1997"/>
      <c r="N155" s="2458">
        <f>VLOOKUP($A155,satpek!$B$20:$L$138,8,0)</f>
        <v>0.99347311693975449</v>
      </c>
      <c r="O155" s="1954">
        <f>VLOOKUP($A155,satpek!$B$20:$L$138,9,0)</f>
        <v>318924.74</v>
      </c>
      <c r="P155" s="1954">
        <f>VLOOKUP($A155,satpek!$B$20:$L$138,10,0)</f>
        <v>360384.95620000002</v>
      </c>
      <c r="Q155" s="1952">
        <f t="shared" si="123"/>
        <v>14416323.129745999</v>
      </c>
      <c r="R155" s="1952">
        <f t="shared" si="124"/>
        <v>16290445.134089557</v>
      </c>
      <c r="S155" s="3282">
        <f t="shared" si="125"/>
        <v>107024.36591044255</v>
      </c>
      <c r="V155" s="1958">
        <v>41.8</v>
      </c>
      <c r="W155" s="1958"/>
      <c r="X155" s="1958">
        <f t="shared" si="120"/>
        <v>-3.4029000000000025</v>
      </c>
      <c r="Y155" s="2127" t="s">
        <v>1912</v>
      </c>
      <c r="AC155" s="2127"/>
      <c r="AD155" s="2127"/>
      <c r="AE155" s="2127"/>
      <c r="AF155" s="1910">
        <v>358046.15</v>
      </c>
      <c r="AG155" s="2128">
        <f t="shared" si="121"/>
        <v>-4706.4499999999534</v>
      </c>
    </row>
    <row r="156" spans="1:33" ht="21.95" customHeight="1" x14ac:dyDescent="0.2">
      <c r="A156" s="1910">
        <f>satpek!$B$105</f>
        <v>86</v>
      </c>
      <c r="B156" s="2131">
        <f t="shared" si="126"/>
        <v>6</v>
      </c>
      <c r="C156" s="2132"/>
      <c r="D156" s="2133" t="str">
        <f>VLOOKUP($A156,satpek!$B$20:$N$144,2,0)</f>
        <v>Memasang paving tb. 8 cm, K.250, polos</v>
      </c>
      <c r="E156" s="2133"/>
      <c r="F156" s="2134"/>
      <c r="G156" s="1945">
        <f>'[3]B.VOL RAB'!Q359</f>
        <v>183.52999999999997</v>
      </c>
      <c r="H156" s="2456" t="str">
        <f>VLOOKUP($A156,satpek!$B$20:$N$144,7,0)</f>
        <v>m2</v>
      </c>
      <c r="I156" s="3281" t="str">
        <f>VLOOKUP($A156,satpek!$B$20:$N$144,5,0)</f>
        <v>An. Dihitung</v>
      </c>
      <c r="J156" s="1951">
        <f>VLOOKUP($A156,satpek!$B$20:$N$144,6,0)</f>
        <v>206637.45</v>
      </c>
      <c r="K156" s="3273"/>
      <c r="L156" s="1952">
        <f t="shared" si="122"/>
        <v>37924171.200000003</v>
      </c>
      <c r="M156" s="1997"/>
      <c r="N156" s="2458">
        <f>VLOOKUP($A156,satpek!$B$20:$L$138,8,0)</f>
        <v>1</v>
      </c>
      <c r="O156" s="1954">
        <f>VLOOKUP($A156,satpek!$B$20:$L$138,9,0)</f>
        <v>182865</v>
      </c>
      <c r="P156" s="1954">
        <f>VLOOKUP($A156,satpek!$B$20:$L$138,10,0)</f>
        <v>206637.45</v>
      </c>
      <c r="Q156" s="1952">
        <f t="shared" si="123"/>
        <v>33561213.449999996</v>
      </c>
      <c r="R156" s="1952">
        <f t="shared" si="124"/>
        <v>37924171.200000003</v>
      </c>
      <c r="S156" s="3282">
        <f t="shared" si="125"/>
        <v>0</v>
      </c>
      <c r="V156" s="1958">
        <v>183.52999999999997</v>
      </c>
      <c r="W156" s="1958"/>
      <c r="X156" s="1958">
        <f t="shared" si="120"/>
        <v>0</v>
      </c>
      <c r="Y156" s="2127" t="s">
        <v>234</v>
      </c>
      <c r="AC156" s="2127"/>
      <c r="AD156" s="2127"/>
      <c r="AE156" s="2127"/>
      <c r="AF156" s="1910">
        <v>199348.95</v>
      </c>
      <c r="AG156" s="2128">
        <f t="shared" si="121"/>
        <v>-7288.5</v>
      </c>
    </row>
    <row r="157" spans="1:33" ht="21.95" customHeight="1" x14ac:dyDescent="0.2">
      <c r="A157" s="1910">
        <f>satpek!$B$60</f>
        <v>41</v>
      </c>
      <c r="B157" s="2131">
        <f t="shared" si="126"/>
        <v>7</v>
      </c>
      <c r="C157" s="2132"/>
      <c r="D157" s="2133" t="str">
        <f>VLOOKUP($A157,satpek!$B$20:$N$144,2,0)</f>
        <v xml:space="preserve">Memasang lantai keramik unpolish ukuran 30/30 cm </v>
      </c>
      <c r="E157" s="2133"/>
      <c r="F157" s="2134"/>
      <c r="G157" s="1945">
        <f>'[3]B.VOL RAB'!Q361</f>
        <v>18.840000000000003</v>
      </c>
      <c r="H157" s="2456" t="str">
        <f>VLOOKUP($A157,satpek!$B$20:$N$144,7,0)</f>
        <v>m2</v>
      </c>
      <c r="I157" s="3281" t="str">
        <f>VLOOKUP($A157,satpek!$B$20:$N$144,5,0)</f>
        <v>A.4.4.3.35.</v>
      </c>
      <c r="J157" s="1951">
        <f>VLOOKUP($A157,satpek!$B$20:$N$144,6,0)</f>
        <v>186829.68</v>
      </c>
      <c r="K157" s="3273"/>
      <c r="L157" s="1952">
        <f t="shared" si="122"/>
        <v>3519871.17</v>
      </c>
      <c r="M157" s="1997"/>
      <c r="N157" s="2458">
        <f>VLOOKUP($A157,satpek!$B$20:$L$138,8,0)</f>
        <v>0.83020878695504929</v>
      </c>
      <c r="O157" s="1954">
        <f>VLOOKUP($A157,satpek!$B$20:$L$138,9,0)</f>
        <v>137263.40000000002</v>
      </c>
      <c r="P157" s="1954">
        <f>VLOOKUP($A157,satpek!$B$20:$L$138,10,0)</f>
        <v>155107.64200000002</v>
      </c>
      <c r="Q157" s="1952">
        <f t="shared" si="123"/>
        <v>2586042.4560000007</v>
      </c>
      <c r="R157" s="1952">
        <f t="shared" si="124"/>
        <v>2922227.9742837502</v>
      </c>
      <c r="S157" s="3282">
        <f t="shared" si="125"/>
        <v>597643.19571624976</v>
      </c>
      <c r="V157" s="1958">
        <v>18.840000000000003</v>
      </c>
      <c r="W157" s="1958"/>
      <c r="X157" s="1958">
        <f t="shared" si="120"/>
        <v>0</v>
      </c>
      <c r="Y157" s="2016" t="s">
        <v>1809</v>
      </c>
      <c r="AC157" s="2127"/>
      <c r="AD157" s="2127"/>
      <c r="AE157" s="2127"/>
      <c r="AF157" s="1910">
        <v>176741.04</v>
      </c>
      <c r="AG157" s="2128">
        <f t="shared" si="121"/>
        <v>-10088.639999999985</v>
      </c>
    </row>
    <row r="158" spans="1:33" ht="21.95" customHeight="1" x14ac:dyDescent="0.2">
      <c r="A158" s="1910">
        <f>satpek!$B$59</f>
        <v>40</v>
      </c>
      <c r="B158" s="2131">
        <f t="shared" si="126"/>
        <v>8</v>
      </c>
      <c r="C158" s="2132"/>
      <c r="D158" s="2133" t="str">
        <f>VLOOKUP($A158,satpek!$B$20:$N$144,2,0)</f>
        <v>Memasang plint lantai Homogenius tile uk. (10 x 60) cm</v>
      </c>
      <c r="E158" s="2133"/>
      <c r="F158" s="2134"/>
      <c r="G158" s="1945">
        <f>'[3]B.VOL RAB'!Q365</f>
        <v>614.89999999999964</v>
      </c>
      <c r="H158" s="2456" t="str">
        <f>VLOOKUP($A158,satpek!$B$20:$N$144,7,0)</f>
        <v>m'</v>
      </c>
      <c r="I158" s="3281" t="str">
        <f>VLOOKUP($A158,satpek!$B$20:$N$144,5,0)</f>
        <v>A.4.4.3.28.a.</v>
      </c>
      <c r="J158" s="1951">
        <f>VLOOKUP($A158,satpek!$B$20:$N$144,6,0)</f>
        <v>38068.57</v>
      </c>
      <c r="K158" s="3273"/>
      <c r="L158" s="1952">
        <f t="shared" si="122"/>
        <v>23408363.690000001</v>
      </c>
      <c r="M158" s="1997"/>
      <c r="N158" s="2458">
        <f>VLOOKUP($A158,satpek!$B$20:$L$138,8,0)</f>
        <v>0.83654205230193834</v>
      </c>
      <c r="O158" s="1954">
        <f>VLOOKUP($A158,satpek!$B$20:$L$138,9,0)</f>
        <v>28182.265200000002</v>
      </c>
      <c r="P158" s="1954">
        <f>VLOOKUP($A158,satpek!$B$20:$L$138,10,0)</f>
        <v>31845.959676000002</v>
      </c>
      <c r="Q158" s="1952">
        <f t="shared" si="123"/>
        <v>17329274.871479992</v>
      </c>
      <c r="R158" s="1952">
        <f t="shared" si="124"/>
        <v>19582080.602262776</v>
      </c>
      <c r="S158" s="3282">
        <f t="shared" si="125"/>
        <v>3826283.087737225</v>
      </c>
      <c r="V158" s="1958">
        <v>614.89999999999964</v>
      </c>
      <c r="W158" s="1958"/>
      <c r="X158" s="1958">
        <f t="shared" si="120"/>
        <v>0</v>
      </c>
      <c r="Y158" s="2127" t="s">
        <v>1810</v>
      </c>
      <c r="AC158" s="2127"/>
      <c r="AD158" s="2127"/>
      <c r="AE158" s="2127"/>
      <c r="AF158" s="1910">
        <v>72758.44</v>
      </c>
      <c r="AG158" s="2128">
        <f t="shared" si="121"/>
        <v>34689.870000000003</v>
      </c>
    </row>
    <row r="159" spans="1:33" ht="21.95" customHeight="1" x14ac:dyDescent="0.2">
      <c r="A159" s="1910">
        <f>satpek!$B$65</f>
        <v>46</v>
      </c>
      <c r="B159" s="2131">
        <f t="shared" si="126"/>
        <v>9</v>
      </c>
      <c r="C159" s="2132"/>
      <c r="D159" s="2133" t="s">
        <v>1811</v>
      </c>
      <c r="E159" s="2133"/>
      <c r="F159" s="2134"/>
      <c r="G159" s="1945">
        <f>'[3]B.VOL RAB'!Q368</f>
        <v>175.4</v>
      </c>
      <c r="H159" s="2456" t="str">
        <f>VLOOKUP($A159,satpek!$B$20:$N$144,7,0)</f>
        <v>m'</v>
      </c>
      <c r="I159" s="3281" t="str">
        <f>VLOOKUP($A159,satpek!$B$20:$N$144,5,0)</f>
        <v>An. Dihitung</v>
      </c>
      <c r="J159" s="1951">
        <f>VLOOKUP($A159,satpek!$B$20:$N$144,6,0)</f>
        <v>65535.37</v>
      </c>
      <c r="K159" s="3273"/>
      <c r="L159" s="1952">
        <f t="shared" si="122"/>
        <v>11494903.9</v>
      </c>
      <c r="M159" s="1997"/>
      <c r="N159" s="2458">
        <f>VLOOKUP($A159,satpek!$B$20:$L$138,8,0)</f>
        <v>0.7887839071382633</v>
      </c>
      <c r="O159" s="1954">
        <f>VLOOKUP($A159,satpek!$B$20:$L$138,9,0)</f>
        <v>45746.232600000003</v>
      </c>
      <c r="P159" s="1954">
        <f>VLOOKUP($A159,satpek!$B$20:$L$138,10,0)</f>
        <v>51693.242838000006</v>
      </c>
      <c r="Q159" s="1952">
        <f t="shared" si="123"/>
        <v>8023889.1980400011</v>
      </c>
      <c r="R159" s="1952">
        <f t="shared" si="124"/>
        <v>9066995.21042086</v>
      </c>
      <c r="S159" s="3282">
        <f t="shared" si="125"/>
        <v>2427908.6895791404</v>
      </c>
      <c r="V159" s="1958">
        <v>175.4</v>
      </c>
      <c r="W159" s="1958"/>
      <c r="X159" s="1958">
        <f t="shared" si="120"/>
        <v>0</v>
      </c>
      <c r="Y159" s="2127" t="s">
        <v>1811</v>
      </c>
      <c r="AC159" s="2127"/>
      <c r="AD159" s="2127"/>
      <c r="AE159" s="2127"/>
      <c r="AF159" s="1910">
        <v>65393.1</v>
      </c>
      <c r="AG159" s="2128">
        <f t="shared" si="121"/>
        <v>-142.27000000000407</v>
      </c>
    </row>
    <row r="160" spans="1:33" ht="21.95" customHeight="1" x14ac:dyDescent="0.2">
      <c r="B160" s="3265"/>
      <c r="C160" s="3266"/>
      <c r="D160" s="3267" t="s">
        <v>1786</v>
      </c>
      <c r="E160" s="3268"/>
      <c r="F160" s="3269"/>
      <c r="G160" s="1945"/>
      <c r="H160" s="3271"/>
      <c r="I160" s="3272"/>
      <c r="J160" s="1951"/>
      <c r="K160" s="2089"/>
      <c r="L160" s="2090"/>
      <c r="M160" s="1997"/>
      <c r="N160" s="3276"/>
      <c r="O160" s="3277"/>
      <c r="P160" s="3277"/>
      <c r="Q160" s="3278"/>
      <c r="R160" s="3295"/>
      <c r="S160" s="3280"/>
      <c r="V160" s="1958"/>
      <c r="W160" s="1958"/>
      <c r="X160" s="1958">
        <f t="shared" si="120"/>
        <v>0</v>
      </c>
      <c r="Y160" s="2127" t="s">
        <v>1786</v>
      </c>
      <c r="AC160" s="2127"/>
      <c r="AD160" s="2127"/>
      <c r="AE160" s="2127"/>
      <c r="AG160" s="2128">
        <f t="shared" si="121"/>
        <v>0</v>
      </c>
    </row>
    <row r="161" spans="1:33" s="2329" customFormat="1" ht="21.95" customHeight="1" x14ac:dyDescent="0.2">
      <c r="A161" s="1959">
        <f>satpek!$B$39</f>
        <v>20</v>
      </c>
      <c r="B161" s="2131">
        <v>1</v>
      </c>
      <c r="C161" s="3268"/>
      <c r="D161" s="2133" t="str">
        <f>D151</f>
        <v>Membuat lantai kerja beton mutu f'c = 7,4 Mpa, T : 8 cm</v>
      </c>
      <c r="E161" s="3268"/>
      <c r="F161" s="3269"/>
      <c r="G161" s="1945">
        <f>'[3]B.VOL RAB'!Q374</f>
        <v>61.06</v>
      </c>
      <c r="H161" s="2456" t="str">
        <f>VLOOKUP($A161,satpek!$B$20:$N$144,7,0)</f>
        <v>m3</v>
      </c>
      <c r="I161" s="3281" t="str">
        <f>VLOOKUP($A161,satpek!$B$20:$N$144,5,0)</f>
        <v>A.4.1.1.1.</v>
      </c>
      <c r="J161" s="1951">
        <f>VLOOKUP($A161,satpek!$B$20:$N$144,6,0)</f>
        <v>958085.99</v>
      </c>
      <c r="K161" s="3273"/>
      <c r="L161" s="1952">
        <f t="shared" ref="L161:L165" si="127">ROUND((G161*J161),2)</f>
        <v>58500730.549999997</v>
      </c>
      <c r="M161" s="1997"/>
      <c r="N161" s="2458">
        <f>VLOOKUP($A161,satpek!$B$20:$L$138,8,0)</f>
        <v>0.94805174525042479</v>
      </c>
      <c r="O161" s="1954">
        <f>VLOOKUP($A161,satpek!$B$20:$L$138,9,0)</f>
        <v>803818.67</v>
      </c>
      <c r="P161" s="1954">
        <f>VLOOKUP($A161,satpek!$B$20:$L$138,10,0)</f>
        <v>908315.09710000001</v>
      </c>
      <c r="Q161" s="1952">
        <f t="shared" ref="Q161:Q165" si="128">O161*G161</f>
        <v>49081167.990200005</v>
      </c>
      <c r="R161" s="1952">
        <f t="shared" ref="R161:R165" si="129">N161*L161</f>
        <v>55461719.69635234</v>
      </c>
      <c r="S161" s="3282">
        <f t="shared" ref="S161:S165" si="130">L161-R161</f>
        <v>3039010.8536476567</v>
      </c>
      <c r="T161" s="2125"/>
      <c r="U161" s="2125"/>
      <c r="V161" s="1958">
        <v>61.06</v>
      </c>
      <c r="W161" s="1958"/>
      <c r="X161" s="1958">
        <f t="shared" si="120"/>
        <v>0</v>
      </c>
      <c r="Y161" s="2329" t="s">
        <v>1805</v>
      </c>
      <c r="AF161" s="1959">
        <v>969189.7</v>
      </c>
      <c r="AG161" s="2128">
        <f t="shared" si="121"/>
        <v>11103.709999999963</v>
      </c>
    </row>
    <row r="162" spans="1:33" ht="21.95" customHeight="1" x14ac:dyDescent="0.2">
      <c r="A162" s="1910">
        <f>satpek!$B$62</f>
        <v>43</v>
      </c>
      <c r="B162" s="2131">
        <f>B161+1</f>
        <v>2</v>
      </c>
      <c r="C162" s="2132"/>
      <c r="D162" s="2133" t="s">
        <v>1806</v>
      </c>
      <c r="E162" s="2133"/>
      <c r="F162" s="2134"/>
      <c r="G162" s="1945">
        <f>'[3]B.VOL RAB'!Q375</f>
        <v>724.55499999999995</v>
      </c>
      <c r="H162" s="2456" t="str">
        <f>VLOOKUP($A162,satpek!$B$20:$N$144,7,0)</f>
        <v>m2</v>
      </c>
      <c r="I162" s="3281" t="str">
        <f>VLOOKUP($A162,satpek!$B$20:$N$144,5,0)</f>
        <v>An. Dihitung</v>
      </c>
      <c r="J162" s="1951">
        <f>VLOOKUP($A162,satpek!$B$20:$N$144,6,0)</f>
        <v>245041.63</v>
      </c>
      <c r="K162" s="3273"/>
      <c r="L162" s="1952">
        <f t="shared" si="127"/>
        <v>177546138.22</v>
      </c>
      <c r="M162" s="1997"/>
      <c r="N162" s="2458">
        <f>VLOOKUP($A162,satpek!$B$20:$L$138,8,0)</f>
        <v>0.81409874983283448</v>
      </c>
      <c r="O162" s="1954">
        <f>VLOOKUP($A162,satpek!$B$20:$L$138,9,0)</f>
        <v>176538.128</v>
      </c>
      <c r="P162" s="1954">
        <f>VLOOKUP($A162,satpek!$B$20:$L$138,10,0)</f>
        <v>199488.08463999999</v>
      </c>
      <c r="Q162" s="1952">
        <f t="shared" si="128"/>
        <v>127911583.33303998</v>
      </c>
      <c r="R162" s="1952">
        <f t="shared" si="129"/>
        <v>144540089.16254964</v>
      </c>
      <c r="S162" s="3282">
        <f t="shared" si="130"/>
        <v>33006049.057450354</v>
      </c>
      <c r="V162" s="1958">
        <v>724.55499999999995</v>
      </c>
      <c r="W162" s="1958"/>
      <c r="X162" s="1958">
        <f t="shared" si="120"/>
        <v>0</v>
      </c>
      <c r="Y162" s="2127" t="s">
        <v>1806</v>
      </c>
      <c r="AC162" s="2127"/>
      <c r="AD162" s="2127"/>
      <c r="AE162" s="2127"/>
      <c r="AF162" s="1910">
        <v>197097.99</v>
      </c>
      <c r="AG162" s="2128">
        <f t="shared" si="121"/>
        <v>-47943.640000000014</v>
      </c>
    </row>
    <row r="163" spans="1:33" ht="21.95" customHeight="1" x14ac:dyDescent="0.2">
      <c r="A163" s="1910">
        <f>satpek!$B$64</f>
        <v>45</v>
      </c>
      <c r="B163" s="2131">
        <f>B162+1</f>
        <v>3</v>
      </c>
      <c r="C163" s="2132"/>
      <c r="D163" s="2133" t="str">
        <f>VLOOKUP($A163,satpek!$B$20:$N$144,2,0)</f>
        <v>Memasang dinding Homogenius tile  uk. (30x60) cm</v>
      </c>
      <c r="E163" s="2133"/>
      <c r="F163" s="2134"/>
      <c r="G163" s="1945">
        <f>'[3]B.VOL RAB'!Q381</f>
        <v>59.508000000000017</v>
      </c>
      <c r="H163" s="2456" t="str">
        <f>VLOOKUP($A163,satpek!$B$20:$N$144,7,0)</f>
        <v>m2</v>
      </c>
      <c r="I163" s="3281" t="str">
        <f>VLOOKUP($A163,satpek!$B$20:$N$144,5,0)</f>
        <v>An. Dihitung</v>
      </c>
      <c r="J163" s="1951">
        <f>VLOOKUP($A163,satpek!$B$20:$N$144,6,0)</f>
        <v>281318.25</v>
      </c>
      <c r="K163" s="3273"/>
      <c r="L163" s="1952">
        <f t="shared" si="127"/>
        <v>16740686.42</v>
      </c>
      <c r="M163" s="1997"/>
      <c r="N163" s="2458">
        <f>VLOOKUP($A163,satpek!$B$20:$L$138,8,0)</f>
        <v>0.85772412757045269</v>
      </c>
      <c r="O163" s="1954">
        <f>VLOOKUP($A163,satpek!$B$20:$L$138,9,0)</f>
        <v>213534.024</v>
      </c>
      <c r="P163" s="1954">
        <f>VLOOKUP($A163,satpek!$B$20:$L$138,10,0)</f>
        <v>241293.44712</v>
      </c>
      <c r="Q163" s="1952">
        <f t="shared" si="128"/>
        <v>12706982.700192004</v>
      </c>
      <c r="R163" s="1952">
        <f t="shared" si="129"/>
        <v>14358890.654525025</v>
      </c>
      <c r="S163" s="3282">
        <f t="shared" si="130"/>
        <v>2381795.7654749751</v>
      </c>
      <c r="V163" s="1958">
        <v>59.508000000000017</v>
      </c>
      <c r="W163" s="1958"/>
      <c r="X163" s="1958">
        <f t="shared" si="120"/>
        <v>0</v>
      </c>
      <c r="Y163" s="2127" t="s">
        <v>1808</v>
      </c>
      <c r="AC163" s="2127"/>
      <c r="AD163" s="2127"/>
      <c r="AE163" s="2127"/>
      <c r="AF163" s="1910">
        <v>228382.94</v>
      </c>
      <c r="AG163" s="2128">
        <f t="shared" si="121"/>
        <v>-52935.31</v>
      </c>
    </row>
    <row r="164" spans="1:33" ht="21.95" customHeight="1" x14ac:dyDescent="0.2">
      <c r="A164" s="1910">
        <f>satpek!$B$60</f>
        <v>41</v>
      </c>
      <c r="B164" s="2131">
        <f>B163+1</f>
        <v>4</v>
      </c>
      <c r="C164" s="2132"/>
      <c r="D164" s="2133" t="str">
        <f>VLOOKUP($A164,satpek!$B$20:$N$144,2,0)</f>
        <v xml:space="preserve">Memasang lantai keramik unpolish ukuran 30/30 cm </v>
      </c>
      <c r="E164" s="2133"/>
      <c r="F164" s="2134"/>
      <c r="G164" s="1945">
        <f>'[3]B.VOL RAB'!Q386</f>
        <v>16.53</v>
      </c>
      <c r="H164" s="2456" t="str">
        <f>VLOOKUP($A164,satpek!$B$20:$N$144,7,0)</f>
        <v>m2</v>
      </c>
      <c r="I164" s="3281" t="str">
        <f>VLOOKUP($A164,satpek!$B$20:$N$144,5,0)</f>
        <v>A.4.4.3.35.</v>
      </c>
      <c r="J164" s="1951">
        <f>VLOOKUP($A164,satpek!$B$20:$N$144,6,0)</f>
        <v>186829.68</v>
      </c>
      <c r="K164" s="3273"/>
      <c r="L164" s="1952">
        <f t="shared" si="127"/>
        <v>3088294.61</v>
      </c>
      <c r="M164" s="1997"/>
      <c r="N164" s="2458">
        <f>VLOOKUP($A164,satpek!$B$20:$L$138,8,0)</f>
        <v>0.83020878695504929</v>
      </c>
      <c r="O164" s="1954">
        <f>VLOOKUP($A164,satpek!$B$20:$L$138,9,0)</f>
        <v>137263.40000000002</v>
      </c>
      <c r="P164" s="1954">
        <f>VLOOKUP($A164,satpek!$B$20:$L$138,10,0)</f>
        <v>155107.64200000002</v>
      </c>
      <c r="Q164" s="1952">
        <f t="shared" si="128"/>
        <v>2268964.0020000003</v>
      </c>
      <c r="R164" s="1952">
        <f t="shared" si="129"/>
        <v>2563929.3219279167</v>
      </c>
      <c r="S164" s="3282">
        <f t="shared" si="130"/>
        <v>524365.28807208315</v>
      </c>
      <c r="V164" s="1958">
        <v>16.53</v>
      </c>
      <c r="W164" s="1958"/>
      <c r="X164" s="1958">
        <f t="shared" si="120"/>
        <v>0</v>
      </c>
      <c r="Y164" s="2127" t="s">
        <v>1809</v>
      </c>
      <c r="AC164" s="2127"/>
      <c r="AD164" s="2127"/>
      <c r="AE164" s="2127"/>
      <c r="AF164" s="1910">
        <v>176741.04</v>
      </c>
      <c r="AG164" s="2128">
        <f t="shared" si="121"/>
        <v>-10088.639999999985</v>
      </c>
    </row>
    <row r="165" spans="1:33" ht="21.95" customHeight="1" x14ac:dyDescent="0.2">
      <c r="A165" s="1910">
        <f>satpek!$B$59</f>
        <v>40</v>
      </c>
      <c r="B165" s="2131">
        <f>B164+1</f>
        <v>5</v>
      </c>
      <c r="C165" s="2132"/>
      <c r="D165" s="2133" t="str">
        <f>VLOOKUP($A165,satpek!$B$20:$N$144,2,0)</f>
        <v>Memasang plint lantai Homogenius tile uk. (10 x 60) cm</v>
      </c>
      <c r="E165" s="2133"/>
      <c r="F165" s="2134"/>
      <c r="G165" s="1945">
        <f>'[3]B.VOL RAB'!Q390</f>
        <v>643.69999999999959</v>
      </c>
      <c r="H165" s="2456" t="str">
        <f>VLOOKUP($A165,satpek!$B$20:$N$144,7,0)</f>
        <v>m'</v>
      </c>
      <c r="I165" s="3281" t="str">
        <f>VLOOKUP($A165,satpek!$B$20:$N$144,5,0)</f>
        <v>A.4.4.3.28.a.</v>
      </c>
      <c r="J165" s="1951">
        <f>VLOOKUP($A165,satpek!$B$20:$N$144,6,0)</f>
        <v>38068.57</v>
      </c>
      <c r="K165" s="3273"/>
      <c r="L165" s="1952">
        <f t="shared" si="127"/>
        <v>24504738.510000002</v>
      </c>
      <c r="M165" s="1997"/>
      <c r="N165" s="2458">
        <f>VLOOKUP($A165,satpek!$B$20:$L$138,8,0)</f>
        <v>0.83654205230193834</v>
      </c>
      <c r="O165" s="1954">
        <f>VLOOKUP($A165,satpek!$B$20:$L$138,9,0)</f>
        <v>28182.265200000002</v>
      </c>
      <c r="P165" s="1954">
        <f>VLOOKUP($A165,satpek!$B$20:$L$138,10,0)</f>
        <v>31845.959676000002</v>
      </c>
      <c r="Q165" s="1952">
        <f t="shared" si="128"/>
        <v>18140924.109239988</v>
      </c>
      <c r="R165" s="1952">
        <f t="shared" si="129"/>
        <v>20499244.244277745</v>
      </c>
      <c r="S165" s="3282">
        <f t="shared" si="130"/>
        <v>4005494.2657222562</v>
      </c>
      <c r="V165" s="1958">
        <v>643.69999999999959</v>
      </c>
      <c r="W165" s="1958"/>
      <c r="X165" s="1958">
        <f t="shared" si="120"/>
        <v>0</v>
      </c>
      <c r="Y165" s="2127" t="s">
        <v>1810</v>
      </c>
      <c r="AC165" s="2127"/>
      <c r="AD165" s="2127"/>
      <c r="AE165" s="2127"/>
      <c r="AF165" s="1910">
        <v>72758.44</v>
      </c>
      <c r="AG165" s="2128">
        <f t="shared" si="121"/>
        <v>34689.870000000003</v>
      </c>
    </row>
    <row r="166" spans="1:33" ht="21.95" customHeight="1" x14ac:dyDescent="0.2">
      <c r="B166" s="2114"/>
      <c r="C166" s="2115"/>
      <c r="D166" s="2116"/>
      <c r="E166" s="2116"/>
      <c r="F166" s="2117"/>
      <c r="G166" s="2021"/>
      <c r="H166" s="3289"/>
      <c r="I166" s="3290"/>
      <c r="J166" s="2026"/>
      <c r="K166" s="2027"/>
      <c r="L166" s="2065" t="s">
        <v>1812</v>
      </c>
      <c r="M166" s="2463">
        <f>SUM(L151:L166)</f>
        <v>662758512.13</v>
      </c>
      <c r="N166" s="3291">
        <f>R166/M166</f>
        <v>0.85688649520620142</v>
      </c>
      <c r="O166" s="2121"/>
      <c r="P166" s="2121"/>
      <c r="Q166" s="2119"/>
      <c r="R166" s="2123">
        <f>SUM(R150:R165)</f>
        <v>567908818.62715244</v>
      </c>
      <c r="S166" s="3294">
        <f>SUM(S151:S165)</f>
        <v>94849693.502847508</v>
      </c>
      <c r="U166" s="2125">
        <f>M166-T166</f>
        <v>662758512.13</v>
      </c>
      <c r="V166" s="1958"/>
      <c r="W166" s="1958"/>
      <c r="X166" s="1958">
        <f t="shared" si="120"/>
        <v>0</v>
      </c>
      <c r="Y166" s="2126"/>
      <c r="AC166" s="2127"/>
      <c r="AD166" s="2127"/>
      <c r="AE166" s="2127"/>
      <c r="AG166" s="2128">
        <f t="shared" si="121"/>
        <v>0</v>
      </c>
    </row>
    <row r="167" spans="1:33" ht="21.95" customHeight="1" x14ac:dyDescent="0.2">
      <c r="B167" s="3265" t="s">
        <v>1813</v>
      </c>
      <c r="C167" s="3266"/>
      <c r="D167" s="3267" t="s">
        <v>1814</v>
      </c>
      <c r="E167" s="3268"/>
      <c r="F167" s="3269"/>
      <c r="G167" s="1945"/>
      <c r="H167" s="3271"/>
      <c r="I167" s="3272"/>
      <c r="J167" s="1951"/>
      <c r="K167" s="2066"/>
      <c r="L167" s="2067"/>
      <c r="M167" s="1967"/>
      <c r="N167" s="3276"/>
      <c r="O167" s="3277"/>
      <c r="P167" s="3277"/>
      <c r="Q167" s="3278"/>
      <c r="R167" s="3295"/>
      <c r="S167" s="3280"/>
      <c r="V167" s="1958"/>
      <c r="W167" s="1958"/>
      <c r="X167" s="1958">
        <f t="shared" si="120"/>
        <v>0</v>
      </c>
      <c r="Y167" s="2127" t="s">
        <v>1814</v>
      </c>
      <c r="AC167" s="2127"/>
      <c r="AD167" s="2127"/>
      <c r="AE167" s="2127"/>
      <c r="AG167" s="2128">
        <f t="shared" si="121"/>
        <v>0</v>
      </c>
    </row>
    <row r="168" spans="1:33" ht="21.95" customHeight="1" x14ac:dyDescent="0.2">
      <c r="B168" s="3265"/>
      <c r="C168" s="3266"/>
      <c r="D168" s="3267" t="s">
        <v>1769</v>
      </c>
      <c r="E168" s="3268"/>
      <c r="F168" s="3269"/>
      <c r="G168" s="1945"/>
      <c r="H168" s="3271"/>
      <c r="I168" s="3272"/>
      <c r="J168" s="1951"/>
      <c r="K168" s="2066"/>
      <c r="L168" s="2067"/>
      <c r="M168" s="1967"/>
      <c r="N168" s="3276"/>
      <c r="O168" s="3277"/>
      <c r="P168" s="3277"/>
      <c r="Q168" s="3278"/>
      <c r="R168" s="3295"/>
      <c r="S168" s="3280"/>
      <c r="V168" s="1958"/>
      <c r="W168" s="1958"/>
      <c r="X168" s="1958">
        <f t="shared" si="120"/>
        <v>0</v>
      </c>
      <c r="Y168" s="2127" t="s">
        <v>1769</v>
      </c>
      <c r="AC168" s="2127"/>
      <c r="AD168" s="2127"/>
      <c r="AE168" s="2127"/>
      <c r="AG168" s="2128">
        <f t="shared" si="121"/>
        <v>0</v>
      </c>
    </row>
    <row r="169" spans="1:33" ht="21.95" customHeight="1" x14ac:dyDescent="0.2">
      <c r="A169" s="1910">
        <f>satpek!$B$53</f>
        <v>34</v>
      </c>
      <c r="B169" s="2131">
        <v>1</v>
      </c>
      <c r="C169" s="2132"/>
      <c r="D169" s="2133" t="str">
        <f>VLOOKUP($A169,satpek!$B$20:$N$144,2,0)</f>
        <v>Memasang rk. plafond besi hollow uk. (60x80) cm</v>
      </c>
      <c r="E169" s="2133"/>
      <c r="F169" s="2134"/>
      <c r="G169" s="1945">
        <f>'[3]B.VOL RAB'!Q395</f>
        <v>785.32499999999993</v>
      </c>
      <c r="H169" s="2456" t="str">
        <f>VLOOKUP($A169,satpek!$B$20:$N$144,7,0)</f>
        <v>m2</v>
      </c>
      <c r="I169" s="3281" t="str">
        <f>VLOOKUP($A169,satpek!$B$20:$N$144,5,0)</f>
        <v>A.4.2.1.20.</v>
      </c>
      <c r="J169" s="1951">
        <f>VLOOKUP($A169,satpek!$B$20:$N$144,6,0)</f>
        <v>98134.85</v>
      </c>
      <c r="K169" s="3273"/>
      <c r="L169" s="1952">
        <f t="shared" ref="L169:L170" si="131">ROUND((G169*J169),2)</f>
        <v>77067751.079999998</v>
      </c>
      <c r="M169" s="1967"/>
      <c r="N169" s="2458">
        <f>VLOOKUP($A169,satpek!$B$20:$L$138,8,0)</f>
        <v>0.71051931602279927</v>
      </c>
      <c r="O169" s="1954">
        <f>VLOOKUP($A169,satpek!$B$20:$L$138,9,0)</f>
        <v>61705.05</v>
      </c>
      <c r="P169" s="1954">
        <f>VLOOKUP($A169,satpek!$B$20:$L$138,10,0)</f>
        <v>69726.7065</v>
      </c>
      <c r="Q169" s="1952">
        <f t="shared" ref="Q169:Q173" si="132">O169*G169</f>
        <v>48458518.391249999</v>
      </c>
      <c r="R169" s="1952">
        <f t="shared" ref="R169:R173" si="133">N169*L169</f>
        <v>54758125.784776948</v>
      </c>
      <c r="S169" s="3282">
        <f t="shared" ref="S169:S173" si="134">L169-R169</f>
        <v>22309625.29522305</v>
      </c>
      <c r="V169" s="1958">
        <v>785.32499999999993</v>
      </c>
      <c r="W169" s="1958"/>
      <c r="X169" s="1958">
        <f t="shared" si="120"/>
        <v>0</v>
      </c>
      <c r="Y169" s="2404" t="s">
        <v>783</v>
      </c>
      <c r="AC169" s="2127"/>
      <c r="AD169" s="2127"/>
      <c r="AE169" s="2127"/>
      <c r="AF169" s="1910">
        <v>96452.28</v>
      </c>
      <c r="AG169" s="2128">
        <f t="shared" si="121"/>
        <v>-1682.570000000007</v>
      </c>
    </row>
    <row r="170" spans="1:33" ht="21.95" customHeight="1" x14ac:dyDescent="0.2">
      <c r="A170" s="1910">
        <f>satpek!$B$49</f>
        <v>30</v>
      </c>
      <c r="B170" s="2131">
        <f>B169+1</f>
        <v>2</v>
      </c>
      <c r="C170" s="2132"/>
      <c r="D170" s="2133" t="str">
        <f>VLOOKUP($A170,satpek!$B$20:$N$144,2,0)</f>
        <v>Memasang langit-langit gypsum board uk. (120x240), tb. 9 mm.</v>
      </c>
      <c r="E170" s="2133"/>
      <c r="F170" s="2134"/>
      <c r="G170" s="1945">
        <f>'[3]B.VOL RAB'!Q399</f>
        <v>753.75</v>
      </c>
      <c r="H170" s="2456" t="str">
        <f>VLOOKUP($A170,satpek!$B$20:$N$144,7,0)</f>
        <v>m2</v>
      </c>
      <c r="I170" s="3281" t="str">
        <f>VLOOKUP($A170,satpek!$B$20:$N$144,5,0)</f>
        <v>A.4.5.1.7.</v>
      </c>
      <c r="J170" s="1951">
        <f>VLOOKUP($A170,satpek!$B$20:$N$144,6,0)</f>
        <v>54047.9</v>
      </c>
      <c r="K170" s="3273"/>
      <c r="L170" s="1952">
        <f t="shared" si="131"/>
        <v>40738604.630000003</v>
      </c>
      <c r="M170" s="1967"/>
      <c r="N170" s="2458">
        <f>VLOOKUP($A170,satpek!$B$20:$L$138,8,0)</f>
        <v>0.47799105164122929</v>
      </c>
      <c r="O170" s="1954">
        <f>VLOOKUP($A170,satpek!$B$20:$L$138,9,0)</f>
        <v>22862.311999999998</v>
      </c>
      <c r="P170" s="1954">
        <f>VLOOKUP($A170,satpek!$B$20:$L$138,10,0)</f>
        <v>25834.412559999997</v>
      </c>
      <c r="Q170" s="1952">
        <f t="shared" si="132"/>
        <v>17232467.669999998</v>
      </c>
      <c r="R170" s="1952">
        <f t="shared" si="133"/>
        <v>19472688.469489954</v>
      </c>
      <c r="S170" s="3282">
        <f t="shared" si="134"/>
        <v>21265916.160510048</v>
      </c>
      <c r="V170" s="1958">
        <v>753.75</v>
      </c>
      <c r="W170" s="1958"/>
      <c r="X170" s="1958">
        <f t="shared" si="120"/>
        <v>0</v>
      </c>
      <c r="Y170" s="2127" t="s">
        <v>786</v>
      </c>
      <c r="AC170" s="2127"/>
      <c r="AD170" s="2127"/>
      <c r="AE170" s="2127"/>
      <c r="AF170" s="1910">
        <v>54466.229999999996</v>
      </c>
      <c r="AG170" s="2128">
        <f t="shared" si="121"/>
        <v>418.32999999999447</v>
      </c>
    </row>
    <row r="171" spans="1:33" ht="21.95" customHeight="1" x14ac:dyDescent="0.2">
      <c r="A171" s="1910">
        <f>satpek!$B$50</f>
        <v>31</v>
      </c>
      <c r="B171" s="2131">
        <f t="shared" ref="B171:B173" si="135">B170+1</f>
        <v>3</v>
      </c>
      <c r="C171" s="2132"/>
      <c r="D171" s="2133" t="str">
        <f>VLOOKUP($A171,satpek!$B$20:$N$144,2,0)</f>
        <v>Memasang plafond PVC</v>
      </c>
      <c r="E171" s="2133"/>
      <c r="F171" s="2134"/>
      <c r="G171" s="1945">
        <f>'[3]B.VOL RAB'!Q405</f>
        <v>39.9</v>
      </c>
      <c r="H171" s="2456" t="str">
        <f>VLOOKUP($A171,satpek!$B$20:$N$144,7,0)</f>
        <v>m2</v>
      </c>
      <c r="I171" s="3281" t="str">
        <f>VLOOKUP($A171,satpek!$B$20:$N$144,5,0)</f>
        <v>An.Dihitung</v>
      </c>
      <c r="J171" s="1951">
        <f>VLOOKUP($A171,satpek!$B$20:$N$144,6,0)</f>
        <v>167579</v>
      </c>
      <c r="K171" s="3273"/>
      <c r="L171" s="1952">
        <f>ROUND((G171*J171),2)</f>
        <v>6686402.0999999996</v>
      </c>
      <c r="M171" s="1967"/>
      <c r="N171" s="2458">
        <f>VLOOKUP($A171,satpek!$B$20:$L$138,8,0)</f>
        <v>0.65594032366824007</v>
      </c>
      <c r="O171" s="1954">
        <f>VLOOKUP($A171,satpek!$B$20:$L$138,9,0)</f>
        <v>97275.95</v>
      </c>
      <c r="P171" s="1954">
        <f>VLOOKUP($A171,satpek!$B$20:$L$138,10,0)</f>
        <v>109921.8235</v>
      </c>
      <c r="Q171" s="1952">
        <f t="shared" si="132"/>
        <v>3881310.4049999998</v>
      </c>
      <c r="R171" s="1952">
        <f t="shared" si="133"/>
        <v>4385880.75765</v>
      </c>
      <c r="S171" s="3282">
        <f t="shared" si="134"/>
        <v>2300521.3423499996</v>
      </c>
      <c r="V171" s="1958">
        <v>39.9</v>
      </c>
      <c r="W171" s="1958"/>
      <c r="X171" s="1958">
        <f t="shared" si="120"/>
        <v>0</v>
      </c>
      <c r="Y171" s="2127" t="s">
        <v>1815</v>
      </c>
      <c r="AC171" s="2127"/>
      <c r="AD171" s="2127"/>
      <c r="AE171" s="2127"/>
      <c r="AF171" s="1910">
        <v>167245.65</v>
      </c>
      <c r="AG171" s="2128">
        <f t="shared" si="121"/>
        <v>-333.35000000000582</v>
      </c>
    </row>
    <row r="172" spans="1:33" ht="21.95" customHeight="1" x14ac:dyDescent="0.2">
      <c r="A172" s="1910">
        <f>satpek!$B$51</f>
        <v>32</v>
      </c>
      <c r="B172" s="2131">
        <f t="shared" si="135"/>
        <v>4</v>
      </c>
      <c r="C172" s="2132"/>
      <c r="D172" s="2133" t="str">
        <f>VLOOKUP($A172,satpek!$B$20:$N$144,2,0)</f>
        <v>Memasang list plafond gypsum profil</v>
      </c>
      <c r="E172" s="2133"/>
      <c r="F172" s="2134"/>
      <c r="G172" s="1945">
        <f>'[3]B.VOL RAB'!Q407</f>
        <v>459.6999999999997</v>
      </c>
      <c r="H172" s="2456" t="str">
        <f>VLOOKUP($A172,satpek!$B$20:$N$144,7,0)</f>
        <v>m'</v>
      </c>
      <c r="I172" s="3281" t="str">
        <f>VLOOKUP($A172,satpek!$B$20:$N$144,5,0)</f>
        <v>An.Dihitung</v>
      </c>
      <c r="J172" s="1951">
        <f>VLOOKUP($A172,satpek!$B$20:$N$144,6,0)</f>
        <v>30469.32</v>
      </c>
      <c r="K172" s="3273"/>
      <c r="L172" s="1952">
        <f>ROUND((G172*J172),2)</f>
        <v>14006746.4</v>
      </c>
      <c r="M172" s="1967"/>
      <c r="N172" s="2458">
        <f>VLOOKUP($A172,satpek!$B$20:$L$138,8,0)</f>
        <v>0.58238985313751668</v>
      </c>
      <c r="O172" s="1954">
        <f>VLOOKUP($A172,satpek!$B$20:$L$138,9,0)</f>
        <v>15703.56</v>
      </c>
      <c r="P172" s="1954">
        <f>VLOOKUP($A172,satpek!$B$20:$L$138,10,0)</f>
        <v>17745.022799999999</v>
      </c>
      <c r="Q172" s="1952">
        <f t="shared" si="132"/>
        <v>7218926.531999995</v>
      </c>
      <c r="R172" s="1952">
        <f t="shared" si="133"/>
        <v>8157386.9788304409</v>
      </c>
      <c r="S172" s="3282">
        <f t="shared" si="134"/>
        <v>5849359.4211695595</v>
      </c>
      <c r="V172" s="1958">
        <v>459.6999999999997</v>
      </c>
      <c r="W172" s="1958"/>
      <c r="X172" s="1958">
        <f t="shared" si="120"/>
        <v>0</v>
      </c>
      <c r="Y172" s="2127" t="s">
        <v>667</v>
      </c>
      <c r="AC172" s="2127"/>
      <c r="AD172" s="2127"/>
      <c r="AE172" s="2127"/>
      <c r="AF172" s="1910">
        <v>30387.96</v>
      </c>
      <c r="AG172" s="2128">
        <f t="shared" si="121"/>
        <v>-81.360000000000582</v>
      </c>
    </row>
    <row r="173" spans="1:33" ht="21.95" customHeight="1" x14ac:dyDescent="0.2">
      <c r="A173" s="1910">
        <f>satpek!$B$52</f>
        <v>33</v>
      </c>
      <c r="B173" s="2131">
        <f t="shared" si="135"/>
        <v>5</v>
      </c>
      <c r="C173" s="2132"/>
      <c r="D173" s="2133" t="str">
        <f>VLOOKUP($A173,satpek!$B$20:$N$144,2,0)</f>
        <v>Memasang list plafond PVC</v>
      </c>
      <c r="E173" s="2133"/>
      <c r="F173" s="2134"/>
      <c r="G173" s="1945">
        <f>'[3]B.VOL RAB'!Q409</f>
        <v>25.4</v>
      </c>
      <c r="H173" s="2456" t="str">
        <f>VLOOKUP($A173,satpek!$B$20:$N$144,7,0)</f>
        <v>m'</v>
      </c>
      <c r="I173" s="3281" t="str">
        <f>VLOOKUP($A173,satpek!$B$20:$N$144,5,0)</f>
        <v>An.Dihitung</v>
      </c>
      <c r="J173" s="1951">
        <f>VLOOKUP($A173,satpek!$B$20:$N$144,6,0)</f>
        <v>39690.120000000003</v>
      </c>
      <c r="K173" s="3273"/>
      <c r="L173" s="1952">
        <f>ROUND((G173*J173),2)</f>
        <v>1008129.05</v>
      </c>
      <c r="M173" s="1967"/>
      <c r="N173" s="2458">
        <f>VLOOKUP($A173,satpek!$B$20:$L$138,8,0)</f>
        <v>0.74739921421250433</v>
      </c>
      <c r="O173" s="1954">
        <f>VLOOKUP($A173,satpek!$B$20:$L$138,9,0)</f>
        <v>26251.65</v>
      </c>
      <c r="P173" s="1954">
        <f>VLOOKUP($A173,satpek!$B$20:$L$138,10,0)</f>
        <v>29664.364500000003</v>
      </c>
      <c r="Q173" s="1952">
        <f t="shared" si="132"/>
        <v>666791.91</v>
      </c>
      <c r="R173" s="1952">
        <f t="shared" si="133"/>
        <v>753474.85979479854</v>
      </c>
      <c r="S173" s="3282">
        <f t="shared" si="134"/>
        <v>254654.19020520151</v>
      </c>
      <c r="V173" s="1958">
        <v>25.4</v>
      </c>
      <c r="W173" s="1958"/>
      <c r="X173" s="1958">
        <f t="shared" si="120"/>
        <v>0</v>
      </c>
      <c r="Y173" s="2127" t="s">
        <v>1816</v>
      </c>
      <c r="AC173" s="2127"/>
      <c r="AD173" s="2127"/>
      <c r="AE173" s="2127"/>
      <c r="AF173" s="1910">
        <v>39490.11</v>
      </c>
      <c r="AG173" s="2128">
        <f t="shared" si="121"/>
        <v>-200.01000000000204</v>
      </c>
    </row>
    <row r="174" spans="1:33" ht="21.95" customHeight="1" x14ac:dyDescent="0.2">
      <c r="B174" s="3265"/>
      <c r="C174" s="3266"/>
      <c r="D174" s="3267" t="s">
        <v>1786</v>
      </c>
      <c r="E174" s="3268"/>
      <c r="F174" s="3269"/>
      <c r="G174" s="1945"/>
      <c r="H174" s="3271"/>
      <c r="I174" s="3272"/>
      <c r="J174" s="1951"/>
      <c r="K174" s="2066"/>
      <c r="L174" s="2067"/>
      <c r="M174" s="1967"/>
      <c r="N174" s="3276"/>
      <c r="O174" s="3277"/>
      <c r="P174" s="3277"/>
      <c r="Q174" s="3278"/>
      <c r="R174" s="3295"/>
      <c r="S174" s="3280"/>
      <c r="V174" s="1958"/>
      <c r="W174" s="1958"/>
      <c r="X174" s="1958">
        <f t="shared" si="120"/>
        <v>0</v>
      </c>
      <c r="Y174" s="2127" t="s">
        <v>1786</v>
      </c>
      <c r="AG174" s="2128">
        <f t="shared" si="121"/>
        <v>0</v>
      </c>
    </row>
    <row r="175" spans="1:33" ht="21.95" customHeight="1" x14ac:dyDescent="0.2">
      <c r="A175" s="1910">
        <f>satpek!$B$53</f>
        <v>34</v>
      </c>
      <c r="B175" s="2131">
        <v>1</v>
      </c>
      <c r="C175" s="2132"/>
      <c r="D175" s="2133" t="str">
        <f>VLOOKUP($A175,satpek!$B$20:$N$144,2,0)</f>
        <v>Memasang rk. plafond besi hollow uk. (60x80) cm</v>
      </c>
      <c r="E175" s="2133"/>
      <c r="F175" s="2134"/>
      <c r="G175" s="1945">
        <f>'[3]B.VOL RAB'!Q412</f>
        <v>831.65</v>
      </c>
      <c r="H175" s="2456" t="str">
        <f>VLOOKUP($A175,satpek!$B$20:$N$144,7,0)</f>
        <v>m2</v>
      </c>
      <c r="I175" s="3281" t="str">
        <f>VLOOKUP($A175,satpek!$B$20:$N$144,5,0)</f>
        <v>A.4.2.1.20.</v>
      </c>
      <c r="J175" s="1951">
        <f>VLOOKUP($A175,satpek!$B$20:$N$144,6,0)</f>
        <v>98134.85</v>
      </c>
      <c r="K175" s="3273"/>
      <c r="L175" s="1952">
        <f t="shared" ref="L175:L179" si="136">ROUND((G175*J175),2)</f>
        <v>81613848</v>
      </c>
      <c r="M175" s="1967"/>
      <c r="N175" s="2458">
        <f>VLOOKUP($A175,satpek!$B$20:$L$138,8,0)</f>
        <v>0.71051931602279927</v>
      </c>
      <c r="O175" s="1954">
        <f>VLOOKUP($A175,satpek!$B$20:$L$138,9,0)</f>
        <v>61705.05</v>
      </c>
      <c r="P175" s="1954">
        <f>VLOOKUP($A175,satpek!$B$20:$L$138,10,0)</f>
        <v>69726.7065</v>
      </c>
      <c r="Q175" s="1952">
        <f t="shared" ref="Q175:Q179" si="137">O175*G175</f>
        <v>51317004.832500003</v>
      </c>
      <c r="R175" s="1952">
        <f t="shared" ref="R175:R179" si="138">N175*L175</f>
        <v>57988215.458948702</v>
      </c>
      <c r="S175" s="3282">
        <f t="shared" ref="S175:S179" si="139">L175-R175</f>
        <v>23625632.541051298</v>
      </c>
      <c r="V175" s="1958">
        <v>831.65</v>
      </c>
      <c r="W175" s="1958"/>
      <c r="X175" s="1958">
        <f t="shared" si="120"/>
        <v>0</v>
      </c>
      <c r="Y175" s="2127" t="s">
        <v>783</v>
      </c>
      <c r="AF175" s="1910">
        <v>96452.28</v>
      </c>
      <c r="AG175" s="2128">
        <f t="shared" si="121"/>
        <v>-1682.570000000007</v>
      </c>
    </row>
    <row r="176" spans="1:33" ht="21.95" customHeight="1" x14ac:dyDescent="0.2">
      <c r="A176" s="1910">
        <f>satpek!$B$49</f>
        <v>30</v>
      </c>
      <c r="B176" s="2131">
        <f>B175+1</f>
        <v>2</v>
      </c>
      <c r="C176" s="2132"/>
      <c r="D176" s="2133" t="str">
        <f>VLOOKUP($A176,satpek!$B$20:$N$144,2,0)</f>
        <v>Memasang langit-langit gypsum board uk. (120x240), tb. 9 mm.</v>
      </c>
      <c r="E176" s="2133"/>
      <c r="F176" s="2134"/>
      <c r="G176" s="1945">
        <f>'[3]B.VOL RAB'!Q415</f>
        <v>829.65</v>
      </c>
      <c r="H176" s="2456" t="str">
        <f>VLOOKUP($A176,satpek!$B$20:$N$144,7,0)</f>
        <v>m2</v>
      </c>
      <c r="I176" s="3281" t="str">
        <f>VLOOKUP($A176,satpek!$B$20:$N$144,5,0)</f>
        <v>A.4.5.1.7.</v>
      </c>
      <c r="J176" s="1951">
        <f>VLOOKUP($A176,satpek!$B$20:$N$144,6,0)</f>
        <v>54047.9</v>
      </c>
      <c r="K176" s="3273"/>
      <c r="L176" s="1952">
        <f t="shared" si="136"/>
        <v>44840840.240000002</v>
      </c>
      <c r="M176" s="1967"/>
      <c r="N176" s="2458">
        <f>VLOOKUP($A176,satpek!$B$20:$L$138,8,0)</f>
        <v>0.47799105164122929</v>
      </c>
      <c r="O176" s="1954">
        <f>VLOOKUP($A176,satpek!$B$20:$L$138,9,0)</f>
        <v>22862.311999999998</v>
      </c>
      <c r="P176" s="1954">
        <f>VLOOKUP($A176,satpek!$B$20:$L$138,10,0)</f>
        <v>25834.412559999997</v>
      </c>
      <c r="Q176" s="1952">
        <f t="shared" si="137"/>
        <v>18967717.150799997</v>
      </c>
      <c r="R176" s="1952">
        <f t="shared" si="138"/>
        <v>21433520.382793952</v>
      </c>
      <c r="S176" s="3282">
        <f t="shared" si="139"/>
        <v>23407319.85720605</v>
      </c>
      <c r="V176" s="1958">
        <v>829.65</v>
      </c>
      <c r="W176" s="1958"/>
      <c r="X176" s="1958">
        <f t="shared" si="120"/>
        <v>0</v>
      </c>
      <c r="Y176" s="2127" t="s">
        <v>786</v>
      </c>
      <c r="AF176" s="1910">
        <v>54466.229999999996</v>
      </c>
      <c r="AG176" s="2128">
        <f t="shared" si="121"/>
        <v>418.32999999999447</v>
      </c>
    </row>
    <row r="177" spans="1:33" ht="21.95" customHeight="1" x14ac:dyDescent="0.2">
      <c r="A177" s="1910">
        <f>satpek!$B$51</f>
        <v>32</v>
      </c>
      <c r="B177" s="2131">
        <f>B176+1</f>
        <v>3</v>
      </c>
      <c r="C177" s="2132"/>
      <c r="D177" s="2133" t="str">
        <f>VLOOKUP($A177,satpek!$B$20:$N$144,2,0)</f>
        <v>Memasang list plafond gypsum profil</v>
      </c>
      <c r="E177" s="2133"/>
      <c r="F177" s="2134"/>
      <c r="G177" s="1945">
        <f>'[3]B.VOL RAB'!Q419</f>
        <v>427.89999999999981</v>
      </c>
      <c r="H177" s="2456" t="str">
        <f>VLOOKUP($A177,satpek!$B$20:$N$144,7,0)</f>
        <v>m'</v>
      </c>
      <c r="I177" s="3281" t="str">
        <f>VLOOKUP($A177,satpek!$B$20:$N$144,5,0)</f>
        <v>An.Dihitung</v>
      </c>
      <c r="J177" s="1951">
        <f>VLOOKUP($A177,satpek!$B$20:$N$144,6,0)</f>
        <v>30469.32</v>
      </c>
      <c r="K177" s="3273"/>
      <c r="L177" s="1952">
        <f t="shared" si="136"/>
        <v>13037822.029999999</v>
      </c>
      <c r="M177" s="1967"/>
      <c r="N177" s="2458">
        <f>VLOOKUP($A177,satpek!$B$20:$L$138,8,0)</f>
        <v>0.58238985313751668</v>
      </c>
      <c r="O177" s="1954">
        <f>VLOOKUP($A177,satpek!$B$20:$L$138,9,0)</f>
        <v>15703.56</v>
      </c>
      <c r="P177" s="1954">
        <f>VLOOKUP($A177,satpek!$B$20:$L$138,10,0)</f>
        <v>17745.022799999999</v>
      </c>
      <c r="Q177" s="1952">
        <f t="shared" si="137"/>
        <v>6719553.3239999963</v>
      </c>
      <c r="R177" s="1952">
        <f t="shared" si="138"/>
        <v>7593095.2572847791</v>
      </c>
      <c r="S177" s="3282">
        <f t="shared" si="139"/>
        <v>5444726.7727152202</v>
      </c>
      <c r="V177" s="1958">
        <v>427.89999999999981</v>
      </c>
      <c r="W177" s="1958"/>
      <c r="X177" s="1958">
        <f t="shared" si="120"/>
        <v>0</v>
      </c>
      <c r="Y177" s="2127" t="s">
        <v>667</v>
      </c>
      <c r="AF177" s="1910">
        <v>30387.96</v>
      </c>
      <c r="AG177" s="2128">
        <f t="shared" si="121"/>
        <v>-81.360000000000582</v>
      </c>
    </row>
    <row r="178" spans="1:33" ht="21.95" customHeight="1" x14ac:dyDescent="0.2">
      <c r="A178" s="1910">
        <f>satpek!$B$50</f>
        <v>31</v>
      </c>
      <c r="B178" s="2131">
        <f t="shared" ref="B178:B179" si="140">B177+1</f>
        <v>4</v>
      </c>
      <c r="C178" s="2132"/>
      <c r="D178" s="2133" t="str">
        <f>VLOOKUP($A178,satpek!$B$20:$N$144,2,0)</f>
        <v>Memasang plafond PVC</v>
      </c>
      <c r="E178" s="2133"/>
      <c r="F178" s="2134"/>
      <c r="G178" s="1945">
        <f>'[3]B.VOL RAB'!Q420</f>
        <v>68.399999999999991</v>
      </c>
      <c r="H178" s="2456" t="str">
        <f>VLOOKUP($A178,satpek!$B$20:$N$144,7,0)</f>
        <v>m2</v>
      </c>
      <c r="I178" s="3281" t="str">
        <f>VLOOKUP($A178,satpek!$B$20:$N$144,5,0)</f>
        <v>An.Dihitung</v>
      </c>
      <c r="J178" s="1951">
        <f>VLOOKUP($A178,satpek!$B$20:$N$144,6,0)</f>
        <v>167579</v>
      </c>
      <c r="K178" s="3273"/>
      <c r="L178" s="1952">
        <f t="shared" si="136"/>
        <v>11462403.6</v>
      </c>
      <c r="M178" s="1967"/>
      <c r="N178" s="2458">
        <f>VLOOKUP($A178,satpek!$B$20:$L$138,8,0)</f>
        <v>0.65594032366824007</v>
      </c>
      <c r="O178" s="1954">
        <f>VLOOKUP($A178,satpek!$B$20:$L$138,9,0)</f>
        <v>97275.95</v>
      </c>
      <c r="P178" s="1954">
        <f>VLOOKUP($A178,satpek!$B$20:$L$138,10,0)</f>
        <v>109921.8235</v>
      </c>
      <c r="Q178" s="1952">
        <f t="shared" si="137"/>
        <v>6653674.9799999986</v>
      </c>
      <c r="R178" s="1952">
        <f t="shared" si="138"/>
        <v>7518652.7274000002</v>
      </c>
      <c r="S178" s="3282">
        <f t="shared" si="139"/>
        <v>3943750.8725999994</v>
      </c>
      <c r="V178" s="1958">
        <v>68.399999999999991</v>
      </c>
      <c r="W178" s="1958"/>
      <c r="X178" s="1958">
        <f t="shared" si="120"/>
        <v>0</v>
      </c>
      <c r="Y178" s="2127" t="s">
        <v>1815</v>
      </c>
      <c r="AC178" s="2127"/>
      <c r="AD178" s="2127"/>
      <c r="AE178" s="2127"/>
      <c r="AF178" s="1910">
        <v>167245.65</v>
      </c>
      <c r="AG178" s="2128">
        <f t="shared" si="121"/>
        <v>-333.35000000000582</v>
      </c>
    </row>
    <row r="179" spans="1:33" ht="21.95" customHeight="1" x14ac:dyDescent="0.2">
      <c r="A179" s="1910">
        <f>satpek!$B$52</f>
        <v>33</v>
      </c>
      <c r="B179" s="2131">
        <f t="shared" si="140"/>
        <v>5</v>
      </c>
      <c r="C179" s="2132"/>
      <c r="D179" s="2133" t="str">
        <f>VLOOKUP($A179,satpek!$B$20:$N$144,2,0)</f>
        <v>Memasang list plafond PVC</v>
      </c>
      <c r="E179" s="2133"/>
      <c r="F179" s="2134"/>
      <c r="G179" s="1945">
        <f>'[3]B.VOL RAB'!Q432</f>
        <v>117.80000000000001</v>
      </c>
      <c r="H179" s="2456" t="str">
        <f>VLOOKUP($A179,satpek!$B$20:$N$144,7,0)</f>
        <v>m'</v>
      </c>
      <c r="I179" s="3281" t="str">
        <f>VLOOKUP($A179,satpek!$B$20:$N$144,5,0)</f>
        <v>An.Dihitung</v>
      </c>
      <c r="J179" s="1951">
        <f>VLOOKUP($A179,satpek!$B$20:$N$144,6,0)</f>
        <v>39690.120000000003</v>
      </c>
      <c r="K179" s="3273"/>
      <c r="L179" s="1952">
        <f t="shared" si="136"/>
        <v>4675496.1399999997</v>
      </c>
      <c r="M179" s="1967"/>
      <c r="N179" s="2458">
        <f>VLOOKUP($A179,satpek!$B$20:$L$138,8,0)</f>
        <v>0.74739921421250433</v>
      </c>
      <c r="O179" s="1954">
        <f>VLOOKUP($A179,satpek!$B$20:$L$138,9,0)</f>
        <v>26251.65</v>
      </c>
      <c r="P179" s="1954">
        <f>VLOOKUP($A179,satpek!$B$20:$L$138,10,0)</f>
        <v>29664.364500000003</v>
      </c>
      <c r="Q179" s="1952">
        <f t="shared" si="137"/>
        <v>3092444.3700000006</v>
      </c>
      <c r="R179" s="1952">
        <f t="shared" si="138"/>
        <v>3494462.1410895968</v>
      </c>
      <c r="S179" s="3282">
        <f t="shared" si="139"/>
        <v>1181033.9989104029</v>
      </c>
      <c r="V179" s="1958">
        <v>117.80000000000001</v>
      </c>
      <c r="W179" s="1958"/>
      <c r="X179" s="1958">
        <f t="shared" si="120"/>
        <v>0</v>
      </c>
      <c r="Y179" s="2127" t="s">
        <v>1816</v>
      </c>
      <c r="AC179" s="2127"/>
      <c r="AD179" s="2127"/>
      <c r="AE179" s="2127"/>
      <c r="AF179" s="1910">
        <v>39490.11</v>
      </c>
      <c r="AG179" s="2128">
        <f t="shared" si="121"/>
        <v>-200.01000000000204</v>
      </c>
    </row>
    <row r="180" spans="1:33" ht="21.95" customHeight="1" x14ac:dyDescent="0.2">
      <c r="B180" s="2114"/>
      <c r="C180" s="2115"/>
      <c r="D180" s="2116"/>
      <c r="E180" s="2116"/>
      <c r="F180" s="2117"/>
      <c r="G180" s="2021"/>
      <c r="H180" s="3289"/>
      <c r="I180" s="3290"/>
      <c r="J180" s="2026"/>
      <c r="K180" s="2027"/>
      <c r="L180" s="2065" t="s">
        <v>1817</v>
      </c>
      <c r="M180" s="2463">
        <f>SUM(L169:L180)</f>
        <v>295138043.27000004</v>
      </c>
      <c r="N180" s="3291">
        <f>R180/M180</f>
        <v>0.62870750501082695</v>
      </c>
      <c r="O180" s="2121"/>
      <c r="P180" s="2121"/>
      <c r="Q180" s="2119"/>
      <c r="R180" s="2123">
        <f>SUM(R168:R179)</f>
        <v>185555502.81805921</v>
      </c>
      <c r="S180" s="3294">
        <f>SUM(S169:S179)</f>
        <v>109582540.45194083</v>
      </c>
      <c r="U180" s="2125">
        <f>M180-T180</f>
        <v>295138043.27000004</v>
      </c>
      <c r="V180" s="1958"/>
      <c r="W180" s="1958"/>
      <c r="X180" s="1958">
        <f t="shared" si="120"/>
        <v>0</v>
      </c>
      <c r="AG180" s="2128">
        <f t="shared" si="121"/>
        <v>0</v>
      </c>
    </row>
    <row r="181" spans="1:33" ht="21.95" customHeight="1" x14ac:dyDescent="0.2">
      <c r="B181" s="3265" t="s">
        <v>1818</v>
      </c>
      <c r="C181" s="2164"/>
      <c r="D181" s="2165" t="s">
        <v>1819</v>
      </c>
      <c r="E181" s="3296"/>
      <c r="F181" s="3297"/>
      <c r="G181" s="1945"/>
      <c r="H181" s="3298"/>
      <c r="I181" s="3299"/>
      <c r="J181" s="2076"/>
      <c r="K181" s="2077"/>
      <c r="L181" s="2078"/>
      <c r="M181" s="1997"/>
      <c r="N181" s="3300"/>
      <c r="O181" s="3301"/>
      <c r="P181" s="3301"/>
      <c r="Q181" s="3299"/>
      <c r="R181" s="3302"/>
      <c r="S181" s="3303"/>
      <c r="V181" s="1958"/>
      <c r="W181" s="1958"/>
      <c r="X181" s="1958">
        <f t="shared" si="120"/>
        <v>0</v>
      </c>
      <c r="Y181" s="2127" t="s">
        <v>1819</v>
      </c>
      <c r="Z181" s="2129" t="e">
        <f>Y181/1.35</f>
        <v>#VALUE!</v>
      </c>
      <c r="AG181" s="2128">
        <f t="shared" si="121"/>
        <v>0</v>
      </c>
    </row>
    <row r="182" spans="1:33" ht="21.95" customHeight="1" x14ac:dyDescent="0.2">
      <c r="A182" s="1910">
        <f>satpek!B113</f>
        <v>94</v>
      </c>
      <c r="B182" s="2131">
        <f>B180+1</f>
        <v>1</v>
      </c>
      <c r="C182" s="2132"/>
      <c r="D182" s="2133" t="str">
        <f>VLOOKUP($A182,satpek!$B$20:$N$144,2,0)</f>
        <v>Pas. rangka atap baja ringan</v>
      </c>
      <c r="E182" s="2133"/>
      <c r="F182" s="2134"/>
      <c r="G182" s="1945">
        <v>974.54500000000007</v>
      </c>
      <c r="H182" s="2456" t="str">
        <f>VLOOKUP($A182,satpek!$B$20:$N$144,7,0)</f>
        <v>m2</v>
      </c>
      <c r="I182" s="3281" t="str">
        <f>VLOOKUP($A182,satpek!$B$20:$N$144,5,0)</f>
        <v>Daftar harga</v>
      </c>
      <c r="J182" s="1951">
        <f>VLOOKUP($A182,satpek!$B$20:$N$144,6,0)</f>
        <v>310000</v>
      </c>
      <c r="K182" s="3273"/>
      <c r="L182" s="1952">
        <f t="shared" ref="L182:L186" si="141">ROUND((G182*J182),2)</f>
        <v>302108950</v>
      </c>
      <c r="M182" s="1967"/>
      <c r="N182" s="2458">
        <f>VLOOKUP($A182,satpek!$B$20:$L$138,8,0)</f>
        <v>0.60189999999999999</v>
      </c>
      <c r="O182" s="1954">
        <f>VLOOKUP($A182,satpek!$B$20:$L$138,9,0)</f>
        <v>0</v>
      </c>
      <c r="P182" s="1954">
        <f>VLOOKUP($A182,satpek!$B$20:$L$138,10,0)</f>
        <v>186589</v>
      </c>
      <c r="Q182" s="1952">
        <f t="shared" ref="Q182:Q186" si="142">O182*G182</f>
        <v>0</v>
      </c>
      <c r="R182" s="1952">
        <f t="shared" ref="R182:R186" si="143">N182*L182</f>
        <v>181839377.005</v>
      </c>
      <c r="S182" s="3282">
        <f t="shared" ref="S182:S186" si="144">L182-R182</f>
        <v>120269572.995</v>
      </c>
      <c r="V182" s="1958">
        <v>974.54500000000007</v>
      </c>
      <c r="W182" s="1958"/>
      <c r="X182" s="1958">
        <f t="shared" si="120"/>
        <v>0</v>
      </c>
      <c r="Y182" s="2127" t="s">
        <v>1820</v>
      </c>
      <c r="AF182" s="1910">
        <v>275000</v>
      </c>
      <c r="AG182" s="2128">
        <f t="shared" si="121"/>
        <v>-35000</v>
      </c>
    </row>
    <row r="183" spans="1:33" ht="21.95" customHeight="1" x14ac:dyDescent="0.2">
      <c r="A183" s="1910">
        <f>satpek!B66</f>
        <v>47</v>
      </c>
      <c r="B183" s="2131">
        <v>2</v>
      </c>
      <c r="C183" s="2132"/>
      <c r="D183" s="2133" t="str">
        <f>VLOOKUP($A183,satpek!$B$20:$N$144,2,0)</f>
        <v>Memasang penutup atap galvalum pasir</v>
      </c>
      <c r="E183" s="2133"/>
      <c r="F183" s="2134"/>
      <c r="G183" s="1945">
        <f>G182</f>
        <v>974.54500000000007</v>
      </c>
      <c r="H183" s="2456" t="str">
        <f>VLOOKUP($A183,satpek!$B$20:$N$144,7,0)</f>
        <v>m2</v>
      </c>
      <c r="I183" s="3281" t="str">
        <f>VLOOKUP($A183,satpek!$B$20:$N$144,5,0)</f>
        <v>An. Dihitung</v>
      </c>
      <c r="J183" s="1951">
        <f>VLOOKUP($A183,satpek!$B$20:$N$144,6,0)</f>
        <v>108751.2</v>
      </c>
      <c r="K183" s="3273"/>
      <c r="L183" s="1952">
        <f t="shared" si="141"/>
        <v>105982938.2</v>
      </c>
      <c r="M183" s="1967"/>
      <c r="N183" s="2458">
        <f>VLOOKUP($A183,satpek!$B$20:$L$138,8,0)</f>
        <v>0.57070756442227766</v>
      </c>
      <c r="O183" s="1954">
        <f>VLOOKUP($A183,satpek!$B$20:$L$138,9,0)</f>
        <v>54924.896000000001</v>
      </c>
      <c r="P183" s="1954">
        <f>VLOOKUP($A183,satpek!$B$20:$L$138,10,0)</f>
        <v>62065.13248</v>
      </c>
      <c r="Q183" s="1952">
        <f t="shared" si="142"/>
        <v>53526782.772320002</v>
      </c>
      <c r="R183" s="1952">
        <f t="shared" si="143"/>
        <v>60485264.530438773</v>
      </c>
      <c r="S183" s="3282">
        <f t="shared" si="144"/>
        <v>45497673.66956123</v>
      </c>
      <c r="V183" s="1958">
        <v>974.54500000000007</v>
      </c>
      <c r="W183" s="1958"/>
      <c r="X183" s="1958">
        <f t="shared" si="120"/>
        <v>0</v>
      </c>
      <c r="Y183" s="2127" t="s">
        <v>1821</v>
      </c>
      <c r="Z183" s="2404" t="e">
        <f>Z181-J183</f>
        <v>#VALUE!</v>
      </c>
      <c r="AF183" s="1910">
        <v>108284.51</v>
      </c>
      <c r="AG183" s="2128">
        <f t="shared" si="121"/>
        <v>-466.69000000000233</v>
      </c>
    </row>
    <row r="184" spans="1:33" ht="21.95" customHeight="1" x14ac:dyDescent="0.2">
      <c r="A184" s="1910">
        <f>satpek!B67</f>
        <v>48</v>
      </c>
      <c r="B184" s="2131">
        <f>B183+1</f>
        <v>3</v>
      </c>
      <c r="C184" s="2132"/>
      <c r="D184" s="2133" t="str">
        <f>VLOOKUP($A184,satpek!$B$20:$N$144,2,0)</f>
        <v>Pasang bubungan galvalum pasir</v>
      </c>
      <c r="E184" s="2133"/>
      <c r="F184" s="2134"/>
      <c r="G184" s="1945">
        <f>'[3]B.VOL RAB'!Q430</f>
        <v>74.400000000000006</v>
      </c>
      <c r="H184" s="2456" t="str">
        <f>VLOOKUP($A184,satpek!$B$20:$N$144,7,0)</f>
        <v>m'</v>
      </c>
      <c r="I184" s="3281" t="str">
        <f>VLOOKUP($A184,satpek!$B$20:$N$144,5,0)</f>
        <v>A.4.5.2.39a.</v>
      </c>
      <c r="J184" s="1951">
        <f>VLOOKUP($A184,satpek!$B$20:$N$144,6,0)</f>
        <v>66180.710000000006</v>
      </c>
      <c r="K184" s="3273"/>
      <c r="L184" s="1952">
        <f t="shared" si="141"/>
        <v>4923844.82</v>
      </c>
      <c r="M184" s="1967"/>
      <c r="N184" s="2458">
        <f>VLOOKUP($A184,satpek!$B$20:$L$138,8,0)</f>
        <v>0.67431317977700755</v>
      </c>
      <c r="O184" s="1954">
        <f>VLOOKUP($A184,satpek!$B$20:$L$138,9,0)</f>
        <v>39492.5</v>
      </c>
      <c r="P184" s="1954">
        <f>VLOOKUP($A184,satpek!$B$20:$L$138,10,0)</f>
        <v>44626.525000000001</v>
      </c>
      <c r="Q184" s="1952">
        <f t="shared" si="142"/>
        <v>2938242</v>
      </c>
      <c r="R184" s="1952">
        <f t="shared" si="143"/>
        <v>3320213.4573027478</v>
      </c>
      <c r="S184" s="3282">
        <f t="shared" si="144"/>
        <v>1603631.3626972525</v>
      </c>
      <c r="V184" s="1958">
        <v>74.400000000000006</v>
      </c>
      <c r="W184" s="1958"/>
      <c r="X184" s="1958">
        <f t="shared" si="120"/>
        <v>0</v>
      </c>
      <c r="Y184" s="2127" t="s">
        <v>1822</v>
      </c>
      <c r="AF184" s="1910">
        <v>65685.77</v>
      </c>
      <c r="AG184" s="2128">
        <f t="shared" si="121"/>
        <v>-494.94000000000233</v>
      </c>
    </row>
    <row r="185" spans="1:33" ht="21.95" customHeight="1" x14ac:dyDescent="0.2">
      <c r="A185" s="1910">
        <f>satpek!B68</f>
        <v>49</v>
      </c>
      <c r="B185" s="2131">
        <f>B184+1</f>
        <v>4</v>
      </c>
      <c r="C185" s="2132"/>
      <c r="D185" s="2133" t="str">
        <f>VLOOKUP($A185,satpek!$B$20:$N$144,2,0)</f>
        <v>Pasang aluminium foil/sisalation</v>
      </c>
      <c r="E185" s="2133"/>
      <c r="F185" s="2134"/>
      <c r="G185" s="1945">
        <f>G183</f>
        <v>974.54500000000007</v>
      </c>
      <c r="H185" s="2456" t="str">
        <f>VLOOKUP($A185,satpek!$B$20:$N$144,7,0)</f>
        <v>m2</v>
      </c>
      <c r="I185" s="3281" t="str">
        <f>VLOOKUP($A185,satpek!$B$20:$N$144,5,0)</f>
        <v>A.4.5.2.43.</v>
      </c>
      <c r="J185" s="1951">
        <f>VLOOKUP($A185,satpek!$B$20:$N$144,6,0)</f>
        <v>38843.75</v>
      </c>
      <c r="K185" s="3273"/>
      <c r="L185" s="1952">
        <f t="shared" si="141"/>
        <v>37854982.340000004</v>
      </c>
      <c r="M185" s="1967"/>
      <c r="N185" s="2458">
        <f>VLOOKUP($A185,satpek!$B$20:$L$138,8,0)</f>
        <v>0.55403636363636366</v>
      </c>
      <c r="O185" s="1954">
        <f>VLOOKUP($A185,satpek!$B$20:$L$138,9,0)</f>
        <v>19045</v>
      </c>
      <c r="P185" s="1954">
        <f>VLOOKUP($A185,satpek!$B$20:$L$138,10,0)</f>
        <v>21520.85</v>
      </c>
      <c r="Q185" s="1952">
        <f t="shared" si="142"/>
        <v>18560209.525000002</v>
      </c>
      <c r="R185" s="1952">
        <f t="shared" si="143"/>
        <v>20973036.761172365</v>
      </c>
      <c r="S185" s="3282">
        <f t="shared" si="144"/>
        <v>16881945.578827638</v>
      </c>
      <c r="V185" s="1958">
        <v>974.54500000000007</v>
      </c>
      <c r="W185" s="1958"/>
      <c r="X185" s="1958">
        <f t="shared" si="120"/>
        <v>0</v>
      </c>
      <c r="Y185" s="2127" t="s">
        <v>1913</v>
      </c>
      <c r="AF185" s="1910">
        <v>31138.28</v>
      </c>
      <c r="AG185" s="2128">
        <f t="shared" si="121"/>
        <v>-7705.4700000000012</v>
      </c>
    </row>
    <row r="186" spans="1:33" ht="21.95" customHeight="1" x14ac:dyDescent="0.2">
      <c r="A186" s="1910">
        <f>satpek!B38</f>
        <v>19</v>
      </c>
      <c r="B186" s="2131">
        <f>B185+1</f>
        <v>5</v>
      </c>
      <c r="C186" s="2132"/>
      <c r="D186" s="2133" t="str">
        <f>VLOOKUP($A186,satpek!$B$20:$N$144,2,0)</f>
        <v>Memasang lisplank woodplank</v>
      </c>
      <c r="E186" s="2133"/>
      <c r="F186" s="2134"/>
      <c r="G186" s="1945">
        <f>'[3]B.VOL RAB'!Q432</f>
        <v>117.80000000000001</v>
      </c>
      <c r="H186" s="2456" t="str">
        <f>VLOOKUP($A186,satpek!$B$20:$N$144,7,0)</f>
        <v>m'</v>
      </c>
      <c r="I186" s="3281" t="str">
        <f>VLOOKUP($A186,satpek!$B$20:$N$144,5,0)</f>
        <v>An. Dihitung</v>
      </c>
      <c r="J186" s="1951">
        <f>VLOOKUP($A186,satpek!$B$20:$N$144,6,0)</f>
        <v>68139</v>
      </c>
      <c r="K186" s="3273"/>
      <c r="L186" s="1952">
        <f t="shared" si="141"/>
        <v>8026774.2000000002</v>
      </c>
      <c r="M186" s="1967"/>
      <c r="N186" s="2458">
        <f>VLOOKUP($A186,satpek!$B$20:$L$138,8,0)</f>
        <v>0.69652404643449417</v>
      </c>
      <c r="O186" s="1954">
        <f>VLOOKUP($A186,satpek!$B$20:$L$138,9,0)</f>
        <v>42000.4</v>
      </c>
      <c r="P186" s="1954">
        <f>VLOOKUP($A186,satpek!$B$20:$L$138,10,0)</f>
        <v>47460.452000000005</v>
      </c>
      <c r="Q186" s="1952">
        <f t="shared" si="142"/>
        <v>4947647.120000001</v>
      </c>
      <c r="R186" s="1952">
        <f t="shared" si="143"/>
        <v>5590841.2456</v>
      </c>
      <c r="S186" s="3282">
        <f t="shared" si="144"/>
        <v>2435932.9544000002</v>
      </c>
      <c r="V186" s="1958">
        <v>117.80000000000001</v>
      </c>
      <c r="W186" s="1958"/>
      <c r="X186" s="1958">
        <f t="shared" si="120"/>
        <v>0</v>
      </c>
      <c r="Y186" s="2127" t="s">
        <v>472</v>
      </c>
      <c r="AF186" s="1910">
        <v>66110.649999999994</v>
      </c>
      <c r="AG186" s="2128">
        <f t="shared" si="121"/>
        <v>-2028.3500000000058</v>
      </c>
    </row>
    <row r="187" spans="1:33" ht="21.95" customHeight="1" x14ac:dyDescent="0.2">
      <c r="B187" s="2114"/>
      <c r="C187" s="2115"/>
      <c r="D187" s="2116"/>
      <c r="E187" s="2116"/>
      <c r="F187" s="2117"/>
      <c r="G187" s="2021"/>
      <c r="H187" s="3289"/>
      <c r="I187" s="3290"/>
      <c r="J187" s="2026"/>
      <c r="K187" s="2027"/>
      <c r="L187" s="2065" t="s">
        <v>1823</v>
      </c>
      <c r="M187" s="2463">
        <f>SUM(L182:L187)</f>
        <v>458897489.56</v>
      </c>
      <c r="N187" s="3291">
        <f>R187/M187</f>
        <v>0.59317982597924646</v>
      </c>
      <c r="O187" s="2121"/>
      <c r="P187" s="2121"/>
      <c r="Q187" s="2119"/>
      <c r="R187" s="2123">
        <f>SUM(R182:R186)</f>
        <v>272208732.99951386</v>
      </c>
      <c r="S187" s="3294">
        <f>SUM(S182:S186)</f>
        <v>186688756.56048614</v>
      </c>
      <c r="U187" s="2125">
        <f>M187-T187</f>
        <v>458897489.56</v>
      </c>
      <c r="V187" s="1958"/>
      <c r="W187" s="1958"/>
      <c r="X187" s="1958">
        <f t="shared" si="120"/>
        <v>0</v>
      </c>
      <c r="Y187" s="2404"/>
      <c r="AG187" s="2128">
        <f t="shared" si="121"/>
        <v>0</v>
      </c>
    </row>
    <row r="188" spans="1:33" ht="21.95" customHeight="1" x14ac:dyDescent="0.2">
      <c r="B188" s="3293" t="s">
        <v>1824</v>
      </c>
      <c r="C188" s="3266"/>
      <c r="D188" s="3267" t="s">
        <v>1620</v>
      </c>
      <c r="E188" s="3305"/>
      <c r="F188" s="3306"/>
      <c r="G188" s="1945"/>
      <c r="H188" s="3307"/>
      <c r="I188" s="3308"/>
      <c r="J188" s="2088"/>
      <c r="K188" s="2089"/>
      <c r="L188" s="2090"/>
      <c r="M188" s="1967"/>
      <c r="N188" s="3309"/>
      <c r="O188" s="3310"/>
      <c r="P188" s="3310"/>
      <c r="Q188" s="3311"/>
      <c r="R188" s="3312"/>
      <c r="S188" s="3313"/>
      <c r="V188" s="1958"/>
      <c r="W188" s="1958"/>
      <c r="X188" s="1958">
        <f t="shared" si="120"/>
        <v>0</v>
      </c>
      <c r="Y188" s="2127" t="s">
        <v>1620</v>
      </c>
      <c r="AG188" s="2128">
        <f t="shared" si="121"/>
        <v>0</v>
      </c>
    </row>
    <row r="189" spans="1:33" ht="21.95" customHeight="1" x14ac:dyDescent="0.2">
      <c r="B189" s="3293"/>
      <c r="C189" s="3266"/>
      <c r="D189" s="3267" t="s">
        <v>1769</v>
      </c>
      <c r="E189" s="3305"/>
      <c r="F189" s="3306"/>
      <c r="G189" s="1945"/>
      <c r="H189" s="3307"/>
      <c r="I189" s="3308"/>
      <c r="J189" s="2088"/>
      <c r="K189" s="2089"/>
      <c r="L189" s="2090"/>
      <c r="M189" s="1967"/>
      <c r="N189" s="3309"/>
      <c r="O189" s="3310"/>
      <c r="P189" s="3310"/>
      <c r="Q189" s="3311"/>
      <c r="R189" s="3312"/>
      <c r="S189" s="3313"/>
      <c r="V189" s="1958"/>
      <c r="W189" s="1958"/>
      <c r="X189" s="1958">
        <f t="shared" si="120"/>
        <v>0</v>
      </c>
      <c r="Y189" s="2127" t="s">
        <v>1769</v>
      </c>
      <c r="AG189" s="2128">
        <f t="shared" si="121"/>
        <v>0</v>
      </c>
    </row>
    <row r="190" spans="1:33" ht="21.95" customHeight="1" x14ac:dyDescent="0.2">
      <c r="B190" s="3293"/>
      <c r="C190" s="3266"/>
      <c r="D190" s="2133" t="s">
        <v>1825</v>
      </c>
      <c r="E190" s="3305"/>
      <c r="F190" s="3306"/>
      <c r="G190" s="1945"/>
      <c r="H190" s="3307"/>
      <c r="I190" s="3308"/>
      <c r="J190" s="2088"/>
      <c r="K190" s="2089"/>
      <c r="L190" s="2090"/>
      <c r="M190" s="1967"/>
      <c r="N190" s="3309"/>
      <c r="O190" s="3310"/>
      <c r="P190" s="3310"/>
      <c r="Q190" s="3311"/>
      <c r="R190" s="3312"/>
      <c r="S190" s="3313"/>
      <c r="V190" s="1958"/>
      <c r="W190" s="1958"/>
      <c r="X190" s="1958">
        <f t="shared" si="120"/>
        <v>0</v>
      </c>
      <c r="Y190" s="2127" t="s">
        <v>1825</v>
      </c>
      <c r="AG190" s="2128">
        <f t="shared" si="121"/>
        <v>0</v>
      </c>
    </row>
    <row r="191" spans="1:33" ht="21.95" customHeight="1" x14ac:dyDescent="0.2">
      <c r="A191" s="1910">
        <f>satpek!B114</f>
        <v>95</v>
      </c>
      <c r="B191" s="3324">
        <v>1</v>
      </c>
      <c r="C191" s="3266"/>
      <c r="D191" s="2133" t="str">
        <f>VLOOKUP($A191,satpek!$B$20:$N$144,2,0)</f>
        <v>Pintu utama kaca tempered 12 mm</v>
      </c>
      <c r="E191" s="3305"/>
      <c r="F191" s="3306"/>
      <c r="G191" s="1945">
        <v>1</v>
      </c>
      <c r="H191" s="2456" t="str">
        <f>VLOOKUP($A191,satpek!$B$20:$N$144,7,0)</f>
        <v>unit</v>
      </c>
      <c r="I191" s="3281" t="str">
        <f>VLOOKUP($A191,satpek!$B$20:$N$144,5,0)</f>
        <v>Daftar harga</v>
      </c>
      <c r="J191" s="1951">
        <f>VLOOKUP($A191,satpek!$B$20:$N$144,6,0)</f>
        <v>16000000</v>
      </c>
      <c r="K191" s="3273"/>
      <c r="L191" s="1952">
        <f t="shared" ref="L191:L197" si="145">ROUND((G191*J191),2)</f>
        <v>16000000</v>
      </c>
      <c r="M191" s="1967"/>
      <c r="N191" s="2458">
        <f>VLOOKUP($A191,satpek!$B$20:$L$138,8,0)</f>
        <v>0.25</v>
      </c>
      <c r="O191" s="1954">
        <f>VLOOKUP($A191,satpek!$B$20:$L$138,9,0)</f>
        <v>0</v>
      </c>
      <c r="P191" s="1954">
        <f>VLOOKUP($A191,satpek!$B$20:$L$138,10,0)</f>
        <v>4000000</v>
      </c>
      <c r="Q191" s="1952">
        <f t="shared" ref="Q191:Q197" si="146">O191*G191</f>
        <v>0</v>
      </c>
      <c r="R191" s="1952">
        <f t="shared" ref="R191:R197" si="147">N191*L191</f>
        <v>4000000</v>
      </c>
      <c r="S191" s="3282">
        <f t="shared" ref="S191:S197" si="148">L191-R191</f>
        <v>12000000</v>
      </c>
      <c r="V191" s="1958">
        <v>1</v>
      </c>
      <c r="W191" s="1958"/>
      <c r="X191" s="1958">
        <f t="shared" si="120"/>
        <v>0</v>
      </c>
      <c r="Y191" s="2127" t="s">
        <v>1826</v>
      </c>
      <c r="AF191" s="1910">
        <v>17000000</v>
      </c>
      <c r="AG191" s="2128">
        <f t="shared" si="121"/>
        <v>1000000</v>
      </c>
    </row>
    <row r="192" spans="1:33" ht="21.95" customHeight="1" x14ac:dyDescent="0.2">
      <c r="A192" s="1910">
        <f>satpek!B118</f>
        <v>99</v>
      </c>
      <c r="B192" s="3324">
        <f>B191+1</f>
        <v>2</v>
      </c>
      <c r="C192" s="3266"/>
      <c r="D192" s="2133" t="str">
        <f>VLOOKUP($A192,satpek!$B$20:$N$144,2,0)</f>
        <v>doorcloser tanam</v>
      </c>
      <c r="E192" s="3305"/>
      <c r="F192" s="3306"/>
      <c r="G192" s="1945">
        <v>2</v>
      </c>
      <c r="H192" s="2456" t="str">
        <f>VLOOKUP($A192,satpek!$B$20:$N$144,7,0)</f>
        <v>bh</v>
      </c>
      <c r="I192" s="3281" t="str">
        <f>VLOOKUP($A192,satpek!$B$20:$N$144,5,0)</f>
        <v>Daftar harga</v>
      </c>
      <c r="J192" s="1951">
        <f>VLOOKUP($A192,satpek!$B$20:$N$144,6,0)</f>
        <v>850000</v>
      </c>
      <c r="K192" s="3273"/>
      <c r="L192" s="1952">
        <f t="shared" si="145"/>
        <v>1700000</v>
      </c>
      <c r="M192" s="1967"/>
      <c r="N192" s="2458">
        <f>VLOOKUP($A192,satpek!$B$20:$L$138,8,0)</f>
        <v>0.5</v>
      </c>
      <c r="O192" s="1954">
        <f>VLOOKUP($A192,satpek!$B$20:$L$138,9,0)</f>
        <v>0</v>
      </c>
      <c r="P192" s="1954">
        <f>VLOOKUP($A192,satpek!$B$20:$L$138,10,0)</f>
        <v>425000</v>
      </c>
      <c r="Q192" s="1952">
        <f t="shared" si="146"/>
        <v>0</v>
      </c>
      <c r="R192" s="1952">
        <f t="shared" si="147"/>
        <v>850000</v>
      </c>
      <c r="S192" s="3282">
        <f t="shared" si="148"/>
        <v>850000</v>
      </c>
      <c r="V192" s="1958">
        <v>2</v>
      </c>
      <c r="W192" s="1958"/>
      <c r="X192" s="1958">
        <f t="shared" si="120"/>
        <v>0</v>
      </c>
      <c r="Y192" s="2127" t="s">
        <v>1827</v>
      </c>
      <c r="AF192" s="1910">
        <v>850000</v>
      </c>
      <c r="AG192" s="2128">
        <f t="shared" si="121"/>
        <v>0</v>
      </c>
    </row>
    <row r="193" spans="1:33" ht="21.95" customHeight="1" x14ac:dyDescent="0.2">
      <c r="A193" s="1910">
        <f>satpek!$B$54</f>
        <v>35</v>
      </c>
      <c r="B193" s="3324">
        <f t="shared" ref="B193:B197" si="149">B192+1</f>
        <v>3</v>
      </c>
      <c r="C193" s="2132"/>
      <c r="D193" s="2133" t="str">
        <f>VLOOKUP($A193,satpek!$B$20:$N$144,2,0)</f>
        <v xml:space="preserve">Memasang kusen pintu/jendela alluminium </v>
      </c>
      <c r="E193" s="2133"/>
      <c r="F193" s="2134"/>
      <c r="G193" s="1945">
        <f>'[3]B.VOL RAB'!Q437</f>
        <v>560.6</v>
      </c>
      <c r="H193" s="2456" t="str">
        <f>VLOOKUP($A193,satpek!$B$20:$N$144,7,0)</f>
        <v>m'</v>
      </c>
      <c r="I193" s="3281" t="str">
        <f>VLOOKUP($A193,satpek!$B$20:$N$144,5,0)</f>
        <v>A.4.2.1.11.</v>
      </c>
      <c r="J193" s="1951">
        <f>VLOOKUP($A193,satpek!$B$20:$N$144,6,0)</f>
        <v>152243.43000000002</v>
      </c>
      <c r="K193" s="3273"/>
      <c r="L193" s="1952">
        <f t="shared" si="145"/>
        <v>85347666.859999999</v>
      </c>
      <c r="M193" s="1967"/>
      <c r="N193" s="2458">
        <f>VLOOKUP($A193,satpek!$B$20:$L$138,8,0)</f>
        <v>0.52703841126649331</v>
      </c>
      <c r="O193" s="1954">
        <f>VLOOKUP($A193,satpek!$B$20:$L$138,9,0)</f>
        <v>71007.199999999997</v>
      </c>
      <c r="P193" s="1954">
        <f>VLOOKUP($A193,satpek!$B$20:$L$138,10,0)</f>
        <v>80238.135999999999</v>
      </c>
      <c r="Q193" s="1952">
        <f t="shared" si="146"/>
        <v>39806636.32</v>
      </c>
      <c r="R193" s="1952">
        <f t="shared" si="147"/>
        <v>44981498.747196339</v>
      </c>
      <c r="S193" s="3282">
        <f t="shared" si="148"/>
        <v>40366168.11280366</v>
      </c>
      <c r="V193" s="1958">
        <v>560.6</v>
      </c>
      <c r="W193" s="1958"/>
      <c r="X193" s="1958">
        <f t="shared" si="120"/>
        <v>0</v>
      </c>
      <c r="Y193" s="2127" t="s">
        <v>1080</v>
      </c>
      <c r="AF193" s="1910">
        <v>139049.89000000001</v>
      </c>
      <c r="AG193" s="2128">
        <f t="shared" si="121"/>
        <v>-13193.540000000008</v>
      </c>
    </row>
    <row r="194" spans="1:33" ht="21.95" customHeight="1" x14ac:dyDescent="0.2">
      <c r="A194" s="1910">
        <f>satpek!$B$56</f>
        <v>37</v>
      </c>
      <c r="B194" s="3324">
        <f t="shared" si="149"/>
        <v>4</v>
      </c>
      <c r="C194" s="2132"/>
      <c r="D194" s="2133" t="str">
        <f>VLOOKUP($A194,satpek!$B$20:$N$144,2,0)</f>
        <v>Memasang pintu kaca es rangka alluminium</v>
      </c>
      <c r="E194" s="2133"/>
      <c r="F194" s="2134"/>
      <c r="G194" s="1945">
        <f>'[3]B.VOL RAB'!Q438</f>
        <v>21.84</v>
      </c>
      <c r="H194" s="2456" t="str">
        <f>VLOOKUP($A194,satpek!$B$20:$N$144,7,0)</f>
        <v>m2</v>
      </c>
      <c r="I194" s="3281" t="str">
        <f>VLOOKUP($A194,satpek!$B$20:$N$144,5,0)</f>
        <v>An. Dihitung</v>
      </c>
      <c r="J194" s="1951">
        <f>VLOOKUP($A194,satpek!$B$20:$N$144,6,0)</f>
        <v>853707.66</v>
      </c>
      <c r="K194" s="3273"/>
      <c r="L194" s="1952">
        <f t="shared" si="145"/>
        <v>18644975.289999999</v>
      </c>
      <c r="M194" s="1967"/>
      <c r="N194" s="2458">
        <f>VLOOKUP($A194,satpek!$B$20:$L$138,8,0)</f>
        <v>0.47846365322798945</v>
      </c>
      <c r="O194" s="1954">
        <f>VLOOKUP($A194,satpek!$B$20:$L$138,9,0)</f>
        <v>361476.18000000005</v>
      </c>
      <c r="P194" s="1954">
        <f>VLOOKUP($A194,satpek!$B$20:$L$138,10,0)</f>
        <v>408468.08340000006</v>
      </c>
      <c r="Q194" s="1952">
        <f t="shared" si="146"/>
        <v>7894639.7712000012</v>
      </c>
      <c r="R194" s="1952">
        <f t="shared" si="147"/>
        <v>8920942.9915989917</v>
      </c>
      <c r="S194" s="3282">
        <f t="shared" si="148"/>
        <v>9724032.2984010074</v>
      </c>
      <c r="V194" s="1958">
        <v>21.84</v>
      </c>
      <c r="W194" s="1958"/>
      <c r="X194" s="1958">
        <f t="shared" si="120"/>
        <v>0</v>
      </c>
      <c r="Y194" s="2127" t="s">
        <v>1828</v>
      </c>
      <c r="AF194" s="1910">
        <v>850784.35</v>
      </c>
      <c r="AG194" s="2128">
        <f t="shared" si="121"/>
        <v>-2923.3100000000559</v>
      </c>
    </row>
    <row r="195" spans="1:33" ht="21.95" customHeight="1" x14ac:dyDescent="0.2">
      <c r="A195" s="1910">
        <f>satpek!$B$55</f>
        <v>36</v>
      </c>
      <c r="B195" s="3324">
        <f t="shared" si="149"/>
        <v>5</v>
      </c>
      <c r="C195" s="2132"/>
      <c r="D195" s="2133" t="str">
        <f>VLOOKUP($A195,satpek!$B$20:$N$144,2,0)</f>
        <v>Memasang pintu alluminium strip</v>
      </c>
      <c r="E195" s="2133"/>
      <c r="F195" s="2134"/>
      <c r="G195" s="1945">
        <f>'[3]B.VOL RAB'!Q439</f>
        <v>16.695000000000004</v>
      </c>
      <c r="H195" s="2456" t="str">
        <f>VLOOKUP($A195,satpek!$B$20:$N$144,7,0)</f>
        <v>m2</v>
      </c>
      <c r="I195" s="3281" t="str">
        <f>VLOOKUP($A195,satpek!$B$20:$N$144,5,0)</f>
        <v>A.4.2.1.12.</v>
      </c>
      <c r="J195" s="1951">
        <f>VLOOKUP($A195,satpek!$B$20:$N$144,6,0)</f>
        <v>765224.14</v>
      </c>
      <c r="K195" s="3273"/>
      <c r="L195" s="1952">
        <f t="shared" si="145"/>
        <v>12775417.02</v>
      </c>
      <c r="M195" s="1967"/>
      <c r="N195" s="2458">
        <f>VLOOKUP($A195,satpek!$B$20:$L$138,8,0)</f>
        <v>0.53012493548703865</v>
      </c>
      <c r="O195" s="1954">
        <f>VLOOKUP($A195,satpek!$B$20:$L$138,9,0)</f>
        <v>358995.04</v>
      </c>
      <c r="P195" s="1954">
        <f>VLOOKUP($A195,satpek!$B$20:$L$138,10,0)</f>
        <v>405664.39519999997</v>
      </c>
      <c r="Q195" s="1952">
        <f t="shared" si="146"/>
        <v>5993422.1928000012</v>
      </c>
      <c r="R195" s="1952">
        <f t="shared" si="147"/>
        <v>6772567.1235475149</v>
      </c>
      <c r="S195" s="3282">
        <f t="shared" si="148"/>
        <v>6002849.8964524847</v>
      </c>
      <c r="V195" s="1958">
        <v>16.695000000000004</v>
      </c>
      <c r="W195" s="1958"/>
      <c r="X195" s="1958">
        <f t="shared" si="120"/>
        <v>0</v>
      </c>
      <c r="Y195" s="2127" t="s">
        <v>1829</v>
      </c>
      <c r="AF195" s="1910">
        <v>759680.81</v>
      </c>
      <c r="AG195" s="2128">
        <f t="shared" si="121"/>
        <v>-5543.3299999999581</v>
      </c>
    </row>
    <row r="196" spans="1:33" ht="21.95" customHeight="1" x14ac:dyDescent="0.2">
      <c r="A196" s="1910">
        <f>satpek!$B$57</f>
        <v>38</v>
      </c>
      <c r="B196" s="3324">
        <f t="shared" si="149"/>
        <v>6</v>
      </c>
      <c r="C196" s="2132"/>
      <c r="D196" s="2133" t="str">
        <f>VLOOKUP($A196,satpek!$B$20:$N$144,2,0)</f>
        <v>Memasang jendela &amp; boven kaca rangka aluminium</v>
      </c>
      <c r="E196" s="2133"/>
      <c r="F196" s="2134"/>
      <c r="G196" s="1945">
        <f>'[3]B.VOL RAB'!Q440</f>
        <v>112.04</v>
      </c>
      <c r="H196" s="2456" t="str">
        <f>VLOOKUP($A196,satpek!$B$20:$N$144,7,0)</f>
        <v>m2</v>
      </c>
      <c r="I196" s="3281" t="str">
        <f>VLOOKUP($A196,satpek!$B$20:$N$144,5,0)</f>
        <v>An. Dihitung</v>
      </c>
      <c r="J196" s="1951">
        <f>VLOOKUP($A196,satpek!$B$20:$N$144,6,0)</f>
        <v>845503.86</v>
      </c>
      <c r="K196" s="3273"/>
      <c r="L196" s="1952">
        <f t="shared" si="145"/>
        <v>94730252.469999999</v>
      </c>
      <c r="M196" s="1967"/>
      <c r="N196" s="2458">
        <f>VLOOKUP($A196,satpek!$B$20:$L$138,8,0)</f>
        <v>0.47806680668534629</v>
      </c>
      <c r="O196" s="1954">
        <f>VLOOKUP($A196,satpek!$B$20:$L$138,9,0)</f>
        <v>357705.60000000003</v>
      </c>
      <c r="P196" s="1954">
        <f>VLOOKUP($A196,satpek!$B$20:$L$138,10,0)</f>
        <v>404207.32800000004</v>
      </c>
      <c r="Q196" s="1952">
        <f t="shared" si="146"/>
        <v>40077335.424000002</v>
      </c>
      <c r="R196" s="1952">
        <f t="shared" si="147"/>
        <v>45287389.29482954</v>
      </c>
      <c r="S196" s="3282">
        <f t="shared" si="148"/>
        <v>49442863.175170459</v>
      </c>
      <c r="V196" s="1958">
        <v>112.04</v>
      </c>
      <c r="W196" s="1958"/>
      <c r="X196" s="1958">
        <f t="shared" si="120"/>
        <v>0</v>
      </c>
      <c r="Y196" s="2127" t="s">
        <v>1633</v>
      </c>
      <c r="AF196" s="1910">
        <v>856253.55</v>
      </c>
      <c r="AG196" s="2128">
        <f t="shared" si="121"/>
        <v>10749.690000000061</v>
      </c>
    </row>
    <row r="197" spans="1:33" ht="21.95" customHeight="1" x14ac:dyDescent="0.2">
      <c r="A197" s="1910">
        <f>satpek!$B$83</f>
        <v>64</v>
      </c>
      <c r="B197" s="3324">
        <f t="shared" si="149"/>
        <v>7</v>
      </c>
      <c r="C197" s="2132"/>
      <c r="D197" s="2133" t="str">
        <f>VLOOKUP($A197,satpek!$B$20:$N$144,2,0)</f>
        <v>Pasang kaca mati tebal 5 mm</v>
      </c>
      <c r="E197" s="2133"/>
      <c r="F197" s="2134"/>
      <c r="G197" s="1945">
        <f>'[3]B.VOL RAB'!Q441</f>
        <v>23.64</v>
      </c>
      <c r="H197" s="2456" t="str">
        <f>VLOOKUP($A197,satpek!$B$20:$N$144,7,0)</f>
        <v>m2</v>
      </c>
      <c r="I197" s="3281" t="str">
        <f>VLOOKUP($A197,satpek!$B$20:$N$144,5,0)</f>
        <v>A.4.6.2.17.</v>
      </c>
      <c r="J197" s="1951">
        <f>VLOOKUP($A197,satpek!$B$20:$N$144,6,0)</f>
        <v>170445.25</v>
      </c>
      <c r="K197" s="3273"/>
      <c r="L197" s="1952">
        <f t="shared" si="145"/>
        <v>4029325.71</v>
      </c>
      <c r="M197" s="1967"/>
      <c r="N197" s="2458">
        <f>VLOOKUP($A197,satpek!$B$20:$L$138,8,0)</f>
        <v>0.61858343305499663</v>
      </c>
      <c r="O197" s="1954">
        <f>VLOOKUP($A197,satpek!$B$20:$L$138,9,0)</f>
        <v>93304.960000000006</v>
      </c>
      <c r="P197" s="1954">
        <f>VLOOKUP($A197,satpek!$B$20:$L$138,10,0)</f>
        <v>105434.6048</v>
      </c>
      <c r="Q197" s="1952">
        <f t="shared" si="146"/>
        <v>2205729.2544</v>
      </c>
      <c r="R197" s="1952">
        <f t="shared" si="147"/>
        <v>2492474.1305885618</v>
      </c>
      <c r="S197" s="3282">
        <f t="shared" si="148"/>
        <v>1536851.5794114382</v>
      </c>
      <c r="V197" s="1958">
        <v>23.64</v>
      </c>
      <c r="W197" s="1958"/>
      <c r="X197" s="1958">
        <f t="shared" si="120"/>
        <v>0</v>
      </c>
      <c r="Y197" s="2127" t="s">
        <v>1830</v>
      </c>
      <c r="AF197" s="1910">
        <v>170734.07</v>
      </c>
      <c r="AG197" s="2128">
        <f t="shared" si="121"/>
        <v>288.82000000000698</v>
      </c>
    </row>
    <row r="198" spans="1:33" ht="21.95" customHeight="1" x14ac:dyDescent="0.2">
      <c r="B198" s="3293"/>
      <c r="C198" s="3266"/>
      <c r="D198" s="3267" t="s">
        <v>1786</v>
      </c>
      <c r="E198" s="3305"/>
      <c r="F198" s="3306"/>
      <c r="G198" s="1945"/>
      <c r="H198" s="3307"/>
      <c r="I198" s="3308"/>
      <c r="J198" s="2088"/>
      <c r="K198" s="2089"/>
      <c r="L198" s="2090"/>
      <c r="M198" s="1967"/>
      <c r="N198" s="3309"/>
      <c r="O198" s="3310"/>
      <c r="P198" s="3310"/>
      <c r="Q198" s="3311"/>
      <c r="R198" s="3312"/>
      <c r="S198" s="3313"/>
      <c r="V198" s="1958"/>
      <c r="W198" s="1958"/>
      <c r="X198" s="1958">
        <f t="shared" si="120"/>
        <v>0</v>
      </c>
      <c r="Y198" s="2127" t="s">
        <v>1786</v>
      </c>
      <c r="AG198" s="2128">
        <f t="shared" si="121"/>
        <v>0</v>
      </c>
    </row>
    <row r="199" spans="1:33" ht="21.95" customHeight="1" x14ac:dyDescent="0.2">
      <c r="B199" s="3293"/>
      <c r="C199" s="3266"/>
      <c r="D199" s="2133" t="s">
        <v>1825</v>
      </c>
      <c r="E199" s="3305"/>
      <c r="F199" s="3306"/>
      <c r="G199" s="1945"/>
      <c r="H199" s="3307"/>
      <c r="I199" s="3308"/>
      <c r="J199" s="2088"/>
      <c r="K199" s="2089"/>
      <c r="L199" s="2090"/>
      <c r="M199" s="1967"/>
      <c r="N199" s="3309"/>
      <c r="O199" s="3310"/>
      <c r="P199" s="3310"/>
      <c r="Q199" s="3311"/>
      <c r="R199" s="3312"/>
      <c r="S199" s="3313"/>
      <c r="V199" s="1958"/>
      <c r="W199" s="1958"/>
      <c r="X199" s="1958">
        <f t="shared" si="120"/>
        <v>0</v>
      </c>
      <c r="Y199" s="2127" t="s">
        <v>1825</v>
      </c>
      <c r="AG199" s="2128">
        <f t="shared" si="121"/>
        <v>0</v>
      </c>
    </row>
    <row r="200" spans="1:33" ht="21.95" customHeight="1" x14ac:dyDescent="0.2">
      <c r="A200" s="1910">
        <f>satpek!$B$54</f>
        <v>35</v>
      </c>
      <c r="B200" s="2131">
        <f>B199+1</f>
        <v>1</v>
      </c>
      <c r="C200" s="2132"/>
      <c r="D200" s="2133" t="str">
        <f>VLOOKUP($A200,satpek!$B$20:$N$144,2,0)</f>
        <v xml:space="preserve">Memasang kusen pintu/jendela alluminium </v>
      </c>
      <c r="E200" s="2133"/>
      <c r="F200" s="2134"/>
      <c r="G200" s="1945">
        <f>'[3]B.VOL RAB'!Q474</f>
        <v>576.6</v>
      </c>
      <c r="H200" s="2456" t="str">
        <f>VLOOKUP($A200,satpek!$B$20:$N$144,7,0)</f>
        <v>m'</v>
      </c>
      <c r="I200" s="3281" t="str">
        <f>VLOOKUP($A200,satpek!$B$20:$N$144,5,0)</f>
        <v>A.4.2.1.11.</v>
      </c>
      <c r="J200" s="1951">
        <f>VLOOKUP($A200,satpek!$B$20:$N$144,6,0)</f>
        <v>152243.43000000002</v>
      </c>
      <c r="K200" s="3273"/>
      <c r="L200" s="1952">
        <f t="shared" ref="L200:L204" si="150">ROUND((G200*J200),2)</f>
        <v>87783561.739999995</v>
      </c>
      <c r="M200" s="1967"/>
      <c r="N200" s="2458">
        <f>VLOOKUP($A200,satpek!$B$20:$L$138,8,0)</f>
        <v>0.52703841126649331</v>
      </c>
      <c r="O200" s="1954">
        <f>VLOOKUP($A200,satpek!$B$20:$L$138,9,0)</f>
        <v>71007.199999999997</v>
      </c>
      <c r="P200" s="1954">
        <f>VLOOKUP($A200,satpek!$B$20:$L$138,10,0)</f>
        <v>80238.135999999999</v>
      </c>
      <c r="Q200" s="1952">
        <f t="shared" ref="Q200:Q204" si="151">O200*G200</f>
        <v>40942751.520000003</v>
      </c>
      <c r="R200" s="1952">
        <f t="shared" ref="R200:R204" si="152">N200*L200</f>
        <v>46265308.914763726</v>
      </c>
      <c r="S200" s="3282">
        <f t="shared" ref="S200:S204" si="153">L200-R200</f>
        <v>41518252.825236268</v>
      </c>
      <c r="V200" s="1958">
        <v>576.6</v>
      </c>
      <c r="W200" s="1958"/>
      <c r="X200" s="1958">
        <f t="shared" si="120"/>
        <v>0</v>
      </c>
      <c r="Y200" s="2127" t="s">
        <v>1080</v>
      </c>
      <c r="AF200" s="1910">
        <v>139049.89000000001</v>
      </c>
      <c r="AG200" s="2128">
        <f t="shared" si="121"/>
        <v>-13193.540000000008</v>
      </c>
    </row>
    <row r="201" spans="1:33" ht="21.95" customHeight="1" x14ac:dyDescent="0.2">
      <c r="A201" s="1910">
        <f>satpek!$B$56</f>
        <v>37</v>
      </c>
      <c r="B201" s="2131">
        <f>B200+1</f>
        <v>2</v>
      </c>
      <c r="C201" s="2132"/>
      <c r="D201" s="2133" t="str">
        <f>VLOOKUP($A201,satpek!$B$20:$N$144,2,0)</f>
        <v>Memasang pintu kaca es rangka alluminium</v>
      </c>
      <c r="E201" s="2133"/>
      <c r="F201" s="2134"/>
      <c r="G201" s="1945">
        <f>'[3]B.VOL RAB'!Q475</f>
        <v>48.1</v>
      </c>
      <c r="H201" s="2456" t="str">
        <f>VLOOKUP($A201,satpek!$B$20:$N$144,7,0)</f>
        <v>m2</v>
      </c>
      <c r="I201" s="3281" t="str">
        <f>VLOOKUP($A201,satpek!$B$20:$N$144,5,0)</f>
        <v>An. Dihitung</v>
      </c>
      <c r="J201" s="1951">
        <f>VLOOKUP($A201,satpek!$B$20:$N$144,6,0)</f>
        <v>853707.66</v>
      </c>
      <c r="K201" s="3273"/>
      <c r="L201" s="1952">
        <f t="shared" si="150"/>
        <v>41063338.450000003</v>
      </c>
      <c r="M201" s="1967"/>
      <c r="N201" s="2458">
        <f>VLOOKUP($A201,satpek!$B$20:$L$138,8,0)</f>
        <v>0.47846365322798945</v>
      </c>
      <c r="O201" s="1954">
        <f>VLOOKUP($A201,satpek!$B$20:$L$138,9,0)</f>
        <v>361476.18000000005</v>
      </c>
      <c r="P201" s="1954">
        <f>VLOOKUP($A201,satpek!$B$20:$L$138,10,0)</f>
        <v>408468.08340000006</v>
      </c>
      <c r="Q201" s="1952">
        <f t="shared" si="151"/>
        <v>17387004.258000001</v>
      </c>
      <c r="R201" s="1952">
        <f t="shared" si="152"/>
        <v>19647314.928524368</v>
      </c>
      <c r="S201" s="3282">
        <f t="shared" si="153"/>
        <v>21416023.521475635</v>
      </c>
      <c r="V201" s="1958">
        <v>48.1</v>
      </c>
      <c r="W201" s="1958"/>
      <c r="X201" s="1958">
        <f t="shared" si="120"/>
        <v>0</v>
      </c>
      <c r="Y201" s="2127" t="s">
        <v>1828</v>
      </c>
      <c r="AF201" s="1910">
        <v>850784.35</v>
      </c>
      <c r="AG201" s="2128">
        <f t="shared" si="121"/>
        <v>-2923.3100000000559</v>
      </c>
    </row>
    <row r="202" spans="1:33" ht="21.95" customHeight="1" x14ac:dyDescent="0.2">
      <c r="A202" s="1910">
        <f>satpek!$B$55</f>
        <v>36</v>
      </c>
      <c r="B202" s="2131">
        <f>B201+1</f>
        <v>3</v>
      </c>
      <c r="C202" s="2132"/>
      <c r="D202" s="2133" t="str">
        <f>VLOOKUP($A202,satpek!$B$20:$N$144,2,0)</f>
        <v>Memasang pintu alluminium strip</v>
      </c>
      <c r="E202" s="2133"/>
      <c r="F202" s="2134"/>
      <c r="G202" s="1945">
        <f>'[3]B.VOL RAB'!Q476</f>
        <v>14.840000000000003</v>
      </c>
      <c r="H202" s="2456" t="str">
        <f>VLOOKUP($A202,satpek!$B$20:$N$144,7,0)</f>
        <v>m2</v>
      </c>
      <c r="I202" s="3281" t="str">
        <f>VLOOKUP($A202,satpek!$B$20:$N$144,5,0)</f>
        <v>A.4.2.1.12.</v>
      </c>
      <c r="J202" s="1951">
        <f>VLOOKUP($A202,satpek!$B$20:$N$144,6,0)</f>
        <v>765224.14</v>
      </c>
      <c r="K202" s="3273"/>
      <c r="L202" s="1952">
        <f t="shared" si="150"/>
        <v>11355926.24</v>
      </c>
      <c r="M202" s="1967"/>
      <c r="N202" s="2458">
        <f>VLOOKUP($A202,satpek!$B$20:$L$138,8,0)</f>
        <v>0.53012493548703865</v>
      </c>
      <c r="O202" s="1954">
        <f>VLOOKUP($A202,satpek!$B$20:$L$138,9,0)</f>
        <v>358995.04</v>
      </c>
      <c r="P202" s="1954">
        <f>VLOOKUP($A202,satpek!$B$20:$L$138,10,0)</f>
        <v>405664.39519999997</v>
      </c>
      <c r="Q202" s="1952">
        <f t="shared" si="151"/>
        <v>5327486.393600001</v>
      </c>
      <c r="R202" s="1952">
        <f t="shared" si="152"/>
        <v>6020059.6653755698</v>
      </c>
      <c r="S202" s="3282">
        <f t="shared" si="153"/>
        <v>5335866.5746244304</v>
      </c>
      <c r="V202" s="1958">
        <v>14.840000000000003</v>
      </c>
      <c r="W202" s="1958"/>
      <c r="X202" s="1958">
        <f t="shared" si="120"/>
        <v>0</v>
      </c>
      <c r="Y202" s="2127" t="s">
        <v>1829</v>
      </c>
      <c r="AF202" s="1910">
        <v>759680.81</v>
      </c>
      <c r="AG202" s="2128">
        <f t="shared" si="121"/>
        <v>-5543.3299999999581</v>
      </c>
    </row>
    <row r="203" spans="1:33" ht="21.95" customHeight="1" x14ac:dyDescent="0.2">
      <c r="A203" s="1910">
        <f>satpek!$B$57</f>
        <v>38</v>
      </c>
      <c r="B203" s="2131">
        <f>B202+1</f>
        <v>4</v>
      </c>
      <c r="C203" s="2132"/>
      <c r="D203" s="2133" t="str">
        <f>VLOOKUP($A203,satpek!$B$20:$N$144,2,0)</f>
        <v>Memasang jendela &amp; boven kaca rangka aluminium</v>
      </c>
      <c r="E203" s="2133"/>
      <c r="F203" s="2134"/>
      <c r="G203" s="1945">
        <f>'[3]B.VOL RAB'!Q477</f>
        <v>104.04</v>
      </c>
      <c r="H203" s="2456" t="str">
        <f>VLOOKUP($A203,satpek!$B$20:$N$144,7,0)</f>
        <v>m2</v>
      </c>
      <c r="I203" s="3281" t="str">
        <f>VLOOKUP($A203,satpek!$B$20:$N$144,5,0)</f>
        <v>An. Dihitung</v>
      </c>
      <c r="J203" s="1951">
        <f>VLOOKUP($A203,satpek!$B$20:$N$144,6,0)</f>
        <v>845503.86</v>
      </c>
      <c r="K203" s="3273"/>
      <c r="L203" s="1952">
        <f t="shared" si="150"/>
        <v>87966221.590000004</v>
      </c>
      <c r="M203" s="1967"/>
      <c r="N203" s="2458">
        <f>VLOOKUP($A203,satpek!$B$20:$L$138,8,0)</f>
        <v>0.47806680668534629</v>
      </c>
      <c r="O203" s="1954">
        <f>VLOOKUP($A203,satpek!$B$20:$L$138,9,0)</f>
        <v>357705.60000000003</v>
      </c>
      <c r="P203" s="1954">
        <f>VLOOKUP($A203,satpek!$B$20:$L$138,10,0)</f>
        <v>404207.32800000004</v>
      </c>
      <c r="Q203" s="1952">
        <f t="shared" si="151"/>
        <v>37215690.624000005</v>
      </c>
      <c r="R203" s="1952">
        <f t="shared" si="152"/>
        <v>42053730.651706867</v>
      </c>
      <c r="S203" s="3282">
        <f t="shared" si="153"/>
        <v>45912490.938293137</v>
      </c>
      <c r="V203" s="1958">
        <v>104.04</v>
      </c>
      <c r="W203" s="1958"/>
      <c r="X203" s="1958">
        <f t="shared" si="120"/>
        <v>0</v>
      </c>
      <c r="Y203" s="2127" t="s">
        <v>1633</v>
      </c>
      <c r="AF203" s="1910">
        <v>856253.55</v>
      </c>
      <c r="AG203" s="2128">
        <f t="shared" si="121"/>
        <v>10749.690000000061</v>
      </c>
    </row>
    <row r="204" spans="1:33" ht="21.95" customHeight="1" x14ac:dyDescent="0.2">
      <c r="A204" s="1910">
        <f>satpek!$B$83</f>
        <v>64</v>
      </c>
      <c r="B204" s="3284">
        <f>B203+1</f>
        <v>5</v>
      </c>
      <c r="C204" s="3285"/>
      <c r="D204" s="2133" t="str">
        <f>VLOOKUP($A204,satpek!$B$20:$N$144,2,0)</f>
        <v>Pasang kaca mati tebal 5 mm</v>
      </c>
      <c r="E204" s="3286"/>
      <c r="F204" s="3287"/>
      <c r="G204" s="2478">
        <f>'[3]B.VOL RAB'!Q478</f>
        <v>23.88</v>
      </c>
      <c r="H204" s="2456" t="str">
        <f>VLOOKUP($A204,satpek!$B$20:$N$144,7,0)</f>
        <v>m2</v>
      </c>
      <c r="I204" s="3281" t="str">
        <f>VLOOKUP($A204,satpek!$B$20:$N$144,5,0)</f>
        <v>A.4.6.2.17.</v>
      </c>
      <c r="J204" s="1951">
        <f>VLOOKUP($A204,satpek!$B$20:$N$144,6,0)</f>
        <v>170445.25</v>
      </c>
      <c r="K204" s="3273"/>
      <c r="L204" s="1952">
        <f t="shared" si="150"/>
        <v>4070232.57</v>
      </c>
      <c r="M204" s="2479"/>
      <c r="N204" s="2458">
        <f>VLOOKUP($A204,satpek!$B$20:$L$138,8,0)</f>
        <v>0.61858343305499663</v>
      </c>
      <c r="O204" s="1954">
        <f>VLOOKUP($A204,satpek!$B$20:$L$138,9,0)</f>
        <v>93304.960000000006</v>
      </c>
      <c r="P204" s="1954">
        <f>VLOOKUP($A204,satpek!$B$20:$L$138,10,0)</f>
        <v>105434.6048</v>
      </c>
      <c r="Q204" s="1952">
        <f t="shared" si="151"/>
        <v>2228122.4448000002</v>
      </c>
      <c r="R204" s="1952">
        <f t="shared" si="152"/>
        <v>2517778.4364828616</v>
      </c>
      <c r="S204" s="3282">
        <f t="shared" si="153"/>
        <v>1552454.1335171382</v>
      </c>
      <c r="V204" s="1958">
        <v>23.88</v>
      </c>
      <c r="W204" s="1958"/>
      <c r="X204" s="1958">
        <f t="shared" si="120"/>
        <v>0</v>
      </c>
      <c r="Y204" s="2127" t="s">
        <v>1830</v>
      </c>
      <c r="AF204" s="1910">
        <v>170734.07</v>
      </c>
      <c r="AG204" s="2128">
        <f t="shared" si="121"/>
        <v>288.82000000000698</v>
      </c>
    </row>
    <row r="205" spans="1:33" ht="21.95" customHeight="1" x14ac:dyDescent="0.2">
      <c r="B205" s="2114"/>
      <c r="C205" s="2115"/>
      <c r="D205" s="2116"/>
      <c r="E205" s="2116"/>
      <c r="F205" s="2117"/>
      <c r="G205" s="2021"/>
      <c r="H205" s="3289"/>
      <c r="I205" s="3290"/>
      <c r="J205" s="2026"/>
      <c r="K205" s="2027"/>
      <c r="L205" s="2065" t="s">
        <v>1831</v>
      </c>
      <c r="M205" s="2463">
        <f>SUM(L191:L204)</f>
        <v>465466917.94</v>
      </c>
      <c r="N205" s="3291">
        <f>R205/M205</f>
        <v>0.49371728908613305</v>
      </c>
      <c r="O205" s="2121"/>
      <c r="P205" s="2121"/>
      <c r="Q205" s="2119"/>
      <c r="R205" s="2123">
        <f>SUM(R190:R204)</f>
        <v>229809064.88461435</v>
      </c>
      <c r="S205" s="3294">
        <f>SUM(S191:S204)</f>
        <v>235657853.05538565</v>
      </c>
      <c r="U205" s="2125">
        <f>M205-T205</f>
        <v>465466917.94</v>
      </c>
      <c r="V205" s="1958"/>
      <c r="W205" s="1958"/>
      <c r="X205" s="1958">
        <f t="shared" si="120"/>
        <v>0</v>
      </c>
      <c r="Z205" s="2333"/>
      <c r="AA205" s="2333"/>
      <c r="AD205" s="2127"/>
      <c r="AE205" s="2127"/>
      <c r="AG205" s="2128">
        <f t="shared" si="121"/>
        <v>0</v>
      </c>
    </row>
    <row r="206" spans="1:33" ht="21.95" customHeight="1" x14ac:dyDescent="0.2">
      <c r="B206" s="3265" t="s">
        <v>1832</v>
      </c>
      <c r="C206" s="2164"/>
      <c r="D206" s="2165" t="s">
        <v>763</v>
      </c>
      <c r="E206" s="2166"/>
      <c r="F206" s="2167"/>
      <c r="G206" s="1945"/>
      <c r="H206" s="2168"/>
      <c r="I206" s="2169"/>
      <c r="J206" s="1997"/>
      <c r="K206" s="2041"/>
      <c r="L206" s="2042"/>
      <c r="M206" s="1997"/>
      <c r="N206" s="2482"/>
      <c r="O206" s="2171"/>
      <c r="P206" s="2171"/>
      <c r="Q206" s="2169"/>
      <c r="R206" s="2172"/>
      <c r="S206" s="2173"/>
      <c r="V206" s="1958"/>
      <c r="W206" s="1958"/>
      <c r="X206" s="1958">
        <f t="shared" si="120"/>
        <v>0</v>
      </c>
      <c r="Y206" s="2127" t="s">
        <v>763</v>
      </c>
      <c r="Z206" s="2333"/>
      <c r="AA206" s="2333"/>
      <c r="AD206" s="2127"/>
      <c r="AE206" s="2127"/>
      <c r="AG206" s="2128">
        <f t="shared" si="121"/>
        <v>0</v>
      </c>
    </row>
    <row r="207" spans="1:33" ht="21.95" customHeight="1" x14ac:dyDescent="0.2">
      <c r="B207" s="3265"/>
      <c r="C207" s="2164"/>
      <c r="D207" s="2165" t="s">
        <v>1769</v>
      </c>
      <c r="E207" s="2166"/>
      <c r="F207" s="2167"/>
      <c r="G207" s="1945"/>
      <c r="H207" s="2168"/>
      <c r="I207" s="2169"/>
      <c r="J207" s="1997"/>
      <c r="K207" s="2041"/>
      <c r="L207" s="2042"/>
      <c r="M207" s="1997"/>
      <c r="N207" s="2482"/>
      <c r="O207" s="2171"/>
      <c r="P207" s="2171"/>
      <c r="Q207" s="2169"/>
      <c r="R207" s="2172"/>
      <c r="S207" s="2173"/>
      <c r="V207" s="1958"/>
      <c r="W207" s="1958"/>
      <c r="X207" s="1958">
        <f t="shared" si="120"/>
        <v>0</v>
      </c>
      <c r="Y207" s="2127" t="s">
        <v>1769</v>
      </c>
      <c r="Z207" s="2333"/>
      <c r="AA207" s="2333"/>
      <c r="AD207" s="2127"/>
      <c r="AE207" s="2127"/>
      <c r="AG207" s="2128">
        <f t="shared" si="121"/>
        <v>0</v>
      </c>
    </row>
    <row r="208" spans="1:33" ht="21.95" customHeight="1" x14ac:dyDescent="0.2">
      <c r="A208" s="1910">
        <f>satpek!$B$84</f>
        <v>65</v>
      </c>
      <c r="B208" s="2131">
        <v>1</v>
      </c>
      <c r="C208" s="2132"/>
      <c r="D208" s="2133" t="str">
        <f>VLOOKUP($A208,satpek!$B$20:$N$144,2,0)</f>
        <v>Pengecatan dinding dalam (cat interior)</v>
      </c>
      <c r="E208" s="2133"/>
      <c r="F208" s="2134"/>
      <c r="G208" s="1945">
        <f>'[3]B.VOL RAB'!Q509</f>
        <v>1114.2919999999999</v>
      </c>
      <c r="H208" s="2456" t="str">
        <f>VLOOKUP($A208,satpek!$B$20:$N$144,7,0)</f>
        <v>m2</v>
      </c>
      <c r="I208" s="3281" t="str">
        <f>VLOOKUP($A208,satpek!$B$20:$N$144,5,0)</f>
        <v>A.4.7.1.10.</v>
      </c>
      <c r="J208" s="1951">
        <f>VLOOKUP($A208,satpek!$B$20:$N$144,6,0)</f>
        <v>23041.599999999999</v>
      </c>
      <c r="K208" s="3273"/>
      <c r="L208" s="1952">
        <f t="shared" ref="L208:L210" si="154">ROUND((G208*J208),2)</f>
        <v>25675070.550000001</v>
      </c>
      <c r="M208" s="1967"/>
      <c r="N208" s="2458">
        <f>VLOOKUP($A208,satpek!$B$20:$L$138,8,0)</f>
        <v>0.52513015673735219</v>
      </c>
      <c r="O208" s="1954">
        <f>VLOOKUP($A208,satpek!$B$20:$L$138,9,0)</f>
        <v>10707.824000000001</v>
      </c>
      <c r="P208" s="1954">
        <f>VLOOKUP($A208,satpek!$B$20:$L$138,10,0)</f>
        <v>12099.841120000001</v>
      </c>
      <c r="Q208" s="1952">
        <f t="shared" ref="Q208:Q210" si="155">O208*G208</f>
        <v>11931642.620608</v>
      </c>
      <c r="R208" s="1952">
        <f t="shared" ref="R208:R210" si="156">N208*L208</f>
        <v>13482753.822164075</v>
      </c>
      <c r="S208" s="3282">
        <f t="shared" ref="S208:S210" si="157">L208-R208</f>
        <v>12192316.727835925</v>
      </c>
      <c r="V208" s="1958">
        <v>1114.2919999999999</v>
      </c>
      <c r="W208" s="1958"/>
      <c r="X208" s="1958">
        <f t="shared" si="120"/>
        <v>0</v>
      </c>
      <c r="Y208" s="2127" t="s">
        <v>1833</v>
      </c>
      <c r="Z208" s="2333"/>
      <c r="AA208" s="2333"/>
      <c r="AD208" s="2127"/>
      <c r="AE208" s="2127"/>
      <c r="AF208" s="1910">
        <v>31297.379999999997</v>
      </c>
      <c r="AG208" s="2128">
        <f t="shared" si="121"/>
        <v>8255.7799999999988</v>
      </c>
    </row>
    <row r="209" spans="1:33" ht="21.95" customHeight="1" x14ac:dyDescent="0.2">
      <c r="A209" s="1910">
        <f>satpek!$B$85</f>
        <v>66</v>
      </c>
      <c r="B209" s="2131">
        <f>B208+1</f>
        <v>2</v>
      </c>
      <c r="C209" s="2132"/>
      <c r="D209" s="2133" t="str">
        <f>VLOOKUP($A209,satpek!$B$20:$N$144,2,0)</f>
        <v>Pengecatan dinding luar (cat exterior)</v>
      </c>
      <c r="E209" s="2133"/>
      <c r="F209" s="2134"/>
      <c r="G209" s="1945">
        <f>'[3]B.VOL RAB'!Q519</f>
        <v>353.28000000000003</v>
      </c>
      <c r="H209" s="2456" t="str">
        <f>VLOOKUP($A209,satpek!$B$20:$N$144,7,0)</f>
        <v>m2</v>
      </c>
      <c r="I209" s="3281" t="str">
        <f>VLOOKUP($A209,satpek!$B$20:$N$144,5,0)</f>
        <v>A.4.7.1.10a.</v>
      </c>
      <c r="J209" s="1951">
        <f>VLOOKUP($A209,satpek!$B$20:$N$144,6,0)</f>
        <v>56348.350000000006</v>
      </c>
      <c r="K209" s="3273"/>
      <c r="L209" s="1952">
        <f t="shared" si="154"/>
        <v>19906745.09</v>
      </c>
      <c r="M209" s="1967"/>
      <c r="N209" s="2458">
        <f>VLOOKUP($A209,satpek!$B$20:$L$138,8,0)</f>
        <v>0.35460536078835592</v>
      </c>
      <c r="O209" s="1954">
        <f>VLOOKUP($A209,satpek!$B$20:$L$138,9,0)</f>
        <v>17682.68</v>
      </c>
      <c r="P209" s="1954">
        <f>VLOOKUP($A209,satpek!$B$20:$L$138,10,0)</f>
        <v>19981.428400000001</v>
      </c>
      <c r="Q209" s="1952">
        <f t="shared" si="155"/>
        <v>6246937.1904000007</v>
      </c>
      <c r="R209" s="1952">
        <f t="shared" si="156"/>
        <v>7059038.5247612828</v>
      </c>
      <c r="S209" s="3282">
        <f t="shared" si="157"/>
        <v>12847706.565238718</v>
      </c>
      <c r="V209" s="1958">
        <v>353.28000000000003</v>
      </c>
      <c r="W209" s="1958"/>
      <c r="X209" s="1958">
        <f t="shared" ref="X209:X272" si="158">V209-G209</f>
        <v>0</v>
      </c>
      <c r="Y209" s="2127" t="s">
        <v>1834</v>
      </c>
      <c r="Z209" s="2333"/>
      <c r="AA209" s="2333"/>
      <c r="AD209" s="2127"/>
      <c r="AE209" s="2127"/>
      <c r="AF209" s="1910">
        <v>70707.83</v>
      </c>
      <c r="AG209" s="2128">
        <f t="shared" ref="AG209:AG272" si="159">AF209-J209</f>
        <v>14359.479999999996</v>
      </c>
    </row>
    <row r="210" spans="1:33" ht="21.95" customHeight="1" x14ac:dyDescent="0.2">
      <c r="A210" s="1910">
        <f>satpek!$B$84</f>
        <v>65</v>
      </c>
      <c r="B210" s="2131">
        <f>B209+1</f>
        <v>3</v>
      </c>
      <c r="C210" s="2132"/>
      <c r="D210" s="2133" t="s">
        <v>1835</v>
      </c>
      <c r="E210" s="2133"/>
      <c r="F210" s="2134"/>
      <c r="G210" s="1945">
        <f>'[3]B.VOL RAB'!Q525</f>
        <v>753.75</v>
      </c>
      <c r="H210" s="2456" t="str">
        <f>VLOOKUP($A210,satpek!$B$20:$N$144,7,0)</f>
        <v>m2</v>
      </c>
      <c r="I210" s="3281" t="str">
        <f>VLOOKUP($A210,satpek!$B$20:$N$144,5,0)</f>
        <v>A.4.7.1.10.</v>
      </c>
      <c r="J210" s="1951">
        <f>VLOOKUP($A210,satpek!$B$20:$N$144,6,0)</f>
        <v>23041.599999999999</v>
      </c>
      <c r="K210" s="3273"/>
      <c r="L210" s="1952">
        <f t="shared" si="154"/>
        <v>17367606</v>
      </c>
      <c r="M210" s="1967"/>
      <c r="N210" s="2458">
        <f>VLOOKUP($A210,satpek!$B$20:$L$138,8,0)</f>
        <v>0.52513015673735219</v>
      </c>
      <c r="O210" s="1954">
        <f>VLOOKUP($A210,satpek!$B$20:$L$138,9,0)</f>
        <v>10707.824000000001</v>
      </c>
      <c r="P210" s="1954">
        <f>VLOOKUP($A210,satpek!$B$20:$L$138,10,0)</f>
        <v>12099.841120000001</v>
      </c>
      <c r="Q210" s="1952">
        <f t="shared" si="155"/>
        <v>8071022.3400000008</v>
      </c>
      <c r="R210" s="1952">
        <f t="shared" si="156"/>
        <v>9120253.6609325781</v>
      </c>
      <c r="S210" s="3282">
        <f t="shared" si="157"/>
        <v>8247352.3390674219</v>
      </c>
      <c r="V210" s="1958">
        <v>753.75</v>
      </c>
      <c r="W210" s="1958"/>
      <c r="X210" s="1958">
        <f t="shared" si="158"/>
        <v>0</v>
      </c>
      <c r="Y210" s="2127" t="s">
        <v>1835</v>
      </c>
      <c r="Z210" s="2333"/>
      <c r="AA210" s="2333"/>
      <c r="AD210" s="2127"/>
      <c r="AE210" s="2127"/>
      <c r="AF210" s="1910">
        <v>20901.379999999997</v>
      </c>
      <c r="AG210" s="2128">
        <f t="shared" si="159"/>
        <v>-2140.2200000000012</v>
      </c>
    </row>
    <row r="211" spans="1:33" ht="21.95" customHeight="1" x14ac:dyDescent="0.2">
      <c r="B211" s="3265"/>
      <c r="C211" s="2164"/>
      <c r="D211" s="2165" t="s">
        <v>1786</v>
      </c>
      <c r="E211" s="2166"/>
      <c r="F211" s="2167"/>
      <c r="G211" s="1945"/>
      <c r="H211" s="2168"/>
      <c r="I211" s="2169"/>
      <c r="J211" s="1997"/>
      <c r="K211" s="2041"/>
      <c r="L211" s="2042"/>
      <c r="M211" s="1997"/>
      <c r="N211" s="2482"/>
      <c r="O211" s="2171"/>
      <c r="P211" s="2171"/>
      <c r="Q211" s="2169"/>
      <c r="R211" s="2172"/>
      <c r="S211" s="2173"/>
      <c r="V211" s="1958"/>
      <c r="W211" s="1958"/>
      <c r="X211" s="1958">
        <f t="shared" si="158"/>
        <v>0</v>
      </c>
      <c r="Y211" s="2127" t="s">
        <v>1786</v>
      </c>
      <c r="Z211" s="2333"/>
      <c r="AA211" s="2333"/>
      <c r="AD211" s="2127"/>
      <c r="AE211" s="2127"/>
      <c r="AG211" s="2128">
        <f t="shared" si="159"/>
        <v>0</v>
      </c>
    </row>
    <row r="212" spans="1:33" ht="21.95" customHeight="1" x14ac:dyDescent="0.2">
      <c r="A212" s="1910">
        <f>satpek!$B$84</f>
        <v>65</v>
      </c>
      <c r="B212" s="2131">
        <v>1</v>
      </c>
      <c r="C212" s="2132"/>
      <c r="D212" s="2133" t="str">
        <f>VLOOKUP($A212,satpek!$B$20:$N$144,2,0)</f>
        <v>Pengecatan dinding dalam (cat interior)</v>
      </c>
      <c r="E212" s="2133"/>
      <c r="F212" s="2134"/>
      <c r="G212" s="1945">
        <f>'[3]B.VOL RAB'!Q531</f>
        <v>816.87500000000023</v>
      </c>
      <c r="H212" s="2456" t="str">
        <f>VLOOKUP($A212,satpek!$B$20:$N$144,7,0)</f>
        <v>m2</v>
      </c>
      <c r="I212" s="3281" t="str">
        <f>VLOOKUP($A212,satpek!$B$20:$N$144,5,0)</f>
        <v>A.4.7.1.10.</v>
      </c>
      <c r="J212" s="1951">
        <f>VLOOKUP($A212,satpek!$B$20:$N$144,6,0)</f>
        <v>23041.599999999999</v>
      </c>
      <c r="K212" s="3273"/>
      <c r="L212" s="1952">
        <f t="shared" ref="L212:L215" si="160">ROUND((G212*J212),2)</f>
        <v>18822107</v>
      </c>
      <c r="M212" s="1967"/>
      <c r="N212" s="2458">
        <f>VLOOKUP($A212,satpek!$B$20:$L$138,8,0)</f>
        <v>0.52513015673735219</v>
      </c>
      <c r="O212" s="1954">
        <f>VLOOKUP($A212,satpek!$B$20:$L$138,9,0)</f>
        <v>10707.824000000001</v>
      </c>
      <c r="P212" s="1954">
        <f>VLOOKUP($A212,satpek!$B$20:$L$138,10,0)</f>
        <v>12099.841120000001</v>
      </c>
      <c r="Q212" s="1952">
        <f t="shared" ref="Q212:Q215" si="161">O212*G212</f>
        <v>8746953.7300000023</v>
      </c>
      <c r="R212" s="1952">
        <f t="shared" ref="R212:R215" si="162">N212*L212</f>
        <v>9884055.9990372136</v>
      </c>
      <c r="S212" s="3282">
        <f t="shared" ref="S212:S215" si="163">L212-R212</f>
        <v>8938051.0009627864</v>
      </c>
      <c r="V212" s="1958">
        <v>816.87500000000023</v>
      </c>
      <c r="W212" s="1958"/>
      <c r="X212" s="1958">
        <f t="shared" si="158"/>
        <v>0</v>
      </c>
      <c r="Y212" s="2127" t="s">
        <v>1833</v>
      </c>
      <c r="Z212" s="2333"/>
      <c r="AA212" s="2333"/>
      <c r="AD212" s="2127"/>
      <c r="AE212" s="2127"/>
      <c r="AF212" s="1910">
        <v>31297.379999999997</v>
      </c>
      <c r="AG212" s="2128">
        <f t="shared" si="159"/>
        <v>8255.7799999999988</v>
      </c>
    </row>
    <row r="213" spans="1:33" ht="21.95" customHeight="1" x14ac:dyDescent="0.2">
      <c r="A213" s="1910">
        <f>satpek!$B$85</f>
        <v>66</v>
      </c>
      <c r="B213" s="2131">
        <f>B212+1</f>
        <v>2</v>
      </c>
      <c r="C213" s="2132"/>
      <c r="D213" s="2133" t="str">
        <f>VLOOKUP($A213,satpek!$B$20:$N$144,2,0)</f>
        <v>Pengecatan dinding luar (cat exterior)</v>
      </c>
      <c r="E213" s="2133"/>
      <c r="F213" s="2134"/>
      <c r="G213" s="1945">
        <f>'[3]B.VOL RAB'!Q542</f>
        <v>564.16000000000008</v>
      </c>
      <c r="H213" s="2456" t="str">
        <f>VLOOKUP($A213,satpek!$B$20:$N$144,7,0)</f>
        <v>m2</v>
      </c>
      <c r="I213" s="3281" t="str">
        <f>VLOOKUP($A213,satpek!$B$20:$N$144,5,0)</f>
        <v>A.4.7.1.10a.</v>
      </c>
      <c r="J213" s="1951">
        <f>VLOOKUP($A213,satpek!$B$20:$N$144,6,0)</f>
        <v>56348.350000000006</v>
      </c>
      <c r="K213" s="3273"/>
      <c r="L213" s="1952">
        <f t="shared" si="160"/>
        <v>31789485.140000001</v>
      </c>
      <c r="M213" s="1967"/>
      <c r="N213" s="2458">
        <f>VLOOKUP($A213,satpek!$B$20:$L$138,8,0)</f>
        <v>0.35460536078835592</v>
      </c>
      <c r="O213" s="1954">
        <f>VLOOKUP($A213,satpek!$B$20:$L$138,9,0)</f>
        <v>17682.68</v>
      </c>
      <c r="P213" s="1954">
        <f>VLOOKUP($A213,satpek!$B$20:$L$138,10,0)</f>
        <v>19981.428400000001</v>
      </c>
      <c r="Q213" s="1952">
        <f t="shared" si="161"/>
        <v>9975860.748800002</v>
      </c>
      <c r="R213" s="1952">
        <f t="shared" si="162"/>
        <v>11272721.847345779</v>
      </c>
      <c r="S213" s="3282">
        <f t="shared" si="163"/>
        <v>20516763.292654224</v>
      </c>
      <c r="V213" s="1958">
        <v>564.16000000000008</v>
      </c>
      <c r="W213" s="1958"/>
      <c r="X213" s="1958">
        <f t="shared" si="158"/>
        <v>0</v>
      </c>
      <c r="Y213" s="2127" t="s">
        <v>1834</v>
      </c>
      <c r="Z213" s="2333"/>
      <c r="AA213" s="2333"/>
      <c r="AD213" s="2127"/>
      <c r="AE213" s="2127"/>
      <c r="AF213" s="1910">
        <v>70707.83</v>
      </c>
      <c r="AG213" s="2128">
        <f t="shared" si="159"/>
        <v>14359.479999999996</v>
      </c>
    </row>
    <row r="214" spans="1:33" ht="21.95" customHeight="1" x14ac:dyDescent="0.2">
      <c r="A214" s="1910">
        <f>satpek!$B$84</f>
        <v>65</v>
      </c>
      <c r="B214" s="2131">
        <f>B213+1</f>
        <v>3</v>
      </c>
      <c r="C214" s="2132"/>
      <c r="D214" s="2133" t="s">
        <v>1835</v>
      </c>
      <c r="E214" s="2133"/>
      <c r="F214" s="2134"/>
      <c r="G214" s="1945">
        <f>'[3]B.VOL RAB'!Q549</f>
        <v>829.65</v>
      </c>
      <c r="H214" s="2456" t="str">
        <f>VLOOKUP($A214,satpek!$B$20:$N$144,7,0)</f>
        <v>m2</v>
      </c>
      <c r="I214" s="3281" t="str">
        <f>VLOOKUP($A214,satpek!$B$20:$N$144,5,0)</f>
        <v>A.4.7.1.10.</v>
      </c>
      <c r="J214" s="1951">
        <f>VLOOKUP($A214,satpek!$B$20:$N$144,6,0)</f>
        <v>23041.599999999999</v>
      </c>
      <c r="K214" s="3273"/>
      <c r="L214" s="1952">
        <f t="shared" si="160"/>
        <v>19116463.440000001</v>
      </c>
      <c r="M214" s="1967"/>
      <c r="N214" s="2458">
        <f>VLOOKUP($A214,satpek!$B$20:$L$138,8,0)</f>
        <v>0.52513015673735219</v>
      </c>
      <c r="O214" s="1954">
        <f>VLOOKUP($A214,satpek!$B$20:$L$138,9,0)</f>
        <v>10707.824000000001</v>
      </c>
      <c r="P214" s="1954">
        <f>VLOOKUP($A214,satpek!$B$20:$L$138,10,0)</f>
        <v>12099.841120000001</v>
      </c>
      <c r="Q214" s="1952">
        <f t="shared" si="161"/>
        <v>8883746.1816000007</v>
      </c>
      <c r="R214" s="1952">
        <f t="shared" si="162"/>
        <v>10038631.442511063</v>
      </c>
      <c r="S214" s="3282">
        <f t="shared" si="163"/>
        <v>9077831.9974889383</v>
      </c>
      <c r="V214" s="1958">
        <v>829.65</v>
      </c>
      <c r="W214" s="1958"/>
      <c r="X214" s="1958">
        <f t="shared" si="158"/>
        <v>0</v>
      </c>
      <c r="Y214" s="2127" t="s">
        <v>1835</v>
      </c>
      <c r="Z214" s="2333"/>
      <c r="AA214" s="2333"/>
      <c r="AD214" s="2127"/>
      <c r="AE214" s="2127"/>
      <c r="AF214" s="1910">
        <v>20901.379999999997</v>
      </c>
      <c r="AG214" s="2128">
        <f t="shared" si="159"/>
        <v>-2140.2200000000012</v>
      </c>
    </row>
    <row r="215" spans="1:33" ht="21.95" customHeight="1" x14ac:dyDescent="0.2">
      <c r="A215" s="1910">
        <f>satpek!B112</f>
        <v>93</v>
      </c>
      <c r="B215" s="2131">
        <f>B214+1</f>
        <v>4</v>
      </c>
      <c r="C215" s="2132"/>
      <c r="D215" s="2133" t="s">
        <v>1836</v>
      </c>
      <c r="E215" s="2133"/>
      <c r="F215" s="2134"/>
      <c r="G215" s="1945">
        <f>'[3]B.VOL RAB'!Q550</f>
        <v>153.20949999999999</v>
      </c>
      <c r="H215" s="2456" t="str">
        <f>VLOOKUP($A215,satpek!$B$20:$N$144,7,0)</f>
        <v>m2</v>
      </c>
      <c r="I215" s="3281" t="str">
        <f>VLOOKUP($A215,satpek!$B$20:$N$144,5,0)</f>
        <v>Daftar harga</v>
      </c>
      <c r="J215" s="1951">
        <f>VLOOKUP($A215,satpek!$B$20:$N$144,6,0)</f>
        <v>52000</v>
      </c>
      <c r="K215" s="3273"/>
      <c r="L215" s="1952">
        <f t="shared" si="160"/>
        <v>7966894</v>
      </c>
      <c r="M215" s="1967"/>
      <c r="N215" s="2458">
        <f>VLOOKUP($A215,satpek!$B$20:$L$138,8,0)</f>
        <v>0.2</v>
      </c>
      <c r="O215" s="1954">
        <f>VLOOKUP($A215,satpek!$B$20:$L$138,9,0)</f>
        <v>0</v>
      </c>
      <c r="P215" s="1954">
        <f>VLOOKUP($A215,satpek!$B$20:$L$138,10,0)</f>
        <v>10400</v>
      </c>
      <c r="Q215" s="1952">
        <f t="shared" si="161"/>
        <v>0</v>
      </c>
      <c r="R215" s="1952">
        <f t="shared" si="162"/>
        <v>1593378.8</v>
      </c>
      <c r="S215" s="3282">
        <f t="shared" si="163"/>
        <v>6373515.2000000002</v>
      </c>
      <c r="V215" s="1958">
        <v>153.20949999999999</v>
      </c>
      <c r="W215" s="1958"/>
      <c r="X215" s="1958">
        <f t="shared" si="158"/>
        <v>0</v>
      </c>
      <c r="Y215" s="2129" t="s">
        <v>1836</v>
      </c>
      <c r="Z215" s="2127">
        <v>19699</v>
      </c>
      <c r="AA215" s="2404" t="e">
        <f>Y215*Z215/50</f>
        <v>#VALUE!</v>
      </c>
      <c r="AB215" s="2404" t="e">
        <f>10%*AA215</f>
        <v>#VALUE!</v>
      </c>
      <c r="AC215" s="2404" t="e">
        <f>AA215+AB215</f>
        <v>#VALUE!</v>
      </c>
      <c r="AD215" s="2127"/>
      <c r="AE215" s="2127"/>
      <c r="AF215" s="1910">
        <v>52000</v>
      </c>
      <c r="AG215" s="2128">
        <f t="shared" si="159"/>
        <v>0</v>
      </c>
    </row>
    <row r="216" spans="1:33" ht="21.95" customHeight="1" x14ac:dyDescent="0.2">
      <c r="B216" s="2114"/>
      <c r="C216" s="2115"/>
      <c r="D216" s="2116"/>
      <c r="E216" s="2116"/>
      <c r="F216" s="2117"/>
      <c r="G216" s="2021"/>
      <c r="H216" s="3289"/>
      <c r="I216" s="3290"/>
      <c r="J216" s="2026" t="s">
        <v>358</v>
      </c>
      <c r="K216" s="2027"/>
      <c r="L216" s="2065" t="s">
        <v>1837</v>
      </c>
      <c r="M216" s="2463">
        <f>SUM(L208:L216)</f>
        <v>140644371.22</v>
      </c>
      <c r="N216" s="3291">
        <f>R216/M216</f>
        <v>0.44403365420905883</v>
      </c>
      <c r="O216" s="2121"/>
      <c r="P216" s="2121"/>
      <c r="Q216" s="2119"/>
      <c r="R216" s="2123">
        <f>SUM(R207:R215)</f>
        <v>62450834.096751988</v>
      </c>
      <c r="S216" s="3294">
        <f>SUM(S208:S215)</f>
        <v>78193537.123248026</v>
      </c>
      <c r="U216" s="2125">
        <f>M216-T216</f>
        <v>140644371.22</v>
      </c>
      <c r="V216" s="1958"/>
      <c r="W216" s="1958"/>
      <c r="X216" s="1958">
        <f t="shared" si="158"/>
        <v>0</v>
      </c>
      <c r="Y216" s="2129"/>
      <c r="Z216" s="2127">
        <v>19701</v>
      </c>
      <c r="AA216" s="2404">
        <f>Y216*Z216/50</f>
        <v>0</v>
      </c>
      <c r="AB216" s="2404">
        <f>10%*AA216</f>
        <v>0</v>
      </c>
      <c r="AC216" s="2404">
        <f>AA216+AB216</f>
        <v>0</v>
      </c>
      <c r="AD216" s="2127"/>
      <c r="AE216" s="2127"/>
      <c r="AF216" s="1910" t="s">
        <v>358</v>
      </c>
      <c r="AG216" s="2128" t="e">
        <f t="shared" si="159"/>
        <v>#VALUE!</v>
      </c>
    </row>
    <row r="217" spans="1:33" s="2293" customFormat="1" ht="21.95" customHeight="1" x14ac:dyDescent="0.2">
      <c r="A217" s="1910"/>
      <c r="B217" s="3329" t="s">
        <v>1838</v>
      </c>
      <c r="C217" s="3330"/>
      <c r="D217" s="3331" t="s">
        <v>1839</v>
      </c>
      <c r="E217" s="3332"/>
      <c r="F217" s="3333"/>
      <c r="G217" s="2148"/>
      <c r="H217" s="3334"/>
      <c r="I217" s="3335"/>
      <c r="J217" s="2152"/>
      <c r="K217" s="2153"/>
      <c r="L217" s="2154"/>
      <c r="M217" s="2152"/>
      <c r="N217" s="3336"/>
      <c r="O217" s="3337"/>
      <c r="P217" s="3337"/>
      <c r="Q217" s="3335"/>
      <c r="R217" s="3338"/>
      <c r="S217" s="3339"/>
      <c r="T217" s="2125"/>
      <c r="U217" s="2125"/>
      <c r="V217" s="1958"/>
      <c r="W217" s="1958"/>
      <c r="X217" s="1958">
        <f t="shared" si="158"/>
        <v>0</v>
      </c>
      <c r="Y217" s="2293" t="s">
        <v>1839</v>
      </c>
      <c r="AB217" s="2158"/>
      <c r="AC217" s="2158"/>
      <c r="AD217" s="2158"/>
      <c r="AE217" s="2158"/>
      <c r="AF217" s="1910"/>
      <c r="AG217" s="2128">
        <f t="shared" si="159"/>
        <v>0</v>
      </c>
    </row>
    <row r="218" spans="1:33" s="2293" customFormat="1" ht="21.95" customHeight="1" x14ac:dyDescent="0.2">
      <c r="A218" s="1910">
        <f>satpek!B110</f>
        <v>91</v>
      </c>
      <c r="B218" s="3340">
        <v>1</v>
      </c>
      <c r="C218" s="3341"/>
      <c r="D218" s="2133" t="str">
        <f>VLOOKUP($A218,satpek!$B$20:$N$144,2,0)</f>
        <v>Pemasangan GRC Listplank</v>
      </c>
      <c r="E218" s="2133"/>
      <c r="F218" s="2134"/>
      <c r="G218" s="1945">
        <f>'[3]B.VOL RAB'!Q555</f>
        <v>176.3</v>
      </c>
      <c r="H218" s="2456" t="str">
        <f>VLOOKUP($A218,satpek!$B$20:$N$144,7,0)</f>
        <v>m'</v>
      </c>
      <c r="I218" s="3281" t="str">
        <f>VLOOKUP($A218,satpek!$B$20:$N$144,5,0)</f>
        <v>Daftar harga</v>
      </c>
      <c r="J218" s="1951">
        <f>VLOOKUP($A218,satpek!$B$20:$N$144,6,0)</f>
        <v>640000</v>
      </c>
      <c r="K218" s="3273"/>
      <c r="L218" s="1952">
        <f t="shared" ref="L218" si="164">ROUND((G218*J218),2)</f>
        <v>112832000</v>
      </c>
      <c r="M218" s="2481"/>
      <c r="N218" s="2458">
        <f>VLOOKUP($A218,satpek!$B$20:$L$138,8,0)</f>
        <v>0.2</v>
      </c>
      <c r="O218" s="1954">
        <f>VLOOKUP($A218,satpek!$B$20:$L$138,9,0)</f>
        <v>0</v>
      </c>
      <c r="P218" s="1954">
        <f>VLOOKUP($A218,satpek!$B$20:$L$138,10,0)</f>
        <v>128000</v>
      </c>
      <c r="Q218" s="1952">
        <f t="shared" ref="Q218" si="165">O218*G218</f>
        <v>0</v>
      </c>
      <c r="R218" s="1952">
        <f t="shared" ref="R218" si="166">N218*L218</f>
        <v>22566400</v>
      </c>
      <c r="S218" s="3282">
        <f t="shared" ref="S218" si="167">L218-R218</f>
        <v>90265600</v>
      </c>
      <c r="T218" s="2125"/>
      <c r="U218" s="2125"/>
      <c r="V218" s="1958">
        <v>176.3</v>
      </c>
      <c r="W218" s="1958"/>
      <c r="X218" s="1958">
        <f t="shared" si="158"/>
        <v>0</v>
      </c>
      <c r="Y218" s="2293" t="s">
        <v>1914</v>
      </c>
      <c r="AB218" s="2158"/>
      <c r="AC218" s="2158"/>
      <c r="AD218" s="2158"/>
      <c r="AE218" s="2158"/>
      <c r="AF218" s="1910">
        <v>640000</v>
      </c>
      <c r="AG218" s="2128">
        <f t="shared" si="159"/>
        <v>0</v>
      </c>
    </row>
    <row r="219" spans="1:33" s="2293" customFormat="1" ht="21.95" customHeight="1" x14ac:dyDescent="0.2">
      <c r="A219" s="1910"/>
      <c r="B219" s="2114"/>
      <c r="C219" s="2115"/>
      <c r="D219" s="2116"/>
      <c r="E219" s="2116"/>
      <c r="F219" s="2117"/>
      <c r="G219" s="2021"/>
      <c r="H219" s="3289"/>
      <c r="I219" s="3290"/>
      <c r="J219" s="2026" t="s">
        <v>358</v>
      </c>
      <c r="K219" s="2027"/>
      <c r="L219" s="2065" t="s">
        <v>1840</v>
      </c>
      <c r="M219" s="2463">
        <f>SUM(L218:L219)</f>
        <v>112832000</v>
      </c>
      <c r="N219" s="3291">
        <f>R219/M219</f>
        <v>0.2</v>
      </c>
      <c r="O219" s="2121"/>
      <c r="P219" s="2121"/>
      <c r="Q219" s="2119"/>
      <c r="R219" s="2123">
        <f>SUM(R217:R218)</f>
        <v>22566400</v>
      </c>
      <c r="S219" s="3294">
        <f>SUM(S218)</f>
        <v>90265600</v>
      </c>
      <c r="T219" s="2125"/>
      <c r="U219" s="2125">
        <f>M219-T219</f>
        <v>112832000</v>
      </c>
      <c r="V219" s="1958"/>
      <c r="W219" s="1958"/>
      <c r="X219" s="1958">
        <f t="shared" si="158"/>
        <v>0</v>
      </c>
      <c r="Y219" s="2187"/>
      <c r="AB219" s="2158"/>
      <c r="AC219" s="2158"/>
      <c r="AD219" s="2158"/>
      <c r="AE219" s="2158"/>
      <c r="AF219" s="1910" t="s">
        <v>358</v>
      </c>
      <c r="AG219" s="2128" t="e">
        <f t="shared" si="159"/>
        <v>#VALUE!</v>
      </c>
    </row>
    <row r="220" spans="1:33" ht="21.95" customHeight="1" x14ac:dyDescent="0.2">
      <c r="B220" s="3265" t="s">
        <v>1841</v>
      </c>
      <c r="C220" s="2164"/>
      <c r="D220" s="2165" t="s">
        <v>1842</v>
      </c>
      <c r="E220" s="2166"/>
      <c r="F220" s="2167"/>
      <c r="G220" s="1945"/>
      <c r="H220" s="2168"/>
      <c r="I220" s="2169"/>
      <c r="J220" s="1997"/>
      <c r="K220" s="2041"/>
      <c r="L220" s="2042"/>
      <c r="M220" s="1997"/>
      <c r="N220" s="2482"/>
      <c r="O220" s="2171"/>
      <c r="P220" s="2171"/>
      <c r="Q220" s="2169"/>
      <c r="R220" s="2172"/>
      <c r="S220" s="2173"/>
      <c r="V220" s="1958"/>
      <c r="W220" s="1958"/>
      <c r="X220" s="1958">
        <f t="shared" si="158"/>
        <v>0</v>
      </c>
      <c r="Y220" s="2127" t="s">
        <v>1842</v>
      </c>
      <c r="AC220" s="2127"/>
      <c r="AD220" s="2127"/>
      <c r="AE220" s="2127"/>
      <c r="AG220" s="2128">
        <f t="shared" si="159"/>
        <v>0</v>
      </c>
    </row>
    <row r="221" spans="1:33" ht="21.95" customHeight="1" x14ac:dyDescent="0.2">
      <c r="B221" s="3265"/>
      <c r="C221" s="2164"/>
      <c r="D221" s="2165" t="s">
        <v>1769</v>
      </c>
      <c r="E221" s="2166"/>
      <c r="F221" s="2167"/>
      <c r="G221" s="1945"/>
      <c r="H221" s="2168"/>
      <c r="I221" s="2169"/>
      <c r="J221" s="1997"/>
      <c r="K221" s="2041"/>
      <c r="L221" s="2042"/>
      <c r="M221" s="1997"/>
      <c r="N221" s="2482"/>
      <c r="O221" s="2171"/>
      <c r="P221" s="2171"/>
      <c r="Q221" s="2169"/>
      <c r="R221" s="2172"/>
      <c r="S221" s="2173"/>
      <c r="V221" s="1958"/>
      <c r="W221" s="1958"/>
      <c r="X221" s="1958">
        <f t="shared" si="158"/>
        <v>0</v>
      </c>
      <c r="Y221" s="2127" t="s">
        <v>1769</v>
      </c>
      <c r="AC221" s="2127"/>
      <c r="AD221" s="2127"/>
      <c r="AE221" s="2127"/>
      <c r="AG221" s="2128">
        <f t="shared" si="159"/>
        <v>0</v>
      </c>
    </row>
    <row r="222" spans="1:33" ht="21.95" customHeight="1" x14ac:dyDescent="0.2">
      <c r="B222" s="2163">
        <v>1</v>
      </c>
      <c r="C222" s="2164"/>
      <c r="D222" s="2165" t="s">
        <v>1843</v>
      </c>
      <c r="E222" s="2166"/>
      <c r="F222" s="2167"/>
      <c r="G222" s="1945"/>
      <c r="H222" s="2168"/>
      <c r="I222" s="2169"/>
      <c r="J222" s="1997"/>
      <c r="K222" s="2041"/>
      <c r="L222" s="2042"/>
      <c r="M222" s="1997"/>
      <c r="N222" s="2482"/>
      <c r="O222" s="2171"/>
      <c r="P222" s="2171"/>
      <c r="Q222" s="2169"/>
      <c r="R222" s="2172"/>
      <c r="S222" s="2173"/>
      <c r="V222" s="1958"/>
      <c r="W222" s="1958"/>
      <c r="X222" s="1958">
        <f t="shared" si="158"/>
        <v>0</v>
      </c>
      <c r="Y222" s="2127" t="s">
        <v>1843</v>
      </c>
      <c r="AC222" s="2127"/>
      <c r="AD222" s="2127"/>
      <c r="AE222" s="2127"/>
      <c r="AG222" s="2128">
        <f t="shared" si="159"/>
        <v>0</v>
      </c>
    </row>
    <row r="223" spans="1:33" ht="21.95" customHeight="1" x14ac:dyDescent="0.2">
      <c r="A223" s="1910">
        <f>satpek!B73</f>
        <v>54</v>
      </c>
      <c r="B223" s="2131">
        <v>1</v>
      </c>
      <c r="C223" s="2132"/>
      <c r="D223" s="2133" t="str">
        <f>VLOOKUP($A223,satpek!$B$20:$N$144,2,0)</f>
        <v>Memasang pipa PVC tipe AW diameter 3/4"</v>
      </c>
      <c r="E223" s="2133"/>
      <c r="F223" s="2134"/>
      <c r="G223" s="1945">
        <f>'[3]B.VOL RAB'!Q560</f>
        <v>29</v>
      </c>
      <c r="H223" s="2456" t="str">
        <f>VLOOKUP($A223,satpek!$B$20:$N$144,7,0)</f>
        <v>m'</v>
      </c>
      <c r="I223" s="3281" t="str">
        <f>VLOOKUP($A223,satpek!$B$20:$N$144,5,0)</f>
        <v>A.5.1.1.26.</v>
      </c>
      <c r="J223" s="1951">
        <f>VLOOKUP($A223,satpek!$B$20:$N$144,6,0)</f>
        <v>24034.87</v>
      </c>
      <c r="K223" s="3273"/>
      <c r="L223" s="1952">
        <f t="shared" ref="L223:L226" si="168">ROUND((G223*J223),2)</f>
        <v>697011.23</v>
      </c>
      <c r="M223" s="1967"/>
      <c r="N223" s="2458">
        <f>VLOOKUP($A223,satpek!$B$20:$L$138,8,0)</f>
        <v>0.94560353176804668</v>
      </c>
      <c r="O223" s="1954">
        <f>VLOOKUP($A223,satpek!$B$20:$L$138,9,0)</f>
        <v>20112.797999999999</v>
      </c>
      <c r="P223" s="1954">
        <f>VLOOKUP($A223,satpek!$B$20:$L$138,10,0)</f>
        <v>22727.461739999999</v>
      </c>
      <c r="Q223" s="1952">
        <f t="shared" ref="Q223:Q226" si="169">O223*G223</f>
        <v>583271.14199999999</v>
      </c>
      <c r="R223" s="1952">
        <f t="shared" ref="R223:R226" si="170">N223*L223</f>
        <v>659096.28076999029</v>
      </c>
      <c r="S223" s="3282">
        <f t="shared" ref="S223:S226" si="171">L223-R223</f>
        <v>37914.94923000969</v>
      </c>
      <c r="V223" s="1958">
        <v>29</v>
      </c>
      <c r="W223" s="1958"/>
      <c r="X223" s="1958">
        <f t="shared" si="158"/>
        <v>0</v>
      </c>
      <c r="Y223" s="2127" t="s">
        <v>455</v>
      </c>
      <c r="AC223" s="2127"/>
      <c r="AD223" s="2127"/>
      <c r="AE223" s="2127"/>
      <c r="AF223" s="1910">
        <v>24319.86</v>
      </c>
      <c r="AG223" s="2128">
        <f t="shared" si="159"/>
        <v>284.9900000000016</v>
      </c>
    </row>
    <row r="224" spans="1:33" ht="21.95" customHeight="1" x14ac:dyDescent="0.2">
      <c r="A224" s="1910">
        <f>satpek!B74</f>
        <v>55</v>
      </c>
      <c r="B224" s="2131">
        <f>B223+1</f>
        <v>2</v>
      </c>
      <c r="C224" s="2132"/>
      <c r="D224" s="2133" t="str">
        <f>VLOOKUP($A224,satpek!$B$20:$N$144,2,0)</f>
        <v>Memasang pipa PVC tipe AW diameter 1"</v>
      </c>
      <c r="E224" s="2133"/>
      <c r="F224" s="2134"/>
      <c r="G224" s="1945">
        <f>'[3]B.VOL RAB'!Q561</f>
        <v>37</v>
      </c>
      <c r="H224" s="2456" t="str">
        <f>VLOOKUP($A224,satpek!$B$20:$N$144,7,0)</f>
        <v>m'</v>
      </c>
      <c r="I224" s="3281" t="str">
        <f>VLOOKUP($A224,satpek!$B$20:$N$144,5,0)</f>
        <v>A.5.1.1.27.</v>
      </c>
      <c r="J224" s="1951">
        <f>VLOOKUP($A224,satpek!$B$20:$N$144,6,0)</f>
        <v>26924.85</v>
      </c>
      <c r="K224" s="3273"/>
      <c r="L224" s="1952">
        <f t="shared" si="168"/>
        <v>996219.45</v>
      </c>
      <c r="M224" s="1967"/>
      <c r="N224" s="2458">
        <f>VLOOKUP($A224,satpek!$B$20:$L$138,8,0)</f>
        <v>0.94103691983565063</v>
      </c>
      <c r="O224" s="1954">
        <f>VLOOKUP($A224,satpek!$B$20:$L$138,9,0)</f>
        <v>22422.368999999999</v>
      </c>
      <c r="P224" s="1954">
        <f>VLOOKUP($A224,satpek!$B$20:$L$138,10,0)</f>
        <v>25337.276969999999</v>
      </c>
      <c r="Q224" s="1952">
        <f t="shared" si="169"/>
        <v>829627.65299999993</v>
      </c>
      <c r="R224" s="1952">
        <f t="shared" si="170"/>
        <v>937479.28270836594</v>
      </c>
      <c r="S224" s="3282">
        <f t="shared" si="171"/>
        <v>58740.167291634018</v>
      </c>
      <c r="V224" s="1958">
        <v>37</v>
      </c>
      <c r="W224" s="1958"/>
      <c r="X224" s="1958">
        <f t="shared" si="158"/>
        <v>0</v>
      </c>
      <c r="Y224" s="2127" t="s">
        <v>456</v>
      </c>
      <c r="AC224" s="2127"/>
      <c r="AD224" s="2127"/>
      <c r="AE224" s="2127"/>
      <c r="AF224" s="1910">
        <v>27340.35</v>
      </c>
      <c r="AG224" s="2128">
        <f t="shared" si="159"/>
        <v>415.5</v>
      </c>
    </row>
    <row r="225" spans="1:33" ht="21.95" customHeight="1" x14ac:dyDescent="0.2">
      <c r="A225" s="1910">
        <f>satpek!B75</f>
        <v>56</v>
      </c>
      <c r="B225" s="2131">
        <f>B224+1</f>
        <v>3</v>
      </c>
      <c r="C225" s="2132"/>
      <c r="D225" s="2133" t="str">
        <f>VLOOKUP($A225,satpek!$B$20:$N$144,2,0)</f>
        <v>Memasang pipa PVC tipe AW diameter 1 1/2"</v>
      </c>
      <c r="E225" s="2133"/>
      <c r="F225" s="2134"/>
      <c r="G225" s="1945">
        <f>'[3]B.VOL RAB'!Q562</f>
        <v>53</v>
      </c>
      <c r="H225" s="2456" t="str">
        <f>VLOOKUP($A225,satpek!$B$20:$N$144,7,0)</f>
        <v>m'</v>
      </c>
      <c r="I225" s="3281" t="str">
        <f>VLOOKUP($A225,satpek!$B$20:$N$144,5,0)</f>
        <v>A.5.1.1.28.</v>
      </c>
      <c r="J225" s="1951">
        <f>VLOOKUP($A225,satpek!$B$20:$N$144,6,0)</f>
        <v>49932.95</v>
      </c>
      <c r="K225" s="3273"/>
      <c r="L225" s="1952">
        <f t="shared" si="168"/>
        <v>2646446.35</v>
      </c>
      <c r="M225" s="1967"/>
      <c r="N225" s="2458">
        <f>VLOOKUP($A225,satpek!$B$20:$L$138,8,0)</f>
        <v>0.93377650720946315</v>
      </c>
      <c r="O225" s="1954">
        <f>VLOOKUP($A225,satpek!$B$20:$L$138,9,0)</f>
        <v>41262.136500000001</v>
      </c>
      <c r="P225" s="1954">
        <f>VLOOKUP($A225,satpek!$B$20:$L$138,10,0)</f>
        <v>46626.214245000003</v>
      </c>
      <c r="Q225" s="1952">
        <f t="shared" si="169"/>
        <v>2186893.2345000003</v>
      </c>
      <c r="R225" s="1952">
        <f t="shared" si="170"/>
        <v>2471189.4292202326</v>
      </c>
      <c r="S225" s="3282">
        <f t="shared" si="171"/>
        <v>175256.92077976745</v>
      </c>
      <c r="V225" s="1958">
        <v>53</v>
      </c>
      <c r="W225" s="1958"/>
      <c r="X225" s="1958">
        <f t="shared" si="158"/>
        <v>0</v>
      </c>
      <c r="Y225" s="2127" t="s">
        <v>457</v>
      </c>
      <c r="AC225" s="2127"/>
      <c r="AD225" s="2127"/>
      <c r="AE225" s="2127"/>
      <c r="AF225" s="1910">
        <v>50987.3</v>
      </c>
      <c r="AG225" s="2128">
        <f t="shared" si="159"/>
        <v>1054.3500000000058</v>
      </c>
    </row>
    <row r="226" spans="1:33" ht="21.95" customHeight="1" x14ac:dyDescent="0.2">
      <c r="A226" s="1910">
        <f>satpek!$B$115</f>
        <v>96</v>
      </c>
      <c r="B226" s="2131">
        <f>B225+1</f>
        <v>4</v>
      </c>
      <c r="C226" s="2164"/>
      <c r="D226" s="2133" t="str">
        <f>VLOOKUP($A226,satpek!$B$20:$N$144,2,0)</f>
        <v>Pemasangan stop kran PVC 1 1/2"</v>
      </c>
      <c r="E226" s="2133"/>
      <c r="F226" s="2134"/>
      <c r="G226" s="1945">
        <f>'[3]B.VOL RAB'!Q563</f>
        <v>4</v>
      </c>
      <c r="H226" s="2456" t="str">
        <f>VLOOKUP($A226,satpek!$B$20:$N$144,7,0)</f>
        <v>bh</v>
      </c>
      <c r="I226" s="3281" t="str">
        <f>VLOOKUP($A226,satpek!$B$20:$N$144,5,0)</f>
        <v>Daftar harga</v>
      </c>
      <c r="J226" s="1951">
        <f>VLOOKUP($A226,satpek!$B$20:$N$144,6,0)</f>
        <v>159000</v>
      </c>
      <c r="K226" s="3273"/>
      <c r="L226" s="1952">
        <f t="shared" si="168"/>
        <v>636000</v>
      </c>
      <c r="M226" s="1997"/>
      <c r="N226" s="2458">
        <f>VLOOKUP($A226,satpek!$B$20:$L$138,8,0)</f>
        <v>0.2</v>
      </c>
      <c r="O226" s="1954">
        <f>VLOOKUP($A226,satpek!$B$20:$L$138,9,0)</f>
        <v>0</v>
      </c>
      <c r="P226" s="1954">
        <f>VLOOKUP($A226,satpek!$B$20:$L$138,10,0)</f>
        <v>31800</v>
      </c>
      <c r="Q226" s="1952">
        <f t="shared" si="169"/>
        <v>0</v>
      </c>
      <c r="R226" s="1952">
        <f t="shared" si="170"/>
        <v>127200</v>
      </c>
      <c r="S226" s="3282">
        <f t="shared" si="171"/>
        <v>508800</v>
      </c>
      <c r="V226" s="1958">
        <v>4</v>
      </c>
      <c r="W226" s="1958"/>
      <c r="X226" s="1958">
        <f t="shared" si="158"/>
        <v>0</v>
      </c>
      <c r="Y226" s="2127" t="s">
        <v>1844</v>
      </c>
      <c r="AC226" s="2127"/>
      <c r="AD226" s="2127"/>
      <c r="AE226" s="2127"/>
      <c r="AF226" s="1910">
        <v>159520.72</v>
      </c>
      <c r="AG226" s="2128">
        <f t="shared" si="159"/>
        <v>520.72000000000116</v>
      </c>
    </row>
    <row r="227" spans="1:33" ht="21.95" customHeight="1" x14ac:dyDescent="0.2">
      <c r="B227" s="2163">
        <v>2</v>
      </c>
      <c r="C227" s="2164"/>
      <c r="D227" s="2165" t="s">
        <v>1845</v>
      </c>
      <c r="E227" s="2166"/>
      <c r="F227" s="2167"/>
      <c r="G227" s="1945"/>
      <c r="H227" s="2168"/>
      <c r="I227" s="2169"/>
      <c r="J227" s="1997"/>
      <c r="K227" s="2041"/>
      <c r="L227" s="2042"/>
      <c r="M227" s="1997"/>
      <c r="N227" s="2482"/>
      <c r="O227" s="2171"/>
      <c r="P227" s="2171"/>
      <c r="Q227" s="2169"/>
      <c r="R227" s="2172"/>
      <c r="S227" s="2173"/>
      <c r="V227" s="1958"/>
      <c r="W227" s="1958"/>
      <c r="X227" s="1958">
        <f t="shared" si="158"/>
        <v>0</v>
      </c>
      <c r="Y227" s="2127" t="s">
        <v>1845</v>
      </c>
      <c r="AC227" s="2127"/>
      <c r="AD227" s="2127"/>
      <c r="AE227" s="2127"/>
      <c r="AG227" s="2128">
        <f t="shared" si="159"/>
        <v>0</v>
      </c>
    </row>
    <row r="228" spans="1:33" ht="21.95" customHeight="1" x14ac:dyDescent="0.2">
      <c r="A228" s="1910">
        <f>satpek!B75</f>
        <v>56</v>
      </c>
      <c r="B228" s="2131">
        <v>1</v>
      </c>
      <c r="C228" s="2132"/>
      <c r="D228" s="2133" t="str">
        <f>VLOOKUP($A228,satpek!$B$20:$N$144,2,0)</f>
        <v>Memasang pipa PVC tipe AW diameter 1 1/2"</v>
      </c>
      <c r="E228" s="2133"/>
      <c r="F228" s="2134"/>
      <c r="G228" s="1945">
        <f>'[3]B.VOL RAB'!Q565</f>
        <v>14.8</v>
      </c>
      <c r="H228" s="2456" t="str">
        <f>VLOOKUP($A228,satpek!$B$20:$N$144,7,0)</f>
        <v>m'</v>
      </c>
      <c r="I228" s="3281" t="str">
        <f>VLOOKUP($A228,satpek!$B$20:$N$144,5,0)</f>
        <v>A.5.1.1.28.</v>
      </c>
      <c r="J228" s="1951">
        <f>VLOOKUP($A228,satpek!$B$20:$N$144,6,0)</f>
        <v>49932.95</v>
      </c>
      <c r="K228" s="3273"/>
      <c r="L228" s="1952">
        <f t="shared" ref="L228:L230" si="172">ROUND((G228*J228),2)</f>
        <v>739007.66</v>
      </c>
      <c r="M228" s="1967"/>
      <c r="N228" s="2458">
        <f>VLOOKUP($A228,satpek!$B$20:$L$138,8,0)</f>
        <v>0.93377650720946315</v>
      </c>
      <c r="O228" s="1954">
        <f>VLOOKUP($A228,satpek!$B$20:$L$138,9,0)</f>
        <v>41262.136500000001</v>
      </c>
      <c r="P228" s="1954">
        <f>VLOOKUP($A228,satpek!$B$20:$L$138,10,0)</f>
        <v>46626.214245000003</v>
      </c>
      <c r="Q228" s="1952">
        <f t="shared" ref="Q228:Q230" si="173">O228*G228</f>
        <v>610679.6202</v>
      </c>
      <c r="R228" s="1952">
        <f t="shared" ref="R228:R230" si="174">N228*L228</f>
        <v>690067.9915558385</v>
      </c>
      <c r="S228" s="3282">
        <f t="shared" ref="S228:S230" si="175">L228-R228</f>
        <v>48939.668444161536</v>
      </c>
      <c r="V228" s="1958">
        <v>14.8</v>
      </c>
      <c r="W228" s="1958"/>
      <c r="X228" s="1958">
        <f t="shared" si="158"/>
        <v>0</v>
      </c>
      <c r="Y228" s="2127" t="s">
        <v>457</v>
      </c>
      <c r="AC228" s="2127"/>
      <c r="AD228" s="2127"/>
      <c r="AE228" s="2127"/>
      <c r="AF228" s="1910">
        <v>50987.3</v>
      </c>
      <c r="AG228" s="2128">
        <f t="shared" si="159"/>
        <v>1054.3500000000058</v>
      </c>
    </row>
    <row r="229" spans="1:33" ht="21.95" customHeight="1" x14ac:dyDescent="0.2">
      <c r="A229" s="1910">
        <f>satpek!B76</f>
        <v>57</v>
      </c>
      <c r="B229" s="2131">
        <f>B228+1</f>
        <v>2</v>
      </c>
      <c r="C229" s="2132"/>
      <c r="D229" s="2133" t="str">
        <f>VLOOKUP($A229,satpek!$B$20:$N$144,2,0)</f>
        <v>Memasang pipa PVC tipe AW diameter 2"</v>
      </c>
      <c r="E229" s="2133"/>
      <c r="F229" s="2134"/>
      <c r="G229" s="1945">
        <f>'[3]B.VOL RAB'!Q566</f>
        <v>15.8</v>
      </c>
      <c r="H229" s="2456" t="str">
        <f>VLOOKUP($A229,satpek!$B$20:$N$144,7,0)</f>
        <v>m'</v>
      </c>
      <c r="I229" s="3281" t="str">
        <f>VLOOKUP($A229,satpek!$B$20:$N$144,5,0)</f>
        <v>A.5.1.1.29.</v>
      </c>
      <c r="J229" s="1951">
        <f>VLOOKUP($A229,satpek!$B$20:$N$144,6,0)</f>
        <v>78438.61</v>
      </c>
      <c r="K229" s="3273"/>
      <c r="L229" s="1952">
        <f t="shared" si="172"/>
        <v>1239330.04</v>
      </c>
      <c r="M229" s="1967"/>
      <c r="N229" s="2458">
        <f>VLOOKUP($A229,satpek!$B$20:$L$138,8,0)</f>
        <v>0.92261300560255965</v>
      </c>
      <c r="O229" s="1954">
        <f>VLOOKUP($A229,satpek!$B$20:$L$138,9,0)</f>
        <v>64042.904999999999</v>
      </c>
      <c r="P229" s="1954">
        <f>VLOOKUP($A229,satpek!$B$20:$L$138,10,0)</f>
        <v>72368.482649999991</v>
      </c>
      <c r="Q229" s="1952">
        <f t="shared" si="173"/>
        <v>1011877.899</v>
      </c>
      <c r="R229" s="1952">
        <f t="shared" si="174"/>
        <v>1143422.0131379406</v>
      </c>
      <c r="S229" s="3282">
        <f t="shared" si="175"/>
        <v>95908.026862059487</v>
      </c>
      <c r="V229" s="1958">
        <v>15.8</v>
      </c>
      <c r="W229" s="1958"/>
      <c r="X229" s="1958">
        <f t="shared" si="158"/>
        <v>0</v>
      </c>
      <c r="Y229" s="2127" t="s">
        <v>458</v>
      </c>
      <c r="AC229" s="2127"/>
      <c r="AD229" s="2127"/>
      <c r="AE229" s="2127"/>
      <c r="AF229" s="1910">
        <v>80780.31</v>
      </c>
      <c r="AG229" s="2128">
        <f t="shared" si="159"/>
        <v>2341.6999999999971</v>
      </c>
    </row>
    <row r="230" spans="1:33" ht="21.95" customHeight="1" x14ac:dyDescent="0.2">
      <c r="A230" s="1910">
        <f>satpek!B78</f>
        <v>59</v>
      </c>
      <c r="B230" s="2131">
        <f>B229+1</f>
        <v>3</v>
      </c>
      <c r="C230" s="2132"/>
      <c r="D230" s="2133" t="str">
        <f>VLOOKUP($A230,satpek!$B$20:$N$144,2,0)</f>
        <v>Memasang pipa PVC tipe AW diameter 3"</v>
      </c>
      <c r="E230" s="2133"/>
      <c r="F230" s="2134"/>
      <c r="G230" s="1945">
        <f>'[3]B.VOL RAB'!Q567</f>
        <v>17.8</v>
      </c>
      <c r="H230" s="2456" t="str">
        <f>VLOOKUP($A230,satpek!$B$20:$N$144,7,0)</f>
        <v>m'</v>
      </c>
      <c r="I230" s="3281" t="str">
        <f>VLOOKUP($A230,satpek!$B$20:$N$144,5,0)</f>
        <v>A.5.1.1.31.</v>
      </c>
      <c r="J230" s="1951">
        <f>VLOOKUP($A230,satpek!$B$20:$N$144,6,0)</f>
        <v>103284.6</v>
      </c>
      <c r="K230" s="3273"/>
      <c r="L230" s="1952">
        <f t="shared" si="172"/>
        <v>1838465.88</v>
      </c>
      <c r="M230" s="1967"/>
      <c r="N230" s="2458">
        <f>VLOOKUP($A230,satpek!$B$20:$L$138,8,0)</f>
        <v>0.92520067875753675</v>
      </c>
      <c r="O230" s="1954">
        <f>VLOOKUP($A230,satpek!$B$20:$L$138,9,0)</f>
        <v>84565.47</v>
      </c>
      <c r="P230" s="1954">
        <f>VLOOKUP($A230,satpek!$B$20:$L$138,10,0)</f>
        <v>95558.981100000005</v>
      </c>
      <c r="Q230" s="1952">
        <f t="shared" si="173"/>
        <v>1505265.3660000002</v>
      </c>
      <c r="R230" s="1952">
        <f t="shared" si="174"/>
        <v>1700949.8800485721</v>
      </c>
      <c r="S230" s="3282">
        <f t="shared" si="175"/>
        <v>137515.9999514278</v>
      </c>
      <c r="V230" s="1958">
        <v>17.8</v>
      </c>
      <c r="W230" s="1958"/>
      <c r="X230" s="1958">
        <f t="shared" si="158"/>
        <v>0</v>
      </c>
      <c r="Y230" s="2127" t="s">
        <v>459</v>
      </c>
      <c r="AC230" s="2127"/>
      <c r="AD230" s="2127"/>
      <c r="AE230" s="2127"/>
      <c r="AF230" s="1910">
        <v>106247.69</v>
      </c>
      <c r="AG230" s="2128">
        <f t="shared" si="159"/>
        <v>2963.0899999999965</v>
      </c>
    </row>
    <row r="231" spans="1:33" ht="21.95" customHeight="1" x14ac:dyDescent="0.2">
      <c r="B231" s="2163">
        <v>3</v>
      </c>
      <c r="C231" s="2164"/>
      <c r="D231" s="2165" t="s">
        <v>1846</v>
      </c>
      <c r="E231" s="2166"/>
      <c r="F231" s="2167"/>
      <c r="G231" s="1945"/>
      <c r="H231" s="2168"/>
      <c r="I231" s="2169"/>
      <c r="J231" s="1997"/>
      <c r="K231" s="2041"/>
      <c r="L231" s="2042"/>
      <c r="M231" s="1997"/>
      <c r="N231" s="2482"/>
      <c r="O231" s="2171"/>
      <c r="P231" s="2171"/>
      <c r="Q231" s="2169"/>
      <c r="R231" s="2172"/>
      <c r="S231" s="2173"/>
      <c r="V231" s="1958"/>
      <c r="W231" s="1958"/>
      <c r="X231" s="1958">
        <f t="shared" si="158"/>
        <v>0</v>
      </c>
      <c r="Y231" s="2127" t="s">
        <v>1846</v>
      </c>
      <c r="AC231" s="2127"/>
      <c r="AD231" s="2127"/>
      <c r="AE231" s="2127"/>
      <c r="AG231" s="2128">
        <f t="shared" si="159"/>
        <v>0</v>
      </c>
    </row>
    <row r="232" spans="1:33" ht="21.95" customHeight="1" x14ac:dyDescent="0.2">
      <c r="A232" s="1910">
        <f>satpek!B79</f>
        <v>60</v>
      </c>
      <c r="B232" s="2131">
        <v>1</v>
      </c>
      <c r="C232" s="2132"/>
      <c r="D232" s="2133" t="str">
        <f>VLOOKUP($A232,satpek!$B$20:$N$144,2,0)</f>
        <v>Memasang pipa PVC tipe AW diameter 4"</v>
      </c>
      <c r="E232" s="2133"/>
      <c r="F232" s="2134"/>
      <c r="G232" s="1945">
        <f>'[3]B.VOL RAB'!Q569</f>
        <v>32</v>
      </c>
      <c r="H232" s="2456" t="str">
        <f>VLOOKUP($A232,satpek!$B$20:$N$144,7,0)</f>
        <v>m'</v>
      </c>
      <c r="I232" s="3281" t="str">
        <f>VLOOKUP($A232,satpek!$B$20:$N$144,5,0)</f>
        <v>A.5.1.1.32.</v>
      </c>
      <c r="J232" s="1951">
        <f>VLOOKUP($A232,satpek!$B$20:$N$144,6,0)</f>
        <v>167743.75</v>
      </c>
      <c r="K232" s="3273"/>
      <c r="L232" s="1952">
        <f t="shared" ref="L232" si="176">ROUND((G232*J232),2)</f>
        <v>5367800</v>
      </c>
      <c r="M232" s="1967"/>
      <c r="N232" s="2458">
        <f>VLOOKUP($A232,satpek!$B$20:$L$138,8,0)</f>
        <v>0.91674479843821799</v>
      </c>
      <c r="O232" s="1954">
        <f>VLOOKUP($A232,satpek!$B$20:$L$138,9,0)</f>
        <v>136086.91500000001</v>
      </c>
      <c r="P232" s="1954">
        <f>VLOOKUP($A232,satpek!$B$20:$L$138,10,0)</f>
        <v>153778.21395</v>
      </c>
      <c r="Q232" s="1952">
        <f t="shared" ref="Q232" si="177">O232*G232</f>
        <v>4354781.28</v>
      </c>
      <c r="R232" s="1952">
        <f t="shared" ref="R232" si="178">N232*L232</f>
        <v>4920902.7290566666</v>
      </c>
      <c r="S232" s="3282">
        <f t="shared" ref="S232" si="179">L232-R232</f>
        <v>446897.27094333339</v>
      </c>
      <c r="V232" s="1958">
        <v>32</v>
      </c>
      <c r="W232" s="1958"/>
      <c r="X232" s="1958">
        <f t="shared" si="158"/>
        <v>0</v>
      </c>
      <c r="Y232" s="2127" t="s">
        <v>460</v>
      </c>
      <c r="AC232" s="2127"/>
      <c r="AD232" s="2127"/>
      <c r="AE232" s="2127"/>
      <c r="AF232" s="1910">
        <v>173522.24</v>
      </c>
      <c r="AG232" s="2128">
        <f t="shared" si="159"/>
        <v>5778.4899999999907</v>
      </c>
    </row>
    <row r="233" spans="1:33" ht="21.95" customHeight="1" x14ac:dyDescent="0.2">
      <c r="B233" s="2163">
        <v>4</v>
      </c>
      <c r="C233" s="2164"/>
      <c r="D233" s="2165" t="s">
        <v>1847</v>
      </c>
      <c r="E233" s="2166"/>
      <c r="F233" s="2167"/>
      <c r="G233" s="1945"/>
      <c r="H233" s="2168"/>
      <c r="I233" s="2169"/>
      <c r="J233" s="1997"/>
      <c r="K233" s="2041"/>
      <c r="L233" s="2042"/>
      <c r="M233" s="1997"/>
      <c r="N233" s="2482"/>
      <c r="O233" s="2171"/>
      <c r="P233" s="2171"/>
      <c r="Q233" s="2169"/>
      <c r="R233" s="2172"/>
      <c r="S233" s="2173"/>
      <c r="V233" s="1958"/>
      <c r="W233" s="1958"/>
      <c r="X233" s="1958">
        <f t="shared" si="158"/>
        <v>0</v>
      </c>
      <c r="Y233" s="2127" t="s">
        <v>1847</v>
      </c>
      <c r="AC233" s="2127"/>
      <c r="AD233" s="2127"/>
      <c r="AE233" s="2127"/>
      <c r="AG233" s="2128">
        <f t="shared" si="159"/>
        <v>0</v>
      </c>
    </row>
    <row r="234" spans="1:33" ht="21.95" customHeight="1" x14ac:dyDescent="0.2">
      <c r="A234" s="1910">
        <f>satpek!B69</f>
        <v>50</v>
      </c>
      <c r="B234" s="2131">
        <v>1</v>
      </c>
      <c r="C234" s="2132"/>
      <c r="D234" s="2133" t="str">
        <f>VLOOKUP($A234,satpek!$B$20:$N$144,2,0)</f>
        <v>Memasang kloset duduk/monoblok dan aksesoris</v>
      </c>
      <c r="E234" s="2133"/>
      <c r="F234" s="2134"/>
      <c r="G234" s="1945">
        <f>'[3]B.VOL RAB'!Q571</f>
        <v>8</v>
      </c>
      <c r="H234" s="2456" t="str">
        <f>VLOOKUP($A234,satpek!$B$20:$N$144,7,0)</f>
        <v>bh</v>
      </c>
      <c r="I234" s="3281" t="str">
        <f>VLOOKUP($A234,satpek!$B$20:$N$144,5,0)</f>
        <v>A.5.1.1.1.</v>
      </c>
      <c r="J234" s="1951">
        <f>VLOOKUP($A234,satpek!$B$20:$N$144,6,0)</f>
        <v>3373897.5</v>
      </c>
      <c r="K234" s="3273"/>
      <c r="L234" s="1952">
        <f t="shared" ref="L234:L240" si="180">ROUND((G234*J234),2)</f>
        <v>26991180</v>
      </c>
      <c r="M234" s="1967"/>
      <c r="N234" s="2458">
        <f>VLOOKUP($A234,satpek!$B$20:$L$138,8,0)</f>
        <v>0.46447123838231602</v>
      </c>
      <c r="O234" s="1954">
        <f>VLOOKUP($A234,satpek!$B$20:$L$138,9,0)</f>
        <v>1386795</v>
      </c>
      <c r="P234" s="1954">
        <f>VLOOKUP($A234,satpek!$B$20:$L$138,10,0)</f>
        <v>1567078.35</v>
      </c>
      <c r="Q234" s="1952">
        <f t="shared" ref="Q234:Q240" si="181">O234*G234</f>
        <v>11094360</v>
      </c>
      <c r="R234" s="1952">
        <f t="shared" ref="R234:R240" si="182">N234*L234</f>
        <v>12536626.800000001</v>
      </c>
      <c r="S234" s="3282">
        <f t="shared" ref="S234:S240" si="183">L234-R234</f>
        <v>14454553.199999999</v>
      </c>
      <c r="V234" s="1958">
        <v>8</v>
      </c>
      <c r="W234" s="1958"/>
      <c r="X234" s="1958">
        <f t="shared" si="158"/>
        <v>0</v>
      </c>
      <c r="Y234" s="2127" t="s">
        <v>1848</v>
      </c>
      <c r="AC234" s="2127"/>
      <c r="AD234" s="2127"/>
      <c r="AE234" s="2127"/>
      <c r="AF234" s="1910">
        <v>3359184.9</v>
      </c>
      <c r="AG234" s="2128">
        <f t="shared" si="159"/>
        <v>-14712.600000000093</v>
      </c>
    </row>
    <row r="235" spans="1:33" ht="21.95" customHeight="1" x14ac:dyDescent="0.2">
      <c r="A235" s="1910">
        <f>satpek!B71</f>
        <v>52</v>
      </c>
      <c r="B235" s="2131">
        <f t="shared" ref="B235:B240" si="184">B234+1</f>
        <v>2</v>
      </c>
      <c r="C235" s="2132"/>
      <c r="D235" s="2133" t="str">
        <f>VLOOKUP($A235,satpek!$B$20:$N$144,2,0)</f>
        <v>Memasang wastafel lengkap sifon stainless</v>
      </c>
      <c r="E235" s="2133"/>
      <c r="F235" s="2134"/>
      <c r="G235" s="1945">
        <f>'[3]B.VOL RAB'!Q572</f>
        <v>4</v>
      </c>
      <c r="H235" s="2456" t="str">
        <f>VLOOKUP($A235,satpek!$B$20:$N$144,7,0)</f>
        <v>bh</v>
      </c>
      <c r="I235" s="3281" t="str">
        <f>VLOOKUP($A235,satpek!$B$20:$N$144,5,0)</f>
        <v>A.5.1.1.5.</v>
      </c>
      <c r="J235" s="1951">
        <f>VLOOKUP($A235,satpek!$B$20:$N$144,6,0)</f>
        <v>1376407.8</v>
      </c>
      <c r="K235" s="3273"/>
      <c r="L235" s="1952">
        <f t="shared" si="180"/>
        <v>5505631.2000000002</v>
      </c>
      <c r="M235" s="1967"/>
      <c r="N235" s="2458">
        <f>VLOOKUP($A235,satpek!$B$20:$L$138,8,0)</f>
        <v>0.71936118089420875</v>
      </c>
      <c r="O235" s="1954">
        <f>VLOOKUP($A235,satpek!$B$20:$L$138,9,0)</f>
        <v>876225.08</v>
      </c>
      <c r="P235" s="1954">
        <f>VLOOKUP($A235,satpek!$B$20:$L$138,10,0)</f>
        <v>990134.34039999999</v>
      </c>
      <c r="Q235" s="1952">
        <f t="shared" si="181"/>
        <v>3504900.32</v>
      </c>
      <c r="R235" s="1952">
        <f t="shared" si="182"/>
        <v>3960537.3615999999</v>
      </c>
      <c r="S235" s="3282">
        <f t="shared" si="183"/>
        <v>1545093.8384000002</v>
      </c>
      <c r="V235" s="1958">
        <v>4</v>
      </c>
      <c r="W235" s="1958"/>
      <c r="X235" s="1958">
        <f t="shared" si="158"/>
        <v>0</v>
      </c>
      <c r="Y235" s="2127" t="s">
        <v>1849</v>
      </c>
      <c r="Z235" s="2333" t="e">
        <f>Y235+(Y235*10%)</f>
        <v>#VALUE!</v>
      </c>
      <c r="AC235" s="2127"/>
      <c r="AD235" s="2127"/>
      <c r="AE235" s="2127"/>
      <c r="AF235" s="1910">
        <v>1003649.05</v>
      </c>
      <c r="AG235" s="2128">
        <f t="shared" si="159"/>
        <v>-372758.75</v>
      </c>
    </row>
    <row r="236" spans="1:33" ht="21.95" customHeight="1" x14ac:dyDescent="0.2">
      <c r="A236" s="1910">
        <f>satpek!B72</f>
        <v>53</v>
      </c>
      <c r="B236" s="2131">
        <f t="shared" si="184"/>
        <v>3</v>
      </c>
      <c r="C236" s="2132"/>
      <c r="D236" s="2133" t="str">
        <f>VLOOKUP($A236,satpek!$B$20:$N$144,2,0)</f>
        <v>Memasang floor drain stainless</v>
      </c>
      <c r="E236" s="2133"/>
      <c r="F236" s="2134"/>
      <c r="G236" s="1945">
        <f>'[3]B.VOL RAB'!Q573</f>
        <v>10</v>
      </c>
      <c r="H236" s="2456" t="str">
        <f>VLOOKUP($A236,satpek!$B$20:$N$144,7,0)</f>
        <v>bh</v>
      </c>
      <c r="I236" s="3281" t="str">
        <f>VLOOKUP($A236,satpek!$B$20:$N$144,5,0)</f>
        <v>A.5.1.1.14.</v>
      </c>
      <c r="J236" s="1951">
        <f>VLOOKUP($A236,satpek!$B$20:$N$144,6,0)</f>
        <v>120111.09</v>
      </c>
      <c r="K236" s="3273"/>
      <c r="L236" s="1952">
        <f t="shared" si="180"/>
        <v>1201110.8999999999</v>
      </c>
      <c r="M236" s="1967"/>
      <c r="N236" s="2458">
        <f>VLOOKUP($A236,satpek!$B$20:$L$138,8,0)</f>
        <v>0.10624406122698578</v>
      </c>
      <c r="O236" s="1954">
        <f>VLOOKUP($A236,satpek!$B$20:$L$138,9,0)</f>
        <v>11293</v>
      </c>
      <c r="P236" s="1954">
        <f>VLOOKUP($A236,satpek!$B$20:$L$138,10,0)</f>
        <v>12761.09</v>
      </c>
      <c r="Q236" s="1952">
        <f t="shared" si="181"/>
        <v>112930</v>
      </c>
      <c r="R236" s="1952">
        <f t="shared" si="182"/>
        <v>127610.89999999998</v>
      </c>
      <c r="S236" s="3282">
        <f t="shared" si="183"/>
        <v>1073500</v>
      </c>
      <c r="V236" s="1958">
        <v>10</v>
      </c>
      <c r="W236" s="1958"/>
      <c r="X236" s="1958">
        <f t="shared" si="158"/>
        <v>0</v>
      </c>
      <c r="Y236" s="2127" t="s">
        <v>1915</v>
      </c>
      <c r="AC236" s="2127"/>
      <c r="AD236" s="2127"/>
      <c r="AE236" s="2127"/>
      <c r="AF236" s="1910">
        <v>103903.5</v>
      </c>
      <c r="AG236" s="2128">
        <f t="shared" si="159"/>
        <v>-16207.589999999997</v>
      </c>
    </row>
    <row r="237" spans="1:33" ht="21.95" customHeight="1" x14ac:dyDescent="0.2">
      <c r="A237" s="1910">
        <f>satpek!B81</f>
        <v>62</v>
      </c>
      <c r="B237" s="2131">
        <f t="shared" si="184"/>
        <v>4</v>
      </c>
      <c r="C237" s="2132"/>
      <c r="D237" s="2133" t="str">
        <f>VLOOKUP($A237,satpek!$B$20:$N$144,2,0)</f>
        <v>Memasang bak cuci piring stainlessteel dan aksesoris</v>
      </c>
      <c r="E237" s="2133"/>
      <c r="F237" s="2134"/>
      <c r="G237" s="1945">
        <f>'[3]B.VOL RAB'!Q574</f>
        <v>1</v>
      </c>
      <c r="H237" s="2456" t="str">
        <f>VLOOKUP($A237,satpek!$B$20:$N$144,7,0)</f>
        <v>bh</v>
      </c>
      <c r="I237" s="3281" t="str">
        <f>VLOOKUP($A237,satpek!$B$20:$N$144,5,0)</f>
        <v>A.5.1.1.12.</v>
      </c>
      <c r="J237" s="1951">
        <f>VLOOKUP($A237,satpek!$B$20:$N$144,6,0)</f>
        <v>1106133.27</v>
      </c>
      <c r="K237" s="3273"/>
      <c r="L237" s="1952">
        <f t="shared" si="180"/>
        <v>1106133.27</v>
      </c>
      <c r="M237" s="1967"/>
      <c r="N237" s="2458">
        <f>VLOOKUP($A237,satpek!$B$20:$L$138,8,0)</f>
        <v>3.460999776274698E-2</v>
      </c>
      <c r="O237" s="1954">
        <f>VLOOKUP($A237,satpek!$B$20:$L$138,9,0)</f>
        <v>33879</v>
      </c>
      <c r="P237" s="1954">
        <f>VLOOKUP($A237,satpek!$B$20:$L$138,10,0)</f>
        <v>38283.270000000004</v>
      </c>
      <c r="Q237" s="1952">
        <f t="shared" si="181"/>
        <v>33879</v>
      </c>
      <c r="R237" s="1952">
        <f t="shared" si="182"/>
        <v>38283.270000000004</v>
      </c>
      <c r="S237" s="3282">
        <f t="shared" si="183"/>
        <v>1067850</v>
      </c>
      <c r="V237" s="1958">
        <v>1</v>
      </c>
      <c r="W237" s="1958"/>
      <c r="X237" s="1958">
        <f t="shared" si="158"/>
        <v>0</v>
      </c>
      <c r="Y237" s="2127" t="s">
        <v>1850</v>
      </c>
      <c r="AC237" s="2127"/>
      <c r="AD237" s="2127"/>
      <c r="AE237" s="2127"/>
      <c r="AF237" s="1910">
        <v>1106496</v>
      </c>
      <c r="AG237" s="2128">
        <f t="shared" si="159"/>
        <v>362.72999999998137</v>
      </c>
    </row>
    <row r="238" spans="1:33" ht="21.95" customHeight="1" x14ac:dyDescent="0.2">
      <c r="A238" s="1910">
        <f>satpek!B82</f>
        <v>63</v>
      </c>
      <c r="B238" s="2131">
        <f t="shared" si="184"/>
        <v>5</v>
      </c>
      <c r="C238" s="2132"/>
      <c r="D238" s="2133" t="str">
        <f>VLOOKUP($A238,satpek!$B$20:$N$144,2,0)</f>
        <v>Memasang kran diameter 1/2", onda stainless</v>
      </c>
      <c r="E238" s="2133"/>
      <c r="F238" s="2134"/>
      <c r="G238" s="1945">
        <f>'[3]B.VOL RAB'!Q575</f>
        <v>8</v>
      </c>
      <c r="H238" s="2456" t="str">
        <f>VLOOKUP($A238,satpek!$B$20:$N$144,7,0)</f>
        <v>bh</v>
      </c>
      <c r="I238" s="3281" t="str">
        <f>VLOOKUP($A238,satpek!$B$20:$N$144,5,0)</f>
        <v>A.5.1.1.19.</v>
      </c>
      <c r="J238" s="1951">
        <f>VLOOKUP($A238,satpek!$B$20:$N$144,6,0)</f>
        <v>170986.52</v>
      </c>
      <c r="K238" s="3273"/>
      <c r="L238" s="1952">
        <f t="shared" si="180"/>
        <v>1367892.16</v>
      </c>
      <c r="M238" s="1967"/>
      <c r="N238" s="2458">
        <f>VLOOKUP($A238,satpek!$B$20:$L$138,8,0)</f>
        <v>0.95355069374915324</v>
      </c>
      <c r="O238" s="1954">
        <f>VLOOKUP($A238,satpek!$B$20:$L$138,9,0)</f>
        <v>144287</v>
      </c>
      <c r="P238" s="1954">
        <f>VLOOKUP($A238,satpek!$B$20:$L$138,10,0)</f>
        <v>163044.31</v>
      </c>
      <c r="Q238" s="1952">
        <f t="shared" si="181"/>
        <v>1154296</v>
      </c>
      <c r="R238" s="1952">
        <f t="shared" si="182"/>
        <v>1304354.5181420275</v>
      </c>
      <c r="S238" s="3282">
        <f t="shared" si="183"/>
        <v>63537.641857972369</v>
      </c>
      <c r="V238" s="1958">
        <v>8</v>
      </c>
      <c r="W238" s="1958"/>
      <c r="X238" s="1958">
        <f t="shared" si="158"/>
        <v>0</v>
      </c>
      <c r="Y238" s="2127" t="s">
        <v>1916</v>
      </c>
      <c r="AC238" s="2127"/>
      <c r="AD238" s="2127"/>
      <c r="AE238" s="2127"/>
      <c r="AF238" s="1910">
        <v>104041.93</v>
      </c>
      <c r="AG238" s="2128">
        <f t="shared" si="159"/>
        <v>-66944.59</v>
      </c>
    </row>
    <row r="239" spans="1:33" ht="21.95" customHeight="1" x14ac:dyDescent="0.2">
      <c r="A239" s="1910">
        <f>satpek!B119</f>
        <v>100</v>
      </c>
      <c r="B239" s="2131">
        <f t="shared" si="184"/>
        <v>6</v>
      </c>
      <c r="C239" s="2132"/>
      <c r="D239" s="2133" t="str">
        <f>VLOOKUP($A239,satpek!$B$20:$N$144,2,0)</f>
        <v>Membuat sumur bor lengkap pompa dan aksesories</v>
      </c>
      <c r="E239" s="2133"/>
      <c r="F239" s="2134"/>
      <c r="G239" s="1945">
        <f>'[3]B.VOL RAB'!Q576</f>
        <v>1</v>
      </c>
      <c r="H239" s="2456" t="str">
        <f>VLOOKUP($A239,satpek!$B$20:$N$144,7,0)</f>
        <v>unit</v>
      </c>
      <c r="I239" s="3281" t="str">
        <f>VLOOKUP($A239,satpek!$B$20:$N$144,5,0)</f>
        <v>Daftar harga</v>
      </c>
      <c r="J239" s="1951">
        <f>VLOOKUP($A239,satpek!$B$20:$N$144,6,0)</f>
        <v>25000000</v>
      </c>
      <c r="K239" s="3273"/>
      <c r="L239" s="1952">
        <f t="shared" si="180"/>
        <v>25000000</v>
      </c>
      <c r="M239" s="1967"/>
      <c r="N239" s="2458">
        <f>VLOOKUP($A239,satpek!$B$20:$L$138,8,0)</f>
        <v>0.2</v>
      </c>
      <c r="O239" s="1954">
        <f>VLOOKUP($A239,satpek!$B$20:$L$138,9,0)</f>
        <v>0</v>
      </c>
      <c r="P239" s="1954">
        <f>VLOOKUP($A239,satpek!$B$20:$L$138,10,0)</f>
        <v>5000000</v>
      </c>
      <c r="Q239" s="1952">
        <f t="shared" si="181"/>
        <v>0</v>
      </c>
      <c r="R239" s="1952">
        <f t="shared" si="182"/>
        <v>5000000</v>
      </c>
      <c r="S239" s="3282">
        <f t="shared" si="183"/>
        <v>20000000</v>
      </c>
      <c r="V239" s="1958">
        <v>1</v>
      </c>
      <c r="W239" s="1958"/>
      <c r="X239" s="1958">
        <f t="shared" si="158"/>
        <v>0</v>
      </c>
      <c r="Y239" s="2127" t="s">
        <v>1851</v>
      </c>
      <c r="AC239" s="2127"/>
      <c r="AD239" s="2127"/>
      <c r="AE239" s="2127"/>
      <c r="AF239" s="1910">
        <v>20000000</v>
      </c>
      <c r="AG239" s="2128">
        <f t="shared" si="159"/>
        <v>-5000000</v>
      </c>
    </row>
    <row r="240" spans="1:33" ht="21.95" customHeight="1" x14ac:dyDescent="0.2">
      <c r="A240" s="1910">
        <f>satpek!B120</f>
        <v>101</v>
      </c>
      <c r="B240" s="2131">
        <f t="shared" si="184"/>
        <v>7</v>
      </c>
      <c r="C240" s="2132"/>
      <c r="D240" s="2133" t="str">
        <f>VLOOKUP($A240,satpek!$B$20:$N$144,2,0)</f>
        <v>Pengadaan dan pemasangan septic tank komunal kap 2000 ltr</v>
      </c>
      <c r="E240" s="2133"/>
      <c r="F240" s="2134"/>
      <c r="G240" s="1945">
        <v>1</v>
      </c>
      <c r="H240" s="2456" t="str">
        <f>VLOOKUP($A240,satpek!$B$20:$N$144,7,0)</f>
        <v>unit</v>
      </c>
      <c r="I240" s="3281" t="str">
        <f>VLOOKUP($A240,satpek!$B$20:$N$144,5,0)</f>
        <v>Daftar harga</v>
      </c>
      <c r="J240" s="1951">
        <f>VLOOKUP($A240,satpek!$B$20:$N$144,6,0)</f>
        <v>10887500</v>
      </c>
      <c r="K240" s="3273"/>
      <c r="L240" s="1952">
        <f t="shared" si="180"/>
        <v>10887500</v>
      </c>
      <c r="M240" s="1967"/>
      <c r="N240" s="2458">
        <f>VLOOKUP($A240,satpek!$B$20:$L$138,8,0)</f>
        <v>0.2</v>
      </c>
      <c r="O240" s="1954">
        <f>VLOOKUP($A240,satpek!$B$20:$L$138,9,0)</f>
        <v>0</v>
      </c>
      <c r="P240" s="1954">
        <f>VLOOKUP($A240,satpek!$B$20:$L$138,10,0)</f>
        <v>2177500</v>
      </c>
      <c r="Q240" s="1952">
        <f t="shared" si="181"/>
        <v>0</v>
      </c>
      <c r="R240" s="1952">
        <f t="shared" si="182"/>
        <v>2177500</v>
      </c>
      <c r="S240" s="3282">
        <f t="shared" si="183"/>
        <v>8710000</v>
      </c>
      <c r="V240" s="1958">
        <v>1</v>
      </c>
      <c r="W240" s="1958"/>
      <c r="X240" s="1958">
        <f t="shared" si="158"/>
        <v>0</v>
      </c>
      <c r="Y240" s="2127" t="s">
        <v>1852</v>
      </c>
      <c r="AC240" s="2127"/>
      <c r="AD240" s="2127"/>
      <c r="AE240" s="2127"/>
      <c r="AF240" s="1910">
        <v>10887500</v>
      </c>
      <c r="AG240" s="2128">
        <f t="shared" si="159"/>
        <v>0</v>
      </c>
    </row>
    <row r="241" spans="1:33" ht="21.95" customHeight="1" x14ac:dyDescent="0.2">
      <c r="B241" s="2131"/>
      <c r="C241" s="2132"/>
      <c r="D241" s="2133" t="s">
        <v>1853</v>
      </c>
      <c r="E241" s="2133"/>
      <c r="F241" s="2134"/>
      <c r="G241" s="1945"/>
      <c r="H241" s="3314"/>
      <c r="I241" s="3281"/>
      <c r="J241" s="1945" t="s">
        <v>1854</v>
      </c>
      <c r="K241" s="2095"/>
      <c r="L241" s="1952"/>
      <c r="M241" s="1967"/>
      <c r="N241" s="3315"/>
      <c r="O241" s="3316"/>
      <c r="P241" s="3316"/>
      <c r="Q241" s="3317"/>
      <c r="R241" s="3318"/>
      <c r="S241" s="3319"/>
      <c r="V241" s="1958"/>
      <c r="W241" s="1958"/>
      <c r="X241" s="1958">
        <f t="shared" si="158"/>
        <v>0</v>
      </c>
      <c r="Y241" s="2127" t="s">
        <v>1853</v>
      </c>
      <c r="AC241" s="2127"/>
      <c r="AD241" s="2127"/>
      <c r="AE241" s="2127"/>
      <c r="AF241" s="1910" t="s">
        <v>1854</v>
      </c>
      <c r="AG241" s="2128" t="e">
        <f t="shared" si="159"/>
        <v>#VALUE!</v>
      </c>
    </row>
    <row r="242" spans="1:33" ht="21.95" customHeight="1" x14ac:dyDescent="0.2">
      <c r="B242" s="2131"/>
      <c r="C242" s="2132"/>
      <c r="D242" s="2133" t="s">
        <v>1855</v>
      </c>
      <c r="E242" s="2133"/>
      <c r="F242" s="2134"/>
      <c r="G242" s="1945"/>
      <c r="H242" s="3314"/>
      <c r="I242" s="3281"/>
      <c r="J242" s="1945" t="s">
        <v>1854</v>
      </c>
      <c r="K242" s="2095"/>
      <c r="L242" s="1952"/>
      <c r="M242" s="1967"/>
      <c r="N242" s="3315"/>
      <c r="O242" s="3316"/>
      <c r="P242" s="3316"/>
      <c r="Q242" s="3317"/>
      <c r="R242" s="3318"/>
      <c r="S242" s="3319"/>
      <c r="V242" s="1958"/>
      <c r="W242" s="1958"/>
      <c r="X242" s="1958">
        <f t="shared" si="158"/>
        <v>0</v>
      </c>
      <c r="Y242" s="2127" t="s">
        <v>1855</v>
      </c>
      <c r="AC242" s="2127"/>
      <c r="AD242" s="2127"/>
      <c r="AE242" s="2127"/>
      <c r="AF242" s="1910" t="s">
        <v>1854</v>
      </c>
      <c r="AG242" s="2128" t="e">
        <f t="shared" si="159"/>
        <v>#VALUE!</v>
      </c>
    </row>
    <row r="243" spans="1:33" ht="21.95" customHeight="1" x14ac:dyDescent="0.2">
      <c r="B243" s="2131"/>
      <c r="C243" s="3325"/>
      <c r="D243" s="3322"/>
      <c r="E243" s="3322"/>
      <c r="F243" s="3326"/>
      <c r="G243" s="1945"/>
      <c r="H243" s="3342"/>
      <c r="I243" s="3343"/>
      <c r="J243" s="1991"/>
      <c r="K243" s="2392"/>
      <c r="L243" s="1999"/>
      <c r="M243" s="1997"/>
      <c r="N243" s="3344"/>
      <c r="O243" s="3345"/>
      <c r="P243" s="3345"/>
      <c r="Q243" s="3343"/>
      <c r="R243" s="3346"/>
      <c r="S243" s="3347"/>
      <c r="V243" s="1958"/>
      <c r="W243" s="1958"/>
      <c r="X243" s="1958">
        <f t="shared" si="158"/>
        <v>0</v>
      </c>
      <c r="AC243" s="2127"/>
      <c r="AD243" s="2127"/>
      <c r="AE243" s="2127"/>
      <c r="AG243" s="2128">
        <f t="shared" si="159"/>
        <v>0</v>
      </c>
    </row>
    <row r="244" spans="1:33" ht="21.95" customHeight="1" x14ac:dyDescent="0.2">
      <c r="B244" s="3265"/>
      <c r="C244" s="2164"/>
      <c r="D244" s="2165" t="s">
        <v>1786</v>
      </c>
      <c r="E244" s="2166"/>
      <c r="F244" s="2167"/>
      <c r="G244" s="1945"/>
      <c r="H244" s="2168"/>
      <c r="I244" s="2169"/>
      <c r="J244" s="1997"/>
      <c r="K244" s="2041"/>
      <c r="L244" s="2042"/>
      <c r="M244" s="1997"/>
      <c r="N244" s="2482"/>
      <c r="O244" s="2171"/>
      <c r="P244" s="2171"/>
      <c r="Q244" s="2169"/>
      <c r="R244" s="2172"/>
      <c r="S244" s="2173"/>
      <c r="V244" s="1958"/>
      <c r="W244" s="1958"/>
      <c r="X244" s="1958">
        <f t="shared" si="158"/>
        <v>0</v>
      </c>
      <c r="Y244" s="2127" t="s">
        <v>1786</v>
      </c>
      <c r="AC244" s="2127"/>
      <c r="AD244" s="2127"/>
      <c r="AE244" s="2127"/>
      <c r="AG244" s="2128">
        <f t="shared" si="159"/>
        <v>0</v>
      </c>
    </row>
    <row r="245" spans="1:33" ht="21.95" customHeight="1" x14ac:dyDescent="0.2">
      <c r="B245" s="2163">
        <v>1</v>
      </c>
      <c r="C245" s="2164"/>
      <c r="D245" s="2165" t="s">
        <v>1856</v>
      </c>
      <c r="E245" s="2166"/>
      <c r="F245" s="2167"/>
      <c r="G245" s="1945"/>
      <c r="H245" s="2168"/>
      <c r="I245" s="2169"/>
      <c r="J245" s="1997"/>
      <c r="K245" s="2041"/>
      <c r="L245" s="2042"/>
      <c r="M245" s="1997"/>
      <c r="N245" s="2482"/>
      <c r="O245" s="2171"/>
      <c r="P245" s="2171"/>
      <c r="Q245" s="2169"/>
      <c r="R245" s="2172"/>
      <c r="S245" s="2173"/>
      <c r="V245" s="1958"/>
      <c r="W245" s="1958"/>
      <c r="X245" s="1958">
        <f t="shared" si="158"/>
        <v>0</v>
      </c>
      <c r="Y245" s="2127" t="s">
        <v>1856</v>
      </c>
      <c r="AC245" s="2127"/>
      <c r="AD245" s="2127"/>
      <c r="AE245" s="2127"/>
      <c r="AG245" s="2128">
        <f t="shared" si="159"/>
        <v>0</v>
      </c>
    </row>
    <row r="246" spans="1:33" ht="21.95" customHeight="1" x14ac:dyDescent="0.2">
      <c r="A246" s="1910">
        <f>satpek!B73</f>
        <v>54</v>
      </c>
      <c r="B246" s="2131">
        <v>1</v>
      </c>
      <c r="C246" s="2132"/>
      <c r="D246" s="2133" t="str">
        <f>VLOOKUP($A246,satpek!$B$20:$N$144,2,0)</f>
        <v>Memasang pipa PVC tipe AW diameter 3/4"</v>
      </c>
      <c r="E246" s="2133"/>
      <c r="F246" s="2134"/>
      <c r="G246" s="1945">
        <f>'[3]B.VOL RAB'!Q583</f>
        <v>18</v>
      </c>
      <c r="H246" s="2456" t="str">
        <f>VLOOKUP($A246,satpek!$B$20:$N$144,7,0)</f>
        <v>m'</v>
      </c>
      <c r="I246" s="3281" t="str">
        <f>VLOOKUP($A246,satpek!$B$20:$N$144,5,0)</f>
        <v>A.5.1.1.26.</v>
      </c>
      <c r="J246" s="1951">
        <f>VLOOKUP($A246,satpek!$B$20:$N$144,6,0)</f>
        <v>24034.87</v>
      </c>
      <c r="K246" s="3273"/>
      <c r="L246" s="1952">
        <f t="shared" ref="L246:L249" si="185">ROUND((G246*J246),2)</f>
        <v>432627.66</v>
      </c>
      <c r="M246" s="1967"/>
      <c r="N246" s="2458">
        <f>VLOOKUP($A246,satpek!$B$20:$L$138,8,0)</f>
        <v>0.94560353176804668</v>
      </c>
      <c r="O246" s="1954">
        <f>VLOOKUP($A246,satpek!$B$20:$L$138,9,0)</f>
        <v>20112.797999999999</v>
      </c>
      <c r="P246" s="1954">
        <f>VLOOKUP($A246,satpek!$B$20:$L$138,10,0)</f>
        <v>22727.461739999999</v>
      </c>
      <c r="Q246" s="1952">
        <f t="shared" ref="Q246:Q249" si="186">O246*G246</f>
        <v>362030.364</v>
      </c>
      <c r="R246" s="1952">
        <f t="shared" ref="R246:R249" si="187">N246*L246</f>
        <v>409094.24323654565</v>
      </c>
      <c r="S246" s="3282">
        <f t="shared" ref="S246:S249" si="188">L246-R246</f>
        <v>23533.416763454326</v>
      </c>
      <c r="V246" s="1958">
        <v>18</v>
      </c>
      <c r="W246" s="1958"/>
      <c r="X246" s="1958">
        <f t="shared" si="158"/>
        <v>0</v>
      </c>
      <c r="Y246" s="2127" t="s">
        <v>455</v>
      </c>
      <c r="AC246" s="2127"/>
      <c r="AD246" s="2127"/>
      <c r="AE246" s="2127"/>
      <c r="AF246" s="1910">
        <v>24319.86</v>
      </c>
      <c r="AG246" s="2128">
        <f t="shared" si="159"/>
        <v>284.9900000000016</v>
      </c>
    </row>
    <row r="247" spans="1:33" ht="21.95" customHeight="1" x14ac:dyDescent="0.2">
      <c r="A247" s="1910">
        <f>satpek!B74</f>
        <v>55</v>
      </c>
      <c r="B247" s="2131">
        <f>B246+1</f>
        <v>2</v>
      </c>
      <c r="C247" s="2132"/>
      <c r="D247" s="2133" t="str">
        <f>VLOOKUP($A247,satpek!$B$20:$N$144,2,0)</f>
        <v>Memasang pipa PVC tipe AW diameter 1"</v>
      </c>
      <c r="E247" s="2133"/>
      <c r="F247" s="2134"/>
      <c r="G247" s="1945">
        <f>'[3]B.VOL RAB'!Q584</f>
        <v>27.8</v>
      </c>
      <c r="H247" s="2456" t="str">
        <f>VLOOKUP($A247,satpek!$B$20:$N$144,7,0)</f>
        <v>m'</v>
      </c>
      <c r="I247" s="3281" t="str">
        <f>VLOOKUP($A247,satpek!$B$20:$N$144,5,0)</f>
        <v>A.5.1.1.27.</v>
      </c>
      <c r="J247" s="1951">
        <f>VLOOKUP($A247,satpek!$B$20:$N$144,6,0)</f>
        <v>26924.85</v>
      </c>
      <c r="K247" s="3273"/>
      <c r="L247" s="1952">
        <f t="shared" si="185"/>
        <v>748510.83</v>
      </c>
      <c r="M247" s="1967"/>
      <c r="N247" s="2458">
        <f>VLOOKUP($A247,satpek!$B$20:$L$138,8,0)</f>
        <v>0.94103691983565063</v>
      </c>
      <c r="O247" s="1954">
        <f>VLOOKUP($A247,satpek!$B$20:$L$138,9,0)</f>
        <v>22422.368999999999</v>
      </c>
      <c r="P247" s="1954">
        <f>VLOOKUP($A247,satpek!$B$20:$L$138,10,0)</f>
        <v>25337.276969999999</v>
      </c>
      <c r="Q247" s="1952">
        <f t="shared" si="186"/>
        <v>623341.85820000002</v>
      </c>
      <c r="R247" s="1952">
        <f t="shared" si="187"/>
        <v>704376.32592682634</v>
      </c>
      <c r="S247" s="3282">
        <f t="shared" si="188"/>
        <v>44134.504073173623</v>
      </c>
      <c r="V247" s="1958">
        <v>27.8</v>
      </c>
      <c r="W247" s="1958"/>
      <c r="X247" s="1958">
        <f t="shared" si="158"/>
        <v>0</v>
      </c>
      <c r="Y247" s="2127" t="s">
        <v>456</v>
      </c>
      <c r="AC247" s="2127"/>
      <c r="AD247" s="2127"/>
      <c r="AE247" s="2127"/>
      <c r="AF247" s="1910">
        <v>27340.35</v>
      </c>
      <c r="AG247" s="2128">
        <f t="shared" si="159"/>
        <v>415.5</v>
      </c>
    </row>
    <row r="248" spans="1:33" ht="21.95" customHeight="1" x14ac:dyDescent="0.2">
      <c r="A248" s="1910">
        <f>satpek!B75</f>
        <v>56</v>
      </c>
      <c r="B248" s="2131">
        <f>B247+1</f>
        <v>3</v>
      </c>
      <c r="C248" s="2132"/>
      <c r="D248" s="2133" t="str">
        <f>VLOOKUP($A248,satpek!$B$20:$N$144,2,0)</f>
        <v>Memasang pipa PVC tipe AW diameter 1 1/2"</v>
      </c>
      <c r="E248" s="2133"/>
      <c r="F248" s="2134"/>
      <c r="G248" s="1945">
        <f>'[3]B.VOL RAB'!Q585</f>
        <v>53</v>
      </c>
      <c r="H248" s="2456" t="str">
        <f>VLOOKUP($A248,satpek!$B$20:$N$144,7,0)</f>
        <v>m'</v>
      </c>
      <c r="I248" s="3281" t="str">
        <f>VLOOKUP($A248,satpek!$B$20:$N$144,5,0)</f>
        <v>A.5.1.1.28.</v>
      </c>
      <c r="J248" s="1951">
        <f>VLOOKUP($A248,satpek!$B$20:$N$144,6,0)</f>
        <v>49932.95</v>
      </c>
      <c r="K248" s="3273"/>
      <c r="L248" s="1952">
        <f t="shared" si="185"/>
        <v>2646446.35</v>
      </c>
      <c r="M248" s="1967"/>
      <c r="N248" s="2458">
        <f>VLOOKUP($A248,satpek!$B$20:$L$138,8,0)</f>
        <v>0.93377650720946315</v>
      </c>
      <c r="O248" s="1954">
        <f>VLOOKUP($A248,satpek!$B$20:$L$138,9,0)</f>
        <v>41262.136500000001</v>
      </c>
      <c r="P248" s="1954">
        <f>VLOOKUP($A248,satpek!$B$20:$L$138,10,0)</f>
        <v>46626.214245000003</v>
      </c>
      <c r="Q248" s="1952">
        <f t="shared" si="186"/>
        <v>2186893.2345000003</v>
      </c>
      <c r="R248" s="1952">
        <f t="shared" si="187"/>
        <v>2471189.4292202326</v>
      </c>
      <c r="S248" s="3282">
        <f t="shared" si="188"/>
        <v>175256.92077976745</v>
      </c>
      <c r="V248" s="1958">
        <v>53</v>
      </c>
      <c r="W248" s="1958"/>
      <c r="X248" s="1958">
        <f t="shared" si="158"/>
        <v>0</v>
      </c>
      <c r="Y248" s="2127" t="s">
        <v>457</v>
      </c>
      <c r="AC248" s="2127"/>
      <c r="AD248" s="2127"/>
      <c r="AE248" s="2127"/>
      <c r="AF248" s="1910">
        <v>50987.3</v>
      </c>
      <c r="AG248" s="2128">
        <f t="shared" si="159"/>
        <v>1054.3500000000058</v>
      </c>
    </row>
    <row r="249" spans="1:33" ht="21.95" customHeight="1" x14ac:dyDescent="0.2">
      <c r="A249" s="1910">
        <f>satpek!$B$115</f>
        <v>96</v>
      </c>
      <c r="B249" s="2131">
        <f>B248+1</f>
        <v>4</v>
      </c>
      <c r="C249" s="2164"/>
      <c r="D249" s="2133" t="str">
        <f>VLOOKUP($A249,satpek!$B$20:$N$144,2,0)</f>
        <v>Pemasangan stop kran PVC 1 1/2"</v>
      </c>
      <c r="E249" s="2133"/>
      <c r="F249" s="2134"/>
      <c r="G249" s="1945">
        <f>'[3]B.VOL RAB'!Q586</f>
        <v>4</v>
      </c>
      <c r="H249" s="2456" t="str">
        <f>VLOOKUP($A249,satpek!$B$20:$N$144,7,0)</f>
        <v>bh</v>
      </c>
      <c r="I249" s="3281" t="str">
        <f>VLOOKUP($A249,satpek!$B$20:$N$144,5,0)</f>
        <v>Daftar harga</v>
      </c>
      <c r="J249" s="1951">
        <f>VLOOKUP($A249,satpek!$B$20:$N$144,6,0)</f>
        <v>159000</v>
      </c>
      <c r="K249" s="3273"/>
      <c r="L249" s="1952">
        <f t="shared" si="185"/>
        <v>636000</v>
      </c>
      <c r="M249" s="1997"/>
      <c r="N249" s="2458">
        <f>VLOOKUP($A249,satpek!$B$20:$L$138,8,0)</f>
        <v>0.2</v>
      </c>
      <c r="O249" s="1954">
        <f>VLOOKUP($A249,satpek!$B$20:$L$138,9,0)</f>
        <v>0</v>
      </c>
      <c r="P249" s="1954">
        <f>VLOOKUP($A249,satpek!$B$20:$L$138,10,0)</f>
        <v>31800</v>
      </c>
      <c r="Q249" s="1952">
        <f t="shared" si="186"/>
        <v>0</v>
      </c>
      <c r="R249" s="1952">
        <f t="shared" si="187"/>
        <v>127200</v>
      </c>
      <c r="S249" s="3282">
        <f t="shared" si="188"/>
        <v>508800</v>
      </c>
      <c r="V249" s="1958">
        <v>4</v>
      </c>
      <c r="W249" s="1958"/>
      <c r="X249" s="1958">
        <f t="shared" si="158"/>
        <v>0</v>
      </c>
      <c r="Y249" s="2127" t="s">
        <v>1857</v>
      </c>
      <c r="AC249" s="2127"/>
      <c r="AD249" s="2127"/>
      <c r="AE249" s="2127"/>
      <c r="AF249" s="1910">
        <v>159520.72</v>
      </c>
      <c r="AG249" s="2128">
        <f t="shared" si="159"/>
        <v>520.72000000000116</v>
      </c>
    </row>
    <row r="250" spans="1:33" ht="21.95" customHeight="1" x14ac:dyDescent="0.2">
      <c r="B250" s="2163">
        <v>2</v>
      </c>
      <c r="C250" s="2164"/>
      <c r="D250" s="2165" t="s">
        <v>1858</v>
      </c>
      <c r="E250" s="2166"/>
      <c r="F250" s="2167"/>
      <c r="G250" s="1945"/>
      <c r="H250" s="2168"/>
      <c r="I250" s="2169"/>
      <c r="J250" s="1951"/>
      <c r="K250" s="2041"/>
      <c r="L250" s="2042"/>
      <c r="M250" s="1997"/>
      <c r="N250" s="2482"/>
      <c r="O250" s="2171"/>
      <c r="P250" s="2171"/>
      <c r="Q250" s="2169"/>
      <c r="R250" s="2172"/>
      <c r="S250" s="2173"/>
      <c r="V250" s="1958"/>
      <c r="W250" s="1958"/>
      <c r="X250" s="1958">
        <f t="shared" si="158"/>
        <v>0</v>
      </c>
      <c r="Y250" s="2127" t="s">
        <v>1858</v>
      </c>
      <c r="AC250" s="2127"/>
      <c r="AD250" s="2127"/>
      <c r="AE250" s="2127"/>
      <c r="AG250" s="2128">
        <f t="shared" si="159"/>
        <v>0</v>
      </c>
    </row>
    <row r="251" spans="1:33" ht="21.95" customHeight="1" x14ac:dyDescent="0.2">
      <c r="A251" s="1910">
        <f>satpek!B75</f>
        <v>56</v>
      </c>
      <c r="B251" s="2131">
        <v>1</v>
      </c>
      <c r="C251" s="2132"/>
      <c r="D251" s="2133" t="str">
        <f>VLOOKUP($A251,satpek!$B$20:$N$144,2,0)</f>
        <v>Memasang pipa PVC tipe AW diameter 1 1/2"</v>
      </c>
      <c r="E251" s="2133"/>
      <c r="F251" s="2134"/>
      <c r="G251" s="1945">
        <f>'[3]B.VOL RAB'!Q588</f>
        <v>4</v>
      </c>
      <c r="H251" s="2456" t="str">
        <f>VLOOKUP($A251,satpek!$B$20:$N$144,7,0)</f>
        <v>m'</v>
      </c>
      <c r="I251" s="3281" t="str">
        <f>VLOOKUP($A251,satpek!$B$20:$N$144,5,0)</f>
        <v>A.5.1.1.28.</v>
      </c>
      <c r="J251" s="1951">
        <f>VLOOKUP($A251,satpek!$B$20:$N$144,6,0)</f>
        <v>49932.95</v>
      </c>
      <c r="K251" s="3273"/>
      <c r="L251" s="1952">
        <f t="shared" ref="L251:L253" si="189">ROUND((G251*J251),2)</f>
        <v>199731.8</v>
      </c>
      <c r="M251" s="1967"/>
      <c r="N251" s="2458">
        <f>VLOOKUP($A251,satpek!$B$20:$L$138,8,0)</f>
        <v>0.93377650720946315</v>
      </c>
      <c r="O251" s="1954">
        <f>VLOOKUP($A251,satpek!$B$20:$L$138,9,0)</f>
        <v>41262.136500000001</v>
      </c>
      <c r="P251" s="1954">
        <f>VLOOKUP($A251,satpek!$B$20:$L$138,10,0)</f>
        <v>46626.214245000003</v>
      </c>
      <c r="Q251" s="1952">
        <f t="shared" ref="Q251:Q253" si="190">O251*G251</f>
        <v>165048.546</v>
      </c>
      <c r="R251" s="1952">
        <f t="shared" ref="R251:R253" si="191">N251*L251</f>
        <v>186504.86258265903</v>
      </c>
      <c r="S251" s="3282">
        <f t="shared" ref="S251:S253" si="192">L251-R251</f>
        <v>13226.93741734096</v>
      </c>
      <c r="V251" s="1958">
        <v>4</v>
      </c>
      <c r="W251" s="1958"/>
      <c r="X251" s="1958">
        <f t="shared" si="158"/>
        <v>0</v>
      </c>
      <c r="Y251" s="2127" t="s">
        <v>457</v>
      </c>
      <c r="AC251" s="2127"/>
      <c r="AD251" s="2127"/>
      <c r="AE251" s="2127"/>
      <c r="AF251" s="1910">
        <v>50987.3</v>
      </c>
      <c r="AG251" s="2128">
        <f t="shared" si="159"/>
        <v>1054.3500000000058</v>
      </c>
    </row>
    <row r="252" spans="1:33" ht="21.95" customHeight="1" x14ac:dyDescent="0.2">
      <c r="A252" s="1910">
        <f>satpek!B76</f>
        <v>57</v>
      </c>
      <c r="B252" s="2131">
        <f>B251+1</f>
        <v>2</v>
      </c>
      <c r="C252" s="2132"/>
      <c r="D252" s="2133" t="str">
        <f>VLOOKUP($A252,satpek!$B$20:$N$144,2,0)</f>
        <v>Memasang pipa PVC tipe AW diameter 2"</v>
      </c>
      <c r="E252" s="2133"/>
      <c r="F252" s="2134"/>
      <c r="G252" s="1945">
        <f>'[3]B.VOL RAB'!Q589</f>
        <v>12</v>
      </c>
      <c r="H252" s="2456" t="str">
        <f>VLOOKUP($A252,satpek!$B$20:$N$144,7,0)</f>
        <v>m'</v>
      </c>
      <c r="I252" s="3281" t="str">
        <f>VLOOKUP($A252,satpek!$B$20:$N$144,5,0)</f>
        <v>A.5.1.1.29.</v>
      </c>
      <c r="J252" s="1951">
        <f>VLOOKUP($A252,satpek!$B$20:$N$144,6,0)</f>
        <v>78438.61</v>
      </c>
      <c r="K252" s="3273"/>
      <c r="L252" s="1952">
        <f t="shared" si="189"/>
        <v>941263.32</v>
      </c>
      <c r="M252" s="1967"/>
      <c r="N252" s="2458">
        <f>VLOOKUP($A252,satpek!$B$20:$L$138,8,0)</f>
        <v>0.92261300560255965</v>
      </c>
      <c r="O252" s="1954">
        <f>VLOOKUP($A252,satpek!$B$20:$L$138,9,0)</f>
        <v>64042.904999999999</v>
      </c>
      <c r="P252" s="1954">
        <f>VLOOKUP($A252,satpek!$B$20:$L$138,10,0)</f>
        <v>72368.482649999991</v>
      </c>
      <c r="Q252" s="1952">
        <f t="shared" si="190"/>
        <v>768514.86</v>
      </c>
      <c r="R252" s="1952">
        <f t="shared" si="191"/>
        <v>868421.78072864388</v>
      </c>
      <c r="S252" s="3282">
        <f t="shared" si="192"/>
        <v>72841.539271356072</v>
      </c>
      <c r="V252" s="1958">
        <v>12</v>
      </c>
      <c r="W252" s="1958"/>
      <c r="X252" s="1958">
        <f t="shared" si="158"/>
        <v>0</v>
      </c>
      <c r="Y252" s="2127" t="s">
        <v>458</v>
      </c>
      <c r="AC252" s="2127"/>
      <c r="AD252" s="2127"/>
      <c r="AE252" s="2127"/>
      <c r="AF252" s="1910">
        <v>80780.31</v>
      </c>
      <c r="AG252" s="2128">
        <f t="shared" si="159"/>
        <v>2341.6999999999971</v>
      </c>
    </row>
    <row r="253" spans="1:33" ht="21.95" customHeight="1" x14ac:dyDescent="0.2">
      <c r="A253" s="1910">
        <f>satpek!B78</f>
        <v>59</v>
      </c>
      <c r="B253" s="2131">
        <f>B252+1</f>
        <v>3</v>
      </c>
      <c r="C253" s="2132"/>
      <c r="D253" s="2133" t="str">
        <f>VLOOKUP($A253,satpek!$B$20:$N$144,2,0)</f>
        <v>Memasang pipa PVC tipe AW diameter 3"</v>
      </c>
      <c r="E253" s="2133"/>
      <c r="F253" s="2134"/>
      <c r="G253" s="1945">
        <f>'[3]B.VOL RAB'!Q590</f>
        <v>24</v>
      </c>
      <c r="H253" s="2456" t="str">
        <f>VLOOKUP($A253,satpek!$B$20:$N$144,7,0)</f>
        <v>m'</v>
      </c>
      <c r="I253" s="3281" t="str">
        <f>VLOOKUP($A253,satpek!$B$20:$N$144,5,0)</f>
        <v>A.5.1.1.31.</v>
      </c>
      <c r="J253" s="1951">
        <f>VLOOKUP($A253,satpek!$B$20:$N$144,6,0)</f>
        <v>103284.6</v>
      </c>
      <c r="K253" s="3273"/>
      <c r="L253" s="1952">
        <f t="shared" si="189"/>
        <v>2478830.4</v>
      </c>
      <c r="M253" s="1967"/>
      <c r="N253" s="2458">
        <f>VLOOKUP($A253,satpek!$B$20:$L$138,8,0)</f>
        <v>0.92520067875753675</v>
      </c>
      <c r="O253" s="1954">
        <f>VLOOKUP($A253,satpek!$B$20:$L$138,9,0)</f>
        <v>84565.47</v>
      </c>
      <c r="P253" s="1954">
        <f>VLOOKUP($A253,satpek!$B$20:$L$138,10,0)</f>
        <v>95558.981100000005</v>
      </c>
      <c r="Q253" s="1952">
        <f t="shared" si="190"/>
        <v>2029571.28</v>
      </c>
      <c r="R253" s="1952">
        <f t="shared" si="191"/>
        <v>2293415.5686048162</v>
      </c>
      <c r="S253" s="3282">
        <f t="shared" si="192"/>
        <v>185414.83139518369</v>
      </c>
      <c r="V253" s="1958">
        <v>24</v>
      </c>
      <c r="W253" s="1958"/>
      <c r="X253" s="1958">
        <f t="shared" si="158"/>
        <v>0</v>
      </c>
      <c r="Y253" s="2127" t="s">
        <v>459</v>
      </c>
      <c r="AC253" s="2127"/>
      <c r="AD253" s="2127"/>
      <c r="AE253" s="2127"/>
      <c r="AF253" s="1910">
        <v>106247.69</v>
      </c>
      <c r="AG253" s="2128">
        <f t="shared" si="159"/>
        <v>2963.0899999999965</v>
      </c>
    </row>
    <row r="254" spans="1:33" ht="21.95" customHeight="1" x14ac:dyDescent="0.2">
      <c r="B254" s="2163">
        <v>3</v>
      </c>
      <c r="C254" s="2164"/>
      <c r="D254" s="2165" t="s">
        <v>1859</v>
      </c>
      <c r="E254" s="2166"/>
      <c r="F254" s="2167"/>
      <c r="G254" s="1945"/>
      <c r="H254" s="2168"/>
      <c r="I254" s="2169"/>
      <c r="J254" s="1951"/>
      <c r="K254" s="2041"/>
      <c r="L254" s="2042"/>
      <c r="M254" s="1997"/>
      <c r="N254" s="2482"/>
      <c r="O254" s="2171"/>
      <c r="P254" s="2171"/>
      <c r="Q254" s="2169"/>
      <c r="R254" s="2172"/>
      <c r="S254" s="2173"/>
      <c r="V254" s="1958"/>
      <c r="W254" s="1958"/>
      <c r="X254" s="1958">
        <f t="shared" si="158"/>
        <v>0</v>
      </c>
      <c r="Y254" s="2127" t="s">
        <v>1859</v>
      </c>
      <c r="AC254" s="2127"/>
      <c r="AD254" s="2127"/>
      <c r="AE254" s="2127"/>
      <c r="AG254" s="2128">
        <f t="shared" si="159"/>
        <v>0</v>
      </c>
    </row>
    <row r="255" spans="1:33" ht="21.95" customHeight="1" x14ac:dyDescent="0.2">
      <c r="A255" s="1910">
        <f>satpek!$B$79</f>
        <v>60</v>
      </c>
      <c r="B255" s="2131">
        <v>1</v>
      </c>
      <c r="C255" s="2132"/>
      <c r="D255" s="2133" t="str">
        <f>VLOOKUP($A255,satpek!$B$20:$N$144,2,0)</f>
        <v>Memasang pipa PVC tipe AW diameter 4"</v>
      </c>
      <c r="E255" s="2133"/>
      <c r="F255" s="2134"/>
      <c r="G255" s="1945">
        <f>'[3]B.VOL RAB'!Q592</f>
        <v>24</v>
      </c>
      <c r="H255" s="2456" t="str">
        <f>VLOOKUP($A255,satpek!$B$20:$N$144,7,0)</f>
        <v>m'</v>
      </c>
      <c r="I255" s="3281" t="str">
        <f>VLOOKUP($A255,satpek!$B$20:$N$144,5,0)</f>
        <v>A.5.1.1.32.</v>
      </c>
      <c r="J255" s="1951">
        <f>VLOOKUP($A255,satpek!$B$20:$N$144,6,0)</f>
        <v>167743.75</v>
      </c>
      <c r="K255" s="3273"/>
      <c r="L255" s="1952">
        <f t="shared" ref="L255" si="193">ROUND((G255*J255),2)</f>
        <v>4025850</v>
      </c>
      <c r="M255" s="1967"/>
      <c r="N255" s="2458">
        <f>VLOOKUP($A255,satpek!$B$20:$L$138,8,0)</f>
        <v>0.91674479843821799</v>
      </c>
      <c r="O255" s="1954">
        <f>VLOOKUP($A255,satpek!$B$20:$L$138,9,0)</f>
        <v>136086.91500000001</v>
      </c>
      <c r="P255" s="1954">
        <f>VLOOKUP($A255,satpek!$B$20:$L$138,10,0)</f>
        <v>153778.21395</v>
      </c>
      <c r="Q255" s="1952">
        <f t="shared" ref="Q255" si="194">O255*G255</f>
        <v>3266085.96</v>
      </c>
      <c r="R255" s="1952">
        <f t="shared" ref="R255" si="195">N255*L255</f>
        <v>3690677.0467924997</v>
      </c>
      <c r="S255" s="3282">
        <f t="shared" ref="S255" si="196">L255-R255</f>
        <v>335172.95320750028</v>
      </c>
      <c r="V255" s="1958">
        <v>24</v>
      </c>
      <c r="W255" s="1958"/>
      <c r="X255" s="1958">
        <f t="shared" si="158"/>
        <v>0</v>
      </c>
      <c r="Y255" s="2127" t="s">
        <v>460</v>
      </c>
      <c r="AC255" s="2127"/>
      <c r="AD255" s="2127"/>
      <c r="AE255" s="2127"/>
      <c r="AF255" s="1910">
        <v>173522.24</v>
      </c>
      <c r="AG255" s="2128">
        <f t="shared" si="159"/>
        <v>5778.4899999999907</v>
      </c>
    </row>
    <row r="256" spans="1:33" ht="21.95" customHeight="1" x14ac:dyDescent="0.2">
      <c r="B256" s="2163">
        <v>4</v>
      </c>
      <c r="C256" s="2164"/>
      <c r="D256" s="2165" t="s">
        <v>1860</v>
      </c>
      <c r="E256" s="2166"/>
      <c r="F256" s="2167"/>
      <c r="G256" s="1945"/>
      <c r="H256" s="2168"/>
      <c r="I256" s="2169"/>
      <c r="J256" s="1951"/>
      <c r="K256" s="2041"/>
      <c r="L256" s="2042"/>
      <c r="M256" s="1997"/>
      <c r="N256" s="2482"/>
      <c r="O256" s="2171"/>
      <c r="P256" s="2171"/>
      <c r="Q256" s="2169"/>
      <c r="R256" s="2172"/>
      <c r="S256" s="2173"/>
      <c r="V256" s="1958"/>
      <c r="W256" s="1958"/>
      <c r="X256" s="1958">
        <f t="shared" si="158"/>
        <v>0</v>
      </c>
      <c r="Y256" s="2127" t="s">
        <v>1860</v>
      </c>
      <c r="AC256" s="2127"/>
      <c r="AD256" s="2127"/>
      <c r="AE256" s="2127"/>
      <c r="AG256" s="2128">
        <f t="shared" si="159"/>
        <v>0</v>
      </c>
    </row>
    <row r="257" spans="1:33" ht="21" customHeight="1" x14ac:dyDescent="0.2">
      <c r="A257" s="1910">
        <f>satpek!$B$79</f>
        <v>60</v>
      </c>
      <c r="B257" s="2131">
        <v>1</v>
      </c>
      <c r="C257" s="2132"/>
      <c r="D257" s="2133" t="str">
        <f>VLOOKUP($A257,satpek!$B$20:$N$144,2,0)</f>
        <v>Memasang pipa PVC tipe AW diameter 4"</v>
      </c>
      <c r="E257" s="2133"/>
      <c r="F257" s="2134"/>
      <c r="G257" s="1945">
        <f>'[3]B.VOL RAB'!Q594</f>
        <v>102</v>
      </c>
      <c r="H257" s="2456" t="str">
        <f>VLOOKUP($A257,satpek!$B$20:$N$144,7,0)</f>
        <v>m'</v>
      </c>
      <c r="I257" s="3281" t="str">
        <f>VLOOKUP($A257,satpek!$B$20:$N$144,5,0)</f>
        <v>A.5.1.1.32.</v>
      </c>
      <c r="J257" s="1951">
        <f>VLOOKUP($A257,satpek!$B$20:$N$144,6,0)</f>
        <v>167743.75</v>
      </c>
      <c r="K257" s="3273"/>
      <c r="L257" s="1952">
        <f t="shared" ref="L257" si="197">ROUND((G257*J257),2)</f>
        <v>17109862.5</v>
      </c>
      <c r="M257" s="1967"/>
      <c r="N257" s="2458">
        <f>VLOOKUP($A257,satpek!$B$20:$L$138,8,0)</f>
        <v>0.91674479843821799</v>
      </c>
      <c r="O257" s="1954">
        <f>VLOOKUP($A257,satpek!$B$20:$L$138,9,0)</f>
        <v>136086.91500000001</v>
      </c>
      <c r="P257" s="1954">
        <f>VLOOKUP($A257,satpek!$B$20:$L$138,10,0)</f>
        <v>153778.21395</v>
      </c>
      <c r="Q257" s="1952">
        <f t="shared" ref="Q257" si="198">O257*G257</f>
        <v>13880865.33</v>
      </c>
      <c r="R257" s="1952">
        <f t="shared" ref="R257" si="199">N257*L257</f>
        <v>15685377.448868124</v>
      </c>
      <c r="S257" s="3282">
        <f t="shared" ref="S257" si="200">L257-R257</f>
        <v>1424485.0511318762</v>
      </c>
      <c r="V257" s="1958">
        <v>102</v>
      </c>
      <c r="W257" s="1958"/>
      <c r="X257" s="1958">
        <f t="shared" si="158"/>
        <v>0</v>
      </c>
      <c r="Y257" s="2127" t="s">
        <v>460</v>
      </c>
      <c r="AC257" s="2127"/>
      <c r="AD257" s="2127"/>
      <c r="AE257" s="2127"/>
      <c r="AF257" s="1910">
        <v>173522.24</v>
      </c>
      <c r="AG257" s="2128">
        <f t="shared" si="159"/>
        <v>5778.4899999999907</v>
      </c>
    </row>
    <row r="258" spans="1:33" ht="21.95" customHeight="1" x14ac:dyDescent="0.2">
      <c r="B258" s="2163">
        <v>5</v>
      </c>
      <c r="C258" s="2164"/>
      <c r="D258" s="2165" t="s">
        <v>1861</v>
      </c>
      <c r="E258" s="2166"/>
      <c r="F258" s="2167"/>
      <c r="G258" s="1945"/>
      <c r="H258" s="2168"/>
      <c r="I258" s="2169"/>
      <c r="J258" s="1997"/>
      <c r="K258" s="2041"/>
      <c r="L258" s="2042"/>
      <c r="M258" s="1997"/>
      <c r="N258" s="2482"/>
      <c r="O258" s="2171"/>
      <c r="P258" s="2171"/>
      <c r="Q258" s="2169"/>
      <c r="R258" s="2172"/>
      <c r="S258" s="2173"/>
      <c r="V258" s="1958"/>
      <c r="W258" s="1958"/>
      <c r="X258" s="1958">
        <f t="shared" si="158"/>
        <v>0</v>
      </c>
      <c r="Y258" s="2127" t="s">
        <v>1861</v>
      </c>
      <c r="AC258" s="2127"/>
      <c r="AD258" s="2127"/>
      <c r="AE258" s="2127"/>
      <c r="AG258" s="2128">
        <f t="shared" si="159"/>
        <v>0</v>
      </c>
    </row>
    <row r="259" spans="1:33" ht="21.95" customHeight="1" x14ac:dyDescent="0.2">
      <c r="A259" s="1910">
        <f>satpek!B69</f>
        <v>50</v>
      </c>
      <c r="B259" s="2131">
        <v>1</v>
      </c>
      <c r="C259" s="2132"/>
      <c r="D259" s="2133" t="str">
        <f>VLOOKUP($A259,satpek!$B$20:$N$144,2,0)</f>
        <v>Memasang kloset duduk/monoblok dan aksesoris</v>
      </c>
      <c r="E259" s="2133"/>
      <c r="F259" s="2134"/>
      <c r="G259" s="1945">
        <f>'[3]B.VOL RAB'!Q596</f>
        <v>7</v>
      </c>
      <c r="H259" s="2456" t="str">
        <f>VLOOKUP($A259,satpek!$B$20:$N$144,7,0)</f>
        <v>bh</v>
      </c>
      <c r="I259" s="3281" t="str">
        <f>VLOOKUP($A259,satpek!$B$20:$N$144,5,0)</f>
        <v>A.5.1.1.1.</v>
      </c>
      <c r="J259" s="1951">
        <f>VLOOKUP($A259,satpek!$B$20:$N$144,6,0)</f>
        <v>3373897.5</v>
      </c>
      <c r="K259" s="3273"/>
      <c r="L259" s="1952">
        <f t="shared" ref="L259:L264" si="201">ROUND((G259*J259),2)</f>
        <v>23617282.5</v>
      </c>
      <c r="M259" s="1967"/>
      <c r="N259" s="2458">
        <f>VLOOKUP($A259,satpek!$B$20:$L$138,8,0)</f>
        <v>0.46447123838231602</v>
      </c>
      <c r="O259" s="1954">
        <f>VLOOKUP($A259,satpek!$B$20:$L$138,9,0)</f>
        <v>1386795</v>
      </c>
      <c r="P259" s="1954">
        <f>VLOOKUP($A259,satpek!$B$20:$L$138,10,0)</f>
        <v>1567078.35</v>
      </c>
      <c r="Q259" s="1952">
        <f t="shared" ref="Q259:Q264" si="202">O259*G259</f>
        <v>9707565</v>
      </c>
      <c r="R259" s="1952">
        <f t="shared" ref="R259:R264" si="203">N259*L259</f>
        <v>10969548.450000001</v>
      </c>
      <c r="S259" s="3282">
        <f t="shared" ref="S259:S264" si="204">L259-R259</f>
        <v>12647734.049999999</v>
      </c>
      <c r="V259" s="1958">
        <v>7</v>
      </c>
      <c r="W259" s="1958"/>
      <c r="X259" s="1958">
        <f t="shared" si="158"/>
        <v>0</v>
      </c>
      <c r="Y259" s="2127" t="s">
        <v>1848</v>
      </c>
      <c r="AC259" s="2127"/>
      <c r="AD259" s="2127"/>
      <c r="AE259" s="2127"/>
      <c r="AF259" s="1910">
        <v>3359184.9</v>
      </c>
      <c r="AG259" s="2128">
        <f t="shared" si="159"/>
        <v>-14712.600000000093</v>
      </c>
    </row>
    <row r="260" spans="1:33" ht="21.95" customHeight="1" x14ac:dyDescent="0.2">
      <c r="A260" s="1910">
        <f>satpek!B71</f>
        <v>52</v>
      </c>
      <c r="B260" s="2131">
        <f>B259+1</f>
        <v>2</v>
      </c>
      <c r="C260" s="2132"/>
      <c r="D260" s="2133" t="str">
        <f>VLOOKUP($A260,satpek!$B$20:$N$144,2,0)</f>
        <v>Memasang wastafel lengkap sifon stainless</v>
      </c>
      <c r="E260" s="2133"/>
      <c r="F260" s="2134"/>
      <c r="G260" s="1945">
        <f>'[3]B.VOL RAB'!Q597</f>
        <v>4</v>
      </c>
      <c r="H260" s="2456" t="str">
        <f>VLOOKUP($A260,satpek!$B$20:$N$144,7,0)</f>
        <v>bh</v>
      </c>
      <c r="I260" s="3281" t="str">
        <f>VLOOKUP($A260,satpek!$B$20:$N$144,5,0)</f>
        <v>A.5.1.1.5.</v>
      </c>
      <c r="J260" s="1951">
        <f>VLOOKUP($A260,satpek!$B$20:$N$144,6,0)</f>
        <v>1376407.8</v>
      </c>
      <c r="K260" s="3273"/>
      <c r="L260" s="1952">
        <f t="shared" si="201"/>
        <v>5505631.2000000002</v>
      </c>
      <c r="M260" s="1967"/>
      <c r="N260" s="2458">
        <f>VLOOKUP($A260,satpek!$B$20:$L$138,8,0)</f>
        <v>0.71936118089420875</v>
      </c>
      <c r="O260" s="1954">
        <f>VLOOKUP($A260,satpek!$B$20:$L$138,9,0)</f>
        <v>876225.08</v>
      </c>
      <c r="P260" s="1954">
        <f>VLOOKUP($A260,satpek!$B$20:$L$138,10,0)</f>
        <v>990134.34039999999</v>
      </c>
      <c r="Q260" s="1952">
        <f t="shared" si="202"/>
        <v>3504900.32</v>
      </c>
      <c r="R260" s="1952">
        <f t="shared" si="203"/>
        <v>3960537.3615999999</v>
      </c>
      <c r="S260" s="3282">
        <f t="shared" si="204"/>
        <v>1545093.8384000002</v>
      </c>
      <c r="V260" s="1958">
        <v>4</v>
      </c>
      <c r="W260" s="1958"/>
      <c r="X260" s="1958">
        <f t="shared" si="158"/>
        <v>0</v>
      </c>
      <c r="Y260" s="2127" t="s">
        <v>1849</v>
      </c>
      <c r="AC260" s="2127"/>
      <c r="AD260" s="2127"/>
      <c r="AE260" s="2127"/>
      <c r="AF260" s="1910">
        <v>1003649.05</v>
      </c>
      <c r="AG260" s="2128">
        <f t="shared" si="159"/>
        <v>-372758.75</v>
      </c>
    </row>
    <row r="261" spans="1:33" ht="21.95" customHeight="1" x14ac:dyDescent="0.2">
      <c r="A261" s="1910">
        <f>satpek!B72</f>
        <v>53</v>
      </c>
      <c r="B261" s="2131">
        <f>B260+1</f>
        <v>3</v>
      </c>
      <c r="C261" s="2132"/>
      <c r="D261" s="2133" t="str">
        <f>VLOOKUP($A261,satpek!$B$20:$N$144,2,0)</f>
        <v>Memasang floor drain stainless</v>
      </c>
      <c r="E261" s="2133"/>
      <c r="F261" s="2134"/>
      <c r="G261" s="1945">
        <f>'[3]B.VOL RAB'!Q598</f>
        <v>9</v>
      </c>
      <c r="H261" s="2456" t="str">
        <f>VLOOKUP($A261,satpek!$B$20:$N$144,7,0)</f>
        <v>bh</v>
      </c>
      <c r="I261" s="3281" t="str">
        <f>VLOOKUP($A261,satpek!$B$20:$N$144,5,0)</f>
        <v>A.5.1.1.14.</v>
      </c>
      <c r="J261" s="1951">
        <f>VLOOKUP($A261,satpek!$B$20:$N$144,6,0)</f>
        <v>120111.09</v>
      </c>
      <c r="K261" s="3273"/>
      <c r="L261" s="1952">
        <f t="shared" si="201"/>
        <v>1080999.81</v>
      </c>
      <c r="M261" s="1967"/>
      <c r="N261" s="2458">
        <f>VLOOKUP($A261,satpek!$B$20:$L$138,8,0)</f>
        <v>0.10624406122698578</v>
      </c>
      <c r="O261" s="1954">
        <f>VLOOKUP($A261,satpek!$B$20:$L$138,9,0)</f>
        <v>11293</v>
      </c>
      <c r="P261" s="1954">
        <f>VLOOKUP($A261,satpek!$B$20:$L$138,10,0)</f>
        <v>12761.09</v>
      </c>
      <c r="Q261" s="1952">
        <f t="shared" si="202"/>
        <v>101637</v>
      </c>
      <c r="R261" s="1952">
        <f t="shared" si="203"/>
        <v>114849.81</v>
      </c>
      <c r="S261" s="3282">
        <f t="shared" si="204"/>
        <v>966150</v>
      </c>
      <c r="V261" s="1958">
        <v>9</v>
      </c>
      <c r="W261" s="1958"/>
      <c r="X261" s="1958">
        <f t="shared" si="158"/>
        <v>0</v>
      </c>
      <c r="Y261" s="2127" t="s">
        <v>1915</v>
      </c>
      <c r="AC261" s="2127"/>
      <c r="AD261" s="2127"/>
      <c r="AE261" s="2127"/>
      <c r="AF261" s="1910">
        <v>103903.5</v>
      </c>
      <c r="AG261" s="2128">
        <f t="shared" si="159"/>
        <v>-16207.589999999997</v>
      </c>
    </row>
    <row r="262" spans="1:33" ht="21.95" customHeight="1" x14ac:dyDescent="0.2">
      <c r="A262" s="1910">
        <f>satpek!B82</f>
        <v>63</v>
      </c>
      <c r="B262" s="2131">
        <f>B261+1</f>
        <v>4</v>
      </c>
      <c r="C262" s="2132"/>
      <c r="D262" s="2133" t="str">
        <f>VLOOKUP($A262,satpek!$B$20:$N$144,2,0)</f>
        <v>Memasang kran diameter 1/2", onda stainless</v>
      </c>
      <c r="E262" s="2133"/>
      <c r="F262" s="2134"/>
      <c r="G262" s="1945">
        <f>'[3]B.VOL RAB'!Q599</f>
        <v>7</v>
      </c>
      <c r="H262" s="2456" t="str">
        <f>VLOOKUP($A262,satpek!$B$20:$N$144,7,0)</f>
        <v>bh</v>
      </c>
      <c r="I262" s="3281" t="str">
        <f>VLOOKUP($A262,satpek!$B$20:$N$144,5,0)</f>
        <v>A.5.1.1.19.</v>
      </c>
      <c r="J262" s="1951">
        <f>VLOOKUP($A262,satpek!$B$20:$N$144,6,0)</f>
        <v>170986.52</v>
      </c>
      <c r="K262" s="3273"/>
      <c r="L262" s="1952">
        <f t="shared" si="201"/>
        <v>1196905.6399999999</v>
      </c>
      <c r="M262" s="1967"/>
      <c r="N262" s="2458">
        <f>VLOOKUP($A262,satpek!$B$20:$L$138,8,0)</f>
        <v>0.95355069374915324</v>
      </c>
      <c r="O262" s="1954">
        <f>VLOOKUP($A262,satpek!$B$20:$L$138,9,0)</f>
        <v>144287</v>
      </c>
      <c r="P262" s="1954">
        <f>VLOOKUP($A262,satpek!$B$20:$L$138,10,0)</f>
        <v>163044.31</v>
      </c>
      <c r="Q262" s="1952">
        <f t="shared" si="202"/>
        <v>1010009</v>
      </c>
      <c r="R262" s="1952">
        <f t="shared" si="203"/>
        <v>1141310.2033742741</v>
      </c>
      <c r="S262" s="3282">
        <f t="shared" si="204"/>
        <v>55595.436625725823</v>
      </c>
      <c r="V262" s="1958">
        <v>7</v>
      </c>
      <c r="W262" s="1958"/>
      <c r="X262" s="1958">
        <f t="shared" si="158"/>
        <v>0</v>
      </c>
      <c r="Y262" s="2127" t="s">
        <v>1916</v>
      </c>
      <c r="AC262" s="2127"/>
      <c r="AD262" s="2127"/>
      <c r="AE262" s="2127"/>
      <c r="AF262" s="1910">
        <v>104041.93</v>
      </c>
      <c r="AG262" s="2128">
        <f t="shared" si="159"/>
        <v>-66944.59</v>
      </c>
    </row>
    <row r="263" spans="1:33" ht="21.95" customHeight="1" x14ac:dyDescent="0.2">
      <c r="A263" s="1910">
        <f>satpek!B123</f>
        <v>102</v>
      </c>
      <c r="B263" s="2131">
        <f>B262+1</f>
        <v>5</v>
      </c>
      <c r="C263" s="2132"/>
      <c r="D263" s="2133" t="str">
        <f>VLOOKUP($A263,satpek!$B$20:$N$144,2,0)</f>
        <v>Torn kapasitas 1000ltr+radar otomatis</v>
      </c>
      <c r="E263" s="2133"/>
      <c r="F263" s="2134"/>
      <c r="G263" s="1945">
        <f>'[3]B.VOL RAB'!Q600</f>
        <v>2</v>
      </c>
      <c r="H263" s="2456" t="str">
        <f>VLOOKUP($A263,satpek!$B$20:$N$144,7,0)</f>
        <v>unit</v>
      </c>
      <c r="I263" s="3281" t="str">
        <f>VLOOKUP($A263,satpek!$B$20:$N$144,5,0)</f>
        <v>Daftar harga</v>
      </c>
      <c r="J263" s="1951">
        <f>VLOOKUP($A263,satpek!$B$20:$N$144,6,0)</f>
        <v>2250000</v>
      </c>
      <c r="K263" s="3273"/>
      <c r="L263" s="1952">
        <f t="shared" si="201"/>
        <v>4500000</v>
      </c>
      <c r="M263" s="1967"/>
      <c r="N263" s="2458">
        <f>VLOOKUP($A263,satpek!$B$20:$L$138,8,0)</f>
        <v>0.2</v>
      </c>
      <c r="O263" s="1954">
        <f>VLOOKUP($A263,satpek!$B$20:$L$138,9,0)</f>
        <v>0</v>
      </c>
      <c r="P263" s="1954">
        <f>VLOOKUP($A263,satpek!$B$20:$L$138,10,0)</f>
        <v>450000</v>
      </c>
      <c r="Q263" s="1952">
        <f t="shared" si="202"/>
        <v>0</v>
      </c>
      <c r="R263" s="1952">
        <f t="shared" si="203"/>
        <v>900000</v>
      </c>
      <c r="S263" s="3282">
        <f t="shared" si="204"/>
        <v>3600000</v>
      </c>
      <c r="V263" s="1958">
        <v>2</v>
      </c>
      <c r="W263" s="1958"/>
      <c r="X263" s="1958">
        <f t="shared" si="158"/>
        <v>0</v>
      </c>
      <c r="Y263" s="2127" t="s">
        <v>1862</v>
      </c>
      <c r="AC263" s="2127"/>
      <c r="AD263" s="2127"/>
      <c r="AE263" s="2127"/>
      <c r="AF263" s="1910">
        <v>2050000</v>
      </c>
      <c r="AG263" s="2128">
        <f t="shared" si="159"/>
        <v>-200000</v>
      </c>
    </row>
    <row r="264" spans="1:33" ht="21.95" customHeight="1" x14ac:dyDescent="0.2">
      <c r="A264" s="1910">
        <f>A261</f>
        <v>53</v>
      </c>
      <c r="B264" s="2131">
        <f>B263+1</f>
        <v>6</v>
      </c>
      <c r="C264" s="2132"/>
      <c r="D264" s="2133" t="s">
        <v>1968</v>
      </c>
      <c r="E264" s="2133"/>
      <c r="F264" s="2134"/>
      <c r="G264" s="1945">
        <f>'[3]B.VOL RAB'!Q601</f>
        <v>12</v>
      </c>
      <c r="H264" s="2456" t="str">
        <f>VLOOKUP($A264,satpek!$B$20:$N$144,7,0)</f>
        <v>bh</v>
      </c>
      <c r="I264" s="3281" t="str">
        <f>VLOOKUP($A264,satpek!$B$20:$N$144,5,0)</f>
        <v>A.5.1.1.14.</v>
      </c>
      <c r="J264" s="1951">
        <f>VLOOKUP($A264,satpek!$B$20:$N$144,6,0)</f>
        <v>120111.09</v>
      </c>
      <c r="K264" s="3273"/>
      <c r="L264" s="1952">
        <f t="shared" si="201"/>
        <v>1441333.08</v>
      </c>
      <c r="M264" s="1967"/>
      <c r="N264" s="2458">
        <f>VLOOKUP($A264,satpek!$B$20:$L$138,8,0)</f>
        <v>0.10624406122698578</v>
      </c>
      <c r="O264" s="1954">
        <f>VLOOKUP($A264,satpek!$B$20:$L$138,9,0)</f>
        <v>11293</v>
      </c>
      <c r="P264" s="1954">
        <f>VLOOKUP($A264,satpek!$B$20:$L$138,10,0)</f>
        <v>12761.09</v>
      </c>
      <c r="Q264" s="1952">
        <f t="shared" si="202"/>
        <v>135516</v>
      </c>
      <c r="R264" s="1952">
        <f t="shared" si="203"/>
        <v>153133.07999999999</v>
      </c>
      <c r="S264" s="3282">
        <f t="shared" si="204"/>
        <v>1288200</v>
      </c>
      <c r="V264" s="1958">
        <v>12</v>
      </c>
      <c r="W264" s="1958"/>
      <c r="X264" s="1958">
        <f t="shared" si="158"/>
        <v>0</v>
      </c>
      <c r="Y264" s="2127" t="s">
        <v>1863</v>
      </c>
      <c r="AC264" s="2127"/>
      <c r="AD264" s="2127"/>
      <c r="AE264" s="2127"/>
      <c r="AF264" s="1910">
        <v>174300.72</v>
      </c>
      <c r="AG264" s="2128">
        <f t="shared" si="159"/>
        <v>54189.630000000005</v>
      </c>
    </row>
    <row r="265" spans="1:33" ht="21.95" customHeight="1" x14ac:dyDescent="0.2">
      <c r="B265" s="2114"/>
      <c r="C265" s="2115"/>
      <c r="D265" s="2116"/>
      <c r="E265" s="2116"/>
      <c r="F265" s="2117"/>
      <c r="G265" s="2021"/>
      <c r="H265" s="3289"/>
      <c r="I265" s="3290"/>
      <c r="J265" s="2026" t="s">
        <v>358</v>
      </c>
      <c r="K265" s="2027"/>
      <c r="L265" s="2065" t="s">
        <v>1840</v>
      </c>
      <c r="M265" s="2463">
        <f>SUM(L222:L265)</f>
        <v>152781003.22999999</v>
      </c>
      <c r="N265" s="3291">
        <f>R265/M265</f>
        <v>0.53325252711245907</v>
      </c>
      <c r="O265" s="2121"/>
      <c r="P265" s="2121"/>
      <c r="Q265" s="2119"/>
      <c r="R265" s="2123">
        <f>SUM(R221:R264)</f>
        <v>81470856.067174271</v>
      </c>
      <c r="S265" s="3294">
        <f>SUM(S222:S264)</f>
        <v>71310147.162825733</v>
      </c>
      <c r="U265" s="2125">
        <f>M265-T265</f>
        <v>152781003.22999999</v>
      </c>
      <c r="V265" s="1958"/>
      <c r="W265" s="1958"/>
      <c r="X265" s="1958">
        <f t="shared" si="158"/>
        <v>0</v>
      </c>
      <c r="Y265" s="2174"/>
      <c r="AC265" s="2127"/>
      <c r="AD265" s="2127"/>
      <c r="AE265" s="2127"/>
      <c r="AF265" s="1910" t="s">
        <v>358</v>
      </c>
      <c r="AG265" s="2128" t="e">
        <f t="shared" si="159"/>
        <v>#VALUE!</v>
      </c>
    </row>
    <row r="266" spans="1:33" ht="21.95" customHeight="1" x14ac:dyDescent="0.2">
      <c r="B266" s="3265" t="s">
        <v>1864</v>
      </c>
      <c r="C266" s="2164"/>
      <c r="D266" s="2165" t="s">
        <v>1865</v>
      </c>
      <c r="E266" s="2166"/>
      <c r="F266" s="2167"/>
      <c r="G266" s="1945"/>
      <c r="H266" s="2168"/>
      <c r="I266" s="2169"/>
      <c r="J266" s="1997"/>
      <c r="K266" s="2041"/>
      <c r="L266" s="2042"/>
      <c r="M266" s="1997"/>
      <c r="N266" s="2482"/>
      <c r="O266" s="2171"/>
      <c r="P266" s="2171"/>
      <c r="Q266" s="2169"/>
      <c r="R266" s="2172"/>
      <c r="S266" s="2173"/>
      <c r="V266" s="1958"/>
      <c r="W266" s="1958"/>
      <c r="X266" s="1958">
        <f t="shared" si="158"/>
        <v>0</v>
      </c>
      <c r="Y266" s="2127" t="s">
        <v>1865</v>
      </c>
      <c r="AC266" s="2127"/>
      <c r="AD266" s="2127"/>
      <c r="AE266" s="2127"/>
      <c r="AG266" s="2128">
        <f t="shared" si="159"/>
        <v>0</v>
      </c>
    </row>
    <row r="267" spans="1:33" ht="21.95" customHeight="1" x14ac:dyDescent="0.2">
      <c r="B267" s="3265"/>
      <c r="C267" s="2164"/>
      <c r="D267" s="2165" t="s">
        <v>1769</v>
      </c>
      <c r="E267" s="2166"/>
      <c r="F267" s="2167"/>
      <c r="G267" s="1945"/>
      <c r="H267" s="2168"/>
      <c r="I267" s="2169"/>
      <c r="J267" s="1997"/>
      <c r="K267" s="2041"/>
      <c r="L267" s="2042"/>
      <c r="M267" s="1997"/>
      <c r="N267" s="2482"/>
      <c r="O267" s="2171"/>
      <c r="P267" s="2171"/>
      <c r="Q267" s="2169"/>
      <c r="R267" s="2172"/>
      <c r="S267" s="2173"/>
      <c r="V267" s="1958"/>
      <c r="W267" s="1958"/>
      <c r="X267" s="1958">
        <f t="shared" si="158"/>
        <v>0</v>
      </c>
      <c r="Y267" s="2127" t="s">
        <v>1769</v>
      </c>
      <c r="AC267" s="2127"/>
      <c r="AD267" s="2127"/>
      <c r="AE267" s="2127"/>
      <c r="AG267" s="2128">
        <f t="shared" si="159"/>
        <v>0</v>
      </c>
    </row>
    <row r="268" spans="1:33" ht="21.95" customHeight="1" x14ac:dyDescent="0.2">
      <c r="A268" s="1910">
        <f>satpek!B124</f>
        <v>103</v>
      </c>
      <c r="B268" s="2131">
        <v>1</v>
      </c>
      <c r="C268" s="2132"/>
      <c r="D268" s="2133" t="str">
        <f>VLOOKUP($A268,satpek!$B$20:$N$144,2,0)</f>
        <v>Penyambungan Daya PLN Tegangan Rendah (TR) 3 phase 44 KVA</v>
      </c>
      <c r="E268" s="2166"/>
      <c r="F268" s="2167"/>
      <c r="G268" s="1945">
        <f>'[3]B.VOL RAB'!Q606</f>
        <v>44000</v>
      </c>
      <c r="H268" s="2456" t="str">
        <f>VLOOKUP($A268,satpek!$B$20:$N$144,7,0)</f>
        <v>va</v>
      </c>
      <c r="I268" s="3281" t="str">
        <f>VLOOKUP($A268,satpek!$B$20:$N$144,5,0)</f>
        <v>Daftar harga</v>
      </c>
      <c r="J268" s="1951">
        <f>VLOOKUP($A268,satpek!$B$20:$N$144,6,0)</f>
        <v>1564.5</v>
      </c>
      <c r="K268" s="3273"/>
      <c r="L268" s="1952">
        <f t="shared" ref="L268" si="205">ROUND((G268*J268),2)</f>
        <v>68838000</v>
      </c>
      <c r="M268" s="1997"/>
      <c r="N268" s="2458">
        <f>VLOOKUP($A268,satpek!$B$20:$L$138,8,0)</f>
        <v>0.2</v>
      </c>
      <c r="O268" s="1954">
        <f>VLOOKUP($A268,satpek!$B$20:$L$138,9,0)</f>
        <v>0</v>
      </c>
      <c r="P268" s="1954">
        <f>VLOOKUP($A268,satpek!$B$20:$L$138,10,0)</f>
        <v>312.90000000000003</v>
      </c>
      <c r="Q268" s="1952">
        <f t="shared" ref="Q268" si="206">O268*G268</f>
        <v>0</v>
      </c>
      <c r="R268" s="1952">
        <f t="shared" ref="R268" si="207">N268*L268</f>
        <v>13767600</v>
      </c>
      <c r="S268" s="3282">
        <f t="shared" ref="S268" si="208">L268-R268</f>
        <v>55070400</v>
      </c>
      <c r="V268" s="1958">
        <v>44000</v>
      </c>
      <c r="W268" s="1958"/>
      <c r="X268" s="1958">
        <f t="shared" si="158"/>
        <v>0</v>
      </c>
      <c r="Y268" s="2127" t="s">
        <v>1866</v>
      </c>
      <c r="AC268" s="2127"/>
      <c r="AD268" s="2127"/>
      <c r="AE268" s="2127"/>
      <c r="AF268" s="1910">
        <v>1350</v>
      </c>
      <c r="AG268" s="2128">
        <f t="shared" si="159"/>
        <v>-214.5</v>
      </c>
    </row>
    <row r="269" spans="1:33" ht="21.95" customHeight="1" x14ac:dyDescent="0.2">
      <c r="B269" s="2131"/>
      <c r="C269" s="2132" t="s">
        <v>1566</v>
      </c>
      <c r="D269" s="2133" t="s">
        <v>1868</v>
      </c>
      <c r="E269" s="2166"/>
      <c r="F269" s="2167"/>
      <c r="G269" s="1945"/>
      <c r="H269" s="2168"/>
      <c r="I269" s="2169" t="s">
        <v>1854</v>
      </c>
      <c r="J269" s="1997"/>
      <c r="K269" s="2041"/>
      <c r="L269" s="2042"/>
      <c r="M269" s="1997"/>
      <c r="N269" s="2482"/>
      <c r="O269" s="2171"/>
      <c r="P269" s="2171"/>
      <c r="Q269" s="2169"/>
      <c r="R269" s="2172"/>
      <c r="S269" s="2173"/>
      <c r="V269" s="1958"/>
      <c r="W269" s="1958"/>
      <c r="X269" s="1958">
        <f t="shared" si="158"/>
        <v>0</v>
      </c>
      <c r="Y269" s="2127" t="s">
        <v>1868</v>
      </c>
      <c r="AC269" s="2127"/>
      <c r="AD269" s="2127"/>
      <c r="AE269" s="2127"/>
      <c r="AG269" s="2128">
        <f t="shared" si="159"/>
        <v>0</v>
      </c>
    </row>
    <row r="270" spans="1:33" ht="21.95" customHeight="1" x14ac:dyDescent="0.2">
      <c r="B270" s="2131"/>
      <c r="C270" s="2132" t="s">
        <v>1569</v>
      </c>
      <c r="D270" s="2133" t="s">
        <v>1869</v>
      </c>
      <c r="E270" s="2166"/>
      <c r="F270" s="2167"/>
      <c r="G270" s="1945"/>
      <c r="H270" s="2168"/>
      <c r="I270" s="2169" t="s">
        <v>1854</v>
      </c>
      <c r="J270" s="1997"/>
      <c r="K270" s="2041"/>
      <c r="L270" s="2042"/>
      <c r="M270" s="1997"/>
      <c r="N270" s="2482"/>
      <c r="O270" s="2171"/>
      <c r="P270" s="2171"/>
      <c r="Q270" s="2169"/>
      <c r="R270" s="2172"/>
      <c r="S270" s="2173"/>
      <c r="V270" s="1958"/>
      <c r="W270" s="1958"/>
      <c r="X270" s="1958">
        <f t="shared" si="158"/>
        <v>0</v>
      </c>
      <c r="Y270" s="2127" t="s">
        <v>1869</v>
      </c>
      <c r="AC270" s="2127"/>
      <c r="AD270" s="2127"/>
      <c r="AE270" s="2127"/>
      <c r="AG270" s="2128">
        <f t="shared" si="159"/>
        <v>0</v>
      </c>
    </row>
    <row r="271" spans="1:33" ht="21.95" customHeight="1" x14ac:dyDescent="0.2">
      <c r="B271" s="2131"/>
      <c r="C271" s="2132" t="s">
        <v>1571</v>
      </c>
      <c r="D271" s="2133" t="s">
        <v>1870</v>
      </c>
      <c r="E271" s="2166"/>
      <c r="F271" s="2167"/>
      <c r="G271" s="1945"/>
      <c r="H271" s="2168"/>
      <c r="I271" s="2169" t="s">
        <v>1854</v>
      </c>
      <c r="J271" s="1997"/>
      <c r="K271" s="2041"/>
      <c r="L271" s="2042"/>
      <c r="M271" s="1997"/>
      <c r="N271" s="2482"/>
      <c r="O271" s="2171"/>
      <c r="P271" s="2171"/>
      <c r="Q271" s="2169"/>
      <c r="R271" s="2172"/>
      <c r="S271" s="2173"/>
      <c r="V271" s="1958"/>
      <c r="W271" s="1958"/>
      <c r="X271" s="1958">
        <f t="shared" si="158"/>
        <v>0</v>
      </c>
      <c r="Y271" s="2127" t="s">
        <v>1870</v>
      </c>
      <c r="AC271" s="2127"/>
      <c r="AD271" s="2127"/>
      <c r="AE271" s="2127"/>
      <c r="AG271" s="2128">
        <f t="shared" si="159"/>
        <v>0</v>
      </c>
    </row>
    <row r="272" spans="1:33" ht="21.95" customHeight="1" x14ac:dyDescent="0.2">
      <c r="B272" s="2131"/>
      <c r="C272" s="2132" t="s">
        <v>1582</v>
      </c>
      <c r="D272" s="2133" t="s">
        <v>1871</v>
      </c>
      <c r="E272" s="2166"/>
      <c r="F272" s="2167"/>
      <c r="G272" s="1945"/>
      <c r="H272" s="2168"/>
      <c r="I272" s="2169" t="s">
        <v>1854</v>
      </c>
      <c r="J272" s="1997"/>
      <c r="K272" s="2041"/>
      <c r="L272" s="2042"/>
      <c r="M272" s="1997"/>
      <c r="N272" s="2482"/>
      <c r="O272" s="2171"/>
      <c r="P272" s="2171"/>
      <c r="Q272" s="2169"/>
      <c r="R272" s="2172"/>
      <c r="S272" s="2173"/>
      <c r="V272" s="1958"/>
      <c r="W272" s="1958"/>
      <c r="X272" s="1958">
        <f t="shared" si="158"/>
        <v>0</v>
      </c>
      <c r="Y272" s="2127" t="s">
        <v>1871</v>
      </c>
      <c r="AC272" s="2127"/>
      <c r="AD272" s="2127"/>
      <c r="AE272" s="2127"/>
      <c r="AG272" s="2128">
        <f t="shared" si="159"/>
        <v>0</v>
      </c>
    </row>
    <row r="273" spans="1:33" ht="21.95" customHeight="1" x14ac:dyDescent="0.2">
      <c r="A273" s="1910">
        <f>satpek!B87</f>
        <v>68</v>
      </c>
      <c r="B273" s="2131">
        <v>2</v>
      </c>
      <c r="C273" s="2132"/>
      <c r="D273" s="2133" t="s">
        <v>1872</v>
      </c>
      <c r="E273" s="2133"/>
      <c r="F273" s="2134"/>
      <c r="G273" s="1945">
        <f>'[3]B.VOL RAB'!Q607</f>
        <v>61.3</v>
      </c>
      <c r="H273" s="2456" t="str">
        <f>VLOOKUP($A273,satpek!$B$20:$N$144,7,0)</f>
        <v>ttk</v>
      </c>
      <c r="I273" s="3281" t="str">
        <f>VLOOKUP($A273,satpek!$B$20:$N$144,5,0)</f>
        <v>An. Dihitung</v>
      </c>
      <c r="J273" s="1951">
        <f>VLOOKUP($A273,satpek!$B$20:$N$144,6,0)</f>
        <v>841092.9</v>
      </c>
      <c r="K273" s="3273"/>
      <c r="L273" s="1952">
        <f t="shared" ref="L273:L292" si="209">ROUND((G273*J273),2)</f>
        <v>51558994.770000003</v>
      </c>
      <c r="M273" s="1967"/>
      <c r="N273" s="2458">
        <f>VLOOKUP($A273,satpek!$B$20:$L$138,8,0)</f>
        <v>0.87338949122029208</v>
      </c>
      <c r="O273" s="1954">
        <f>VLOOKUP($A273,satpek!$B$20:$L$138,9,0)</f>
        <v>650090</v>
      </c>
      <c r="P273" s="1954">
        <f>VLOOKUP($A273,satpek!$B$20:$L$138,10,0)</f>
        <v>734601.7</v>
      </c>
      <c r="Q273" s="1952">
        <f t="shared" ref="Q273:Q292" si="210">O273*G273</f>
        <v>39850517</v>
      </c>
      <c r="R273" s="1952">
        <f t="shared" ref="R273:R292" si="211">N273*L273</f>
        <v>45031084.210000001</v>
      </c>
      <c r="S273" s="3282">
        <f t="shared" ref="S273:S292" si="212">L273-R273</f>
        <v>6527910.5600000024</v>
      </c>
      <c r="V273" s="1958">
        <v>61.3</v>
      </c>
      <c r="W273" s="1958"/>
      <c r="X273" s="1958">
        <f t="shared" ref="X273:X320" si="213">V273-G273</f>
        <v>0</v>
      </c>
      <c r="Y273" s="2127" t="s">
        <v>1872</v>
      </c>
      <c r="AC273" s="2127"/>
      <c r="AD273" s="2127"/>
      <c r="AE273" s="2127"/>
      <c r="AF273" s="1910">
        <v>839929</v>
      </c>
      <c r="AG273" s="2128">
        <f t="shared" ref="AG273:AG314" si="214">AF273-J273</f>
        <v>-1163.9000000000233</v>
      </c>
    </row>
    <row r="274" spans="1:33" ht="21.95" customHeight="1" x14ac:dyDescent="0.2">
      <c r="A274" s="1910">
        <f>satpek!B86</f>
        <v>67</v>
      </c>
      <c r="B274" s="2131">
        <f>B273+1</f>
        <v>3</v>
      </c>
      <c r="C274" s="2132"/>
      <c r="D274" s="2133" t="s">
        <v>1873</v>
      </c>
      <c r="E274" s="2133"/>
      <c r="F274" s="2134"/>
      <c r="G274" s="1945">
        <f>'[3]B.VOL RAB'!Q608</f>
        <v>3.2</v>
      </c>
      <c r="H274" s="2456" t="str">
        <f>VLOOKUP($A274,satpek!$B$20:$N$144,7,0)</f>
        <v>ttk</v>
      </c>
      <c r="I274" s="3281" t="str">
        <f>VLOOKUP($A274,satpek!$B$20:$N$144,5,0)</f>
        <v>An. Dihitung</v>
      </c>
      <c r="J274" s="1951">
        <f>VLOOKUP($A274,satpek!$B$20:$N$144,6,0)</f>
        <v>490227.9</v>
      </c>
      <c r="K274" s="3273"/>
      <c r="L274" s="1952">
        <f t="shared" si="209"/>
        <v>1568729.28</v>
      </c>
      <c r="M274" s="1967"/>
      <c r="N274" s="2458">
        <f>VLOOKUP($A274,satpek!$B$20:$L$138,8,0)</f>
        <v>0.87737132056335432</v>
      </c>
      <c r="O274" s="1954">
        <f>VLOOKUP($A274,satpek!$B$20:$L$138,9,0)</f>
        <v>380630</v>
      </c>
      <c r="P274" s="1954">
        <f>VLOOKUP($A274,satpek!$B$20:$L$138,10,0)</f>
        <v>430111.9</v>
      </c>
      <c r="Q274" s="1952">
        <f t="shared" si="210"/>
        <v>1218016</v>
      </c>
      <c r="R274" s="1952">
        <f t="shared" si="211"/>
        <v>1376358.08</v>
      </c>
      <c r="S274" s="3282">
        <f t="shared" si="212"/>
        <v>192371.19999999995</v>
      </c>
      <c r="V274" s="1958">
        <v>3.2</v>
      </c>
      <c r="W274" s="1958"/>
      <c r="X274" s="1958">
        <f t="shared" si="213"/>
        <v>0</v>
      </c>
      <c r="Y274" s="2127" t="s">
        <v>1873</v>
      </c>
      <c r="AC274" s="2127"/>
      <c r="AD274" s="2127"/>
      <c r="AE274" s="2127"/>
      <c r="AF274" s="1910">
        <v>489064</v>
      </c>
      <c r="AG274" s="2128">
        <f t="shared" si="214"/>
        <v>-1163.9000000000233</v>
      </c>
    </row>
    <row r="275" spans="1:33" ht="21.95" customHeight="1" x14ac:dyDescent="0.2">
      <c r="A275" s="1910">
        <f>satpek!B89</f>
        <v>70</v>
      </c>
      <c r="B275" s="2131">
        <f t="shared" ref="B275:B292" si="215">B274+1</f>
        <v>4</v>
      </c>
      <c r="C275" s="2132"/>
      <c r="D275" s="2133" t="str">
        <f>VLOOKUP($A275,satpek!$B$20:$N$144,2,0)</f>
        <v>Memasang instalasi titik lampu (kabel 2x1,5 mm) tanpa fitting</v>
      </c>
      <c r="E275" s="2133"/>
      <c r="F275" s="2134"/>
      <c r="G275" s="1945">
        <f>'[3]B.VOL RAB'!Q609</f>
        <v>142</v>
      </c>
      <c r="H275" s="2456" t="str">
        <f>VLOOKUP($A275,satpek!$B$20:$N$144,7,0)</f>
        <v>ttk</v>
      </c>
      <c r="I275" s="3281" t="str">
        <f>VLOOKUP($A275,satpek!$B$20:$N$144,5,0)</f>
        <v>An. Dihitung</v>
      </c>
      <c r="J275" s="1951">
        <f>VLOOKUP($A275,satpek!$B$20:$N$144,6,0)</f>
        <v>115332.32</v>
      </c>
      <c r="K275" s="3273"/>
      <c r="L275" s="1952">
        <f t="shared" si="209"/>
        <v>16377189.439999999</v>
      </c>
      <c r="M275" s="1967"/>
      <c r="N275" s="2458">
        <f>VLOOKUP($A275,satpek!$B$20:$L$138,8,0)</f>
        <v>0.80012051261953288</v>
      </c>
      <c r="O275" s="1954">
        <f>VLOOKUP($A275,satpek!$B$20:$L$138,9,0)</f>
        <v>81663.5</v>
      </c>
      <c r="P275" s="1954">
        <f>VLOOKUP($A275,satpek!$B$20:$L$138,10,0)</f>
        <v>92279.755000000005</v>
      </c>
      <c r="Q275" s="1952">
        <f t="shared" si="210"/>
        <v>11596217</v>
      </c>
      <c r="R275" s="1952">
        <f t="shared" si="211"/>
        <v>13103725.210000001</v>
      </c>
      <c r="S275" s="3282">
        <f t="shared" si="212"/>
        <v>3273464.2299999986</v>
      </c>
      <c r="V275" s="1958">
        <v>142</v>
      </c>
      <c r="W275" s="1958"/>
      <c r="X275" s="1958">
        <f t="shared" si="213"/>
        <v>0</v>
      </c>
      <c r="Y275" s="2127" t="s">
        <v>1917</v>
      </c>
      <c r="AC275" s="2127"/>
      <c r="AD275" s="2127"/>
      <c r="AE275" s="2127"/>
      <c r="AF275" s="1910">
        <v>215790.45</v>
      </c>
      <c r="AG275" s="2128">
        <f t="shared" si="214"/>
        <v>100458.13</v>
      </c>
    </row>
    <row r="276" spans="1:33" ht="21.95" customHeight="1" x14ac:dyDescent="0.2">
      <c r="A276" s="1910">
        <f>satpek!B91</f>
        <v>72</v>
      </c>
      <c r="B276" s="2131">
        <f t="shared" si="215"/>
        <v>5</v>
      </c>
      <c r="C276" s="2132"/>
      <c r="D276" s="2133" t="str">
        <f>VLOOKUP($A276,satpek!$B$20:$N$144,2,0)</f>
        <v>Memasang Instalasi titik stop kontak (kabel 3x2,5 mm)</v>
      </c>
      <c r="E276" s="2133"/>
      <c r="F276" s="2134"/>
      <c r="G276" s="1945">
        <f>'[3]B.VOL RAB'!Q610</f>
        <v>42</v>
      </c>
      <c r="H276" s="2456" t="str">
        <f>VLOOKUP($A276,satpek!$B$20:$N$144,7,0)</f>
        <v>ttk</v>
      </c>
      <c r="I276" s="3281" t="str">
        <f>VLOOKUP($A276,satpek!$B$20:$N$144,5,0)</f>
        <v>An. Dihitung</v>
      </c>
      <c r="J276" s="1951">
        <f>VLOOKUP($A276,satpek!$B$20:$N$144,6,0)</f>
        <v>145842.32</v>
      </c>
      <c r="K276" s="3273"/>
      <c r="L276" s="1952">
        <f t="shared" si="209"/>
        <v>6125377.4400000004</v>
      </c>
      <c r="M276" s="1967"/>
      <c r="N276" s="2458">
        <f>VLOOKUP($A276,satpek!$B$20:$L$138,8,0)</f>
        <v>0.8179817764829852</v>
      </c>
      <c r="O276" s="1954">
        <f>VLOOKUP($A276,satpek!$B$20:$L$138,9,0)</f>
        <v>105572</v>
      </c>
      <c r="P276" s="1954">
        <f>VLOOKUP($A276,satpek!$B$20:$L$138,10,0)</f>
        <v>119296.36</v>
      </c>
      <c r="Q276" s="1952">
        <f t="shared" si="210"/>
        <v>4434024</v>
      </c>
      <c r="R276" s="1952">
        <f t="shared" si="211"/>
        <v>5010447.12</v>
      </c>
      <c r="S276" s="3282">
        <f t="shared" si="212"/>
        <v>1114930.3200000003</v>
      </c>
      <c r="V276" s="1958">
        <v>42</v>
      </c>
      <c r="W276" s="1958"/>
      <c r="X276" s="1958">
        <f t="shared" si="213"/>
        <v>0</v>
      </c>
      <c r="Y276" s="2127" t="s">
        <v>1918</v>
      </c>
      <c r="AD276" s="2127"/>
      <c r="AE276" s="2127"/>
      <c r="AF276" s="1910">
        <v>249351.45</v>
      </c>
      <c r="AG276" s="2128">
        <f t="shared" si="214"/>
        <v>103509.13</v>
      </c>
    </row>
    <row r="277" spans="1:33" ht="21.95" customHeight="1" x14ac:dyDescent="0.2">
      <c r="A277" s="1910">
        <f>A276</f>
        <v>72</v>
      </c>
      <c r="B277" s="2131">
        <f t="shared" si="215"/>
        <v>6</v>
      </c>
      <c r="C277" s="2132"/>
      <c r="D277" s="2133" t="s">
        <v>1874</v>
      </c>
      <c r="E277" s="2133"/>
      <c r="F277" s="2134"/>
      <c r="G277" s="1945">
        <f>'[3]B.VOL RAB'!Q611</f>
        <v>13</v>
      </c>
      <c r="H277" s="2456" t="str">
        <f>VLOOKUP($A277,satpek!$B$20:$N$144,7,0)</f>
        <v>ttk</v>
      </c>
      <c r="I277" s="3281" t="str">
        <f>VLOOKUP($A277,satpek!$B$20:$N$144,5,0)</f>
        <v>An. Dihitung</v>
      </c>
      <c r="J277" s="1951">
        <f>VLOOKUP($A277,satpek!$B$20:$N$144,6,0)</f>
        <v>145842.32</v>
      </c>
      <c r="K277" s="3273"/>
      <c r="L277" s="1952">
        <f t="shared" si="209"/>
        <v>1895950.16</v>
      </c>
      <c r="M277" s="1967"/>
      <c r="N277" s="2458">
        <f>VLOOKUP($A277,satpek!$B$20:$L$138,8,0)</f>
        <v>0.8179817764829852</v>
      </c>
      <c r="O277" s="1954">
        <f>VLOOKUP($A277,satpek!$B$20:$L$138,9,0)</f>
        <v>105572</v>
      </c>
      <c r="P277" s="1954">
        <f>VLOOKUP($A277,satpek!$B$20:$L$138,10,0)</f>
        <v>119296.36</v>
      </c>
      <c r="Q277" s="1952">
        <f t="shared" si="210"/>
        <v>1372436</v>
      </c>
      <c r="R277" s="1952">
        <f t="shared" si="211"/>
        <v>1550852.68</v>
      </c>
      <c r="S277" s="3282">
        <f t="shared" si="212"/>
        <v>345097.48</v>
      </c>
      <c r="V277" s="1958">
        <v>13</v>
      </c>
      <c r="W277" s="1958"/>
      <c r="X277" s="1958">
        <f t="shared" si="213"/>
        <v>0</v>
      </c>
      <c r="Y277" s="2127" t="s">
        <v>1874</v>
      </c>
      <c r="AD277" s="2127"/>
      <c r="AE277" s="2127"/>
      <c r="AF277" s="1910">
        <v>249351.45</v>
      </c>
      <c r="AG277" s="2128">
        <f t="shared" si="214"/>
        <v>103509.13</v>
      </c>
    </row>
    <row r="278" spans="1:33" ht="21.95" customHeight="1" x14ac:dyDescent="0.2">
      <c r="A278" s="1910">
        <f>satpek!B92</f>
        <v>73</v>
      </c>
      <c r="B278" s="2131">
        <f t="shared" si="215"/>
        <v>7</v>
      </c>
      <c r="C278" s="2132"/>
      <c r="D278" s="2133" t="str">
        <f>VLOOKUP($A278,satpek!$B$20:$N$144,2,0)</f>
        <v>Instalasi titik Telephone 2 pair</v>
      </c>
      <c r="E278" s="2133"/>
      <c r="F278" s="2134"/>
      <c r="G278" s="1945">
        <f>'[3]B.VOL RAB'!Q612</f>
        <v>6</v>
      </c>
      <c r="H278" s="2456" t="str">
        <f>VLOOKUP($A278,satpek!$B$20:$N$144,7,0)</f>
        <v>ttk</v>
      </c>
      <c r="I278" s="3281" t="str">
        <f>VLOOKUP($A278,satpek!$B$20:$N$144,5,0)</f>
        <v>An. Dihitung</v>
      </c>
      <c r="J278" s="1951">
        <f>VLOOKUP($A278,satpek!$B$20:$N$144,6,0)</f>
        <v>93371.9</v>
      </c>
      <c r="K278" s="3273"/>
      <c r="L278" s="1952">
        <f t="shared" si="209"/>
        <v>560231.4</v>
      </c>
      <c r="M278" s="1967"/>
      <c r="N278" s="2458">
        <f>VLOOKUP($A278,satpek!$B$20:$L$138,8,0)</f>
        <v>0.9071039574004599</v>
      </c>
      <c r="O278" s="1954">
        <f>VLOOKUP($A278,satpek!$B$20:$L$138,9,0)</f>
        <v>74954</v>
      </c>
      <c r="P278" s="1954">
        <f>VLOOKUP($A278,satpek!$B$20:$L$138,10,0)</f>
        <v>84698.02</v>
      </c>
      <c r="Q278" s="1952">
        <f t="shared" si="210"/>
        <v>449724</v>
      </c>
      <c r="R278" s="1952">
        <f t="shared" si="211"/>
        <v>508188.12000000005</v>
      </c>
      <c r="S278" s="3282">
        <f t="shared" si="212"/>
        <v>52043.27999999997</v>
      </c>
      <c r="V278" s="1958">
        <v>6</v>
      </c>
      <c r="W278" s="1958"/>
      <c r="X278" s="1958">
        <f t="shared" si="213"/>
        <v>0</v>
      </c>
      <c r="Y278" s="2127" t="s">
        <v>1875</v>
      </c>
      <c r="AD278" s="2127"/>
      <c r="AE278" s="2127"/>
      <c r="AF278" s="1910">
        <v>92208</v>
      </c>
      <c r="AG278" s="2128">
        <f t="shared" si="214"/>
        <v>-1163.8999999999942</v>
      </c>
    </row>
    <row r="279" spans="1:33" ht="21.95" customHeight="1" x14ac:dyDescent="0.2">
      <c r="A279" s="1910">
        <f>satpek!B93</f>
        <v>74</v>
      </c>
      <c r="B279" s="2131">
        <f t="shared" si="215"/>
        <v>8</v>
      </c>
      <c r="C279" s="2132"/>
      <c r="D279" s="2133" t="str">
        <f>VLOOKUP($A279,satpek!$B$20:$N$144,2,0)</f>
        <v>Instalasi titik Data CAT 6</v>
      </c>
      <c r="E279" s="2133"/>
      <c r="F279" s="2134"/>
      <c r="G279" s="1945">
        <f>'[3]B.VOL RAB'!Q613</f>
        <v>12</v>
      </c>
      <c r="H279" s="2456" t="str">
        <f>VLOOKUP($A279,satpek!$B$20:$N$144,7,0)</f>
        <v>ttk</v>
      </c>
      <c r="I279" s="3281" t="str">
        <f>VLOOKUP($A279,satpek!$B$20:$N$144,5,0)</f>
        <v>An. Dihitung</v>
      </c>
      <c r="J279" s="1951">
        <f>VLOOKUP($A279,satpek!$B$20:$N$144,6,0)</f>
        <v>140437.33000000002</v>
      </c>
      <c r="K279" s="3273"/>
      <c r="L279" s="1952">
        <f t="shared" si="209"/>
        <v>1685247.96</v>
      </c>
      <c r="M279" s="1967"/>
      <c r="N279" s="2458">
        <f>VLOOKUP($A279,satpek!$B$20:$L$138,8,0)</f>
        <v>0.88809056240536555</v>
      </c>
      <c r="O279" s="1954">
        <f>VLOOKUP($A279,satpek!$B$20:$L$138,9,0)</f>
        <v>110372.62333</v>
      </c>
      <c r="P279" s="1954">
        <f>VLOOKUP($A279,satpek!$B$20:$L$138,10,0)</f>
        <v>124721.0643629</v>
      </c>
      <c r="Q279" s="1952">
        <f t="shared" si="210"/>
        <v>1324471.4799600001</v>
      </c>
      <c r="R279" s="1952">
        <f t="shared" si="211"/>
        <v>1496652.808588895</v>
      </c>
      <c r="S279" s="3282">
        <f t="shared" si="212"/>
        <v>188595.15141110495</v>
      </c>
      <c r="V279" s="1958">
        <v>12</v>
      </c>
      <c r="W279" s="1958"/>
      <c r="X279" s="1958">
        <f t="shared" si="213"/>
        <v>0</v>
      </c>
      <c r="Y279" s="2127" t="s">
        <v>1876</v>
      </c>
      <c r="AD279" s="2127"/>
      <c r="AE279" s="2127"/>
      <c r="AF279" s="1910">
        <v>139273.43</v>
      </c>
      <c r="AG279" s="2128">
        <f t="shared" si="214"/>
        <v>-1163.9000000000233</v>
      </c>
    </row>
    <row r="280" spans="1:33" ht="21.95" customHeight="1" x14ac:dyDescent="0.2">
      <c r="A280" s="1910">
        <f>satpek!B94</f>
        <v>75</v>
      </c>
      <c r="B280" s="2131">
        <f t="shared" si="215"/>
        <v>9</v>
      </c>
      <c r="C280" s="2132"/>
      <c r="D280" s="2133" t="str">
        <f>VLOOKUP($A280,satpek!$B$20:$N$144,2,0)</f>
        <v>Memasang saklar ganda</v>
      </c>
      <c r="E280" s="2133"/>
      <c r="F280" s="2134"/>
      <c r="G280" s="1945">
        <f>'[3]B.VOL RAB'!Q615</f>
        <v>28</v>
      </c>
      <c r="H280" s="2456" t="str">
        <f>VLOOKUP($A280,satpek!$B$20:$N$144,7,0)</f>
        <v>bh</v>
      </c>
      <c r="I280" s="3281" t="str">
        <f>VLOOKUP($A280,satpek!$B$20:$N$144,5,0)</f>
        <v>An. Dihitung</v>
      </c>
      <c r="J280" s="1951">
        <f>VLOOKUP($A280,satpek!$B$20:$N$144,6,0)</f>
        <v>49855.6</v>
      </c>
      <c r="K280" s="3273"/>
      <c r="L280" s="1952">
        <f t="shared" si="209"/>
        <v>1395956.8</v>
      </c>
      <c r="M280" s="1967"/>
      <c r="N280" s="2458">
        <f>VLOOKUP($A280,satpek!$B$20:$L$138,8,0)</f>
        <v>0.55736627379873072</v>
      </c>
      <c r="O280" s="1954">
        <f>VLOOKUP($A280,satpek!$B$20:$L$138,9,0)</f>
        <v>24591</v>
      </c>
      <c r="P280" s="1954">
        <f>VLOOKUP($A280,satpek!$B$20:$L$138,10,0)</f>
        <v>27787.83</v>
      </c>
      <c r="Q280" s="1952">
        <f t="shared" si="210"/>
        <v>688548</v>
      </c>
      <c r="R280" s="1952">
        <f t="shared" si="211"/>
        <v>778059.24</v>
      </c>
      <c r="S280" s="3282">
        <f t="shared" si="212"/>
        <v>617897.56000000006</v>
      </c>
      <c r="V280" s="1958">
        <v>28</v>
      </c>
      <c r="W280" s="1958"/>
      <c r="X280" s="1958">
        <f t="shared" si="213"/>
        <v>0</v>
      </c>
      <c r="Y280" s="2127" t="s">
        <v>372</v>
      </c>
      <c r="AD280" s="2127"/>
      <c r="AE280" s="2127"/>
      <c r="AF280" s="1910">
        <v>49482.7</v>
      </c>
      <c r="AG280" s="2128">
        <f t="shared" si="214"/>
        <v>-372.90000000000146</v>
      </c>
    </row>
    <row r="281" spans="1:33" ht="21.95" customHeight="1" x14ac:dyDescent="0.2">
      <c r="A281" s="1910">
        <f>satpek!B95</f>
        <v>76</v>
      </c>
      <c r="B281" s="2131">
        <f t="shared" si="215"/>
        <v>10</v>
      </c>
      <c r="C281" s="2132"/>
      <c r="D281" s="2133" t="str">
        <f>VLOOKUP($A281,satpek!$B$20:$N$144,2,0)</f>
        <v>Memasang saklar tunggal</v>
      </c>
      <c r="E281" s="2133"/>
      <c r="F281" s="2134"/>
      <c r="G281" s="1945">
        <f>'[3]B.VOL RAB'!Q616</f>
        <v>11</v>
      </c>
      <c r="H281" s="2456" t="str">
        <f>VLOOKUP($A281,satpek!$B$20:$N$144,7,0)</f>
        <v>bh</v>
      </c>
      <c r="I281" s="3281" t="str">
        <f>VLOOKUP($A281,satpek!$B$20:$N$144,5,0)</f>
        <v>An. Dihitung</v>
      </c>
      <c r="J281" s="1951">
        <f>VLOOKUP($A281,satpek!$B$20:$N$144,6,0)</f>
        <v>41826.949999999997</v>
      </c>
      <c r="K281" s="3273"/>
      <c r="L281" s="1952">
        <f t="shared" si="209"/>
        <v>460096.45</v>
      </c>
      <c r="M281" s="1967"/>
      <c r="N281" s="2458">
        <f>VLOOKUP($A281,satpek!$B$20:$L$138,8,0)</f>
        <v>0.5819465081723626</v>
      </c>
      <c r="O281" s="1954">
        <f>VLOOKUP($A281,satpek!$B$20:$L$138,9,0)</f>
        <v>21540.75</v>
      </c>
      <c r="P281" s="1954">
        <f>VLOOKUP($A281,satpek!$B$20:$L$138,10,0)</f>
        <v>24341.047500000001</v>
      </c>
      <c r="Q281" s="1952">
        <f t="shared" si="210"/>
        <v>236948.25</v>
      </c>
      <c r="R281" s="1952">
        <f t="shared" si="211"/>
        <v>267751.52250000002</v>
      </c>
      <c r="S281" s="3282">
        <f t="shared" si="212"/>
        <v>192344.92749999999</v>
      </c>
      <c r="V281" s="1958">
        <v>11</v>
      </c>
      <c r="W281" s="1958"/>
      <c r="X281" s="1958">
        <f t="shared" si="213"/>
        <v>0</v>
      </c>
      <c r="Y281" s="2127" t="s">
        <v>373</v>
      </c>
      <c r="AD281" s="2127"/>
      <c r="AE281" s="2127"/>
      <c r="AF281" s="1910">
        <v>41454.050000000003</v>
      </c>
      <c r="AG281" s="2128">
        <f t="shared" si="214"/>
        <v>-372.89999999999418</v>
      </c>
    </row>
    <row r="282" spans="1:33" ht="21.95" customHeight="1" x14ac:dyDescent="0.2">
      <c r="A282" s="1910">
        <f>satpek!B96</f>
        <v>77</v>
      </c>
      <c r="B282" s="2131">
        <f t="shared" si="215"/>
        <v>11</v>
      </c>
      <c r="C282" s="2132"/>
      <c r="D282" s="2133" t="str">
        <f>VLOOKUP($A282,satpek!$B$20:$N$144,2,0)</f>
        <v>Memasang stop kontak</v>
      </c>
      <c r="E282" s="2133"/>
      <c r="F282" s="2134"/>
      <c r="G282" s="1945">
        <f>'[3]B.VOL RAB'!Q617</f>
        <v>42</v>
      </c>
      <c r="H282" s="2456" t="str">
        <f>VLOOKUP($A282,satpek!$B$20:$N$144,7,0)</f>
        <v>bh</v>
      </c>
      <c r="I282" s="3281" t="str">
        <f>VLOOKUP($A282,satpek!$B$20:$N$144,5,0)</f>
        <v>An. Dihitung</v>
      </c>
      <c r="J282" s="1951">
        <f>VLOOKUP($A282,satpek!$B$20:$N$144,6,0)</f>
        <v>37730.699999999997</v>
      </c>
      <c r="K282" s="3273"/>
      <c r="L282" s="1952">
        <f t="shared" si="209"/>
        <v>1584689.4</v>
      </c>
      <c r="M282" s="1967"/>
      <c r="N282" s="2458">
        <f>VLOOKUP($A282,satpek!$B$20:$L$138,8,0)</f>
        <v>0.59851752021563343</v>
      </c>
      <c r="O282" s="1954">
        <f>VLOOKUP($A282,satpek!$B$20:$L$138,9,0)</f>
        <v>19984.5</v>
      </c>
      <c r="P282" s="1954">
        <f>VLOOKUP($A282,satpek!$B$20:$L$138,10,0)</f>
        <v>22582.485000000001</v>
      </c>
      <c r="Q282" s="1952">
        <f t="shared" si="210"/>
        <v>839349</v>
      </c>
      <c r="R282" s="1952">
        <f t="shared" si="211"/>
        <v>948464.37</v>
      </c>
      <c r="S282" s="3282">
        <f t="shared" si="212"/>
        <v>636225.02999999991</v>
      </c>
      <c r="V282" s="1958">
        <v>42</v>
      </c>
      <c r="W282" s="1958"/>
      <c r="X282" s="1958">
        <f t="shared" si="213"/>
        <v>0</v>
      </c>
      <c r="Y282" s="2127" t="s">
        <v>374</v>
      </c>
      <c r="AD282" s="2127"/>
      <c r="AE282" s="2127"/>
      <c r="AF282" s="1910">
        <v>37357.800000000003</v>
      </c>
      <c r="AG282" s="2128">
        <f t="shared" si="214"/>
        <v>-372.89999999999418</v>
      </c>
    </row>
    <row r="283" spans="1:33" ht="21.95" customHeight="1" x14ac:dyDescent="0.2">
      <c r="A283" s="1910">
        <f>satpek!B97</f>
        <v>78</v>
      </c>
      <c r="B283" s="2131">
        <f t="shared" si="215"/>
        <v>12</v>
      </c>
      <c r="C283" s="2132"/>
      <c r="D283" s="2133" t="str">
        <f>VLOOKUP($A283,satpek!$B$20:$N$144,2,0)</f>
        <v xml:space="preserve">Memasang stop kontak AC </v>
      </c>
      <c r="E283" s="2133"/>
      <c r="F283" s="2134"/>
      <c r="G283" s="1945">
        <f>'[3]B.VOL RAB'!Q618</f>
        <v>13</v>
      </c>
      <c r="H283" s="2456" t="str">
        <f>VLOOKUP($A283,satpek!$B$20:$N$144,7,0)</f>
        <v>bh</v>
      </c>
      <c r="I283" s="3281" t="str">
        <f>VLOOKUP($A283,satpek!$B$20:$N$144,5,0)</f>
        <v>An. Dihitung</v>
      </c>
      <c r="J283" s="1951">
        <f>VLOOKUP($A283,satpek!$B$20:$N$144,6,0)</f>
        <v>115836.3</v>
      </c>
      <c r="K283" s="3273"/>
      <c r="L283" s="1952">
        <f t="shared" si="209"/>
        <v>1505871.9</v>
      </c>
      <c r="M283" s="1967"/>
      <c r="N283" s="2458">
        <f>VLOOKUP($A283,satpek!$B$20:$L$138,8,0)</f>
        <v>0.46296458882060287</v>
      </c>
      <c r="O283" s="1954">
        <f>VLOOKUP($A283,satpek!$B$20:$L$138,9,0)</f>
        <v>47458.5</v>
      </c>
      <c r="P283" s="1954">
        <f>VLOOKUP($A283,satpek!$B$20:$L$138,10,0)</f>
        <v>53628.105000000003</v>
      </c>
      <c r="Q283" s="1952">
        <f t="shared" si="210"/>
        <v>616960.5</v>
      </c>
      <c r="R283" s="1952">
        <f t="shared" si="211"/>
        <v>697165.36499999999</v>
      </c>
      <c r="S283" s="3282">
        <f t="shared" si="212"/>
        <v>808706.53499999992</v>
      </c>
      <c r="V283" s="1958">
        <v>13</v>
      </c>
      <c r="W283" s="1958"/>
      <c r="X283" s="1958">
        <f t="shared" si="213"/>
        <v>0</v>
      </c>
      <c r="Y283" s="2127" t="s">
        <v>1877</v>
      </c>
      <c r="AD283" s="2127"/>
      <c r="AE283" s="2127"/>
      <c r="AF283" s="1910">
        <v>115463.4</v>
      </c>
      <c r="AG283" s="2128">
        <f t="shared" si="214"/>
        <v>-372.90000000000873</v>
      </c>
    </row>
    <row r="284" spans="1:33" ht="21.95" customHeight="1" x14ac:dyDescent="0.2">
      <c r="A284" s="1910">
        <f>satpek!$B$98</f>
        <v>79</v>
      </c>
      <c r="B284" s="2131">
        <f t="shared" si="215"/>
        <v>13</v>
      </c>
      <c r="C284" s="2132"/>
      <c r="D284" s="2133" t="str">
        <f>VLOOKUP($A284,satpek!$B$20:$N$144,2,0)</f>
        <v>Memasang stop kontak outlet Telephone</v>
      </c>
      <c r="E284" s="2133"/>
      <c r="F284" s="2134"/>
      <c r="G284" s="1945">
        <f>'[3]B.VOL RAB'!Q619</f>
        <v>6</v>
      </c>
      <c r="H284" s="2456" t="str">
        <f>VLOOKUP($A284,satpek!$B$20:$N$144,7,0)</f>
        <v>bh</v>
      </c>
      <c r="I284" s="3281" t="str">
        <f>VLOOKUP($A284,satpek!$B$20:$N$144,5,0)</f>
        <v>An. Dihitung</v>
      </c>
      <c r="J284" s="1951">
        <f>VLOOKUP($A284,satpek!$B$20:$N$144,6,0)</f>
        <v>82122.75</v>
      </c>
      <c r="K284" s="3273"/>
      <c r="L284" s="1952">
        <f t="shared" si="209"/>
        <v>492736.5</v>
      </c>
      <c r="M284" s="1967"/>
      <c r="N284" s="2458">
        <f>VLOOKUP($A284,satpek!$B$20:$L$138,8,0)</f>
        <v>0.48653250773993806</v>
      </c>
      <c r="O284" s="1954">
        <f>VLOOKUP($A284,satpek!$B$20:$L$138,9,0)</f>
        <v>35358.75</v>
      </c>
      <c r="P284" s="1954">
        <f>VLOOKUP($A284,satpek!$B$20:$L$138,10,0)</f>
        <v>39955.387499999997</v>
      </c>
      <c r="Q284" s="1952">
        <f t="shared" si="210"/>
        <v>212152.5</v>
      </c>
      <c r="R284" s="1952">
        <f t="shared" si="211"/>
        <v>239732.32499999998</v>
      </c>
      <c r="S284" s="3282">
        <f t="shared" si="212"/>
        <v>253004.17500000002</v>
      </c>
      <c r="V284" s="1958">
        <v>6</v>
      </c>
      <c r="W284" s="1958"/>
      <c r="X284" s="1958">
        <f t="shared" si="213"/>
        <v>0</v>
      </c>
      <c r="Y284" s="2127" t="s">
        <v>1878</v>
      </c>
      <c r="AD284" s="2127"/>
      <c r="AE284" s="2127"/>
      <c r="AF284" s="1910">
        <v>81749.850000000006</v>
      </c>
      <c r="AG284" s="2128">
        <f t="shared" si="214"/>
        <v>-372.89999999999418</v>
      </c>
    </row>
    <row r="285" spans="1:33" ht="21.95" customHeight="1" x14ac:dyDescent="0.2">
      <c r="A285" s="1910">
        <f>satpek!$B$99</f>
        <v>80</v>
      </c>
      <c r="B285" s="2131">
        <f t="shared" si="215"/>
        <v>14</v>
      </c>
      <c r="C285" s="2132"/>
      <c r="D285" s="2133" t="s">
        <v>1879</v>
      </c>
      <c r="E285" s="2133"/>
      <c r="F285" s="2134"/>
      <c r="G285" s="1945">
        <f>'[3]B.VOL RAB'!Q620</f>
        <v>12</v>
      </c>
      <c r="H285" s="2456" t="str">
        <f>VLOOKUP($A285,satpek!$B$20:$N$144,7,0)</f>
        <v>bh</v>
      </c>
      <c r="I285" s="3281" t="str">
        <f>VLOOKUP($A285,satpek!$B$20:$N$144,5,0)</f>
        <v>An. Dihitung</v>
      </c>
      <c r="J285" s="1951">
        <f>VLOOKUP($A285,satpek!$B$20:$N$144,6,0)</f>
        <v>136278</v>
      </c>
      <c r="K285" s="3273"/>
      <c r="L285" s="1952">
        <f t="shared" si="209"/>
        <v>1635336</v>
      </c>
      <c r="M285" s="1967"/>
      <c r="N285" s="2458">
        <f>VLOOKUP($A285,satpek!$B$20:$L$138,8,0)</f>
        <v>0.45435323383084575</v>
      </c>
      <c r="O285" s="1954">
        <f>VLOOKUP($A285,satpek!$B$20:$L$138,9,0)</f>
        <v>54795</v>
      </c>
      <c r="P285" s="1954">
        <f>VLOOKUP($A285,satpek!$B$20:$L$138,10,0)</f>
        <v>61918.35</v>
      </c>
      <c r="Q285" s="1952">
        <f t="shared" si="210"/>
        <v>657540</v>
      </c>
      <c r="R285" s="1952">
        <f t="shared" si="211"/>
        <v>743020.2</v>
      </c>
      <c r="S285" s="3282">
        <f t="shared" si="212"/>
        <v>892315.8</v>
      </c>
      <c r="V285" s="1958">
        <v>12</v>
      </c>
      <c r="W285" s="1958"/>
      <c r="X285" s="1958">
        <f t="shared" si="213"/>
        <v>0</v>
      </c>
      <c r="Y285" s="2127" t="s">
        <v>1879</v>
      </c>
      <c r="AD285" s="2127"/>
      <c r="AE285" s="2127"/>
      <c r="AF285" s="1910">
        <v>135905.1</v>
      </c>
      <c r="AG285" s="2128">
        <f t="shared" si="214"/>
        <v>-372.89999999999418</v>
      </c>
    </row>
    <row r="286" spans="1:33" ht="21.95" customHeight="1" x14ac:dyDescent="0.2">
      <c r="A286" s="1910">
        <f>satpek!B100</f>
        <v>81</v>
      </c>
      <c r="B286" s="2131">
        <f t="shared" si="215"/>
        <v>15</v>
      </c>
      <c r="C286" s="2132"/>
      <c r="D286" s="2133" t="str">
        <f>VLOOKUP($A286,satpek!$B$20:$N$144,2,0)</f>
        <v>Memasang downlight LED 10 watt tipe inbow</v>
      </c>
      <c r="E286" s="2133"/>
      <c r="F286" s="2134"/>
      <c r="G286" s="1945">
        <f>'[3]B.VOL RAB'!Q621</f>
        <v>12</v>
      </c>
      <c r="H286" s="2456" t="str">
        <f>VLOOKUP($A286,satpek!$B$20:$N$144,7,0)</f>
        <v>ttk</v>
      </c>
      <c r="I286" s="3281" t="str">
        <f>VLOOKUP($A286,satpek!$B$20:$N$144,5,0)</f>
        <v>An. Dihitung</v>
      </c>
      <c r="J286" s="1951">
        <f>VLOOKUP($A286,satpek!$B$20:$N$144,6,0)</f>
        <v>124333.9</v>
      </c>
      <c r="K286" s="3273"/>
      <c r="L286" s="1952">
        <f t="shared" si="209"/>
        <v>1492006.8</v>
      </c>
      <c r="M286" s="1967"/>
      <c r="N286" s="2458">
        <f>VLOOKUP($A286,satpek!$B$20:$L$138,8,0)</f>
        <v>0.71568663091884033</v>
      </c>
      <c r="O286" s="1954">
        <f>VLOOKUP($A286,satpek!$B$20:$L$138,9,0)</f>
        <v>78747</v>
      </c>
      <c r="P286" s="1954">
        <f>VLOOKUP($A286,satpek!$B$20:$L$138,10,0)</f>
        <v>88984.11</v>
      </c>
      <c r="Q286" s="1952">
        <f t="shared" si="210"/>
        <v>944964</v>
      </c>
      <c r="R286" s="1952">
        <f t="shared" si="211"/>
        <v>1067809.32</v>
      </c>
      <c r="S286" s="3282">
        <f t="shared" si="212"/>
        <v>424197.48</v>
      </c>
      <c r="V286" s="1958">
        <v>12</v>
      </c>
      <c r="W286" s="1958"/>
      <c r="X286" s="1958">
        <f t="shared" si="213"/>
        <v>0</v>
      </c>
      <c r="Y286" s="2127" t="s">
        <v>1880</v>
      </c>
      <c r="AD286" s="2127"/>
      <c r="AE286" s="2127"/>
      <c r="AF286" s="1910">
        <v>123237.8</v>
      </c>
      <c r="AG286" s="2128">
        <f t="shared" si="214"/>
        <v>-1096.0999999999913</v>
      </c>
    </row>
    <row r="287" spans="1:33" ht="21.95" customHeight="1" x14ac:dyDescent="0.2">
      <c r="A287" s="1910">
        <f>satpek!B101</f>
        <v>82</v>
      </c>
      <c r="B287" s="2131">
        <f t="shared" si="215"/>
        <v>16</v>
      </c>
      <c r="C287" s="2132"/>
      <c r="D287" s="2133" t="str">
        <f>VLOOKUP($A287,satpek!$B$20:$N$144,2,0)</f>
        <v>Memasang downlight LED 17 watt tipe inbow</v>
      </c>
      <c r="E287" s="2133"/>
      <c r="F287" s="2134"/>
      <c r="G287" s="1945">
        <f>'[3]B.VOL RAB'!Q622</f>
        <v>122</v>
      </c>
      <c r="H287" s="2456" t="str">
        <f>VLOOKUP($A287,satpek!$B$20:$N$144,7,0)</f>
        <v>ttk</v>
      </c>
      <c r="I287" s="3281" t="str">
        <f>VLOOKUP($A287,satpek!$B$20:$N$144,5,0)</f>
        <v>An. Dihitung</v>
      </c>
      <c r="J287" s="1951">
        <f>VLOOKUP($A287,satpek!$B$20:$N$144,6,0)</f>
        <v>186709.9</v>
      </c>
      <c r="K287" s="3273"/>
      <c r="L287" s="1952">
        <f t="shared" si="209"/>
        <v>22778607.800000001</v>
      </c>
      <c r="M287" s="1967"/>
      <c r="N287" s="2458">
        <f>VLOOKUP($A287,satpek!$B$20:$L$138,8,0)</f>
        <v>0.68084367245657573</v>
      </c>
      <c r="O287" s="1954">
        <f>VLOOKUP($A287,satpek!$B$20:$L$138,9,0)</f>
        <v>112495.8</v>
      </c>
      <c r="P287" s="1954">
        <f>VLOOKUP($A287,satpek!$B$20:$L$138,10,0)</f>
        <v>127120.254</v>
      </c>
      <c r="Q287" s="1952">
        <f t="shared" si="210"/>
        <v>13724487.6</v>
      </c>
      <c r="R287" s="1952">
        <f t="shared" si="211"/>
        <v>15508670.988000002</v>
      </c>
      <c r="S287" s="3282">
        <f t="shared" si="212"/>
        <v>7269936.811999999</v>
      </c>
      <c r="V287" s="1958">
        <v>122</v>
      </c>
      <c r="W287" s="1958"/>
      <c r="X287" s="1958">
        <f t="shared" si="213"/>
        <v>0</v>
      </c>
      <c r="Y287" s="2127" t="s">
        <v>1881</v>
      </c>
      <c r="AD287" s="2127"/>
      <c r="AE287" s="2127"/>
      <c r="AF287" s="1910">
        <v>185613.8</v>
      </c>
      <c r="AG287" s="2128">
        <f t="shared" si="214"/>
        <v>-1096.1000000000058</v>
      </c>
    </row>
    <row r="288" spans="1:33" ht="21.95" customHeight="1" x14ac:dyDescent="0.2">
      <c r="A288" s="1910">
        <f>satpek!B102</f>
        <v>83</v>
      </c>
      <c r="B288" s="2131">
        <f t="shared" si="215"/>
        <v>17</v>
      </c>
      <c r="C288" s="2132"/>
      <c r="D288" s="2133" t="str">
        <f>VLOOKUP($A288,satpek!$B$20:$N$144,2,0)</f>
        <v>Memasang downlight LED 17 watt tipe outbow</v>
      </c>
      <c r="E288" s="2133"/>
      <c r="F288" s="2134"/>
      <c r="G288" s="1945">
        <f>'[3]B.VOL RAB'!Q623</f>
        <v>8</v>
      </c>
      <c r="H288" s="2456" t="str">
        <f>VLOOKUP($A288,satpek!$B$20:$N$144,7,0)</f>
        <v>ttk</v>
      </c>
      <c r="I288" s="3281" t="str">
        <f>VLOOKUP($A288,satpek!$B$20:$N$144,5,0)</f>
        <v>An. Dihitung</v>
      </c>
      <c r="J288" s="1951">
        <f>VLOOKUP($A288,satpek!$B$20:$N$144,6,0)</f>
        <v>118457.9</v>
      </c>
      <c r="K288" s="3273"/>
      <c r="L288" s="1952">
        <f t="shared" si="209"/>
        <v>947663.2</v>
      </c>
      <c r="M288" s="1967"/>
      <c r="N288" s="2458">
        <f>VLOOKUP($A288,satpek!$B$20:$L$138,8,0)</f>
        <v>0.67070304302203565</v>
      </c>
      <c r="O288" s="1954">
        <f>VLOOKUP($A288,satpek!$B$20:$L$138,9,0)</f>
        <v>70309.8</v>
      </c>
      <c r="P288" s="1954">
        <f>VLOOKUP($A288,satpek!$B$20:$L$138,10,0)</f>
        <v>79450.074000000008</v>
      </c>
      <c r="Q288" s="1952">
        <f t="shared" si="210"/>
        <v>562478.4</v>
      </c>
      <c r="R288" s="1952">
        <f t="shared" si="211"/>
        <v>635600.59199999995</v>
      </c>
      <c r="S288" s="3282">
        <f t="shared" si="212"/>
        <v>312062.60800000001</v>
      </c>
      <c r="V288" s="1958">
        <v>8</v>
      </c>
      <c r="W288" s="1958"/>
      <c r="X288" s="1958">
        <f t="shared" si="213"/>
        <v>0</v>
      </c>
      <c r="Y288" s="2127" t="s">
        <v>1882</v>
      </c>
      <c r="AD288" s="2127"/>
      <c r="AE288" s="2127"/>
      <c r="AF288" s="1910">
        <v>117361.8</v>
      </c>
      <c r="AG288" s="2128">
        <f t="shared" si="214"/>
        <v>-1096.0999999999913</v>
      </c>
    </row>
    <row r="289" spans="1:33" ht="21.95" customHeight="1" x14ac:dyDescent="0.2">
      <c r="A289" s="1910">
        <f>satpek!B103</f>
        <v>84</v>
      </c>
      <c r="B289" s="2131">
        <f t="shared" si="215"/>
        <v>18</v>
      </c>
      <c r="C289" s="2132"/>
      <c r="D289" s="2133" t="s">
        <v>1883</v>
      </c>
      <c r="E289" s="2133"/>
      <c r="F289" s="2134"/>
      <c r="G289" s="1945">
        <f>'[3]B.VOL RAB'!Q624</f>
        <v>55</v>
      </c>
      <c r="H289" s="2456" t="str">
        <f>VLOOKUP($A289,satpek!$B$20:$N$144,7,0)</f>
        <v>m'</v>
      </c>
      <c r="I289" s="3281" t="str">
        <f>VLOOKUP($A289,satpek!$B$20:$N$144,5,0)</f>
        <v>An. Dihitung</v>
      </c>
      <c r="J289" s="1951">
        <f>VLOOKUP($A289,satpek!$B$20:$N$144,6,0)</f>
        <v>274370.78000000003</v>
      </c>
      <c r="K289" s="3273"/>
      <c r="L289" s="1952">
        <f t="shared" si="209"/>
        <v>15090392.9</v>
      </c>
      <c r="M289" s="1967"/>
      <c r="N289" s="2458">
        <f>VLOOKUP($A289,satpek!$B$20:$L$138,8,0)</f>
        <v>0.80899051094289265</v>
      </c>
      <c r="O289" s="1954">
        <f>VLOOKUP($A289,satpek!$B$20:$L$138,9,0)</f>
        <v>196427.75</v>
      </c>
      <c r="P289" s="1954">
        <f>VLOOKUP($A289,satpek!$B$20:$L$138,10,0)</f>
        <v>221963.35750000001</v>
      </c>
      <c r="Q289" s="1952">
        <f t="shared" si="210"/>
        <v>10803526.25</v>
      </c>
      <c r="R289" s="1952">
        <f t="shared" si="211"/>
        <v>12207984.6625</v>
      </c>
      <c r="S289" s="3282">
        <f t="shared" si="212"/>
        <v>2882408.2375000007</v>
      </c>
      <c r="V289" s="1958">
        <v>55</v>
      </c>
      <c r="W289" s="1958"/>
      <c r="X289" s="1958">
        <f t="shared" si="213"/>
        <v>0</v>
      </c>
      <c r="Y289" s="2127" t="s">
        <v>1883</v>
      </c>
      <c r="AD289" s="2127"/>
      <c r="AE289" s="2127"/>
      <c r="AF289" s="1910">
        <v>286212.05</v>
      </c>
      <c r="AG289" s="2128">
        <f t="shared" si="214"/>
        <v>11841.26999999996</v>
      </c>
    </row>
    <row r="290" spans="1:33" ht="21.95" customHeight="1" x14ac:dyDescent="0.2">
      <c r="A290" s="1910">
        <f>satpek!B129</f>
        <v>104</v>
      </c>
      <c r="B290" s="2131">
        <f t="shared" si="215"/>
        <v>19</v>
      </c>
      <c r="C290" s="2132"/>
      <c r="D290" s="2133" t="str">
        <f>VLOOKUP($A290,satpek!$B$20:$N$144,2,0)</f>
        <v>Memasang Unit AC 1 PK</v>
      </c>
      <c r="E290" s="2133"/>
      <c r="F290" s="2134"/>
      <c r="G290" s="1945">
        <f>'[3]B.VOL RAB'!Q625</f>
        <v>13</v>
      </c>
      <c r="H290" s="2456" t="str">
        <f>VLOOKUP($A290,satpek!$B$20:$N$144,7,0)</f>
        <v>unit</v>
      </c>
      <c r="I290" s="3281" t="str">
        <f>VLOOKUP($A290,satpek!$B$20:$N$144,5,0)</f>
        <v>Daftar harga</v>
      </c>
      <c r="J290" s="1951">
        <f>VLOOKUP($A290,satpek!$B$20:$N$144,6,0)</f>
        <v>4950000</v>
      </c>
      <c r="K290" s="3273"/>
      <c r="L290" s="1952">
        <f t="shared" si="209"/>
        <v>64350000</v>
      </c>
      <c r="M290" s="1967"/>
      <c r="N290" s="2458">
        <f>VLOOKUP($A290,satpek!$B$20:$L$138,8,0)</f>
        <v>0.1082</v>
      </c>
      <c r="O290" s="1954">
        <f>VLOOKUP($A290,satpek!$B$20:$L$138,9,0)</f>
        <v>0</v>
      </c>
      <c r="P290" s="1954">
        <f>VLOOKUP($A290,satpek!$B$20:$L$138,10,0)</f>
        <v>535590</v>
      </c>
      <c r="Q290" s="1952">
        <f t="shared" si="210"/>
        <v>0</v>
      </c>
      <c r="R290" s="1952">
        <f t="shared" si="211"/>
        <v>6962670</v>
      </c>
      <c r="S290" s="3282">
        <f t="shared" si="212"/>
        <v>57387330</v>
      </c>
      <c r="V290" s="1958">
        <v>13</v>
      </c>
      <c r="W290" s="1958"/>
      <c r="X290" s="1958">
        <f t="shared" si="213"/>
        <v>0</v>
      </c>
      <c r="Y290" s="2127" t="s">
        <v>1884</v>
      </c>
      <c r="AD290" s="2127"/>
      <c r="AE290" s="2127"/>
      <c r="AF290" s="1910">
        <v>4950000</v>
      </c>
      <c r="AG290" s="2128">
        <f t="shared" si="214"/>
        <v>0</v>
      </c>
    </row>
    <row r="291" spans="1:33" ht="21.95" customHeight="1" x14ac:dyDescent="0.2">
      <c r="A291" s="1910">
        <f>satpek!B117</f>
        <v>98</v>
      </c>
      <c r="B291" s="2131">
        <f t="shared" si="215"/>
        <v>20</v>
      </c>
      <c r="C291" s="2132"/>
      <c r="D291" s="2133" t="str">
        <f>VLOOKUP($A291,satpek!$B$20:$N$144,2,0)</f>
        <v>Panel uk 50x70x25 lengkap dengan asesoris 3 phase</v>
      </c>
      <c r="E291" s="2133"/>
      <c r="F291" s="2134"/>
      <c r="G291" s="1945">
        <f>'[3]B.VOL RAB'!Q626</f>
        <v>1</v>
      </c>
      <c r="H291" s="2456" t="str">
        <f>VLOOKUP($A291,satpek!$B$20:$N$144,7,0)</f>
        <v>unit</v>
      </c>
      <c r="I291" s="3281" t="str">
        <f>VLOOKUP($A291,satpek!$B$20:$N$144,5,0)</f>
        <v>Daftar harga</v>
      </c>
      <c r="J291" s="1951">
        <f>VLOOKUP($A291,satpek!$B$20:$N$144,6,0)</f>
        <v>5000000</v>
      </c>
      <c r="K291" s="3273"/>
      <c r="L291" s="1952">
        <f t="shared" si="209"/>
        <v>5000000</v>
      </c>
      <c r="M291" s="1967"/>
      <c r="N291" s="2458">
        <f>VLOOKUP($A291,satpek!$B$20:$L$138,8,0)</f>
        <v>0.3</v>
      </c>
      <c r="O291" s="1954">
        <f>VLOOKUP($A291,satpek!$B$20:$L$138,9,0)</f>
        <v>0</v>
      </c>
      <c r="P291" s="1954">
        <f>VLOOKUP($A291,satpek!$B$20:$L$138,10,0)</f>
        <v>1500000</v>
      </c>
      <c r="Q291" s="1952">
        <f t="shared" si="210"/>
        <v>0</v>
      </c>
      <c r="R291" s="1952">
        <f t="shared" si="211"/>
        <v>1500000</v>
      </c>
      <c r="S291" s="3282">
        <f t="shared" si="212"/>
        <v>3500000</v>
      </c>
      <c r="V291" s="1958">
        <v>1</v>
      </c>
      <c r="W291" s="1958"/>
      <c r="X291" s="1958">
        <f t="shared" si="213"/>
        <v>0</v>
      </c>
      <c r="Y291" s="2127" t="s">
        <v>1885</v>
      </c>
      <c r="AD291" s="2127"/>
      <c r="AE291" s="2127"/>
      <c r="AF291" s="1910">
        <v>5000000</v>
      </c>
      <c r="AG291" s="2128">
        <f t="shared" si="214"/>
        <v>0</v>
      </c>
    </row>
    <row r="292" spans="1:33" ht="21.95" customHeight="1" x14ac:dyDescent="0.2">
      <c r="A292" s="1910">
        <f>satpek!B104</f>
        <v>85</v>
      </c>
      <c r="B292" s="2131">
        <f t="shared" si="215"/>
        <v>21</v>
      </c>
      <c r="C292" s="2132"/>
      <c r="D292" s="2133" t="str">
        <f>VLOOKUP($A292,satpek!$B$20:$N$144,2,0)</f>
        <v>Memasang Exhaust fan</v>
      </c>
      <c r="E292" s="2133"/>
      <c r="F292" s="2134"/>
      <c r="G292" s="1945">
        <f>'[3]B.VOL RAB'!Q627</f>
        <v>10</v>
      </c>
      <c r="H292" s="2456" t="str">
        <f>VLOOKUP($A292,satpek!$B$20:$N$144,7,0)</f>
        <v>bh</v>
      </c>
      <c r="I292" s="3281" t="str">
        <f>VLOOKUP($A292,satpek!$B$20:$N$144,5,0)</f>
        <v>An. Dihitung</v>
      </c>
      <c r="J292" s="1951">
        <f>VLOOKUP($A292,satpek!$B$20:$N$144,6,0)</f>
        <v>556977</v>
      </c>
      <c r="K292" s="3273"/>
      <c r="L292" s="1952">
        <f t="shared" si="209"/>
        <v>5569770</v>
      </c>
      <c r="M292" s="1967"/>
      <c r="N292" s="2458">
        <f>VLOOKUP($A292,satpek!$B$20:$L$138,8,0)</f>
        <v>0.11594643944004869</v>
      </c>
      <c r="O292" s="1954">
        <f>VLOOKUP($A292,satpek!$B$20:$L$138,9,0)</f>
        <v>57150</v>
      </c>
      <c r="P292" s="1954">
        <f>VLOOKUP($A292,satpek!$B$20:$L$138,10,0)</f>
        <v>64579.5</v>
      </c>
      <c r="Q292" s="1952">
        <f t="shared" si="210"/>
        <v>571500</v>
      </c>
      <c r="R292" s="1952">
        <f t="shared" si="211"/>
        <v>645795</v>
      </c>
      <c r="S292" s="3282">
        <f t="shared" si="212"/>
        <v>4923975</v>
      </c>
      <c r="V292" s="1958">
        <v>10</v>
      </c>
      <c r="W292" s="1958"/>
      <c r="X292" s="1958">
        <f t="shared" si="213"/>
        <v>0</v>
      </c>
      <c r="Y292" s="2127" t="s">
        <v>1886</v>
      </c>
      <c r="AD292" s="2127"/>
      <c r="AE292" s="2127"/>
      <c r="AF292" s="1910">
        <v>556604.1</v>
      </c>
      <c r="AG292" s="2128">
        <f t="shared" si="214"/>
        <v>-372.90000000002328</v>
      </c>
    </row>
    <row r="293" spans="1:33" ht="21.95" customHeight="1" x14ac:dyDescent="0.2">
      <c r="B293" s="2131"/>
      <c r="C293" s="3325"/>
      <c r="D293" s="3322"/>
      <c r="E293" s="3322"/>
      <c r="F293" s="3326"/>
      <c r="G293" s="1945"/>
      <c r="H293" s="3342"/>
      <c r="I293" s="3343"/>
      <c r="J293" s="1997"/>
      <c r="K293" s="2392"/>
      <c r="L293" s="1999"/>
      <c r="M293" s="1997"/>
      <c r="N293" s="3344"/>
      <c r="O293" s="3345"/>
      <c r="P293" s="3345"/>
      <c r="Q293" s="3343"/>
      <c r="R293" s="3346"/>
      <c r="S293" s="3347"/>
      <c r="V293" s="1958"/>
      <c r="W293" s="1958"/>
      <c r="X293" s="1958">
        <f t="shared" si="213"/>
        <v>0</v>
      </c>
      <c r="AD293" s="2127"/>
      <c r="AE293" s="2127"/>
      <c r="AG293" s="2128">
        <f t="shared" si="214"/>
        <v>0</v>
      </c>
    </row>
    <row r="294" spans="1:33" ht="21.95" customHeight="1" x14ac:dyDescent="0.2">
      <c r="B294" s="3265"/>
      <c r="C294" s="2164"/>
      <c r="D294" s="2165" t="s">
        <v>1786</v>
      </c>
      <c r="E294" s="2166"/>
      <c r="F294" s="2167"/>
      <c r="G294" s="1945"/>
      <c r="H294" s="2168"/>
      <c r="I294" s="2169"/>
      <c r="J294" s="1997"/>
      <c r="K294" s="2041"/>
      <c r="L294" s="2042"/>
      <c r="M294" s="1997"/>
      <c r="N294" s="2482"/>
      <c r="O294" s="2171"/>
      <c r="P294" s="2171"/>
      <c r="Q294" s="2169"/>
      <c r="R294" s="2172"/>
      <c r="S294" s="2173"/>
      <c r="V294" s="1958"/>
      <c r="W294" s="1958"/>
      <c r="X294" s="1958">
        <f t="shared" si="213"/>
        <v>0</v>
      </c>
      <c r="Y294" s="2127" t="s">
        <v>1786</v>
      </c>
      <c r="AC294" s="2127"/>
      <c r="AD294" s="2127"/>
      <c r="AE294" s="2127"/>
      <c r="AG294" s="2128">
        <f t="shared" si="214"/>
        <v>0</v>
      </c>
    </row>
    <row r="295" spans="1:33" ht="21.95" customHeight="1" x14ac:dyDescent="0.2">
      <c r="A295" s="1910">
        <f>satpek!B86</f>
        <v>67</v>
      </c>
      <c r="B295" s="2131">
        <v>1</v>
      </c>
      <c r="C295" s="2132"/>
      <c r="D295" s="2133" t="s">
        <v>1887</v>
      </c>
      <c r="E295" s="2133"/>
      <c r="F295" s="2134"/>
      <c r="G295" s="1945">
        <f>'[3]B.VOL RAB'!Q631</f>
        <v>7.6</v>
      </c>
      <c r="H295" s="2456" t="str">
        <f>VLOOKUP($A295,satpek!$B$20:$N$144,7,0)</f>
        <v>ttk</v>
      </c>
      <c r="I295" s="3281" t="str">
        <f>VLOOKUP($A295,satpek!$B$20:$N$144,5,0)</f>
        <v>An. Dihitung</v>
      </c>
      <c r="J295" s="1951">
        <f>VLOOKUP($A295,satpek!$B$20:$N$144,6,0)</f>
        <v>490227.9</v>
      </c>
      <c r="K295" s="3273"/>
      <c r="L295" s="1952">
        <f t="shared" ref="L295:L314" si="216">ROUND((G295*J295),2)</f>
        <v>3725732.04</v>
      </c>
      <c r="M295" s="1967"/>
      <c r="N295" s="2458">
        <f>VLOOKUP($A295,satpek!$B$20:$L$138,8,0)</f>
        <v>0.87737132056335432</v>
      </c>
      <c r="O295" s="1954">
        <f>VLOOKUP($A295,satpek!$B$20:$L$138,9,0)</f>
        <v>380630</v>
      </c>
      <c r="P295" s="1954">
        <f>VLOOKUP($A295,satpek!$B$20:$L$138,10,0)</f>
        <v>430111.9</v>
      </c>
      <c r="Q295" s="1952">
        <f t="shared" ref="Q295:Q314" si="217">O295*G295</f>
        <v>2892788</v>
      </c>
      <c r="R295" s="1952">
        <f t="shared" ref="R295:R314" si="218">N295*L295</f>
        <v>3268850.44</v>
      </c>
      <c r="S295" s="3282">
        <f t="shared" ref="S295:S314" si="219">L295-R295</f>
        <v>456881.60000000009</v>
      </c>
      <c r="V295" s="1958">
        <v>7.6</v>
      </c>
      <c r="W295" s="1958"/>
      <c r="X295" s="1958">
        <f t="shared" si="213"/>
        <v>0</v>
      </c>
      <c r="Y295" s="2127" t="s">
        <v>1887</v>
      </c>
      <c r="AC295" s="2127"/>
      <c r="AD295" s="2127"/>
      <c r="AE295" s="2127"/>
      <c r="AF295" s="1910">
        <v>167950.77</v>
      </c>
      <c r="AG295" s="2128">
        <f t="shared" si="214"/>
        <v>-322277.13</v>
      </c>
    </row>
    <row r="296" spans="1:33" ht="21.95" customHeight="1" x14ac:dyDescent="0.2">
      <c r="A296" s="1910">
        <f>satpek!B89</f>
        <v>70</v>
      </c>
      <c r="B296" s="2131">
        <f t="shared" ref="B296:B314" si="220">B295+1</f>
        <v>2</v>
      </c>
      <c r="C296" s="2132"/>
      <c r="D296" s="2133" t="str">
        <f>VLOOKUP($A296,satpek!$B$20:$N$144,2,0)</f>
        <v>Memasang instalasi titik lampu (kabel 2x1,5 mm) tanpa fitting</v>
      </c>
      <c r="E296" s="2133"/>
      <c r="F296" s="2134"/>
      <c r="G296" s="1945">
        <f>'[3]B.VOL RAB'!Q632</f>
        <v>12</v>
      </c>
      <c r="H296" s="2456" t="str">
        <f>VLOOKUP($A296,satpek!$B$20:$N$144,7,0)</f>
        <v>ttk</v>
      </c>
      <c r="I296" s="3281" t="str">
        <f>VLOOKUP($A296,satpek!$B$20:$N$144,5,0)</f>
        <v>An. Dihitung</v>
      </c>
      <c r="J296" s="1951">
        <f>VLOOKUP($A296,satpek!$B$20:$N$144,6,0)</f>
        <v>115332.32</v>
      </c>
      <c r="K296" s="3273"/>
      <c r="L296" s="1952">
        <f t="shared" si="216"/>
        <v>1383987.84</v>
      </c>
      <c r="M296" s="1967"/>
      <c r="N296" s="2458">
        <f>VLOOKUP($A296,satpek!$B$20:$L$138,8,0)</f>
        <v>0.80012051261953288</v>
      </c>
      <c r="O296" s="1954">
        <f>VLOOKUP($A296,satpek!$B$20:$L$138,9,0)</f>
        <v>81663.5</v>
      </c>
      <c r="P296" s="1954">
        <f>VLOOKUP($A296,satpek!$B$20:$L$138,10,0)</f>
        <v>92279.755000000005</v>
      </c>
      <c r="Q296" s="1952">
        <f t="shared" si="217"/>
        <v>979962</v>
      </c>
      <c r="R296" s="1952">
        <f t="shared" si="218"/>
        <v>1107357.06</v>
      </c>
      <c r="S296" s="3282">
        <f t="shared" si="219"/>
        <v>276630.78000000003</v>
      </c>
      <c r="V296" s="1958">
        <v>12</v>
      </c>
      <c r="W296" s="1958"/>
      <c r="X296" s="1958">
        <f t="shared" si="213"/>
        <v>0</v>
      </c>
      <c r="Y296" s="2127" t="s">
        <v>1917</v>
      </c>
      <c r="AC296" s="2127"/>
      <c r="AD296" s="2127"/>
      <c r="AE296" s="2127"/>
      <c r="AF296" s="1910">
        <v>215790.45</v>
      </c>
      <c r="AG296" s="2128">
        <f t="shared" si="214"/>
        <v>100458.13</v>
      </c>
    </row>
    <row r="297" spans="1:33" ht="21.95" customHeight="1" x14ac:dyDescent="0.2">
      <c r="A297" s="1910">
        <f>satpek!B91</f>
        <v>72</v>
      </c>
      <c r="B297" s="2131">
        <f t="shared" si="220"/>
        <v>3</v>
      </c>
      <c r="C297" s="2132"/>
      <c r="D297" s="2133" t="str">
        <f>VLOOKUP($A297,satpek!$B$20:$N$144,2,0)</f>
        <v>Memasang Instalasi titik stop kontak (kabel 3x2,5 mm)</v>
      </c>
      <c r="E297" s="2133"/>
      <c r="F297" s="2134"/>
      <c r="G297" s="1945">
        <f>'[3]B.VOL RAB'!Q633</f>
        <v>42</v>
      </c>
      <c r="H297" s="2456" t="str">
        <f>VLOOKUP($A297,satpek!$B$20:$N$144,7,0)</f>
        <v>ttk</v>
      </c>
      <c r="I297" s="3281" t="str">
        <f>VLOOKUP($A297,satpek!$B$20:$N$144,5,0)</f>
        <v>An. Dihitung</v>
      </c>
      <c r="J297" s="1951">
        <f>VLOOKUP($A297,satpek!$B$20:$N$144,6,0)</f>
        <v>145842.32</v>
      </c>
      <c r="K297" s="3273"/>
      <c r="L297" s="1952">
        <f t="shared" si="216"/>
        <v>6125377.4400000004</v>
      </c>
      <c r="M297" s="1967"/>
      <c r="N297" s="2458">
        <f>VLOOKUP($A297,satpek!$B$20:$L$138,8,0)</f>
        <v>0.8179817764829852</v>
      </c>
      <c r="O297" s="1954">
        <f>VLOOKUP($A297,satpek!$B$20:$L$138,9,0)</f>
        <v>105572</v>
      </c>
      <c r="P297" s="1954">
        <f>VLOOKUP($A297,satpek!$B$20:$L$138,10,0)</f>
        <v>119296.36</v>
      </c>
      <c r="Q297" s="1952">
        <f t="shared" si="217"/>
        <v>4434024</v>
      </c>
      <c r="R297" s="1952">
        <f t="shared" si="218"/>
        <v>5010447.12</v>
      </c>
      <c r="S297" s="3282">
        <f t="shared" si="219"/>
        <v>1114930.3200000003</v>
      </c>
      <c r="V297" s="1958">
        <v>42</v>
      </c>
      <c r="W297" s="1958"/>
      <c r="X297" s="1958">
        <f t="shared" si="213"/>
        <v>0</v>
      </c>
      <c r="Y297" s="2127" t="s">
        <v>1918</v>
      </c>
      <c r="AD297" s="2127"/>
      <c r="AE297" s="2127"/>
      <c r="AF297" s="1910">
        <v>249351.45</v>
      </c>
      <c r="AG297" s="2128">
        <f t="shared" si="214"/>
        <v>103509.13</v>
      </c>
    </row>
    <row r="298" spans="1:33" ht="21.95" customHeight="1" x14ac:dyDescent="0.2">
      <c r="A298" s="1910">
        <f>A297</f>
        <v>72</v>
      </c>
      <c r="B298" s="2131">
        <f t="shared" si="220"/>
        <v>4</v>
      </c>
      <c r="C298" s="2132"/>
      <c r="D298" s="2133" t="s">
        <v>1874</v>
      </c>
      <c r="E298" s="2133"/>
      <c r="F298" s="2134"/>
      <c r="G298" s="1945">
        <f>'[3]B.VOL RAB'!Q634</f>
        <v>12</v>
      </c>
      <c r="H298" s="2456" t="str">
        <f>VLOOKUP($A298,satpek!$B$20:$N$144,7,0)</f>
        <v>ttk</v>
      </c>
      <c r="I298" s="3281" t="str">
        <f>VLOOKUP($A298,satpek!$B$20:$N$144,5,0)</f>
        <v>An. Dihitung</v>
      </c>
      <c r="J298" s="1951">
        <f>VLOOKUP($A298,satpek!$B$20:$N$144,6,0)</f>
        <v>145842.32</v>
      </c>
      <c r="K298" s="3273"/>
      <c r="L298" s="1952">
        <f t="shared" si="216"/>
        <v>1750107.84</v>
      </c>
      <c r="M298" s="1967"/>
      <c r="N298" s="2458">
        <f>VLOOKUP($A298,satpek!$B$20:$L$138,8,0)</f>
        <v>0.8179817764829852</v>
      </c>
      <c r="O298" s="1954">
        <f>VLOOKUP($A298,satpek!$B$20:$L$138,9,0)</f>
        <v>105572</v>
      </c>
      <c r="P298" s="1954">
        <f>VLOOKUP($A298,satpek!$B$20:$L$138,10,0)</f>
        <v>119296.36</v>
      </c>
      <c r="Q298" s="1952">
        <f t="shared" si="217"/>
        <v>1266864</v>
      </c>
      <c r="R298" s="1952">
        <f t="shared" si="218"/>
        <v>1431556.32</v>
      </c>
      <c r="S298" s="3282">
        <f t="shared" si="219"/>
        <v>318551.52</v>
      </c>
      <c r="V298" s="1958">
        <v>12</v>
      </c>
      <c r="W298" s="1958"/>
      <c r="X298" s="1958">
        <f t="shared" si="213"/>
        <v>0</v>
      </c>
      <c r="Y298" s="2127" t="s">
        <v>1874</v>
      </c>
      <c r="AD298" s="2127"/>
      <c r="AE298" s="2127"/>
      <c r="AF298" s="1910">
        <v>249351.45</v>
      </c>
      <c r="AG298" s="2128">
        <f t="shared" si="214"/>
        <v>103509.13</v>
      </c>
    </row>
    <row r="299" spans="1:33" ht="21.95" customHeight="1" x14ac:dyDescent="0.2">
      <c r="A299" s="1910">
        <f>satpek!B92</f>
        <v>73</v>
      </c>
      <c r="B299" s="2131">
        <f t="shared" si="220"/>
        <v>5</v>
      </c>
      <c r="C299" s="2132"/>
      <c r="D299" s="2133" t="str">
        <f>VLOOKUP($A299,satpek!$B$20:$N$144,2,0)</f>
        <v>Instalasi titik Telephone 2 pair</v>
      </c>
      <c r="E299" s="2133"/>
      <c r="F299" s="2134"/>
      <c r="G299" s="1945">
        <f>'[3]B.VOL RAB'!Q637</f>
        <v>28</v>
      </c>
      <c r="H299" s="2456" t="str">
        <f>VLOOKUP($A299,satpek!$B$20:$N$144,7,0)</f>
        <v>ttk</v>
      </c>
      <c r="I299" s="3281" t="str">
        <f>VLOOKUP($A299,satpek!$B$20:$N$144,5,0)</f>
        <v>An. Dihitung</v>
      </c>
      <c r="J299" s="1951">
        <f>VLOOKUP($A299,satpek!$B$20:$N$144,6,0)</f>
        <v>93371.9</v>
      </c>
      <c r="K299" s="3273"/>
      <c r="L299" s="1952">
        <f t="shared" si="216"/>
        <v>2614413.2000000002</v>
      </c>
      <c r="M299" s="1967"/>
      <c r="N299" s="2458">
        <f>VLOOKUP($A299,satpek!$B$20:$L$138,8,0)</f>
        <v>0.9071039574004599</v>
      </c>
      <c r="O299" s="1954">
        <f>VLOOKUP($A299,satpek!$B$20:$L$138,9,0)</f>
        <v>74954</v>
      </c>
      <c r="P299" s="1954">
        <f>VLOOKUP($A299,satpek!$B$20:$L$138,10,0)</f>
        <v>84698.02</v>
      </c>
      <c r="Q299" s="1952">
        <f t="shared" si="217"/>
        <v>2098712</v>
      </c>
      <c r="R299" s="1952">
        <f t="shared" si="218"/>
        <v>2371544.56</v>
      </c>
      <c r="S299" s="3282">
        <f t="shared" si="219"/>
        <v>242868.64000000013</v>
      </c>
      <c r="V299" s="1958">
        <v>28</v>
      </c>
      <c r="W299" s="1958"/>
      <c r="X299" s="1958">
        <f t="shared" si="213"/>
        <v>0</v>
      </c>
      <c r="Y299" s="2127" t="s">
        <v>1875</v>
      </c>
      <c r="AD299" s="2127"/>
      <c r="AE299" s="2127"/>
      <c r="AF299" s="1910">
        <v>92208</v>
      </c>
      <c r="AG299" s="2128">
        <f t="shared" si="214"/>
        <v>-1163.8999999999942</v>
      </c>
    </row>
    <row r="300" spans="1:33" ht="21.95" customHeight="1" x14ac:dyDescent="0.2">
      <c r="A300" s="1910">
        <f>A279</f>
        <v>74</v>
      </c>
      <c r="B300" s="2131">
        <f t="shared" si="220"/>
        <v>6</v>
      </c>
      <c r="C300" s="2132"/>
      <c r="D300" s="2133" t="str">
        <f>VLOOKUP($A300,satpek!$B$20:$N$144,2,0)</f>
        <v>Instalasi titik Data CAT 6</v>
      </c>
      <c r="E300" s="2133"/>
      <c r="F300" s="2134"/>
      <c r="G300" s="1945">
        <f>'[3]B.VOL RAB'!Q638</f>
        <v>12</v>
      </c>
      <c r="H300" s="2456" t="str">
        <f>VLOOKUP($A300,satpek!$B$20:$N$144,7,0)</f>
        <v>ttk</v>
      </c>
      <c r="I300" s="3281" t="str">
        <f>VLOOKUP($A300,satpek!$B$20:$N$144,5,0)</f>
        <v>An. Dihitung</v>
      </c>
      <c r="J300" s="1951">
        <f>VLOOKUP($A300,satpek!$B$20:$N$144,6,0)</f>
        <v>140437.33000000002</v>
      </c>
      <c r="K300" s="3273"/>
      <c r="L300" s="1952">
        <f t="shared" si="216"/>
        <v>1685247.96</v>
      </c>
      <c r="M300" s="1967"/>
      <c r="N300" s="2458">
        <f>VLOOKUP($A300,satpek!$B$20:$L$138,8,0)</f>
        <v>0.88809056240536555</v>
      </c>
      <c r="O300" s="1954">
        <f>VLOOKUP($A300,satpek!$B$20:$L$138,9,0)</f>
        <v>110372.62333</v>
      </c>
      <c r="P300" s="1954">
        <f>VLOOKUP($A300,satpek!$B$20:$L$138,10,0)</f>
        <v>124721.0643629</v>
      </c>
      <c r="Q300" s="1952">
        <f t="shared" si="217"/>
        <v>1324471.4799600001</v>
      </c>
      <c r="R300" s="1952">
        <f t="shared" si="218"/>
        <v>1496652.808588895</v>
      </c>
      <c r="S300" s="3282">
        <f t="shared" si="219"/>
        <v>188595.15141110495</v>
      </c>
      <c r="V300" s="1958">
        <v>12</v>
      </c>
      <c r="W300" s="1958"/>
      <c r="X300" s="1958">
        <f t="shared" si="213"/>
        <v>0</v>
      </c>
      <c r="Y300" s="2127" t="s">
        <v>1876</v>
      </c>
      <c r="AD300" s="2127"/>
      <c r="AE300" s="2127"/>
      <c r="AF300" s="1910">
        <v>139273.43</v>
      </c>
      <c r="AG300" s="2128">
        <f t="shared" si="214"/>
        <v>-1163.9000000000233</v>
      </c>
    </row>
    <row r="301" spans="1:33" ht="21.95" customHeight="1" x14ac:dyDescent="0.2">
      <c r="A301" s="1910">
        <f>satpek!B94</f>
        <v>75</v>
      </c>
      <c r="B301" s="2131">
        <f t="shared" si="220"/>
        <v>7</v>
      </c>
      <c r="C301" s="2132"/>
      <c r="D301" s="2133" t="str">
        <f>VLOOKUP($A301,satpek!$B$20:$N$144,2,0)</f>
        <v>Memasang saklar ganda</v>
      </c>
      <c r="E301" s="2133"/>
      <c r="F301" s="2134"/>
      <c r="G301" s="1945">
        <f>'[3]B.VOL RAB'!Q637</f>
        <v>28</v>
      </c>
      <c r="H301" s="2456" t="str">
        <f>VLOOKUP($A301,satpek!$B$20:$N$144,7,0)</f>
        <v>bh</v>
      </c>
      <c r="I301" s="3281" t="str">
        <f>VLOOKUP($A301,satpek!$B$20:$N$144,5,0)</f>
        <v>An. Dihitung</v>
      </c>
      <c r="J301" s="1951">
        <f>VLOOKUP($A301,satpek!$B$20:$N$144,6,0)</f>
        <v>49855.6</v>
      </c>
      <c r="K301" s="3273"/>
      <c r="L301" s="1952">
        <f t="shared" si="216"/>
        <v>1395956.8</v>
      </c>
      <c r="M301" s="1967"/>
      <c r="N301" s="2458">
        <f>VLOOKUP($A301,satpek!$B$20:$L$138,8,0)</f>
        <v>0.55736627379873072</v>
      </c>
      <c r="O301" s="1954">
        <f>VLOOKUP($A301,satpek!$B$20:$L$138,9,0)</f>
        <v>24591</v>
      </c>
      <c r="P301" s="1954">
        <f>VLOOKUP($A301,satpek!$B$20:$L$138,10,0)</f>
        <v>27787.83</v>
      </c>
      <c r="Q301" s="1952">
        <f t="shared" si="217"/>
        <v>688548</v>
      </c>
      <c r="R301" s="1952">
        <f t="shared" si="218"/>
        <v>778059.24</v>
      </c>
      <c r="S301" s="3282">
        <f t="shared" si="219"/>
        <v>617897.56000000006</v>
      </c>
      <c r="V301" s="1958">
        <v>28</v>
      </c>
      <c r="W301" s="1958"/>
      <c r="X301" s="1958">
        <f t="shared" si="213"/>
        <v>0</v>
      </c>
      <c r="Y301" s="2127" t="s">
        <v>372</v>
      </c>
      <c r="AD301" s="2127"/>
      <c r="AE301" s="2127"/>
      <c r="AF301" s="1910">
        <v>49482.7</v>
      </c>
      <c r="AG301" s="2128">
        <f t="shared" si="214"/>
        <v>-372.90000000000146</v>
      </c>
    </row>
    <row r="302" spans="1:33" ht="21.95" customHeight="1" x14ac:dyDescent="0.2">
      <c r="A302" s="1910">
        <f>satpek!B95</f>
        <v>76</v>
      </c>
      <c r="B302" s="2131">
        <f t="shared" si="220"/>
        <v>8</v>
      </c>
      <c r="C302" s="2132"/>
      <c r="D302" s="2133" t="str">
        <f>VLOOKUP($A302,satpek!$B$20:$N$144,2,0)</f>
        <v>Memasang saklar tunggal</v>
      </c>
      <c r="E302" s="2133"/>
      <c r="F302" s="2134"/>
      <c r="G302" s="1945">
        <f>'[3]B.VOL RAB'!Q638</f>
        <v>12</v>
      </c>
      <c r="H302" s="2456" t="str">
        <f>VLOOKUP($A302,satpek!$B$20:$N$144,7,0)</f>
        <v>bh</v>
      </c>
      <c r="I302" s="3281" t="str">
        <f>VLOOKUP($A302,satpek!$B$20:$N$144,5,0)</f>
        <v>An. Dihitung</v>
      </c>
      <c r="J302" s="1951">
        <f>VLOOKUP($A302,satpek!$B$20:$N$144,6,0)</f>
        <v>41826.949999999997</v>
      </c>
      <c r="K302" s="3273"/>
      <c r="L302" s="1952">
        <f t="shared" si="216"/>
        <v>501923.4</v>
      </c>
      <c r="M302" s="1967"/>
      <c r="N302" s="2458">
        <f>VLOOKUP($A302,satpek!$B$20:$L$138,8,0)</f>
        <v>0.5819465081723626</v>
      </c>
      <c r="O302" s="1954">
        <f>VLOOKUP($A302,satpek!$B$20:$L$138,9,0)</f>
        <v>21540.75</v>
      </c>
      <c r="P302" s="1954">
        <f>VLOOKUP($A302,satpek!$B$20:$L$138,10,0)</f>
        <v>24341.047500000001</v>
      </c>
      <c r="Q302" s="1952">
        <f t="shared" si="217"/>
        <v>258489</v>
      </c>
      <c r="R302" s="1952">
        <f t="shared" si="218"/>
        <v>292092.57</v>
      </c>
      <c r="S302" s="3282">
        <f t="shared" si="219"/>
        <v>209830.83000000002</v>
      </c>
      <c r="V302" s="1958">
        <v>12</v>
      </c>
      <c r="W302" s="1958"/>
      <c r="X302" s="1958">
        <f t="shared" si="213"/>
        <v>0</v>
      </c>
      <c r="Y302" s="2127" t="s">
        <v>373</v>
      </c>
      <c r="AD302" s="2127"/>
      <c r="AE302" s="2127"/>
      <c r="AF302" s="1910">
        <v>41454.050000000003</v>
      </c>
      <c r="AG302" s="2128">
        <f t="shared" si="214"/>
        <v>-372.89999999999418</v>
      </c>
    </row>
    <row r="303" spans="1:33" ht="21.95" customHeight="1" x14ac:dyDescent="0.2">
      <c r="A303" s="1910">
        <f>satpek!B96</f>
        <v>77</v>
      </c>
      <c r="B303" s="2131">
        <f t="shared" si="220"/>
        <v>9</v>
      </c>
      <c r="C303" s="2132"/>
      <c r="D303" s="2133" t="str">
        <f>VLOOKUP($A303,satpek!$B$20:$N$144,2,0)</f>
        <v>Memasang stop kontak</v>
      </c>
      <c r="E303" s="2133"/>
      <c r="F303" s="2134"/>
      <c r="G303" s="1945">
        <f>'[3]B.VOL RAB'!Q639</f>
        <v>42</v>
      </c>
      <c r="H303" s="2456" t="str">
        <f>VLOOKUP($A303,satpek!$B$20:$N$144,7,0)</f>
        <v>bh</v>
      </c>
      <c r="I303" s="3281" t="str">
        <f>VLOOKUP($A303,satpek!$B$20:$N$144,5,0)</f>
        <v>An. Dihitung</v>
      </c>
      <c r="J303" s="1951">
        <f>VLOOKUP($A303,satpek!$B$20:$N$144,6,0)</f>
        <v>37730.699999999997</v>
      </c>
      <c r="K303" s="3273"/>
      <c r="L303" s="1952">
        <f t="shared" si="216"/>
        <v>1584689.4</v>
      </c>
      <c r="M303" s="1967"/>
      <c r="N303" s="2458">
        <f>VLOOKUP($A303,satpek!$B$20:$L$138,8,0)</f>
        <v>0.59851752021563343</v>
      </c>
      <c r="O303" s="1954">
        <f>VLOOKUP($A303,satpek!$B$20:$L$138,9,0)</f>
        <v>19984.5</v>
      </c>
      <c r="P303" s="1954">
        <f>VLOOKUP($A303,satpek!$B$20:$L$138,10,0)</f>
        <v>22582.485000000001</v>
      </c>
      <c r="Q303" s="1952">
        <f t="shared" si="217"/>
        <v>839349</v>
      </c>
      <c r="R303" s="1952">
        <f t="shared" si="218"/>
        <v>948464.37</v>
      </c>
      <c r="S303" s="3282">
        <f t="shared" si="219"/>
        <v>636225.02999999991</v>
      </c>
      <c r="V303" s="1958">
        <v>42</v>
      </c>
      <c r="W303" s="1958"/>
      <c r="X303" s="1958">
        <f t="shared" si="213"/>
        <v>0</v>
      </c>
      <c r="Y303" s="2127" t="s">
        <v>374</v>
      </c>
      <c r="AD303" s="2127"/>
      <c r="AE303" s="2127"/>
      <c r="AF303" s="1910">
        <v>37357.800000000003</v>
      </c>
      <c r="AG303" s="2128">
        <f t="shared" si="214"/>
        <v>-372.89999999999418</v>
      </c>
    </row>
    <row r="304" spans="1:33" ht="21.95" customHeight="1" x14ac:dyDescent="0.2">
      <c r="A304" s="1910">
        <f>satpek!B97</f>
        <v>78</v>
      </c>
      <c r="B304" s="2131">
        <f t="shared" si="220"/>
        <v>10</v>
      </c>
      <c r="C304" s="2132"/>
      <c r="D304" s="2133" t="str">
        <f>VLOOKUP($A304,satpek!$B$20:$N$144,2,0)</f>
        <v xml:space="preserve">Memasang stop kontak AC </v>
      </c>
      <c r="E304" s="2133"/>
      <c r="F304" s="2134"/>
      <c r="G304" s="1945">
        <f>'[3]B.VOL RAB'!Q640</f>
        <v>12</v>
      </c>
      <c r="H304" s="2456" t="str">
        <f>VLOOKUP($A304,satpek!$B$20:$N$144,7,0)</f>
        <v>bh</v>
      </c>
      <c r="I304" s="3281" t="str">
        <f>VLOOKUP($A304,satpek!$B$20:$N$144,5,0)</f>
        <v>An. Dihitung</v>
      </c>
      <c r="J304" s="1951">
        <f>VLOOKUP($A304,satpek!$B$20:$N$144,6,0)</f>
        <v>115836.3</v>
      </c>
      <c r="K304" s="3273"/>
      <c r="L304" s="1952">
        <f t="shared" si="216"/>
        <v>1390035.6</v>
      </c>
      <c r="M304" s="1967"/>
      <c r="N304" s="2458">
        <f>VLOOKUP($A304,satpek!$B$20:$L$138,8,0)</f>
        <v>0.46296458882060287</v>
      </c>
      <c r="O304" s="1954">
        <f>VLOOKUP($A304,satpek!$B$20:$L$138,9,0)</f>
        <v>47458.5</v>
      </c>
      <c r="P304" s="1954">
        <f>VLOOKUP($A304,satpek!$B$20:$L$138,10,0)</f>
        <v>53628.105000000003</v>
      </c>
      <c r="Q304" s="1952">
        <f t="shared" si="217"/>
        <v>569502</v>
      </c>
      <c r="R304" s="1952">
        <f t="shared" si="218"/>
        <v>643537.26</v>
      </c>
      <c r="S304" s="3282">
        <f t="shared" si="219"/>
        <v>746498.34000000008</v>
      </c>
      <c r="V304" s="1958">
        <v>12</v>
      </c>
      <c r="W304" s="1958"/>
      <c r="X304" s="1958">
        <f t="shared" si="213"/>
        <v>0</v>
      </c>
      <c r="Y304" s="2127" t="s">
        <v>1877</v>
      </c>
      <c r="AD304" s="2127"/>
      <c r="AE304" s="2127"/>
      <c r="AF304" s="1910">
        <v>115463.4</v>
      </c>
      <c r="AG304" s="2128">
        <f t="shared" si="214"/>
        <v>-372.90000000000873</v>
      </c>
    </row>
    <row r="305" spans="1:33" ht="21.95" customHeight="1" x14ac:dyDescent="0.2">
      <c r="A305" s="1910">
        <f>satpek!$B$98</f>
        <v>79</v>
      </c>
      <c r="B305" s="2131">
        <f t="shared" si="220"/>
        <v>11</v>
      </c>
      <c r="C305" s="2132"/>
      <c r="D305" s="2133" t="str">
        <f>VLOOKUP($A305,satpek!$B$20:$N$144,2,0)</f>
        <v>Memasang stop kontak outlet Telephone</v>
      </c>
      <c r="E305" s="2133"/>
      <c r="F305" s="2134"/>
      <c r="G305" s="1945">
        <f>'[3]B.VOL RAB'!Q641</f>
        <v>4</v>
      </c>
      <c r="H305" s="2456" t="str">
        <f>VLOOKUP($A305,satpek!$B$20:$N$144,7,0)</f>
        <v>bh</v>
      </c>
      <c r="I305" s="3281" t="str">
        <f>VLOOKUP($A305,satpek!$B$20:$N$144,5,0)</f>
        <v>An. Dihitung</v>
      </c>
      <c r="J305" s="1951">
        <f>VLOOKUP($A305,satpek!$B$20:$N$144,6,0)</f>
        <v>82122.75</v>
      </c>
      <c r="K305" s="3273"/>
      <c r="L305" s="1952">
        <f t="shared" si="216"/>
        <v>328491</v>
      </c>
      <c r="M305" s="1967"/>
      <c r="N305" s="2458">
        <f>VLOOKUP($A305,satpek!$B$20:$L$138,8,0)</f>
        <v>0.48653250773993806</v>
      </c>
      <c r="O305" s="1954">
        <f>VLOOKUP($A305,satpek!$B$20:$L$138,9,0)</f>
        <v>35358.75</v>
      </c>
      <c r="P305" s="1954">
        <f>VLOOKUP($A305,satpek!$B$20:$L$138,10,0)</f>
        <v>39955.387499999997</v>
      </c>
      <c r="Q305" s="1952">
        <f t="shared" si="217"/>
        <v>141435</v>
      </c>
      <c r="R305" s="1952">
        <f t="shared" si="218"/>
        <v>159821.54999999999</v>
      </c>
      <c r="S305" s="3282">
        <f t="shared" si="219"/>
        <v>168669.45</v>
      </c>
      <c r="V305" s="1958">
        <v>4</v>
      </c>
      <c r="W305" s="1958"/>
      <c r="X305" s="1958">
        <f t="shared" si="213"/>
        <v>0</v>
      </c>
      <c r="Y305" s="2127" t="s">
        <v>1878</v>
      </c>
      <c r="AD305" s="2127"/>
      <c r="AE305" s="2127"/>
      <c r="AF305" s="1910">
        <v>81749.850000000006</v>
      </c>
      <c r="AG305" s="2128">
        <f t="shared" si="214"/>
        <v>-372.89999999999418</v>
      </c>
    </row>
    <row r="306" spans="1:33" ht="21.95" customHeight="1" x14ac:dyDescent="0.2">
      <c r="A306" s="1910">
        <f>satpek!B99</f>
        <v>80</v>
      </c>
      <c r="B306" s="2131">
        <f t="shared" si="220"/>
        <v>12</v>
      </c>
      <c r="C306" s="2132"/>
      <c r="D306" s="2133" t="str">
        <f>VLOOKUP($A306,satpek!$B$20:$N$144,2,0)</f>
        <v>Memasang stop kontak outlet Data</v>
      </c>
      <c r="E306" s="2133"/>
      <c r="F306" s="2134"/>
      <c r="G306" s="1945">
        <f>'[3]B.VOL RAB'!Q642</f>
        <v>8</v>
      </c>
      <c r="H306" s="2456" t="str">
        <f>VLOOKUP($A306,satpek!$B$20:$N$144,7,0)</f>
        <v>bh</v>
      </c>
      <c r="I306" s="3281" t="str">
        <f>VLOOKUP($A306,satpek!$B$20:$N$144,5,0)</f>
        <v>An. Dihitung</v>
      </c>
      <c r="J306" s="1951">
        <f>VLOOKUP($A306,satpek!$B$20:$N$144,6,0)</f>
        <v>136278</v>
      </c>
      <c r="K306" s="3273"/>
      <c r="L306" s="1952">
        <f t="shared" si="216"/>
        <v>1090224</v>
      </c>
      <c r="M306" s="1967"/>
      <c r="N306" s="2458">
        <f>VLOOKUP($A306,satpek!$B$20:$L$138,8,0)</f>
        <v>0.45435323383084575</v>
      </c>
      <c r="O306" s="1954">
        <f>VLOOKUP($A306,satpek!$B$20:$L$138,9,0)</f>
        <v>54795</v>
      </c>
      <c r="P306" s="1954">
        <f>VLOOKUP($A306,satpek!$B$20:$L$138,10,0)</f>
        <v>61918.35</v>
      </c>
      <c r="Q306" s="1952">
        <f t="shared" si="217"/>
        <v>438360</v>
      </c>
      <c r="R306" s="1952">
        <f t="shared" si="218"/>
        <v>495346.8</v>
      </c>
      <c r="S306" s="3282">
        <f t="shared" si="219"/>
        <v>594877.19999999995</v>
      </c>
      <c r="V306" s="1958">
        <v>8</v>
      </c>
      <c r="W306" s="1958"/>
      <c r="X306" s="1958">
        <f t="shared" si="213"/>
        <v>0</v>
      </c>
      <c r="Y306" s="2127" t="s">
        <v>1879</v>
      </c>
      <c r="AD306" s="2127"/>
      <c r="AE306" s="2127"/>
      <c r="AF306" s="1910">
        <v>135905.1</v>
      </c>
      <c r="AG306" s="2128">
        <f t="shared" si="214"/>
        <v>-372.89999999999418</v>
      </c>
    </row>
    <row r="307" spans="1:33" ht="21.95" customHeight="1" x14ac:dyDescent="0.2">
      <c r="A307" s="1910">
        <f>satpek!B100</f>
        <v>81</v>
      </c>
      <c r="B307" s="2131">
        <f t="shared" si="220"/>
        <v>13</v>
      </c>
      <c r="C307" s="2132"/>
      <c r="D307" s="2133" t="str">
        <f>VLOOKUP($A307,satpek!$B$20:$N$144,2,0)</f>
        <v>Memasang downlight LED 10 watt tipe inbow</v>
      </c>
      <c r="E307" s="2133"/>
      <c r="F307" s="2134"/>
      <c r="G307" s="1945">
        <f>'[3]B.VOL RAB'!Q643</f>
        <v>12</v>
      </c>
      <c r="H307" s="2456" t="str">
        <f>VLOOKUP($A307,satpek!$B$20:$N$144,7,0)</f>
        <v>ttk</v>
      </c>
      <c r="I307" s="3281" t="str">
        <f>VLOOKUP($A307,satpek!$B$20:$N$144,5,0)</f>
        <v>An. Dihitung</v>
      </c>
      <c r="J307" s="1951">
        <f>VLOOKUP($A307,satpek!$B$20:$N$144,6,0)</f>
        <v>124333.9</v>
      </c>
      <c r="K307" s="3273"/>
      <c r="L307" s="1952">
        <f t="shared" si="216"/>
        <v>1492006.8</v>
      </c>
      <c r="M307" s="1967"/>
      <c r="N307" s="2458">
        <f>VLOOKUP($A307,satpek!$B$20:$L$138,8,0)</f>
        <v>0.71568663091884033</v>
      </c>
      <c r="O307" s="1954">
        <f>VLOOKUP($A307,satpek!$B$20:$L$138,9,0)</f>
        <v>78747</v>
      </c>
      <c r="P307" s="1954">
        <f>VLOOKUP($A307,satpek!$B$20:$L$138,10,0)</f>
        <v>88984.11</v>
      </c>
      <c r="Q307" s="1952">
        <f t="shared" si="217"/>
        <v>944964</v>
      </c>
      <c r="R307" s="1952">
        <f t="shared" si="218"/>
        <v>1067809.32</v>
      </c>
      <c r="S307" s="3282">
        <f t="shared" si="219"/>
        <v>424197.48</v>
      </c>
      <c r="V307" s="1958">
        <v>12</v>
      </c>
      <c r="W307" s="1958"/>
      <c r="X307" s="1958">
        <f t="shared" si="213"/>
        <v>0</v>
      </c>
      <c r="Y307" s="2127" t="s">
        <v>1880</v>
      </c>
      <c r="AD307" s="2127"/>
      <c r="AE307" s="2127"/>
      <c r="AF307" s="1910">
        <v>123237.8</v>
      </c>
      <c r="AG307" s="2128">
        <f t="shared" si="214"/>
        <v>-1096.0999999999913</v>
      </c>
    </row>
    <row r="308" spans="1:33" ht="21.95" customHeight="1" x14ac:dyDescent="0.2">
      <c r="A308" s="1910">
        <f>satpek!B101</f>
        <v>82</v>
      </c>
      <c r="B308" s="2131">
        <f t="shared" si="220"/>
        <v>14</v>
      </c>
      <c r="C308" s="2132"/>
      <c r="D308" s="2133" t="str">
        <f>VLOOKUP($A308,satpek!$B$20:$N$144,2,0)</f>
        <v>Memasang downlight LED 17 watt tipe inbow</v>
      </c>
      <c r="E308" s="2133"/>
      <c r="F308" s="2134"/>
      <c r="G308" s="1945">
        <f>'[3]B.VOL RAB'!Q644</f>
        <v>116</v>
      </c>
      <c r="H308" s="2456" t="str">
        <f>VLOOKUP($A308,satpek!$B$20:$N$144,7,0)</f>
        <v>ttk</v>
      </c>
      <c r="I308" s="3281" t="str">
        <f>VLOOKUP($A308,satpek!$B$20:$N$144,5,0)</f>
        <v>An. Dihitung</v>
      </c>
      <c r="J308" s="1951">
        <f>VLOOKUP($A308,satpek!$B$20:$N$144,6,0)</f>
        <v>186709.9</v>
      </c>
      <c r="K308" s="3273"/>
      <c r="L308" s="1952">
        <f t="shared" si="216"/>
        <v>21658348.399999999</v>
      </c>
      <c r="M308" s="1967"/>
      <c r="N308" s="2458">
        <f>VLOOKUP($A308,satpek!$B$20:$L$138,8,0)</f>
        <v>0.68084367245657573</v>
      </c>
      <c r="O308" s="1954">
        <f>VLOOKUP($A308,satpek!$B$20:$L$138,9,0)</f>
        <v>112495.8</v>
      </c>
      <c r="P308" s="1954">
        <f>VLOOKUP($A308,satpek!$B$20:$L$138,10,0)</f>
        <v>127120.254</v>
      </c>
      <c r="Q308" s="1952">
        <f t="shared" si="217"/>
        <v>13049512.800000001</v>
      </c>
      <c r="R308" s="1952">
        <f t="shared" si="218"/>
        <v>14745949.464</v>
      </c>
      <c r="S308" s="3282">
        <f t="shared" si="219"/>
        <v>6912398.9359999988</v>
      </c>
      <c r="V308" s="1958">
        <v>116</v>
      </c>
      <c r="W308" s="1958"/>
      <c r="X308" s="1958">
        <f t="shared" si="213"/>
        <v>0</v>
      </c>
      <c r="Y308" s="2127" t="s">
        <v>1881</v>
      </c>
      <c r="AD308" s="2127"/>
      <c r="AE308" s="2127"/>
      <c r="AF308" s="1910">
        <v>185613.8</v>
      </c>
      <c r="AG308" s="2128">
        <f t="shared" si="214"/>
        <v>-1096.1000000000058</v>
      </c>
    </row>
    <row r="309" spans="1:33" ht="21.95" customHeight="1" x14ac:dyDescent="0.2">
      <c r="A309" s="1910">
        <f>satpek!B103</f>
        <v>84</v>
      </c>
      <c r="B309" s="2131">
        <f t="shared" si="220"/>
        <v>15</v>
      </c>
      <c r="C309" s="2132"/>
      <c r="D309" s="2133" t="str">
        <f>VLOOKUP($A309,satpek!$B$20:$N$144,2,0)</f>
        <v>Memasang kabel tray galvanis</v>
      </c>
      <c r="E309" s="2133"/>
      <c r="F309" s="2134"/>
      <c r="G309" s="1945">
        <f>'[3]B.VOL RAB'!Q645</f>
        <v>55</v>
      </c>
      <c r="H309" s="2456" t="str">
        <f>VLOOKUP($A309,satpek!$B$20:$N$144,7,0)</f>
        <v>m'</v>
      </c>
      <c r="I309" s="3281" t="str">
        <f>VLOOKUP($A309,satpek!$B$20:$N$144,5,0)</f>
        <v>An. Dihitung</v>
      </c>
      <c r="J309" s="1951">
        <f>VLOOKUP($A309,satpek!$B$20:$N$144,6,0)</f>
        <v>274370.78000000003</v>
      </c>
      <c r="K309" s="3273"/>
      <c r="L309" s="1952">
        <f t="shared" si="216"/>
        <v>15090392.9</v>
      </c>
      <c r="M309" s="1967"/>
      <c r="N309" s="2458">
        <f>VLOOKUP($A309,satpek!$B$20:$L$138,8,0)</f>
        <v>0.80899051094289265</v>
      </c>
      <c r="O309" s="1954">
        <f>VLOOKUP($A309,satpek!$B$20:$L$138,9,0)</f>
        <v>196427.75</v>
      </c>
      <c r="P309" s="1954">
        <f>VLOOKUP($A309,satpek!$B$20:$L$138,10,0)</f>
        <v>221963.35750000001</v>
      </c>
      <c r="Q309" s="1952">
        <f t="shared" si="217"/>
        <v>10803526.25</v>
      </c>
      <c r="R309" s="1952">
        <f t="shared" si="218"/>
        <v>12207984.6625</v>
      </c>
      <c r="S309" s="3282">
        <f t="shared" si="219"/>
        <v>2882408.2375000007</v>
      </c>
      <c r="V309" s="1958">
        <v>55</v>
      </c>
      <c r="W309" s="1958"/>
      <c r="X309" s="1958">
        <f t="shared" si="213"/>
        <v>0</v>
      </c>
      <c r="Y309" s="2127" t="s">
        <v>1883</v>
      </c>
      <c r="AD309" s="2127"/>
      <c r="AE309" s="2127"/>
      <c r="AF309" s="1910">
        <v>286212.05</v>
      </c>
      <c r="AG309" s="2128">
        <f t="shared" si="214"/>
        <v>11841.26999999996</v>
      </c>
    </row>
    <row r="310" spans="1:33" ht="21.95" customHeight="1" x14ac:dyDescent="0.2">
      <c r="A310" s="1910">
        <f>satpek!B104</f>
        <v>85</v>
      </c>
      <c r="B310" s="2131">
        <f t="shared" si="220"/>
        <v>16</v>
      </c>
      <c r="C310" s="2132"/>
      <c r="D310" s="2133" t="str">
        <f>VLOOKUP($A310,satpek!$B$20:$N$144,2,0)</f>
        <v>Memasang Exhaust fan</v>
      </c>
      <c r="E310" s="2133"/>
      <c r="F310" s="2134"/>
      <c r="G310" s="1945">
        <f>'[3]B.VOL RAB'!Q646</f>
        <v>9</v>
      </c>
      <c r="H310" s="2456" t="str">
        <f>VLOOKUP($A310,satpek!$B$20:$N$144,7,0)</f>
        <v>bh</v>
      </c>
      <c r="I310" s="3281" t="str">
        <f>VLOOKUP($A310,satpek!$B$20:$N$144,5,0)</f>
        <v>An. Dihitung</v>
      </c>
      <c r="J310" s="1951">
        <f>VLOOKUP($A310,satpek!$B$20:$N$144,6,0)</f>
        <v>556977</v>
      </c>
      <c r="K310" s="3273"/>
      <c r="L310" s="1952">
        <f t="shared" si="216"/>
        <v>5012793</v>
      </c>
      <c r="M310" s="1967"/>
      <c r="N310" s="2458">
        <f>VLOOKUP($A310,satpek!$B$20:$L$138,8,0)</f>
        <v>0.11594643944004869</v>
      </c>
      <c r="O310" s="1954">
        <f>VLOOKUP($A310,satpek!$B$20:$L$138,9,0)</f>
        <v>57150</v>
      </c>
      <c r="P310" s="1954">
        <f>VLOOKUP($A310,satpek!$B$20:$L$138,10,0)</f>
        <v>64579.5</v>
      </c>
      <c r="Q310" s="1952">
        <f t="shared" si="217"/>
        <v>514350</v>
      </c>
      <c r="R310" s="1952">
        <f t="shared" si="218"/>
        <v>581215.5</v>
      </c>
      <c r="S310" s="3282">
        <f t="shared" si="219"/>
        <v>4431577.5</v>
      </c>
      <c r="V310" s="1958">
        <v>9</v>
      </c>
      <c r="W310" s="1958"/>
      <c r="X310" s="1958">
        <f t="shared" si="213"/>
        <v>0</v>
      </c>
      <c r="Y310" s="2127" t="s">
        <v>1886</v>
      </c>
      <c r="AD310" s="2127"/>
      <c r="AE310" s="2127"/>
      <c r="AF310" s="1910">
        <v>556604.1</v>
      </c>
      <c r="AG310" s="2128">
        <f t="shared" si="214"/>
        <v>-372.90000000002328</v>
      </c>
    </row>
    <row r="311" spans="1:33" ht="21.95" customHeight="1" x14ac:dyDescent="0.2">
      <c r="A311" s="1910">
        <f>satpek!B129</f>
        <v>104</v>
      </c>
      <c r="B311" s="2131">
        <f t="shared" si="220"/>
        <v>17</v>
      </c>
      <c r="C311" s="2132"/>
      <c r="D311" s="2133" t="str">
        <f>VLOOKUP($A311,satpek!$B$20:$N$144,2,0)</f>
        <v>Memasang Unit AC 1 PK</v>
      </c>
      <c r="E311" s="2133"/>
      <c r="F311" s="2134"/>
      <c r="G311" s="1945">
        <f>'[3]B.VOL RAB'!Q647</f>
        <v>12</v>
      </c>
      <c r="H311" s="2456" t="str">
        <f>VLOOKUP($A311,satpek!$B$20:$N$144,7,0)</f>
        <v>unit</v>
      </c>
      <c r="I311" s="3281" t="str">
        <f>VLOOKUP($A311,satpek!$B$20:$N$144,5,0)</f>
        <v>Daftar harga</v>
      </c>
      <c r="J311" s="1951">
        <f>VLOOKUP($A311,satpek!$B$20:$N$144,6,0)</f>
        <v>4950000</v>
      </c>
      <c r="K311" s="3273"/>
      <c r="L311" s="1952">
        <f t="shared" si="216"/>
        <v>59400000</v>
      </c>
      <c r="M311" s="1967"/>
      <c r="N311" s="2458">
        <f>VLOOKUP($A311,satpek!$B$20:$L$138,8,0)</f>
        <v>0.1082</v>
      </c>
      <c r="O311" s="1954">
        <f>VLOOKUP($A311,satpek!$B$20:$L$138,9,0)</f>
        <v>0</v>
      </c>
      <c r="P311" s="1954">
        <f>VLOOKUP($A311,satpek!$B$20:$L$138,10,0)</f>
        <v>535590</v>
      </c>
      <c r="Q311" s="1952">
        <f t="shared" si="217"/>
        <v>0</v>
      </c>
      <c r="R311" s="1952">
        <f t="shared" si="218"/>
        <v>6427080</v>
      </c>
      <c r="S311" s="3282">
        <f t="shared" si="219"/>
        <v>52972920</v>
      </c>
      <c r="V311" s="1958">
        <v>12</v>
      </c>
      <c r="W311" s="1958"/>
      <c r="X311" s="1958">
        <f t="shared" si="213"/>
        <v>0</v>
      </c>
      <c r="Y311" s="2127" t="s">
        <v>1884</v>
      </c>
      <c r="AD311" s="2127"/>
      <c r="AE311" s="2127"/>
      <c r="AF311" s="1910">
        <v>4950000</v>
      </c>
      <c r="AG311" s="2128">
        <f t="shared" si="214"/>
        <v>0</v>
      </c>
    </row>
    <row r="312" spans="1:33" ht="21.95" customHeight="1" x14ac:dyDescent="0.2">
      <c r="A312" s="1910">
        <f>satpek!B116</f>
        <v>97</v>
      </c>
      <c r="B312" s="2131">
        <f t="shared" si="220"/>
        <v>18</v>
      </c>
      <c r="C312" s="2132"/>
      <c r="D312" s="2133" t="str">
        <f>VLOOKUP($A312,satpek!$B$20:$N$144,2,0)</f>
        <v>Panel uk 40x60x25 lengkap dengan asesoris 3 phase</v>
      </c>
      <c r="E312" s="2133"/>
      <c r="F312" s="2134"/>
      <c r="G312" s="1945">
        <f>'[3]B.VOL RAB'!Q648</f>
        <v>1</v>
      </c>
      <c r="H312" s="2456" t="str">
        <f>VLOOKUP($A312,satpek!$B$20:$N$144,7,0)</f>
        <v>unit</v>
      </c>
      <c r="I312" s="3281" t="str">
        <f>VLOOKUP($A312,satpek!$B$20:$N$144,5,0)</f>
        <v>Daftar harga</v>
      </c>
      <c r="J312" s="1951">
        <f>VLOOKUP($A312,satpek!$B$20:$N$144,6,0)</f>
        <v>4500000</v>
      </c>
      <c r="K312" s="3273"/>
      <c r="L312" s="1952">
        <f t="shared" si="216"/>
        <v>4500000</v>
      </c>
      <c r="M312" s="1967"/>
      <c r="N312" s="2458">
        <f>VLOOKUP($A312,satpek!$B$20:$L$138,8,0)</f>
        <v>0.3</v>
      </c>
      <c r="O312" s="1954">
        <f>VLOOKUP($A312,satpek!$B$20:$L$138,9,0)</f>
        <v>0</v>
      </c>
      <c r="P312" s="1954">
        <f>VLOOKUP($A312,satpek!$B$20:$L$138,10,0)</f>
        <v>1350000</v>
      </c>
      <c r="Q312" s="1952">
        <f t="shared" si="217"/>
        <v>0</v>
      </c>
      <c r="R312" s="1952">
        <f t="shared" si="218"/>
        <v>1350000</v>
      </c>
      <c r="S312" s="3282">
        <f t="shared" si="219"/>
        <v>3150000</v>
      </c>
      <c r="V312" s="1958">
        <v>1</v>
      </c>
      <c r="W312" s="1958"/>
      <c r="X312" s="1958">
        <f t="shared" si="213"/>
        <v>0</v>
      </c>
      <c r="Y312" s="2127" t="s">
        <v>1888</v>
      </c>
      <c r="AD312" s="2127"/>
      <c r="AE312" s="2127"/>
      <c r="AF312" s="1910">
        <v>5000000</v>
      </c>
      <c r="AG312" s="2128">
        <f t="shared" si="214"/>
        <v>500000</v>
      </c>
    </row>
    <row r="313" spans="1:33" ht="21.95" customHeight="1" x14ac:dyDescent="0.2">
      <c r="A313" s="1910">
        <f>satpek!B130</f>
        <v>105</v>
      </c>
      <c r="B313" s="2131">
        <f t="shared" si="220"/>
        <v>19</v>
      </c>
      <c r="C313" s="2132"/>
      <c r="D313" s="2133" t="str">
        <f>VLOOKUP($A313,satpek!$B$20:$N$144,2,0)</f>
        <v>Pasang instalasi penangkal petir 1 split lengkap</v>
      </c>
      <c r="E313" s="2133"/>
      <c r="F313" s="2134"/>
      <c r="G313" s="1945">
        <f>'[3]B.VOL RAB'!Q649</f>
        <v>1</v>
      </c>
      <c r="H313" s="2456" t="str">
        <f>VLOOKUP($A313,satpek!$B$20:$N$144,7,0)</f>
        <v>unit</v>
      </c>
      <c r="I313" s="3281" t="str">
        <f>VLOOKUP($A313,satpek!$B$20:$N$144,5,0)</f>
        <v>Daftar harga</v>
      </c>
      <c r="J313" s="1951">
        <f>VLOOKUP($A313,satpek!$B$20:$N$144,6,0)</f>
        <v>8200000</v>
      </c>
      <c r="K313" s="3273"/>
      <c r="L313" s="1952">
        <f t="shared" si="216"/>
        <v>8200000</v>
      </c>
      <c r="M313" s="1967"/>
      <c r="N313" s="2458">
        <f>VLOOKUP($A313,satpek!$B$20:$L$138,8,0)</f>
        <v>0.2</v>
      </c>
      <c r="O313" s="1954">
        <f>VLOOKUP($A313,satpek!$B$20:$L$138,9,0)</f>
        <v>0</v>
      </c>
      <c r="P313" s="1954">
        <f>VLOOKUP($A313,satpek!$B$20:$L$138,10,0)</f>
        <v>1640000</v>
      </c>
      <c r="Q313" s="1952">
        <f t="shared" si="217"/>
        <v>0</v>
      </c>
      <c r="R313" s="1952">
        <f t="shared" si="218"/>
        <v>1640000</v>
      </c>
      <c r="S313" s="3282">
        <f t="shared" si="219"/>
        <v>6560000</v>
      </c>
      <c r="V313" s="1958">
        <v>1</v>
      </c>
      <c r="W313" s="1958"/>
      <c r="X313" s="1958">
        <f t="shared" si="213"/>
        <v>0</v>
      </c>
      <c r="Y313" s="2127" t="s">
        <v>1392</v>
      </c>
      <c r="AD313" s="2127"/>
      <c r="AE313" s="2127"/>
      <c r="AF313" s="1910">
        <v>8600000</v>
      </c>
      <c r="AG313" s="2128">
        <f t="shared" si="214"/>
        <v>400000</v>
      </c>
    </row>
    <row r="314" spans="1:33" ht="21.95" customHeight="1" x14ac:dyDescent="0.2">
      <c r="A314" s="1910">
        <f>satpek!B131</f>
        <v>106</v>
      </c>
      <c r="B314" s="2131">
        <f t="shared" si="220"/>
        <v>20</v>
      </c>
      <c r="C314" s="3285"/>
      <c r="D314" s="2133" t="str">
        <f>VLOOKUP($A314,satpek!$B$20:$N$144,2,0)</f>
        <v>Testing &amp; Comissioning Instalasi Litrik</v>
      </c>
      <c r="E314" s="3286"/>
      <c r="F314" s="3287"/>
      <c r="G314" s="2175">
        <f>'[3]B.VOL RAB'!Q650</f>
        <v>1</v>
      </c>
      <c r="H314" s="2456" t="str">
        <f>VLOOKUP($A314,satpek!$B$20:$N$144,7,0)</f>
        <v>lot</v>
      </c>
      <c r="I314" s="3281" t="str">
        <f>VLOOKUP($A314,satpek!$B$20:$N$144,5,0)</f>
        <v>Daftar harga</v>
      </c>
      <c r="J314" s="1951">
        <f>VLOOKUP($A314,satpek!$B$20:$N$144,6,0)</f>
        <v>3100000</v>
      </c>
      <c r="K314" s="3273"/>
      <c r="L314" s="1952">
        <f t="shared" si="216"/>
        <v>3100000</v>
      </c>
      <c r="M314" s="2479"/>
      <c r="N314" s="2458">
        <f>VLOOKUP($A314,satpek!$B$20:$L$138,8,0)</f>
        <v>0.75</v>
      </c>
      <c r="O314" s="1954">
        <f>VLOOKUP($A314,satpek!$B$20:$L$138,9,0)</f>
        <v>0</v>
      </c>
      <c r="P314" s="1954">
        <f>VLOOKUP($A314,satpek!$B$20:$L$138,10,0)</f>
        <v>2325000</v>
      </c>
      <c r="Q314" s="1952">
        <f t="shared" si="217"/>
        <v>0</v>
      </c>
      <c r="R314" s="1952">
        <f t="shared" si="218"/>
        <v>2325000</v>
      </c>
      <c r="S314" s="3282">
        <f t="shared" si="219"/>
        <v>775000</v>
      </c>
      <c r="V314" s="1958">
        <v>1</v>
      </c>
      <c r="W314" s="1958"/>
      <c r="X314" s="1958">
        <f t="shared" si="213"/>
        <v>0</v>
      </c>
      <c r="Y314" s="2127" t="s">
        <v>1889</v>
      </c>
      <c r="Z314" s="2127">
        <v>0.01</v>
      </c>
      <c r="AB314" s="2129">
        <f>SUM(L273:L312)</f>
        <v>332804575.82000005</v>
      </c>
      <c r="AC314" s="1909">
        <f>Z314*AB314</f>
        <v>3328045.7582000005</v>
      </c>
      <c r="AD314" s="2127"/>
      <c r="AE314" s="2127"/>
      <c r="AF314" s="1910">
        <v>3583839.5447</v>
      </c>
      <c r="AG314" s="2128">
        <f t="shared" si="214"/>
        <v>483839.54469999997</v>
      </c>
    </row>
    <row r="315" spans="1:33" ht="21.95" customHeight="1" x14ac:dyDescent="0.2">
      <c r="B315" s="2114"/>
      <c r="C315" s="2115"/>
      <c r="D315" s="2116"/>
      <c r="E315" s="2116"/>
      <c r="F315" s="2117"/>
      <c r="G315" s="2021"/>
      <c r="H315" s="3289"/>
      <c r="I315" s="3290"/>
      <c r="J315" s="2026" t="s">
        <v>358</v>
      </c>
      <c r="K315" s="2027"/>
      <c r="L315" s="2028" t="s">
        <v>1891</v>
      </c>
      <c r="M315" s="2463">
        <f>SUM(L268:L315)</f>
        <v>412942575.81999993</v>
      </c>
      <c r="N315" s="3291">
        <f>R315/M315</f>
        <v>0.4416991890373243</v>
      </c>
      <c r="O315" s="2121"/>
      <c r="P315" s="2121"/>
      <c r="Q315" s="2119"/>
      <c r="R315" s="2123">
        <f>SUM(R266:R314)</f>
        <v>182396400.85867777</v>
      </c>
      <c r="S315" s="3294">
        <f>SUM(S268:S314)</f>
        <v>230546174.96132219</v>
      </c>
      <c r="U315" s="2125">
        <f>M315-T315</f>
        <v>412942575.81999993</v>
      </c>
      <c r="V315" s="1958"/>
      <c r="W315" s="1958"/>
      <c r="X315" s="1958">
        <f t="shared" si="213"/>
        <v>0</v>
      </c>
      <c r="Y315" s="2174">
        <f>SUM(L270:L312)</f>
        <v>332804575.82000005</v>
      </c>
      <c r="AD315" s="2127"/>
      <c r="AE315" s="2127"/>
      <c r="AF315" s="1909">
        <v>0.01</v>
      </c>
    </row>
    <row r="316" spans="1:33" s="2293" customFormat="1" ht="21.95" customHeight="1" x14ac:dyDescent="0.2">
      <c r="A316" s="1910"/>
      <c r="B316" s="2177"/>
      <c r="C316" s="2178"/>
      <c r="D316" s="2179"/>
      <c r="E316" s="2179"/>
      <c r="F316" s="2179"/>
      <c r="G316" s="2180"/>
      <c r="H316" s="2488"/>
      <c r="I316" s="3513" t="s">
        <v>1892</v>
      </c>
      <c r="J316" s="3513"/>
      <c r="K316" s="3513"/>
      <c r="L316" s="3514"/>
      <c r="M316" s="2489">
        <f>SUM(M16:M315)</f>
        <v>5084442779.4199991</v>
      </c>
      <c r="N316" s="2490"/>
      <c r="O316" s="2184"/>
      <c r="P316" s="2184"/>
      <c r="Q316" s="2184"/>
      <c r="R316" s="2185"/>
      <c r="S316" s="2186"/>
      <c r="T316" s="2125"/>
      <c r="U316" s="2125">
        <f>M316-T316</f>
        <v>5084442779.4199991</v>
      </c>
      <c r="V316" s="1958"/>
      <c r="W316" s="1958"/>
      <c r="X316" s="1958">
        <f t="shared" si="213"/>
        <v>0</v>
      </c>
      <c r="Y316" s="2187"/>
      <c r="AB316" s="2158"/>
      <c r="AC316" s="2158"/>
      <c r="AD316" s="2158"/>
      <c r="AE316" s="2158"/>
      <c r="AF316" s="1910">
        <f>AF315*Y315</f>
        <v>3328045.7582000005</v>
      </c>
    </row>
    <row r="317" spans="1:33" s="3264" customFormat="1" ht="32.1" customHeight="1" x14ac:dyDescent="0.2">
      <c r="A317" s="1926"/>
      <c r="B317" s="3348" t="s">
        <v>547</v>
      </c>
      <c r="C317" s="3253"/>
      <c r="D317" s="3349" t="s">
        <v>1998</v>
      </c>
      <c r="E317" s="3253"/>
      <c r="F317" s="3254"/>
      <c r="G317" s="3255"/>
      <c r="H317" s="3253"/>
      <c r="I317" s="3256"/>
      <c r="J317" s="3255"/>
      <c r="K317" s="3257"/>
      <c r="L317" s="3254"/>
      <c r="M317" s="3258"/>
      <c r="N317" s="3350"/>
      <c r="O317" s="3351"/>
      <c r="P317" s="3351"/>
      <c r="Q317" s="3351"/>
      <c r="R317" s="3352"/>
      <c r="S317" s="3353"/>
      <c r="T317" s="2125"/>
      <c r="U317" s="2125"/>
      <c r="V317" s="1958"/>
      <c r="W317" s="1958"/>
      <c r="X317" s="1958">
        <f t="shared" si="213"/>
        <v>0</v>
      </c>
      <c r="AC317" s="1925"/>
      <c r="AD317" s="1925"/>
      <c r="AE317" s="1925"/>
      <c r="AF317" s="1926"/>
    </row>
    <row r="318" spans="1:33" s="2293" customFormat="1" ht="21.95" customHeight="1" x14ac:dyDescent="0.2">
      <c r="A318" s="1910"/>
      <c r="B318" s="2194" t="s">
        <v>1760</v>
      </c>
      <c r="C318" s="2195"/>
      <c r="D318" s="2196" t="s">
        <v>1893</v>
      </c>
      <c r="E318" s="2197"/>
      <c r="F318" s="2197"/>
      <c r="G318" s="2198"/>
      <c r="H318" s="2492"/>
      <c r="I318" s="2202"/>
      <c r="J318" s="2203"/>
      <c r="K318" s="2204"/>
      <c r="L318" s="2205"/>
      <c r="M318" s="2493"/>
      <c r="N318" s="2494"/>
      <c r="O318" s="2206"/>
      <c r="P318" s="2206"/>
      <c r="Q318" s="2206"/>
      <c r="R318" s="2207"/>
      <c r="S318" s="2208"/>
      <c r="T318" s="2125"/>
      <c r="U318" s="2125"/>
      <c r="V318" s="1958"/>
      <c r="W318" s="1958"/>
      <c r="X318" s="1958">
        <f t="shared" si="213"/>
        <v>0</v>
      </c>
      <c r="Y318" s="2187" t="s">
        <v>1893</v>
      </c>
      <c r="AB318" s="2158"/>
      <c r="AC318" s="2158"/>
      <c r="AD318" s="2158"/>
      <c r="AE318" s="2158"/>
      <c r="AF318" s="1910"/>
    </row>
    <row r="319" spans="1:33" s="2329" customFormat="1" ht="21.95" customHeight="1" x14ac:dyDescent="0.2">
      <c r="A319" s="1959">
        <f>satpek!B105</f>
        <v>86</v>
      </c>
      <c r="B319" s="2209">
        <v>1</v>
      </c>
      <c r="C319" s="2210"/>
      <c r="D319" s="2133" t="str">
        <f>VLOOKUP($A319,satpek!$B$20:$N$144,2,0)</f>
        <v>Memasang paving tb. 8 cm, K.250, polos</v>
      </c>
      <c r="E319" s="2211"/>
      <c r="F319" s="2212"/>
      <c r="G319" s="2213">
        <v>623</v>
      </c>
      <c r="H319" s="2456" t="str">
        <f>VLOOKUP($A319,satpek!$B$20:$N$144,7,0)</f>
        <v>m2</v>
      </c>
      <c r="I319" s="3281" t="str">
        <f>VLOOKUP($A319,satpek!$B$20:$N$144,5,0)</f>
        <v>An. Dihitung</v>
      </c>
      <c r="J319" s="1951">
        <f>VLOOKUP($A319,satpek!$B$20:$N$144,6,0)</f>
        <v>206637.45</v>
      </c>
      <c r="K319" s="3273"/>
      <c r="L319" s="1952">
        <f t="shared" ref="L319:L320" si="221">ROUND((G319*J319),2)</f>
        <v>128735131.34999999</v>
      </c>
      <c r="M319" s="2212"/>
      <c r="N319" s="2458">
        <f>VLOOKUP($A319,satpek!$B$20:$L$138,8,0)</f>
        <v>1</v>
      </c>
      <c r="O319" s="1954">
        <f>VLOOKUP($A319,satpek!$B$20:$L$138,9,0)</f>
        <v>182865</v>
      </c>
      <c r="P319" s="1954">
        <f>VLOOKUP($A319,satpek!$B$20:$L$138,10,0)</f>
        <v>206637.45</v>
      </c>
      <c r="Q319" s="2369">
        <f t="shared" ref="Q319:Q320" si="222">O319*G319</f>
        <v>113924895</v>
      </c>
      <c r="R319" s="1952">
        <f t="shared" ref="R319:R320" si="223">N319*L319</f>
        <v>128735131.34999999</v>
      </c>
      <c r="S319" s="3282">
        <f t="shared" ref="S319:S320" si="224">L319-R319</f>
        <v>0</v>
      </c>
      <c r="T319" s="2125"/>
      <c r="U319" s="2125"/>
      <c r="V319" s="1958">
        <v>856</v>
      </c>
      <c r="W319" s="1958"/>
      <c r="X319" s="1958">
        <f t="shared" si="213"/>
        <v>233</v>
      </c>
      <c r="Y319" s="2329" t="s">
        <v>234</v>
      </c>
      <c r="AF319" s="1959">
        <v>204546.95</v>
      </c>
      <c r="AG319" s="2128">
        <f>AF319-J319</f>
        <v>-2090.5</v>
      </c>
    </row>
    <row r="320" spans="1:33" s="2329" customFormat="1" ht="21.95" customHeight="1" x14ac:dyDescent="0.2">
      <c r="A320" s="1959">
        <f>satpek!B29</f>
        <v>10</v>
      </c>
      <c r="B320" s="2214">
        <v>2</v>
      </c>
      <c r="C320" s="2215"/>
      <c r="D320" s="3354" t="str">
        <f>VLOOKUP($A320,satpek!$B$20:$N$144,2,0)</f>
        <v>Mengurug pasir urug</v>
      </c>
      <c r="E320" s="2217"/>
      <c r="F320" s="2218"/>
      <c r="G320" s="2219">
        <f>G319*0.07</f>
        <v>43.610000000000007</v>
      </c>
      <c r="H320" s="2232" t="str">
        <f>VLOOKUP($A320,satpek!$B$20:$N$144,7,0)</f>
        <v>m3</v>
      </c>
      <c r="I320" s="3355" t="str">
        <f>VLOOKUP($A320,satpek!$B$20:$N$144,5,0)</f>
        <v>A.2.3.1.11.</v>
      </c>
      <c r="J320" s="2237">
        <f>VLOOKUP($A320,satpek!$B$20:$N$144,6,0)</f>
        <v>251978.7</v>
      </c>
      <c r="K320" s="3356"/>
      <c r="L320" s="2239">
        <f t="shared" si="221"/>
        <v>10988791.109999999</v>
      </c>
      <c r="M320" s="2218"/>
      <c r="N320" s="2496">
        <f>VLOOKUP($A320,satpek!$B$20:$L$138,8,0)</f>
        <v>1</v>
      </c>
      <c r="O320" s="2241">
        <f>VLOOKUP($A320,satpek!$B$20:$L$138,9,0)</f>
        <v>222990</v>
      </c>
      <c r="P320" s="2241">
        <f>VLOOKUP($A320,satpek!$B$20:$L$138,10,0)</f>
        <v>251978.7</v>
      </c>
      <c r="Q320" s="2497">
        <f t="shared" si="222"/>
        <v>9724593.9000000022</v>
      </c>
      <c r="R320" s="1952">
        <f t="shared" si="223"/>
        <v>10988791.109999999</v>
      </c>
      <c r="S320" s="3357">
        <f t="shared" si="224"/>
        <v>0</v>
      </c>
      <c r="T320" s="2125"/>
      <c r="U320" s="2125"/>
      <c r="V320" s="1958">
        <v>59.920000000000009</v>
      </c>
      <c r="W320" s="1958"/>
      <c r="X320" s="1958">
        <f t="shared" si="213"/>
        <v>16.310000000000002</v>
      </c>
      <c r="Y320" s="2329" t="s">
        <v>467</v>
      </c>
      <c r="AF320" s="1959">
        <v>237435.6</v>
      </c>
      <c r="AG320" s="2128">
        <f>AF320-J320</f>
        <v>-14543.100000000006</v>
      </c>
    </row>
    <row r="321" spans="1:32" s="2329" customFormat="1" ht="18.75" x14ac:dyDescent="0.2">
      <c r="A321" s="1959"/>
      <c r="B321" s="2257"/>
      <c r="C321" s="2258"/>
      <c r="D321" s="2259"/>
      <c r="E321" s="2259"/>
      <c r="F321" s="2260"/>
      <c r="G321" s="2261"/>
      <c r="H321" s="2498"/>
      <c r="I321" s="3515" t="s">
        <v>1894</v>
      </c>
      <c r="J321" s="3515"/>
      <c r="K321" s="3515"/>
      <c r="L321" s="3516"/>
      <c r="M321" s="2463">
        <f>SUM(L319:L320)</f>
        <v>139723922.45999998</v>
      </c>
      <c r="N321" s="3291">
        <f>R321/M321</f>
        <v>1</v>
      </c>
      <c r="O321" s="2266"/>
      <c r="P321" s="2266"/>
      <c r="Q321" s="2266">
        <f>SUM(Q14:Q320)</f>
        <v>2879859187.2039547</v>
      </c>
      <c r="R321" s="2266">
        <f>SUM(R319:R320)</f>
        <v>139723922.45999998</v>
      </c>
      <c r="S321" s="2267">
        <f>SUM(S319:S320)</f>
        <v>0</v>
      </c>
      <c r="T321" s="2125"/>
      <c r="U321" s="2125">
        <f>M321-T321</f>
        <v>139723922.45999998</v>
      </c>
      <c r="V321" s="1958"/>
      <c r="W321" s="1958"/>
      <c r="X321" s="1958"/>
      <c r="Y321" s="3358">
        <f>Rekap!Q48</f>
        <v>1175000</v>
      </c>
      <c r="AF321" s="1959"/>
    </row>
    <row r="322" spans="1:32" s="2293" customFormat="1" ht="18.75" x14ac:dyDescent="0.2">
      <c r="A322" s="1910"/>
      <c r="B322" s="2269"/>
      <c r="C322" s="2270"/>
      <c r="D322" s="2271"/>
      <c r="E322" s="2271"/>
      <c r="F322" s="2271"/>
      <c r="G322" s="2272"/>
      <c r="H322" s="2499"/>
      <c r="I322" s="2276"/>
      <c r="J322" s="2277"/>
      <c r="K322" s="2276"/>
      <c r="L322" s="2278" t="s">
        <v>2021</v>
      </c>
      <c r="M322" s="2500">
        <f>M321+M316</f>
        <v>5224166701.8799992</v>
      </c>
      <c r="N322" s="3186">
        <f>R322/M322</f>
        <v>0.67400481563363768</v>
      </c>
      <c r="O322" s="2279"/>
      <c r="P322" s="2279"/>
      <c r="Q322" s="2279"/>
      <c r="R322" s="2502">
        <f>SUM(R16:R321)/2</f>
        <v>3521113514.7400179</v>
      </c>
      <c r="S322" s="2281">
        <f>SUM(S15:S321)/2</f>
        <v>1703053187.1399796</v>
      </c>
      <c r="T322" s="2125"/>
      <c r="U322" s="2125"/>
      <c r="V322" s="1958"/>
      <c r="W322" s="1958"/>
      <c r="X322" s="1958"/>
      <c r="Y322" s="2187"/>
      <c r="AB322" s="2158"/>
      <c r="AC322" s="2158"/>
      <c r="AD322" s="2158"/>
      <c r="AE322" s="2158"/>
      <c r="AF322" s="1910"/>
    </row>
    <row r="323" spans="1:32" s="2293" customFormat="1" ht="18.75" x14ac:dyDescent="0.2">
      <c r="A323" s="1910"/>
      <c r="B323" s="2282"/>
      <c r="C323" s="2283"/>
      <c r="D323" s="2284"/>
      <c r="E323" s="2284"/>
      <c r="F323" s="2285"/>
      <c r="G323" s="2286"/>
      <c r="H323" s="2289"/>
      <c r="I323" s="2291"/>
      <c r="J323" s="2291"/>
      <c r="K323" s="2292"/>
      <c r="L323" s="2290" t="s">
        <v>1646</v>
      </c>
      <c r="M323" s="2503">
        <f>M322*0.11</f>
        <v>574658337.20679986</v>
      </c>
      <c r="N323" s="2490"/>
      <c r="O323" s="2184"/>
      <c r="P323" s="2184"/>
      <c r="Q323" s="2184"/>
      <c r="R323" s="2184"/>
      <c r="S323" s="2186"/>
      <c r="T323" s="2125"/>
      <c r="U323" s="2125"/>
      <c r="V323" s="2125"/>
      <c r="W323" s="2125"/>
      <c r="X323" s="2125"/>
      <c r="Y323" s="2187"/>
      <c r="AB323" s="2158"/>
      <c r="AC323" s="2158"/>
      <c r="AD323" s="2158"/>
      <c r="AE323" s="2158"/>
      <c r="AF323" s="1910"/>
    </row>
    <row r="324" spans="1:32" s="2293" customFormat="1" ht="18.75" x14ac:dyDescent="0.2">
      <c r="A324" s="1910"/>
      <c r="B324" s="2282"/>
      <c r="C324" s="2283"/>
      <c r="D324" s="2284"/>
      <c r="E324" s="2284"/>
      <c r="F324" s="2285"/>
      <c r="G324" s="2286"/>
      <c r="H324" s="2289"/>
      <c r="I324" s="2291"/>
      <c r="J324" s="2291"/>
      <c r="K324" s="2292"/>
      <c r="L324" s="2290" t="s">
        <v>360</v>
      </c>
      <c r="M324" s="2503">
        <f>SUM(M322:M323)</f>
        <v>5798825039.0867987</v>
      </c>
      <c r="N324" s="2490"/>
      <c r="O324" s="2184"/>
      <c r="P324" s="2184"/>
      <c r="Q324" s="2184"/>
      <c r="R324" s="2184"/>
      <c r="S324" s="2186"/>
      <c r="T324" s="2125"/>
      <c r="U324" s="2125"/>
      <c r="V324" s="2125"/>
      <c r="W324" s="2125"/>
      <c r="X324" s="2125"/>
      <c r="Y324" s="2187"/>
      <c r="AB324" s="2158"/>
      <c r="AC324" s="2158"/>
      <c r="AD324" s="2158"/>
      <c r="AE324" s="2158"/>
      <c r="AF324" s="1910"/>
    </row>
    <row r="325" spans="1:32" s="2293" customFormat="1" ht="18.75" x14ac:dyDescent="0.2">
      <c r="A325" s="1910"/>
      <c r="B325" s="2294"/>
      <c r="C325" s="2295"/>
      <c r="D325" s="2296"/>
      <c r="E325" s="2296"/>
      <c r="F325" s="2297"/>
      <c r="G325" s="2298"/>
      <c r="H325" s="2302"/>
      <c r="I325" s="2304"/>
      <c r="J325" s="2304"/>
      <c r="K325" s="2305"/>
      <c r="L325" s="2303" t="s">
        <v>359</v>
      </c>
      <c r="M325" s="2504">
        <f>ROUNDDOWN(M324,-3)</f>
        <v>5798825000</v>
      </c>
      <c r="N325" s="2494"/>
      <c r="O325" s="2206"/>
      <c r="P325" s="2206"/>
      <c r="Q325" s="2206"/>
      <c r="R325" s="2206"/>
      <c r="S325" s="2208"/>
      <c r="T325" s="2125"/>
      <c r="U325" s="2125"/>
      <c r="V325" s="2125"/>
      <c r="W325" s="2125"/>
      <c r="X325" s="2125"/>
      <c r="Y325" s="2187"/>
      <c r="AB325" s="2158"/>
      <c r="AC325" s="2158"/>
      <c r="AD325" s="2158"/>
      <c r="AE325" s="2158"/>
      <c r="AF325" s="1910"/>
    </row>
    <row r="326" spans="1:32" ht="16.5" thickBot="1" x14ac:dyDescent="0.25">
      <c r="B326" s="3359"/>
      <c r="C326" s="3360"/>
      <c r="D326" s="3361"/>
      <c r="E326" s="3361"/>
      <c r="F326" s="3362"/>
      <c r="G326" s="2310"/>
      <c r="H326" s="3363"/>
      <c r="I326" s="3364"/>
      <c r="J326" s="2315"/>
      <c r="K326" s="2316"/>
      <c r="L326" s="2317"/>
      <c r="M326" s="2506"/>
      <c r="N326" s="2507"/>
      <c r="O326" s="2319"/>
      <c r="P326" s="2319"/>
      <c r="Q326" s="2319"/>
      <c r="R326" s="2319"/>
      <c r="S326" s="2320"/>
      <c r="AD326" s="2127"/>
      <c r="AE326" s="2127"/>
    </row>
    <row r="327" spans="1:32" ht="16.5" thickTop="1" x14ac:dyDescent="0.2">
      <c r="B327" s="2690"/>
      <c r="F327" s="3200"/>
      <c r="G327" s="3365"/>
      <c r="L327" s="3200"/>
      <c r="M327" s="2333"/>
      <c r="N327" s="3200"/>
      <c r="O327" s="3200"/>
      <c r="P327" s="3200"/>
      <c r="Q327" s="3200"/>
      <c r="R327" s="3200"/>
      <c r="S327" s="3200"/>
      <c r="AC327" s="2127"/>
      <c r="AD327" s="2127"/>
      <c r="AE327" s="2127"/>
    </row>
    <row r="328" spans="1:32" x14ac:dyDescent="0.2">
      <c r="F328" s="3200"/>
      <c r="G328" s="3365"/>
      <c r="L328" s="3200">
        <f>SUBTOTAL(9,L76:L131)</f>
        <v>1108638443.6900001</v>
      </c>
      <c r="M328" s="2333"/>
      <c r="N328" s="3200"/>
      <c r="O328" s="3200"/>
      <c r="P328" s="3200"/>
      <c r="Q328" s="3200"/>
      <c r="R328" s="3200"/>
      <c r="S328" s="3200"/>
      <c r="AC328" s="2127"/>
      <c r="AD328" s="2127"/>
      <c r="AE328" s="2127"/>
    </row>
    <row r="329" spans="1:32" ht="18.75" x14ac:dyDescent="0.2">
      <c r="M329" s="2351" t="str">
        <f>'data primer'!$E$11</f>
        <v>Karanganyar,                               2022</v>
      </c>
      <c r="N329" s="3375"/>
      <c r="O329" s="3375"/>
      <c r="P329" s="3375"/>
      <c r="Q329" s="3375"/>
      <c r="R329" s="3375"/>
      <c r="S329" s="3375"/>
      <c r="AC329" s="2127"/>
      <c r="AD329" s="2127"/>
      <c r="AE329" s="2127"/>
    </row>
    <row r="330" spans="1:32" x14ac:dyDescent="0.2">
      <c r="M330" s="3188" t="str">
        <f>'data primer'!$E$12</f>
        <v>PEJABAT PENANDATANGAN KONTRAK</v>
      </c>
    </row>
    <row r="331" spans="1:32" x14ac:dyDescent="0.2">
      <c r="M331" s="3188"/>
    </row>
    <row r="332" spans="1:32" x14ac:dyDescent="0.2">
      <c r="M332" s="2332"/>
    </row>
    <row r="333" spans="1:32" x14ac:dyDescent="0.2">
      <c r="M333" s="2332"/>
    </row>
    <row r="334" spans="1:32" x14ac:dyDescent="0.2">
      <c r="M334" s="2332"/>
    </row>
    <row r="335" spans="1:32" x14ac:dyDescent="0.2">
      <c r="B335" s="2127"/>
      <c r="G335" s="2127"/>
      <c r="I335" s="2127"/>
      <c r="M335" s="2332"/>
      <c r="AC335" s="2127"/>
      <c r="AD335" s="2127"/>
      <c r="AE335" s="2127"/>
    </row>
    <row r="336" spans="1:32" x14ac:dyDescent="0.2">
      <c r="A336" s="2127"/>
      <c r="B336" s="2127"/>
      <c r="G336" s="2127"/>
      <c r="I336" s="2127"/>
      <c r="M336" s="2332"/>
      <c r="AC336" s="2127"/>
      <c r="AD336" s="2127"/>
      <c r="AE336" s="2127"/>
    </row>
    <row r="337" spans="1:33" x14ac:dyDescent="0.2">
      <c r="A337" s="2127"/>
      <c r="B337" s="2127"/>
      <c r="G337" s="2127"/>
      <c r="I337" s="2127"/>
      <c r="M337" s="2332"/>
      <c r="AC337" s="2127"/>
      <c r="AD337" s="2127"/>
      <c r="AE337" s="2127"/>
    </row>
    <row r="338" spans="1:33" x14ac:dyDescent="0.2">
      <c r="A338" s="2127"/>
      <c r="B338" s="2127"/>
      <c r="G338" s="2127"/>
      <c r="I338" s="2127"/>
      <c r="M338" s="2332"/>
      <c r="AC338" s="2127"/>
      <c r="AD338" s="2127"/>
      <c r="AE338" s="2127"/>
    </row>
    <row r="339" spans="1:33" x14ac:dyDescent="0.2">
      <c r="A339" s="2127"/>
      <c r="B339" s="2127"/>
      <c r="G339" s="2127"/>
      <c r="I339" s="2127"/>
      <c r="M339" s="2332"/>
      <c r="AC339" s="2127"/>
      <c r="AD339" s="2127"/>
      <c r="AE339" s="2127"/>
    </row>
    <row r="340" spans="1:33" x14ac:dyDescent="0.2">
      <c r="A340" s="2127"/>
      <c r="B340" s="2127"/>
      <c r="G340" s="2127"/>
      <c r="I340" s="2127"/>
      <c r="M340" s="2433" t="str">
        <f>'data primer'!$E$15</f>
        <v>FERIANA DWI KURNIAWATI, SP, M.Si</v>
      </c>
      <c r="AC340" s="2127"/>
      <c r="AD340" s="2127"/>
      <c r="AE340" s="2127"/>
    </row>
    <row r="341" spans="1:33" x14ac:dyDescent="0.2">
      <c r="A341" s="2127"/>
      <c r="B341" s="2127"/>
      <c r="G341" s="2127"/>
      <c r="I341" s="2127"/>
      <c r="M341" s="2332" t="str">
        <f>'data primer'!$E$16</f>
        <v>NIP. 19810226 200501 2 015</v>
      </c>
      <c r="AC341" s="2127"/>
      <c r="AD341" s="2127"/>
      <c r="AE341" s="2127"/>
    </row>
    <row r="342" spans="1:33" x14ac:dyDescent="0.2">
      <c r="A342" s="2127"/>
      <c r="B342" s="2127"/>
      <c r="G342" s="2127"/>
      <c r="I342" s="2127"/>
      <c r="L342" s="3365"/>
      <c r="AC342" s="2127"/>
      <c r="AD342" s="2127"/>
      <c r="AE342" s="2127"/>
    </row>
    <row r="343" spans="1:33" x14ac:dyDescent="0.2">
      <c r="A343" s="2127"/>
      <c r="B343" s="2127"/>
      <c r="G343" s="2127"/>
      <c r="I343" s="2127"/>
      <c r="L343" s="3200"/>
      <c r="AC343" s="2127"/>
      <c r="AD343" s="2127"/>
      <c r="AE343" s="2127"/>
    </row>
    <row r="344" spans="1:33" x14ac:dyDescent="0.2">
      <c r="A344" s="2127"/>
      <c r="B344" s="2127"/>
      <c r="G344" s="2127"/>
      <c r="I344" s="2127"/>
      <c r="L344" s="3200"/>
      <c r="AC344" s="2127"/>
      <c r="AD344" s="2127"/>
      <c r="AE344" s="2127"/>
    </row>
    <row r="346" spans="1:33" ht="21.95" customHeight="1" x14ac:dyDescent="0.2">
      <c r="A346" s="1910">
        <f>RAB.PERTANIAN!A17</f>
        <v>1</v>
      </c>
      <c r="B346" s="2131">
        <f t="shared" ref="B346:B409" si="225">B345+1</f>
        <v>1</v>
      </c>
      <c r="C346" s="2132"/>
      <c r="D346" s="2133" t="str">
        <f>VLOOKUP($A346,satpek!$B$20:$N$144,2,0)</f>
        <v>Administrasi dan dokumentasi</v>
      </c>
      <c r="E346" s="2133"/>
      <c r="F346" s="2134"/>
      <c r="G346" s="1945">
        <f>G17</f>
        <v>1</v>
      </c>
      <c r="H346" s="2456" t="str">
        <f>VLOOKUP($A346,satpek!$B$20:$N$144,7,0)</f>
        <v>ls</v>
      </c>
      <c r="I346" s="3281" t="str">
        <f>VLOOKUP($A346,satpek!$B$20:$N$144,5,0)</f>
        <v>An. Dihitung</v>
      </c>
      <c r="J346" s="1951">
        <f>VLOOKUP($A346,satpek!$B$20:$N$144,6,0)</f>
        <v>287076.5</v>
      </c>
      <c r="K346" s="3273"/>
      <c r="L346" s="1952">
        <f t="shared" ref="L346" si="226">ROUND((G346*J346),2)</f>
        <v>287076.5</v>
      </c>
      <c r="M346" s="1967"/>
      <c r="N346" s="2458"/>
      <c r="O346" s="1954">
        <f>VLOOKUP($A346,satpek!$B$20:$L$138,9,0)</f>
        <v>147819.25</v>
      </c>
      <c r="P346" s="1954">
        <f>VLOOKUP($A346,satpek!$B$20:$L$138,10,0)</f>
        <v>167035.7525</v>
      </c>
      <c r="Q346" s="1952">
        <f t="shared" ref="Q346" si="227">O346*G346</f>
        <v>147819.25</v>
      </c>
      <c r="R346" s="1952">
        <f t="shared" ref="R346" si="228">N346*L346</f>
        <v>0</v>
      </c>
      <c r="S346" s="3282">
        <f t="shared" ref="S346" si="229">L346-R346</f>
        <v>287076.5</v>
      </c>
      <c r="V346" s="1958">
        <v>1</v>
      </c>
      <c r="W346" s="1958"/>
      <c r="X346" s="1958">
        <f t="shared" ref="X346" si="230">V346-G346</f>
        <v>0</v>
      </c>
      <c r="Y346" s="2127" t="s">
        <v>1888</v>
      </c>
      <c r="AD346" s="2127"/>
      <c r="AE346" s="2127"/>
      <c r="AF346" s="1910">
        <v>5000000</v>
      </c>
      <c r="AG346" s="2128">
        <f t="shared" ref="AG346" si="231">AF346-J346</f>
        <v>4712923.5</v>
      </c>
    </row>
    <row r="347" spans="1:33" ht="21.95" customHeight="1" x14ac:dyDescent="0.2">
      <c r="A347" s="1910">
        <f>RAB.PERTANIAN!A18</f>
        <v>2</v>
      </c>
      <c r="B347" s="2131">
        <f t="shared" si="225"/>
        <v>2</v>
      </c>
      <c r="C347" s="2132"/>
      <c r="D347" s="2133" t="str">
        <f>VLOOKUP($A347,satpek!$B$20:$N$144,2,0)</f>
        <v>Air dan listrik kerja</v>
      </c>
      <c r="E347" s="2133"/>
      <c r="F347" s="2134"/>
      <c r="G347" s="1945">
        <f>G18</f>
        <v>1</v>
      </c>
      <c r="H347" s="2456" t="str">
        <f>VLOOKUP($A347,satpek!$B$20:$N$144,7,0)</f>
        <v>ls</v>
      </c>
      <c r="I347" s="3281" t="str">
        <f>VLOOKUP($A347,satpek!$B$20:$N$144,5,0)</f>
        <v>An. Dihitung</v>
      </c>
      <c r="J347" s="1951">
        <f>VLOOKUP($A347,satpek!$B$20:$N$144,6,0)</f>
        <v>10379502</v>
      </c>
      <c r="K347" s="3273"/>
      <c r="L347" s="1952">
        <f t="shared" ref="L347:L355" si="232">ROUND((G347*J347),2)</f>
        <v>10379502</v>
      </c>
      <c r="M347" s="1967"/>
      <c r="N347" s="2458"/>
      <c r="O347" s="1954">
        <f>VLOOKUP($A347,satpek!$B$20:$L$138,9,0)</f>
        <v>4145400</v>
      </c>
      <c r="P347" s="1954">
        <f>VLOOKUP($A347,satpek!$B$20:$L$138,10,0)</f>
        <v>4684302</v>
      </c>
      <c r="Q347" s="1952">
        <f t="shared" ref="Q347:Q355" si="233">O347*G347</f>
        <v>4145400</v>
      </c>
      <c r="R347" s="1952">
        <f t="shared" ref="R347:R355" si="234">N347*L347</f>
        <v>0</v>
      </c>
      <c r="S347" s="3282">
        <f t="shared" ref="S347:S355" si="235">L347-R347</f>
        <v>10379502</v>
      </c>
      <c r="V347" s="1958">
        <v>1</v>
      </c>
      <c r="W347" s="1958"/>
      <c r="X347" s="1958">
        <f t="shared" ref="X347:X355" si="236">V347-G347</f>
        <v>0</v>
      </c>
      <c r="Y347" s="2127" t="s">
        <v>1888</v>
      </c>
      <c r="AD347" s="2127"/>
      <c r="AE347" s="2127"/>
      <c r="AF347" s="1910">
        <v>5000000</v>
      </c>
      <c r="AG347" s="2128">
        <f t="shared" ref="AG347:AG355" si="237">AF347-J347</f>
        <v>-5379502</v>
      </c>
    </row>
    <row r="348" spans="1:33" ht="21.95" customHeight="1" x14ac:dyDescent="0.2">
      <c r="A348" s="1910">
        <v>3</v>
      </c>
      <c r="B348" s="2131">
        <f t="shared" si="225"/>
        <v>3</v>
      </c>
      <c r="C348" s="2132"/>
      <c r="D348" s="2133" t="str">
        <f>VLOOKUP($A348,satpek!$B$20:$N$144,2,0)</f>
        <v>Pembersihan lapangan dan perataan</v>
      </c>
      <c r="E348" s="2133"/>
      <c r="F348" s="2134"/>
      <c r="G348" s="1945">
        <f>G20</f>
        <v>767.55000000000007</v>
      </c>
      <c r="H348" s="2456" t="str">
        <f>VLOOKUP($A348,satpek!$B$20:$N$144,7,0)</f>
        <v>m2</v>
      </c>
      <c r="I348" s="3281" t="str">
        <f>VLOOKUP($A348,satpek!$B$20:$N$144,5,0)</f>
        <v>A.2.2.1.9.</v>
      </c>
      <c r="J348" s="1951">
        <f>VLOOKUP($A348,satpek!$B$20:$N$144,6,0)</f>
        <v>15062.9</v>
      </c>
      <c r="K348" s="3273"/>
      <c r="L348" s="1952">
        <f t="shared" si="232"/>
        <v>11561528.9</v>
      </c>
      <c r="M348" s="1967"/>
      <c r="N348" s="2458"/>
      <c r="O348" s="1954">
        <f>VLOOKUP($A348,satpek!$B$20:$L$138,9,0)</f>
        <v>13330</v>
      </c>
      <c r="P348" s="1954">
        <f>VLOOKUP($A348,satpek!$B$20:$L$138,10,0)</f>
        <v>15062.9</v>
      </c>
      <c r="Q348" s="1952">
        <f t="shared" si="233"/>
        <v>10231441.5</v>
      </c>
      <c r="R348" s="1952">
        <f t="shared" si="234"/>
        <v>0</v>
      </c>
      <c r="S348" s="3282">
        <f t="shared" si="235"/>
        <v>11561528.9</v>
      </c>
      <c r="V348" s="1958">
        <v>1</v>
      </c>
      <c r="W348" s="1958"/>
      <c r="X348" s="1958">
        <f t="shared" si="236"/>
        <v>-766.55000000000007</v>
      </c>
      <c r="Y348" s="2127" t="s">
        <v>1888</v>
      </c>
      <c r="AD348" s="2127"/>
      <c r="AE348" s="2127"/>
      <c r="AF348" s="1910">
        <v>5000000</v>
      </c>
      <c r="AG348" s="2128">
        <f t="shared" si="237"/>
        <v>4984937.0999999996</v>
      </c>
    </row>
    <row r="349" spans="1:33" ht="21.95" customHeight="1" x14ac:dyDescent="0.2">
      <c r="A349" s="1910">
        <v>4</v>
      </c>
      <c r="B349" s="2131">
        <f t="shared" si="225"/>
        <v>4</v>
      </c>
      <c r="C349" s="2132"/>
      <c r="D349" s="2133" t="str">
        <f>VLOOKUP($A349,satpek!$B$20:$N$144,2,0)</f>
        <v xml:space="preserve">Pengukuran dan pemasangan bouwplank  </v>
      </c>
      <c r="E349" s="2133"/>
      <c r="F349" s="2134"/>
      <c r="G349" s="1945">
        <f>G19</f>
        <v>205.8</v>
      </c>
      <c r="H349" s="2456" t="str">
        <f>VLOOKUP($A349,satpek!$B$20:$N$144,7,0)</f>
        <v>m'</v>
      </c>
      <c r="I349" s="3281" t="str">
        <f>VLOOKUP($A349,satpek!$B$20:$N$144,5,0)</f>
        <v>A.2.2.1.4.</v>
      </c>
      <c r="J349" s="1951">
        <f>VLOOKUP($A349,satpek!$B$20:$N$144,6,0)</f>
        <v>59589.42</v>
      </c>
      <c r="K349" s="3273"/>
      <c r="L349" s="1952">
        <f t="shared" si="232"/>
        <v>12263502.640000001</v>
      </c>
      <c r="M349" s="1967"/>
      <c r="N349" s="2458"/>
      <c r="O349" s="1954">
        <f>VLOOKUP($A349,satpek!$B$20:$L$138,9,0)</f>
        <v>52394</v>
      </c>
      <c r="P349" s="1954">
        <f>VLOOKUP($A349,satpek!$B$20:$L$138,10,0)</f>
        <v>59205.22</v>
      </c>
      <c r="Q349" s="1952">
        <f t="shared" si="233"/>
        <v>10782685.200000001</v>
      </c>
      <c r="R349" s="1952">
        <f t="shared" si="234"/>
        <v>0</v>
      </c>
      <c r="S349" s="3282">
        <f t="shared" si="235"/>
        <v>12263502.640000001</v>
      </c>
      <c r="V349" s="1958">
        <v>1</v>
      </c>
      <c r="W349" s="1958"/>
      <c r="X349" s="1958">
        <f t="shared" si="236"/>
        <v>-204.8</v>
      </c>
      <c r="Y349" s="2127" t="s">
        <v>1888</v>
      </c>
      <c r="AD349" s="2127"/>
      <c r="AE349" s="2127"/>
      <c r="AF349" s="1910">
        <v>5000000</v>
      </c>
      <c r="AG349" s="2128">
        <f t="shared" si="237"/>
        <v>4940410.58</v>
      </c>
    </row>
    <row r="350" spans="1:33" ht="21.95" customHeight="1" x14ac:dyDescent="0.2">
      <c r="A350" s="1910">
        <f>A25</f>
        <v>5</v>
      </c>
      <c r="B350" s="2131">
        <f t="shared" si="225"/>
        <v>5</v>
      </c>
      <c r="C350" s="2132"/>
      <c r="D350" s="2133" t="str">
        <f>VLOOKUP($A350,satpek!$B$20:$N$144,2,0)</f>
        <v xml:space="preserve">Menggali tanah biasa sedalam 1 m' </v>
      </c>
      <c r="E350" s="2133"/>
      <c r="F350" s="2134"/>
      <c r="G350" s="1945">
        <f>G25</f>
        <v>125.12000000000002</v>
      </c>
      <c r="H350" s="2456" t="str">
        <f>VLOOKUP($A350,satpek!$B$20:$N$144,7,0)</f>
        <v>m3</v>
      </c>
      <c r="I350" s="3281" t="str">
        <f>VLOOKUP($A350,satpek!$B$20:$N$144,5,0)</f>
        <v>A.2.3.1.1.</v>
      </c>
      <c r="J350" s="1951">
        <f>VLOOKUP($A350,satpek!$B$20:$N$144,6,0)</f>
        <v>77376.75</v>
      </c>
      <c r="K350" s="3273"/>
      <c r="L350" s="1952">
        <f t="shared" si="232"/>
        <v>9681378.9600000009</v>
      </c>
      <c r="M350" s="1967"/>
      <c r="N350" s="2458"/>
      <c r="O350" s="1954">
        <f>VLOOKUP($A350,satpek!$B$20:$L$138,9,0)</f>
        <v>68475</v>
      </c>
      <c r="P350" s="1954">
        <f>VLOOKUP($A350,satpek!$B$20:$L$138,10,0)</f>
        <v>77376.75</v>
      </c>
      <c r="Q350" s="1952">
        <f t="shared" si="233"/>
        <v>8567592.0000000019</v>
      </c>
      <c r="R350" s="1952">
        <f t="shared" si="234"/>
        <v>0</v>
      </c>
      <c r="S350" s="3282">
        <f t="shared" si="235"/>
        <v>9681378.9600000009</v>
      </c>
      <c r="V350" s="1958">
        <v>1</v>
      </c>
      <c r="W350" s="1958"/>
      <c r="X350" s="1958">
        <f t="shared" si="236"/>
        <v>-124.12000000000002</v>
      </c>
      <c r="Y350" s="2127" t="s">
        <v>1888</v>
      </c>
      <c r="AD350" s="2127"/>
      <c r="AE350" s="2127"/>
      <c r="AF350" s="1910">
        <v>5000000</v>
      </c>
      <c r="AG350" s="2128">
        <f t="shared" si="237"/>
        <v>4922623.25</v>
      </c>
    </row>
    <row r="351" spans="1:33" ht="21.95" customHeight="1" x14ac:dyDescent="0.2">
      <c r="A351" s="1910">
        <f>A26</f>
        <v>6</v>
      </c>
      <c r="B351" s="2131">
        <f t="shared" si="225"/>
        <v>6</v>
      </c>
      <c r="C351" s="2132"/>
      <c r="D351" s="2133" t="str">
        <f>VLOOKUP($A351,satpek!$B$20:$N$144,2,0)</f>
        <v>Menggali tanah biasa sedalam 2 m'</v>
      </c>
      <c r="E351" s="2133"/>
      <c r="F351" s="2134"/>
      <c r="G351" s="1945">
        <f>G26</f>
        <v>415</v>
      </c>
      <c r="H351" s="2456" t="str">
        <f>VLOOKUP($A351,satpek!$B$20:$N$144,7,0)</f>
        <v>m3</v>
      </c>
      <c r="I351" s="3281" t="str">
        <f>VLOOKUP($A351,satpek!$B$20:$N$144,5,0)</f>
        <v>A.2.3.1.2.</v>
      </c>
      <c r="J351" s="1951">
        <f>VLOOKUP($A351,satpek!$B$20:$N$144,6,0)</f>
        <v>94377.600000000006</v>
      </c>
      <c r="K351" s="3273"/>
      <c r="L351" s="1952">
        <f t="shared" si="232"/>
        <v>39166704</v>
      </c>
      <c r="M351" s="1967"/>
      <c r="N351" s="2458"/>
      <c r="O351" s="1954">
        <f>VLOOKUP($A351,satpek!$B$20:$L$138,9,0)</f>
        <v>83520</v>
      </c>
      <c r="P351" s="1954">
        <f>VLOOKUP($A351,satpek!$B$20:$L$138,10,0)</f>
        <v>94377.600000000006</v>
      </c>
      <c r="Q351" s="1952">
        <f t="shared" si="233"/>
        <v>34660800</v>
      </c>
      <c r="R351" s="1952">
        <f t="shared" si="234"/>
        <v>0</v>
      </c>
      <c r="S351" s="3282">
        <f t="shared" si="235"/>
        <v>39166704</v>
      </c>
      <c r="V351" s="1958">
        <v>1</v>
      </c>
      <c r="W351" s="1958"/>
      <c r="X351" s="1958">
        <f t="shared" si="236"/>
        <v>-414</v>
      </c>
      <c r="Y351" s="2127" t="s">
        <v>1888</v>
      </c>
      <c r="AD351" s="2127"/>
      <c r="AE351" s="2127"/>
      <c r="AF351" s="1910">
        <v>5000000</v>
      </c>
      <c r="AG351" s="2128">
        <f t="shared" si="237"/>
        <v>4905622.4000000004</v>
      </c>
    </row>
    <row r="352" spans="1:33" ht="21.95" customHeight="1" x14ac:dyDescent="0.2">
      <c r="A352" s="1910">
        <f>A27</f>
        <v>7</v>
      </c>
      <c r="B352" s="2131">
        <f t="shared" si="225"/>
        <v>7</v>
      </c>
      <c r="C352" s="2132"/>
      <c r="D352" s="2133" t="str">
        <f>VLOOKUP($A352,satpek!$B$20:$N$144,2,0)</f>
        <v>Pengurugan kembali galian tanah</v>
      </c>
      <c r="E352" s="2133"/>
      <c r="F352" s="2134"/>
      <c r="G352" s="1945">
        <f>G27</f>
        <v>162.036</v>
      </c>
      <c r="H352" s="2456" t="str">
        <f>VLOOKUP($A352,satpek!$B$20:$N$144,7,0)</f>
        <v>m3</v>
      </c>
      <c r="I352" s="3281" t="str">
        <f>VLOOKUP($A352,satpek!$B$20:$N$144,5,0)</f>
        <v>A.2.3.1.9.</v>
      </c>
      <c r="J352" s="1951">
        <f>VLOOKUP($A352,satpek!$B$20:$N$144,6,0)</f>
        <v>54974.5</v>
      </c>
      <c r="K352" s="3273"/>
      <c r="L352" s="1952">
        <f t="shared" si="232"/>
        <v>8907848.0800000001</v>
      </c>
      <c r="M352" s="1967"/>
      <c r="N352" s="2458"/>
      <c r="O352" s="1954">
        <f>VLOOKUP($A352,satpek!$B$20:$L$138,9,0)</f>
        <v>48650</v>
      </c>
      <c r="P352" s="1954">
        <f>VLOOKUP($A352,satpek!$B$20:$L$138,10,0)</f>
        <v>54974.5</v>
      </c>
      <c r="Q352" s="1952">
        <f t="shared" si="233"/>
        <v>7883051.4000000004</v>
      </c>
      <c r="R352" s="1952">
        <f t="shared" si="234"/>
        <v>0</v>
      </c>
      <c r="S352" s="3282">
        <f t="shared" si="235"/>
        <v>8907848.0800000001</v>
      </c>
      <c r="V352" s="1958">
        <v>1</v>
      </c>
      <c r="W352" s="1958"/>
      <c r="X352" s="1958">
        <f t="shared" si="236"/>
        <v>-161.036</v>
      </c>
      <c r="Y352" s="2127" t="s">
        <v>1888</v>
      </c>
      <c r="AD352" s="2127"/>
      <c r="AE352" s="2127"/>
      <c r="AF352" s="1910">
        <v>5000000</v>
      </c>
      <c r="AG352" s="2128">
        <f t="shared" si="237"/>
        <v>4945025.5</v>
      </c>
    </row>
    <row r="353" spans="1:33" ht="21.95" customHeight="1" x14ac:dyDescent="0.2">
      <c r="A353" s="1910">
        <f>A28</f>
        <v>9</v>
      </c>
      <c r="B353" s="2131">
        <f t="shared" si="225"/>
        <v>8</v>
      </c>
      <c r="C353" s="2132"/>
      <c r="D353" s="2133" t="str">
        <f>D28</f>
        <v>Urug tanah padat dan dipadatkan</v>
      </c>
      <c r="E353" s="2133"/>
      <c r="F353" s="2134"/>
      <c r="G353" s="1945">
        <f>G28</f>
        <v>631.13400000000001</v>
      </c>
      <c r="H353" s="2456" t="str">
        <f>VLOOKUP($A353,satpek!$B$20:$N$144,7,0)</f>
        <v>m3</v>
      </c>
      <c r="I353" s="3281" t="str">
        <f>VLOOKUP($A353,satpek!$B$20:$N$144,5,0)</f>
        <v>An. Dihitung</v>
      </c>
      <c r="J353" s="1951">
        <f>J28</f>
        <v>148301.20000000001</v>
      </c>
      <c r="K353" s="3273"/>
      <c r="L353" s="1952">
        <f t="shared" si="232"/>
        <v>93597929.560000002</v>
      </c>
      <c r="M353" s="1967"/>
      <c r="N353" s="2458"/>
      <c r="O353" s="1954">
        <f>VLOOKUP($A353,satpek!$B$20:$L$138,9,0)</f>
        <v>82590</v>
      </c>
      <c r="P353" s="1954">
        <f>VLOOKUP($A353,satpek!$B$20:$L$138,10,0)</f>
        <v>93326.7</v>
      </c>
      <c r="Q353" s="1952">
        <f t="shared" si="233"/>
        <v>52125357.060000002</v>
      </c>
      <c r="R353" s="1952">
        <f t="shared" si="234"/>
        <v>0</v>
      </c>
      <c r="S353" s="3282">
        <f t="shared" si="235"/>
        <v>93597929.560000002</v>
      </c>
      <c r="V353" s="1958">
        <v>1</v>
      </c>
      <c r="W353" s="1958"/>
      <c r="X353" s="1958">
        <f t="shared" si="236"/>
        <v>-630.13400000000001</v>
      </c>
      <c r="Y353" s="2127" t="s">
        <v>1888</v>
      </c>
      <c r="AD353" s="2127"/>
      <c r="AE353" s="2127"/>
      <c r="AF353" s="1910">
        <v>5000000</v>
      </c>
      <c r="AG353" s="2128">
        <f t="shared" si="237"/>
        <v>4851698.8</v>
      </c>
    </row>
    <row r="354" spans="1:33" ht="21.95" customHeight="1" x14ac:dyDescent="0.2">
      <c r="A354" s="1910">
        <f>A29</f>
        <v>10</v>
      </c>
      <c r="B354" s="2131">
        <f t="shared" si="225"/>
        <v>9</v>
      </c>
      <c r="C354" s="2132"/>
      <c r="D354" s="2133" t="str">
        <f>VLOOKUP($A354,satpek!$B$20:$N$144,2,0)</f>
        <v>Mengurug pasir urug</v>
      </c>
      <c r="E354" s="2133"/>
      <c r="F354" s="2134"/>
      <c r="G354" s="1945">
        <f>G320+G29</f>
        <v>70.13000000000001</v>
      </c>
      <c r="H354" s="2456" t="str">
        <f>VLOOKUP($A354,satpek!$B$20:$N$144,7,0)</f>
        <v>m3</v>
      </c>
      <c r="I354" s="3281" t="str">
        <f>VLOOKUP($A354,satpek!$B$20:$N$144,5,0)</f>
        <v>A.2.3.1.11.</v>
      </c>
      <c r="J354" s="1951">
        <f>VLOOKUP($A354,satpek!$B$20:$N$144,6,0)</f>
        <v>251978.7</v>
      </c>
      <c r="K354" s="3273"/>
      <c r="L354" s="1952">
        <f t="shared" si="232"/>
        <v>17671266.23</v>
      </c>
      <c r="M354" s="1967"/>
      <c r="N354" s="2458"/>
      <c r="O354" s="1954">
        <f>VLOOKUP($A354,satpek!$B$20:$L$138,9,0)</f>
        <v>222990</v>
      </c>
      <c r="P354" s="1954">
        <f>VLOOKUP($A354,satpek!$B$20:$L$138,10,0)</f>
        <v>251978.7</v>
      </c>
      <c r="Q354" s="1952">
        <f t="shared" si="233"/>
        <v>15638288.700000003</v>
      </c>
      <c r="R354" s="1952">
        <f t="shared" si="234"/>
        <v>0</v>
      </c>
      <c r="S354" s="3282">
        <f t="shared" si="235"/>
        <v>17671266.23</v>
      </c>
      <c r="V354" s="1958">
        <v>1</v>
      </c>
      <c r="W354" s="1958"/>
      <c r="X354" s="1958">
        <f t="shared" si="236"/>
        <v>-69.13000000000001</v>
      </c>
      <c r="Y354" s="2127" t="s">
        <v>1888</v>
      </c>
      <c r="AD354" s="2127"/>
      <c r="AE354" s="2127"/>
      <c r="AF354" s="1910">
        <v>5000000</v>
      </c>
      <c r="AG354" s="2128">
        <f t="shared" si="237"/>
        <v>4748021.3</v>
      </c>
    </row>
    <row r="355" spans="1:33" ht="21.95" customHeight="1" x14ac:dyDescent="0.2">
      <c r="A355" s="1910">
        <f>A33</f>
        <v>11</v>
      </c>
      <c r="B355" s="2131">
        <f t="shared" si="225"/>
        <v>10</v>
      </c>
      <c r="C355" s="2132"/>
      <c r="D355" s="2133" t="str">
        <f>VLOOKUP($A355,satpek!$B$20:$N$144,2,0)</f>
        <v>Memasang pondasi batu belah, campuran 1 PC : 6 PP</v>
      </c>
      <c r="E355" s="2133"/>
      <c r="F355" s="2134"/>
      <c r="G355" s="1945">
        <f>G33</f>
        <v>44.044000000000004</v>
      </c>
      <c r="H355" s="2456" t="str">
        <f>VLOOKUP($A355,satpek!$B$20:$N$144,7,0)</f>
        <v>m3</v>
      </c>
      <c r="I355" s="3281" t="str">
        <f>VLOOKUP($A355,satpek!$B$20:$N$144,5,0)</f>
        <v>A.3.2.1.4.</v>
      </c>
      <c r="J355" s="1951">
        <f>VLOOKUP($A355,satpek!$B$20:$N$144,6,0)</f>
        <v>931300.8</v>
      </c>
      <c r="K355" s="3273"/>
      <c r="L355" s="1952">
        <f t="shared" si="232"/>
        <v>41018212.439999998</v>
      </c>
      <c r="M355" s="1967"/>
      <c r="N355" s="2458"/>
      <c r="O355" s="1954">
        <f>VLOOKUP($A355,satpek!$B$20:$L$138,9,0)</f>
        <v>803296.56</v>
      </c>
      <c r="P355" s="1954">
        <f>VLOOKUP($A355,satpek!$B$20:$L$138,10,0)</f>
        <v>907725.1128</v>
      </c>
      <c r="Q355" s="1952">
        <f t="shared" si="233"/>
        <v>35380393.688640006</v>
      </c>
      <c r="R355" s="1952">
        <f t="shared" si="234"/>
        <v>0</v>
      </c>
      <c r="S355" s="3282">
        <f t="shared" si="235"/>
        <v>41018212.439999998</v>
      </c>
      <c r="V355" s="1958">
        <v>1</v>
      </c>
      <c r="W355" s="1958"/>
      <c r="X355" s="1958">
        <f t="shared" si="236"/>
        <v>-43.044000000000004</v>
      </c>
      <c r="Y355" s="2127" t="s">
        <v>1888</v>
      </c>
      <c r="AD355" s="2127"/>
      <c r="AE355" s="2127"/>
      <c r="AF355" s="1910">
        <v>5000000</v>
      </c>
      <c r="AG355" s="2128">
        <f t="shared" si="237"/>
        <v>4068699.2</v>
      </c>
    </row>
    <row r="356" spans="1:33" ht="21.95" customHeight="1" x14ac:dyDescent="0.2">
      <c r="A356" s="1910">
        <f>A32</f>
        <v>13</v>
      </c>
      <c r="B356" s="2131">
        <f t="shared" si="225"/>
        <v>11</v>
      </c>
      <c r="C356" s="2132"/>
      <c r="D356" s="2133" t="str">
        <f>VLOOKUP($A356,satpek!$B$20:$N$144,2,0)</f>
        <v>Memasang batu kosong ( anstamping )</v>
      </c>
      <c r="E356" s="2133"/>
      <c r="F356" s="2134"/>
      <c r="G356" s="1945">
        <f>G32</f>
        <v>9.9200000000000017</v>
      </c>
      <c r="H356" s="2456" t="str">
        <f>VLOOKUP($A356,satpek!$B$20:$N$144,7,0)</f>
        <v>m3</v>
      </c>
      <c r="I356" s="3281" t="str">
        <f>VLOOKUP($A356,satpek!$B$20:$N$144,5,0)</f>
        <v>A.3.2.1.9.</v>
      </c>
      <c r="J356" s="1951">
        <f>VLOOKUP($A356,satpek!$B$20:$N$144,6,0)</f>
        <v>571377.72</v>
      </c>
      <c r="K356" s="3273"/>
      <c r="L356" s="1952">
        <f t="shared" ref="L356:L382" si="238">ROUND((G356*J356),2)</f>
        <v>5668066.9800000004</v>
      </c>
      <c r="M356" s="1967"/>
      <c r="N356" s="2458"/>
      <c r="O356" s="1954">
        <f>VLOOKUP($A356,satpek!$B$20:$L$138,9,0)</f>
        <v>505644</v>
      </c>
      <c r="P356" s="1954">
        <f>VLOOKUP($A356,satpek!$B$20:$L$138,10,0)</f>
        <v>571377.72</v>
      </c>
      <c r="Q356" s="1952">
        <f t="shared" ref="Q356:Q382" si="239">O356*G356</f>
        <v>5015988.4800000004</v>
      </c>
      <c r="R356" s="1952">
        <f t="shared" ref="R356:R382" si="240">N356*L356</f>
        <v>0</v>
      </c>
      <c r="S356" s="3282">
        <f t="shared" ref="S356:S382" si="241">L356-R356</f>
        <v>5668066.9800000004</v>
      </c>
      <c r="V356" s="1958">
        <v>1</v>
      </c>
      <c r="W356" s="1958"/>
      <c r="X356" s="1958">
        <f t="shared" ref="X356:X382" si="242">V356-G356</f>
        <v>-8.9200000000000017</v>
      </c>
      <c r="Y356" s="2127" t="s">
        <v>1888</v>
      </c>
      <c r="AD356" s="2127"/>
      <c r="AE356" s="2127"/>
      <c r="AF356" s="1910">
        <v>5000000</v>
      </c>
      <c r="AG356" s="2128">
        <f t="shared" ref="AG356:AG382" si="243">AF356-J356</f>
        <v>4428622.28</v>
      </c>
    </row>
    <row r="357" spans="1:33" ht="21.95" customHeight="1" x14ac:dyDescent="0.2">
      <c r="A357" s="1910">
        <f>A34</f>
        <v>14</v>
      </c>
      <c r="B357" s="2131">
        <f t="shared" si="225"/>
        <v>12</v>
      </c>
      <c r="C357" s="2132"/>
      <c r="D357" s="2133" t="str">
        <f>VLOOKUP($A357,satpek!$B$20:$N$144,2,0)</f>
        <v>Membuat dinding bata merah tebal 1 bata , camp 1 PC : 5 PP</v>
      </c>
      <c r="E357" s="2133"/>
      <c r="F357" s="2134"/>
      <c r="G357" s="1945">
        <f>G34</f>
        <v>7.68</v>
      </c>
      <c r="H357" s="2456" t="str">
        <f>VLOOKUP($A357,satpek!$B$20:$N$144,7,0)</f>
        <v>m2</v>
      </c>
      <c r="I357" s="3281" t="str">
        <f>VLOOKUP($A357,satpek!$B$20:$N$144,5,0)</f>
        <v>A.4.4.1.4.</v>
      </c>
      <c r="J357" s="1951">
        <f>VLOOKUP($A357,satpek!$B$20:$N$144,6,0)</f>
        <v>272058.8</v>
      </c>
      <c r="K357" s="3273"/>
      <c r="L357" s="1952">
        <f t="shared" si="238"/>
        <v>2089411.58</v>
      </c>
      <c r="M357" s="1967"/>
      <c r="N357" s="2458"/>
      <c r="O357" s="1954">
        <f>VLOOKUP($A357,satpek!$B$20:$L$138,9,0)</f>
        <v>236801.296</v>
      </c>
      <c r="P357" s="1954">
        <f>VLOOKUP($A357,satpek!$B$20:$L$138,10,0)</f>
        <v>267585.46448000002</v>
      </c>
      <c r="Q357" s="1952">
        <f t="shared" si="239"/>
        <v>1818633.95328</v>
      </c>
      <c r="R357" s="1952">
        <f t="shared" si="240"/>
        <v>0</v>
      </c>
      <c r="S357" s="3282">
        <f t="shared" si="241"/>
        <v>2089411.58</v>
      </c>
      <c r="V357" s="1958">
        <v>1</v>
      </c>
      <c r="W357" s="1958"/>
      <c r="X357" s="1958">
        <f t="shared" si="242"/>
        <v>-6.68</v>
      </c>
      <c r="Y357" s="2127" t="s">
        <v>1888</v>
      </c>
      <c r="AD357" s="2127"/>
      <c r="AE357" s="2127"/>
      <c r="AF357" s="1910">
        <v>5000000</v>
      </c>
      <c r="AG357" s="2128">
        <f t="shared" si="243"/>
        <v>4727941.2</v>
      </c>
    </row>
    <row r="358" spans="1:33" ht="21.95" customHeight="1" x14ac:dyDescent="0.2">
      <c r="A358" s="1910">
        <f>A136</f>
        <v>15</v>
      </c>
      <c r="B358" s="2131">
        <f t="shared" si="225"/>
        <v>13</v>
      </c>
      <c r="C358" s="2132"/>
      <c r="D358" s="2133" t="str">
        <f>VLOOKUP($A358,satpek!$B$20:$N$144,2,0)</f>
        <v>Membuat dinding bt. merah t: 1/2bata, camp 1PC:8PP</v>
      </c>
      <c r="E358" s="2133"/>
      <c r="F358" s="2134"/>
      <c r="G358" s="1945">
        <f>G143+G136</f>
        <v>956.49250000000006</v>
      </c>
      <c r="H358" s="2456" t="str">
        <f>VLOOKUP($A358,satpek!$B$20:$N$144,7,0)</f>
        <v>m2</v>
      </c>
      <c r="I358" s="3281" t="str">
        <f>VLOOKUP($A358,satpek!$B$20:$N$144,5,0)</f>
        <v>A.4.4.1.12.</v>
      </c>
      <c r="J358" s="1951">
        <f>VLOOKUP($A358,satpek!$B$20:$N$144,6,0)</f>
        <v>129498</v>
      </c>
      <c r="K358" s="3273"/>
      <c r="L358" s="1952">
        <f t="shared" si="238"/>
        <v>123863865.77</v>
      </c>
      <c r="M358" s="1967"/>
      <c r="N358" s="2458"/>
      <c r="O358" s="1954">
        <f>VLOOKUP($A358,satpek!$B$20:$L$138,9,0)</f>
        <v>113440.92</v>
      </c>
      <c r="P358" s="1954">
        <f>VLOOKUP($A358,satpek!$B$20:$L$138,10,0)</f>
        <v>128188.2396</v>
      </c>
      <c r="Q358" s="1952">
        <f t="shared" si="239"/>
        <v>108505389.17310001</v>
      </c>
      <c r="R358" s="1952">
        <f t="shared" si="240"/>
        <v>0</v>
      </c>
      <c r="S358" s="3282">
        <f t="shared" si="241"/>
        <v>123863865.77</v>
      </c>
      <c r="V358" s="1958">
        <v>1</v>
      </c>
      <c r="W358" s="1958"/>
      <c r="X358" s="1958">
        <f t="shared" si="242"/>
        <v>-955.49250000000006</v>
      </c>
      <c r="Y358" s="2127" t="s">
        <v>1888</v>
      </c>
      <c r="AD358" s="2127"/>
      <c r="AE358" s="2127"/>
      <c r="AF358" s="1910">
        <v>5000000</v>
      </c>
      <c r="AG358" s="2128">
        <f t="shared" si="243"/>
        <v>4870502</v>
      </c>
    </row>
    <row r="359" spans="1:33" ht="21.95" customHeight="1" x14ac:dyDescent="0.2">
      <c r="A359" s="1910">
        <f>A138</f>
        <v>17</v>
      </c>
      <c r="B359" s="2131">
        <f t="shared" si="225"/>
        <v>14</v>
      </c>
      <c r="C359" s="2132"/>
      <c r="D359" s="2133" t="str">
        <f>VLOOKUP($A359,satpek!$B$20:$N$144,2,0)</f>
        <v>Memasang plesteran 1 PC : 6 PP, tebal 15 mm</v>
      </c>
      <c r="E359" s="2133"/>
      <c r="F359" s="2134"/>
      <c r="G359" s="1945">
        <f>G145+G138</f>
        <v>1912.9850000000001</v>
      </c>
      <c r="H359" s="2456" t="str">
        <f>VLOOKUP($A359,satpek!$B$20:$N$144,7,0)</f>
        <v>m2</v>
      </c>
      <c r="I359" s="3281" t="str">
        <f>VLOOKUP($A359,satpek!$B$20:$N$144,5,0)</f>
        <v>A.4.4.2.6.</v>
      </c>
      <c r="J359" s="1951">
        <f>VLOOKUP($A359,satpek!$B$20:$N$144,6,0)</f>
        <v>62262.1</v>
      </c>
      <c r="K359" s="3273"/>
      <c r="L359" s="1952">
        <f t="shared" si="238"/>
        <v>119106463.37</v>
      </c>
      <c r="M359" s="1967"/>
      <c r="N359" s="2458"/>
      <c r="O359" s="1954">
        <f>VLOOKUP($A359,satpek!$B$20:$L$138,9,0)</f>
        <v>54311.738880000004</v>
      </c>
      <c r="P359" s="1954">
        <f>VLOOKUP($A359,satpek!$B$20:$L$138,10,0)</f>
        <v>61372.264934400009</v>
      </c>
      <c r="Q359" s="1952">
        <f t="shared" si="239"/>
        <v>103897541.80135682</v>
      </c>
      <c r="R359" s="1952">
        <f t="shared" si="240"/>
        <v>0</v>
      </c>
      <c r="S359" s="3282">
        <f t="shared" si="241"/>
        <v>119106463.37</v>
      </c>
      <c r="V359" s="1958">
        <v>1</v>
      </c>
      <c r="W359" s="1958"/>
      <c r="X359" s="1958">
        <f t="shared" si="242"/>
        <v>-1911.9850000000001</v>
      </c>
      <c r="Y359" s="2127" t="s">
        <v>1888</v>
      </c>
      <c r="AD359" s="2127"/>
      <c r="AE359" s="2127"/>
      <c r="AF359" s="1910">
        <v>5000000</v>
      </c>
      <c r="AG359" s="2128">
        <f t="shared" si="243"/>
        <v>4937737.9000000004</v>
      </c>
    </row>
    <row r="360" spans="1:33" ht="21.95" customHeight="1" x14ac:dyDescent="0.2">
      <c r="A360" s="1910">
        <f>A140</f>
        <v>18</v>
      </c>
      <c r="B360" s="2131">
        <f t="shared" si="225"/>
        <v>15</v>
      </c>
      <c r="C360" s="2132"/>
      <c r="D360" s="2133" t="str">
        <f>VLOOKUP($A360,satpek!$B$20:$N$144,2,0)</f>
        <v>Memasang acian</v>
      </c>
      <c r="E360" s="2133"/>
      <c r="F360" s="2134"/>
      <c r="G360" s="1945">
        <f>G147+G140</f>
        <v>1853.4769999999999</v>
      </c>
      <c r="H360" s="2456" t="str">
        <f>VLOOKUP($A360,satpek!$B$20:$N$144,7,0)</f>
        <v>m2</v>
      </c>
      <c r="I360" s="3281" t="str">
        <f>VLOOKUP($A360,satpek!$B$20:$N$144,5,0)</f>
        <v>A.4.4.2.27.</v>
      </c>
      <c r="J360" s="1951">
        <f>VLOOKUP($A360,satpek!$B$20:$N$144,6,0)</f>
        <v>36634.6</v>
      </c>
      <c r="K360" s="3273"/>
      <c r="L360" s="1952">
        <f t="shared" si="238"/>
        <v>67901388.5</v>
      </c>
      <c r="M360" s="1967"/>
      <c r="N360" s="2458"/>
      <c r="O360" s="1954">
        <f>VLOOKUP($A360,satpek!$B$20:$L$138,9,0)</f>
        <v>31840.46</v>
      </c>
      <c r="P360" s="1954">
        <f>VLOOKUP($A360,satpek!$B$20:$L$138,10,0)</f>
        <v>35979.719799999999</v>
      </c>
      <c r="Q360" s="1952">
        <f t="shared" si="239"/>
        <v>59015560.279419996</v>
      </c>
      <c r="R360" s="1952">
        <f t="shared" si="240"/>
        <v>0</v>
      </c>
      <c r="S360" s="3282">
        <f t="shared" si="241"/>
        <v>67901388.5</v>
      </c>
      <c r="V360" s="1958">
        <v>1</v>
      </c>
      <c r="W360" s="1958"/>
      <c r="X360" s="1958">
        <f t="shared" si="242"/>
        <v>-1852.4769999999999</v>
      </c>
      <c r="Y360" s="2127" t="s">
        <v>1888</v>
      </c>
      <c r="AD360" s="2127"/>
      <c r="AE360" s="2127"/>
      <c r="AF360" s="1910">
        <v>5000000</v>
      </c>
      <c r="AG360" s="2128">
        <f t="shared" si="243"/>
        <v>4963365.4000000004</v>
      </c>
    </row>
    <row r="361" spans="1:33" ht="21.95" customHeight="1" x14ac:dyDescent="0.2">
      <c r="A361" s="1910">
        <f>A186</f>
        <v>19</v>
      </c>
      <c r="B361" s="2131">
        <f t="shared" si="225"/>
        <v>16</v>
      </c>
      <c r="C361" s="2132"/>
      <c r="D361" s="2133" t="str">
        <f>VLOOKUP($A361,satpek!$B$20:$N$144,2,0)</f>
        <v>Memasang lisplank woodplank</v>
      </c>
      <c r="E361" s="2133"/>
      <c r="F361" s="2134"/>
      <c r="G361" s="1945">
        <f>G186</f>
        <v>117.80000000000001</v>
      </c>
      <c r="H361" s="2456" t="str">
        <f>VLOOKUP($A361,satpek!$B$20:$N$144,7,0)</f>
        <v>m'</v>
      </c>
      <c r="I361" s="3281" t="str">
        <f>VLOOKUP($A361,satpek!$B$20:$N$144,5,0)</f>
        <v>An. Dihitung</v>
      </c>
      <c r="J361" s="1951">
        <f>VLOOKUP($A361,satpek!$B$20:$N$144,6,0)</f>
        <v>68139</v>
      </c>
      <c r="K361" s="3273"/>
      <c r="L361" s="1952">
        <f t="shared" si="238"/>
        <v>8026774.2000000002</v>
      </c>
      <c r="M361" s="1967"/>
      <c r="N361" s="2458"/>
      <c r="O361" s="1954">
        <f>VLOOKUP($A361,satpek!$B$20:$L$138,9,0)</f>
        <v>42000.4</v>
      </c>
      <c r="P361" s="1954">
        <f>VLOOKUP($A361,satpek!$B$20:$L$138,10,0)</f>
        <v>47460.452000000005</v>
      </c>
      <c r="Q361" s="1952">
        <f t="shared" si="239"/>
        <v>4947647.120000001</v>
      </c>
      <c r="R361" s="1952">
        <f t="shared" si="240"/>
        <v>0</v>
      </c>
      <c r="S361" s="3282">
        <f t="shared" si="241"/>
        <v>8026774.2000000002</v>
      </c>
      <c r="V361" s="1958">
        <v>1</v>
      </c>
      <c r="W361" s="1958"/>
      <c r="X361" s="1958">
        <f t="shared" si="242"/>
        <v>-116.80000000000001</v>
      </c>
      <c r="Y361" s="2127" t="s">
        <v>1888</v>
      </c>
      <c r="AD361" s="2127"/>
      <c r="AE361" s="2127"/>
      <c r="AF361" s="1910">
        <v>5000000</v>
      </c>
      <c r="AG361" s="2128">
        <f t="shared" si="243"/>
        <v>4931861</v>
      </c>
    </row>
    <row r="362" spans="1:33" ht="21.95" customHeight="1" x14ac:dyDescent="0.2">
      <c r="A362" s="1910">
        <f>A39</f>
        <v>20</v>
      </c>
      <c r="B362" s="2131">
        <f t="shared" si="225"/>
        <v>17</v>
      </c>
      <c r="C362" s="2132"/>
      <c r="D362" s="2133" t="str">
        <f>VLOOKUP($A362,satpek!$B$20:$N$144,2,0)</f>
        <v>Membuat beton mutu f'c = 7,4 Mpa - K 100</v>
      </c>
      <c r="E362" s="2133"/>
      <c r="F362" s="2134"/>
      <c r="G362" s="1945">
        <f>G161+G151+G39</f>
        <v>136.476</v>
      </c>
      <c r="H362" s="2456" t="str">
        <f>VLOOKUP($A362,satpek!$B$20:$N$144,7,0)</f>
        <v>m3</v>
      </c>
      <c r="I362" s="3281" t="str">
        <f>VLOOKUP($A362,satpek!$B$20:$N$144,5,0)</f>
        <v>A.4.1.1.1.</v>
      </c>
      <c r="J362" s="1951">
        <f>VLOOKUP($A362,satpek!$B$20:$N$144,6,0)</f>
        <v>958085.99</v>
      </c>
      <c r="K362" s="3273"/>
      <c r="L362" s="1952">
        <f t="shared" si="238"/>
        <v>130755743.56999999</v>
      </c>
      <c r="M362" s="1967"/>
      <c r="N362" s="2458"/>
      <c r="O362" s="1954">
        <f>VLOOKUP($A362,satpek!$B$20:$L$138,9,0)</f>
        <v>803818.67</v>
      </c>
      <c r="P362" s="1954">
        <f>VLOOKUP($A362,satpek!$B$20:$L$138,10,0)</f>
        <v>908315.09710000001</v>
      </c>
      <c r="Q362" s="1952">
        <f t="shared" si="239"/>
        <v>109701956.80692001</v>
      </c>
      <c r="R362" s="1952">
        <f t="shared" si="240"/>
        <v>0</v>
      </c>
      <c r="S362" s="3282">
        <f t="shared" si="241"/>
        <v>130755743.56999999</v>
      </c>
      <c r="V362" s="1958">
        <v>1</v>
      </c>
      <c r="W362" s="1958"/>
      <c r="X362" s="1958">
        <f t="shared" si="242"/>
        <v>-135.476</v>
      </c>
      <c r="Y362" s="2127" t="s">
        <v>1888</v>
      </c>
      <c r="AD362" s="2127"/>
      <c r="AE362" s="2127"/>
      <c r="AF362" s="1910">
        <v>5000000</v>
      </c>
      <c r="AG362" s="2128">
        <f t="shared" si="243"/>
        <v>4041914.01</v>
      </c>
    </row>
    <row r="363" spans="1:33" ht="21.95" customHeight="1" x14ac:dyDescent="0.2">
      <c r="A363" s="1910">
        <f>A41</f>
        <v>21</v>
      </c>
      <c r="B363" s="2131">
        <f t="shared" si="225"/>
        <v>18</v>
      </c>
      <c r="C363" s="2132"/>
      <c r="D363" s="2133" t="str">
        <f>VLOOKUP($A363,satpek!$B$20:$N$144,2,0)</f>
        <v>Membuat beton mutu f'c = 21,7 Mpa - K 250</v>
      </c>
      <c r="E363" s="2133"/>
      <c r="F363" s="2134"/>
      <c r="G363" s="1945">
        <f>G125+G119+G115+G111+G107+G101+G97+G93+G89+G85+G78+G71+G67+G63+G58+G54+G50+G45+G41</f>
        <v>312.91789999999992</v>
      </c>
      <c r="H363" s="2456" t="str">
        <f>VLOOKUP($A363,satpek!$B$20:$N$144,7,0)</f>
        <v>m3</v>
      </c>
      <c r="I363" s="3281" t="str">
        <f>VLOOKUP($A363,satpek!$B$20:$N$144,5,0)</f>
        <v>A.4.1.1.8.</v>
      </c>
      <c r="J363" s="1951">
        <f>VLOOKUP($A363,satpek!$B$20:$N$144,6,0)</f>
        <v>1115753.29</v>
      </c>
      <c r="K363" s="3273"/>
      <c r="L363" s="1952">
        <f t="shared" si="238"/>
        <v>349139176.42000002</v>
      </c>
      <c r="M363" s="1967"/>
      <c r="N363" s="2458"/>
      <c r="O363" s="1954">
        <f>VLOOKUP($A363,satpek!$B$20:$L$138,9,0)</f>
        <v>918917.40999999992</v>
      </c>
      <c r="P363" s="1954">
        <f>VLOOKUP($A363,satpek!$B$20:$L$138,10,0)</f>
        <v>1038376.6732999999</v>
      </c>
      <c r="Q363" s="1952">
        <f t="shared" si="239"/>
        <v>287545706.21063888</v>
      </c>
      <c r="R363" s="1952">
        <f t="shared" si="240"/>
        <v>0</v>
      </c>
      <c r="S363" s="3282">
        <f t="shared" si="241"/>
        <v>349139176.42000002</v>
      </c>
      <c r="V363" s="1958">
        <v>1</v>
      </c>
      <c r="W363" s="1958"/>
      <c r="X363" s="1958">
        <f t="shared" si="242"/>
        <v>-311.91789999999992</v>
      </c>
      <c r="Y363" s="2127" t="s">
        <v>1888</v>
      </c>
      <c r="AD363" s="2127"/>
      <c r="AE363" s="2127"/>
      <c r="AF363" s="1910">
        <v>5000000</v>
      </c>
      <c r="AG363" s="2128">
        <f t="shared" si="243"/>
        <v>3884246.71</v>
      </c>
    </row>
    <row r="364" spans="1:33" ht="21.95" customHeight="1" x14ac:dyDescent="0.2">
      <c r="A364" s="1910">
        <f>A42</f>
        <v>22</v>
      </c>
      <c r="B364" s="2131">
        <f t="shared" si="225"/>
        <v>19</v>
      </c>
      <c r="C364" s="2132"/>
      <c r="D364" s="2133" t="str">
        <f>VLOOKUP($A364,satpek!$B$20:$N$144,2,0)</f>
        <v>Pembesian 1 kg dengan besi polos atau besi ulir</v>
      </c>
      <c r="E364" s="2133"/>
      <c r="F364" s="2134"/>
      <c r="G364" s="1945">
        <f>G126+G120+G116+G112+G108+G102+G98+G94+G90+G86+G79+G72+G68+G64+G59+G55+G51+G46+G42</f>
        <v>43762.251618019691</v>
      </c>
      <c r="H364" s="2456" t="str">
        <f>VLOOKUP($A364,satpek!$B$20:$N$144,7,0)</f>
        <v>kg</v>
      </c>
      <c r="I364" s="3281" t="str">
        <f>VLOOKUP($A364,satpek!$B$20:$N$144,5,0)</f>
        <v>A.4.1.1.17.</v>
      </c>
      <c r="J364" s="1951">
        <f>VLOOKUP($A364,satpek!$B$20:$N$144,6,0)</f>
        <v>15603.94</v>
      </c>
      <c r="K364" s="3273"/>
      <c r="L364" s="1952">
        <f t="shared" si="238"/>
        <v>682863548.50999999</v>
      </c>
      <c r="M364" s="1967"/>
      <c r="N364" s="2458"/>
      <c r="O364" s="1954">
        <f>VLOOKUP($A364,satpek!$B$20:$L$138,9,0)</f>
        <v>7242.692500000001</v>
      </c>
      <c r="P364" s="1954">
        <f>VLOOKUP($A364,satpek!$B$20:$L$138,10,0)</f>
        <v>8184.2425250000015</v>
      </c>
      <c r="Q364" s="1952">
        <f t="shared" si="239"/>
        <v>316956531.57694411</v>
      </c>
      <c r="R364" s="1952">
        <f t="shared" si="240"/>
        <v>0</v>
      </c>
      <c r="S364" s="3282">
        <f t="shared" si="241"/>
        <v>682863548.50999999</v>
      </c>
      <c r="V364" s="1958">
        <v>1</v>
      </c>
      <c r="W364" s="1958"/>
      <c r="X364" s="1958">
        <f t="shared" si="242"/>
        <v>-43761.251618019691</v>
      </c>
      <c r="Y364" s="2127" t="s">
        <v>1888</v>
      </c>
      <c r="AD364" s="2127"/>
      <c r="AE364" s="2127"/>
      <c r="AF364" s="1910">
        <v>5000000</v>
      </c>
      <c r="AG364" s="2128">
        <f t="shared" si="243"/>
        <v>4984396.0599999996</v>
      </c>
    </row>
    <row r="365" spans="1:33" ht="21.95" customHeight="1" x14ac:dyDescent="0.2">
      <c r="A365" s="1910">
        <f>A43</f>
        <v>23</v>
      </c>
      <c r="B365" s="2131">
        <f t="shared" si="225"/>
        <v>20</v>
      </c>
      <c r="C365" s="2132"/>
      <c r="D365" s="2133" t="str">
        <f>VLOOKUP($A365,satpek!$B$20:$N$144,2,0)</f>
        <v>Memasang bekisting untuk pondasi ( 2x pakai )</v>
      </c>
      <c r="E365" s="2133"/>
      <c r="F365" s="2134"/>
      <c r="G365" s="1945">
        <f>G47+G43</f>
        <v>142.08000000000001</v>
      </c>
      <c r="H365" s="2456" t="str">
        <f>VLOOKUP($A365,satpek!$B$20:$N$144,7,0)</f>
        <v>m2</v>
      </c>
      <c r="I365" s="3281" t="str">
        <f>VLOOKUP($A365,satpek!$B$20:$N$144,5,0)</f>
        <v>A.4.1.1.20.</v>
      </c>
      <c r="J365" s="1951">
        <f>VLOOKUP($A365,satpek!$B$20:$N$144,6,0)</f>
        <v>115782.06</v>
      </c>
      <c r="K365" s="3273"/>
      <c r="L365" s="1952">
        <f t="shared" si="238"/>
        <v>16450315.08</v>
      </c>
      <c r="M365" s="1967"/>
      <c r="N365" s="2458"/>
      <c r="O365" s="1954">
        <f>VLOOKUP($A365,satpek!$B$20:$L$138,9,0)</f>
        <v>96672</v>
      </c>
      <c r="P365" s="1954">
        <f>VLOOKUP($A365,satpek!$B$20:$L$138,10,0)</f>
        <v>109239.36</v>
      </c>
      <c r="Q365" s="1952">
        <f t="shared" si="239"/>
        <v>13735157.760000002</v>
      </c>
      <c r="R365" s="1952">
        <f t="shared" si="240"/>
        <v>0</v>
      </c>
      <c r="S365" s="3282">
        <f t="shared" si="241"/>
        <v>16450315.08</v>
      </c>
      <c r="V365" s="1958">
        <v>1</v>
      </c>
      <c r="W365" s="1958"/>
      <c r="X365" s="1958">
        <f t="shared" si="242"/>
        <v>-141.08000000000001</v>
      </c>
      <c r="Y365" s="2127" t="s">
        <v>1888</v>
      </c>
      <c r="AD365" s="2127"/>
      <c r="AE365" s="2127"/>
      <c r="AF365" s="1910">
        <v>5000000</v>
      </c>
      <c r="AG365" s="2128">
        <f t="shared" si="243"/>
        <v>4884217.9400000004</v>
      </c>
    </row>
    <row r="366" spans="1:33" ht="21.95" customHeight="1" x14ac:dyDescent="0.2">
      <c r="A366" s="1910">
        <f>A52</f>
        <v>24</v>
      </c>
      <c r="B366" s="2131">
        <f t="shared" si="225"/>
        <v>21</v>
      </c>
      <c r="C366" s="2132"/>
      <c r="D366" s="2133" t="str">
        <f>VLOOKUP($A366,satpek!$B$20:$N$144,2,0)</f>
        <v>Memasang bekisting untuk sloof (2 kali pakai)</v>
      </c>
      <c r="E366" s="2133"/>
      <c r="F366" s="2134"/>
      <c r="G366" s="1945">
        <f>G60+G56+G52</f>
        <v>413.8</v>
      </c>
      <c r="H366" s="2456" t="str">
        <f>VLOOKUP($A366,satpek!$B$20:$N$144,7,0)</f>
        <v>m2</v>
      </c>
      <c r="I366" s="3281" t="str">
        <f>VLOOKUP($A366,satpek!$B$20:$N$144,5,0)</f>
        <v>A.4.1.1.21.</v>
      </c>
      <c r="J366" s="1951">
        <f>VLOOKUP($A366,satpek!$B$20:$N$144,6,0)</f>
        <v>118889.56</v>
      </c>
      <c r="K366" s="3273"/>
      <c r="L366" s="1952">
        <f t="shared" si="238"/>
        <v>49196499.93</v>
      </c>
      <c r="M366" s="1967"/>
      <c r="N366" s="2458"/>
      <c r="O366" s="1954">
        <f>VLOOKUP($A366,satpek!$B$20:$L$138,9,0)</f>
        <v>99422</v>
      </c>
      <c r="P366" s="1954">
        <f>VLOOKUP($A366,satpek!$B$20:$L$138,10,0)</f>
        <v>112346.86</v>
      </c>
      <c r="Q366" s="1952">
        <f t="shared" si="239"/>
        <v>41140823.600000001</v>
      </c>
      <c r="R366" s="1952">
        <f t="shared" si="240"/>
        <v>0</v>
      </c>
      <c r="S366" s="3282">
        <f t="shared" si="241"/>
        <v>49196499.93</v>
      </c>
      <c r="V366" s="1958">
        <v>1</v>
      </c>
      <c r="W366" s="1958"/>
      <c r="X366" s="1958">
        <f t="shared" si="242"/>
        <v>-412.8</v>
      </c>
      <c r="Y366" s="2127" t="s">
        <v>1888</v>
      </c>
      <c r="AD366" s="2127"/>
      <c r="AE366" s="2127"/>
      <c r="AF366" s="1910">
        <v>5000000</v>
      </c>
      <c r="AG366" s="2128">
        <f t="shared" si="243"/>
        <v>4881110.4400000004</v>
      </c>
    </row>
    <row r="367" spans="1:33" ht="21.95" customHeight="1" x14ac:dyDescent="0.2">
      <c r="A367" s="1910">
        <f>A65</f>
        <v>25</v>
      </c>
      <c r="B367" s="2131">
        <f t="shared" si="225"/>
        <v>22</v>
      </c>
      <c r="C367" s="2132"/>
      <c r="D367" s="2133" t="str">
        <f>VLOOKUP($A367,satpek!$B$20:$N$144,2,0)</f>
        <v>Memasang bekisting untuk kolom (2 kali pakai)</v>
      </c>
      <c r="E367" s="2133"/>
      <c r="F367" s="2134"/>
      <c r="G367" s="1945">
        <f>G127+G73+G69+G65</f>
        <v>278.40000000000003</v>
      </c>
      <c r="H367" s="2456" t="str">
        <f>VLOOKUP($A367,satpek!$B$20:$N$144,7,0)</f>
        <v>m2</v>
      </c>
      <c r="I367" s="3281" t="str">
        <f>VLOOKUP($A367,satpek!$B$20:$N$144,5,0)</f>
        <v>A.4.1.1.22.</v>
      </c>
      <c r="J367" s="1951">
        <f>VLOOKUP($A367,satpek!$B$20:$N$144,6,0)</f>
        <v>192050.28</v>
      </c>
      <c r="K367" s="3273"/>
      <c r="L367" s="1952">
        <f t="shared" si="238"/>
        <v>53466797.950000003</v>
      </c>
      <c r="M367" s="1967"/>
      <c r="N367" s="2458"/>
      <c r="O367" s="1954">
        <f>VLOOKUP($A367,satpek!$B$20:$L$138,9,0)</f>
        <v>140776</v>
      </c>
      <c r="P367" s="1954">
        <f>VLOOKUP($A367,satpek!$B$20:$L$138,10,0)</f>
        <v>159076.88</v>
      </c>
      <c r="Q367" s="1952">
        <f t="shared" si="239"/>
        <v>39192038.400000006</v>
      </c>
      <c r="R367" s="1952">
        <f t="shared" si="240"/>
        <v>0</v>
      </c>
      <c r="S367" s="3282">
        <f t="shared" si="241"/>
        <v>53466797.950000003</v>
      </c>
      <c r="V367" s="1958">
        <v>1</v>
      </c>
      <c r="W367" s="1958"/>
      <c r="X367" s="1958">
        <f t="shared" si="242"/>
        <v>-277.40000000000003</v>
      </c>
      <c r="Y367" s="2127" t="s">
        <v>1888</v>
      </c>
      <c r="AD367" s="2127"/>
      <c r="AE367" s="2127"/>
      <c r="AF367" s="1910">
        <v>5000000</v>
      </c>
      <c r="AG367" s="2128">
        <f t="shared" si="243"/>
        <v>4807949.72</v>
      </c>
    </row>
    <row r="368" spans="1:33" ht="21.95" customHeight="1" x14ac:dyDescent="0.2">
      <c r="A368" s="1910">
        <f>A87</f>
        <v>26</v>
      </c>
      <c r="B368" s="2131">
        <f t="shared" si="225"/>
        <v>23</v>
      </c>
      <c r="C368" s="2132"/>
      <c r="D368" s="2133" t="str">
        <f>VLOOKUP($A368,satpek!$B$20:$N$144,2,0)</f>
        <v>Memasang bekisting untuk balok (2x pakai)</v>
      </c>
      <c r="E368" s="2133"/>
      <c r="F368" s="2134"/>
      <c r="G368" s="1945">
        <f>G103+G99+G95+G91+G87</f>
        <v>921.87499999999989</v>
      </c>
      <c r="H368" s="2456" t="str">
        <f>VLOOKUP($A368,satpek!$B$20:$N$144,7,0)</f>
        <v>m2</v>
      </c>
      <c r="I368" s="3281" t="str">
        <f>VLOOKUP($A368,satpek!$B$20:$N$144,5,0)</f>
        <v>A.4.1.1.23.</v>
      </c>
      <c r="J368" s="1951">
        <f>VLOOKUP($A368,satpek!$B$20:$N$144,6,0)</f>
        <v>194762.28</v>
      </c>
      <c r="K368" s="3273"/>
      <c r="L368" s="1952">
        <f t="shared" si="238"/>
        <v>179546476.88</v>
      </c>
      <c r="M368" s="1967"/>
      <c r="N368" s="2458"/>
      <c r="O368" s="1954">
        <f>VLOOKUP($A368,satpek!$B$20:$L$138,9,0)</f>
        <v>143176</v>
      </c>
      <c r="P368" s="1954">
        <f>VLOOKUP($A368,satpek!$B$20:$L$138,10,0)</f>
        <v>161788.88</v>
      </c>
      <c r="Q368" s="1952">
        <f t="shared" si="239"/>
        <v>131990374.99999999</v>
      </c>
      <c r="R368" s="1952">
        <f t="shared" si="240"/>
        <v>0</v>
      </c>
      <c r="S368" s="3282">
        <f t="shared" si="241"/>
        <v>179546476.88</v>
      </c>
      <c r="V368" s="1958">
        <v>1</v>
      </c>
      <c r="W368" s="1958"/>
      <c r="X368" s="1958">
        <f t="shared" si="242"/>
        <v>-920.87499999999989</v>
      </c>
      <c r="Y368" s="2127" t="s">
        <v>1888</v>
      </c>
      <c r="AD368" s="2127"/>
      <c r="AE368" s="2127"/>
      <c r="AF368" s="1910">
        <v>5000000</v>
      </c>
      <c r="AG368" s="2128">
        <f t="shared" si="243"/>
        <v>4805237.72</v>
      </c>
    </row>
    <row r="369" spans="1:33" ht="21.95" customHeight="1" x14ac:dyDescent="0.2">
      <c r="A369" s="1910">
        <f>A109</f>
        <v>27</v>
      </c>
      <c r="B369" s="2131">
        <f t="shared" si="225"/>
        <v>24</v>
      </c>
      <c r="C369" s="2132"/>
      <c r="D369" s="2133" t="str">
        <f>VLOOKUP($A369,satpek!$B$20:$N$144,2,0)</f>
        <v>Memasang bekisting untuk lantai (2x pakai)</v>
      </c>
      <c r="E369" s="2133"/>
      <c r="F369" s="2134"/>
      <c r="G369" s="1945">
        <f>G121+G117+G113+G109</f>
        <v>1145.4571999999998</v>
      </c>
      <c r="H369" s="2456" t="str">
        <f>VLOOKUP($A369,satpek!$B$20:$N$144,7,0)</f>
        <v>m2</v>
      </c>
      <c r="I369" s="3281" t="str">
        <f>VLOOKUP($A369,satpek!$B$20:$N$144,5,0)</f>
        <v>A.4.1.1.24</v>
      </c>
      <c r="J369" s="1951">
        <f>VLOOKUP($A369,satpek!$B$20:$N$144,6,0)</f>
        <v>242900.28</v>
      </c>
      <c r="K369" s="3273"/>
      <c r="L369" s="1952">
        <f t="shared" si="238"/>
        <v>278231874.61000001</v>
      </c>
      <c r="M369" s="1967"/>
      <c r="N369" s="2458"/>
      <c r="O369" s="1954">
        <f>VLOOKUP($A369,satpek!$B$20:$L$138,9,0)</f>
        <v>164776</v>
      </c>
      <c r="P369" s="1954">
        <f>VLOOKUP($A369,satpek!$B$20:$L$138,10,0)</f>
        <v>186196.88</v>
      </c>
      <c r="Q369" s="1952">
        <f t="shared" si="239"/>
        <v>188743855.58719999</v>
      </c>
      <c r="R369" s="1952">
        <f t="shared" si="240"/>
        <v>0</v>
      </c>
      <c r="S369" s="3282">
        <f t="shared" si="241"/>
        <v>278231874.61000001</v>
      </c>
      <c r="V369" s="1958">
        <v>1</v>
      </c>
      <c r="W369" s="1958"/>
      <c r="X369" s="1958">
        <f t="shared" si="242"/>
        <v>-1144.4571999999998</v>
      </c>
      <c r="Y369" s="2127" t="s">
        <v>1888</v>
      </c>
      <c r="AD369" s="2127"/>
      <c r="AE369" s="2127"/>
      <c r="AF369" s="1910">
        <v>5000000</v>
      </c>
      <c r="AG369" s="2128">
        <f t="shared" si="243"/>
        <v>4757099.72</v>
      </c>
    </row>
    <row r="370" spans="1:33" ht="21.95" customHeight="1" x14ac:dyDescent="0.2">
      <c r="A370" s="1910">
        <f>A80</f>
        <v>27</v>
      </c>
      <c r="B370" s="2131">
        <f t="shared" si="225"/>
        <v>25</v>
      </c>
      <c r="C370" s="2132"/>
      <c r="D370" s="2133" t="str">
        <f>VLOOKUP($A370,satpek!$B$20:$N$144,2,0)</f>
        <v>Memasang bekisting untuk lantai (2x pakai)</v>
      </c>
      <c r="E370" s="2133"/>
      <c r="F370" s="2134"/>
      <c r="G370" s="1945">
        <f>G80</f>
        <v>2.048</v>
      </c>
      <c r="H370" s="2456" t="str">
        <f>VLOOKUP($A370,satpek!$B$20:$N$144,7,0)</f>
        <v>m2</v>
      </c>
      <c r="I370" s="3281" t="str">
        <f>VLOOKUP($A370,satpek!$B$20:$N$144,5,0)</f>
        <v>A.4.1.1.24</v>
      </c>
      <c r="J370" s="1951">
        <f>J80</f>
        <v>60725.07</v>
      </c>
      <c r="K370" s="3273"/>
      <c r="L370" s="1952">
        <f t="shared" ref="L370" si="244">ROUND((G370*J370),2)</f>
        <v>124364.94</v>
      </c>
      <c r="M370" s="1967"/>
      <c r="N370" s="2458"/>
      <c r="O370" s="1954">
        <f>VLOOKUP($A370,satpek!$B$20:$L$138,9,0)</f>
        <v>164776</v>
      </c>
      <c r="P370" s="1954">
        <f>VLOOKUP($A370,satpek!$B$20:$L$138,10,0)</f>
        <v>186196.88</v>
      </c>
      <c r="Q370" s="1952">
        <f t="shared" ref="Q370" si="245">O370*G370</f>
        <v>337461.24800000002</v>
      </c>
      <c r="R370" s="1952">
        <f t="shared" ref="R370" si="246">N370*L370</f>
        <v>0</v>
      </c>
      <c r="S370" s="3282">
        <f t="shared" ref="S370" si="247">L370-R370</f>
        <v>124364.94</v>
      </c>
      <c r="V370" s="1958">
        <v>1</v>
      </c>
      <c r="W370" s="1958"/>
      <c r="X370" s="1958">
        <f t="shared" ref="X370" si="248">V370-G370</f>
        <v>-1.048</v>
      </c>
      <c r="Y370" s="2127" t="s">
        <v>1888</v>
      </c>
      <c r="AD370" s="2127"/>
      <c r="AE370" s="2127"/>
      <c r="AF370" s="1910">
        <v>5000000</v>
      </c>
      <c r="AG370" s="2128">
        <f t="shared" ref="AG370" si="249">AF370-J370</f>
        <v>4939274.93</v>
      </c>
    </row>
    <row r="371" spans="1:33" ht="21.95" customHeight="1" x14ac:dyDescent="0.2">
      <c r="A371" s="1910">
        <f>A75</f>
        <v>28</v>
      </c>
      <c r="B371" s="2131">
        <f>B369+1</f>
        <v>25</v>
      </c>
      <c r="C371" s="2132"/>
      <c r="D371" s="2133" t="str">
        <f>VLOOKUP($A371,satpek!$B$20:$N$144,2,0)</f>
        <v>Membuat kolom praktis beton bertulang 11/11 cm</v>
      </c>
      <c r="E371" s="2133"/>
      <c r="F371" s="2134"/>
      <c r="G371" s="1945">
        <f>G130+G75</f>
        <v>364.79999999999995</v>
      </c>
      <c r="H371" s="2456" t="str">
        <f>VLOOKUP($A371,satpek!$B$20:$N$144,7,0)</f>
        <v>m'</v>
      </c>
      <c r="I371" s="3281" t="str">
        <f>VLOOKUP($A371,satpek!$B$20:$N$144,5,0)</f>
        <v>A.4.1.1.35.</v>
      </c>
      <c r="J371" s="1951">
        <f>VLOOKUP($A371,satpek!$B$20:$N$144,6,0)</f>
        <v>112610.15</v>
      </c>
      <c r="K371" s="3273"/>
      <c r="L371" s="1952">
        <f t="shared" si="238"/>
        <v>41080182.719999999</v>
      </c>
      <c r="M371" s="1967"/>
      <c r="N371" s="2458"/>
      <c r="O371" s="1954">
        <f>VLOOKUP($A371,satpek!$B$20:$L$138,9,0)</f>
        <v>69629.27</v>
      </c>
      <c r="P371" s="1954">
        <f>VLOOKUP($A371,satpek!$B$20:$L$138,10,0)</f>
        <v>78681.075100000002</v>
      </c>
      <c r="Q371" s="1952">
        <f t="shared" si="239"/>
        <v>25400757.695999999</v>
      </c>
      <c r="R371" s="1952">
        <f t="shared" si="240"/>
        <v>0</v>
      </c>
      <c r="S371" s="3282">
        <f t="shared" si="241"/>
        <v>41080182.719999999</v>
      </c>
      <c r="V371" s="1958">
        <v>1</v>
      </c>
      <c r="W371" s="1958"/>
      <c r="X371" s="1958">
        <f t="shared" si="242"/>
        <v>-363.79999999999995</v>
      </c>
      <c r="Y371" s="2127" t="s">
        <v>1888</v>
      </c>
      <c r="AD371" s="2127"/>
      <c r="AE371" s="2127"/>
      <c r="AF371" s="1910">
        <v>5000000</v>
      </c>
      <c r="AG371" s="2128">
        <f t="shared" si="243"/>
        <v>4887389.8499999996</v>
      </c>
    </row>
    <row r="372" spans="1:33" ht="21.95" customHeight="1" x14ac:dyDescent="0.2">
      <c r="A372" s="1910">
        <f>A76</f>
        <v>29</v>
      </c>
      <c r="B372" s="2131">
        <f t="shared" si="225"/>
        <v>26</v>
      </c>
      <c r="C372" s="2132"/>
      <c r="D372" s="2133" t="str">
        <f>VLOOKUP($A372,satpek!$B$20:$N$144,2,0)</f>
        <v>Membuat ring balok beton bertulang ( 10 x 15 ) cm</v>
      </c>
      <c r="E372" s="2133"/>
      <c r="F372" s="2134"/>
      <c r="G372" s="1945">
        <f>G131+G76</f>
        <v>264</v>
      </c>
      <c r="H372" s="2456" t="str">
        <f>VLOOKUP($A372,satpek!$B$20:$N$144,7,0)</f>
        <v>m'</v>
      </c>
      <c r="I372" s="3281" t="str">
        <f>VLOOKUP($A372,satpek!$B$20:$N$144,5,0)</f>
        <v>A.4.1.1.36.</v>
      </c>
      <c r="J372" s="1951">
        <f>VLOOKUP($A372,satpek!$B$20:$N$144,6,0)</f>
        <v>109402.19</v>
      </c>
      <c r="K372" s="3273"/>
      <c r="L372" s="1952">
        <f t="shared" si="238"/>
        <v>28882178.16</v>
      </c>
      <c r="M372" s="1967"/>
      <c r="N372" s="2458"/>
      <c r="O372" s="1954">
        <f>VLOOKUP($A372,satpek!$B$20:$L$138,9,0)</f>
        <v>73019.399999999994</v>
      </c>
      <c r="P372" s="1954">
        <f>VLOOKUP($A372,satpek!$B$20:$L$138,10,0)</f>
        <v>82511.921999999991</v>
      </c>
      <c r="Q372" s="1952">
        <f t="shared" si="239"/>
        <v>19277121.599999998</v>
      </c>
      <c r="R372" s="1952">
        <f t="shared" si="240"/>
        <v>0</v>
      </c>
      <c r="S372" s="3282">
        <f t="shared" si="241"/>
        <v>28882178.16</v>
      </c>
      <c r="V372" s="1958">
        <v>1</v>
      </c>
      <c r="W372" s="1958"/>
      <c r="X372" s="1958">
        <f t="shared" si="242"/>
        <v>-263</v>
      </c>
      <c r="Y372" s="2127" t="s">
        <v>1888</v>
      </c>
      <c r="AD372" s="2127"/>
      <c r="AE372" s="2127"/>
      <c r="AF372" s="1910">
        <v>5000000</v>
      </c>
      <c r="AG372" s="2128">
        <f t="shared" si="243"/>
        <v>4890597.8099999996</v>
      </c>
    </row>
    <row r="373" spans="1:33" ht="21.95" customHeight="1" x14ac:dyDescent="0.2">
      <c r="A373" s="1910">
        <f>A170</f>
        <v>30</v>
      </c>
      <c r="B373" s="2131">
        <f t="shared" si="225"/>
        <v>27</v>
      </c>
      <c r="C373" s="2132"/>
      <c r="D373" s="2133" t="str">
        <f>VLOOKUP($A373,satpek!$B$20:$N$144,2,0)</f>
        <v>Memasang langit-langit gypsum board uk. (120x240), tb. 9 mm.</v>
      </c>
      <c r="E373" s="2133"/>
      <c r="F373" s="2134"/>
      <c r="G373" s="1945">
        <f>G176+G170</f>
        <v>1583.4</v>
      </c>
      <c r="H373" s="2456" t="str">
        <f>VLOOKUP($A373,satpek!$B$20:$N$144,7,0)</f>
        <v>m2</v>
      </c>
      <c r="I373" s="3281" t="str">
        <f>VLOOKUP($A373,satpek!$B$20:$N$144,5,0)</f>
        <v>A.4.5.1.7.</v>
      </c>
      <c r="J373" s="1951">
        <f>VLOOKUP($A373,satpek!$B$20:$N$144,6,0)</f>
        <v>54047.9</v>
      </c>
      <c r="K373" s="3273"/>
      <c r="L373" s="1952">
        <f t="shared" si="238"/>
        <v>85579444.859999999</v>
      </c>
      <c r="M373" s="1967"/>
      <c r="N373" s="2458"/>
      <c r="O373" s="1954">
        <f>VLOOKUP($A373,satpek!$B$20:$L$138,9,0)</f>
        <v>22862.311999999998</v>
      </c>
      <c r="P373" s="1954">
        <f>VLOOKUP($A373,satpek!$B$20:$L$138,10,0)</f>
        <v>25834.412559999997</v>
      </c>
      <c r="Q373" s="1952">
        <f t="shared" si="239"/>
        <v>36200184.820799999</v>
      </c>
      <c r="R373" s="1952">
        <f t="shared" si="240"/>
        <v>0</v>
      </c>
      <c r="S373" s="3282">
        <f t="shared" si="241"/>
        <v>85579444.859999999</v>
      </c>
      <c r="V373" s="1958">
        <v>1</v>
      </c>
      <c r="W373" s="1958"/>
      <c r="X373" s="1958">
        <f t="shared" si="242"/>
        <v>-1582.4</v>
      </c>
      <c r="Y373" s="2127" t="s">
        <v>1888</v>
      </c>
      <c r="AD373" s="2127"/>
      <c r="AE373" s="2127"/>
      <c r="AF373" s="1910">
        <v>5000000</v>
      </c>
      <c r="AG373" s="2128">
        <f t="shared" si="243"/>
        <v>4945952.0999999996</v>
      </c>
    </row>
    <row r="374" spans="1:33" ht="21.95" customHeight="1" x14ac:dyDescent="0.2">
      <c r="A374" s="1910">
        <f>A171</f>
        <v>31</v>
      </c>
      <c r="B374" s="2131">
        <f t="shared" si="225"/>
        <v>28</v>
      </c>
      <c r="C374" s="2132"/>
      <c r="D374" s="2133" t="str">
        <f>VLOOKUP($A374,satpek!$B$20:$N$144,2,0)</f>
        <v>Memasang plafond PVC</v>
      </c>
      <c r="E374" s="2133"/>
      <c r="F374" s="2134"/>
      <c r="G374" s="1945">
        <f>G178+G171</f>
        <v>108.29999999999998</v>
      </c>
      <c r="H374" s="2456" t="str">
        <f>VLOOKUP($A374,satpek!$B$20:$N$144,7,0)</f>
        <v>m2</v>
      </c>
      <c r="I374" s="3281" t="str">
        <f>VLOOKUP($A374,satpek!$B$20:$N$144,5,0)</f>
        <v>An.Dihitung</v>
      </c>
      <c r="J374" s="1951">
        <f>VLOOKUP($A374,satpek!$B$20:$N$144,6,0)</f>
        <v>167579</v>
      </c>
      <c r="K374" s="3273"/>
      <c r="L374" s="1952">
        <f t="shared" si="238"/>
        <v>18148805.699999999</v>
      </c>
      <c r="M374" s="1967"/>
      <c r="N374" s="2458"/>
      <c r="O374" s="1954">
        <f>VLOOKUP($A374,satpek!$B$20:$L$138,9,0)</f>
        <v>97275.95</v>
      </c>
      <c r="P374" s="1954">
        <f>VLOOKUP($A374,satpek!$B$20:$L$138,10,0)</f>
        <v>109921.8235</v>
      </c>
      <c r="Q374" s="1952">
        <f t="shared" si="239"/>
        <v>10534985.384999998</v>
      </c>
      <c r="R374" s="1952">
        <f t="shared" si="240"/>
        <v>0</v>
      </c>
      <c r="S374" s="3282">
        <f t="shared" si="241"/>
        <v>18148805.699999999</v>
      </c>
      <c r="V374" s="1958">
        <v>1</v>
      </c>
      <c r="W374" s="1958"/>
      <c r="X374" s="1958">
        <f t="shared" si="242"/>
        <v>-107.29999999999998</v>
      </c>
      <c r="Y374" s="2127" t="s">
        <v>1888</v>
      </c>
      <c r="AD374" s="2127"/>
      <c r="AE374" s="2127"/>
      <c r="AF374" s="1910">
        <v>5000000</v>
      </c>
      <c r="AG374" s="2128">
        <f t="shared" si="243"/>
        <v>4832421</v>
      </c>
    </row>
    <row r="375" spans="1:33" ht="21.95" customHeight="1" x14ac:dyDescent="0.2">
      <c r="A375" s="1910">
        <f>A172</f>
        <v>32</v>
      </c>
      <c r="B375" s="2131">
        <f t="shared" si="225"/>
        <v>29</v>
      </c>
      <c r="C375" s="2132"/>
      <c r="D375" s="2133" t="str">
        <f>VLOOKUP($A375,satpek!$B$20:$N$144,2,0)</f>
        <v>Memasang list plafond gypsum profil</v>
      </c>
      <c r="E375" s="2133"/>
      <c r="F375" s="2134"/>
      <c r="G375" s="1945">
        <f>G177+G172</f>
        <v>887.59999999999945</v>
      </c>
      <c r="H375" s="2456" t="str">
        <f>VLOOKUP($A375,satpek!$B$20:$N$144,7,0)</f>
        <v>m'</v>
      </c>
      <c r="I375" s="3281" t="str">
        <f>VLOOKUP($A375,satpek!$B$20:$N$144,5,0)</f>
        <v>An.Dihitung</v>
      </c>
      <c r="J375" s="1951">
        <f>VLOOKUP($A375,satpek!$B$20:$N$144,6,0)</f>
        <v>30469.32</v>
      </c>
      <c r="K375" s="3273"/>
      <c r="L375" s="1952">
        <f t="shared" si="238"/>
        <v>27044568.43</v>
      </c>
      <c r="M375" s="1967"/>
      <c r="N375" s="2458"/>
      <c r="O375" s="1954">
        <f>VLOOKUP($A375,satpek!$B$20:$L$138,9,0)</f>
        <v>15703.56</v>
      </c>
      <c r="P375" s="1954">
        <f>VLOOKUP($A375,satpek!$B$20:$L$138,10,0)</f>
        <v>17745.022799999999</v>
      </c>
      <c r="Q375" s="1952">
        <f t="shared" si="239"/>
        <v>13938479.855999991</v>
      </c>
      <c r="R375" s="1952">
        <f t="shared" si="240"/>
        <v>0</v>
      </c>
      <c r="S375" s="3282">
        <f t="shared" si="241"/>
        <v>27044568.43</v>
      </c>
      <c r="V375" s="1958">
        <v>1</v>
      </c>
      <c r="W375" s="1958"/>
      <c r="X375" s="1958">
        <f t="shared" si="242"/>
        <v>-886.59999999999945</v>
      </c>
      <c r="Y375" s="2127" t="s">
        <v>1888</v>
      </c>
      <c r="AD375" s="2127"/>
      <c r="AE375" s="2127"/>
      <c r="AF375" s="1910">
        <v>5000000</v>
      </c>
      <c r="AG375" s="2128">
        <f t="shared" si="243"/>
        <v>4969530.68</v>
      </c>
    </row>
    <row r="376" spans="1:33" ht="21.95" customHeight="1" x14ac:dyDescent="0.2">
      <c r="A376" s="1910">
        <f>A173</f>
        <v>33</v>
      </c>
      <c r="B376" s="2131">
        <f t="shared" si="225"/>
        <v>30</v>
      </c>
      <c r="C376" s="2132"/>
      <c r="D376" s="2133" t="str">
        <f>VLOOKUP($A376,satpek!$B$20:$N$144,2,0)</f>
        <v>Memasang list plafond PVC</v>
      </c>
      <c r="E376" s="2133"/>
      <c r="F376" s="2134"/>
      <c r="G376" s="1945">
        <f>G179+G173</f>
        <v>143.20000000000002</v>
      </c>
      <c r="H376" s="2456" t="str">
        <f>VLOOKUP($A376,satpek!$B$20:$N$144,7,0)</f>
        <v>m'</v>
      </c>
      <c r="I376" s="3281" t="str">
        <f>VLOOKUP($A376,satpek!$B$20:$N$144,5,0)</f>
        <v>An.Dihitung</v>
      </c>
      <c r="J376" s="1951">
        <f>VLOOKUP($A376,satpek!$B$20:$N$144,6,0)</f>
        <v>39690.120000000003</v>
      </c>
      <c r="K376" s="3273"/>
      <c r="L376" s="1952">
        <f t="shared" si="238"/>
        <v>5683625.1799999997</v>
      </c>
      <c r="M376" s="1967"/>
      <c r="N376" s="2458"/>
      <c r="O376" s="1954">
        <f>VLOOKUP($A376,satpek!$B$20:$L$138,9,0)</f>
        <v>26251.65</v>
      </c>
      <c r="P376" s="1954">
        <f>VLOOKUP($A376,satpek!$B$20:$L$138,10,0)</f>
        <v>29664.364500000003</v>
      </c>
      <c r="Q376" s="1952">
        <f t="shared" si="239"/>
        <v>3759236.2800000007</v>
      </c>
      <c r="R376" s="1952">
        <f t="shared" si="240"/>
        <v>0</v>
      </c>
      <c r="S376" s="3282">
        <f t="shared" si="241"/>
        <v>5683625.1799999997</v>
      </c>
      <c r="V376" s="1958">
        <v>1</v>
      </c>
      <c r="W376" s="1958"/>
      <c r="X376" s="1958">
        <f t="shared" si="242"/>
        <v>-142.20000000000002</v>
      </c>
      <c r="Y376" s="2127" t="s">
        <v>1888</v>
      </c>
      <c r="AD376" s="2127"/>
      <c r="AE376" s="2127"/>
      <c r="AF376" s="1910">
        <v>5000000</v>
      </c>
      <c r="AG376" s="2128">
        <f t="shared" si="243"/>
        <v>4960309.88</v>
      </c>
    </row>
    <row r="377" spans="1:33" ht="21.95" customHeight="1" x14ac:dyDescent="0.2">
      <c r="A377" s="1910">
        <f>A169</f>
        <v>34</v>
      </c>
      <c r="B377" s="2131">
        <f t="shared" si="225"/>
        <v>31</v>
      </c>
      <c r="C377" s="2132"/>
      <c r="D377" s="2133" t="str">
        <f>VLOOKUP($A377,satpek!$B$20:$N$144,2,0)</f>
        <v>Memasang rk. plafond besi hollow uk. (60x80) cm</v>
      </c>
      <c r="E377" s="2133"/>
      <c r="F377" s="2134"/>
      <c r="G377" s="1945">
        <f>G175+G169</f>
        <v>1616.9749999999999</v>
      </c>
      <c r="H377" s="2456" t="str">
        <f>VLOOKUP($A377,satpek!$B$20:$N$144,7,0)</f>
        <v>m2</v>
      </c>
      <c r="I377" s="3281" t="str">
        <f>VLOOKUP($A377,satpek!$B$20:$N$144,5,0)</f>
        <v>A.4.2.1.20.</v>
      </c>
      <c r="J377" s="1951">
        <f>VLOOKUP($A377,satpek!$B$20:$N$144,6,0)</f>
        <v>98134.85</v>
      </c>
      <c r="K377" s="3273"/>
      <c r="L377" s="1952">
        <f t="shared" si="238"/>
        <v>158681599.08000001</v>
      </c>
      <c r="M377" s="1967"/>
      <c r="N377" s="2458"/>
      <c r="O377" s="1954">
        <f>VLOOKUP($A377,satpek!$B$20:$L$138,9,0)</f>
        <v>61705.05</v>
      </c>
      <c r="P377" s="1954">
        <f>VLOOKUP($A377,satpek!$B$20:$L$138,10,0)</f>
        <v>69726.7065</v>
      </c>
      <c r="Q377" s="1952">
        <f t="shared" si="239"/>
        <v>99775523.223749995</v>
      </c>
      <c r="R377" s="1952">
        <f t="shared" si="240"/>
        <v>0</v>
      </c>
      <c r="S377" s="3282">
        <f t="shared" si="241"/>
        <v>158681599.08000001</v>
      </c>
      <c r="V377" s="1958">
        <v>1</v>
      </c>
      <c r="W377" s="1958"/>
      <c r="X377" s="1958">
        <f t="shared" si="242"/>
        <v>-1615.9749999999999</v>
      </c>
      <c r="Y377" s="2127" t="s">
        <v>1888</v>
      </c>
      <c r="AD377" s="2127"/>
      <c r="AE377" s="2127"/>
      <c r="AF377" s="1910">
        <v>5000000</v>
      </c>
      <c r="AG377" s="2128">
        <f t="shared" si="243"/>
        <v>4901865.1500000004</v>
      </c>
    </row>
    <row r="378" spans="1:33" ht="21.95" customHeight="1" x14ac:dyDescent="0.2">
      <c r="A378" s="1910">
        <f>A193</f>
        <v>35</v>
      </c>
      <c r="B378" s="2131">
        <f t="shared" si="225"/>
        <v>32</v>
      </c>
      <c r="C378" s="2132"/>
      <c r="D378" s="2133" t="str">
        <f>VLOOKUP($A378,satpek!$B$20:$N$144,2,0)</f>
        <v xml:space="preserve">Memasang kusen pintu/jendela alluminium </v>
      </c>
      <c r="E378" s="2133"/>
      <c r="F378" s="2134"/>
      <c r="G378" s="1945">
        <f>G200+G193</f>
        <v>1137.2</v>
      </c>
      <c r="H378" s="2456" t="str">
        <f>VLOOKUP($A378,satpek!$B$20:$N$144,7,0)</f>
        <v>m'</v>
      </c>
      <c r="I378" s="3281" t="str">
        <f>VLOOKUP($A378,satpek!$B$20:$N$144,5,0)</f>
        <v>A.4.2.1.11.</v>
      </c>
      <c r="J378" s="1951">
        <f>VLOOKUP($A378,satpek!$B$20:$N$144,6,0)</f>
        <v>152243.43000000002</v>
      </c>
      <c r="K378" s="3273"/>
      <c r="L378" s="1952">
        <f t="shared" si="238"/>
        <v>173131228.59999999</v>
      </c>
      <c r="M378" s="1967"/>
      <c r="N378" s="2458"/>
      <c r="O378" s="1954">
        <f>VLOOKUP($A378,satpek!$B$20:$L$138,9,0)</f>
        <v>71007.199999999997</v>
      </c>
      <c r="P378" s="1954">
        <f>VLOOKUP($A378,satpek!$B$20:$L$138,10,0)</f>
        <v>80238.135999999999</v>
      </c>
      <c r="Q378" s="1952">
        <f t="shared" si="239"/>
        <v>80749387.840000004</v>
      </c>
      <c r="R378" s="1952">
        <f t="shared" si="240"/>
        <v>0</v>
      </c>
      <c r="S378" s="3282">
        <f t="shared" si="241"/>
        <v>173131228.59999999</v>
      </c>
      <c r="V378" s="1958">
        <v>1</v>
      </c>
      <c r="W378" s="1958"/>
      <c r="X378" s="1958">
        <f t="shared" si="242"/>
        <v>-1136.2</v>
      </c>
      <c r="Y378" s="2127" t="s">
        <v>1888</v>
      </c>
      <c r="AD378" s="2127"/>
      <c r="AE378" s="2127"/>
      <c r="AF378" s="1910">
        <v>5000000</v>
      </c>
      <c r="AG378" s="2128">
        <f t="shared" si="243"/>
        <v>4847756.57</v>
      </c>
    </row>
    <row r="379" spans="1:33" ht="21.95" customHeight="1" x14ac:dyDescent="0.2">
      <c r="A379" s="1910">
        <f>A195</f>
        <v>36</v>
      </c>
      <c r="B379" s="2131">
        <f t="shared" si="225"/>
        <v>33</v>
      </c>
      <c r="C379" s="2132"/>
      <c r="D379" s="2133" t="str">
        <f>VLOOKUP($A379,satpek!$B$20:$N$144,2,0)</f>
        <v>Memasang pintu alluminium strip</v>
      </c>
      <c r="E379" s="2133"/>
      <c r="F379" s="2134"/>
      <c r="G379" s="1945">
        <f>G195+G202</f>
        <v>31.535000000000007</v>
      </c>
      <c r="H379" s="2456" t="str">
        <f>VLOOKUP($A379,satpek!$B$20:$N$144,7,0)</f>
        <v>m2</v>
      </c>
      <c r="I379" s="3281" t="str">
        <f>VLOOKUP($A379,satpek!$B$20:$N$144,5,0)</f>
        <v>A.4.2.1.12.</v>
      </c>
      <c r="J379" s="1951">
        <f>VLOOKUP($A379,satpek!$B$20:$N$144,6,0)</f>
        <v>765224.14</v>
      </c>
      <c r="K379" s="3273"/>
      <c r="L379" s="1952">
        <f t="shared" si="238"/>
        <v>24131343.25</v>
      </c>
      <c r="M379" s="1967"/>
      <c r="N379" s="2458"/>
      <c r="O379" s="1954">
        <f>VLOOKUP($A379,satpek!$B$20:$L$138,9,0)</f>
        <v>358995.04</v>
      </c>
      <c r="P379" s="1954">
        <f>VLOOKUP($A379,satpek!$B$20:$L$138,10,0)</f>
        <v>405664.39519999997</v>
      </c>
      <c r="Q379" s="1952">
        <f t="shared" si="239"/>
        <v>11320908.586400002</v>
      </c>
      <c r="R379" s="1952">
        <f t="shared" si="240"/>
        <v>0</v>
      </c>
      <c r="S379" s="3282">
        <f t="shared" si="241"/>
        <v>24131343.25</v>
      </c>
      <c r="V379" s="1958">
        <v>1</v>
      </c>
      <c r="W379" s="1958"/>
      <c r="X379" s="1958">
        <f t="shared" si="242"/>
        <v>-30.535000000000007</v>
      </c>
      <c r="Y379" s="2127" t="s">
        <v>1888</v>
      </c>
      <c r="AD379" s="2127"/>
      <c r="AE379" s="2127"/>
      <c r="AF379" s="1910">
        <v>5000000</v>
      </c>
      <c r="AG379" s="2128">
        <f t="shared" si="243"/>
        <v>4234775.8600000003</v>
      </c>
    </row>
    <row r="380" spans="1:33" ht="21.95" customHeight="1" x14ac:dyDescent="0.2">
      <c r="A380" s="1910">
        <f>A194</f>
        <v>37</v>
      </c>
      <c r="B380" s="2131">
        <f t="shared" si="225"/>
        <v>34</v>
      </c>
      <c r="C380" s="2132"/>
      <c r="D380" s="2133" t="str">
        <f>VLOOKUP($A380,satpek!$B$20:$N$144,2,0)</f>
        <v>Memasang pintu kaca es rangka alluminium</v>
      </c>
      <c r="E380" s="2133"/>
      <c r="F380" s="2134"/>
      <c r="G380" s="1945">
        <f>G201+G194</f>
        <v>69.94</v>
      </c>
      <c r="H380" s="2456" t="str">
        <f>VLOOKUP($A380,satpek!$B$20:$N$144,7,0)</f>
        <v>m2</v>
      </c>
      <c r="I380" s="3281" t="str">
        <f>VLOOKUP($A380,satpek!$B$20:$N$144,5,0)</f>
        <v>An. Dihitung</v>
      </c>
      <c r="J380" s="1951">
        <f>VLOOKUP($A380,satpek!$B$20:$N$144,6,0)</f>
        <v>853707.66</v>
      </c>
      <c r="K380" s="3273"/>
      <c r="L380" s="1952">
        <f t="shared" si="238"/>
        <v>59708313.740000002</v>
      </c>
      <c r="M380" s="1967"/>
      <c r="N380" s="2458"/>
      <c r="O380" s="1954">
        <f>VLOOKUP($A380,satpek!$B$20:$L$138,9,0)</f>
        <v>361476.18000000005</v>
      </c>
      <c r="P380" s="1954">
        <f>VLOOKUP($A380,satpek!$B$20:$L$138,10,0)</f>
        <v>408468.08340000006</v>
      </c>
      <c r="Q380" s="1952">
        <f t="shared" si="239"/>
        <v>25281644.029200003</v>
      </c>
      <c r="R380" s="1952">
        <f t="shared" si="240"/>
        <v>0</v>
      </c>
      <c r="S380" s="3282">
        <f t="shared" si="241"/>
        <v>59708313.740000002</v>
      </c>
      <c r="V380" s="1958">
        <v>1</v>
      </c>
      <c r="W380" s="1958"/>
      <c r="X380" s="1958">
        <f t="shared" si="242"/>
        <v>-68.94</v>
      </c>
      <c r="Y380" s="2127" t="s">
        <v>1888</v>
      </c>
      <c r="AD380" s="2127"/>
      <c r="AE380" s="2127"/>
      <c r="AF380" s="1910">
        <v>5000000</v>
      </c>
      <c r="AG380" s="2128">
        <f t="shared" si="243"/>
        <v>4146292.34</v>
      </c>
    </row>
    <row r="381" spans="1:33" ht="21.75" customHeight="1" x14ac:dyDescent="0.2">
      <c r="A381" s="1910">
        <f>A196</f>
        <v>38</v>
      </c>
      <c r="B381" s="2131">
        <f t="shared" si="225"/>
        <v>35</v>
      </c>
      <c r="C381" s="2132"/>
      <c r="D381" s="2133" t="str">
        <f>VLOOKUP($A381,satpek!$B$20:$N$144,2,0)</f>
        <v>Memasang jendela &amp; boven kaca rangka aluminium</v>
      </c>
      <c r="E381" s="2133"/>
      <c r="F381" s="2134"/>
      <c r="G381" s="1945">
        <f>G203+G196</f>
        <v>216.08</v>
      </c>
      <c r="H381" s="2456" t="str">
        <f>VLOOKUP($A381,satpek!$B$20:$N$144,7,0)</f>
        <v>m2</v>
      </c>
      <c r="I381" s="3281" t="str">
        <f>VLOOKUP($A381,satpek!$B$20:$N$144,5,0)</f>
        <v>An. Dihitung</v>
      </c>
      <c r="J381" s="1951">
        <f>VLOOKUP($A381,satpek!$B$20:$N$144,6,0)</f>
        <v>845503.86</v>
      </c>
      <c r="K381" s="3273"/>
      <c r="L381" s="1952">
        <f t="shared" si="238"/>
        <v>182696474.06999999</v>
      </c>
      <c r="M381" s="1967"/>
      <c r="N381" s="2458"/>
      <c r="O381" s="1954">
        <f>VLOOKUP($A381,satpek!$B$20:$L$138,9,0)</f>
        <v>357705.60000000003</v>
      </c>
      <c r="P381" s="1954">
        <f>VLOOKUP($A381,satpek!$B$20:$L$138,10,0)</f>
        <v>404207.32800000004</v>
      </c>
      <c r="Q381" s="1952">
        <f t="shared" si="239"/>
        <v>77293026.048000008</v>
      </c>
      <c r="R381" s="1952">
        <f t="shared" si="240"/>
        <v>0</v>
      </c>
      <c r="S381" s="3282">
        <f t="shared" si="241"/>
        <v>182696474.06999999</v>
      </c>
      <c r="V381" s="1958">
        <v>1</v>
      </c>
      <c r="W381" s="1958"/>
      <c r="X381" s="1958">
        <f t="shared" si="242"/>
        <v>-215.08</v>
      </c>
      <c r="Y381" s="2127" t="s">
        <v>1888</v>
      </c>
      <c r="AD381" s="2127"/>
      <c r="AE381" s="2127"/>
      <c r="AF381" s="1910">
        <v>5000000</v>
      </c>
      <c r="AG381" s="2128">
        <f t="shared" si="243"/>
        <v>4154496.14</v>
      </c>
    </row>
    <row r="382" spans="1:33" ht="21.95" customHeight="1" x14ac:dyDescent="0.2">
      <c r="A382" s="1910">
        <f>A137</f>
        <v>39</v>
      </c>
      <c r="B382" s="2131">
        <f t="shared" si="225"/>
        <v>36</v>
      </c>
      <c r="C382" s="2132"/>
      <c r="D382" s="2133" t="str">
        <f>VLOOKUP($A382,satpek!$B$20:$N$144,2,0)</f>
        <v>Membuat dinding partisi gypsum 9mm double</v>
      </c>
      <c r="E382" s="2133"/>
      <c r="F382" s="2134"/>
      <c r="G382" s="1945">
        <f>G144+G137</f>
        <v>484.13350000000003</v>
      </c>
      <c r="H382" s="2456" t="str">
        <f>VLOOKUP($A382,satpek!$B$20:$N$144,7,0)</f>
        <v>m2</v>
      </c>
      <c r="I382" s="3281" t="str">
        <f>VLOOKUP($A382,satpek!$B$20:$N$144,5,0)</f>
        <v>A.4.2.1.20.</v>
      </c>
      <c r="J382" s="1951">
        <f>VLOOKUP($A382,satpek!$B$20:$N$144,6,0)</f>
        <v>210845.94</v>
      </c>
      <c r="K382" s="3273"/>
      <c r="L382" s="1952">
        <f t="shared" si="238"/>
        <v>102077582.89</v>
      </c>
      <c r="M382" s="1967"/>
      <c r="N382" s="2458"/>
      <c r="O382" s="1954">
        <f>VLOOKUP($A382,satpek!$B$20:$L$138,9,0)</f>
        <v>85437.014844999998</v>
      </c>
      <c r="P382" s="1954">
        <f>VLOOKUP($A382,satpek!$B$20:$L$138,10,0)</f>
        <v>96543.826774849993</v>
      </c>
      <c r="Q382" s="1952">
        <f t="shared" si="239"/>
        <v>41362921.02646181</v>
      </c>
      <c r="R382" s="1952">
        <f t="shared" si="240"/>
        <v>0</v>
      </c>
      <c r="S382" s="3282">
        <f t="shared" si="241"/>
        <v>102077582.89</v>
      </c>
      <c r="V382" s="1958">
        <v>1</v>
      </c>
      <c r="W382" s="1958"/>
      <c r="X382" s="1958">
        <f t="shared" si="242"/>
        <v>-483.13350000000003</v>
      </c>
      <c r="Y382" s="2127" t="s">
        <v>1888</v>
      </c>
      <c r="AD382" s="2127"/>
      <c r="AE382" s="2127"/>
      <c r="AF382" s="1910">
        <v>5000000</v>
      </c>
      <c r="AG382" s="2128">
        <f t="shared" si="243"/>
        <v>4789154.0599999996</v>
      </c>
    </row>
    <row r="383" spans="1:33" ht="21.95" customHeight="1" x14ac:dyDescent="0.2">
      <c r="A383" s="1910">
        <f>A158</f>
        <v>40</v>
      </c>
      <c r="B383" s="2131">
        <f t="shared" si="225"/>
        <v>37</v>
      </c>
      <c r="C383" s="2132"/>
      <c r="D383" s="2133" t="str">
        <f>VLOOKUP($A383,satpek!$B$20:$N$144,2,0)</f>
        <v>Memasang plint lantai Homogenius tile uk. (10 x 60) cm</v>
      </c>
      <c r="E383" s="2133"/>
      <c r="F383" s="2134"/>
      <c r="G383" s="1945">
        <f>G165+G158</f>
        <v>1258.5999999999992</v>
      </c>
      <c r="H383" s="2456" t="str">
        <f>VLOOKUP($A383,satpek!$B$20:$N$144,7,0)</f>
        <v>m'</v>
      </c>
      <c r="I383" s="3281" t="str">
        <f>VLOOKUP($A383,satpek!$B$20:$N$144,5,0)</f>
        <v>A.4.4.3.28.a.</v>
      </c>
      <c r="J383" s="1951">
        <f>VLOOKUP($A383,satpek!$B$20:$N$144,6,0)</f>
        <v>38068.57</v>
      </c>
      <c r="K383" s="3273"/>
      <c r="L383" s="1952">
        <f t="shared" ref="L383:L442" si="250">ROUND((G383*J383),2)</f>
        <v>47913102.200000003</v>
      </c>
      <c r="M383" s="1967"/>
      <c r="N383" s="2458"/>
      <c r="O383" s="1954">
        <f>VLOOKUP($A383,satpek!$B$20:$L$138,9,0)</f>
        <v>28182.265200000002</v>
      </c>
      <c r="P383" s="1954">
        <f>VLOOKUP($A383,satpek!$B$20:$L$138,10,0)</f>
        <v>31845.959676000002</v>
      </c>
      <c r="Q383" s="1952">
        <f t="shared" ref="Q383:Q442" si="251">O383*G383</f>
        <v>35470198.980719984</v>
      </c>
      <c r="R383" s="1952">
        <f t="shared" ref="R383:R442" si="252">N383*L383</f>
        <v>0</v>
      </c>
      <c r="S383" s="3282">
        <f t="shared" ref="S383:S442" si="253">L383-R383</f>
        <v>47913102.200000003</v>
      </c>
      <c r="V383" s="1958">
        <v>1</v>
      </c>
      <c r="W383" s="1958"/>
      <c r="X383" s="1958">
        <f t="shared" ref="X383:X442" si="254">V383-G383</f>
        <v>-1257.5999999999992</v>
      </c>
      <c r="Y383" s="2127" t="s">
        <v>1888</v>
      </c>
      <c r="AD383" s="2127"/>
      <c r="AE383" s="2127"/>
      <c r="AF383" s="1910">
        <v>5000000</v>
      </c>
      <c r="AG383" s="2128">
        <f t="shared" ref="AG383:AG442" si="255">AF383-J383</f>
        <v>4961931.43</v>
      </c>
    </row>
    <row r="384" spans="1:33" ht="21.95" customHeight="1" x14ac:dyDescent="0.2">
      <c r="A384" s="1910">
        <f>A157</f>
        <v>41</v>
      </c>
      <c r="B384" s="2131">
        <f t="shared" si="225"/>
        <v>38</v>
      </c>
      <c r="C384" s="2132"/>
      <c r="D384" s="2133" t="str">
        <f>VLOOKUP($A384,satpek!$B$20:$N$144,2,0)</f>
        <v xml:space="preserve">Memasang lantai keramik unpolish ukuran 30/30 cm </v>
      </c>
      <c r="E384" s="2133"/>
      <c r="F384" s="2134"/>
      <c r="G384" s="1945">
        <f>G164+G157</f>
        <v>35.370000000000005</v>
      </c>
      <c r="H384" s="2456" t="str">
        <f>VLOOKUP($A384,satpek!$B$20:$N$144,7,0)</f>
        <v>m2</v>
      </c>
      <c r="I384" s="3281" t="str">
        <f>VLOOKUP($A384,satpek!$B$20:$N$144,5,0)</f>
        <v>A.4.4.3.35.</v>
      </c>
      <c r="J384" s="1951">
        <f>VLOOKUP($A384,satpek!$B$20:$N$144,6,0)</f>
        <v>186829.68</v>
      </c>
      <c r="K384" s="3273"/>
      <c r="L384" s="1952">
        <f t="shared" si="250"/>
        <v>6608165.7800000003</v>
      </c>
      <c r="M384" s="1967"/>
      <c r="N384" s="2458"/>
      <c r="O384" s="1954">
        <f>VLOOKUP($A384,satpek!$B$20:$L$138,9,0)</f>
        <v>137263.40000000002</v>
      </c>
      <c r="P384" s="1954">
        <f>VLOOKUP($A384,satpek!$B$20:$L$138,10,0)</f>
        <v>155107.64200000002</v>
      </c>
      <c r="Q384" s="1952">
        <f t="shared" si="251"/>
        <v>4855006.4580000015</v>
      </c>
      <c r="R384" s="1952">
        <f t="shared" si="252"/>
        <v>0</v>
      </c>
      <c r="S384" s="3282">
        <f t="shared" si="253"/>
        <v>6608165.7800000003</v>
      </c>
      <c r="V384" s="1958">
        <v>1</v>
      </c>
      <c r="W384" s="1958"/>
      <c r="X384" s="1958">
        <f t="shared" si="254"/>
        <v>-34.370000000000005</v>
      </c>
      <c r="Y384" s="2127" t="s">
        <v>1888</v>
      </c>
      <c r="AD384" s="2127"/>
      <c r="AE384" s="2127"/>
      <c r="AF384" s="1910">
        <v>5000000</v>
      </c>
      <c r="AG384" s="2128">
        <f t="shared" si="255"/>
        <v>4813170.32</v>
      </c>
    </row>
    <row r="385" spans="1:33" ht="21.95" customHeight="1" x14ac:dyDescent="0.2">
      <c r="A385" s="1910">
        <f>A155</f>
        <v>42</v>
      </c>
      <c r="B385" s="2131">
        <f t="shared" si="225"/>
        <v>39</v>
      </c>
      <c r="C385" s="2132"/>
      <c r="D385" s="2133" t="str">
        <f>VLOOKUP($A385,satpek!$B$20:$N$144,2,0)</f>
        <v>Pasang batu andesit</v>
      </c>
      <c r="E385" s="2133"/>
      <c r="F385" s="2134"/>
      <c r="G385" s="1945">
        <f>G155</f>
        <v>45.2029</v>
      </c>
      <c r="H385" s="2456" t="str">
        <f>VLOOKUP($A385,satpek!$B$20:$N$144,7,0)</f>
        <v>m2</v>
      </c>
      <c r="I385" s="3281" t="str">
        <f>VLOOKUP($A385,satpek!$B$20:$N$144,5,0)</f>
        <v>A.4.4.3.58b.</v>
      </c>
      <c r="J385" s="1951">
        <f>VLOOKUP($A385,satpek!$B$20:$N$144,6,0)</f>
        <v>362752.6</v>
      </c>
      <c r="K385" s="3273"/>
      <c r="L385" s="1952">
        <f t="shared" si="250"/>
        <v>16397469.5</v>
      </c>
      <c r="M385" s="1967"/>
      <c r="N385" s="2458"/>
      <c r="O385" s="1954">
        <f>VLOOKUP($A385,satpek!$B$20:$L$138,9,0)</f>
        <v>318924.74</v>
      </c>
      <c r="P385" s="1954">
        <f>VLOOKUP($A385,satpek!$B$20:$L$138,10,0)</f>
        <v>360384.95620000002</v>
      </c>
      <c r="Q385" s="1952">
        <f t="shared" si="251"/>
        <v>14416323.129745999</v>
      </c>
      <c r="R385" s="1952">
        <f t="shared" si="252"/>
        <v>0</v>
      </c>
      <c r="S385" s="3282">
        <f t="shared" si="253"/>
        <v>16397469.5</v>
      </c>
      <c r="V385" s="1958">
        <v>1</v>
      </c>
      <c r="W385" s="1958"/>
      <c r="X385" s="1958">
        <f t="shared" si="254"/>
        <v>-44.2029</v>
      </c>
      <c r="Y385" s="2127" t="s">
        <v>1888</v>
      </c>
      <c r="AD385" s="2127"/>
      <c r="AE385" s="2127"/>
      <c r="AF385" s="1910">
        <v>5000000</v>
      </c>
      <c r="AG385" s="2128">
        <f t="shared" si="255"/>
        <v>4637247.4000000004</v>
      </c>
    </row>
    <row r="386" spans="1:33" ht="21.95" customHeight="1" x14ac:dyDescent="0.2">
      <c r="A386" s="1910">
        <f>A152</f>
        <v>43</v>
      </c>
      <c r="B386" s="2131">
        <f t="shared" si="225"/>
        <v>40</v>
      </c>
      <c r="C386" s="2132"/>
      <c r="D386" s="2133" t="str">
        <f>VLOOKUP($A386,satpek!$B$20:$N$144,2,0)</f>
        <v>Memasang lantai homogenius tile polished ( 60 x 60 ) cm</v>
      </c>
      <c r="E386" s="2133"/>
      <c r="F386" s="2134"/>
      <c r="G386" s="1945">
        <f>G162+G152</f>
        <v>1467.0650000000001</v>
      </c>
      <c r="H386" s="2456" t="str">
        <f>VLOOKUP($A386,satpek!$B$20:$N$144,7,0)</f>
        <v>m2</v>
      </c>
      <c r="I386" s="3281" t="str">
        <f>VLOOKUP($A386,satpek!$B$20:$N$144,5,0)</f>
        <v>An. Dihitung</v>
      </c>
      <c r="J386" s="1951">
        <f>VLOOKUP($A386,satpek!$B$20:$N$144,6,0)</f>
        <v>245041.63</v>
      </c>
      <c r="K386" s="3273"/>
      <c r="L386" s="1952">
        <f t="shared" si="250"/>
        <v>359491998.92000002</v>
      </c>
      <c r="M386" s="1967"/>
      <c r="N386" s="2458"/>
      <c r="O386" s="1954">
        <f>VLOOKUP($A386,satpek!$B$20:$L$138,9,0)</f>
        <v>176538.128</v>
      </c>
      <c r="P386" s="1954">
        <f>VLOOKUP($A386,satpek!$B$20:$L$138,10,0)</f>
        <v>199488.08463999999</v>
      </c>
      <c r="Q386" s="1952">
        <f t="shared" si="251"/>
        <v>258992908.75432</v>
      </c>
      <c r="R386" s="1952">
        <f t="shared" si="252"/>
        <v>0</v>
      </c>
      <c r="S386" s="3282">
        <f t="shared" si="253"/>
        <v>359491998.92000002</v>
      </c>
      <c r="V386" s="1958">
        <v>1</v>
      </c>
      <c r="W386" s="1958"/>
      <c r="X386" s="1958">
        <f t="shared" si="254"/>
        <v>-1466.0650000000001</v>
      </c>
      <c r="Y386" s="2127" t="s">
        <v>1888</v>
      </c>
      <c r="AD386" s="2127"/>
      <c r="AE386" s="2127"/>
      <c r="AF386" s="1910">
        <v>5000000</v>
      </c>
      <c r="AG386" s="2128">
        <f t="shared" si="255"/>
        <v>4754958.37</v>
      </c>
    </row>
    <row r="387" spans="1:33" ht="21.95" customHeight="1" x14ac:dyDescent="0.2">
      <c r="A387" s="1910">
        <f>A153</f>
        <v>44</v>
      </c>
      <c r="B387" s="2131">
        <f t="shared" si="225"/>
        <v>41</v>
      </c>
      <c r="C387" s="2132"/>
      <c r="D387" s="2133" t="str">
        <f>VLOOKUP($A387,satpek!$B$20:$N$144,2,0)</f>
        <v>Memasang lantai granit tile ( 60 x 60 ) cm, exterior texture</v>
      </c>
      <c r="E387" s="2133"/>
      <c r="F387" s="2134"/>
      <c r="G387" s="1945">
        <f>G153</f>
        <v>80.600000000000009</v>
      </c>
      <c r="H387" s="2456" t="str">
        <f>VLOOKUP($A387,satpek!$B$20:$N$144,7,0)</f>
        <v>m2</v>
      </c>
      <c r="I387" s="3281" t="str">
        <f>VLOOKUP($A387,satpek!$B$20:$N$144,5,0)</f>
        <v>An. Dihitung</v>
      </c>
      <c r="J387" s="1951">
        <f>VLOOKUP($A387,satpek!$B$20:$N$144,6,0)</f>
        <v>301541.63</v>
      </c>
      <c r="K387" s="3273"/>
      <c r="L387" s="1952">
        <f t="shared" si="250"/>
        <v>24304255.379999999</v>
      </c>
      <c r="M387" s="1967"/>
      <c r="N387" s="2458"/>
      <c r="O387" s="1954">
        <f>VLOOKUP($A387,satpek!$B$20:$L$138,9,0)</f>
        <v>211348.128</v>
      </c>
      <c r="P387" s="1954">
        <f>VLOOKUP($A387,satpek!$B$20:$L$138,10,0)</f>
        <v>238823.38464</v>
      </c>
      <c r="Q387" s="1952">
        <f t="shared" si="251"/>
        <v>17034659.116800003</v>
      </c>
      <c r="R387" s="1952">
        <f t="shared" si="252"/>
        <v>0</v>
      </c>
      <c r="S387" s="3282">
        <f t="shared" si="253"/>
        <v>24304255.379999999</v>
      </c>
      <c r="V387" s="1958">
        <v>1</v>
      </c>
      <c r="W387" s="1958"/>
      <c r="X387" s="1958">
        <f t="shared" si="254"/>
        <v>-79.600000000000009</v>
      </c>
      <c r="Y387" s="2127" t="s">
        <v>1888</v>
      </c>
      <c r="AD387" s="2127"/>
      <c r="AE387" s="2127"/>
      <c r="AF387" s="1910">
        <v>5000000</v>
      </c>
      <c r="AG387" s="2128">
        <f t="shared" si="255"/>
        <v>4698458.37</v>
      </c>
    </row>
    <row r="388" spans="1:33" ht="21.95" customHeight="1" x14ac:dyDescent="0.2">
      <c r="A388" s="1910">
        <f>A154</f>
        <v>45</v>
      </c>
      <c r="B388" s="2131">
        <f t="shared" si="225"/>
        <v>42</v>
      </c>
      <c r="C388" s="2132"/>
      <c r="D388" s="2133" t="str">
        <f>VLOOKUP($A388,satpek!$B$20:$N$144,2,0)</f>
        <v>Memasang dinding Homogenius tile  uk. (30x60) cm</v>
      </c>
      <c r="E388" s="2133"/>
      <c r="F388" s="2134"/>
      <c r="G388" s="1945">
        <f>G163+G154</f>
        <v>127.33200000000002</v>
      </c>
      <c r="H388" s="2456" t="str">
        <f>VLOOKUP($A388,satpek!$B$20:$N$144,7,0)</f>
        <v>m2</v>
      </c>
      <c r="I388" s="3281" t="str">
        <f>VLOOKUP($A388,satpek!$B$20:$N$144,5,0)</f>
        <v>An. Dihitung</v>
      </c>
      <c r="J388" s="1951">
        <f>VLOOKUP($A388,satpek!$B$20:$N$144,6,0)</f>
        <v>281318.25</v>
      </c>
      <c r="K388" s="3273"/>
      <c r="L388" s="1952">
        <f t="shared" si="250"/>
        <v>35820815.409999996</v>
      </c>
      <c r="M388" s="1967"/>
      <c r="N388" s="2458"/>
      <c r="O388" s="1954">
        <f>VLOOKUP($A388,satpek!$B$20:$L$138,9,0)</f>
        <v>213534.024</v>
      </c>
      <c r="P388" s="1954">
        <f>VLOOKUP($A388,satpek!$B$20:$L$138,10,0)</f>
        <v>241293.44712</v>
      </c>
      <c r="Q388" s="1952">
        <f t="shared" si="251"/>
        <v>27189714.343968004</v>
      </c>
      <c r="R388" s="1952">
        <f t="shared" si="252"/>
        <v>0</v>
      </c>
      <c r="S388" s="3282">
        <f t="shared" si="253"/>
        <v>35820815.409999996</v>
      </c>
      <c r="V388" s="1958">
        <v>1</v>
      </c>
      <c r="W388" s="1958"/>
      <c r="X388" s="1958">
        <f t="shared" si="254"/>
        <v>-126.33200000000002</v>
      </c>
      <c r="Y388" s="2127" t="s">
        <v>1888</v>
      </c>
      <c r="AD388" s="2127"/>
      <c r="AE388" s="2127"/>
      <c r="AF388" s="1910">
        <v>5000000</v>
      </c>
      <c r="AG388" s="2128">
        <f t="shared" si="255"/>
        <v>4718681.75</v>
      </c>
    </row>
    <row r="389" spans="1:33" ht="21.95" customHeight="1" x14ac:dyDescent="0.2">
      <c r="A389" s="1910">
        <f>A159</f>
        <v>46</v>
      </c>
      <c r="B389" s="2131">
        <f t="shared" si="225"/>
        <v>43</v>
      </c>
      <c r="C389" s="2132"/>
      <c r="D389" s="2133" t="str">
        <f>VLOOKUP($A389,satpek!$B$20:$N$144,2,0)</f>
        <v>Memasang 1 m' "step nose" uk. (10x40) cm</v>
      </c>
      <c r="E389" s="2133"/>
      <c r="F389" s="2134"/>
      <c r="G389" s="1945">
        <f>G159</f>
        <v>175.4</v>
      </c>
      <c r="H389" s="2456" t="str">
        <f>VLOOKUP($A389,satpek!$B$20:$N$144,7,0)</f>
        <v>m'</v>
      </c>
      <c r="I389" s="3281" t="str">
        <f>VLOOKUP($A389,satpek!$B$20:$N$144,5,0)</f>
        <v>An. Dihitung</v>
      </c>
      <c r="J389" s="1951">
        <f>VLOOKUP($A389,satpek!$B$20:$N$144,6,0)</f>
        <v>65535.37</v>
      </c>
      <c r="K389" s="3273"/>
      <c r="L389" s="1952">
        <f t="shared" si="250"/>
        <v>11494903.9</v>
      </c>
      <c r="M389" s="1967"/>
      <c r="N389" s="2458"/>
      <c r="O389" s="1954">
        <f>VLOOKUP($A389,satpek!$B$20:$L$138,9,0)</f>
        <v>45746.232600000003</v>
      </c>
      <c r="P389" s="1954">
        <f>VLOOKUP($A389,satpek!$B$20:$L$138,10,0)</f>
        <v>51693.242838000006</v>
      </c>
      <c r="Q389" s="1952">
        <f t="shared" si="251"/>
        <v>8023889.1980400011</v>
      </c>
      <c r="R389" s="1952">
        <f t="shared" si="252"/>
        <v>0</v>
      </c>
      <c r="S389" s="3282">
        <f t="shared" si="253"/>
        <v>11494903.9</v>
      </c>
      <c r="V389" s="1958">
        <v>1</v>
      </c>
      <c r="W389" s="1958"/>
      <c r="X389" s="1958">
        <f t="shared" si="254"/>
        <v>-174.4</v>
      </c>
      <c r="Y389" s="2127" t="s">
        <v>1888</v>
      </c>
      <c r="AD389" s="2127"/>
      <c r="AE389" s="2127"/>
      <c r="AF389" s="1910">
        <v>5000000</v>
      </c>
      <c r="AG389" s="2128">
        <f t="shared" si="255"/>
        <v>4934464.63</v>
      </c>
    </row>
    <row r="390" spans="1:33" ht="21.95" customHeight="1" x14ac:dyDescent="0.2">
      <c r="A390" s="1910">
        <f>A183</f>
        <v>47</v>
      </c>
      <c r="B390" s="2131">
        <f t="shared" si="225"/>
        <v>44</v>
      </c>
      <c r="C390" s="2132"/>
      <c r="D390" s="2133" t="str">
        <f>VLOOKUP($A390,satpek!$B$20:$N$144,2,0)</f>
        <v>Memasang penutup atap galvalum pasir</v>
      </c>
      <c r="E390" s="2133"/>
      <c r="F390" s="2134"/>
      <c r="G390" s="1945">
        <f>G183</f>
        <v>974.54500000000007</v>
      </c>
      <c r="H390" s="2456" t="str">
        <f>VLOOKUP($A390,satpek!$B$20:$N$144,7,0)</f>
        <v>m2</v>
      </c>
      <c r="I390" s="3281" t="str">
        <f>VLOOKUP($A390,satpek!$B$20:$N$144,5,0)</f>
        <v>An. Dihitung</v>
      </c>
      <c r="J390" s="1951">
        <f>VLOOKUP($A390,satpek!$B$20:$N$144,6,0)</f>
        <v>108751.2</v>
      </c>
      <c r="K390" s="3273"/>
      <c r="L390" s="1952">
        <f t="shared" si="250"/>
        <v>105982938.2</v>
      </c>
      <c r="M390" s="1967"/>
      <c r="N390" s="2458"/>
      <c r="O390" s="1954">
        <f>VLOOKUP($A390,satpek!$B$20:$L$138,9,0)</f>
        <v>54924.896000000001</v>
      </c>
      <c r="P390" s="1954">
        <f>VLOOKUP($A390,satpek!$B$20:$L$138,10,0)</f>
        <v>62065.13248</v>
      </c>
      <c r="Q390" s="1952">
        <f t="shared" si="251"/>
        <v>53526782.772320002</v>
      </c>
      <c r="R390" s="1952">
        <f t="shared" si="252"/>
        <v>0</v>
      </c>
      <c r="S390" s="3282">
        <f t="shared" si="253"/>
        <v>105982938.2</v>
      </c>
      <c r="V390" s="1958">
        <v>1</v>
      </c>
      <c r="W390" s="1958"/>
      <c r="X390" s="1958">
        <f t="shared" si="254"/>
        <v>-973.54500000000007</v>
      </c>
      <c r="Y390" s="2127" t="s">
        <v>1888</v>
      </c>
      <c r="AD390" s="2127"/>
      <c r="AE390" s="2127"/>
      <c r="AF390" s="1910">
        <v>5000000</v>
      </c>
      <c r="AG390" s="2128">
        <f t="shared" si="255"/>
        <v>4891248.8</v>
      </c>
    </row>
    <row r="391" spans="1:33" ht="21.95" customHeight="1" x14ac:dyDescent="0.2">
      <c r="A391" s="1910">
        <f>A184</f>
        <v>48</v>
      </c>
      <c r="B391" s="2131">
        <f t="shared" si="225"/>
        <v>45</v>
      </c>
      <c r="C391" s="2132"/>
      <c r="D391" s="2133" t="str">
        <f>VLOOKUP($A391,satpek!$B$20:$N$144,2,0)</f>
        <v>Pasang bubungan galvalum pasir</v>
      </c>
      <c r="E391" s="2133"/>
      <c r="F391" s="2134"/>
      <c r="G391" s="1945">
        <f>G184</f>
        <v>74.400000000000006</v>
      </c>
      <c r="H391" s="2456" t="str">
        <f>VLOOKUP($A391,satpek!$B$20:$N$144,7,0)</f>
        <v>m'</v>
      </c>
      <c r="I391" s="3281" t="str">
        <f>VLOOKUP($A391,satpek!$B$20:$N$144,5,0)</f>
        <v>A.4.5.2.39a.</v>
      </c>
      <c r="J391" s="1951">
        <f>VLOOKUP($A391,satpek!$B$20:$N$144,6,0)</f>
        <v>66180.710000000006</v>
      </c>
      <c r="K391" s="3273"/>
      <c r="L391" s="1952">
        <f t="shared" si="250"/>
        <v>4923844.82</v>
      </c>
      <c r="M391" s="1967"/>
      <c r="N391" s="2458"/>
      <c r="O391" s="1954">
        <f>VLOOKUP($A391,satpek!$B$20:$L$138,9,0)</f>
        <v>39492.5</v>
      </c>
      <c r="P391" s="1954">
        <f>VLOOKUP($A391,satpek!$B$20:$L$138,10,0)</f>
        <v>44626.525000000001</v>
      </c>
      <c r="Q391" s="1952">
        <f t="shared" si="251"/>
        <v>2938242</v>
      </c>
      <c r="R391" s="1952">
        <f t="shared" si="252"/>
        <v>0</v>
      </c>
      <c r="S391" s="3282">
        <f t="shared" si="253"/>
        <v>4923844.82</v>
      </c>
      <c r="V391" s="1958">
        <v>1</v>
      </c>
      <c r="W391" s="1958"/>
      <c r="X391" s="1958">
        <f t="shared" si="254"/>
        <v>-73.400000000000006</v>
      </c>
      <c r="Y391" s="2127" t="s">
        <v>1888</v>
      </c>
      <c r="AD391" s="2127"/>
      <c r="AE391" s="2127"/>
      <c r="AF391" s="1910">
        <v>5000000</v>
      </c>
      <c r="AG391" s="2128">
        <f t="shared" si="255"/>
        <v>4933819.29</v>
      </c>
    </row>
    <row r="392" spans="1:33" ht="21.95" customHeight="1" x14ac:dyDescent="0.2">
      <c r="A392" s="1910">
        <f>A185</f>
        <v>49</v>
      </c>
      <c r="B392" s="2131">
        <f t="shared" si="225"/>
        <v>46</v>
      </c>
      <c r="C392" s="2132"/>
      <c r="D392" s="2133" t="str">
        <f>VLOOKUP($A392,satpek!$B$20:$N$144,2,0)</f>
        <v>Pasang aluminium foil/sisalation</v>
      </c>
      <c r="E392" s="2133"/>
      <c r="F392" s="2134"/>
      <c r="G392" s="1945">
        <f>G185</f>
        <v>974.54500000000007</v>
      </c>
      <c r="H392" s="2456" t="str">
        <f>VLOOKUP($A392,satpek!$B$20:$N$144,7,0)</f>
        <v>m2</v>
      </c>
      <c r="I392" s="3281" t="str">
        <f>VLOOKUP($A392,satpek!$B$20:$N$144,5,0)</f>
        <v>A.4.5.2.43.</v>
      </c>
      <c r="J392" s="1951">
        <f>VLOOKUP($A392,satpek!$B$20:$N$144,6,0)</f>
        <v>38843.75</v>
      </c>
      <c r="K392" s="3273"/>
      <c r="L392" s="1952">
        <f t="shared" si="250"/>
        <v>37854982.340000004</v>
      </c>
      <c r="M392" s="1967"/>
      <c r="N392" s="2458"/>
      <c r="O392" s="1954">
        <f>VLOOKUP($A392,satpek!$B$20:$L$138,9,0)</f>
        <v>19045</v>
      </c>
      <c r="P392" s="1954">
        <f>VLOOKUP($A392,satpek!$B$20:$L$138,10,0)</f>
        <v>21520.85</v>
      </c>
      <c r="Q392" s="1952">
        <f t="shared" si="251"/>
        <v>18560209.525000002</v>
      </c>
      <c r="R392" s="1952">
        <f t="shared" si="252"/>
        <v>0</v>
      </c>
      <c r="S392" s="3282">
        <f t="shared" si="253"/>
        <v>37854982.340000004</v>
      </c>
      <c r="V392" s="1958">
        <v>1</v>
      </c>
      <c r="W392" s="1958"/>
      <c r="X392" s="1958">
        <f t="shared" si="254"/>
        <v>-973.54500000000007</v>
      </c>
      <c r="Y392" s="2127" t="s">
        <v>1888</v>
      </c>
      <c r="AD392" s="2127"/>
      <c r="AE392" s="2127"/>
      <c r="AF392" s="1910">
        <v>5000000</v>
      </c>
      <c r="AG392" s="2128">
        <f t="shared" si="255"/>
        <v>4961156.25</v>
      </c>
    </row>
    <row r="393" spans="1:33" ht="21.95" customHeight="1" x14ac:dyDescent="0.2">
      <c r="A393" s="1910">
        <f>A234</f>
        <v>50</v>
      </c>
      <c r="B393" s="2131">
        <f t="shared" si="225"/>
        <v>47</v>
      </c>
      <c r="C393" s="2132"/>
      <c r="D393" s="2133" t="str">
        <f>VLOOKUP($A393,satpek!$B$20:$N$144,2,0)</f>
        <v>Memasang kloset duduk/monoblok dan aksesoris</v>
      </c>
      <c r="E393" s="2133"/>
      <c r="F393" s="2134"/>
      <c r="G393" s="1945">
        <f>G234+G259</f>
        <v>15</v>
      </c>
      <c r="H393" s="2456" t="str">
        <f>VLOOKUP($A393,satpek!$B$20:$N$144,7,0)</f>
        <v>bh</v>
      </c>
      <c r="I393" s="3281" t="str">
        <f>VLOOKUP($A393,satpek!$B$20:$N$144,5,0)</f>
        <v>A.5.1.1.1.</v>
      </c>
      <c r="J393" s="1951">
        <f>VLOOKUP($A393,satpek!$B$20:$N$144,6,0)</f>
        <v>3373897.5</v>
      </c>
      <c r="K393" s="3273"/>
      <c r="L393" s="1952">
        <f>ROUND((G393*J393),2)</f>
        <v>50608462.5</v>
      </c>
      <c r="M393" s="1967"/>
      <c r="N393" s="2458"/>
      <c r="O393" s="1954">
        <f>VLOOKUP($A393,satpek!$B$20:$L$138,9,0)</f>
        <v>1386795</v>
      </c>
      <c r="P393" s="1954">
        <f>VLOOKUP($A393,satpek!$B$20:$L$138,10,0)</f>
        <v>1567078.35</v>
      </c>
      <c r="Q393" s="1952">
        <f t="shared" si="251"/>
        <v>20801925</v>
      </c>
      <c r="R393" s="1952">
        <f t="shared" si="252"/>
        <v>0</v>
      </c>
      <c r="S393" s="3282">
        <f t="shared" si="253"/>
        <v>50608462.5</v>
      </c>
      <c r="V393" s="1958">
        <v>1</v>
      </c>
      <c r="W393" s="1958"/>
      <c r="X393" s="1958">
        <f t="shared" si="254"/>
        <v>-14</v>
      </c>
      <c r="Y393" s="2127" t="s">
        <v>1888</v>
      </c>
      <c r="AD393" s="2127"/>
      <c r="AE393" s="2127"/>
      <c r="AF393" s="1910">
        <v>5000000</v>
      </c>
      <c r="AG393" s="2128">
        <f t="shared" si="255"/>
        <v>1626102.5</v>
      </c>
    </row>
    <row r="394" spans="1:33" ht="21.95" customHeight="1" x14ac:dyDescent="0.2">
      <c r="A394" s="1910">
        <f>A235</f>
        <v>52</v>
      </c>
      <c r="B394" s="2131">
        <f t="shared" si="225"/>
        <v>48</v>
      </c>
      <c r="C394" s="2132"/>
      <c r="D394" s="2133" t="str">
        <f>VLOOKUP($A394,satpek!$B$20:$N$144,2,0)</f>
        <v>Memasang wastafel lengkap sifon stainless</v>
      </c>
      <c r="E394" s="2133"/>
      <c r="F394" s="2134"/>
      <c r="G394" s="1945">
        <f>G235+G260</f>
        <v>8</v>
      </c>
      <c r="H394" s="2456" t="str">
        <f>VLOOKUP($A394,satpek!$B$20:$N$144,7,0)</f>
        <v>bh</v>
      </c>
      <c r="I394" s="3281" t="str">
        <f>VLOOKUP($A394,satpek!$B$20:$N$144,5,0)</f>
        <v>A.5.1.1.5.</v>
      </c>
      <c r="J394" s="1951">
        <f>VLOOKUP($A394,satpek!$B$20:$N$144,6,0)</f>
        <v>1376407.8</v>
      </c>
      <c r="K394" s="3273"/>
      <c r="L394" s="1952">
        <f t="shared" si="250"/>
        <v>11011262.4</v>
      </c>
      <c r="M394" s="1967"/>
      <c r="N394" s="2458"/>
      <c r="O394" s="1954">
        <f>VLOOKUP($A394,satpek!$B$20:$L$138,9,0)</f>
        <v>876225.08</v>
      </c>
      <c r="P394" s="1954">
        <f>VLOOKUP($A394,satpek!$B$20:$L$138,10,0)</f>
        <v>990134.34039999999</v>
      </c>
      <c r="Q394" s="1952">
        <f t="shared" si="251"/>
        <v>7009800.6399999997</v>
      </c>
      <c r="R394" s="1952">
        <f t="shared" si="252"/>
        <v>0</v>
      </c>
      <c r="S394" s="3282">
        <f t="shared" si="253"/>
        <v>11011262.4</v>
      </c>
      <c r="V394" s="1958">
        <v>1</v>
      </c>
      <c r="W394" s="1958"/>
      <c r="X394" s="1958">
        <f t="shared" si="254"/>
        <v>-7</v>
      </c>
      <c r="Y394" s="2127" t="s">
        <v>1888</v>
      </c>
      <c r="AD394" s="2127"/>
      <c r="AE394" s="2127"/>
      <c r="AF394" s="1910">
        <v>5000000</v>
      </c>
      <c r="AG394" s="2128">
        <f t="shared" si="255"/>
        <v>3623592.2</v>
      </c>
    </row>
    <row r="395" spans="1:33" ht="21.95" customHeight="1" x14ac:dyDescent="0.2">
      <c r="A395" s="1910">
        <f>A236</f>
        <v>53</v>
      </c>
      <c r="B395" s="2131">
        <f t="shared" si="225"/>
        <v>49</v>
      </c>
      <c r="C395" s="2132"/>
      <c r="D395" s="2133" t="str">
        <f>VLOOKUP($A395,satpek!$B$20:$N$144,2,0)</f>
        <v>Memasang floor drain stainless</v>
      </c>
      <c r="E395" s="2133"/>
      <c r="F395" s="2134"/>
      <c r="G395" s="1945">
        <f>G264+G261+G236</f>
        <v>31</v>
      </c>
      <c r="H395" s="2456" t="str">
        <f>VLOOKUP($A395,satpek!$B$20:$N$144,7,0)</f>
        <v>bh</v>
      </c>
      <c r="I395" s="3281" t="str">
        <f>VLOOKUP($A395,satpek!$B$20:$N$144,5,0)</f>
        <v>A.5.1.1.14.</v>
      </c>
      <c r="J395" s="1951">
        <f>VLOOKUP($A395,satpek!$B$20:$N$144,6,0)</f>
        <v>120111.09</v>
      </c>
      <c r="K395" s="3273"/>
      <c r="L395" s="1952">
        <f t="shared" si="250"/>
        <v>3723443.79</v>
      </c>
      <c r="M395" s="1967"/>
      <c r="N395" s="2458"/>
      <c r="O395" s="1954">
        <f>VLOOKUP($A395,satpek!$B$20:$L$138,9,0)</f>
        <v>11293</v>
      </c>
      <c r="P395" s="1954">
        <f>VLOOKUP($A395,satpek!$B$20:$L$138,10,0)</f>
        <v>12761.09</v>
      </c>
      <c r="Q395" s="1952">
        <f t="shared" si="251"/>
        <v>350083</v>
      </c>
      <c r="R395" s="1952">
        <f t="shared" si="252"/>
        <v>0</v>
      </c>
      <c r="S395" s="3282">
        <f t="shared" si="253"/>
        <v>3723443.79</v>
      </c>
      <c r="V395" s="1958">
        <v>1</v>
      </c>
      <c r="W395" s="1958"/>
      <c r="X395" s="1958">
        <f t="shared" si="254"/>
        <v>-30</v>
      </c>
      <c r="Y395" s="2127" t="s">
        <v>1888</v>
      </c>
      <c r="AD395" s="2127"/>
      <c r="AE395" s="2127"/>
      <c r="AF395" s="1910">
        <v>5000000</v>
      </c>
      <c r="AG395" s="2128">
        <f t="shared" si="255"/>
        <v>4879888.91</v>
      </c>
    </row>
    <row r="396" spans="1:33" ht="21.95" customHeight="1" x14ac:dyDescent="0.2">
      <c r="A396" s="1910">
        <f>A223</f>
        <v>54</v>
      </c>
      <c r="B396" s="2131">
        <f t="shared" si="225"/>
        <v>50</v>
      </c>
      <c r="C396" s="2132"/>
      <c r="D396" s="2133" t="str">
        <f>VLOOKUP($A396,satpek!$B$20:$N$144,2,0)</f>
        <v>Memasang pipa PVC tipe AW diameter 3/4"</v>
      </c>
      <c r="E396" s="2133"/>
      <c r="F396" s="2134"/>
      <c r="G396" s="1945">
        <f>G246+G223</f>
        <v>47</v>
      </c>
      <c r="H396" s="2456" t="str">
        <f>VLOOKUP($A396,satpek!$B$20:$N$144,7,0)</f>
        <v>m'</v>
      </c>
      <c r="I396" s="3281" t="str">
        <f>VLOOKUP($A396,satpek!$B$20:$N$144,5,0)</f>
        <v>A.5.1.1.26.</v>
      </c>
      <c r="J396" s="1951">
        <f>VLOOKUP($A396,satpek!$B$20:$N$144,6,0)</f>
        <v>24034.87</v>
      </c>
      <c r="K396" s="3273"/>
      <c r="L396" s="1952">
        <f t="shared" si="250"/>
        <v>1129638.8899999999</v>
      </c>
      <c r="M396" s="1967"/>
      <c r="N396" s="2458"/>
      <c r="O396" s="1954">
        <f>VLOOKUP($A396,satpek!$B$20:$L$138,9,0)</f>
        <v>20112.797999999999</v>
      </c>
      <c r="P396" s="1954">
        <f>VLOOKUP($A396,satpek!$B$20:$L$138,10,0)</f>
        <v>22727.461739999999</v>
      </c>
      <c r="Q396" s="1952">
        <f t="shared" si="251"/>
        <v>945301.50599999994</v>
      </c>
      <c r="R396" s="1952">
        <f t="shared" si="252"/>
        <v>0</v>
      </c>
      <c r="S396" s="3282">
        <f t="shared" si="253"/>
        <v>1129638.8899999999</v>
      </c>
      <c r="V396" s="1958">
        <v>1</v>
      </c>
      <c r="W396" s="1958"/>
      <c r="X396" s="1958">
        <f t="shared" si="254"/>
        <v>-46</v>
      </c>
      <c r="Y396" s="2127" t="s">
        <v>1888</v>
      </c>
      <c r="AD396" s="2127"/>
      <c r="AE396" s="2127"/>
      <c r="AF396" s="1910">
        <v>5000000</v>
      </c>
      <c r="AG396" s="2128">
        <f t="shared" si="255"/>
        <v>4975965.13</v>
      </c>
    </row>
    <row r="397" spans="1:33" ht="21.95" customHeight="1" x14ac:dyDescent="0.2">
      <c r="A397" s="1910">
        <f>A224</f>
        <v>55</v>
      </c>
      <c r="B397" s="2131">
        <f t="shared" si="225"/>
        <v>51</v>
      </c>
      <c r="C397" s="2132"/>
      <c r="D397" s="2133" t="str">
        <f>VLOOKUP($A397,satpek!$B$20:$N$144,2,0)</f>
        <v>Memasang pipa PVC tipe AW diameter 1"</v>
      </c>
      <c r="E397" s="2133"/>
      <c r="F397" s="2134"/>
      <c r="G397" s="1945">
        <f>G247+G224</f>
        <v>64.8</v>
      </c>
      <c r="H397" s="2456" t="str">
        <f>VLOOKUP($A397,satpek!$B$20:$N$144,7,0)</f>
        <v>m'</v>
      </c>
      <c r="I397" s="3281" t="str">
        <f>VLOOKUP($A397,satpek!$B$20:$N$144,5,0)</f>
        <v>A.5.1.1.27.</v>
      </c>
      <c r="J397" s="1951">
        <f>VLOOKUP($A397,satpek!$B$20:$N$144,6,0)</f>
        <v>26924.85</v>
      </c>
      <c r="K397" s="3273"/>
      <c r="L397" s="1952">
        <f t="shared" si="250"/>
        <v>1744730.28</v>
      </c>
      <c r="M397" s="1967"/>
      <c r="N397" s="2458"/>
      <c r="O397" s="1954">
        <f>VLOOKUP($A397,satpek!$B$20:$L$138,9,0)</f>
        <v>22422.368999999999</v>
      </c>
      <c r="P397" s="1954">
        <f>VLOOKUP($A397,satpek!$B$20:$L$138,10,0)</f>
        <v>25337.276969999999</v>
      </c>
      <c r="Q397" s="1952">
        <f t="shared" si="251"/>
        <v>1452969.5111999998</v>
      </c>
      <c r="R397" s="1952">
        <f t="shared" si="252"/>
        <v>0</v>
      </c>
      <c r="S397" s="3282">
        <f t="shared" si="253"/>
        <v>1744730.28</v>
      </c>
      <c r="V397" s="1958">
        <v>1</v>
      </c>
      <c r="W397" s="1958"/>
      <c r="X397" s="1958">
        <f t="shared" si="254"/>
        <v>-63.8</v>
      </c>
      <c r="Y397" s="2127" t="s">
        <v>1888</v>
      </c>
      <c r="AD397" s="2127"/>
      <c r="AE397" s="2127"/>
      <c r="AF397" s="1910">
        <v>5000000</v>
      </c>
      <c r="AG397" s="2128">
        <f t="shared" si="255"/>
        <v>4973075.1500000004</v>
      </c>
    </row>
    <row r="398" spans="1:33" ht="21.95" customHeight="1" x14ac:dyDescent="0.2">
      <c r="A398" s="1910">
        <f>A225</f>
        <v>56</v>
      </c>
      <c r="B398" s="2131">
        <f t="shared" si="225"/>
        <v>52</v>
      </c>
      <c r="C398" s="2132"/>
      <c r="D398" s="2133" t="str">
        <f>VLOOKUP($A398,satpek!$B$20:$N$144,2,0)</f>
        <v>Memasang pipa PVC tipe AW diameter 1 1/2"</v>
      </c>
      <c r="E398" s="2133"/>
      <c r="F398" s="2134"/>
      <c r="G398" s="1945">
        <f>G251+G248+G228+G225</f>
        <v>124.8</v>
      </c>
      <c r="H398" s="2456" t="str">
        <f>VLOOKUP($A398,satpek!$B$20:$N$144,7,0)</f>
        <v>m'</v>
      </c>
      <c r="I398" s="3281" t="str">
        <f>VLOOKUP($A398,satpek!$B$20:$N$144,5,0)</f>
        <v>A.5.1.1.28.</v>
      </c>
      <c r="J398" s="1951">
        <f>VLOOKUP($A398,satpek!$B$20:$N$144,6,0)</f>
        <v>49932.95</v>
      </c>
      <c r="K398" s="3273"/>
      <c r="L398" s="1952">
        <f t="shared" si="250"/>
        <v>6231632.1600000001</v>
      </c>
      <c r="M398" s="1967"/>
      <c r="N398" s="2458"/>
      <c r="O398" s="1954">
        <f>VLOOKUP($A398,satpek!$B$20:$L$138,9,0)</f>
        <v>41262.136500000001</v>
      </c>
      <c r="P398" s="1954">
        <f>VLOOKUP($A398,satpek!$B$20:$L$138,10,0)</f>
        <v>46626.214245000003</v>
      </c>
      <c r="Q398" s="1952">
        <f t="shared" si="251"/>
        <v>5149514.6352000004</v>
      </c>
      <c r="R398" s="1952">
        <f t="shared" si="252"/>
        <v>0</v>
      </c>
      <c r="S398" s="3282">
        <f t="shared" si="253"/>
        <v>6231632.1600000001</v>
      </c>
      <c r="V398" s="1958">
        <v>1</v>
      </c>
      <c r="W398" s="1958"/>
      <c r="X398" s="1958">
        <f t="shared" si="254"/>
        <v>-123.8</v>
      </c>
      <c r="Y398" s="2127" t="s">
        <v>1888</v>
      </c>
      <c r="AD398" s="2127"/>
      <c r="AE398" s="2127"/>
      <c r="AF398" s="1910">
        <v>5000000</v>
      </c>
      <c r="AG398" s="2128">
        <f t="shared" si="255"/>
        <v>4950067.05</v>
      </c>
    </row>
    <row r="399" spans="1:33" ht="21.95" customHeight="1" x14ac:dyDescent="0.2">
      <c r="A399" s="1910">
        <f>A229</f>
        <v>57</v>
      </c>
      <c r="B399" s="2131">
        <f t="shared" si="225"/>
        <v>53</v>
      </c>
      <c r="C399" s="2132"/>
      <c r="D399" s="2133" t="str">
        <f>VLOOKUP($A399,satpek!$B$20:$N$144,2,0)</f>
        <v>Memasang pipa PVC tipe AW diameter 2"</v>
      </c>
      <c r="E399" s="2133"/>
      <c r="F399" s="2134"/>
      <c r="G399" s="1945">
        <f>G252+G229</f>
        <v>27.8</v>
      </c>
      <c r="H399" s="2456" t="str">
        <f>VLOOKUP($A399,satpek!$B$20:$N$144,7,0)</f>
        <v>m'</v>
      </c>
      <c r="I399" s="3281" t="str">
        <f>VLOOKUP($A399,satpek!$B$20:$N$144,5,0)</f>
        <v>A.5.1.1.29.</v>
      </c>
      <c r="J399" s="1951">
        <f>VLOOKUP($A399,satpek!$B$20:$N$144,6,0)</f>
        <v>78438.61</v>
      </c>
      <c r="K399" s="3273"/>
      <c r="L399" s="1952">
        <f t="shared" si="250"/>
        <v>2180593.36</v>
      </c>
      <c r="M399" s="1967"/>
      <c r="N399" s="2458"/>
      <c r="O399" s="1954">
        <f>VLOOKUP($A399,satpek!$B$20:$L$138,9,0)</f>
        <v>64042.904999999999</v>
      </c>
      <c r="P399" s="1954">
        <f>VLOOKUP($A399,satpek!$B$20:$L$138,10,0)</f>
        <v>72368.482649999991</v>
      </c>
      <c r="Q399" s="1952">
        <f t="shared" si="251"/>
        <v>1780392.7590000001</v>
      </c>
      <c r="R399" s="1952">
        <f t="shared" si="252"/>
        <v>0</v>
      </c>
      <c r="S399" s="3282">
        <f t="shared" si="253"/>
        <v>2180593.36</v>
      </c>
      <c r="V399" s="1958">
        <v>1</v>
      </c>
      <c r="W399" s="1958"/>
      <c r="X399" s="1958">
        <f t="shared" si="254"/>
        <v>-26.8</v>
      </c>
      <c r="Y399" s="2127" t="s">
        <v>1888</v>
      </c>
      <c r="AD399" s="2127"/>
      <c r="AE399" s="2127"/>
      <c r="AF399" s="1910">
        <v>5000000</v>
      </c>
      <c r="AG399" s="2128">
        <f t="shared" si="255"/>
        <v>4921561.3899999997</v>
      </c>
    </row>
    <row r="400" spans="1:33" ht="21.95" customHeight="1" x14ac:dyDescent="0.2">
      <c r="A400" s="1910">
        <f>A230</f>
        <v>59</v>
      </c>
      <c r="B400" s="2131">
        <f t="shared" si="225"/>
        <v>54</v>
      </c>
      <c r="C400" s="2132"/>
      <c r="D400" s="2133" t="str">
        <f>VLOOKUP($A400,satpek!$B$20:$N$144,2,0)</f>
        <v>Memasang pipa PVC tipe AW diameter 3"</v>
      </c>
      <c r="E400" s="2133"/>
      <c r="F400" s="2134"/>
      <c r="G400" s="1945">
        <f>G253+G230</f>
        <v>41.8</v>
      </c>
      <c r="H400" s="2456" t="str">
        <f>VLOOKUP($A400,satpek!$B$20:$N$144,7,0)</f>
        <v>m'</v>
      </c>
      <c r="I400" s="3281" t="str">
        <f>VLOOKUP($A400,satpek!$B$20:$N$144,5,0)</f>
        <v>A.5.1.1.31.</v>
      </c>
      <c r="J400" s="1951">
        <f>VLOOKUP($A400,satpek!$B$20:$N$144,6,0)</f>
        <v>103284.6</v>
      </c>
      <c r="K400" s="3273"/>
      <c r="L400" s="1952">
        <f t="shared" si="250"/>
        <v>4317296.28</v>
      </c>
      <c r="M400" s="1967"/>
      <c r="N400" s="2458"/>
      <c r="O400" s="1954">
        <f>VLOOKUP($A400,satpek!$B$20:$L$138,9,0)</f>
        <v>84565.47</v>
      </c>
      <c r="P400" s="1954">
        <f>VLOOKUP($A400,satpek!$B$20:$L$138,10,0)</f>
        <v>95558.981100000005</v>
      </c>
      <c r="Q400" s="1952">
        <f t="shared" si="251"/>
        <v>3534836.6459999997</v>
      </c>
      <c r="R400" s="1952">
        <f t="shared" si="252"/>
        <v>0</v>
      </c>
      <c r="S400" s="3282">
        <f t="shared" si="253"/>
        <v>4317296.28</v>
      </c>
      <c r="V400" s="1958">
        <v>1</v>
      </c>
      <c r="W400" s="1958"/>
      <c r="X400" s="1958">
        <f t="shared" si="254"/>
        <v>-40.799999999999997</v>
      </c>
      <c r="Y400" s="2127" t="s">
        <v>1888</v>
      </c>
      <c r="AD400" s="2127"/>
      <c r="AE400" s="2127"/>
      <c r="AF400" s="1910">
        <v>5000000</v>
      </c>
      <c r="AG400" s="2128">
        <f t="shared" si="255"/>
        <v>4896715.4000000004</v>
      </c>
    </row>
    <row r="401" spans="1:33" ht="21.95" customHeight="1" x14ac:dyDescent="0.2">
      <c r="A401" s="1910">
        <f>A232</f>
        <v>60</v>
      </c>
      <c r="B401" s="2131">
        <f t="shared" si="225"/>
        <v>55</v>
      </c>
      <c r="C401" s="2132"/>
      <c r="D401" s="2133" t="str">
        <f>VLOOKUP($A401,satpek!$B$20:$N$144,2,0)</f>
        <v>Memasang pipa PVC tipe AW diameter 4"</v>
      </c>
      <c r="E401" s="2133"/>
      <c r="F401" s="2134"/>
      <c r="G401" s="1945">
        <f>G257+G255+G232</f>
        <v>158</v>
      </c>
      <c r="H401" s="2456" t="str">
        <f>VLOOKUP($A401,satpek!$B$20:$N$144,7,0)</f>
        <v>m'</v>
      </c>
      <c r="I401" s="3281" t="str">
        <f>VLOOKUP($A401,satpek!$B$20:$N$144,5,0)</f>
        <v>A.5.1.1.32.</v>
      </c>
      <c r="J401" s="1951">
        <f>VLOOKUP($A401,satpek!$B$20:$N$144,6,0)</f>
        <v>167743.75</v>
      </c>
      <c r="K401" s="3273"/>
      <c r="L401" s="1952">
        <f t="shared" si="250"/>
        <v>26503512.5</v>
      </c>
      <c r="M401" s="1967"/>
      <c r="N401" s="2458"/>
      <c r="O401" s="1954">
        <f>VLOOKUP($A401,satpek!$B$20:$L$138,9,0)</f>
        <v>136086.91500000001</v>
      </c>
      <c r="P401" s="1954">
        <f>VLOOKUP($A401,satpek!$B$20:$L$138,10,0)</f>
        <v>153778.21395</v>
      </c>
      <c r="Q401" s="1952">
        <f t="shared" si="251"/>
        <v>21501732.57</v>
      </c>
      <c r="R401" s="1952">
        <f t="shared" si="252"/>
        <v>0</v>
      </c>
      <c r="S401" s="3282">
        <f t="shared" si="253"/>
        <v>26503512.5</v>
      </c>
      <c r="V401" s="1958">
        <v>1</v>
      </c>
      <c r="W401" s="1958"/>
      <c r="X401" s="1958">
        <f t="shared" si="254"/>
        <v>-157</v>
      </c>
      <c r="Y401" s="2127" t="s">
        <v>1888</v>
      </c>
      <c r="AD401" s="2127"/>
      <c r="AE401" s="2127"/>
      <c r="AF401" s="1910">
        <v>5000000</v>
      </c>
      <c r="AG401" s="2128">
        <f t="shared" si="255"/>
        <v>4832256.25</v>
      </c>
    </row>
    <row r="402" spans="1:33" ht="21.95" customHeight="1" x14ac:dyDescent="0.2">
      <c r="A402" s="1910">
        <f>A237</f>
        <v>62</v>
      </c>
      <c r="B402" s="2131">
        <f t="shared" si="225"/>
        <v>56</v>
      </c>
      <c r="C402" s="2132"/>
      <c r="D402" s="2133" t="str">
        <f>VLOOKUP($A402,satpek!$B$20:$N$144,2,0)</f>
        <v>Memasang bak cuci piring stainlessteel dan aksesoris</v>
      </c>
      <c r="E402" s="2133"/>
      <c r="F402" s="2134"/>
      <c r="G402" s="1945">
        <f>G237</f>
        <v>1</v>
      </c>
      <c r="H402" s="2456" t="str">
        <f>VLOOKUP($A402,satpek!$B$20:$N$144,7,0)</f>
        <v>bh</v>
      </c>
      <c r="I402" s="3281" t="str">
        <f>VLOOKUP($A402,satpek!$B$20:$N$144,5,0)</f>
        <v>A.5.1.1.12.</v>
      </c>
      <c r="J402" s="1951">
        <f>VLOOKUP($A402,satpek!$B$20:$N$144,6,0)</f>
        <v>1106133.27</v>
      </c>
      <c r="K402" s="3273"/>
      <c r="L402" s="1952">
        <f t="shared" si="250"/>
        <v>1106133.27</v>
      </c>
      <c r="M402" s="1967"/>
      <c r="N402" s="2458"/>
      <c r="O402" s="1954">
        <f>VLOOKUP($A402,satpek!$B$20:$L$138,9,0)</f>
        <v>33879</v>
      </c>
      <c r="P402" s="1954">
        <f>VLOOKUP($A402,satpek!$B$20:$L$138,10,0)</f>
        <v>38283.270000000004</v>
      </c>
      <c r="Q402" s="1952">
        <f t="shared" si="251"/>
        <v>33879</v>
      </c>
      <c r="R402" s="1952">
        <f t="shared" si="252"/>
        <v>0</v>
      </c>
      <c r="S402" s="3282">
        <f t="shared" si="253"/>
        <v>1106133.27</v>
      </c>
      <c r="V402" s="1958">
        <v>1</v>
      </c>
      <c r="W402" s="1958"/>
      <c r="X402" s="1958">
        <f t="shared" si="254"/>
        <v>0</v>
      </c>
      <c r="Y402" s="2127" t="s">
        <v>1888</v>
      </c>
      <c r="AD402" s="2127"/>
      <c r="AE402" s="2127"/>
      <c r="AF402" s="1910">
        <v>5000000</v>
      </c>
      <c r="AG402" s="2128">
        <f t="shared" si="255"/>
        <v>3893866.73</v>
      </c>
    </row>
    <row r="403" spans="1:33" ht="21.95" customHeight="1" x14ac:dyDescent="0.2">
      <c r="A403" s="1910">
        <f>A238</f>
        <v>63</v>
      </c>
      <c r="B403" s="2131">
        <f t="shared" si="225"/>
        <v>57</v>
      </c>
      <c r="C403" s="2132"/>
      <c r="D403" s="2133" t="str">
        <f>VLOOKUP($A403,satpek!$B$20:$N$144,2,0)</f>
        <v>Memasang kran diameter 1/2", onda stainless</v>
      </c>
      <c r="E403" s="2133"/>
      <c r="F403" s="2134"/>
      <c r="G403" s="1945">
        <f>G262+G238</f>
        <v>15</v>
      </c>
      <c r="H403" s="2456" t="str">
        <f>VLOOKUP($A403,satpek!$B$20:$N$144,7,0)</f>
        <v>bh</v>
      </c>
      <c r="I403" s="3281" t="str">
        <f>VLOOKUP($A403,satpek!$B$20:$N$144,5,0)</f>
        <v>A.5.1.1.19.</v>
      </c>
      <c r="J403" s="1951">
        <f>VLOOKUP($A403,satpek!$B$20:$N$144,6,0)</f>
        <v>170986.52</v>
      </c>
      <c r="K403" s="3273"/>
      <c r="L403" s="1952">
        <f t="shared" si="250"/>
        <v>2564797.7999999998</v>
      </c>
      <c r="M403" s="1967"/>
      <c r="N403" s="2458"/>
      <c r="O403" s="1954">
        <f>VLOOKUP($A403,satpek!$B$20:$L$138,9,0)</f>
        <v>144287</v>
      </c>
      <c r="P403" s="1954">
        <f>VLOOKUP($A403,satpek!$B$20:$L$138,10,0)</f>
        <v>163044.31</v>
      </c>
      <c r="Q403" s="1952">
        <f t="shared" si="251"/>
        <v>2164305</v>
      </c>
      <c r="R403" s="1952">
        <f t="shared" si="252"/>
        <v>0</v>
      </c>
      <c r="S403" s="3282">
        <f t="shared" si="253"/>
        <v>2564797.7999999998</v>
      </c>
      <c r="V403" s="1958">
        <v>1</v>
      </c>
      <c r="W403" s="1958"/>
      <c r="X403" s="1958">
        <f t="shared" si="254"/>
        <v>-14</v>
      </c>
      <c r="Y403" s="2127" t="s">
        <v>1888</v>
      </c>
      <c r="AD403" s="2127"/>
      <c r="AE403" s="2127"/>
      <c r="AF403" s="1910">
        <v>5000000</v>
      </c>
      <c r="AG403" s="2128">
        <f t="shared" si="255"/>
        <v>4829013.4800000004</v>
      </c>
    </row>
    <row r="404" spans="1:33" ht="21.95" customHeight="1" x14ac:dyDescent="0.2">
      <c r="A404" s="1910">
        <f>A197</f>
        <v>64</v>
      </c>
      <c r="B404" s="2131">
        <f t="shared" si="225"/>
        <v>58</v>
      </c>
      <c r="C404" s="2132"/>
      <c r="D404" s="2133" t="str">
        <f>VLOOKUP($A404,satpek!$B$20:$N$144,2,0)</f>
        <v>Pasang kaca mati tebal 5 mm</v>
      </c>
      <c r="E404" s="2133"/>
      <c r="F404" s="2134"/>
      <c r="G404" s="1945">
        <f>G204+G197</f>
        <v>47.519999999999996</v>
      </c>
      <c r="H404" s="2456" t="str">
        <f>VLOOKUP($A404,satpek!$B$20:$N$144,7,0)</f>
        <v>m2</v>
      </c>
      <c r="I404" s="3281" t="str">
        <f>VLOOKUP($A404,satpek!$B$20:$N$144,5,0)</f>
        <v>A.4.6.2.17.</v>
      </c>
      <c r="J404" s="1951">
        <f>VLOOKUP($A404,satpek!$B$20:$N$144,6,0)</f>
        <v>170445.25</v>
      </c>
      <c r="K404" s="3273"/>
      <c r="L404" s="1952">
        <f t="shared" si="250"/>
        <v>8099558.2800000003</v>
      </c>
      <c r="M404" s="1967"/>
      <c r="N404" s="2458"/>
      <c r="O404" s="1954">
        <f>VLOOKUP($A404,satpek!$B$20:$L$138,9,0)</f>
        <v>93304.960000000006</v>
      </c>
      <c r="P404" s="1954">
        <f>VLOOKUP($A404,satpek!$B$20:$L$138,10,0)</f>
        <v>105434.6048</v>
      </c>
      <c r="Q404" s="1952">
        <f t="shared" si="251"/>
        <v>4433851.6991999997</v>
      </c>
      <c r="R404" s="1952">
        <f t="shared" si="252"/>
        <v>0</v>
      </c>
      <c r="S404" s="3282">
        <f t="shared" si="253"/>
        <v>8099558.2800000003</v>
      </c>
      <c r="V404" s="1958">
        <v>1</v>
      </c>
      <c r="W404" s="1958"/>
      <c r="X404" s="1958">
        <f t="shared" si="254"/>
        <v>-46.519999999999996</v>
      </c>
      <c r="Y404" s="2127" t="s">
        <v>1888</v>
      </c>
      <c r="AD404" s="2127"/>
      <c r="AE404" s="2127"/>
      <c r="AF404" s="1910">
        <v>5000000</v>
      </c>
      <c r="AG404" s="2128">
        <f t="shared" si="255"/>
        <v>4829554.75</v>
      </c>
    </row>
    <row r="405" spans="1:33" ht="21.95" customHeight="1" x14ac:dyDescent="0.2">
      <c r="A405" s="1910">
        <f>A208</f>
        <v>65</v>
      </c>
      <c r="B405" s="2131">
        <f t="shared" si="225"/>
        <v>59</v>
      </c>
      <c r="C405" s="2132"/>
      <c r="D405" s="2133" t="str">
        <f>VLOOKUP($A405,satpek!$B$20:$N$144,2,0)</f>
        <v>Pengecatan dinding dalam (cat interior)</v>
      </c>
      <c r="E405" s="2133"/>
      <c r="F405" s="2134"/>
      <c r="G405" s="1945">
        <f>G214+G212+G210+G208</f>
        <v>3514.567</v>
      </c>
      <c r="H405" s="2456" t="str">
        <f>VLOOKUP($A405,satpek!$B$20:$N$144,7,0)</f>
        <v>m2</v>
      </c>
      <c r="I405" s="3281" t="str">
        <f>VLOOKUP($A405,satpek!$B$20:$N$144,5,0)</f>
        <v>A.4.7.1.10.</v>
      </c>
      <c r="J405" s="1951">
        <f>VLOOKUP($A405,satpek!$B$20:$N$144,6,0)</f>
        <v>23041.599999999999</v>
      </c>
      <c r="K405" s="3273"/>
      <c r="L405" s="1952">
        <f t="shared" si="250"/>
        <v>80981246.989999995</v>
      </c>
      <c r="M405" s="1967"/>
      <c r="N405" s="2458"/>
      <c r="O405" s="1954">
        <f>VLOOKUP($A405,satpek!$B$20:$L$138,9,0)</f>
        <v>10707.824000000001</v>
      </c>
      <c r="P405" s="1954">
        <f>VLOOKUP($A405,satpek!$B$20:$L$138,10,0)</f>
        <v>12099.841120000001</v>
      </c>
      <c r="Q405" s="1952">
        <f t="shared" si="251"/>
        <v>37633364.872207999</v>
      </c>
      <c r="R405" s="1952">
        <f t="shared" si="252"/>
        <v>0</v>
      </c>
      <c r="S405" s="3282">
        <f t="shared" si="253"/>
        <v>80981246.989999995</v>
      </c>
      <c r="V405" s="1958">
        <v>1</v>
      </c>
      <c r="W405" s="1958"/>
      <c r="X405" s="1958">
        <f t="shared" si="254"/>
        <v>-3513.567</v>
      </c>
      <c r="Y405" s="2127" t="s">
        <v>1888</v>
      </c>
      <c r="AD405" s="2127"/>
      <c r="AE405" s="2127"/>
      <c r="AF405" s="1910">
        <v>5000000</v>
      </c>
      <c r="AG405" s="2128">
        <f t="shared" si="255"/>
        <v>4976958.4000000004</v>
      </c>
    </row>
    <row r="406" spans="1:33" ht="21.95" customHeight="1" x14ac:dyDescent="0.2">
      <c r="A406" s="1910">
        <f>A209</f>
        <v>66</v>
      </c>
      <c r="B406" s="2131">
        <f t="shared" si="225"/>
        <v>60</v>
      </c>
      <c r="C406" s="2132"/>
      <c r="D406" s="2133" t="str">
        <f>VLOOKUP($A406,satpek!$B$20:$N$144,2,0)</f>
        <v>Pengecatan dinding luar (cat exterior)</v>
      </c>
      <c r="E406" s="2133"/>
      <c r="F406" s="2134"/>
      <c r="G406" s="1945">
        <f>G213+G209</f>
        <v>917.44</v>
      </c>
      <c r="H406" s="2456" t="str">
        <f>VLOOKUP($A406,satpek!$B$20:$N$144,7,0)</f>
        <v>m2</v>
      </c>
      <c r="I406" s="3281" t="str">
        <f>VLOOKUP($A406,satpek!$B$20:$N$144,5,0)</f>
        <v>A.4.7.1.10a.</v>
      </c>
      <c r="J406" s="1951">
        <f>VLOOKUP($A406,satpek!$B$20:$N$144,6,0)</f>
        <v>56348.350000000006</v>
      </c>
      <c r="K406" s="3273"/>
      <c r="L406" s="1952">
        <f t="shared" si="250"/>
        <v>51696230.219999999</v>
      </c>
      <c r="M406" s="1967"/>
      <c r="N406" s="2458"/>
      <c r="O406" s="1954">
        <f>VLOOKUP($A406,satpek!$B$20:$L$138,9,0)</f>
        <v>17682.68</v>
      </c>
      <c r="P406" s="1954">
        <f>VLOOKUP($A406,satpek!$B$20:$L$138,10,0)</f>
        <v>19981.428400000001</v>
      </c>
      <c r="Q406" s="1952">
        <f t="shared" si="251"/>
        <v>16222797.939200001</v>
      </c>
      <c r="R406" s="1952">
        <f t="shared" si="252"/>
        <v>0</v>
      </c>
      <c r="S406" s="3282">
        <f t="shared" si="253"/>
        <v>51696230.219999999</v>
      </c>
      <c r="V406" s="1958">
        <v>1</v>
      </c>
      <c r="W406" s="1958"/>
      <c r="X406" s="1958">
        <f t="shared" si="254"/>
        <v>-916.44</v>
      </c>
      <c r="Y406" s="2127" t="s">
        <v>1888</v>
      </c>
      <c r="AD406" s="2127"/>
      <c r="AE406" s="2127"/>
      <c r="AF406" s="1910">
        <v>5000000</v>
      </c>
      <c r="AG406" s="2128">
        <f t="shared" si="255"/>
        <v>4943651.6500000004</v>
      </c>
    </row>
    <row r="407" spans="1:33" ht="21.95" customHeight="1" x14ac:dyDescent="0.2">
      <c r="A407" s="1910">
        <f>A274</f>
        <v>67</v>
      </c>
      <c r="B407" s="2131">
        <f t="shared" si="225"/>
        <v>61</v>
      </c>
      <c r="C407" s="2132"/>
      <c r="D407" s="2133" t="str">
        <f>VLOOKUP($A407,satpek!$B$20:$N$144,2,0)</f>
        <v>Instalasi kabel power (4x16mm)</v>
      </c>
      <c r="E407" s="2133"/>
      <c r="F407" s="2134"/>
      <c r="G407" s="1945">
        <f>G295+G274</f>
        <v>10.8</v>
      </c>
      <c r="H407" s="2456" t="str">
        <f>VLOOKUP($A407,satpek!$B$20:$N$144,7,0)</f>
        <v>ttk</v>
      </c>
      <c r="I407" s="3281" t="str">
        <f>VLOOKUP($A407,satpek!$B$20:$N$144,5,0)</f>
        <v>An. Dihitung</v>
      </c>
      <c r="J407" s="1951">
        <f>VLOOKUP($A407,satpek!$B$20:$N$144,6,0)</f>
        <v>490227.9</v>
      </c>
      <c r="K407" s="3273"/>
      <c r="L407" s="1952">
        <f t="shared" si="250"/>
        <v>5294461.32</v>
      </c>
      <c r="M407" s="1967"/>
      <c r="N407" s="2458"/>
      <c r="O407" s="1954">
        <f>VLOOKUP($A407,satpek!$B$20:$L$138,9,0)</f>
        <v>380630</v>
      </c>
      <c r="P407" s="1954">
        <f>VLOOKUP($A407,satpek!$B$20:$L$138,10,0)</f>
        <v>430111.9</v>
      </c>
      <c r="Q407" s="1952">
        <f t="shared" si="251"/>
        <v>4110804.0000000005</v>
      </c>
      <c r="R407" s="1952">
        <f t="shared" si="252"/>
        <v>0</v>
      </c>
      <c r="S407" s="3282">
        <f t="shared" si="253"/>
        <v>5294461.32</v>
      </c>
      <c r="V407" s="1958">
        <v>1</v>
      </c>
      <c r="W407" s="1958"/>
      <c r="X407" s="1958">
        <f t="shared" si="254"/>
        <v>-9.8000000000000007</v>
      </c>
      <c r="Y407" s="2127" t="s">
        <v>1888</v>
      </c>
      <c r="AD407" s="2127"/>
      <c r="AE407" s="2127"/>
      <c r="AF407" s="1910">
        <v>5000000</v>
      </c>
      <c r="AG407" s="2128">
        <f t="shared" si="255"/>
        <v>4509772.0999999996</v>
      </c>
    </row>
    <row r="408" spans="1:33" ht="21.95" customHeight="1" x14ac:dyDescent="0.2">
      <c r="A408" s="1910">
        <f>A273</f>
        <v>68</v>
      </c>
      <c r="B408" s="2131">
        <f t="shared" si="225"/>
        <v>62</v>
      </c>
      <c r="C408" s="2132"/>
      <c r="D408" s="2133" t="str">
        <f>VLOOKUP($A408,satpek!$B$20:$N$144,2,0)</f>
        <v>Instalasi kabel power (4x70mm)</v>
      </c>
      <c r="E408" s="2133"/>
      <c r="F408" s="2134"/>
      <c r="G408" s="1945">
        <f>G273</f>
        <v>61.3</v>
      </c>
      <c r="H408" s="2456" t="str">
        <f>VLOOKUP($A408,satpek!$B$20:$N$144,7,0)</f>
        <v>ttk</v>
      </c>
      <c r="I408" s="3281" t="str">
        <f>VLOOKUP($A408,satpek!$B$20:$N$144,5,0)</f>
        <v>An. Dihitung</v>
      </c>
      <c r="J408" s="1951">
        <f>VLOOKUP($A408,satpek!$B$20:$N$144,6,0)</f>
        <v>841092.9</v>
      </c>
      <c r="K408" s="3273"/>
      <c r="L408" s="1952">
        <f t="shared" si="250"/>
        <v>51558994.770000003</v>
      </c>
      <c r="M408" s="1967"/>
      <c r="N408" s="2458"/>
      <c r="O408" s="1954">
        <f>VLOOKUP($A408,satpek!$B$20:$L$138,9,0)</f>
        <v>650090</v>
      </c>
      <c r="P408" s="1954">
        <f>VLOOKUP($A408,satpek!$B$20:$L$138,10,0)</f>
        <v>734601.7</v>
      </c>
      <c r="Q408" s="1952">
        <f t="shared" si="251"/>
        <v>39850517</v>
      </c>
      <c r="R408" s="1952">
        <f t="shared" si="252"/>
        <v>0</v>
      </c>
      <c r="S408" s="3282">
        <f t="shared" si="253"/>
        <v>51558994.770000003</v>
      </c>
      <c r="V408" s="1958">
        <v>1</v>
      </c>
      <c r="W408" s="1958"/>
      <c r="X408" s="1958">
        <f t="shared" si="254"/>
        <v>-60.3</v>
      </c>
      <c r="Y408" s="2127" t="s">
        <v>1888</v>
      </c>
      <c r="AD408" s="2127"/>
      <c r="AE408" s="2127"/>
      <c r="AF408" s="1910">
        <v>5000000</v>
      </c>
      <c r="AG408" s="2128">
        <f t="shared" si="255"/>
        <v>4158907.1</v>
      </c>
    </row>
    <row r="409" spans="1:33" ht="21.95" customHeight="1" x14ac:dyDescent="0.2">
      <c r="A409" s="1910">
        <f>A275</f>
        <v>70</v>
      </c>
      <c r="B409" s="2131">
        <f t="shared" si="225"/>
        <v>63</v>
      </c>
      <c r="C409" s="2132"/>
      <c r="D409" s="2133" t="str">
        <f>VLOOKUP($A409,satpek!$B$20:$N$144,2,0)</f>
        <v>Memasang instalasi titik lampu (kabel 2x1,5 mm) tanpa fitting</v>
      </c>
      <c r="E409" s="2133"/>
      <c r="F409" s="2134"/>
      <c r="G409" s="1945">
        <f>G296+G275</f>
        <v>154</v>
      </c>
      <c r="H409" s="2456" t="str">
        <f>VLOOKUP($A409,satpek!$B$20:$N$144,7,0)</f>
        <v>ttk</v>
      </c>
      <c r="I409" s="3281" t="str">
        <f>VLOOKUP($A409,satpek!$B$20:$N$144,5,0)</f>
        <v>An. Dihitung</v>
      </c>
      <c r="J409" s="1951">
        <f>VLOOKUP($A409,satpek!$B$20:$N$144,6,0)</f>
        <v>115332.32</v>
      </c>
      <c r="K409" s="3273"/>
      <c r="L409" s="1952">
        <f t="shared" si="250"/>
        <v>17761177.280000001</v>
      </c>
      <c r="M409" s="1967"/>
      <c r="N409" s="2458"/>
      <c r="O409" s="1954">
        <f>VLOOKUP($A409,satpek!$B$20:$L$138,9,0)</f>
        <v>81663.5</v>
      </c>
      <c r="P409" s="1954">
        <f>VLOOKUP($A409,satpek!$B$20:$L$138,10,0)</f>
        <v>92279.755000000005</v>
      </c>
      <c r="Q409" s="1952">
        <f t="shared" si="251"/>
        <v>12576179</v>
      </c>
      <c r="R409" s="1952">
        <f t="shared" si="252"/>
        <v>0</v>
      </c>
      <c r="S409" s="3282">
        <f t="shared" si="253"/>
        <v>17761177.280000001</v>
      </c>
      <c r="V409" s="1958">
        <v>1</v>
      </c>
      <c r="W409" s="1958"/>
      <c r="X409" s="1958">
        <f t="shared" si="254"/>
        <v>-153</v>
      </c>
      <c r="Y409" s="2127" t="s">
        <v>1888</v>
      </c>
      <c r="AD409" s="2127"/>
      <c r="AE409" s="2127"/>
      <c r="AF409" s="1910">
        <v>5000000</v>
      </c>
      <c r="AG409" s="2128">
        <f t="shared" si="255"/>
        <v>4884667.68</v>
      </c>
    </row>
    <row r="410" spans="1:33" ht="21.95" customHeight="1" x14ac:dyDescent="0.2">
      <c r="A410" s="1910">
        <f>A276</f>
        <v>72</v>
      </c>
      <c r="B410" s="2131">
        <f t="shared" ref="B410:B442" si="256">B409+1</f>
        <v>64</v>
      </c>
      <c r="C410" s="2132"/>
      <c r="D410" s="2133" t="str">
        <f>VLOOKUP($A410,satpek!$B$20:$N$144,2,0)</f>
        <v>Memasang Instalasi titik stop kontak (kabel 3x2,5 mm)</v>
      </c>
      <c r="E410" s="2133"/>
      <c r="F410" s="2134"/>
      <c r="G410" s="1945">
        <f>G298+G297+G277+G276</f>
        <v>109</v>
      </c>
      <c r="H410" s="2456" t="str">
        <f>VLOOKUP($A410,satpek!$B$20:$N$144,7,0)</f>
        <v>ttk</v>
      </c>
      <c r="I410" s="3281" t="str">
        <f>VLOOKUP($A410,satpek!$B$20:$N$144,5,0)</f>
        <v>An. Dihitung</v>
      </c>
      <c r="J410" s="1951">
        <f>VLOOKUP($A410,satpek!$B$20:$N$144,6,0)</f>
        <v>145842.32</v>
      </c>
      <c r="K410" s="3273"/>
      <c r="L410" s="1952">
        <f t="shared" si="250"/>
        <v>15896812.880000001</v>
      </c>
      <c r="M410" s="1967"/>
      <c r="N410" s="2458"/>
      <c r="O410" s="1954">
        <f>VLOOKUP($A410,satpek!$B$20:$L$138,9,0)</f>
        <v>105572</v>
      </c>
      <c r="P410" s="1954">
        <f>VLOOKUP($A410,satpek!$B$20:$L$138,10,0)</f>
        <v>119296.36</v>
      </c>
      <c r="Q410" s="1952">
        <f t="shared" si="251"/>
        <v>11507348</v>
      </c>
      <c r="R410" s="1952">
        <f t="shared" si="252"/>
        <v>0</v>
      </c>
      <c r="S410" s="3282">
        <f t="shared" si="253"/>
        <v>15896812.880000001</v>
      </c>
      <c r="V410" s="1958">
        <v>1</v>
      </c>
      <c r="W410" s="1958"/>
      <c r="X410" s="1958">
        <f t="shared" si="254"/>
        <v>-108</v>
      </c>
      <c r="Y410" s="2127" t="s">
        <v>1888</v>
      </c>
      <c r="AD410" s="2127"/>
      <c r="AE410" s="2127"/>
      <c r="AF410" s="1910">
        <v>5000000</v>
      </c>
      <c r="AG410" s="2128">
        <f t="shared" si="255"/>
        <v>4854157.68</v>
      </c>
    </row>
    <row r="411" spans="1:33" ht="21.95" customHeight="1" x14ac:dyDescent="0.2">
      <c r="A411" s="1910">
        <f t="shared" ref="A411:A422" si="257">A278</f>
        <v>73</v>
      </c>
      <c r="B411" s="2131">
        <f t="shared" si="256"/>
        <v>65</v>
      </c>
      <c r="C411" s="2132"/>
      <c r="D411" s="2133" t="str">
        <f>VLOOKUP($A411,satpek!$B$20:$N$144,2,0)</f>
        <v>Instalasi titik Telephone 2 pair</v>
      </c>
      <c r="E411" s="2133"/>
      <c r="F411" s="2134"/>
      <c r="G411" s="1945">
        <f t="shared" ref="G411:G420" si="258">G299+G278</f>
        <v>34</v>
      </c>
      <c r="H411" s="2456" t="str">
        <f>VLOOKUP($A411,satpek!$B$20:$N$144,7,0)</f>
        <v>ttk</v>
      </c>
      <c r="I411" s="3281" t="str">
        <f>VLOOKUP($A411,satpek!$B$20:$N$144,5,0)</f>
        <v>An. Dihitung</v>
      </c>
      <c r="J411" s="1951">
        <f>VLOOKUP($A411,satpek!$B$20:$N$144,6,0)</f>
        <v>93371.9</v>
      </c>
      <c r="K411" s="3273"/>
      <c r="L411" s="1952">
        <f t="shared" si="250"/>
        <v>3174644.6</v>
      </c>
      <c r="M411" s="1967"/>
      <c r="N411" s="2458"/>
      <c r="O411" s="1954">
        <f>VLOOKUP($A411,satpek!$B$20:$L$138,9,0)</f>
        <v>74954</v>
      </c>
      <c r="P411" s="1954">
        <f>VLOOKUP($A411,satpek!$B$20:$L$138,10,0)</f>
        <v>84698.02</v>
      </c>
      <c r="Q411" s="1952">
        <f t="shared" si="251"/>
        <v>2548436</v>
      </c>
      <c r="R411" s="1952">
        <f t="shared" si="252"/>
        <v>0</v>
      </c>
      <c r="S411" s="3282">
        <f t="shared" si="253"/>
        <v>3174644.6</v>
      </c>
      <c r="V411" s="1958">
        <v>1</v>
      </c>
      <c r="W411" s="1958"/>
      <c r="X411" s="1958">
        <f t="shared" si="254"/>
        <v>-33</v>
      </c>
      <c r="Y411" s="2127" t="s">
        <v>1888</v>
      </c>
      <c r="AD411" s="2127"/>
      <c r="AE411" s="2127"/>
      <c r="AF411" s="1910">
        <v>5000000</v>
      </c>
      <c r="AG411" s="2128">
        <f t="shared" si="255"/>
        <v>4906628.0999999996</v>
      </c>
    </row>
    <row r="412" spans="1:33" ht="21.95" customHeight="1" x14ac:dyDescent="0.2">
      <c r="A412" s="1910">
        <f t="shared" si="257"/>
        <v>74</v>
      </c>
      <c r="B412" s="2131">
        <f t="shared" si="256"/>
        <v>66</v>
      </c>
      <c r="C412" s="2132"/>
      <c r="D412" s="2133" t="str">
        <f>VLOOKUP($A412,satpek!$B$20:$N$144,2,0)</f>
        <v>Instalasi titik Data CAT 6</v>
      </c>
      <c r="E412" s="2133"/>
      <c r="F412" s="2134"/>
      <c r="G412" s="1945">
        <f t="shared" si="258"/>
        <v>24</v>
      </c>
      <c r="H412" s="2456" t="str">
        <f>VLOOKUP($A412,satpek!$B$20:$N$144,7,0)</f>
        <v>ttk</v>
      </c>
      <c r="I412" s="3281" t="str">
        <f>VLOOKUP($A412,satpek!$B$20:$N$144,5,0)</f>
        <v>An. Dihitung</v>
      </c>
      <c r="J412" s="1951">
        <f>VLOOKUP($A412,satpek!$B$20:$N$144,6,0)</f>
        <v>140437.33000000002</v>
      </c>
      <c r="K412" s="3273"/>
      <c r="L412" s="1952">
        <f t="shared" si="250"/>
        <v>3370495.92</v>
      </c>
      <c r="M412" s="1967"/>
      <c r="N412" s="2458"/>
      <c r="O412" s="1954">
        <f>VLOOKUP($A412,satpek!$B$20:$L$138,9,0)</f>
        <v>110372.62333</v>
      </c>
      <c r="P412" s="1954">
        <f>VLOOKUP($A412,satpek!$B$20:$L$138,10,0)</f>
        <v>124721.0643629</v>
      </c>
      <c r="Q412" s="1952">
        <f t="shared" si="251"/>
        <v>2648942.9599200003</v>
      </c>
      <c r="R412" s="1952">
        <f t="shared" si="252"/>
        <v>0</v>
      </c>
      <c r="S412" s="3282">
        <f t="shared" si="253"/>
        <v>3370495.92</v>
      </c>
      <c r="V412" s="1958">
        <v>1</v>
      </c>
      <c r="W412" s="1958"/>
      <c r="X412" s="1958">
        <f t="shared" si="254"/>
        <v>-23</v>
      </c>
      <c r="Y412" s="2127" t="s">
        <v>1888</v>
      </c>
      <c r="AD412" s="2127"/>
      <c r="AE412" s="2127"/>
      <c r="AF412" s="1910">
        <v>5000000</v>
      </c>
      <c r="AG412" s="2128">
        <f t="shared" si="255"/>
        <v>4859562.67</v>
      </c>
    </row>
    <row r="413" spans="1:33" ht="21.95" customHeight="1" x14ac:dyDescent="0.2">
      <c r="A413" s="1910">
        <f t="shared" si="257"/>
        <v>75</v>
      </c>
      <c r="B413" s="2131">
        <f t="shared" si="256"/>
        <v>67</v>
      </c>
      <c r="C413" s="2132"/>
      <c r="D413" s="2133" t="str">
        <f>VLOOKUP($A413,satpek!$B$20:$N$144,2,0)</f>
        <v>Memasang saklar ganda</v>
      </c>
      <c r="E413" s="2133"/>
      <c r="F413" s="2134"/>
      <c r="G413" s="1945">
        <f t="shared" si="258"/>
        <v>56</v>
      </c>
      <c r="H413" s="2456" t="str">
        <f>VLOOKUP($A413,satpek!$B$20:$N$144,7,0)</f>
        <v>bh</v>
      </c>
      <c r="I413" s="3281" t="str">
        <f>VLOOKUP($A413,satpek!$B$20:$N$144,5,0)</f>
        <v>An. Dihitung</v>
      </c>
      <c r="J413" s="1951">
        <f>VLOOKUP($A413,satpek!$B$20:$N$144,6,0)</f>
        <v>49855.6</v>
      </c>
      <c r="K413" s="3273"/>
      <c r="L413" s="1952">
        <f t="shared" si="250"/>
        <v>2791913.6</v>
      </c>
      <c r="M413" s="1967"/>
      <c r="N413" s="2458"/>
      <c r="O413" s="1954">
        <f>VLOOKUP($A413,satpek!$B$20:$L$138,9,0)</f>
        <v>24591</v>
      </c>
      <c r="P413" s="1954">
        <f>VLOOKUP($A413,satpek!$B$20:$L$138,10,0)</f>
        <v>27787.83</v>
      </c>
      <c r="Q413" s="1952">
        <f t="shared" si="251"/>
        <v>1377096</v>
      </c>
      <c r="R413" s="1952">
        <f t="shared" si="252"/>
        <v>0</v>
      </c>
      <c r="S413" s="3282">
        <f t="shared" si="253"/>
        <v>2791913.6</v>
      </c>
      <c r="V413" s="1958">
        <v>1</v>
      </c>
      <c r="W413" s="1958"/>
      <c r="X413" s="1958">
        <f t="shared" si="254"/>
        <v>-55</v>
      </c>
      <c r="Y413" s="2127" t="s">
        <v>1888</v>
      </c>
      <c r="AD413" s="2127"/>
      <c r="AE413" s="2127"/>
      <c r="AF413" s="1910">
        <v>5000000</v>
      </c>
      <c r="AG413" s="2128">
        <f t="shared" si="255"/>
        <v>4950144.4000000004</v>
      </c>
    </row>
    <row r="414" spans="1:33" ht="21.95" customHeight="1" x14ac:dyDescent="0.2">
      <c r="A414" s="1910">
        <f t="shared" si="257"/>
        <v>76</v>
      </c>
      <c r="B414" s="2131">
        <f t="shared" si="256"/>
        <v>68</v>
      </c>
      <c r="C414" s="2132"/>
      <c r="D414" s="2133" t="str">
        <f>VLOOKUP($A414,satpek!$B$20:$N$144,2,0)</f>
        <v>Memasang saklar tunggal</v>
      </c>
      <c r="E414" s="2133"/>
      <c r="F414" s="2134"/>
      <c r="G414" s="1945">
        <f t="shared" si="258"/>
        <v>23</v>
      </c>
      <c r="H414" s="2456" t="str">
        <f>VLOOKUP($A414,satpek!$B$20:$N$144,7,0)</f>
        <v>bh</v>
      </c>
      <c r="I414" s="3281" t="str">
        <f>VLOOKUP($A414,satpek!$B$20:$N$144,5,0)</f>
        <v>An. Dihitung</v>
      </c>
      <c r="J414" s="1951">
        <f>VLOOKUP($A414,satpek!$B$20:$N$144,6,0)</f>
        <v>41826.949999999997</v>
      </c>
      <c r="K414" s="3273"/>
      <c r="L414" s="1952">
        <f t="shared" si="250"/>
        <v>962019.85</v>
      </c>
      <c r="M414" s="1967"/>
      <c r="N414" s="2458"/>
      <c r="O414" s="1954">
        <f>VLOOKUP($A414,satpek!$B$20:$L$138,9,0)</f>
        <v>21540.75</v>
      </c>
      <c r="P414" s="1954">
        <f>VLOOKUP($A414,satpek!$B$20:$L$138,10,0)</f>
        <v>24341.047500000001</v>
      </c>
      <c r="Q414" s="1952">
        <f t="shared" si="251"/>
        <v>495437.25</v>
      </c>
      <c r="R414" s="1952">
        <f t="shared" si="252"/>
        <v>0</v>
      </c>
      <c r="S414" s="3282">
        <f t="shared" si="253"/>
        <v>962019.85</v>
      </c>
      <c r="V414" s="1958">
        <v>1</v>
      </c>
      <c r="W414" s="1958"/>
      <c r="X414" s="1958">
        <f t="shared" si="254"/>
        <v>-22</v>
      </c>
      <c r="Y414" s="2127" t="s">
        <v>1888</v>
      </c>
      <c r="AD414" s="2127"/>
      <c r="AE414" s="2127"/>
      <c r="AF414" s="1910">
        <v>5000000</v>
      </c>
      <c r="AG414" s="2128">
        <f t="shared" si="255"/>
        <v>4958173.05</v>
      </c>
    </row>
    <row r="415" spans="1:33" ht="21.95" customHeight="1" x14ac:dyDescent="0.2">
      <c r="A415" s="1910">
        <f t="shared" si="257"/>
        <v>77</v>
      </c>
      <c r="B415" s="2131">
        <f t="shared" si="256"/>
        <v>69</v>
      </c>
      <c r="C415" s="2132"/>
      <c r="D415" s="2133" t="str">
        <f>VLOOKUP($A415,satpek!$B$20:$N$144,2,0)</f>
        <v>Memasang stop kontak</v>
      </c>
      <c r="E415" s="2133"/>
      <c r="F415" s="2134"/>
      <c r="G415" s="1945">
        <f t="shared" si="258"/>
        <v>84</v>
      </c>
      <c r="H415" s="2456" t="str">
        <f>VLOOKUP($A415,satpek!$B$20:$N$144,7,0)</f>
        <v>bh</v>
      </c>
      <c r="I415" s="3281" t="str">
        <f>VLOOKUP($A415,satpek!$B$20:$N$144,5,0)</f>
        <v>An. Dihitung</v>
      </c>
      <c r="J415" s="1951">
        <f>VLOOKUP($A415,satpek!$B$20:$N$144,6,0)</f>
        <v>37730.699999999997</v>
      </c>
      <c r="K415" s="3273"/>
      <c r="L415" s="1952">
        <f t="shared" si="250"/>
        <v>3169378.8</v>
      </c>
      <c r="M415" s="1967"/>
      <c r="N415" s="2458"/>
      <c r="O415" s="1954">
        <f>VLOOKUP($A415,satpek!$B$20:$L$138,9,0)</f>
        <v>19984.5</v>
      </c>
      <c r="P415" s="1954">
        <f>VLOOKUP($A415,satpek!$B$20:$L$138,10,0)</f>
        <v>22582.485000000001</v>
      </c>
      <c r="Q415" s="1952">
        <f t="shared" si="251"/>
        <v>1678698</v>
      </c>
      <c r="R415" s="1952">
        <f t="shared" si="252"/>
        <v>0</v>
      </c>
      <c r="S415" s="3282">
        <f t="shared" si="253"/>
        <v>3169378.8</v>
      </c>
      <c r="V415" s="1958">
        <v>1</v>
      </c>
      <c r="W415" s="1958"/>
      <c r="X415" s="1958">
        <f t="shared" si="254"/>
        <v>-83</v>
      </c>
      <c r="Y415" s="2127" t="s">
        <v>1888</v>
      </c>
      <c r="AD415" s="2127"/>
      <c r="AE415" s="2127"/>
      <c r="AF415" s="1910">
        <v>5000000</v>
      </c>
      <c r="AG415" s="2128">
        <f t="shared" si="255"/>
        <v>4962269.3</v>
      </c>
    </row>
    <row r="416" spans="1:33" ht="21.95" customHeight="1" x14ac:dyDescent="0.2">
      <c r="A416" s="1910">
        <f t="shared" si="257"/>
        <v>78</v>
      </c>
      <c r="B416" s="2131">
        <f t="shared" si="256"/>
        <v>70</v>
      </c>
      <c r="C416" s="2132"/>
      <c r="D416" s="2133" t="str">
        <f>VLOOKUP($A416,satpek!$B$20:$N$144,2,0)</f>
        <v xml:space="preserve">Memasang stop kontak AC </v>
      </c>
      <c r="E416" s="2133"/>
      <c r="F416" s="2134"/>
      <c r="G416" s="1945">
        <f t="shared" si="258"/>
        <v>25</v>
      </c>
      <c r="H416" s="2456" t="str">
        <f>VLOOKUP($A416,satpek!$B$20:$N$144,7,0)</f>
        <v>bh</v>
      </c>
      <c r="I416" s="3281" t="str">
        <f>VLOOKUP($A416,satpek!$B$20:$N$144,5,0)</f>
        <v>An. Dihitung</v>
      </c>
      <c r="J416" s="1951">
        <f>VLOOKUP($A416,satpek!$B$20:$N$144,6,0)</f>
        <v>115836.3</v>
      </c>
      <c r="K416" s="3273"/>
      <c r="L416" s="1952">
        <f t="shared" si="250"/>
        <v>2895907.5</v>
      </c>
      <c r="M416" s="1967"/>
      <c r="N416" s="2458"/>
      <c r="O416" s="1954">
        <f>VLOOKUP($A416,satpek!$B$20:$L$138,9,0)</f>
        <v>47458.5</v>
      </c>
      <c r="P416" s="1954">
        <f>VLOOKUP($A416,satpek!$B$20:$L$138,10,0)</f>
        <v>53628.105000000003</v>
      </c>
      <c r="Q416" s="1952">
        <f t="shared" si="251"/>
        <v>1186462.5</v>
      </c>
      <c r="R416" s="1952">
        <f t="shared" si="252"/>
        <v>0</v>
      </c>
      <c r="S416" s="3282">
        <f t="shared" si="253"/>
        <v>2895907.5</v>
      </c>
      <c r="V416" s="1958">
        <v>1</v>
      </c>
      <c r="W416" s="1958"/>
      <c r="X416" s="1958">
        <f t="shared" si="254"/>
        <v>-24</v>
      </c>
      <c r="Y416" s="2127" t="s">
        <v>1888</v>
      </c>
      <c r="AD416" s="2127"/>
      <c r="AE416" s="2127"/>
      <c r="AF416" s="1910">
        <v>5000000</v>
      </c>
      <c r="AG416" s="2128">
        <f t="shared" si="255"/>
        <v>4884163.7</v>
      </c>
    </row>
    <row r="417" spans="1:33" ht="21.95" customHeight="1" x14ac:dyDescent="0.2">
      <c r="A417" s="1910">
        <f t="shared" si="257"/>
        <v>79</v>
      </c>
      <c r="B417" s="2131">
        <f t="shared" si="256"/>
        <v>71</v>
      </c>
      <c r="C417" s="2132"/>
      <c r="D417" s="2133" t="str">
        <f>VLOOKUP($A417,satpek!$B$20:$N$144,2,0)</f>
        <v>Memasang stop kontak outlet Telephone</v>
      </c>
      <c r="E417" s="2133"/>
      <c r="F417" s="2134"/>
      <c r="G417" s="1945">
        <f t="shared" si="258"/>
        <v>10</v>
      </c>
      <c r="H417" s="2456" t="str">
        <f>VLOOKUP($A417,satpek!$B$20:$N$144,7,0)</f>
        <v>bh</v>
      </c>
      <c r="I417" s="3281" t="str">
        <f>VLOOKUP($A417,satpek!$B$20:$N$144,5,0)</f>
        <v>An. Dihitung</v>
      </c>
      <c r="J417" s="1951">
        <f>VLOOKUP($A417,satpek!$B$20:$N$144,6,0)</f>
        <v>82122.75</v>
      </c>
      <c r="K417" s="3273"/>
      <c r="L417" s="1952">
        <f t="shared" si="250"/>
        <v>821227.5</v>
      </c>
      <c r="M417" s="1967"/>
      <c r="N417" s="2458"/>
      <c r="O417" s="1954">
        <f>VLOOKUP($A417,satpek!$B$20:$L$138,9,0)</f>
        <v>35358.75</v>
      </c>
      <c r="P417" s="1954">
        <f>VLOOKUP($A417,satpek!$B$20:$L$138,10,0)</f>
        <v>39955.387499999997</v>
      </c>
      <c r="Q417" s="1952">
        <f t="shared" si="251"/>
        <v>353587.5</v>
      </c>
      <c r="R417" s="1952">
        <f t="shared" si="252"/>
        <v>0</v>
      </c>
      <c r="S417" s="3282">
        <f t="shared" si="253"/>
        <v>821227.5</v>
      </c>
      <c r="V417" s="1958">
        <v>1</v>
      </c>
      <c r="W417" s="1958"/>
      <c r="X417" s="1958">
        <f t="shared" si="254"/>
        <v>-9</v>
      </c>
      <c r="Y417" s="2127" t="s">
        <v>1888</v>
      </c>
      <c r="AD417" s="2127"/>
      <c r="AE417" s="2127"/>
      <c r="AF417" s="1910">
        <v>5000000</v>
      </c>
      <c r="AG417" s="2128">
        <f t="shared" si="255"/>
        <v>4917877.25</v>
      </c>
    </row>
    <row r="418" spans="1:33" ht="21.95" customHeight="1" x14ac:dyDescent="0.2">
      <c r="A418" s="1910">
        <f t="shared" si="257"/>
        <v>80</v>
      </c>
      <c r="B418" s="2131">
        <f t="shared" si="256"/>
        <v>72</v>
      </c>
      <c r="C418" s="2132"/>
      <c r="D418" s="2133" t="str">
        <f>VLOOKUP($A418,satpek!$B$20:$N$144,2,0)</f>
        <v>Memasang stop kontak outlet Data</v>
      </c>
      <c r="E418" s="2133"/>
      <c r="F418" s="2134"/>
      <c r="G418" s="1945">
        <f t="shared" si="258"/>
        <v>20</v>
      </c>
      <c r="H418" s="2456" t="str">
        <f>VLOOKUP($A418,satpek!$B$20:$N$144,7,0)</f>
        <v>bh</v>
      </c>
      <c r="I418" s="3281" t="str">
        <f>VLOOKUP($A418,satpek!$B$20:$N$144,5,0)</f>
        <v>An. Dihitung</v>
      </c>
      <c r="J418" s="1951">
        <f>VLOOKUP($A418,satpek!$B$20:$N$144,6,0)</f>
        <v>136278</v>
      </c>
      <c r="K418" s="3273"/>
      <c r="L418" s="1952">
        <f t="shared" si="250"/>
        <v>2725560</v>
      </c>
      <c r="M418" s="1967"/>
      <c r="N418" s="2458"/>
      <c r="O418" s="1954">
        <f>VLOOKUP($A418,satpek!$B$20:$L$138,9,0)</f>
        <v>54795</v>
      </c>
      <c r="P418" s="1954">
        <f>VLOOKUP($A418,satpek!$B$20:$L$138,10,0)</f>
        <v>61918.35</v>
      </c>
      <c r="Q418" s="1952">
        <f t="shared" si="251"/>
        <v>1095900</v>
      </c>
      <c r="R418" s="1952">
        <f t="shared" si="252"/>
        <v>0</v>
      </c>
      <c r="S418" s="3282">
        <f t="shared" si="253"/>
        <v>2725560</v>
      </c>
      <c r="V418" s="1958">
        <v>1</v>
      </c>
      <c r="W418" s="1958"/>
      <c r="X418" s="1958">
        <f t="shared" si="254"/>
        <v>-19</v>
      </c>
      <c r="Y418" s="2127" t="s">
        <v>1888</v>
      </c>
      <c r="AD418" s="2127"/>
      <c r="AE418" s="2127"/>
      <c r="AF418" s="1910">
        <v>5000000</v>
      </c>
      <c r="AG418" s="2128">
        <f t="shared" si="255"/>
        <v>4863722</v>
      </c>
    </row>
    <row r="419" spans="1:33" ht="21.95" customHeight="1" x14ac:dyDescent="0.2">
      <c r="A419" s="1910">
        <f t="shared" si="257"/>
        <v>81</v>
      </c>
      <c r="B419" s="2131">
        <f t="shared" si="256"/>
        <v>73</v>
      </c>
      <c r="C419" s="2132"/>
      <c r="D419" s="2133" t="str">
        <f>VLOOKUP($A419,satpek!$B$20:$N$144,2,0)</f>
        <v>Memasang downlight LED 10 watt tipe inbow</v>
      </c>
      <c r="E419" s="2133"/>
      <c r="F419" s="2134"/>
      <c r="G419" s="1945">
        <f t="shared" si="258"/>
        <v>24</v>
      </c>
      <c r="H419" s="2456" t="str">
        <f>VLOOKUP($A419,satpek!$B$20:$N$144,7,0)</f>
        <v>ttk</v>
      </c>
      <c r="I419" s="3281" t="str">
        <f>VLOOKUP($A419,satpek!$B$20:$N$144,5,0)</f>
        <v>An. Dihitung</v>
      </c>
      <c r="J419" s="1951">
        <f>VLOOKUP($A419,satpek!$B$20:$N$144,6,0)</f>
        <v>124333.9</v>
      </c>
      <c r="K419" s="3273"/>
      <c r="L419" s="1952">
        <f t="shared" si="250"/>
        <v>2984013.6</v>
      </c>
      <c r="M419" s="1967"/>
      <c r="N419" s="2458"/>
      <c r="O419" s="1954">
        <f>VLOOKUP($A419,satpek!$B$20:$L$138,9,0)</f>
        <v>78747</v>
      </c>
      <c r="P419" s="1954">
        <f>VLOOKUP($A419,satpek!$B$20:$L$138,10,0)</f>
        <v>88984.11</v>
      </c>
      <c r="Q419" s="1952">
        <f t="shared" si="251"/>
        <v>1889928</v>
      </c>
      <c r="R419" s="1952">
        <f t="shared" si="252"/>
        <v>0</v>
      </c>
      <c r="S419" s="3282">
        <f t="shared" si="253"/>
        <v>2984013.6</v>
      </c>
      <c r="V419" s="1958">
        <v>1</v>
      </c>
      <c r="W419" s="1958"/>
      <c r="X419" s="1958">
        <f t="shared" si="254"/>
        <v>-23</v>
      </c>
      <c r="Y419" s="2127" t="s">
        <v>1888</v>
      </c>
      <c r="AD419" s="2127"/>
      <c r="AE419" s="2127"/>
      <c r="AF419" s="1910">
        <v>5000000</v>
      </c>
      <c r="AG419" s="2128">
        <f t="shared" si="255"/>
        <v>4875666.0999999996</v>
      </c>
    </row>
    <row r="420" spans="1:33" ht="21.95" customHeight="1" x14ac:dyDescent="0.2">
      <c r="A420" s="1910">
        <f t="shared" si="257"/>
        <v>82</v>
      </c>
      <c r="B420" s="2131">
        <f t="shared" si="256"/>
        <v>74</v>
      </c>
      <c r="C420" s="2132"/>
      <c r="D420" s="2133" t="str">
        <f>VLOOKUP($A420,satpek!$B$20:$N$144,2,0)</f>
        <v>Memasang downlight LED 17 watt tipe inbow</v>
      </c>
      <c r="E420" s="2133"/>
      <c r="F420" s="2134"/>
      <c r="G420" s="1945">
        <f t="shared" si="258"/>
        <v>238</v>
      </c>
      <c r="H420" s="2456" t="str">
        <f>VLOOKUP($A420,satpek!$B$20:$N$144,7,0)</f>
        <v>ttk</v>
      </c>
      <c r="I420" s="3281" t="str">
        <f>VLOOKUP($A420,satpek!$B$20:$N$144,5,0)</f>
        <v>An. Dihitung</v>
      </c>
      <c r="J420" s="1951">
        <f>VLOOKUP($A420,satpek!$B$20:$N$144,6,0)</f>
        <v>186709.9</v>
      </c>
      <c r="K420" s="3273"/>
      <c r="L420" s="1952">
        <f t="shared" si="250"/>
        <v>44436956.200000003</v>
      </c>
      <c r="M420" s="1967"/>
      <c r="N420" s="2458"/>
      <c r="O420" s="1954">
        <f>VLOOKUP($A420,satpek!$B$20:$L$138,9,0)</f>
        <v>112495.8</v>
      </c>
      <c r="P420" s="1954">
        <f>VLOOKUP($A420,satpek!$B$20:$L$138,10,0)</f>
        <v>127120.254</v>
      </c>
      <c r="Q420" s="1952">
        <f t="shared" si="251"/>
        <v>26774000.400000002</v>
      </c>
      <c r="R420" s="1952">
        <f t="shared" si="252"/>
        <v>0</v>
      </c>
      <c r="S420" s="3282">
        <f t="shared" si="253"/>
        <v>44436956.200000003</v>
      </c>
      <c r="V420" s="1958">
        <v>1</v>
      </c>
      <c r="W420" s="1958"/>
      <c r="X420" s="1958">
        <f t="shared" si="254"/>
        <v>-237</v>
      </c>
      <c r="Y420" s="2127" t="s">
        <v>1888</v>
      </c>
      <c r="AD420" s="2127"/>
      <c r="AE420" s="2127"/>
      <c r="AF420" s="1910">
        <v>5000000</v>
      </c>
      <c r="AG420" s="2128">
        <f t="shared" si="255"/>
        <v>4813290.0999999996</v>
      </c>
    </row>
    <row r="421" spans="1:33" ht="21.95" customHeight="1" x14ac:dyDescent="0.2">
      <c r="A421" s="1910">
        <f t="shared" si="257"/>
        <v>83</v>
      </c>
      <c r="B421" s="2131">
        <f t="shared" si="256"/>
        <v>75</v>
      </c>
      <c r="C421" s="2132"/>
      <c r="D421" s="2133" t="str">
        <f>VLOOKUP($A421,satpek!$B$20:$N$144,2,0)</f>
        <v>Memasang downlight LED 17 watt tipe outbow</v>
      </c>
      <c r="E421" s="2133"/>
      <c r="F421" s="2134"/>
      <c r="G421" s="1945">
        <f>G288</f>
        <v>8</v>
      </c>
      <c r="H421" s="2456" t="str">
        <f>VLOOKUP($A421,satpek!$B$20:$N$144,7,0)</f>
        <v>ttk</v>
      </c>
      <c r="I421" s="3281" t="str">
        <f>VLOOKUP($A421,satpek!$B$20:$N$144,5,0)</f>
        <v>An. Dihitung</v>
      </c>
      <c r="J421" s="1951">
        <f>VLOOKUP($A421,satpek!$B$20:$N$144,6,0)</f>
        <v>118457.9</v>
      </c>
      <c r="K421" s="3273"/>
      <c r="L421" s="1952">
        <f t="shared" si="250"/>
        <v>947663.2</v>
      </c>
      <c r="M421" s="1967"/>
      <c r="N421" s="2458"/>
      <c r="O421" s="1954">
        <f>VLOOKUP($A421,satpek!$B$20:$L$138,9,0)</f>
        <v>70309.8</v>
      </c>
      <c r="P421" s="1954">
        <f>VLOOKUP($A421,satpek!$B$20:$L$138,10,0)</f>
        <v>79450.074000000008</v>
      </c>
      <c r="Q421" s="1952">
        <f t="shared" si="251"/>
        <v>562478.4</v>
      </c>
      <c r="R421" s="1952">
        <f t="shared" si="252"/>
        <v>0</v>
      </c>
      <c r="S421" s="3282">
        <f t="shared" si="253"/>
        <v>947663.2</v>
      </c>
      <c r="V421" s="1958">
        <v>1</v>
      </c>
      <c r="W421" s="1958"/>
      <c r="X421" s="1958">
        <f t="shared" si="254"/>
        <v>-7</v>
      </c>
      <c r="Y421" s="2127" t="s">
        <v>1888</v>
      </c>
      <c r="AD421" s="2127"/>
      <c r="AE421" s="2127"/>
      <c r="AF421" s="1910">
        <v>5000000</v>
      </c>
      <c r="AG421" s="2128">
        <f t="shared" si="255"/>
        <v>4881542.0999999996</v>
      </c>
    </row>
    <row r="422" spans="1:33" ht="21.95" customHeight="1" x14ac:dyDescent="0.2">
      <c r="A422" s="1910">
        <f t="shared" si="257"/>
        <v>84</v>
      </c>
      <c r="B422" s="2131">
        <f t="shared" si="256"/>
        <v>76</v>
      </c>
      <c r="C422" s="2132"/>
      <c r="D422" s="2133" t="str">
        <f>VLOOKUP($A422,satpek!$B$20:$N$144,2,0)</f>
        <v>Memasang kabel tray galvanis</v>
      </c>
      <c r="E422" s="2133"/>
      <c r="F422" s="2134"/>
      <c r="G422" s="1945">
        <f>G309+G289</f>
        <v>110</v>
      </c>
      <c r="H422" s="2456" t="str">
        <f>VLOOKUP($A422,satpek!$B$20:$N$144,7,0)</f>
        <v>m'</v>
      </c>
      <c r="I422" s="3281" t="str">
        <f>VLOOKUP($A422,satpek!$B$20:$N$144,5,0)</f>
        <v>An. Dihitung</v>
      </c>
      <c r="J422" s="1951">
        <f>VLOOKUP($A422,satpek!$B$20:$N$144,6,0)</f>
        <v>274370.78000000003</v>
      </c>
      <c r="K422" s="3273"/>
      <c r="L422" s="1952">
        <f t="shared" si="250"/>
        <v>30180785.800000001</v>
      </c>
      <c r="M422" s="1967"/>
      <c r="N422" s="2458"/>
      <c r="O422" s="1954">
        <f>VLOOKUP($A422,satpek!$B$20:$L$138,9,0)</f>
        <v>196427.75</v>
      </c>
      <c r="P422" s="1954">
        <f>VLOOKUP($A422,satpek!$B$20:$L$138,10,0)</f>
        <v>221963.35750000001</v>
      </c>
      <c r="Q422" s="1952">
        <f t="shared" si="251"/>
        <v>21607052.5</v>
      </c>
      <c r="R422" s="1952">
        <f t="shared" si="252"/>
        <v>0</v>
      </c>
      <c r="S422" s="3282">
        <f t="shared" si="253"/>
        <v>30180785.800000001</v>
      </c>
      <c r="V422" s="1958">
        <v>1</v>
      </c>
      <c r="W422" s="1958"/>
      <c r="X422" s="1958">
        <f t="shared" si="254"/>
        <v>-109</v>
      </c>
      <c r="Y422" s="2127" t="s">
        <v>1888</v>
      </c>
      <c r="AD422" s="2127"/>
      <c r="AE422" s="2127"/>
      <c r="AF422" s="1910">
        <v>5000000</v>
      </c>
      <c r="AG422" s="2128">
        <f t="shared" si="255"/>
        <v>4725629.22</v>
      </c>
    </row>
    <row r="423" spans="1:33" ht="21.95" customHeight="1" x14ac:dyDescent="0.2">
      <c r="A423" s="1910">
        <f>A292</f>
        <v>85</v>
      </c>
      <c r="B423" s="2131">
        <f t="shared" si="256"/>
        <v>77</v>
      </c>
      <c r="C423" s="2132"/>
      <c r="D423" s="2133" t="str">
        <f>VLOOKUP($A423,satpek!$B$20:$N$144,2,0)</f>
        <v>Memasang Exhaust fan</v>
      </c>
      <c r="E423" s="2133"/>
      <c r="F423" s="2134"/>
      <c r="G423" s="1945">
        <f>G310+G292</f>
        <v>19</v>
      </c>
      <c r="H423" s="2456" t="str">
        <f>VLOOKUP($A423,satpek!$B$20:$N$144,7,0)</f>
        <v>bh</v>
      </c>
      <c r="I423" s="3281" t="str">
        <f>VLOOKUP($A423,satpek!$B$20:$N$144,5,0)</f>
        <v>An. Dihitung</v>
      </c>
      <c r="J423" s="1951">
        <f>VLOOKUP($A423,satpek!$B$20:$N$144,6,0)</f>
        <v>556977</v>
      </c>
      <c r="K423" s="3273"/>
      <c r="L423" s="1952">
        <f t="shared" si="250"/>
        <v>10582563</v>
      </c>
      <c r="M423" s="1967"/>
      <c r="N423" s="2458"/>
      <c r="O423" s="1954">
        <f>VLOOKUP($A423,satpek!$B$20:$L$138,9,0)</f>
        <v>57150</v>
      </c>
      <c r="P423" s="1954">
        <f>VLOOKUP($A423,satpek!$B$20:$L$138,10,0)</f>
        <v>64579.5</v>
      </c>
      <c r="Q423" s="1952">
        <f t="shared" si="251"/>
        <v>1085850</v>
      </c>
      <c r="R423" s="1952">
        <f t="shared" si="252"/>
        <v>0</v>
      </c>
      <c r="S423" s="3282">
        <f t="shared" si="253"/>
        <v>10582563</v>
      </c>
      <c r="V423" s="1958">
        <v>1</v>
      </c>
      <c r="W423" s="1958"/>
      <c r="X423" s="1958">
        <f t="shared" si="254"/>
        <v>-18</v>
      </c>
      <c r="Y423" s="2127" t="s">
        <v>1888</v>
      </c>
      <c r="AD423" s="2127"/>
      <c r="AE423" s="2127"/>
      <c r="AF423" s="1910">
        <v>5000000</v>
      </c>
      <c r="AG423" s="2128">
        <f t="shared" si="255"/>
        <v>4443023</v>
      </c>
    </row>
    <row r="424" spans="1:33" ht="21.95" customHeight="1" x14ac:dyDescent="0.2">
      <c r="A424" s="1910">
        <f>A156</f>
        <v>86</v>
      </c>
      <c r="B424" s="2131">
        <f t="shared" si="256"/>
        <v>78</v>
      </c>
      <c r="C424" s="2132"/>
      <c r="D424" s="2133" t="str">
        <f>VLOOKUP($A424,satpek!$B$20:$N$144,2,0)</f>
        <v>Memasang paving tb. 8 cm, K.250, polos</v>
      </c>
      <c r="E424" s="2133"/>
      <c r="F424" s="2134"/>
      <c r="G424" s="1945">
        <f>G319+G156</f>
        <v>806.53</v>
      </c>
      <c r="H424" s="2456" t="str">
        <f>VLOOKUP($A424,satpek!$B$20:$N$144,7,0)</f>
        <v>m2</v>
      </c>
      <c r="I424" s="3281" t="str">
        <f>VLOOKUP($A424,satpek!$B$20:$N$144,5,0)</f>
        <v>An. Dihitung</v>
      </c>
      <c r="J424" s="1951">
        <f>VLOOKUP($A424,satpek!$B$20:$N$144,6,0)</f>
        <v>206637.45</v>
      </c>
      <c r="K424" s="3273"/>
      <c r="L424" s="1952">
        <f t="shared" si="250"/>
        <v>166659302.55000001</v>
      </c>
      <c r="M424" s="1967"/>
      <c r="N424" s="2458"/>
      <c r="O424" s="1954">
        <f>VLOOKUP($A424,satpek!$B$20:$L$138,9,0)</f>
        <v>182865</v>
      </c>
      <c r="P424" s="1954">
        <f>VLOOKUP($A424,satpek!$B$20:$L$138,10,0)</f>
        <v>206637.45</v>
      </c>
      <c r="Q424" s="1952">
        <f t="shared" si="251"/>
        <v>147486108.44999999</v>
      </c>
      <c r="R424" s="1952">
        <f t="shared" si="252"/>
        <v>0</v>
      </c>
      <c r="S424" s="3282">
        <f t="shared" si="253"/>
        <v>166659302.55000001</v>
      </c>
      <c r="V424" s="1958">
        <v>1</v>
      </c>
      <c r="W424" s="1958"/>
      <c r="X424" s="1958">
        <f t="shared" si="254"/>
        <v>-805.53</v>
      </c>
      <c r="Y424" s="2127" t="s">
        <v>1888</v>
      </c>
      <c r="AD424" s="2127"/>
      <c r="AE424" s="2127"/>
      <c r="AF424" s="1910">
        <v>5000000</v>
      </c>
      <c r="AG424" s="2128">
        <f t="shared" si="255"/>
        <v>4793362.55</v>
      </c>
    </row>
    <row r="425" spans="1:33" ht="21.95" customHeight="1" x14ac:dyDescent="0.2">
      <c r="A425" s="1910">
        <f>A21</f>
        <v>88</v>
      </c>
      <c r="B425" s="2131">
        <f t="shared" si="256"/>
        <v>79</v>
      </c>
      <c r="C425" s="2132"/>
      <c r="D425" s="2133" t="str">
        <f>VLOOKUP($A425,satpek!$B$20:$N$144,2,0)</f>
        <v>Penyelenggaraan K3</v>
      </c>
      <c r="E425" s="2133"/>
      <c r="F425" s="2134"/>
      <c r="G425" s="1945">
        <f>G21</f>
        <v>1</v>
      </c>
      <c r="H425" s="2456" t="str">
        <f>VLOOKUP($A425,satpek!$B$20:$N$144,7,0)</f>
        <v>ls</v>
      </c>
      <c r="I425" s="3281" t="str">
        <f>VLOOKUP($A425,satpek!$B$20:$N$144,5,0)</f>
        <v>Dihitung</v>
      </c>
      <c r="J425" s="1951">
        <f>VLOOKUP($A425,satpek!$B$20:$N$144,6,0)</f>
        <v>8258800</v>
      </c>
      <c r="K425" s="3273"/>
      <c r="L425" s="1952">
        <f t="shared" si="250"/>
        <v>8258800</v>
      </c>
      <c r="M425" s="1967"/>
      <c r="N425" s="2458"/>
      <c r="O425" s="1954">
        <f>VLOOKUP($A425,satpek!$B$20:$L$138,9,0)</f>
        <v>0</v>
      </c>
      <c r="P425" s="1954">
        <f>VLOOKUP($A425,satpek!$B$20:$L$138,10,0)</f>
        <v>3850000</v>
      </c>
      <c r="Q425" s="1952">
        <f t="shared" si="251"/>
        <v>0</v>
      </c>
      <c r="R425" s="1952">
        <f t="shared" si="252"/>
        <v>0</v>
      </c>
      <c r="S425" s="3282">
        <f t="shared" si="253"/>
        <v>8258800</v>
      </c>
      <c r="V425" s="1958">
        <v>1</v>
      </c>
      <c r="W425" s="1958"/>
      <c r="X425" s="1958">
        <f t="shared" si="254"/>
        <v>0</v>
      </c>
      <c r="Y425" s="2127" t="s">
        <v>1888</v>
      </c>
      <c r="AD425" s="2127"/>
      <c r="AE425" s="2127"/>
      <c r="AF425" s="1910">
        <v>5000000</v>
      </c>
      <c r="AG425" s="2128">
        <f t="shared" si="255"/>
        <v>-3258800</v>
      </c>
    </row>
    <row r="426" spans="1:33" ht="21.95" customHeight="1" x14ac:dyDescent="0.2">
      <c r="A426" s="1910">
        <f>A22</f>
        <v>89</v>
      </c>
      <c r="B426" s="2131">
        <f t="shared" si="256"/>
        <v>80</v>
      </c>
      <c r="C426" s="2132"/>
      <c r="D426" s="2133" t="str">
        <f>VLOOKUP($A426,satpek!$B$20:$N$144,2,0)</f>
        <v>Papan Nama Proyek</v>
      </c>
      <c r="E426" s="2133"/>
      <c r="F426" s="2134"/>
      <c r="G426" s="1945">
        <f>G22</f>
        <v>1</v>
      </c>
      <c r="H426" s="2456" t="str">
        <f>VLOOKUP($A426,satpek!$B$20:$N$144,7,0)</f>
        <v>ls</v>
      </c>
      <c r="I426" s="3281" t="str">
        <f>VLOOKUP($A426,satpek!$B$20:$N$144,5,0)</f>
        <v>Daftar harga</v>
      </c>
      <c r="J426" s="1951">
        <f>VLOOKUP($A426,satpek!$B$20:$N$144,6,0)</f>
        <v>350000</v>
      </c>
      <c r="K426" s="3273"/>
      <c r="L426" s="1952">
        <f t="shared" si="250"/>
        <v>350000</v>
      </c>
      <c r="M426" s="1967"/>
      <c r="N426" s="2458"/>
      <c r="O426" s="1954">
        <f>VLOOKUP($A426,satpek!$B$20:$L$138,9,0)</f>
        <v>0</v>
      </c>
      <c r="P426" s="1954">
        <f>VLOOKUP($A426,satpek!$B$20:$L$138,10,0)</f>
        <v>70000</v>
      </c>
      <c r="Q426" s="1952">
        <f t="shared" si="251"/>
        <v>0</v>
      </c>
      <c r="R426" s="1952">
        <f t="shared" si="252"/>
        <v>0</v>
      </c>
      <c r="S426" s="3282">
        <f t="shared" si="253"/>
        <v>350000</v>
      </c>
      <c r="V426" s="1958">
        <v>1</v>
      </c>
      <c r="W426" s="1958"/>
      <c r="X426" s="1958">
        <f t="shared" si="254"/>
        <v>0</v>
      </c>
      <c r="Y426" s="2127" t="s">
        <v>1888</v>
      </c>
      <c r="AD426" s="2127"/>
      <c r="AE426" s="2127"/>
      <c r="AF426" s="1910">
        <v>5000000</v>
      </c>
      <c r="AG426" s="2128">
        <f t="shared" si="255"/>
        <v>4650000</v>
      </c>
    </row>
    <row r="427" spans="1:33" ht="21.95" customHeight="1" x14ac:dyDescent="0.2">
      <c r="A427" s="1910">
        <f>A139</f>
        <v>90</v>
      </c>
      <c r="B427" s="2131">
        <f t="shared" si="256"/>
        <v>81</v>
      </c>
      <c r="C427" s="2132"/>
      <c r="D427" s="2133" t="str">
        <f>VLOOKUP($A427,satpek!$B$20:$N$144,2,0)</f>
        <v>Sponengan</v>
      </c>
      <c r="E427" s="2133"/>
      <c r="F427" s="2134"/>
      <c r="G427" s="1945">
        <f>G146+G139</f>
        <v>2212.44</v>
      </c>
      <c r="H427" s="2456" t="str">
        <f>VLOOKUP($A427,satpek!$B$20:$N$144,7,0)</f>
        <v>m'</v>
      </c>
      <c r="I427" s="3281" t="str">
        <f>VLOOKUP($A427,satpek!$B$20:$N$144,5,0)</f>
        <v>Harga Satuan</v>
      </c>
      <c r="J427" s="1951">
        <f>VLOOKUP($A427,satpek!$B$20:$N$144,6,0)</f>
        <v>15000</v>
      </c>
      <c r="K427" s="3273"/>
      <c r="L427" s="1952">
        <f t="shared" si="250"/>
        <v>33186600</v>
      </c>
      <c r="M427" s="1967"/>
      <c r="N427" s="2458"/>
      <c r="O427" s="1954">
        <f>VLOOKUP($A427,satpek!$B$20:$L$138,9,0)</f>
        <v>0</v>
      </c>
      <c r="P427" s="1954">
        <f>VLOOKUP($A427,satpek!$B$20:$L$138,10,0)</f>
        <v>7500</v>
      </c>
      <c r="Q427" s="1952">
        <f t="shared" si="251"/>
        <v>0</v>
      </c>
      <c r="R427" s="1952">
        <f t="shared" si="252"/>
        <v>0</v>
      </c>
      <c r="S427" s="3282">
        <f t="shared" si="253"/>
        <v>33186600</v>
      </c>
      <c r="V427" s="1958">
        <v>1</v>
      </c>
      <c r="W427" s="1958"/>
      <c r="X427" s="1958">
        <f t="shared" si="254"/>
        <v>-2211.44</v>
      </c>
      <c r="Y427" s="2127" t="s">
        <v>1888</v>
      </c>
      <c r="AD427" s="2127"/>
      <c r="AE427" s="2127"/>
      <c r="AF427" s="1910">
        <v>5000000</v>
      </c>
      <c r="AG427" s="2128">
        <f t="shared" si="255"/>
        <v>4985000</v>
      </c>
    </row>
    <row r="428" spans="1:33" ht="21.95" customHeight="1" x14ac:dyDescent="0.2">
      <c r="A428" s="1910">
        <f>A218</f>
        <v>91</v>
      </c>
      <c r="B428" s="2131">
        <f t="shared" si="256"/>
        <v>82</v>
      </c>
      <c r="C428" s="2132"/>
      <c r="D428" s="2133" t="str">
        <f>VLOOKUP($A428,satpek!$B$20:$N$144,2,0)</f>
        <v>Pemasangan GRC Listplank</v>
      </c>
      <c r="E428" s="2133"/>
      <c r="F428" s="2134"/>
      <c r="G428" s="1945">
        <f>G218</f>
        <v>176.3</v>
      </c>
      <c r="H428" s="2456" t="str">
        <f>VLOOKUP($A428,satpek!$B$20:$N$144,7,0)</f>
        <v>m'</v>
      </c>
      <c r="I428" s="3281" t="str">
        <f>VLOOKUP($A428,satpek!$B$20:$N$144,5,0)</f>
        <v>Daftar harga</v>
      </c>
      <c r="J428" s="1951">
        <f>VLOOKUP($A428,satpek!$B$20:$N$144,6,0)</f>
        <v>640000</v>
      </c>
      <c r="K428" s="3273"/>
      <c r="L428" s="1952">
        <f t="shared" si="250"/>
        <v>112832000</v>
      </c>
      <c r="M428" s="1967"/>
      <c r="N428" s="2458"/>
      <c r="O428" s="1954">
        <f>VLOOKUP($A428,satpek!$B$20:$L$138,9,0)</f>
        <v>0</v>
      </c>
      <c r="P428" s="1954">
        <f>VLOOKUP($A428,satpek!$B$20:$L$138,10,0)</f>
        <v>128000</v>
      </c>
      <c r="Q428" s="1952">
        <f t="shared" si="251"/>
        <v>0</v>
      </c>
      <c r="R428" s="1952">
        <f t="shared" si="252"/>
        <v>0</v>
      </c>
      <c r="S428" s="3282">
        <f t="shared" si="253"/>
        <v>112832000</v>
      </c>
      <c r="V428" s="1958">
        <v>1</v>
      </c>
      <c r="W428" s="1958"/>
      <c r="X428" s="1958">
        <f t="shared" si="254"/>
        <v>-175.3</v>
      </c>
      <c r="Y428" s="2127" t="s">
        <v>1888</v>
      </c>
      <c r="AD428" s="2127"/>
      <c r="AE428" s="2127"/>
      <c r="AF428" s="1910">
        <v>5000000</v>
      </c>
      <c r="AG428" s="2128">
        <f t="shared" si="255"/>
        <v>4360000</v>
      </c>
    </row>
    <row r="429" spans="1:33" ht="21.95" customHeight="1" x14ac:dyDescent="0.2">
      <c r="A429" s="1910">
        <f>A215</f>
        <v>93</v>
      </c>
      <c r="B429" s="2131">
        <f t="shared" si="256"/>
        <v>83</v>
      </c>
      <c r="C429" s="2132"/>
      <c r="D429" s="2133" t="str">
        <f>VLOOKUP($A429,satpek!$B$20:$N$144,2,0)</f>
        <v xml:space="preserve">Waterproofing atap dak </v>
      </c>
      <c r="E429" s="2133"/>
      <c r="F429" s="2134"/>
      <c r="G429" s="1945">
        <f>G215</f>
        <v>153.20949999999999</v>
      </c>
      <c r="H429" s="2456" t="str">
        <f>VLOOKUP($A429,satpek!$B$20:$N$144,7,0)</f>
        <v>m2</v>
      </c>
      <c r="I429" s="3281" t="str">
        <f>VLOOKUP($A429,satpek!$B$20:$N$144,5,0)</f>
        <v>Daftar harga</v>
      </c>
      <c r="J429" s="1951">
        <f>VLOOKUP($A429,satpek!$B$20:$N$144,6,0)</f>
        <v>52000</v>
      </c>
      <c r="K429" s="3273"/>
      <c r="L429" s="1952">
        <f t="shared" si="250"/>
        <v>7966894</v>
      </c>
      <c r="M429" s="1967"/>
      <c r="N429" s="2458"/>
      <c r="O429" s="1954">
        <f>VLOOKUP($A429,satpek!$B$20:$L$138,9,0)</f>
        <v>0</v>
      </c>
      <c r="P429" s="1954">
        <f>VLOOKUP($A429,satpek!$B$20:$L$138,10,0)</f>
        <v>10400</v>
      </c>
      <c r="Q429" s="1952">
        <f t="shared" si="251"/>
        <v>0</v>
      </c>
      <c r="R429" s="1952">
        <f t="shared" si="252"/>
        <v>0</v>
      </c>
      <c r="S429" s="3282">
        <f t="shared" si="253"/>
        <v>7966894</v>
      </c>
      <c r="V429" s="1958">
        <v>1</v>
      </c>
      <c r="W429" s="1958"/>
      <c r="X429" s="1958">
        <f t="shared" si="254"/>
        <v>-152.20949999999999</v>
      </c>
      <c r="Y429" s="2127" t="s">
        <v>1888</v>
      </c>
      <c r="AD429" s="2127"/>
      <c r="AE429" s="2127"/>
      <c r="AF429" s="1910">
        <v>5000000</v>
      </c>
      <c r="AG429" s="2128">
        <f t="shared" si="255"/>
        <v>4948000</v>
      </c>
    </row>
    <row r="430" spans="1:33" ht="21.95" customHeight="1" x14ac:dyDescent="0.2">
      <c r="A430" s="1910">
        <f>A182</f>
        <v>94</v>
      </c>
      <c r="B430" s="2131">
        <f t="shared" si="256"/>
        <v>84</v>
      </c>
      <c r="C430" s="2132"/>
      <c r="D430" s="2133" t="str">
        <f>VLOOKUP($A430,satpek!$B$20:$N$144,2,0)</f>
        <v>Pas. rangka atap baja ringan</v>
      </c>
      <c r="E430" s="2133"/>
      <c r="F430" s="2134"/>
      <c r="G430" s="1945">
        <f>G182</f>
        <v>974.54500000000007</v>
      </c>
      <c r="H430" s="2456" t="str">
        <f>VLOOKUP($A430,satpek!$B$20:$N$144,7,0)</f>
        <v>m2</v>
      </c>
      <c r="I430" s="3281" t="str">
        <f>VLOOKUP($A430,satpek!$B$20:$N$144,5,0)</f>
        <v>Daftar harga</v>
      </c>
      <c r="J430" s="1951">
        <f>VLOOKUP($A430,satpek!$B$20:$N$144,6,0)</f>
        <v>310000</v>
      </c>
      <c r="K430" s="3273"/>
      <c r="L430" s="1952">
        <f t="shared" si="250"/>
        <v>302108950</v>
      </c>
      <c r="M430" s="1967"/>
      <c r="N430" s="2458"/>
      <c r="O430" s="1954">
        <f>VLOOKUP($A430,satpek!$B$20:$L$138,9,0)</f>
        <v>0</v>
      </c>
      <c r="P430" s="1954">
        <f>VLOOKUP($A430,satpek!$B$20:$L$138,10,0)</f>
        <v>186589</v>
      </c>
      <c r="Q430" s="1952">
        <f t="shared" si="251"/>
        <v>0</v>
      </c>
      <c r="R430" s="1952">
        <f t="shared" si="252"/>
        <v>0</v>
      </c>
      <c r="S430" s="3282">
        <f t="shared" si="253"/>
        <v>302108950</v>
      </c>
      <c r="V430" s="1958">
        <v>1</v>
      </c>
      <c r="W430" s="1958"/>
      <c r="X430" s="1958">
        <f t="shared" si="254"/>
        <v>-973.54500000000007</v>
      </c>
      <c r="Y430" s="2127" t="s">
        <v>1888</v>
      </c>
      <c r="AD430" s="2127"/>
      <c r="AE430" s="2127"/>
      <c r="AF430" s="1910">
        <v>5000000</v>
      </c>
      <c r="AG430" s="2128">
        <f t="shared" si="255"/>
        <v>4690000</v>
      </c>
    </row>
    <row r="431" spans="1:33" ht="21.95" customHeight="1" x14ac:dyDescent="0.2">
      <c r="A431" s="1910">
        <f>A191</f>
        <v>95</v>
      </c>
      <c r="B431" s="2131">
        <f t="shared" si="256"/>
        <v>85</v>
      </c>
      <c r="C431" s="2132"/>
      <c r="D431" s="2133" t="str">
        <f>VLOOKUP($A431,satpek!$B$20:$N$144,2,0)</f>
        <v>Pintu utama kaca tempered 12 mm</v>
      </c>
      <c r="E431" s="2133"/>
      <c r="F431" s="2134"/>
      <c r="G431" s="1945">
        <f>G191</f>
        <v>1</v>
      </c>
      <c r="H431" s="2456" t="str">
        <f>VLOOKUP($A431,satpek!$B$20:$N$144,7,0)</f>
        <v>unit</v>
      </c>
      <c r="I431" s="3281" t="str">
        <f>VLOOKUP($A431,satpek!$B$20:$N$144,5,0)</f>
        <v>Daftar harga</v>
      </c>
      <c r="J431" s="1951">
        <f>VLOOKUP($A431,satpek!$B$20:$N$144,6,0)</f>
        <v>16000000</v>
      </c>
      <c r="K431" s="3273"/>
      <c r="L431" s="1952">
        <f t="shared" si="250"/>
        <v>16000000</v>
      </c>
      <c r="M431" s="1967"/>
      <c r="N431" s="2458"/>
      <c r="O431" s="1954">
        <f>VLOOKUP($A431,satpek!$B$20:$L$138,9,0)</f>
        <v>0</v>
      </c>
      <c r="P431" s="1954">
        <f>VLOOKUP($A431,satpek!$B$20:$L$138,10,0)</f>
        <v>4000000</v>
      </c>
      <c r="Q431" s="1952">
        <f t="shared" si="251"/>
        <v>0</v>
      </c>
      <c r="R431" s="1952">
        <f t="shared" si="252"/>
        <v>0</v>
      </c>
      <c r="S431" s="3282">
        <f t="shared" si="253"/>
        <v>16000000</v>
      </c>
      <c r="V431" s="1958">
        <v>1</v>
      </c>
      <c r="W431" s="1958"/>
      <c r="X431" s="1958">
        <f t="shared" si="254"/>
        <v>0</v>
      </c>
      <c r="Y431" s="2127" t="s">
        <v>1888</v>
      </c>
      <c r="AD431" s="2127"/>
      <c r="AE431" s="2127"/>
      <c r="AF431" s="1910">
        <v>5000000</v>
      </c>
      <c r="AG431" s="2128">
        <f t="shared" si="255"/>
        <v>-11000000</v>
      </c>
    </row>
    <row r="432" spans="1:33" ht="21.95" customHeight="1" x14ac:dyDescent="0.2">
      <c r="A432" s="1910">
        <f>A226</f>
        <v>96</v>
      </c>
      <c r="B432" s="2131">
        <f t="shared" si="256"/>
        <v>86</v>
      </c>
      <c r="C432" s="2132"/>
      <c r="D432" s="2133" t="str">
        <f>VLOOKUP($A432,satpek!$B$20:$N$144,2,0)</f>
        <v>Pemasangan stop kran PVC 1 1/2"</v>
      </c>
      <c r="E432" s="2133"/>
      <c r="F432" s="2134"/>
      <c r="G432" s="1945">
        <f>G249+G226</f>
        <v>8</v>
      </c>
      <c r="H432" s="2456" t="str">
        <f>VLOOKUP($A432,satpek!$B$20:$N$144,7,0)</f>
        <v>bh</v>
      </c>
      <c r="I432" s="3281" t="str">
        <f>VLOOKUP($A432,satpek!$B$20:$N$144,5,0)</f>
        <v>Daftar harga</v>
      </c>
      <c r="J432" s="1951">
        <f>VLOOKUP($A432,satpek!$B$20:$N$144,6,0)</f>
        <v>159000</v>
      </c>
      <c r="K432" s="3273"/>
      <c r="L432" s="1952">
        <f t="shared" si="250"/>
        <v>1272000</v>
      </c>
      <c r="M432" s="1967"/>
      <c r="N432" s="2458"/>
      <c r="O432" s="1954">
        <f>VLOOKUP($A432,satpek!$B$20:$L$138,9,0)</f>
        <v>0</v>
      </c>
      <c r="P432" s="1954">
        <f>VLOOKUP($A432,satpek!$B$20:$L$138,10,0)</f>
        <v>31800</v>
      </c>
      <c r="Q432" s="1952">
        <f t="shared" si="251"/>
        <v>0</v>
      </c>
      <c r="R432" s="1952">
        <f t="shared" si="252"/>
        <v>0</v>
      </c>
      <c r="S432" s="3282">
        <f t="shared" si="253"/>
        <v>1272000</v>
      </c>
      <c r="V432" s="1958">
        <v>1</v>
      </c>
      <c r="W432" s="1958"/>
      <c r="X432" s="1958">
        <f t="shared" si="254"/>
        <v>-7</v>
      </c>
      <c r="Y432" s="2127" t="s">
        <v>1888</v>
      </c>
      <c r="AD432" s="2127"/>
      <c r="AE432" s="2127"/>
      <c r="AF432" s="1910">
        <v>5000000</v>
      </c>
      <c r="AG432" s="2128">
        <f t="shared" si="255"/>
        <v>4841000</v>
      </c>
    </row>
    <row r="433" spans="1:33" ht="21.95" customHeight="1" x14ac:dyDescent="0.2">
      <c r="A433" s="1910">
        <f>A312</f>
        <v>97</v>
      </c>
      <c r="B433" s="2131">
        <f t="shared" si="256"/>
        <v>87</v>
      </c>
      <c r="C433" s="2132"/>
      <c r="D433" s="2133" t="str">
        <f>VLOOKUP($A433,satpek!$B$20:$N$144,2,0)</f>
        <v>Panel uk 40x60x25 lengkap dengan asesoris 3 phase</v>
      </c>
      <c r="E433" s="2133"/>
      <c r="F433" s="2134"/>
      <c r="G433" s="1945">
        <f>G312</f>
        <v>1</v>
      </c>
      <c r="H433" s="2456" t="str">
        <f>VLOOKUP($A433,satpek!$B$20:$N$144,7,0)</f>
        <v>unit</v>
      </c>
      <c r="I433" s="3281" t="str">
        <f>VLOOKUP($A433,satpek!$B$20:$N$144,5,0)</f>
        <v>Daftar harga</v>
      </c>
      <c r="J433" s="1951">
        <f>VLOOKUP($A433,satpek!$B$20:$N$144,6,0)</f>
        <v>4500000</v>
      </c>
      <c r="K433" s="3273"/>
      <c r="L433" s="1952">
        <f t="shared" si="250"/>
        <v>4500000</v>
      </c>
      <c r="M433" s="1967"/>
      <c r="N433" s="2458"/>
      <c r="O433" s="1954">
        <f>VLOOKUP($A433,satpek!$B$20:$L$138,9,0)</f>
        <v>0</v>
      </c>
      <c r="P433" s="1954">
        <f>VLOOKUP($A433,satpek!$B$20:$L$138,10,0)</f>
        <v>1350000</v>
      </c>
      <c r="Q433" s="1952">
        <f t="shared" si="251"/>
        <v>0</v>
      </c>
      <c r="R433" s="1952">
        <f t="shared" si="252"/>
        <v>0</v>
      </c>
      <c r="S433" s="3282">
        <f t="shared" si="253"/>
        <v>4500000</v>
      </c>
      <c r="V433" s="1958">
        <v>1</v>
      </c>
      <c r="W433" s="1958"/>
      <c r="X433" s="1958">
        <f t="shared" si="254"/>
        <v>0</v>
      </c>
      <c r="Y433" s="2127" t="s">
        <v>1888</v>
      </c>
      <c r="AD433" s="2127"/>
      <c r="AE433" s="2127"/>
      <c r="AF433" s="1910">
        <v>5000000</v>
      </c>
      <c r="AG433" s="2128">
        <f t="shared" si="255"/>
        <v>500000</v>
      </c>
    </row>
    <row r="434" spans="1:33" ht="21.95" customHeight="1" x14ac:dyDescent="0.2">
      <c r="A434" s="1910">
        <f>A291</f>
        <v>98</v>
      </c>
      <c r="B434" s="2131">
        <f t="shared" si="256"/>
        <v>88</v>
      </c>
      <c r="C434" s="2132"/>
      <c r="D434" s="2133" t="str">
        <f>VLOOKUP($A434,satpek!$B$20:$N$144,2,0)</f>
        <v>Panel uk 50x70x25 lengkap dengan asesoris 3 phase</v>
      </c>
      <c r="E434" s="2133"/>
      <c r="F434" s="2134"/>
      <c r="G434" s="1945">
        <f>G291</f>
        <v>1</v>
      </c>
      <c r="H434" s="2456" t="str">
        <f>VLOOKUP($A434,satpek!$B$20:$N$144,7,0)</f>
        <v>unit</v>
      </c>
      <c r="I434" s="3281" t="str">
        <f>VLOOKUP($A434,satpek!$B$20:$N$144,5,0)</f>
        <v>Daftar harga</v>
      </c>
      <c r="J434" s="1951">
        <f>VLOOKUP($A434,satpek!$B$20:$N$144,6,0)</f>
        <v>5000000</v>
      </c>
      <c r="K434" s="3273"/>
      <c r="L434" s="1952">
        <f t="shared" si="250"/>
        <v>5000000</v>
      </c>
      <c r="M434" s="1967"/>
      <c r="N434" s="2458"/>
      <c r="O434" s="1954">
        <f>VLOOKUP($A434,satpek!$B$20:$L$138,9,0)</f>
        <v>0</v>
      </c>
      <c r="P434" s="1954">
        <f>VLOOKUP($A434,satpek!$B$20:$L$138,10,0)</f>
        <v>1500000</v>
      </c>
      <c r="Q434" s="1952">
        <f t="shared" si="251"/>
        <v>0</v>
      </c>
      <c r="R434" s="1952">
        <f t="shared" si="252"/>
        <v>0</v>
      </c>
      <c r="S434" s="3282">
        <f t="shared" si="253"/>
        <v>5000000</v>
      </c>
      <c r="V434" s="1958">
        <v>1</v>
      </c>
      <c r="W434" s="1958"/>
      <c r="X434" s="1958">
        <f t="shared" si="254"/>
        <v>0</v>
      </c>
      <c r="Y434" s="2127" t="s">
        <v>1888</v>
      </c>
      <c r="AD434" s="2127"/>
      <c r="AE434" s="2127"/>
      <c r="AF434" s="1910">
        <v>5000000</v>
      </c>
      <c r="AG434" s="2128">
        <f t="shared" si="255"/>
        <v>0</v>
      </c>
    </row>
    <row r="435" spans="1:33" ht="21.95" customHeight="1" x14ac:dyDescent="0.2">
      <c r="A435" s="1910">
        <f>A192</f>
        <v>99</v>
      </c>
      <c r="B435" s="2131">
        <f t="shared" si="256"/>
        <v>89</v>
      </c>
      <c r="C435" s="2132"/>
      <c r="D435" s="2133" t="str">
        <f>VLOOKUP($A435,satpek!$B$20:$N$144,2,0)</f>
        <v>doorcloser tanam</v>
      </c>
      <c r="E435" s="2133"/>
      <c r="F435" s="2134"/>
      <c r="G435" s="1945">
        <f>G192</f>
        <v>2</v>
      </c>
      <c r="H435" s="2456" t="str">
        <f>VLOOKUP($A435,satpek!$B$20:$N$144,7,0)</f>
        <v>bh</v>
      </c>
      <c r="I435" s="3281" t="str">
        <f>VLOOKUP($A435,satpek!$B$20:$N$144,5,0)</f>
        <v>Daftar harga</v>
      </c>
      <c r="J435" s="1951">
        <f>VLOOKUP($A435,satpek!$B$20:$N$144,6,0)</f>
        <v>850000</v>
      </c>
      <c r="K435" s="3273"/>
      <c r="L435" s="1952">
        <f t="shared" si="250"/>
        <v>1700000</v>
      </c>
      <c r="M435" s="1967"/>
      <c r="N435" s="2458"/>
      <c r="O435" s="1954">
        <f>VLOOKUP($A435,satpek!$B$20:$L$138,9,0)</f>
        <v>0</v>
      </c>
      <c r="P435" s="1954">
        <f>VLOOKUP($A435,satpek!$B$20:$L$138,10,0)</f>
        <v>425000</v>
      </c>
      <c r="Q435" s="1952">
        <f t="shared" si="251"/>
        <v>0</v>
      </c>
      <c r="R435" s="1952">
        <f t="shared" si="252"/>
        <v>0</v>
      </c>
      <c r="S435" s="3282">
        <f t="shared" si="253"/>
        <v>1700000</v>
      </c>
      <c r="V435" s="1958">
        <v>1</v>
      </c>
      <c r="W435" s="1958"/>
      <c r="X435" s="1958">
        <f t="shared" si="254"/>
        <v>-1</v>
      </c>
      <c r="Y435" s="2127" t="s">
        <v>1888</v>
      </c>
      <c r="AD435" s="2127"/>
      <c r="AE435" s="2127"/>
      <c r="AF435" s="1910">
        <v>5000000</v>
      </c>
      <c r="AG435" s="2128">
        <f t="shared" si="255"/>
        <v>4150000</v>
      </c>
    </row>
    <row r="436" spans="1:33" ht="21.95" customHeight="1" x14ac:dyDescent="0.2">
      <c r="A436" s="1910">
        <f>A239</f>
        <v>100</v>
      </c>
      <c r="B436" s="2131">
        <f t="shared" si="256"/>
        <v>90</v>
      </c>
      <c r="C436" s="2132"/>
      <c r="D436" s="2133" t="str">
        <f>VLOOKUP($A436,satpek!$B$20:$N$144,2,0)</f>
        <v>Membuat sumur bor lengkap pompa dan aksesories</v>
      </c>
      <c r="E436" s="2133"/>
      <c r="F436" s="2134"/>
      <c r="G436" s="1945">
        <f>G239</f>
        <v>1</v>
      </c>
      <c r="H436" s="2456" t="str">
        <f>VLOOKUP($A436,satpek!$B$20:$N$144,7,0)</f>
        <v>unit</v>
      </c>
      <c r="I436" s="3281" t="str">
        <f>VLOOKUP($A436,satpek!$B$20:$N$144,5,0)</f>
        <v>Daftar harga</v>
      </c>
      <c r="J436" s="1951">
        <f>VLOOKUP($A436,satpek!$B$20:$N$144,6,0)</f>
        <v>25000000</v>
      </c>
      <c r="K436" s="3273"/>
      <c r="L436" s="1952">
        <f t="shared" si="250"/>
        <v>25000000</v>
      </c>
      <c r="M436" s="1967"/>
      <c r="N436" s="2458"/>
      <c r="O436" s="1954">
        <f>VLOOKUP($A436,satpek!$B$20:$L$138,9,0)</f>
        <v>0</v>
      </c>
      <c r="P436" s="1954">
        <f>VLOOKUP($A436,satpek!$B$20:$L$138,10,0)</f>
        <v>5000000</v>
      </c>
      <c r="Q436" s="1952">
        <f t="shared" si="251"/>
        <v>0</v>
      </c>
      <c r="R436" s="1952">
        <f t="shared" si="252"/>
        <v>0</v>
      </c>
      <c r="S436" s="3282">
        <f t="shared" si="253"/>
        <v>25000000</v>
      </c>
      <c r="V436" s="1958">
        <v>1</v>
      </c>
      <c r="W436" s="1958"/>
      <c r="X436" s="1958">
        <f t="shared" si="254"/>
        <v>0</v>
      </c>
      <c r="Y436" s="2127" t="s">
        <v>1888</v>
      </c>
      <c r="AD436" s="2127"/>
      <c r="AE436" s="2127"/>
      <c r="AF436" s="1910">
        <v>5000000</v>
      </c>
      <c r="AG436" s="2128">
        <f t="shared" si="255"/>
        <v>-20000000</v>
      </c>
    </row>
    <row r="437" spans="1:33" ht="21.95" customHeight="1" x14ac:dyDescent="0.2">
      <c r="A437" s="1910">
        <f>A240</f>
        <v>101</v>
      </c>
      <c r="B437" s="2131">
        <f t="shared" si="256"/>
        <v>91</v>
      </c>
      <c r="C437" s="2132"/>
      <c r="D437" s="2133" t="str">
        <f>VLOOKUP($A437,satpek!$B$20:$N$144,2,0)</f>
        <v>Pengadaan dan pemasangan septic tank komunal kap 2000 ltr</v>
      </c>
      <c r="E437" s="2133"/>
      <c r="F437" s="2134"/>
      <c r="G437" s="1945">
        <f>G240</f>
        <v>1</v>
      </c>
      <c r="H437" s="2456" t="str">
        <f>VLOOKUP($A437,satpek!$B$20:$N$144,7,0)</f>
        <v>unit</v>
      </c>
      <c r="I437" s="3281" t="str">
        <f>VLOOKUP($A437,satpek!$B$20:$N$144,5,0)</f>
        <v>Daftar harga</v>
      </c>
      <c r="J437" s="1951">
        <f>VLOOKUP($A437,satpek!$B$20:$N$144,6,0)</f>
        <v>10887500</v>
      </c>
      <c r="K437" s="3273"/>
      <c r="L437" s="1952">
        <f t="shared" si="250"/>
        <v>10887500</v>
      </c>
      <c r="M437" s="1967"/>
      <c r="N437" s="2458"/>
      <c r="O437" s="1954">
        <f>VLOOKUP($A437,satpek!$B$20:$L$138,9,0)</f>
        <v>0</v>
      </c>
      <c r="P437" s="1954">
        <f>VLOOKUP($A437,satpek!$B$20:$L$138,10,0)</f>
        <v>2177500</v>
      </c>
      <c r="Q437" s="1952">
        <f t="shared" si="251"/>
        <v>0</v>
      </c>
      <c r="R437" s="1952">
        <f t="shared" si="252"/>
        <v>0</v>
      </c>
      <c r="S437" s="3282">
        <f t="shared" si="253"/>
        <v>10887500</v>
      </c>
      <c r="V437" s="1958">
        <v>1</v>
      </c>
      <c r="W437" s="1958"/>
      <c r="X437" s="1958">
        <f t="shared" si="254"/>
        <v>0</v>
      </c>
      <c r="Y437" s="2127" t="s">
        <v>1888</v>
      </c>
      <c r="AD437" s="2127"/>
      <c r="AE437" s="2127"/>
      <c r="AF437" s="1910">
        <v>5000000</v>
      </c>
      <c r="AG437" s="2128">
        <f t="shared" si="255"/>
        <v>-5887500</v>
      </c>
    </row>
    <row r="438" spans="1:33" ht="21.95" customHeight="1" x14ac:dyDescent="0.2">
      <c r="A438" s="1910">
        <f>A263</f>
        <v>102</v>
      </c>
      <c r="B438" s="2131">
        <f t="shared" si="256"/>
        <v>92</v>
      </c>
      <c r="C438" s="2132"/>
      <c r="D438" s="2133" t="str">
        <f>VLOOKUP($A438,satpek!$B$20:$N$144,2,0)</f>
        <v>Torn kapasitas 1000ltr+radar otomatis</v>
      </c>
      <c r="E438" s="2133"/>
      <c r="F438" s="2134"/>
      <c r="G438" s="1945">
        <f>G263</f>
        <v>2</v>
      </c>
      <c r="H438" s="2456" t="str">
        <f>VLOOKUP($A438,satpek!$B$20:$N$144,7,0)</f>
        <v>unit</v>
      </c>
      <c r="I438" s="3281" t="str">
        <f>VLOOKUP($A438,satpek!$B$20:$N$144,5,0)</f>
        <v>Daftar harga</v>
      </c>
      <c r="J438" s="1951">
        <f>VLOOKUP($A438,satpek!$B$20:$N$144,6,0)</f>
        <v>2250000</v>
      </c>
      <c r="K438" s="3273"/>
      <c r="L438" s="1952">
        <f t="shared" si="250"/>
        <v>4500000</v>
      </c>
      <c r="M438" s="1967"/>
      <c r="N438" s="2458"/>
      <c r="O438" s="1954">
        <f>VLOOKUP($A438,satpek!$B$20:$L$138,9,0)</f>
        <v>0</v>
      </c>
      <c r="P438" s="1954">
        <f>VLOOKUP($A438,satpek!$B$20:$L$138,10,0)</f>
        <v>450000</v>
      </c>
      <c r="Q438" s="1952">
        <f t="shared" si="251"/>
        <v>0</v>
      </c>
      <c r="R438" s="1952">
        <f t="shared" si="252"/>
        <v>0</v>
      </c>
      <c r="S438" s="3282">
        <f t="shared" si="253"/>
        <v>4500000</v>
      </c>
      <c r="V438" s="1958">
        <v>1</v>
      </c>
      <c r="W438" s="1958"/>
      <c r="X438" s="1958">
        <f t="shared" si="254"/>
        <v>-1</v>
      </c>
      <c r="Y438" s="2127" t="s">
        <v>1888</v>
      </c>
      <c r="AD438" s="2127"/>
      <c r="AE438" s="2127"/>
      <c r="AF438" s="1910">
        <v>5000000</v>
      </c>
      <c r="AG438" s="2128">
        <f t="shared" si="255"/>
        <v>2750000</v>
      </c>
    </row>
    <row r="439" spans="1:33" ht="21.95" customHeight="1" x14ac:dyDescent="0.2">
      <c r="A439" s="1910">
        <f>A268</f>
        <v>103</v>
      </c>
      <c r="B439" s="2131">
        <f t="shared" si="256"/>
        <v>93</v>
      </c>
      <c r="C439" s="2132"/>
      <c r="D439" s="2133" t="str">
        <f>VLOOKUP($A439,satpek!$B$20:$N$144,2,0)</f>
        <v>Penyambungan Daya PLN Tegangan Rendah (TR) 3 phase 44 KVA</v>
      </c>
      <c r="E439" s="2133"/>
      <c r="F439" s="2134"/>
      <c r="G439" s="1945">
        <f>G268</f>
        <v>44000</v>
      </c>
      <c r="H439" s="2456" t="str">
        <f>VLOOKUP($A439,satpek!$B$20:$N$144,7,0)</f>
        <v>va</v>
      </c>
      <c r="I439" s="3281" t="str">
        <f>VLOOKUP($A439,satpek!$B$20:$N$144,5,0)</f>
        <v>Daftar harga</v>
      </c>
      <c r="J439" s="1951">
        <f>VLOOKUP($A439,satpek!$B$20:$N$144,6,0)</f>
        <v>1564.5</v>
      </c>
      <c r="K439" s="3273"/>
      <c r="L439" s="1952">
        <f t="shared" si="250"/>
        <v>68838000</v>
      </c>
      <c r="M439" s="1967"/>
      <c r="N439" s="2458"/>
      <c r="O439" s="1954">
        <f>VLOOKUP($A439,satpek!$B$20:$L$138,9,0)</f>
        <v>0</v>
      </c>
      <c r="P439" s="1954">
        <f>VLOOKUP($A439,satpek!$B$20:$L$138,10,0)</f>
        <v>312.90000000000003</v>
      </c>
      <c r="Q439" s="1952">
        <f t="shared" si="251"/>
        <v>0</v>
      </c>
      <c r="R439" s="1952">
        <f t="shared" si="252"/>
        <v>0</v>
      </c>
      <c r="S439" s="3282">
        <f t="shared" si="253"/>
        <v>68838000</v>
      </c>
      <c r="V439" s="1958">
        <v>1</v>
      </c>
      <c r="W439" s="1958"/>
      <c r="X439" s="1958">
        <f t="shared" si="254"/>
        <v>-43999</v>
      </c>
      <c r="Y439" s="2127" t="s">
        <v>1888</v>
      </c>
      <c r="AD439" s="2127"/>
      <c r="AE439" s="2127"/>
      <c r="AF439" s="1910">
        <v>5000000</v>
      </c>
      <c r="AG439" s="2128">
        <f t="shared" si="255"/>
        <v>4998435.5</v>
      </c>
    </row>
    <row r="440" spans="1:33" ht="21.95" customHeight="1" x14ac:dyDescent="0.2">
      <c r="A440" s="1910">
        <f>A290</f>
        <v>104</v>
      </c>
      <c r="B440" s="2131">
        <f t="shared" si="256"/>
        <v>94</v>
      </c>
      <c r="C440" s="2132"/>
      <c r="D440" s="2133" t="str">
        <f>VLOOKUP($A440,satpek!$B$20:$N$144,2,0)</f>
        <v>Memasang Unit AC 1 PK</v>
      </c>
      <c r="E440" s="2133"/>
      <c r="F440" s="2134"/>
      <c r="G440" s="1945">
        <f>G311+G290</f>
        <v>25</v>
      </c>
      <c r="H440" s="2456" t="str">
        <f>VLOOKUP($A440,satpek!$B$20:$N$144,7,0)</f>
        <v>unit</v>
      </c>
      <c r="I440" s="3281" t="str">
        <f>VLOOKUP($A440,satpek!$B$20:$N$144,5,0)</f>
        <v>Daftar harga</v>
      </c>
      <c r="J440" s="1951">
        <f>VLOOKUP($A440,satpek!$B$20:$N$144,6,0)</f>
        <v>4950000</v>
      </c>
      <c r="K440" s="3273"/>
      <c r="L440" s="1952">
        <f t="shared" si="250"/>
        <v>123750000</v>
      </c>
      <c r="M440" s="1967"/>
      <c r="N440" s="2458"/>
      <c r="O440" s="1954">
        <f>VLOOKUP($A440,satpek!$B$20:$L$138,9,0)</f>
        <v>0</v>
      </c>
      <c r="P440" s="1954">
        <f>VLOOKUP($A440,satpek!$B$20:$L$138,10,0)</f>
        <v>535590</v>
      </c>
      <c r="Q440" s="1952">
        <f t="shared" si="251"/>
        <v>0</v>
      </c>
      <c r="R440" s="1952">
        <f t="shared" si="252"/>
        <v>0</v>
      </c>
      <c r="S440" s="3282">
        <f t="shared" si="253"/>
        <v>123750000</v>
      </c>
      <c r="V440" s="1958">
        <v>1</v>
      </c>
      <c r="W440" s="1958"/>
      <c r="X440" s="1958">
        <f t="shared" si="254"/>
        <v>-24</v>
      </c>
      <c r="Y440" s="2127" t="s">
        <v>1888</v>
      </c>
      <c r="AD440" s="2127"/>
      <c r="AE440" s="2127"/>
      <c r="AF440" s="1910">
        <v>5000000</v>
      </c>
      <c r="AG440" s="2128">
        <f t="shared" si="255"/>
        <v>50000</v>
      </c>
    </row>
    <row r="441" spans="1:33" ht="21.95" customHeight="1" x14ac:dyDescent="0.2">
      <c r="A441" s="1910">
        <f>A313</f>
        <v>105</v>
      </c>
      <c r="B441" s="2131">
        <f t="shared" si="256"/>
        <v>95</v>
      </c>
      <c r="C441" s="2132"/>
      <c r="D441" s="2133" t="str">
        <f>VLOOKUP($A441,satpek!$B$20:$N$144,2,0)</f>
        <v>Pasang instalasi penangkal petir 1 split lengkap</v>
      </c>
      <c r="E441" s="2133"/>
      <c r="F441" s="2134"/>
      <c r="G441" s="1945">
        <f>G313</f>
        <v>1</v>
      </c>
      <c r="H441" s="2456" t="str">
        <f>VLOOKUP($A441,satpek!$B$20:$N$144,7,0)</f>
        <v>unit</v>
      </c>
      <c r="I441" s="3281" t="str">
        <f>VLOOKUP($A441,satpek!$B$20:$N$144,5,0)</f>
        <v>Daftar harga</v>
      </c>
      <c r="J441" s="1951">
        <f>VLOOKUP($A441,satpek!$B$20:$N$144,6,0)</f>
        <v>8200000</v>
      </c>
      <c r="K441" s="3273"/>
      <c r="L441" s="1952">
        <f t="shared" si="250"/>
        <v>8200000</v>
      </c>
      <c r="M441" s="1967"/>
      <c r="N441" s="2458"/>
      <c r="O441" s="1954">
        <f>VLOOKUP($A441,satpek!$B$20:$L$138,9,0)</f>
        <v>0</v>
      </c>
      <c r="P441" s="1954">
        <f>VLOOKUP($A441,satpek!$B$20:$L$138,10,0)</f>
        <v>1640000</v>
      </c>
      <c r="Q441" s="1952">
        <f t="shared" si="251"/>
        <v>0</v>
      </c>
      <c r="R441" s="1952">
        <f t="shared" si="252"/>
        <v>0</v>
      </c>
      <c r="S441" s="3282">
        <f t="shared" si="253"/>
        <v>8200000</v>
      </c>
      <c r="V441" s="1958">
        <v>1</v>
      </c>
      <c r="W441" s="1958"/>
      <c r="X441" s="1958">
        <f t="shared" si="254"/>
        <v>0</v>
      </c>
      <c r="Y441" s="2127" t="s">
        <v>1888</v>
      </c>
      <c r="AD441" s="2127"/>
      <c r="AE441" s="2127"/>
      <c r="AF441" s="1910">
        <v>5000000</v>
      </c>
      <c r="AG441" s="2128">
        <f t="shared" si="255"/>
        <v>-3200000</v>
      </c>
    </row>
    <row r="442" spans="1:33" ht="21.95" customHeight="1" x14ac:dyDescent="0.2">
      <c r="A442" s="1910">
        <f>A314</f>
        <v>106</v>
      </c>
      <c r="B442" s="2131">
        <f t="shared" si="256"/>
        <v>96</v>
      </c>
      <c r="C442" s="2132"/>
      <c r="D442" s="2133" t="str">
        <f>VLOOKUP($A442,satpek!$B$20:$N$144,2,0)</f>
        <v>Testing &amp; Comissioning Instalasi Litrik</v>
      </c>
      <c r="E442" s="2133"/>
      <c r="F442" s="2134"/>
      <c r="G442" s="1945">
        <f>G314</f>
        <v>1</v>
      </c>
      <c r="H442" s="2456" t="str">
        <f>VLOOKUP($A442,satpek!$B$20:$N$144,7,0)</f>
        <v>lot</v>
      </c>
      <c r="I442" s="3281" t="str">
        <f>VLOOKUP($A442,satpek!$B$20:$N$144,5,0)</f>
        <v>Daftar harga</v>
      </c>
      <c r="J442" s="1951">
        <f>VLOOKUP($A442,satpek!$B$20:$N$144,6,0)</f>
        <v>3100000</v>
      </c>
      <c r="K442" s="3273"/>
      <c r="L442" s="1952">
        <f t="shared" si="250"/>
        <v>3100000</v>
      </c>
      <c r="M442" s="1967"/>
      <c r="N442" s="2458"/>
      <c r="O442" s="1954">
        <f>VLOOKUP($A442,satpek!$B$20:$L$138,9,0)</f>
        <v>0</v>
      </c>
      <c r="P442" s="1954">
        <f>VLOOKUP($A442,satpek!$B$20:$L$138,10,0)</f>
        <v>2325000</v>
      </c>
      <c r="Q442" s="1952">
        <f t="shared" si="251"/>
        <v>0</v>
      </c>
      <c r="R442" s="1952">
        <f t="shared" si="252"/>
        <v>0</v>
      </c>
      <c r="S442" s="3282">
        <f t="shared" si="253"/>
        <v>3100000</v>
      </c>
      <c r="V442" s="1958">
        <v>1</v>
      </c>
      <c r="W442" s="1958"/>
      <c r="X442" s="1958">
        <f t="shared" si="254"/>
        <v>0</v>
      </c>
      <c r="Y442" s="2127" t="s">
        <v>1888</v>
      </c>
      <c r="AD442" s="2127"/>
      <c r="AE442" s="2127"/>
      <c r="AF442" s="1910">
        <v>5000000</v>
      </c>
      <c r="AG442" s="2128">
        <f t="shared" si="255"/>
        <v>1900000</v>
      </c>
    </row>
    <row r="443" spans="1:33" ht="21.95" customHeight="1" x14ac:dyDescent="0.2">
      <c r="B443" s="3366"/>
      <c r="C443" s="3367"/>
      <c r="D443" s="3368"/>
      <c r="E443" s="3368"/>
      <c r="F443" s="3369"/>
      <c r="G443" s="2049"/>
      <c r="H443" s="2050"/>
      <c r="I443" s="3370"/>
      <c r="J443" s="2055"/>
      <c r="K443" s="3371"/>
      <c r="L443" s="2057"/>
      <c r="M443" s="2055"/>
      <c r="N443" s="2458"/>
      <c r="O443" s="2059"/>
      <c r="P443" s="2059"/>
      <c r="Q443" s="2057"/>
      <c r="R443" s="2057"/>
      <c r="S443" s="3372"/>
      <c r="V443" s="1958"/>
      <c r="W443" s="1958"/>
      <c r="X443" s="1958"/>
      <c r="AD443" s="2127"/>
      <c r="AE443" s="2127"/>
      <c r="AG443" s="2128"/>
    </row>
    <row r="444" spans="1:33" ht="21.95" customHeight="1" x14ac:dyDescent="0.2">
      <c r="B444" s="2131"/>
      <c r="C444" s="2132"/>
      <c r="D444" s="2133"/>
      <c r="E444" s="2133"/>
      <c r="F444" s="2134"/>
      <c r="G444" s="1945"/>
      <c r="H444" s="2456"/>
      <c r="I444" s="3281"/>
      <c r="J444" s="1951"/>
      <c r="K444" s="3273"/>
      <c r="L444" s="3189">
        <f>SUM(L346:L443)</f>
        <v>5224166701.8199997</v>
      </c>
      <c r="M444" s="1967"/>
      <c r="N444" s="2458"/>
      <c r="O444" s="1954"/>
      <c r="P444" s="1954"/>
      <c r="Q444" s="1952"/>
      <c r="R444" s="1952"/>
      <c r="S444" s="3282"/>
      <c r="V444" s="1958"/>
      <c r="W444" s="1958"/>
      <c r="X444" s="1958"/>
      <c r="AD444" s="2127"/>
      <c r="AE444" s="2127"/>
      <c r="AG444" s="2128"/>
    </row>
    <row r="446" spans="1:33" x14ac:dyDescent="0.2">
      <c r="L446" s="2126">
        <f>M322</f>
        <v>5224166701.8799992</v>
      </c>
    </row>
    <row r="447" spans="1:33" x14ac:dyDescent="0.2">
      <c r="L447" s="3373">
        <f>L446-L444</f>
        <v>5.9999465942382813E-2</v>
      </c>
    </row>
  </sheetData>
  <autoFilter ref="A16:A443"/>
  <mergeCells count="4">
    <mergeCell ref="B1:M1"/>
    <mergeCell ref="B2:M2"/>
    <mergeCell ref="I316:L316"/>
    <mergeCell ref="I321:L321"/>
  </mergeCells>
  <pageMargins left="0.7" right="0.7" top="0.75" bottom="0.75" header="0.3" footer="0.3"/>
  <pageSetup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16"/>
  <sheetViews>
    <sheetView zoomScale="70" zoomScaleNormal="70" workbookViewId="0">
      <selection activeCell="I15" sqref="I15"/>
    </sheetView>
  </sheetViews>
  <sheetFormatPr defaultColWidth="12.5703125" defaultRowHeight="15.75" x14ac:dyDescent="0.2"/>
  <cols>
    <col min="1" max="1" width="8.28515625" style="3420" customWidth="1"/>
    <col min="2" max="2" width="5.7109375" style="3187" customWidth="1"/>
    <col min="3" max="3" width="2.7109375" style="2127" customWidth="1"/>
    <col min="4" max="4" width="35.7109375" style="2127" customWidth="1"/>
    <col min="5" max="5" width="6.42578125" style="2127" customWidth="1"/>
    <col min="6" max="6" width="19.5703125" style="2127" customWidth="1"/>
    <col min="7" max="7" width="12.7109375" style="3187" customWidth="1"/>
    <col min="8" max="8" width="7.7109375" style="2127" customWidth="1"/>
    <col min="9" max="9" width="15.7109375" style="3187" customWidth="1"/>
    <col min="10" max="10" width="18.7109375" style="2127" customWidth="1"/>
    <col min="11" max="11" width="4.7109375" style="2127" customWidth="1"/>
    <col min="12" max="12" width="19.7109375" style="2127" customWidth="1"/>
    <col min="13" max="13" width="22.7109375" style="2329" customWidth="1"/>
    <col min="14" max="14" width="23.140625" style="2125" customWidth="1"/>
    <col min="15" max="15" width="22.85546875" style="2125" hidden="1" customWidth="1"/>
    <col min="16" max="17" width="14.85546875" style="2125" customWidth="1"/>
    <col min="18" max="18" width="22.85546875" style="2125" customWidth="1"/>
    <col min="19" max="19" width="34.5703125" style="2127" customWidth="1"/>
    <col min="20" max="20" width="19.140625" style="2127" hidden="1" customWidth="1"/>
    <col min="21" max="21" width="17.7109375" style="2127" hidden="1" customWidth="1"/>
    <col min="22" max="22" width="16.7109375" style="2127" hidden="1" customWidth="1"/>
    <col min="23" max="23" width="18" style="1909" hidden="1" customWidth="1"/>
    <col min="24" max="24" width="1.7109375" style="1909" hidden="1" customWidth="1"/>
    <col min="25" max="25" width="19.42578125" style="1909" hidden="1" customWidth="1"/>
    <col min="26" max="26" width="21.28515625" style="1910" customWidth="1"/>
    <col min="27" max="27" width="17.28515625" style="2127" customWidth="1"/>
    <col min="28" max="16384" width="12.5703125" style="2127"/>
  </cols>
  <sheetData>
    <row r="1" spans="1:27" ht="25.5" x14ac:dyDescent="0.2">
      <c r="B1" s="3542" t="s">
        <v>2040</v>
      </c>
      <c r="C1" s="3542"/>
      <c r="D1" s="3542"/>
      <c r="E1" s="3542"/>
      <c r="F1" s="3542"/>
      <c r="G1" s="3542"/>
      <c r="H1" s="3542"/>
      <c r="I1" s="3542"/>
      <c r="J1" s="3542"/>
      <c r="K1" s="3542"/>
      <c r="L1" s="3542"/>
      <c r="M1" s="3542"/>
      <c r="N1" s="3191"/>
      <c r="O1" s="3191"/>
      <c r="P1" s="3191"/>
      <c r="Q1" s="3191"/>
      <c r="R1" s="3191"/>
      <c r="W1" s="2127"/>
      <c r="X1" s="2127"/>
      <c r="Y1" s="2127"/>
    </row>
    <row r="2" spans="1:27" ht="20.25" x14ac:dyDescent="0.2">
      <c r="B2" s="3543"/>
      <c r="C2" s="3543"/>
      <c r="D2" s="3543"/>
      <c r="E2" s="3543"/>
      <c r="F2" s="3543"/>
      <c r="G2" s="3543"/>
      <c r="H2" s="3543"/>
      <c r="I2" s="3543"/>
      <c r="J2" s="3543"/>
      <c r="K2" s="3543"/>
      <c r="L2" s="3543"/>
      <c r="M2" s="3543"/>
      <c r="N2" s="3191"/>
      <c r="O2" s="3191"/>
      <c r="P2" s="3191"/>
      <c r="Q2" s="3191"/>
      <c r="R2" s="3191"/>
      <c r="W2" s="2127"/>
      <c r="X2" s="2127"/>
      <c r="Y2" s="2127"/>
    </row>
    <row r="3" spans="1:27" ht="18.75" x14ac:dyDescent="0.2">
      <c r="A3" s="3421"/>
      <c r="B3" s="3193"/>
      <c r="D3" s="3194" t="s">
        <v>342</v>
      </c>
      <c r="E3" s="3195" t="s">
        <v>341</v>
      </c>
      <c r="F3" s="3196" t="s">
        <v>1895</v>
      </c>
      <c r="G3" s="3197"/>
      <c r="H3" s="3197"/>
      <c r="I3" s="3197"/>
      <c r="J3" s="3197"/>
      <c r="K3" s="3193"/>
      <c r="L3" s="3193"/>
      <c r="M3" s="3198"/>
      <c r="N3" s="3199"/>
      <c r="O3" s="3199"/>
      <c r="P3" s="3199"/>
      <c r="Q3" s="3199"/>
      <c r="R3" s="3199"/>
      <c r="W3" s="2127"/>
      <c r="X3" s="2127"/>
      <c r="Y3" s="2127"/>
    </row>
    <row r="4" spans="1:27" ht="18.75" x14ac:dyDescent="0.2">
      <c r="D4" s="3194" t="s">
        <v>1131</v>
      </c>
      <c r="E4" s="3195" t="s">
        <v>341</v>
      </c>
      <c r="F4" s="3194" t="str">
        <f>F3</f>
        <v>PEMBANGUNAN GEDUNG KANTOR DINAS PERTANIAN, PANGAN DAN PERIKANAN KARANGANYAR</v>
      </c>
      <c r="L4" s="3200"/>
      <c r="W4" s="2127"/>
      <c r="X4" s="2127"/>
      <c r="Y4" s="2127"/>
    </row>
    <row r="5" spans="1:27" ht="18.75" x14ac:dyDescent="0.2">
      <c r="D5" s="3194" t="s">
        <v>343</v>
      </c>
      <c r="E5" s="3195" t="s">
        <v>341</v>
      </c>
      <c r="F5" s="3194" t="s">
        <v>345</v>
      </c>
      <c r="I5" s="1849"/>
      <c r="W5" s="2127"/>
      <c r="X5" s="2127"/>
      <c r="Y5" s="2127"/>
    </row>
    <row r="6" spans="1:27" ht="18.75" x14ac:dyDescent="0.2">
      <c r="D6" s="3194" t="s">
        <v>344</v>
      </c>
      <c r="E6" s="3195" t="s">
        <v>341</v>
      </c>
      <c r="F6" s="3194" t="s">
        <v>345</v>
      </c>
      <c r="W6" s="2127"/>
      <c r="X6" s="2127"/>
      <c r="Y6" s="2127"/>
    </row>
    <row r="7" spans="1:27" ht="18.75" x14ac:dyDescent="0.2">
      <c r="D7" s="3201" t="s">
        <v>346</v>
      </c>
      <c r="E7" s="3195" t="s">
        <v>341</v>
      </c>
      <c r="F7" s="3202" t="s">
        <v>1753</v>
      </c>
      <c r="J7" s="3200"/>
      <c r="W7" s="2127"/>
      <c r="X7" s="2127"/>
      <c r="Y7" s="2127"/>
    </row>
    <row r="8" spans="1:27" ht="16.5" thickBot="1" x14ac:dyDescent="0.25">
      <c r="W8" s="2127"/>
      <c r="X8" s="2127"/>
      <c r="Y8" s="2127"/>
    </row>
    <row r="9" spans="1:27" ht="19.5" thickTop="1" x14ac:dyDescent="0.2">
      <c r="B9" s="3203"/>
      <c r="C9" s="3204"/>
      <c r="D9" s="3205"/>
      <c r="E9" s="3205"/>
      <c r="F9" s="3206"/>
      <c r="G9" s="3207"/>
      <c r="H9" s="3206"/>
      <c r="I9" s="3208"/>
      <c r="J9" s="3206"/>
      <c r="K9" s="3205"/>
      <c r="L9" s="3206"/>
      <c r="M9" s="3377"/>
      <c r="W9" s="2127"/>
      <c r="X9" s="2127"/>
      <c r="Y9" s="2127"/>
    </row>
    <row r="10" spans="1:27" ht="18.75" x14ac:dyDescent="0.2">
      <c r="B10" s="3212" t="s">
        <v>423</v>
      </c>
      <c r="C10" s="3378" t="s">
        <v>1754</v>
      </c>
      <c r="D10" s="3378"/>
      <c r="E10" s="3378"/>
      <c r="F10" s="3379"/>
      <c r="G10" s="3380" t="s">
        <v>1755</v>
      </c>
      <c r="H10" s="3379" t="s">
        <v>1756</v>
      </c>
      <c r="I10" s="3381" t="s">
        <v>1757</v>
      </c>
      <c r="J10" s="3381" t="s">
        <v>347</v>
      </c>
      <c r="K10" s="3382"/>
      <c r="L10" s="3381" t="s">
        <v>284</v>
      </c>
      <c r="M10" s="3383" t="s">
        <v>2039</v>
      </c>
      <c r="W10" s="2127"/>
      <c r="X10" s="2127"/>
      <c r="Y10" s="2127"/>
    </row>
    <row r="11" spans="1:27" ht="18.75" x14ac:dyDescent="0.2">
      <c r="B11" s="3212"/>
      <c r="C11" s="3378"/>
      <c r="D11" s="3378"/>
      <c r="E11" s="3378"/>
      <c r="F11" s="3379"/>
      <c r="G11" s="3380"/>
      <c r="H11" s="3379"/>
      <c r="I11" s="3381"/>
      <c r="J11" s="3381" t="s">
        <v>1758</v>
      </c>
      <c r="K11" s="3378"/>
      <c r="L11" s="3379" t="s">
        <v>347</v>
      </c>
      <c r="M11" s="3383"/>
      <c r="W11" s="2127"/>
      <c r="X11" s="2127"/>
      <c r="Y11" s="2127"/>
    </row>
    <row r="12" spans="1:27" ht="18.75" x14ac:dyDescent="0.2">
      <c r="B12" s="3219"/>
      <c r="C12" s="3384"/>
      <c r="D12" s="3384"/>
      <c r="E12" s="3384"/>
      <c r="F12" s="3385"/>
      <c r="G12" s="3386" t="s">
        <v>278</v>
      </c>
      <c r="H12" s="3385"/>
      <c r="I12" s="3387"/>
      <c r="J12" s="3387" t="s">
        <v>348</v>
      </c>
      <c r="K12" s="3388"/>
      <c r="L12" s="3389" t="s">
        <v>348</v>
      </c>
      <c r="M12" s="3390"/>
      <c r="W12" s="2127"/>
      <c r="X12" s="2127"/>
      <c r="Y12" s="2127"/>
    </row>
    <row r="13" spans="1:27" s="2395" customFormat="1" ht="19.5" thickBot="1" x14ac:dyDescent="0.25">
      <c r="A13" s="3422"/>
      <c r="B13" s="3391" t="s">
        <v>349</v>
      </c>
      <c r="C13" s="3392"/>
      <c r="D13" s="3393"/>
      <c r="E13" s="3394" t="s">
        <v>228</v>
      </c>
      <c r="F13" s="3239"/>
      <c r="G13" s="3395" t="s">
        <v>350</v>
      </c>
      <c r="H13" s="3392"/>
      <c r="I13" s="3396" t="s">
        <v>351</v>
      </c>
      <c r="J13" s="3396" t="s">
        <v>352</v>
      </c>
      <c r="K13" s="3397" t="s">
        <v>353</v>
      </c>
      <c r="L13" s="3397"/>
      <c r="M13" s="3398" t="s">
        <v>354</v>
      </c>
      <c r="N13" s="2125"/>
      <c r="O13" s="2125"/>
      <c r="P13" s="2125"/>
      <c r="Q13" s="2125"/>
      <c r="R13" s="2125"/>
      <c r="Z13" s="3376"/>
    </row>
    <row r="14" spans="1:27" ht="21.95" customHeight="1" thickTop="1" x14ac:dyDescent="0.2">
      <c r="B14" s="3243"/>
      <c r="C14" s="3244"/>
      <c r="D14" s="3245"/>
      <c r="E14" s="3245"/>
      <c r="F14" s="3246"/>
      <c r="G14" s="3247"/>
      <c r="H14" s="3245"/>
      <c r="I14" s="3248"/>
      <c r="J14" s="3248"/>
      <c r="K14" s="3244"/>
      <c r="L14" s="3246"/>
      <c r="M14" s="3399"/>
    </row>
    <row r="15" spans="1:27" ht="21.95" customHeight="1" x14ac:dyDescent="0.2">
      <c r="A15" s="3420">
        <f>'rekap MPU'!A346</f>
        <v>1</v>
      </c>
      <c r="B15" s="3366">
        <f t="shared" ref="B15:B46" si="0">B14+1</f>
        <v>1</v>
      </c>
      <c r="C15" s="3367"/>
      <c r="D15" s="3368" t="str">
        <f>'rekap MPU'!D364</f>
        <v>Pembesian 1 kg dengan besi polos atau besi ulir</v>
      </c>
      <c r="E15" s="3368"/>
      <c r="F15" s="3369"/>
      <c r="G15" s="2049">
        <f>'rekap MPU'!G364</f>
        <v>43762.251618019691</v>
      </c>
      <c r="H15" s="2050" t="str">
        <f>'rekap MPU'!H364</f>
        <v>kg</v>
      </c>
      <c r="I15" s="3370" t="str">
        <f>'rekap MPU'!I364</f>
        <v>A.4.1.1.17.</v>
      </c>
      <c r="J15" s="2055">
        <f>'rekap MPU'!J364</f>
        <v>15603.94</v>
      </c>
      <c r="K15" s="3371"/>
      <c r="L15" s="2057">
        <f t="shared" ref="L15:L46" si="1">ROUND((G15*J15),2)</f>
        <v>682863548.50999999</v>
      </c>
      <c r="M15" s="3419">
        <f t="shared" ref="M15:M46" si="2">RANK(L15,$L$15:$L$112,0)</f>
        <v>1</v>
      </c>
      <c r="P15" s="1958"/>
      <c r="Q15" s="1958"/>
      <c r="R15" s="1958"/>
      <c r="X15" s="2127"/>
      <c r="Y15" s="2127"/>
      <c r="AA15" s="2128"/>
    </row>
    <row r="16" spans="1:27" ht="21.95" customHeight="1" x14ac:dyDescent="0.2">
      <c r="A16" s="3420">
        <f>'rekap MPU'!A347</f>
        <v>2</v>
      </c>
      <c r="B16" s="3366">
        <f t="shared" si="0"/>
        <v>2</v>
      </c>
      <c r="C16" s="3367"/>
      <c r="D16" s="3368" t="str">
        <f>'rekap MPU'!D386</f>
        <v>Memasang lantai homogenius tile polished ( 60 x 60 ) cm</v>
      </c>
      <c r="E16" s="3368"/>
      <c r="F16" s="3369"/>
      <c r="G16" s="2049">
        <f>'rekap MPU'!G386</f>
        <v>1467.0650000000001</v>
      </c>
      <c r="H16" s="2050" t="str">
        <f>'rekap MPU'!H386</f>
        <v>m2</v>
      </c>
      <c r="I16" s="3370" t="str">
        <f>'rekap MPU'!I386</f>
        <v>An. Dihitung</v>
      </c>
      <c r="J16" s="2055">
        <f>'rekap MPU'!J386</f>
        <v>245041.63</v>
      </c>
      <c r="K16" s="3371"/>
      <c r="L16" s="2057">
        <f t="shared" si="1"/>
        <v>359491998.92000002</v>
      </c>
      <c r="M16" s="3419">
        <f t="shared" si="2"/>
        <v>2</v>
      </c>
      <c r="P16" s="1958"/>
      <c r="Q16" s="1958"/>
      <c r="R16" s="1958"/>
      <c r="X16" s="2127"/>
      <c r="Y16" s="2127"/>
      <c r="AA16" s="2128"/>
    </row>
    <row r="17" spans="1:27" ht="21.95" customHeight="1" x14ac:dyDescent="0.2">
      <c r="A17" s="3420">
        <f>'rekap MPU'!A348</f>
        <v>3</v>
      </c>
      <c r="B17" s="3366">
        <f t="shared" si="0"/>
        <v>3</v>
      </c>
      <c r="C17" s="3367"/>
      <c r="D17" s="3368" t="str">
        <f>'rekap MPU'!D363</f>
        <v>Membuat beton mutu f'c = 21,7 Mpa - K 250</v>
      </c>
      <c r="E17" s="3368"/>
      <c r="F17" s="3369"/>
      <c r="G17" s="2049">
        <f>'rekap MPU'!G363</f>
        <v>312.91789999999992</v>
      </c>
      <c r="H17" s="2050" t="str">
        <f>'rekap MPU'!H363</f>
        <v>m3</v>
      </c>
      <c r="I17" s="3370" t="str">
        <f>'rekap MPU'!I363</f>
        <v>A.4.1.1.8.</v>
      </c>
      <c r="J17" s="2055">
        <f>'rekap MPU'!J363</f>
        <v>1115753.29</v>
      </c>
      <c r="K17" s="3371"/>
      <c r="L17" s="2057">
        <f t="shared" si="1"/>
        <v>349139176.42000002</v>
      </c>
      <c r="M17" s="3419">
        <f t="shared" si="2"/>
        <v>3</v>
      </c>
      <c r="P17" s="1958"/>
      <c r="Q17" s="1958"/>
      <c r="R17" s="1958"/>
      <c r="X17" s="2127"/>
      <c r="Y17" s="2127"/>
      <c r="AA17" s="2128"/>
    </row>
    <row r="18" spans="1:27" ht="21.95" customHeight="1" x14ac:dyDescent="0.2">
      <c r="A18" s="3420">
        <f>'rekap MPU'!A349</f>
        <v>4</v>
      </c>
      <c r="B18" s="3366">
        <f t="shared" si="0"/>
        <v>4</v>
      </c>
      <c r="C18" s="3367"/>
      <c r="D18" s="3368" t="str">
        <f>'rekap MPU'!D430</f>
        <v>Pas. rangka atap baja ringan</v>
      </c>
      <c r="E18" s="3368"/>
      <c r="F18" s="3369"/>
      <c r="G18" s="2049">
        <f>'rekap MPU'!G430</f>
        <v>974.54500000000007</v>
      </c>
      <c r="H18" s="2050" t="str">
        <f>'rekap MPU'!H430</f>
        <v>m2</v>
      </c>
      <c r="I18" s="3370" t="str">
        <f>'rekap MPU'!I430</f>
        <v>Daftar harga</v>
      </c>
      <c r="J18" s="2055">
        <f>'rekap MPU'!J430</f>
        <v>310000</v>
      </c>
      <c r="K18" s="3371"/>
      <c r="L18" s="2057">
        <f t="shared" si="1"/>
        <v>302108950</v>
      </c>
      <c r="M18" s="3419">
        <f t="shared" si="2"/>
        <v>4</v>
      </c>
      <c r="P18" s="1958"/>
      <c r="Q18" s="1958"/>
      <c r="R18" s="1958"/>
      <c r="X18" s="2127"/>
      <c r="Y18" s="2127"/>
      <c r="AA18" s="2128"/>
    </row>
    <row r="19" spans="1:27" ht="21.95" customHeight="1" x14ac:dyDescent="0.2">
      <c r="A19" s="3420">
        <f>'rekap MPU'!A350</f>
        <v>5</v>
      </c>
      <c r="B19" s="3366">
        <f t="shared" si="0"/>
        <v>5</v>
      </c>
      <c r="C19" s="3367"/>
      <c r="D19" s="3368" t="str">
        <f>'rekap MPU'!D369</f>
        <v>Memasang bekisting untuk lantai (2x pakai)</v>
      </c>
      <c r="E19" s="3368"/>
      <c r="F19" s="3369"/>
      <c r="G19" s="2049">
        <f>'rekap MPU'!G369</f>
        <v>1145.4571999999998</v>
      </c>
      <c r="H19" s="2050" t="str">
        <f>'rekap MPU'!H369</f>
        <v>m2</v>
      </c>
      <c r="I19" s="3370" t="str">
        <f>'rekap MPU'!I369</f>
        <v>A.4.1.1.24</v>
      </c>
      <c r="J19" s="2055">
        <f>'rekap MPU'!J369</f>
        <v>242900.28</v>
      </c>
      <c r="K19" s="3371"/>
      <c r="L19" s="2057">
        <f t="shared" si="1"/>
        <v>278231874.61000001</v>
      </c>
      <c r="M19" s="3419">
        <f t="shared" si="2"/>
        <v>5</v>
      </c>
      <c r="P19" s="1958"/>
      <c r="Q19" s="1958"/>
      <c r="R19" s="1958"/>
      <c r="X19" s="2127"/>
      <c r="Y19" s="2127"/>
      <c r="AA19" s="2128"/>
    </row>
    <row r="20" spans="1:27" ht="21.95" customHeight="1" x14ac:dyDescent="0.2">
      <c r="A20" s="3420">
        <f>'rekap MPU'!A351</f>
        <v>6</v>
      </c>
      <c r="B20" s="3366">
        <f t="shared" si="0"/>
        <v>6</v>
      </c>
      <c r="C20" s="3367"/>
      <c r="D20" s="3368" t="str">
        <f>'rekap MPU'!D381</f>
        <v>Memasang jendela &amp; boven kaca rangka aluminium</v>
      </c>
      <c r="E20" s="3368"/>
      <c r="F20" s="3369"/>
      <c r="G20" s="2049">
        <f>'rekap MPU'!G381</f>
        <v>216.08</v>
      </c>
      <c r="H20" s="2050" t="str">
        <f>'rekap MPU'!H381</f>
        <v>m2</v>
      </c>
      <c r="I20" s="3370" t="str">
        <f>'rekap MPU'!I381</f>
        <v>An. Dihitung</v>
      </c>
      <c r="J20" s="2055">
        <f>'rekap MPU'!J381</f>
        <v>845503.86</v>
      </c>
      <c r="K20" s="3371"/>
      <c r="L20" s="2057">
        <f t="shared" si="1"/>
        <v>182696474.06999999</v>
      </c>
      <c r="M20" s="3419">
        <f t="shared" si="2"/>
        <v>6</v>
      </c>
      <c r="P20" s="1958"/>
      <c r="Q20" s="1958"/>
      <c r="R20" s="1958"/>
      <c r="X20" s="2127"/>
      <c r="Y20" s="2127"/>
      <c r="AA20" s="2128"/>
    </row>
    <row r="21" spans="1:27" ht="21.95" customHeight="1" x14ac:dyDescent="0.2">
      <c r="A21" s="3420">
        <f>'rekap MPU'!A352</f>
        <v>7</v>
      </c>
      <c r="B21" s="3366">
        <f t="shared" si="0"/>
        <v>7</v>
      </c>
      <c r="C21" s="3367"/>
      <c r="D21" s="3368" t="str">
        <f>'rekap MPU'!D368</f>
        <v>Memasang bekisting untuk balok (2x pakai)</v>
      </c>
      <c r="E21" s="3368"/>
      <c r="F21" s="3369"/>
      <c r="G21" s="2049">
        <f>'rekap MPU'!G368</f>
        <v>921.87499999999989</v>
      </c>
      <c r="H21" s="2050" t="str">
        <f>'rekap MPU'!H368</f>
        <v>m2</v>
      </c>
      <c r="I21" s="3370" t="str">
        <f>'rekap MPU'!I368</f>
        <v>A.4.1.1.23.</v>
      </c>
      <c r="J21" s="2055">
        <f>'rekap MPU'!J368</f>
        <v>194762.28</v>
      </c>
      <c r="K21" s="3371"/>
      <c r="L21" s="2057">
        <f t="shared" si="1"/>
        <v>179546476.88</v>
      </c>
      <c r="M21" s="3419">
        <f t="shared" si="2"/>
        <v>7</v>
      </c>
      <c r="P21" s="1958"/>
      <c r="Q21" s="1958"/>
      <c r="R21" s="1958"/>
      <c r="X21" s="2127"/>
      <c r="Y21" s="2127"/>
      <c r="AA21" s="2128"/>
    </row>
    <row r="22" spans="1:27" ht="21.95" customHeight="1" x14ac:dyDescent="0.2">
      <c r="A22" s="3420">
        <f>'rekap MPU'!A353</f>
        <v>9</v>
      </c>
      <c r="B22" s="3366">
        <f t="shared" si="0"/>
        <v>8</v>
      </c>
      <c r="C22" s="3367"/>
      <c r="D22" s="3368" t="str">
        <f>'rekap MPU'!D378</f>
        <v xml:space="preserve">Memasang kusen pintu/jendela alluminium </v>
      </c>
      <c r="E22" s="3368"/>
      <c r="F22" s="3369"/>
      <c r="G22" s="2049">
        <f>'rekap MPU'!G378</f>
        <v>1137.2</v>
      </c>
      <c r="H22" s="2050" t="str">
        <f>'rekap MPU'!H378</f>
        <v>m'</v>
      </c>
      <c r="I22" s="3370" t="str">
        <f>'rekap MPU'!I378</f>
        <v>A.4.2.1.11.</v>
      </c>
      <c r="J22" s="2055">
        <f>'rekap MPU'!J378</f>
        <v>152243.43000000002</v>
      </c>
      <c r="K22" s="3371"/>
      <c r="L22" s="2057">
        <f t="shared" si="1"/>
        <v>173131228.59999999</v>
      </c>
      <c r="M22" s="3419">
        <f t="shared" si="2"/>
        <v>8</v>
      </c>
      <c r="P22" s="1958"/>
      <c r="Q22" s="1958"/>
      <c r="R22" s="1958"/>
      <c r="X22" s="2127"/>
      <c r="Y22" s="2127"/>
      <c r="AA22" s="2128"/>
    </row>
    <row r="23" spans="1:27" ht="21.95" customHeight="1" x14ac:dyDescent="0.2">
      <c r="A23" s="3420">
        <f>'rekap MPU'!A354</f>
        <v>10</v>
      </c>
      <c r="B23" s="3366">
        <f t="shared" si="0"/>
        <v>9</v>
      </c>
      <c r="C23" s="3367"/>
      <c r="D23" s="3368" t="str">
        <f>'rekap MPU'!D424</f>
        <v>Memasang paving tb. 8 cm, K.250, polos</v>
      </c>
      <c r="E23" s="3368"/>
      <c r="F23" s="3369"/>
      <c r="G23" s="2049">
        <f>'rekap MPU'!G424</f>
        <v>806.53</v>
      </c>
      <c r="H23" s="2050" t="str">
        <f>'rekap MPU'!H424</f>
        <v>m2</v>
      </c>
      <c r="I23" s="3370" t="str">
        <f>'rekap MPU'!I424</f>
        <v>An. Dihitung</v>
      </c>
      <c r="J23" s="2055">
        <f>'rekap MPU'!J424</f>
        <v>206637.45</v>
      </c>
      <c r="K23" s="3371"/>
      <c r="L23" s="2057">
        <f t="shared" si="1"/>
        <v>166659302.55000001</v>
      </c>
      <c r="M23" s="3419">
        <f t="shared" si="2"/>
        <v>9</v>
      </c>
      <c r="P23" s="1958"/>
      <c r="Q23" s="1958"/>
      <c r="R23" s="1958"/>
      <c r="X23" s="2127"/>
      <c r="Y23" s="2127"/>
      <c r="AA23" s="2128"/>
    </row>
    <row r="24" spans="1:27" ht="21.95" customHeight="1" x14ac:dyDescent="0.2">
      <c r="A24" s="3420">
        <f>'rekap MPU'!A355</f>
        <v>11</v>
      </c>
      <c r="B24" s="3366">
        <f t="shared" si="0"/>
        <v>10</v>
      </c>
      <c r="C24" s="3367"/>
      <c r="D24" s="3368" t="str">
        <f>'rekap MPU'!D377</f>
        <v>Memasang rk. plafond besi hollow uk. (60x80) cm</v>
      </c>
      <c r="E24" s="3368"/>
      <c r="F24" s="3369"/>
      <c r="G24" s="2049">
        <f>'rekap MPU'!G377</f>
        <v>1616.9749999999999</v>
      </c>
      <c r="H24" s="2050" t="str">
        <f>'rekap MPU'!H377</f>
        <v>m2</v>
      </c>
      <c r="I24" s="3370" t="str">
        <f>'rekap MPU'!I377</f>
        <v>A.4.2.1.20.</v>
      </c>
      <c r="J24" s="2055">
        <f>'rekap MPU'!J377</f>
        <v>98134.85</v>
      </c>
      <c r="K24" s="3371"/>
      <c r="L24" s="2057">
        <f t="shared" si="1"/>
        <v>158681599.08000001</v>
      </c>
      <c r="M24" s="3419">
        <f t="shared" si="2"/>
        <v>10</v>
      </c>
      <c r="P24" s="1958"/>
      <c r="Q24" s="1958"/>
      <c r="R24" s="1958"/>
      <c r="X24" s="2127"/>
      <c r="Y24" s="2127"/>
      <c r="AA24" s="2128"/>
    </row>
    <row r="25" spans="1:27" ht="21.95" customHeight="1" x14ac:dyDescent="0.2">
      <c r="A25" s="3420">
        <f>'rekap MPU'!A356</f>
        <v>13</v>
      </c>
      <c r="B25" s="3366">
        <f t="shared" si="0"/>
        <v>11</v>
      </c>
      <c r="C25" s="3367"/>
      <c r="D25" s="3368" t="str">
        <f>'rekap MPU'!D362</f>
        <v>Membuat beton mutu f'c = 7,4 Mpa - K 100</v>
      </c>
      <c r="E25" s="3368"/>
      <c r="F25" s="3369"/>
      <c r="G25" s="2049">
        <f>'rekap MPU'!G362</f>
        <v>136.476</v>
      </c>
      <c r="H25" s="2050" t="str">
        <f>'rekap MPU'!H362</f>
        <v>m3</v>
      </c>
      <c r="I25" s="3370" t="str">
        <f>'rekap MPU'!I362</f>
        <v>A.4.1.1.1.</v>
      </c>
      <c r="J25" s="2055">
        <f>'rekap MPU'!J362</f>
        <v>958085.99</v>
      </c>
      <c r="K25" s="3371"/>
      <c r="L25" s="2057">
        <f t="shared" si="1"/>
        <v>130755743.56999999</v>
      </c>
      <c r="M25" s="3419">
        <f t="shared" si="2"/>
        <v>11</v>
      </c>
      <c r="P25" s="1958"/>
      <c r="Q25" s="1958"/>
      <c r="R25" s="1958"/>
      <c r="X25" s="2127"/>
      <c r="Y25" s="2127"/>
      <c r="AA25" s="2128"/>
    </row>
    <row r="26" spans="1:27" ht="21.95" customHeight="1" x14ac:dyDescent="0.2">
      <c r="A26" s="3420">
        <f>'rekap MPU'!A357</f>
        <v>14</v>
      </c>
      <c r="B26" s="3366">
        <f t="shared" si="0"/>
        <v>12</v>
      </c>
      <c r="C26" s="3367"/>
      <c r="D26" s="3368" t="str">
        <f>'rekap MPU'!D358</f>
        <v>Membuat dinding bt. merah t: 1/2bata, camp 1PC:8PP</v>
      </c>
      <c r="E26" s="3368"/>
      <c r="F26" s="3369"/>
      <c r="G26" s="2049">
        <f>'rekap MPU'!G358</f>
        <v>956.49250000000006</v>
      </c>
      <c r="H26" s="2050" t="str">
        <f>'rekap MPU'!H358</f>
        <v>m2</v>
      </c>
      <c r="I26" s="3370" t="str">
        <f>'rekap MPU'!I358</f>
        <v>A.4.4.1.12.</v>
      </c>
      <c r="J26" s="2055">
        <f>'rekap MPU'!J358</f>
        <v>129498</v>
      </c>
      <c r="K26" s="3371"/>
      <c r="L26" s="2057">
        <f t="shared" si="1"/>
        <v>123863865.77</v>
      </c>
      <c r="M26" s="3419">
        <f t="shared" si="2"/>
        <v>12</v>
      </c>
      <c r="P26" s="1958"/>
      <c r="Q26" s="1958"/>
      <c r="R26" s="1958"/>
      <c r="X26" s="2127"/>
      <c r="Y26" s="2127"/>
      <c r="AA26" s="2128"/>
    </row>
    <row r="27" spans="1:27" ht="21.95" customHeight="1" x14ac:dyDescent="0.2">
      <c r="A27" s="3420">
        <f>'rekap MPU'!A358</f>
        <v>15</v>
      </c>
      <c r="B27" s="3366">
        <f t="shared" si="0"/>
        <v>13</v>
      </c>
      <c r="C27" s="3367"/>
      <c r="D27" s="3368" t="str">
        <f>'rekap MPU'!D440</f>
        <v>Memasang Unit AC 1 PK</v>
      </c>
      <c r="E27" s="3368"/>
      <c r="F27" s="3369"/>
      <c r="G27" s="2049">
        <f>'rekap MPU'!G440</f>
        <v>25</v>
      </c>
      <c r="H27" s="2050" t="str">
        <f>'rekap MPU'!H440</f>
        <v>unit</v>
      </c>
      <c r="I27" s="3370" t="str">
        <f>'rekap MPU'!I440</f>
        <v>Daftar harga</v>
      </c>
      <c r="J27" s="2055">
        <f>'rekap MPU'!J440</f>
        <v>4950000</v>
      </c>
      <c r="K27" s="3371"/>
      <c r="L27" s="2057">
        <f t="shared" si="1"/>
        <v>123750000</v>
      </c>
      <c r="M27" s="3419">
        <f t="shared" si="2"/>
        <v>13</v>
      </c>
      <c r="P27" s="1958"/>
      <c r="Q27" s="1958"/>
      <c r="R27" s="1958"/>
      <c r="X27" s="2127"/>
      <c r="Y27" s="2127"/>
      <c r="AA27" s="2128"/>
    </row>
    <row r="28" spans="1:27" ht="21.95" customHeight="1" x14ac:dyDescent="0.2">
      <c r="A28" s="3420">
        <f>'rekap MPU'!A359</f>
        <v>17</v>
      </c>
      <c r="B28" s="3366">
        <f t="shared" si="0"/>
        <v>14</v>
      </c>
      <c r="C28" s="3367"/>
      <c r="D28" s="3368" t="str">
        <f>'rekap MPU'!D359</f>
        <v>Memasang plesteran 1 PC : 6 PP, tebal 15 mm</v>
      </c>
      <c r="E28" s="3368"/>
      <c r="F28" s="3369"/>
      <c r="G28" s="2049">
        <f>'rekap MPU'!G359</f>
        <v>1912.9850000000001</v>
      </c>
      <c r="H28" s="2050" t="str">
        <f>'rekap MPU'!H359</f>
        <v>m2</v>
      </c>
      <c r="I28" s="3370" t="str">
        <f>'rekap MPU'!I359</f>
        <v>A.4.4.2.6.</v>
      </c>
      <c r="J28" s="2055">
        <f>'rekap MPU'!J359</f>
        <v>62262.1</v>
      </c>
      <c r="K28" s="3371"/>
      <c r="L28" s="2057">
        <f t="shared" si="1"/>
        <v>119106463.37</v>
      </c>
      <c r="M28" s="3419">
        <f t="shared" si="2"/>
        <v>14</v>
      </c>
      <c r="P28" s="1958"/>
      <c r="Q28" s="1958"/>
      <c r="R28" s="1958"/>
      <c r="X28" s="2127"/>
      <c r="Y28" s="2127"/>
      <c r="AA28" s="2128"/>
    </row>
    <row r="29" spans="1:27" ht="21.95" customHeight="1" x14ac:dyDescent="0.2">
      <c r="A29" s="3420">
        <f>'rekap MPU'!A360</f>
        <v>18</v>
      </c>
      <c r="B29" s="3366">
        <f t="shared" si="0"/>
        <v>15</v>
      </c>
      <c r="C29" s="3367"/>
      <c r="D29" s="3368" t="str">
        <f>'rekap MPU'!D428</f>
        <v>Pemasangan GRC Listplank</v>
      </c>
      <c r="E29" s="3368"/>
      <c r="F29" s="3369"/>
      <c r="G29" s="2049">
        <f>'rekap MPU'!G428</f>
        <v>176.3</v>
      </c>
      <c r="H29" s="2050" t="str">
        <f>'rekap MPU'!H428</f>
        <v>m'</v>
      </c>
      <c r="I29" s="3370" t="str">
        <f>'rekap MPU'!I428</f>
        <v>Daftar harga</v>
      </c>
      <c r="J29" s="2055">
        <f>'rekap MPU'!J428</f>
        <v>640000</v>
      </c>
      <c r="K29" s="3371"/>
      <c r="L29" s="2057">
        <f t="shared" si="1"/>
        <v>112832000</v>
      </c>
      <c r="M29" s="3419">
        <f t="shared" si="2"/>
        <v>15</v>
      </c>
      <c r="P29" s="1958"/>
      <c r="Q29" s="1958"/>
      <c r="R29" s="1958"/>
      <c r="X29" s="2127"/>
      <c r="Y29" s="2127"/>
      <c r="AA29" s="2128"/>
    </row>
    <row r="30" spans="1:27" ht="21.95" customHeight="1" x14ac:dyDescent="0.2">
      <c r="A30" s="3420">
        <f>'rekap MPU'!A361</f>
        <v>19</v>
      </c>
      <c r="B30" s="3366">
        <f t="shared" si="0"/>
        <v>16</v>
      </c>
      <c r="C30" s="3367"/>
      <c r="D30" s="3368" t="str">
        <f>'rekap MPU'!D390</f>
        <v>Memasang penutup atap galvalum pasir</v>
      </c>
      <c r="E30" s="3368"/>
      <c r="F30" s="3369"/>
      <c r="G30" s="2049">
        <f>'rekap MPU'!G390</f>
        <v>974.54500000000007</v>
      </c>
      <c r="H30" s="2050" t="str">
        <f>'rekap MPU'!H390</f>
        <v>m2</v>
      </c>
      <c r="I30" s="3370" t="str">
        <f>'rekap MPU'!I390</f>
        <v>An. Dihitung</v>
      </c>
      <c r="J30" s="2055">
        <f>'rekap MPU'!J390</f>
        <v>108751.2</v>
      </c>
      <c r="K30" s="3371"/>
      <c r="L30" s="2057">
        <f t="shared" si="1"/>
        <v>105982938.2</v>
      </c>
      <c r="M30" s="3419">
        <f t="shared" si="2"/>
        <v>16</v>
      </c>
      <c r="P30" s="1958"/>
      <c r="Q30" s="1958"/>
      <c r="R30" s="1958"/>
      <c r="X30" s="2127"/>
      <c r="Y30" s="2127"/>
      <c r="AA30" s="2128"/>
    </row>
    <row r="31" spans="1:27" ht="21.95" customHeight="1" x14ac:dyDescent="0.2">
      <c r="A31" s="3420">
        <f>'rekap MPU'!A362</f>
        <v>20</v>
      </c>
      <c r="B31" s="3366">
        <f t="shared" si="0"/>
        <v>17</v>
      </c>
      <c r="C31" s="3367"/>
      <c r="D31" s="3368" t="str">
        <f>'rekap MPU'!D382</f>
        <v>Membuat dinding partisi gypsum 9mm double</v>
      </c>
      <c r="E31" s="3368"/>
      <c r="F31" s="3369"/>
      <c r="G31" s="2049">
        <f>'rekap MPU'!G382</f>
        <v>484.13350000000003</v>
      </c>
      <c r="H31" s="2050" t="str">
        <f>'rekap MPU'!H382</f>
        <v>m2</v>
      </c>
      <c r="I31" s="3370" t="str">
        <f>'rekap MPU'!I382</f>
        <v>A.4.2.1.20.</v>
      </c>
      <c r="J31" s="2055">
        <f>'rekap MPU'!J382</f>
        <v>210845.94</v>
      </c>
      <c r="K31" s="3371"/>
      <c r="L31" s="2057">
        <f t="shared" si="1"/>
        <v>102077582.89</v>
      </c>
      <c r="M31" s="3419">
        <f t="shared" si="2"/>
        <v>17</v>
      </c>
      <c r="P31" s="1958"/>
      <c r="Q31" s="1958"/>
      <c r="R31" s="1958"/>
      <c r="X31" s="2127"/>
      <c r="Y31" s="2127"/>
      <c r="AA31" s="2128"/>
    </row>
    <row r="32" spans="1:27" ht="21.95" customHeight="1" x14ac:dyDescent="0.2">
      <c r="A32" s="3420">
        <f>'rekap MPU'!A363</f>
        <v>21</v>
      </c>
      <c r="B32" s="3366">
        <f t="shared" si="0"/>
        <v>18</v>
      </c>
      <c r="C32" s="3367"/>
      <c r="D32" s="3368" t="str">
        <f>'rekap MPU'!D353</f>
        <v>Urug tanah padat dan dipadatkan</v>
      </c>
      <c r="E32" s="3368"/>
      <c r="F32" s="3369"/>
      <c r="G32" s="2049">
        <f>'rekap MPU'!G353</f>
        <v>631.13400000000001</v>
      </c>
      <c r="H32" s="2050" t="str">
        <f>'rekap MPU'!H353</f>
        <v>m3</v>
      </c>
      <c r="I32" s="3370" t="str">
        <f>'rekap MPU'!I353</f>
        <v>An. Dihitung</v>
      </c>
      <c r="J32" s="2055">
        <f>'rekap MPU'!J353</f>
        <v>148301.20000000001</v>
      </c>
      <c r="K32" s="3371"/>
      <c r="L32" s="2057">
        <f t="shared" si="1"/>
        <v>93597929.560000002</v>
      </c>
      <c r="M32" s="3419">
        <f t="shared" si="2"/>
        <v>18</v>
      </c>
      <c r="P32" s="1958"/>
      <c r="Q32" s="1958"/>
      <c r="R32" s="1958"/>
      <c r="X32" s="2127"/>
      <c r="Y32" s="2127"/>
      <c r="AA32" s="2128"/>
    </row>
    <row r="33" spans="1:27" ht="21.95" customHeight="1" x14ac:dyDescent="0.2">
      <c r="A33" s="3420">
        <f>'rekap MPU'!A364</f>
        <v>22</v>
      </c>
      <c r="B33" s="3366">
        <f t="shared" si="0"/>
        <v>19</v>
      </c>
      <c r="C33" s="3367"/>
      <c r="D33" s="3368" t="str">
        <f>'rekap MPU'!D373</f>
        <v>Memasang langit-langit gypsum board uk. (120x240), tb. 9 mm.</v>
      </c>
      <c r="E33" s="3368"/>
      <c r="F33" s="3369"/>
      <c r="G33" s="2049">
        <f>'rekap MPU'!G373</f>
        <v>1583.4</v>
      </c>
      <c r="H33" s="2050" t="str">
        <f>'rekap MPU'!H373</f>
        <v>m2</v>
      </c>
      <c r="I33" s="3370" t="str">
        <f>'rekap MPU'!I373</f>
        <v>A.4.5.1.7.</v>
      </c>
      <c r="J33" s="2055">
        <f>'rekap MPU'!J373</f>
        <v>54047.9</v>
      </c>
      <c r="K33" s="3371"/>
      <c r="L33" s="2057">
        <f t="shared" si="1"/>
        <v>85579444.859999999</v>
      </c>
      <c r="M33" s="3419">
        <f t="shared" si="2"/>
        <v>19</v>
      </c>
      <c r="P33" s="1958"/>
      <c r="Q33" s="1958"/>
      <c r="R33" s="1958"/>
      <c r="X33" s="2127"/>
      <c r="Y33" s="2127"/>
      <c r="AA33" s="2128"/>
    </row>
    <row r="34" spans="1:27" ht="21.95" customHeight="1" x14ac:dyDescent="0.2">
      <c r="A34" s="3420">
        <f>'rekap MPU'!A365</f>
        <v>23</v>
      </c>
      <c r="B34" s="3366">
        <f t="shared" si="0"/>
        <v>20</v>
      </c>
      <c r="C34" s="3367"/>
      <c r="D34" s="3368" t="str">
        <f>'rekap MPU'!D405</f>
        <v>Pengecatan dinding dalam (cat interior)</v>
      </c>
      <c r="E34" s="3368"/>
      <c r="F34" s="3369"/>
      <c r="G34" s="2049">
        <f>'rekap MPU'!G405</f>
        <v>3514.567</v>
      </c>
      <c r="H34" s="2050" t="str">
        <f>'rekap MPU'!H405</f>
        <v>m2</v>
      </c>
      <c r="I34" s="3370" t="str">
        <f>'rekap MPU'!I405</f>
        <v>A.4.7.1.10.</v>
      </c>
      <c r="J34" s="2055">
        <f>'rekap MPU'!J405</f>
        <v>23041.599999999999</v>
      </c>
      <c r="K34" s="3371"/>
      <c r="L34" s="2057">
        <f t="shared" si="1"/>
        <v>80981246.989999995</v>
      </c>
      <c r="M34" s="3419">
        <f t="shared" si="2"/>
        <v>20</v>
      </c>
      <c r="P34" s="1958"/>
      <c r="Q34" s="1958"/>
      <c r="R34" s="1958"/>
      <c r="X34" s="2127"/>
      <c r="Y34" s="2127"/>
      <c r="AA34" s="2128"/>
    </row>
    <row r="35" spans="1:27" ht="21.95" customHeight="1" x14ac:dyDescent="0.2">
      <c r="A35" s="3420">
        <f>'rekap MPU'!A366</f>
        <v>24</v>
      </c>
      <c r="B35" s="3366">
        <f t="shared" si="0"/>
        <v>21</v>
      </c>
      <c r="C35" s="3367"/>
      <c r="D35" s="3368" t="str">
        <f>'rekap MPU'!D439</f>
        <v>Penyambungan Daya PLN Tegangan Rendah (TR) 3 phase 44 KVA</v>
      </c>
      <c r="E35" s="3368"/>
      <c r="F35" s="3369"/>
      <c r="G35" s="2049">
        <f>'rekap MPU'!G439</f>
        <v>44000</v>
      </c>
      <c r="H35" s="2050" t="str">
        <f>'rekap MPU'!H439</f>
        <v>va</v>
      </c>
      <c r="I35" s="3370" t="str">
        <f>'rekap MPU'!I439</f>
        <v>Daftar harga</v>
      </c>
      <c r="J35" s="2055">
        <f>'rekap MPU'!J439</f>
        <v>1564.5</v>
      </c>
      <c r="K35" s="3371"/>
      <c r="L35" s="2057">
        <f t="shared" si="1"/>
        <v>68838000</v>
      </c>
      <c r="M35" s="3419">
        <f t="shared" si="2"/>
        <v>21</v>
      </c>
      <c r="P35" s="1958"/>
      <c r="Q35" s="1958"/>
      <c r="R35" s="1958"/>
      <c r="X35" s="2127"/>
      <c r="Y35" s="2127"/>
      <c r="AA35" s="2128"/>
    </row>
    <row r="36" spans="1:27" ht="21.95" customHeight="1" x14ac:dyDescent="0.2">
      <c r="A36" s="3420">
        <f>'rekap MPU'!A367</f>
        <v>25</v>
      </c>
      <c r="B36" s="3366">
        <f t="shared" si="0"/>
        <v>22</v>
      </c>
      <c r="C36" s="3367"/>
      <c r="D36" s="3368" t="str">
        <f>'rekap MPU'!D360</f>
        <v>Memasang acian</v>
      </c>
      <c r="E36" s="3368"/>
      <c r="F36" s="3369"/>
      <c r="G36" s="2049">
        <f>'rekap MPU'!G360</f>
        <v>1853.4769999999999</v>
      </c>
      <c r="H36" s="2050" t="str">
        <f>'rekap MPU'!H360</f>
        <v>m2</v>
      </c>
      <c r="I36" s="3370" t="str">
        <f>'rekap MPU'!I360</f>
        <v>A.4.4.2.27.</v>
      </c>
      <c r="J36" s="2055">
        <f>'rekap MPU'!J360</f>
        <v>36634.6</v>
      </c>
      <c r="K36" s="3371"/>
      <c r="L36" s="2057">
        <f t="shared" si="1"/>
        <v>67901388.5</v>
      </c>
      <c r="M36" s="3419">
        <f t="shared" si="2"/>
        <v>22</v>
      </c>
      <c r="P36" s="1958"/>
      <c r="Q36" s="1958"/>
      <c r="R36" s="1958"/>
      <c r="X36" s="2127"/>
      <c r="Y36" s="2127"/>
      <c r="AA36" s="2128"/>
    </row>
    <row r="37" spans="1:27" ht="21.95" customHeight="1" x14ac:dyDescent="0.2">
      <c r="A37" s="3420">
        <f>'rekap MPU'!A368</f>
        <v>26</v>
      </c>
      <c r="B37" s="3366">
        <f t="shared" si="0"/>
        <v>23</v>
      </c>
      <c r="C37" s="3367"/>
      <c r="D37" s="3368" t="str">
        <f>'rekap MPU'!D380</f>
        <v>Memasang pintu kaca es rangka alluminium</v>
      </c>
      <c r="E37" s="3368"/>
      <c r="F37" s="3369"/>
      <c r="G37" s="2049">
        <f>'rekap MPU'!G380</f>
        <v>69.94</v>
      </c>
      <c r="H37" s="2050" t="str">
        <f>'rekap MPU'!H380</f>
        <v>m2</v>
      </c>
      <c r="I37" s="3370" t="str">
        <f>'rekap MPU'!I380</f>
        <v>An. Dihitung</v>
      </c>
      <c r="J37" s="2055">
        <f>'rekap MPU'!J380</f>
        <v>853707.66</v>
      </c>
      <c r="K37" s="3371"/>
      <c r="L37" s="2057">
        <f t="shared" si="1"/>
        <v>59708313.740000002</v>
      </c>
      <c r="M37" s="3419">
        <f t="shared" si="2"/>
        <v>23</v>
      </c>
      <c r="P37" s="1958"/>
      <c r="Q37" s="1958"/>
      <c r="R37" s="1958"/>
      <c r="X37" s="2127"/>
      <c r="Y37" s="2127"/>
      <c r="AA37" s="2128"/>
    </row>
    <row r="38" spans="1:27" ht="21.95" customHeight="1" x14ac:dyDescent="0.2">
      <c r="A38" s="3420">
        <f>'rekap MPU'!A369</f>
        <v>27</v>
      </c>
      <c r="B38" s="3366">
        <f t="shared" si="0"/>
        <v>24</v>
      </c>
      <c r="C38" s="3367"/>
      <c r="D38" s="3368" t="str">
        <f>'rekap MPU'!D367</f>
        <v>Memasang bekisting untuk kolom (2 kali pakai)</v>
      </c>
      <c r="E38" s="3368"/>
      <c r="F38" s="3369"/>
      <c r="G38" s="2049">
        <f>'rekap MPU'!G367</f>
        <v>278.40000000000003</v>
      </c>
      <c r="H38" s="2050" t="str">
        <f>'rekap MPU'!H367</f>
        <v>m2</v>
      </c>
      <c r="I38" s="3370" t="str">
        <f>'rekap MPU'!I367</f>
        <v>A.4.1.1.22.</v>
      </c>
      <c r="J38" s="2055">
        <f>'rekap MPU'!J367</f>
        <v>192050.28</v>
      </c>
      <c r="K38" s="3371"/>
      <c r="L38" s="2057">
        <f t="shared" si="1"/>
        <v>53466797.950000003</v>
      </c>
      <c r="M38" s="3419">
        <f t="shared" si="2"/>
        <v>24</v>
      </c>
      <c r="P38" s="1958"/>
      <c r="Q38" s="1958"/>
      <c r="R38" s="1958"/>
      <c r="X38" s="2127"/>
      <c r="Y38" s="2127"/>
      <c r="AA38" s="2128"/>
    </row>
    <row r="39" spans="1:27" ht="21.95" customHeight="1" x14ac:dyDescent="0.2">
      <c r="A39" s="3420">
        <f>'rekap MPU'!A370</f>
        <v>27</v>
      </c>
      <c r="B39" s="3366">
        <f t="shared" si="0"/>
        <v>25</v>
      </c>
      <c r="C39" s="3367"/>
      <c r="D39" s="3368" t="str">
        <f>'rekap MPU'!D406</f>
        <v>Pengecatan dinding luar (cat exterior)</v>
      </c>
      <c r="E39" s="3368"/>
      <c r="F39" s="3369"/>
      <c r="G39" s="2049">
        <f>'rekap MPU'!G406</f>
        <v>917.44</v>
      </c>
      <c r="H39" s="2050" t="str">
        <f>'rekap MPU'!H406</f>
        <v>m2</v>
      </c>
      <c r="I39" s="3370" t="str">
        <f>'rekap MPU'!I406</f>
        <v>A.4.7.1.10a.</v>
      </c>
      <c r="J39" s="2055">
        <f>'rekap MPU'!J406</f>
        <v>56348.350000000006</v>
      </c>
      <c r="K39" s="3371"/>
      <c r="L39" s="2057">
        <f t="shared" si="1"/>
        <v>51696230.219999999</v>
      </c>
      <c r="M39" s="3419">
        <f t="shared" si="2"/>
        <v>25</v>
      </c>
      <c r="P39" s="1958"/>
      <c r="Q39" s="1958"/>
      <c r="R39" s="1958"/>
      <c r="X39" s="2127"/>
      <c r="Y39" s="2127"/>
      <c r="AA39" s="2128"/>
    </row>
    <row r="40" spans="1:27" ht="21.95" customHeight="1" x14ac:dyDescent="0.2">
      <c r="A40" s="3420">
        <f>'rekap MPU'!A371</f>
        <v>28</v>
      </c>
      <c r="B40" s="3366">
        <f t="shared" si="0"/>
        <v>26</v>
      </c>
      <c r="C40" s="3367"/>
      <c r="D40" s="3368" t="str">
        <f>'rekap MPU'!D408</f>
        <v>Instalasi kabel power (4x70mm)</v>
      </c>
      <c r="E40" s="3368"/>
      <c r="F40" s="3369"/>
      <c r="G40" s="2049">
        <f>'rekap MPU'!G408</f>
        <v>61.3</v>
      </c>
      <c r="H40" s="2050" t="str">
        <f>'rekap MPU'!H408</f>
        <v>ttk</v>
      </c>
      <c r="I40" s="3370" t="str">
        <f>'rekap MPU'!I408</f>
        <v>An. Dihitung</v>
      </c>
      <c r="J40" s="2055">
        <f>'rekap MPU'!J408</f>
        <v>841092.9</v>
      </c>
      <c r="K40" s="3371"/>
      <c r="L40" s="2057">
        <f t="shared" si="1"/>
        <v>51558994.770000003</v>
      </c>
      <c r="M40" s="3419">
        <f t="shared" si="2"/>
        <v>26</v>
      </c>
      <c r="P40" s="1958"/>
      <c r="Q40" s="1958"/>
      <c r="R40" s="1958"/>
      <c r="X40" s="2127"/>
      <c r="Y40" s="2127"/>
      <c r="AA40" s="2128"/>
    </row>
    <row r="41" spans="1:27" ht="21.95" customHeight="1" x14ac:dyDescent="0.2">
      <c r="A41" s="3420">
        <f>'rekap MPU'!A372</f>
        <v>29</v>
      </c>
      <c r="B41" s="3366">
        <f t="shared" si="0"/>
        <v>27</v>
      </c>
      <c r="C41" s="3367"/>
      <c r="D41" s="3368" t="str">
        <f>'rekap MPU'!D393</f>
        <v>Memasang kloset duduk/monoblok dan aksesoris</v>
      </c>
      <c r="E41" s="3368"/>
      <c r="F41" s="3369"/>
      <c r="G41" s="2049">
        <f>'rekap MPU'!G393</f>
        <v>15</v>
      </c>
      <c r="H41" s="2050" t="str">
        <f>'rekap MPU'!H393</f>
        <v>bh</v>
      </c>
      <c r="I41" s="3370" t="str">
        <f>'rekap MPU'!I393</f>
        <v>A.5.1.1.1.</v>
      </c>
      <c r="J41" s="2055">
        <f>'rekap MPU'!J393</f>
        <v>3373897.5</v>
      </c>
      <c r="K41" s="3371"/>
      <c r="L41" s="2057">
        <f t="shared" si="1"/>
        <v>50608462.5</v>
      </c>
      <c r="M41" s="3419">
        <f t="shared" si="2"/>
        <v>27</v>
      </c>
      <c r="P41" s="1958"/>
      <c r="Q41" s="1958"/>
      <c r="R41" s="1958"/>
      <c r="X41" s="2127"/>
      <c r="Y41" s="2127"/>
      <c r="AA41" s="2128"/>
    </row>
    <row r="42" spans="1:27" ht="21.95" customHeight="1" x14ac:dyDescent="0.2">
      <c r="A42" s="3420">
        <f>'rekap MPU'!A373</f>
        <v>30</v>
      </c>
      <c r="B42" s="3366">
        <f t="shared" si="0"/>
        <v>28</v>
      </c>
      <c r="C42" s="3367"/>
      <c r="D42" s="3368" t="str">
        <f>'rekap MPU'!D366</f>
        <v>Memasang bekisting untuk sloof (2 kali pakai)</v>
      </c>
      <c r="E42" s="3368"/>
      <c r="F42" s="3369"/>
      <c r="G42" s="2049">
        <f>'rekap MPU'!G366</f>
        <v>413.8</v>
      </c>
      <c r="H42" s="2050" t="str">
        <f>'rekap MPU'!H366</f>
        <v>m2</v>
      </c>
      <c r="I42" s="3370" t="str">
        <f>'rekap MPU'!I366</f>
        <v>A.4.1.1.21.</v>
      </c>
      <c r="J42" s="2055">
        <f>'rekap MPU'!J366</f>
        <v>118889.56</v>
      </c>
      <c r="K42" s="3371"/>
      <c r="L42" s="2057">
        <f t="shared" si="1"/>
        <v>49196499.93</v>
      </c>
      <c r="M42" s="3419">
        <f t="shared" si="2"/>
        <v>28</v>
      </c>
      <c r="P42" s="1958"/>
      <c r="Q42" s="1958"/>
      <c r="R42" s="1958"/>
      <c r="X42" s="2127"/>
      <c r="Y42" s="2127"/>
      <c r="AA42" s="2128"/>
    </row>
    <row r="43" spans="1:27" ht="21.95" customHeight="1" x14ac:dyDescent="0.2">
      <c r="A43" s="3420">
        <f>'rekap MPU'!A374</f>
        <v>31</v>
      </c>
      <c r="B43" s="3366">
        <f t="shared" si="0"/>
        <v>29</v>
      </c>
      <c r="C43" s="3367"/>
      <c r="D43" s="3368" t="str">
        <f>'rekap MPU'!D383</f>
        <v>Memasang plint lantai Homogenius tile uk. (10 x 60) cm</v>
      </c>
      <c r="E43" s="3368"/>
      <c r="F43" s="3369"/>
      <c r="G43" s="2049">
        <f>'rekap MPU'!G383</f>
        <v>1258.5999999999992</v>
      </c>
      <c r="H43" s="2050" t="str">
        <f>'rekap MPU'!H383</f>
        <v>m'</v>
      </c>
      <c r="I43" s="3370" t="str">
        <f>'rekap MPU'!I383</f>
        <v>A.4.4.3.28.a.</v>
      </c>
      <c r="J43" s="2055">
        <f>'rekap MPU'!J383</f>
        <v>38068.57</v>
      </c>
      <c r="K43" s="3371"/>
      <c r="L43" s="2057">
        <f t="shared" si="1"/>
        <v>47913102.200000003</v>
      </c>
      <c r="M43" s="3419">
        <f t="shared" si="2"/>
        <v>29</v>
      </c>
      <c r="P43" s="1958"/>
      <c r="Q43" s="1958"/>
      <c r="R43" s="1958"/>
      <c r="X43" s="2127"/>
      <c r="Y43" s="2127"/>
      <c r="AA43" s="2128"/>
    </row>
    <row r="44" spans="1:27" ht="21.95" customHeight="1" x14ac:dyDescent="0.2">
      <c r="A44" s="3420">
        <f>'rekap MPU'!A375</f>
        <v>32</v>
      </c>
      <c r="B44" s="3366">
        <f t="shared" si="0"/>
        <v>30</v>
      </c>
      <c r="C44" s="3367"/>
      <c r="D44" s="3368" t="str">
        <f>'rekap MPU'!D420</f>
        <v>Memasang downlight LED 17 watt tipe inbow</v>
      </c>
      <c r="E44" s="3368"/>
      <c r="F44" s="3369"/>
      <c r="G44" s="2049">
        <f>'rekap MPU'!G420</f>
        <v>238</v>
      </c>
      <c r="H44" s="2050" t="str">
        <f>'rekap MPU'!H420</f>
        <v>ttk</v>
      </c>
      <c r="I44" s="3370" t="str">
        <f>'rekap MPU'!I420</f>
        <v>An. Dihitung</v>
      </c>
      <c r="J44" s="2055">
        <f>'rekap MPU'!J420</f>
        <v>186709.9</v>
      </c>
      <c r="K44" s="3371"/>
      <c r="L44" s="2057">
        <f t="shared" si="1"/>
        <v>44436956.200000003</v>
      </c>
      <c r="M44" s="3419">
        <f t="shared" si="2"/>
        <v>30</v>
      </c>
      <c r="P44" s="1958"/>
      <c r="Q44" s="1958"/>
      <c r="R44" s="1958"/>
      <c r="X44" s="2127"/>
      <c r="Y44" s="2127"/>
      <c r="AA44" s="2128"/>
    </row>
    <row r="45" spans="1:27" ht="21.95" customHeight="1" x14ac:dyDescent="0.2">
      <c r="A45" s="3420">
        <f>'rekap MPU'!A376</f>
        <v>33</v>
      </c>
      <c r="B45" s="3366">
        <f t="shared" si="0"/>
        <v>31</v>
      </c>
      <c r="C45" s="3367"/>
      <c r="D45" s="3368" t="str">
        <f>'rekap MPU'!D371</f>
        <v>Membuat kolom praktis beton bertulang 11/11 cm</v>
      </c>
      <c r="E45" s="3368"/>
      <c r="F45" s="3369"/>
      <c r="G45" s="2049">
        <f>'rekap MPU'!G371</f>
        <v>364.79999999999995</v>
      </c>
      <c r="H45" s="2050" t="str">
        <f>'rekap MPU'!H371</f>
        <v>m'</v>
      </c>
      <c r="I45" s="3370" t="str">
        <f>'rekap MPU'!I371</f>
        <v>A.4.1.1.35.</v>
      </c>
      <c r="J45" s="2055">
        <f>'rekap MPU'!J371</f>
        <v>112610.15</v>
      </c>
      <c r="K45" s="3371"/>
      <c r="L45" s="2057">
        <f t="shared" si="1"/>
        <v>41080182.719999999</v>
      </c>
      <c r="M45" s="3419">
        <f t="shared" si="2"/>
        <v>31</v>
      </c>
      <c r="P45" s="1958"/>
      <c r="Q45" s="1958"/>
      <c r="R45" s="1958"/>
      <c r="X45" s="2127"/>
      <c r="Y45" s="2127"/>
      <c r="AA45" s="2128"/>
    </row>
    <row r="46" spans="1:27" ht="21.95" customHeight="1" x14ac:dyDescent="0.2">
      <c r="A46" s="3420">
        <f>'rekap MPU'!A377</f>
        <v>34</v>
      </c>
      <c r="B46" s="3366">
        <f t="shared" si="0"/>
        <v>32</v>
      </c>
      <c r="C46" s="3367"/>
      <c r="D46" s="3368" t="str">
        <f>'rekap MPU'!D355</f>
        <v>Memasang pondasi batu belah, campuran 1 PC : 6 PP</v>
      </c>
      <c r="E46" s="3368"/>
      <c r="F46" s="3369"/>
      <c r="G46" s="2049">
        <f>'rekap MPU'!G355</f>
        <v>44.044000000000004</v>
      </c>
      <c r="H46" s="2050" t="str">
        <f>'rekap MPU'!H355</f>
        <v>m3</v>
      </c>
      <c r="I46" s="3370" t="str">
        <f>'rekap MPU'!I355</f>
        <v>A.3.2.1.4.</v>
      </c>
      <c r="J46" s="2055">
        <f>'rekap MPU'!J355</f>
        <v>931300.8</v>
      </c>
      <c r="K46" s="3371"/>
      <c r="L46" s="2057">
        <f t="shared" si="1"/>
        <v>41018212.439999998</v>
      </c>
      <c r="M46" s="3419">
        <f t="shared" si="2"/>
        <v>32</v>
      </c>
      <c r="P46" s="1958"/>
      <c r="Q46" s="1958"/>
      <c r="R46" s="1958"/>
      <c r="X46" s="2127"/>
      <c r="Y46" s="2127"/>
      <c r="AA46" s="2128"/>
    </row>
    <row r="47" spans="1:27" ht="21.95" customHeight="1" x14ac:dyDescent="0.2">
      <c r="A47" s="3420">
        <f>'rekap MPU'!A378</f>
        <v>35</v>
      </c>
      <c r="B47" s="3366">
        <f t="shared" ref="B47:B78" si="3">B46+1</f>
        <v>33</v>
      </c>
      <c r="C47" s="3367"/>
      <c r="D47" s="3368" t="str">
        <f>'rekap MPU'!D351</f>
        <v>Menggali tanah biasa sedalam 2 m'</v>
      </c>
      <c r="E47" s="3368"/>
      <c r="F47" s="3369"/>
      <c r="G47" s="2049">
        <f>'rekap MPU'!G351</f>
        <v>415</v>
      </c>
      <c r="H47" s="2050" t="str">
        <f>'rekap MPU'!H351</f>
        <v>m3</v>
      </c>
      <c r="I47" s="3370" t="str">
        <f>'rekap MPU'!I351</f>
        <v>A.2.3.1.2.</v>
      </c>
      <c r="J47" s="2055">
        <f>'rekap MPU'!J351</f>
        <v>94377.600000000006</v>
      </c>
      <c r="K47" s="3371"/>
      <c r="L47" s="2057">
        <f t="shared" ref="L47:L78" si="4">ROUND((G47*J47),2)</f>
        <v>39166704</v>
      </c>
      <c r="M47" s="3419">
        <f t="shared" ref="M47:M78" si="5">RANK(L47,$L$15:$L$112,0)</f>
        <v>33</v>
      </c>
      <c r="P47" s="1958"/>
      <c r="Q47" s="1958"/>
      <c r="R47" s="1958"/>
      <c r="X47" s="2127"/>
      <c r="Y47" s="2127"/>
      <c r="AA47" s="2128"/>
    </row>
    <row r="48" spans="1:27" ht="21.95" customHeight="1" x14ac:dyDescent="0.2">
      <c r="A48" s="3420">
        <f>'rekap MPU'!A379</f>
        <v>36</v>
      </c>
      <c r="B48" s="3366">
        <f t="shared" si="3"/>
        <v>34</v>
      </c>
      <c r="C48" s="3367"/>
      <c r="D48" s="3368" t="str">
        <f>'rekap MPU'!D392</f>
        <v>Pasang aluminium foil/sisalation</v>
      </c>
      <c r="E48" s="3368"/>
      <c r="F48" s="3369"/>
      <c r="G48" s="2049">
        <f>'rekap MPU'!G392</f>
        <v>974.54500000000007</v>
      </c>
      <c r="H48" s="2050" t="str">
        <f>'rekap MPU'!H392</f>
        <v>m2</v>
      </c>
      <c r="I48" s="3370" t="str">
        <f>'rekap MPU'!I392</f>
        <v>A.4.5.2.43.</v>
      </c>
      <c r="J48" s="2055">
        <f>'rekap MPU'!J392</f>
        <v>38843.75</v>
      </c>
      <c r="K48" s="3371"/>
      <c r="L48" s="2057">
        <f t="shared" si="4"/>
        <v>37854982.340000004</v>
      </c>
      <c r="M48" s="3419">
        <f t="shared" si="5"/>
        <v>34</v>
      </c>
      <c r="P48" s="1958"/>
      <c r="Q48" s="1958"/>
      <c r="R48" s="1958"/>
      <c r="X48" s="2127"/>
      <c r="Y48" s="2127"/>
      <c r="AA48" s="2128"/>
    </row>
    <row r="49" spans="1:27" ht="21.95" customHeight="1" x14ac:dyDescent="0.2">
      <c r="A49" s="3420">
        <f>'rekap MPU'!A380</f>
        <v>37</v>
      </c>
      <c r="B49" s="3366">
        <f t="shared" si="3"/>
        <v>35</v>
      </c>
      <c r="C49" s="3367"/>
      <c r="D49" s="3368" t="str">
        <f>'rekap MPU'!D388</f>
        <v>Memasang dinding Homogenius tile  uk. (30x60) cm</v>
      </c>
      <c r="E49" s="3368"/>
      <c r="F49" s="3369"/>
      <c r="G49" s="2049">
        <f>'rekap MPU'!G388</f>
        <v>127.33200000000002</v>
      </c>
      <c r="H49" s="2050" t="str">
        <f>'rekap MPU'!H388</f>
        <v>m2</v>
      </c>
      <c r="I49" s="3370" t="str">
        <f>'rekap MPU'!I388</f>
        <v>An. Dihitung</v>
      </c>
      <c r="J49" s="2055">
        <f>'rekap MPU'!J388</f>
        <v>281318.25</v>
      </c>
      <c r="K49" s="3371"/>
      <c r="L49" s="2057">
        <f t="shared" si="4"/>
        <v>35820815.409999996</v>
      </c>
      <c r="M49" s="3419">
        <f t="shared" si="5"/>
        <v>35</v>
      </c>
      <c r="P49" s="1958"/>
      <c r="Q49" s="1958"/>
      <c r="R49" s="1958"/>
      <c r="X49" s="2127"/>
      <c r="Y49" s="2127"/>
      <c r="AA49" s="2128"/>
    </row>
    <row r="50" spans="1:27" ht="21.75" customHeight="1" x14ac:dyDescent="0.2">
      <c r="A50" s="3420">
        <f>'rekap MPU'!A381</f>
        <v>38</v>
      </c>
      <c r="B50" s="3366">
        <f t="shared" si="3"/>
        <v>36</v>
      </c>
      <c r="C50" s="3367"/>
      <c r="D50" s="3368" t="str">
        <f>'rekap MPU'!D427</f>
        <v>Sponengan</v>
      </c>
      <c r="E50" s="3368"/>
      <c r="F50" s="3369"/>
      <c r="G50" s="2049">
        <f>'rekap MPU'!G427</f>
        <v>2212.44</v>
      </c>
      <c r="H50" s="2050" t="str">
        <f>'rekap MPU'!H427</f>
        <v>m'</v>
      </c>
      <c r="I50" s="3370" t="str">
        <f>'rekap MPU'!I427</f>
        <v>Harga Satuan</v>
      </c>
      <c r="J50" s="2055">
        <f>'rekap MPU'!J427</f>
        <v>15000</v>
      </c>
      <c r="K50" s="3371"/>
      <c r="L50" s="2057">
        <f t="shared" si="4"/>
        <v>33186600</v>
      </c>
      <c r="M50" s="3419">
        <f t="shared" si="5"/>
        <v>36</v>
      </c>
      <c r="P50" s="1958"/>
      <c r="Q50" s="1958"/>
      <c r="R50" s="1958"/>
      <c r="X50" s="2127"/>
      <c r="Y50" s="2127"/>
      <c r="AA50" s="2128"/>
    </row>
    <row r="51" spans="1:27" ht="21.95" customHeight="1" x14ac:dyDescent="0.2">
      <c r="A51" s="3420">
        <f>'rekap MPU'!A382</f>
        <v>39</v>
      </c>
      <c r="B51" s="3366">
        <f t="shared" si="3"/>
        <v>37</v>
      </c>
      <c r="C51" s="3367"/>
      <c r="D51" s="3368" t="str">
        <f>'rekap MPU'!D422</f>
        <v>Memasang kabel tray galvanis</v>
      </c>
      <c r="E51" s="3368"/>
      <c r="F51" s="3369"/>
      <c r="G51" s="2049">
        <f>'rekap MPU'!G422</f>
        <v>110</v>
      </c>
      <c r="H51" s="2050" t="str">
        <f>'rekap MPU'!H422</f>
        <v>m'</v>
      </c>
      <c r="I51" s="3370" t="str">
        <f>'rekap MPU'!I422</f>
        <v>An. Dihitung</v>
      </c>
      <c r="J51" s="2055">
        <f>'rekap MPU'!J422</f>
        <v>274370.78000000003</v>
      </c>
      <c r="K51" s="3371"/>
      <c r="L51" s="2057">
        <f t="shared" si="4"/>
        <v>30180785.800000001</v>
      </c>
      <c r="M51" s="3419">
        <f t="shared" si="5"/>
        <v>37</v>
      </c>
      <c r="P51" s="1958"/>
      <c r="Q51" s="1958"/>
      <c r="R51" s="1958"/>
      <c r="X51" s="2127"/>
      <c r="Y51" s="2127"/>
      <c r="AA51" s="2128"/>
    </row>
    <row r="52" spans="1:27" ht="21.95" customHeight="1" x14ac:dyDescent="0.2">
      <c r="A52" s="3420">
        <f>'rekap MPU'!A383</f>
        <v>40</v>
      </c>
      <c r="B52" s="3366">
        <f t="shared" si="3"/>
        <v>38</v>
      </c>
      <c r="C52" s="3367"/>
      <c r="D52" s="3368" t="str">
        <f>'rekap MPU'!D372</f>
        <v>Membuat ring balok beton bertulang ( 10 x 15 ) cm</v>
      </c>
      <c r="E52" s="3368"/>
      <c r="F52" s="3369"/>
      <c r="G52" s="2049">
        <f>'rekap MPU'!G372</f>
        <v>264</v>
      </c>
      <c r="H52" s="2050" t="str">
        <f>'rekap MPU'!H372</f>
        <v>m'</v>
      </c>
      <c r="I52" s="3370" t="str">
        <f>'rekap MPU'!I372</f>
        <v>A.4.1.1.36.</v>
      </c>
      <c r="J52" s="2055">
        <f>'rekap MPU'!J372</f>
        <v>109402.19</v>
      </c>
      <c r="K52" s="3371"/>
      <c r="L52" s="2057">
        <f t="shared" si="4"/>
        <v>28882178.16</v>
      </c>
      <c r="M52" s="3419">
        <f t="shared" si="5"/>
        <v>38</v>
      </c>
      <c r="P52" s="1958"/>
      <c r="Q52" s="1958"/>
      <c r="R52" s="1958"/>
      <c r="X52" s="2127"/>
      <c r="Y52" s="2127"/>
      <c r="AA52" s="2128"/>
    </row>
    <row r="53" spans="1:27" ht="21.95" customHeight="1" x14ac:dyDescent="0.2">
      <c r="A53" s="3420">
        <f>'rekap MPU'!A384</f>
        <v>41</v>
      </c>
      <c r="B53" s="3366">
        <f t="shared" si="3"/>
        <v>39</v>
      </c>
      <c r="C53" s="3367"/>
      <c r="D53" s="3368" t="str">
        <f>'rekap MPU'!D375</f>
        <v>Memasang list plafond gypsum profil</v>
      </c>
      <c r="E53" s="3368"/>
      <c r="F53" s="3369"/>
      <c r="G53" s="2049">
        <f>'rekap MPU'!G375</f>
        <v>887.59999999999945</v>
      </c>
      <c r="H53" s="2050" t="str">
        <f>'rekap MPU'!H375</f>
        <v>m'</v>
      </c>
      <c r="I53" s="3370" t="str">
        <f>'rekap MPU'!I375</f>
        <v>An.Dihitung</v>
      </c>
      <c r="J53" s="2055">
        <f>'rekap MPU'!J375</f>
        <v>30469.32</v>
      </c>
      <c r="K53" s="3371"/>
      <c r="L53" s="2057">
        <f t="shared" si="4"/>
        <v>27044568.43</v>
      </c>
      <c r="M53" s="3419">
        <f t="shared" si="5"/>
        <v>39</v>
      </c>
      <c r="P53" s="1958"/>
      <c r="Q53" s="1958"/>
      <c r="R53" s="1958"/>
      <c r="X53" s="2127"/>
      <c r="Y53" s="2127"/>
      <c r="AA53" s="2128"/>
    </row>
    <row r="54" spans="1:27" ht="21.95" customHeight="1" x14ac:dyDescent="0.2">
      <c r="A54" s="3420">
        <f>'rekap MPU'!A385</f>
        <v>42</v>
      </c>
      <c r="B54" s="3366">
        <f t="shared" si="3"/>
        <v>40</v>
      </c>
      <c r="C54" s="3367"/>
      <c r="D54" s="3368" t="str">
        <f>'rekap MPU'!D401</f>
        <v>Memasang pipa PVC tipe AW diameter 4"</v>
      </c>
      <c r="E54" s="3368"/>
      <c r="F54" s="3369"/>
      <c r="G54" s="2049">
        <f>'rekap MPU'!G401</f>
        <v>158</v>
      </c>
      <c r="H54" s="2050" t="str">
        <f>'rekap MPU'!H401</f>
        <v>m'</v>
      </c>
      <c r="I54" s="3370" t="str">
        <f>'rekap MPU'!I401</f>
        <v>A.5.1.1.32.</v>
      </c>
      <c r="J54" s="2055">
        <f>'rekap MPU'!J401</f>
        <v>167743.75</v>
      </c>
      <c r="K54" s="3371"/>
      <c r="L54" s="2057">
        <f t="shared" si="4"/>
        <v>26503512.5</v>
      </c>
      <c r="M54" s="3419">
        <f t="shared" si="5"/>
        <v>40</v>
      </c>
      <c r="P54" s="1958"/>
      <c r="Q54" s="1958"/>
      <c r="R54" s="1958"/>
      <c r="X54" s="2127"/>
      <c r="Y54" s="2127"/>
      <c r="AA54" s="2128"/>
    </row>
    <row r="55" spans="1:27" ht="21.95" customHeight="1" x14ac:dyDescent="0.2">
      <c r="A55" s="3420">
        <f>'rekap MPU'!A386</f>
        <v>43</v>
      </c>
      <c r="B55" s="3366">
        <f t="shared" si="3"/>
        <v>41</v>
      </c>
      <c r="C55" s="3367"/>
      <c r="D55" s="3368" t="str">
        <f>'rekap MPU'!D436</f>
        <v>Membuat sumur bor lengkap pompa dan aksesories</v>
      </c>
      <c r="E55" s="3368"/>
      <c r="F55" s="3369"/>
      <c r="G55" s="2049">
        <f>'rekap MPU'!G436</f>
        <v>1</v>
      </c>
      <c r="H55" s="2050" t="str">
        <f>'rekap MPU'!H436</f>
        <v>unit</v>
      </c>
      <c r="I55" s="3370" t="str">
        <f>'rekap MPU'!I436</f>
        <v>Daftar harga</v>
      </c>
      <c r="J55" s="2055">
        <f>'rekap MPU'!J436</f>
        <v>25000000</v>
      </c>
      <c r="K55" s="3371"/>
      <c r="L55" s="2057">
        <f t="shared" si="4"/>
        <v>25000000</v>
      </c>
      <c r="M55" s="3419">
        <f t="shared" si="5"/>
        <v>41</v>
      </c>
      <c r="P55" s="1958"/>
      <c r="Q55" s="1958"/>
      <c r="R55" s="1958"/>
      <c r="X55" s="2127"/>
      <c r="Y55" s="2127"/>
      <c r="AA55" s="2128"/>
    </row>
    <row r="56" spans="1:27" ht="21.95" customHeight="1" x14ac:dyDescent="0.2">
      <c r="A56" s="3420">
        <f>'rekap MPU'!A387</f>
        <v>44</v>
      </c>
      <c r="B56" s="3366">
        <f t="shared" si="3"/>
        <v>42</v>
      </c>
      <c r="C56" s="3367"/>
      <c r="D56" s="3368" t="str">
        <f>'rekap MPU'!D387</f>
        <v>Memasang lantai granit tile ( 60 x 60 ) cm, exterior texture</v>
      </c>
      <c r="E56" s="3368"/>
      <c r="F56" s="3369"/>
      <c r="G56" s="2049">
        <f>'rekap MPU'!G387</f>
        <v>80.600000000000009</v>
      </c>
      <c r="H56" s="2050" t="str">
        <f>'rekap MPU'!H387</f>
        <v>m2</v>
      </c>
      <c r="I56" s="3370" t="str">
        <f>'rekap MPU'!I387</f>
        <v>An. Dihitung</v>
      </c>
      <c r="J56" s="2055">
        <f>'rekap MPU'!J387</f>
        <v>301541.63</v>
      </c>
      <c r="K56" s="3371"/>
      <c r="L56" s="2057">
        <f t="shared" si="4"/>
        <v>24304255.379999999</v>
      </c>
      <c r="M56" s="3419">
        <f t="shared" si="5"/>
        <v>42</v>
      </c>
      <c r="P56" s="1958"/>
      <c r="Q56" s="1958"/>
      <c r="R56" s="1958"/>
      <c r="X56" s="2127"/>
      <c r="Y56" s="2127"/>
      <c r="AA56" s="2128"/>
    </row>
    <row r="57" spans="1:27" ht="21.95" customHeight="1" x14ac:dyDescent="0.2">
      <c r="A57" s="3420">
        <f>'rekap MPU'!A388</f>
        <v>45</v>
      </c>
      <c r="B57" s="3366">
        <f t="shared" si="3"/>
        <v>43</v>
      </c>
      <c r="C57" s="3367"/>
      <c r="D57" s="3368" t="str">
        <f>'rekap MPU'!D379</f>
        <v>Memasang pintu alluminium strip</v>
      </c>
      <c r="E57" s="3368"/>
      <c r="F57" s="3369"/>
      <c r="G57" s="2049">
        <f>'rekap MPU'!G379</f>
        <v>31.535000000000007</v>
      </c>
      <c r="H57" s="2050" t="str">
        <f>'rekap MPU'!H379</f>
        <v>m2</v>
      </c>
      <c r="I57" s="3370" t="str">
        <f>'rekap MPU'!I379</f>
        <v>A.4.2.1.12.</v>
      </c>
      <c r="J57" s="2055">
        <f>'rekap MPU'!J379</f>
        <v>765224.14</v>
      </c>
      <c r="K57" s="3371"/>
      <c r="L57" s="2057">
        <f t="shared" si="4"/>
        <v>24131343.25</v>
      </c>
      <c r="M57" s="3419">
        <f t="shared" si="5"/>
        <v>43</v>
      </c>
      <c r="P57" s="1958"/>
      <c r="Q57" s="1958"/>
      <c r="R57" s="1958"/>
      <c r="X57" s="2127"/>
      <c r="Y57" s="2127"/>
      <c r="AA57" s="2128"/>
    </row>
    <row r="58" spans="1:27" ht="21.95" customHeight="1" x14ac:dyDescent="0.2">
      <c r="A58" s="3420">
        <f>'rekap MPU'!A389</f>
        <v>46</v>
      </c>
      <c r="B58" s="3366">
        <f t="shared" si="3"/>
        <v>44</v>
      </c>
      <c r="C58" s="3367"/>
      <c r="D58" s="3368" t="str">
        <f>'rekap MPU'!D374</f>
        <v>Memasang plafond PVC</v>
      </c>
      <c r="E58" s="3368"/>
      <c r="F58" s="3369"/>
      <c r="G58" s="2049">
        <f>'rekap MPU'!G374</f>
        <v>108.29999999999998</v>
      </c>
      <c r="H58" s="2050" t="str">
        <f>'rekap MPU'!H374</f>
        <v>m2</v>
      </c>
      <c r="I58" s="3370" t="str">
        <f>'rekap MPU'!I374</f>
        <v>An.Dihitung</v>
      </c>
      <c r="J58" s="2055">
        <f>'rekap MPU'!J374</f>
        <v>167579</v>
      </c>
      <c r="K58" s="3371"/>
      <c r="L58" s="2057">
        <f t="shared" si="4"/>
        <v>18148805.699999999</v>
      </c>
      <c r="M58" s="3419">
        <f t="shared" si="5"/>
        <v>44</v>
      </c>
      <c r="P58" s="1958"/>
      <c r="Q58" s="1958"/>
      <c r="R58" s="1958"/>
      <c r="X58" s="2127"/>
      <c r="Y58" s="2127"/>
      <c r="AA58" s="2128"/>
    </row>
    <row r="59" spans="1:27" ht="21.95" customHeight="1" x14ac:dyDescent="0.2">
      <c r="A59" s="3420">
        <f>'rekap MPU'!A390</f>
        <v>47</v>
      </c>
      <c r="B59" s="3366">
        <f t="shared" si="3"/>
        <v>45</v>
      </c>
      <c r="C59" s="3367"/>
      <c r="D59" s="3368" t="str">
        <f>'rekap MPU'!D409</f>
        <v>Memasang instalasi titik lampu (kabel 2x1,5 mm) tanpa fitting</v>
      </c>
      <c r="E59" s="3368"/>
      <c r="F59" s="3369"/>
      <c r="G59" s="2049">
        <f>'rekap MPU'!G409</f>
        <v>154</v>
      </c>
      <c r="H59" s="2050" t="str">
        <f>'rekap MPU'!H409</f>
        <v>ttk</v>
      </c>
      <c r="I59" s="3370" t="str">
        <f>'rekap MPU'!I409</f>
        <v>An. Dihitung</v>
      </c>
      <c r="J59" s="2055">
        <f>'rekap MPU'!J409</f>
        <v>115332.32</v>
      </c>
      <c r="K59" s="3371"/>
      <c r="L59" s="2057">
        <f t="shared" si="4"/>
        <v>17761177.280000001</v>
      </c>
      <c r="M59" s="3419">
        <f t="shared" si="5"/>
        <v>45</v>
      </c>
      <c r="P59" s="1958"/>
      <c r="Q59" s="1958"/>
      <c r="R59" s="1958"/>
      <c r="X59" s="2127"/>
      <c r="Y59" s="2127"/>
      <c r="AA59" s="2128"/>
    </row>
    <row r="60" spans="1:27" ht="21.95" customHeight="1" x14ac:dyDescent="0.2">
      <c r="A60" s="3420">
        <f>'rekap MPU'!A391</f>
        <v>48</v>
      </c>
      <c r="B60" s="3366">
        <f t="shared" si="3"/>
        <v>46</v>
      </c>
      <c r="C60" s="3367"/>
      <c r="D60" s="3368" t="str">
        <f>'rekap MPU'!D354</f>
        <v>Mengurug pasir urug</v>
      </c>
      <c r="E60" s="3368"/>
      <c r="F60" s="3369"/>
      <c r="G60" s="2049">
        <f>'rekap MPU'!G354</f>
        <v>70.13000000000001</v>
      </c>
      <c r="H60" s="2050" t="str">
        <f>'rekap MPU'!H354</f>
        <v>m3</v>
      </c>
      <c r="I60" s="3370" t="str">
        <f>'rekap MPU'!I354</f>
        <v>A.2.3.1.11.</v>
      </c>
      <c r="J60" s="2055">
        <f>'rekap MPU'!J354</f>
        <v>251978.7</v>
      </c>
      <c r="K60" s="3371"/>
      <c r="L60" s="2057">
        <f t="shared" si="4"/>
        <v>17671266.23</v>
      </c>
      <c r="M60" s="3419">
        <f t="shared" si="5"/>
        <v>46</v>
      </c>
      <c r="P60" s="1958"/>
      <c r="Q60" s="1958"/>
      <c r="R60" s="1958"/>
      <c r="X60" s="2127"/>
      <c r="Y60" s="2127"/>
      <c r="AA60" s="2128"/>
    </row>
    <row r="61" spans="1:27" ht="21.95" customHeight="1" x14ac:dyDescent="0.2">
      <c r="A61" s="3420">
        <f>'rekap MPU'!A392</f>
        <v>49</v>
      </c>
      <c r="B61" s="3366">
        <f t="shared" si="3"/>
        <v>47</v>
      </c>
      <c r="C61" s="3367"/>
      <c r="D61" s="3368" t="str">
        <f>'rekap MPU'!D365</f>
        <v>Memasang bekisting untuk pondasi ( 2x pakai )</v>
      </c>
      <c r="E61" s="3368"/>
      <c r="F61" s="3369"/>
      <c r="G61" s="2049">
        <f>'rekap MPU'!G365</f>
        <v>142.08000000000001</v>
      </c>
      <c r="H61" s="2050" t="str">
        <f>'rekap MPU'!H365</f>
        <v>m2</v>
      </c>
      <c r="I61" s="3370" t="str">
        <f>'rekap MPU'!I365</f>
        <v>A.4.1.1.20.</v>
      </c>
      <c r="J61" s="2055">
        <f>'rekap MPU'!J365</f>
        <v>115782.06</v>
      </c>
      <c r="K61" s="3371"/>
      <c r="L61" s="2057">
        <f t="shared" si="4"/>
        <v>16450315.08</v>
      </c>
      <c r="M61" s="3419">
        <f t="shared" si="5"/>
        <v>47</v>
      </c>
      <c r="P61" s="1958"/>
      <c r="Q61" s="1958"/>
      <c r="R61" s="1958"/>
      <c r="X61" s="2127"/>
      <c r="Y61" s="2127"/>
      <c r="AA61" s="2128"/>
    </row>
    <row r="62" spans="1:27" ht="21.95" customHeight="1" x14ac:dyDescent="0.2">
      <c r="A62" s="3420">
        <f>'rekap MPU'!A393</f>
        <v>50</v>
      </c>
      <c r="B62" s="3366">
        <f t="shared" si="3"/>
        <v>48</v>
      </c>
      <c r="C62" s="3367"/>
      <c r="D62" s="3368" t="str">
        <f>'rekap MPU'!D385</f>
        <v>Pasang batu andesit</v>
      </c>
      <c r="E62" s="3368"/>
      <c r="F62" s="3369"/>
      <c r="G62" s="2049">
        <f>'rekap MPU'!G385</f>
        <v>45.2029</v>
      </c>
      <c r="H62" s="2050" t="str">
        <f>'rekap MPU'!H385</f>
        <v>m2</v>
      </c>
      <c r="I62" s="3370" t="str">
        <f>'rekap MPU'!I385</f>
        <v>A.4.4.3.58b.</v>
      </c>
      <c r="J62" s="2055">
        <f>'rekap MPU'!J385</f>
        <v>362752.6</v>
      </c>
      <c r="K62" s="3371"/>
      <c r="L62" s="2057">
        <f t="shared" si="4"/>
        <v>16397469.5</v>
      </c>
      <c r="M62" s="3419">
        <f t="shared" si="5"/>
        <v>48</v>
      </c>
      <c r="P62" s="1958"/>
      <c r="Q62" s="1958"/>
      <c r="R62" s="1958"/>
      <c r="X62" s="2127"/>
      <c r="Y62" s="2127"/>
      <c r="AA62" s="2128"/>
    </row>
    <row r="63" spans="1:27" ht="21.95" customHeight="1" x14ac:dyDescent="0.2">
      <c r="A63" s="3420">
        <f>'rekap MPU'!A394</f>
        <v>52</v>
      </c>
      <c r="B63" s="3366">
        <f t="shared" si="3"/>
        <v>49</v>
      </c>
      <c r="C63" s="3367"/>
      <c r="D63" s="3368" t="str">
        <f>'rekap MPU'!D431</f>
        <v>Pintu utama kaca tempered 12 mm</v>
      </c>
      <c r="E63" s="3368"/>
      <c r="F63" s="3369"/>
      <c r="G63" s="2049">
        <f>'rekap MPU'!G431</f>
        <v>1</v>
      </c>
      <c r="H63" s="2050" t="str">
        <f>'rekap MPU'!H431</f>
        <v>unit</v>
      </c>
      <c r="I63" s="3370" t="str">
        <f>'rekap MPU'!I431</f>
        <v>Daftar harga</v>
      </c>
      <c r="J63" s="2055">
        <f>'rekap MPU'!J431</f>
        <v>16000000</v>
      </c>
      <c r="K63" s="3371"/>
      <c r="L63" s="2057">
        <f t="shared" si="4"/>
        <v>16000000</v>
      </c>
      <c r="M63" s="3419">
        <f t="shared" si="5"/>
        <v>49</v>
      </c>
      <c r="P63" s="1958"/>
      <c r="Q63" s="1958"/>
      <c r="R63" s="1958"/>
      <c r="X63" s="2127"/>
      <c r="Y63" s="2127"/>
      <c r="AA63" s="2128"/>
    </row>
    <row r="64" spans="1:27" ht="21.95" customHeight="1" x14ac:dyDescent="0.2">
      <c r="A64" s="3420">
        <f>'rekap MPU'!A395</f>
        <v>53</v>
      </c>
      <c r="B64" s="3366">
        <f t="shared" si="3"/>
        <v>50</v>
      </c>
      <c r="C64" s="3367"/>
      <c r="D64" s="3368" t="str">
        <f>'rekap MPU'!D410</f>
        <v>Memasang Instalasi titik stop kontak (kabel 3x2,5 mm)</v>
      </c>
      <c r="E64" s="3368"/>
      <c r="F64" s="3369"/>
      <c r="G64" s="2049">
        <f>'rekap MPU'!G410</f>
        <v>109</v>
      </c>
      <c r="H64" s="2050" t="str">
        <f>'rekap MPU'!H410</f>
        <v>ttk</v>
      </c>
      <c r="I64" s="3370" t="str">
        <f>'rekap MPU'!I410</f>
        <v>An. Dihitung</v>
      </c>
      <c r="J64" s="2055">
        <f>'rekap MPU'!J410</f>
        <v>145842.32</v>
      </c>
      <c r="K64" s="3371"/>
      <c r="L64" s="2057">
        <f t="shared" si="4"/>
        <v>15896812.880000001</v>
      </c>
      <c r="M64" s="3419">
        <f t="shared" si="5"/>
        <v>50</v>
      </c>
      <c r="P64" s="1958"/>
      <c r="Q64" s="1958"/>
      <c r="R64" s="1958"/>
      <c r="X64" s="2127"/>
      <c r="Y64" s="2127"/>
      <c r="AA64" s="2128"/>
    </row>
    <row r="65" spans="1:27" ht="21.95" customHeight="1" x14ac:dyDescent="0.2">
      <c r="A65" s="3420">
        <f>'rekap MPU'!A396</f>
        <v>54</v>
      </c>
      <c r="B65" s="3366">
        <f t="shared" si="3"/>
        <v>51</v>
      </c>
      <c r="C65" s="3367"/>
      <c r="D65" s="3368" t="str">
        <f>'rekap MPU'!D349</f>
        <v xml:space="preserve">Pengukuran dan pemasangan bouwplank  </v>
      </c>
      <c r="E65" s="3368"/>
      <c r="F65" s="3369"/>
      <c r="G65" s="2049">
        <f>'rekap MPU'!G349</f>
        <v>205.8</v>
      </c>
      <c r="H65" s="2050" t="str">
        <f>'rekap MPU'!H349</f>
        <v>m'</v>
      </c>
      <c r="I65" s="3370" t="str">
        <f>'rekap MPU'!I349</f>
        <v>A.2.2.1.4.</v>
      </c>
      <c r="J65" s="2055">
        <f>'rekap MPU'!J349</f>
        <v>59589.42</v>
      </c>
      <c r="K65" s="3371"/>
      <c r="L65" s="2057">
        <f t="shared" si="4"/>
        <v>12263502.640000001</v>
      </c>
      <c r="M65" s="3419">
        <f t="shared" si="5"/>
        <v>51</v>
      </c>
      <c r="P65" s="1958"/>
      <c r="Q65" s="1958"/>
      <c r="R65" s="1958"/>
      <c r="X65" s="2127"/>
      <c r="Y65" s="2127"/>
      <c r="AA65" s="2128"/>
    </row>
    <row r="66" spans="1:27" ht="21.95" customHeight="1" x14ac:dyDescent="0.2">
      <c r="A66" s="3420">
        <f>'rekap MPU'!A397</f>
        <v>55</v>
      </c>
      <c r="B66" s="3366">
        <f t="shared" si="3"/>
        <v>52</v>
      </c>
      <c r="C66" s="3367"/>
      <c r="D66" s="3368" t="str">
        <f>'rekap MPU'!D348</f>
        <v>Pembersihan lapangan dan perataan</v>
      </c>
      <c r="E66" s="3368"/>
      <c r="F66" s="3369"/>
      <c r="G66" s="2049">
        <f>'rekap MPU'!G348</f>
        <v>767.55000000000007</v>
      </c>
      <c r="H66" s="2050" t="str">
        <f>'rekap MPU'!H348</f>
        <v>m2</v>
      </c>
      <c r="I66" s="3370" t="str">
        <f>'rekap MPU'!I348</f>
        <v>A.2.2.1.9.</v>
      </c>
      <c r="J66" s="2055">
        <f>'rekap MPU'!J348</f>
        <v>15062.9</v>
      </c>
      <c r="K66" s="3371"/>
      <c r="L66" s="2057">
        <f t="shared" si="4"/>
        <v>11561528.9</v>
      </c>
      <c r="M66" s="3419">
        <f t="shared" si="5"/>
        <v>52</v>
      </c>
      <c r="P66" s="1958"/>
      <c r="Q66" s="1958"/>
      <c r="R66" s="1958"/>
      <c r="X66" s="2127"/>
      <c r="Y66" s="2127"/>
      <c r="AA66" s="2128"/>
    </row>
    <row r="67" spans="1:27" ht="21.95" customHeight="1" x14ac:dyDescent="0.2">
      <c r="A67" s="3420">
        <f>'rekap MPU'!A398</f>
        <v>56</v>
      </c>
      <c r="B67" s="3366">
        <f t="shared" si="3"/>
        <v>53</v>
      </c>
      <c r="C67" s="3367"/>
      <c r="D67" s="3368" t="str">
        <f>'rekap MPU'!D389</f>
        <v>Memasang 1 m' "step nose" uk. (10x40) cm</v>
      </c>
      <c r="E67" s="3368"/>
      <c r="F67" s="3369"/>
      <c r="G67" s="2049">
        <f>'rekap MPU'!G389</f>
        <v>175.4</v>
      </c>
      <c r="H67" s="2050" t="str">
        <f>'rekap MPU'!H389</f>
        <v>m'</v>
      </c>
      <c r="I67" s="3370" t="str">
        <f>'rekap MPU'!I389</f>
        <v>An. Dihitung</v>
      </c>
      <c r="J67" s="2055">
        <f>'rekap MPU'!J389</f>
        <v>65535.37</v>
      </c>
      <c r="K67" s="3371"/>
      <c r="L67" s="2057">
        <f t="shared" si="4"/>
        <v>11494903.9</v>
      </c>
      <c r="M67" s="3419">
        <f t="shared" si="5"/>
        <v>53</v>
      </c>
      <c r="P67" s="1958"/>
      <c r="Q67" s="1958"/>
      <c r="R67" s="1958"/>
      <c r="X67" s="2127"/>
      <c r="Y67" s="2127"/>
      <c r="AA67" s="2128"/>
    </row>
    <row r="68" spans="1:27" ht="21.95" customHeight="1" x14ac:dyDescent="0.2">
      <c r="A68" s="3420">
        <f>'rekap MPU'!A399</f>
        <v>57</v>
      </c>
      <c r="B68" s="3366">
        <f t="shared" si="3"/>
        <v>54</v>
      </c>
      <c r="C68" s="3367"/>
      <c r="D68" s="3368" t="str">
        <f>'rekap MPU'!D394</f>
        <v>Memasang wastafel lengkap sifon stainless</v>
      </c>
      <c r="E68" s="3368"/>
      <c r="F68" s="3369"/>
      <c r="G68" s="2049">
        <f>'rekap MPU'!G394</f>
        <v>8</v>
      </c>
      <c r="H68" s="2050" t="str">
        <f>'rekap MPU'!H394</f>
        <v>bh</v>
      </c>
      <c r="I68" s="3370" t="str">
        <f>'rekap MPU'!I394</f>
        <v>A.5.1.1.5.</v>
      </c>
      <c r="J68" s="2055">
        <f>'rekap MPU'!J394</f>
        <v>1376407.8</v>
      </c>
      <c r="K68" s="3371"/>
      <c r="L68" s="2057">
        <f t="shared" si="4"/>
        <v>11011262.4</v>
      </c>
      <c r="M68" s="3419">
        <f t="shared" si="5"/>
        <v>54</v>
      </c>
      <c r="P68" s="1958"/>
      <c r="Q68" s="1958"/>
      <c r="R68" s="1958"/>
      <c r="X68" s="2127"/>
      <c r="Y68" s="2127"/>
      <c r="AA68" s="2128"/>
    </row>
    <row r="69" spans="1:27" ht="21.95" customHeight="1" x14ac:dyDescent="0.2">
      <c r="A69" s="3420">
        <f>'rekap MPU'!A400</f>
        <v>59</v>
      </c>
      <c r="B69" s="3366">
        <f t="shared" si="3"/>
        <v>55</v>
      </c>
      <c r="C69" s="3367"/>
      <c r="D69" s="3368" t="str">
        <f>'rekap MPU'!D437</f>
        <v>Pengadaan dan pemasangan septic tank komunal kap 2000 ltr</v>
      </c>
      <c r="E69" s="3368"/>
      <c r="F69" s="3369"/>
      <c r="G69" s="2049">
        <f>'rekap MPU'!G437</f>
        <v>1</v>
      </c>
      <c r="H69" s="2050" t="str">
        <f>'rekap MPU'!H437</f>
        <v>unit</v>
      </c>
      <c r="I69" s="3370" t="str">
        <f>'rekap MPU'!I437</f>
        <v>Daftar harga</v>
      </c>
      <c r="J69" s="2055">
        <f>'rekap MPU'!J437</f>
        <v>10887500</v>
      </c>
      <c r="K69" s="3371"/>
      <c r="L69" s="2057">
        <f t="shared" si="4"/>
        <v>10887500</v>
      </c>
      <c r="M69" s="3419">
        <f t="shared" si="5"/>
        <v>55</v>
      </c>
      <c r="P69" s="1958"/>
      <c r="Q69" s="1958"/>
      <c r="R69" s="1958"/>
      <c r="X69" s="2127"/>
      <c r="Y69" s="2127"/>
      <c r="AA69" s="2128"/>
    </row>
    <row r="70" spans="1:27" ht="21.95" customHeight="1" x14ac:dyDescent="0.2">
      <c r="A70" s="3420">
        <f>'rekap MPU'!A401</f>
        <v>60</v>
      </c>
      <c r="B70" s="3366">
        <f t="shared" si="3"/>
        <v>56</v>
      </c>
      <c r="C70" s="3367"/>
      <c r="D70" s="3368" t="str">
        <f>'rekap MPU'!D423</f>
        <v>Memasang Exhaust fan</v>
      </c>
      <c r="E70" s="3368"/>
      <c r="F70" s="3369"/>
      <c r="G70" s="2049">
        <f>'rekap MPU'!G423</f>
        <v>19</v>
      </c>
      <c r="H70" s="2050" t="str">
        <f>'rekap MPU'!H423</f>
        <v>bh</v>
      </c>
      <c r="I70" s="3370" t="str">
        <f>'rekap MPU'!I423</f>
        <v>An. Dihitung</v>
      </c>
      <c r="J70" s="2055">
        <f>'rekap MPU'!J423</f>
        <v>556977</v>
      </c>
      <c r="K70" s="3371"/>
      <c r="L70" s="2057">
        <f t="shared" si="4"/>
        <v>10582563</v>
      </c>
      <c r="M70" s="3419">
        <f t="shared" si="5"/>
        <v>56</v>
      </c>
      <c r="P70" s="1958"/>
      <c r="Q70" s="1958"/>
      <c r="R70" s="1958"/>
      <c r="X70" s="2127"/>
      <c r="Y70" s="2127"/>
      <c r="AA70" s="2128"/>
    </row>
    <row r="71" spans="1:27" ht="21.95" customHeight="1" x14ac:dyDescent="0.2">
      <c r="A71" s="3420">
        <f>'rekap MPU'!A402</f>
        <v>62</v>
      </c>
      <c r="B71" s="3366">
        <f t="shared" si="3"/>
        <v>57</v>
      </c>
      <c r="C71" s="3367"/>
      <c r="D71" s="3368" t="str">
        <f>'rekap MPU'!D347</f>
        <v>Air dan listrik kerja</v>
      </c>
      <c r="E71" s="3368"/>
      <c r="F71" s="3369"/>
      <c r="G71" s="2049">
        <f>'rekap MPU'!G347</f>
        <v>1</v>
      </c>
      <c r="H71" s="2050" t="str">
        <f>'rekap MPU'!H347</f>
        <v>ls</v>
      </c>
      <c r="I71" s="3370" t="str">
        <f>'rekap MPU'!I347</f>
        <v>An. Dihitung</v>
      </c>
      <c r="J71" s="2055">
        <f>'rekap MPU'!J347</f>
        <v>10379502</v>
      </c>
      <c r="K71" s="3371"/>
      <c r="L71" s="2057">
        <f t="shared" si="4"/>
        <v>10379502</v>
      </c>
      <c r="M71" s="3419">
        <f t="shared" si="5"/>
        <v>57</v>
      </c>
      <c r="P71" s="1958"/>
      <c r="Q71" s="1958"/>
      <c r="R71" s="1958"/>
      <c r="X71" s="2127"/>
      <c r="Y71" s="2127"/>
      <c r="AA71" s="2128"/>
    </row>
    <row r="72" spans="1:27" ht="21.95" customHeight="1" x14ac:dyDescent="0.2">
      <c r="A72" s="3420">
        <f>'rekap MPU'!A403</f>
        <v>63</v>
      </c>
      <c r="B72" s="3366">
        <f t="shared" si="3"/>
        <v>58</v>
      </c>
      <c r="C72" s="3367"/>
      <c r="D72" s="3368" t="str">
        <f>'rekap MPU'!D350</f>
        <v xml:space="preserve">Menggali tanah biasa sedalam 1 m' </v>
      </c>
      <c r="E72" s="3368"/>
      <c r="F72" s="3369"/>
      <c r="G72" s="2049">
        <f>'rekap MPU'!G350</f>
        <v>125.12000000000002</v>
      </c>
      <c r="H72" s="2050" t="str">
        <f>'rekap MPU'!H350</f>
        <v>m3</v>
      </c>
      <c r="I72" s="3370" t="str">
        <f>'rekap MPU'!I350</f>
        <v>A.2.3.1.1.</v>
      </c>
      <c r="J72" s="2055">
        <f>'rekap MPU'!J350</f>
        <v>77376.75</v>
      </c>
      <c r="K72" s="3371"/>
      <c r="L72" s="2057">
        <f t="shared" si="4"/>
        <v>9681378.9600000009</v>
      </c>
      <c r="M72" s="3419">
        <f t="shared" si="5"/>
        <v>58</v>
      </c>
      <c r="P72" s="1958"/>
      <c r="Q72" s="1958"/>
      <c r="R72" s="1958"/>
      <c r="X72" s="2127"/>
      <c r="Y72" s="2127"/>
      <c r="AA72" s="2128"/>
    </row>
    <row r="73" spans="1:27" ht="21.95" customHeight="1" x14ac:dyDescent="0.2">
      <c r="A73" s="3420">
        <f>'rekap MPU'!A404</f>
        <v>64</v>
      </c>
      <c r="B73" s="3366">
        <f t="shared" si="3"/>
        <v>59</v>
      </c>
      <c r="C73" s="3367"/>
      <c r="D73" s="3368" t="str">
        <f>'rekap MPU'!D352</f>
        <v>Pengurugan kembali galian tanah</v>
      </c>
      <c r="E73" s="3368"/>
      <c r="F73" s="3369"/>
      <c r="G73" s="2049">
        <f>'rekap MPU'!G352</f>
        <v>162.036</v>
      </c>
      <c r="H73" s="2050" t="str">
        <f>'rekap MPU'!H352</f>
        <v>m3</v>
      </c>
      <c r="I73" s="3370" t="str">
        <f>'rekap MPU'!I352</f>
        <v>A.2.3.1.9.</v>
      </c>
      <c r="J73" s="2055">
        <f>'rekap MPU'!J352</f>
        <v>54974.5</v>
      </c>
      <c r="K73" s="3371"/>
      <c r="L73" s="2057">
        <f t="shared" si="4"/>
        <v>8907848.0800000001</v>
      </c>
      <c r="M73" s="3419">
        <f t="shared" si="5"/>
        <v>59</v>
      </c>
      <c r="P73" s="1958"/>
      <c r="Q73" s="1958"/>
      <c r="R73" s="1958"/>
      <c r="X73" s="2127"/>
      <c r="Y73" s="2127"/>
      <c r="AA73" s="2128"/>
    </row>
    <row r="74" spans="1:27" ht="21.95" customHeight="1" x14ac:dyDescent="0.2">
      <c r="A74" s="3420">
        <f>'rekap MPU'!A405</f>
        <v>65</v>
      </c>
      <c r="B74" s="3366">
        <f t="shared" si="3"/>
        <v>60</v>
      </c>
      <c r="C74" s="3367"/>
      <c r="D74" s="3368" t="str">
        <f>'rekap MPU'!D425</f>
        <v>Penyelenggaraan K3</v>
      </c>
      <c r="E74" s="3368"/>
      <c r="F74" s="3369"/>
      <c r="G74" s="2049">
        <f>'rekap MPU'!G425</f>
        <v>1</v>
      </c>
      <c r="H74" s="2050" t="str">
        <f>'rekap MPU'!H425</f>
        <v>ls</v>
      </c>
      <c r="I74" s="3370" t="str">
        <f>'rekap MPU'!I425</f>
        <v>Dihitung</v>
      </c>
      <c r="J74" s="2055">
        <f>'rekap MPU'!J425</f>
        <v>8258800</v>
      </c>
      <c r="K74" s="3371"/>
      <c r="L74" s="2057">
        <f t="shared" si="4"/>
        <v>8258800</v>
      </c>
      <c r="M74" s="3419">
        <f t="shared" si="5"/>
        <v>60</v>
      </c>
      <c r="P74" s="1958"/>
      <c r="Q74" s="1958"/>
      <c r="R74" s="1958"/>
      <c r="X74" s="2127"/>
      <c r="Y74" s="2127"/>
      <c r="AA74" s="2128"/>
    </row>
    <row r="75" spans="1:27" ht="21.95" customHeight="1" x14ac:dyDescent="0.2">
      <c r="A75" s="3420">
        <f>'rekap MPU'!A406</f>
        <v>66</v>
      </c>
      <c r="B75" s="3366">
        <f t="shared" si="3"/>
        <v>61</v>
      </c>
      <c r="C75" s="3367"/>
      <c r="D75" s="3368" t="str">
        <f>'rekap MPU'!D441</f>
        <v>Pasang instalasi penangkal petir 1 split lengkap</v>
      </c>
      <c r="E75" s="3368"/>
      <c r="F75" s="3369"/>
      <c r="G75" s="2049">
        <f>'rekap MPU'!G441</f>
        <v>1</v>
      </c>
      <c r="H75" s="2050" t="str">
        <f>'rekap MPU'!H441</f>
        <v>unit</v>
      </c>
      <c r="I75" s="3370" t="str">
        <f>'rekap MPU'!I441</f>
        <v>Daftar harga</v>
      </c>
      <c r="J75" s="2055">
        <f>'rekap MPU'!J441</f>
        <v>8200000</v>
      </c>
      <c r="K75" s="3371"/>
      <c r="L75" s="2057">
        <f t="shared" si="4"/>
        <v>8200000</v>
      </c>
      <c r="M75" s="3419">
        <f t="shared" si="5"/>
        <v>61</v>
      </c>
      <c r="P75" s="1958"/>
      <c r="Q75" s="1958"/>
      <c r="R75" s="1958"/>
      <c r="X75" s="2127"/>
      <c r="Y75" s="2127"/>
      <c r="AA75" s="2128"/>
    </row>
    <row r="76" spans="1:27" ht="21.95" customHeight="1" x14ac:dyDescent="0.2">
      <c r="A76" s="3420">
        <f>'rekap MPU'!A407</f>
        <v>67</v>
      </c>
      <c r="B76" s="3366">
        <f t="shared" si="3"/>
        <v>62</v>
      </c>
      <c r="C76" s="3367"/>
      <c r="D76" s="3368" t="str">
        <f>'rekap MPU'!D404</f>
        <v>Pasang kaca mati tebal 5 mm</v>
      </c>
      <c r="E76" s="3368"/>
      <c r="F76" s="3369"/>
      <c r="G76" s="2049">
        <f>'rekap MPU'!G404</f>
        <v>47.519999999999996</v>
      </c>
      <c r="H76" s="2050" t="str">
        <f>'rekap MPU'!H404</f>
        <v>m2</v>
      </c>
      <c r="I76" s="3370" t="str">
        <f>'rekap MPU'!I404</f>
        <v>A.4.6.2.17.</v>
      </c>
      <c r="J76" s="2055">
        <f>'rekap MPU'!J404</f>
        <v>170445.25</v>
      </c>
      <c r="K76" s="3371"/>
      <c r="L76" s="2057">
        <f t="shared" si="4"/>
        <v>8099558.2800000003</v>
      </c>
      <c r="M76" s="3419">
        <f t="shared" si="5"/>
        <v>62</v>
      </c>
      <c r="P76" s="1958"/>
      <c r="Q76" s="1958"/>
      <c r="R76" s="1958"/>
      <c r="X76" s="2127"/>
      <c r="Y76" s="2127"/>
      <c r="AA76" s="2128"/>
    </row>
    <row r="77" spans="1:27" ht="21.95" customHeight="1" x14ac:dyDescent="0.2">
      <c r="A77" s="3420">
        <f>'rekap MPU'!A408</f>
        <v>68</v>
      </c>
      <c r="B77" s="3366">
        <f t="shared" si="3"/>
        <v>63</v>
      </c>
      <c r="C77" s="3367"/>
      <c r="D77" s="3368" t="str">
        <f>'rekap MPU'!D361</f>
        <v>Memasang lisplank woodplank</v>
      </c>
      <c r="E77" s="3368"/>
      <c r="F77" s="3369"/>
      <c r="G77" s="2049">
        <f>'rekap MPU'!G361</f>
        <v>117.80000000000001</v>
      </c>
      <c r="H77" s="2050" t="str">
        <f>'rekap MPU'!H361</f>
        <v>m'</v>
      </c>
      <c r="I77" s="3370" t="str">
        <f>'rekap MPU'!I361</f>
        <v>An. Dihitung</v>
      </c>
      <c r="J77" s="2055">
        <f>'rekap MPU'!J361</f>
        <v>68139</v>
      </c>
      <c r="K77" s="3371"/>
      <c r="L77" s="2057">
        <f t="shared" si="4"/>
        <v>8026774.2000000002</v>
      </c>
      <c r="M77" s="3419">
        <f t="shared" si="5"/>
        <v>63</v>
      </c>
      <c r="P77" s="1958"/>
      <c r="Q77" s="1958"/>
      <c r="R77" s="1958"/>
      <c r="X77" s="2127"/>
      <c r="Y77" s="2127"/>
      <c r="AA77" s="2128"/>
    </row>
    <row r="78" spans="1:27" ht="21.95" customHeight="1" x14ac:dyDescent="0.2">
      <c r="A78" s="3420">
        <f>'rekap MPU'!A409</f>
        <v>70</v>
      </c>
      <c r="B78" s="3366">
        <f t="shared" si="3"/>
        <v>64</v>
      </c>
      <c r="C78" s="3367"/>
      <c r="D78" s="3368" t="str">
        <f>'rekap MPU'!D429</f>
        <v xml:space="preserve">Waterproofing atap dak </v>
      </c>
      <c r="E78" s="3368"/>
      <c r="F78" s="3369"/>
      <c r="G78" s="2049">
        <f>'rekap MPU'!G429</f>
        <v>153.20949999999999</v>
      </c>
      <c r="H78" s="2050" t="str">
        <f>'rekap MPU'!H429</f>
        <v>m2</v>
      </c>
      <c r="I78" s="3370" t="str">
        <f>'rekap MPU'!I429</f>
        <v>Daftar harga</v>
      </c>
      <c r="J78" s="2055">
        <f>'rekap MPU'!J429</f>
        <v>52000</v>
      </c>
      <c r="K78" s="3371"/>
      <c r="L78" s="2057">
        <f t="shared" si="4"/>
        <v>7966894</v>
      </c>
      <c r="M78" s="3419">
        <f t="shared" si="5"/>
        <v>64</v>
      </c>
      <c r="P78" s="1958"/>
      <c r="Q78" s="1958"/>
      <c r="R78" s="1958"/>
      <c r="X78" s="2127"/>
      <c r="Y78" s="2127"/>
      <c r="AA78" s="2128"/>
    </row>
    <row r="79" spans="1:27" ht="21.95" customHeight="1" x14ac:dyDescent="0.2">
      <c r="A79" s="3420">
        <f>'rekap MPU'!A410</f>
        <v>72</v>
      </c>
      <c r="B79" s="3366">
        <f t="shared" ref="B79:B109" si="6">B78+1</f>
        <v>65</v>
      </c>
      <c r="C79" s="3367"/>
      <c r="D79" s="3368" t="str">
        <f>'rekap MPU'!D384</f>
        <v xml:space="preserve">Memasang lantai keramik unpolish ukuran 30/30 cm </v>
      </c>
      <c r="E79" s="3368"/>
      <c r="F79" s="3369"/>
      <c r="G79" s="2049">
        <f>'rekap MPU'!G384</f>
        <v>35.370000000000005</v>
      </c>
      <c r="H79" s="2050" t="str">
        <f>'rekap MPU'!H384</f>
        <v>m2</v>
      </c>
      <c r="I79" s="3370" t="str">
        <f>'rekap MPU'!I384</f>
        <v>A.4.4.3.35.</v>
      </c>
      <c r="J79" s="2055">
        <f>'rekap MPU'!J384</f>
        <v>186829.68</v>
      </c>
      <c r="K79" s="3371"/>
      <c r="L79" s="2057">
        <f t="shared" ref="L79:L111" si="7">ROUND((G79*J79),2)</f>
        <v>6608165.7800000003</v>
      </c>
      <c r="M79" s="3419">
        <f t="shared" ref="M79:M110" si="8">RANK(L79,$L$15:$L$112,0)</f>
        <v>65</v>
      </c>
      <c r="P79" s="1958"/>
      <c r="Q79" s="1958"/>
      <c r="R79" s="1958"/>
      <c r="X79" s="2127"/>
      <c r="Y79" s="2127"/>
      <c r="AA79" s="2128"/>
    </row>
    <row r="80" spans="1:27" ht="21.95" customHeight="1" x14ac:dyDescent="0.2">
      <c r="A80" s="3420">
        <f>'rekap MPU'!A411</f>
        <v>73</v>
      </c>
      <c r="B80" s="3366">
        <f t="shared" si="6"/>
        <v>66</v>
      </c>
      <c r="C80" s="3367"/>
      <c r="D80" s="3368" t="str">
        <f>'rekap MPU'!D398</f>
        <v>Memasang pipa PVC tipe AW diameter 1 1/2"</v>
      </c>
      <c r="E80" s="3368"/>
      <c r="F80" s="3369"/>
      <c r="G80" s="2049">
        <f>'rekap MPU'!G398</f>
        <v>124.8</v>
      </c>
      <c r="H80" s="2050" t="str">
        <f>'rekap MPU'!H398</f>
        <v>m'</v>
      </c>
      <c r="I80" s="3370" t="str">
        <f>'rekap MPU'!I398</f>
        <v>A.5.1.1.28.</v>
      </c>
      <c r="J80" s="2055">
        <f>'rekap MPU'!J398</f>
        <v>49932.95</v>
      </c>
      <c r="K80" s="3371"/>
      <c r="L80" s="2057">
        <f t="shared" si="7"/>
        <v>6231632.1600000001</v>
      </c>
      <c r="M80" s="3419">
        <f t="shared" si="8"/>
        <v>66</v>
      </c>
      <c r="P80" s="1958"/>
      <c r="Q80" s="1958"/>
      <c r="R80" s="1958"/>
      <c r="X80" s="2127"/>
      <c r="Y80" s="2127"/>
      <c r="AA80" s="2128"/>
    </row>
    <row r="81" spans="1:27" ht="21.95" customHeight="1" x14ac:dyDescent="0.2">
      <c r="A81" s="3420">
        <f>'rekap MPU'!A412</f>
        <v>74</v>
      </c>
      <c r="B81" s="3366">
        <f t="shared" si="6"/>
        <v>67</v>
      </c>
      <c r="C81" s="3367"/>
      <c r="D81" s="3368" t="str">
        <f>'rekap MPU'!D376</f>
        <v>Memasang list plafond PVC</v>
      </c>
      <c r="E81" s="3368"/>
      <c r="F81" s="3369"/>
      <c r="G81" s="2049">
        <f>'rekap MPU'!G376</f>
        <v>143.20000000000002</v>
      </c>
      <c r="H81" s="2050" t="str">
        <f>'rekap MPU'!H376</f>
        <v>m'</v>
      </c>
      <c r="I81" s="3370" t="str">
        <f>'rekap MPU'!I376</f>
        <v>An.Dihitung</v>
      </c>
      <c r="J81" s="2055">
        <f>'rekap MPU'!J376</f>
        <v>39690.120000000003</v>
      </c>
      <c r="K81" s="3371"/>
      <c r="L81" s="2057">
        <f t="shared" si="7"/>
        <v>5683625.1799999997</v>
      </c>
      <c r="M81" s="3419">
        <f t="shared" si="8"/>
        <v>67</v>
      </c>
      <c r="P81" s="1958"/>
      <c r="Q81" s="1958"/>
      <c r="R81" s="1958"/>
      <c r="X81" s="2127"/>
      <c r="Y81" s="2127"/>
      <c r="AA81" s="2128"/>
    </row>
    <row r="82" spans="1:27" ht="21.95" customHeight="1" x14ac:dyDescent="0.2">
      <c r="A82" s="3420">
        <f>'rekap MPU'!A413</f>
        <v>75</v>
      </c>
      <c r="B82" s="3366">
        <f t="shared" si="6"/>
        <v>68</v>
      </c>
      <c r="C82" s="3367"/>
      <c r="D82" s="3368" t="str">
        <f>'rekap MPU'!D356</f>
        <v>Memasang batu kosong ( anstamping )</v>
      </c>
      <c r="E82" s="3368"/>
      <c r="F82" s="3369"/>
      <c r="G82" s="2049">
        <f>'rekap MPU'!G356</f>
        <v>9.9200000000000017</v>
      </c>
      <c r="H82" s="2050" t="str">
        <f>'rekap MPU'!H356</f>
        <v>m3</v>
      </c>
      <c r="I82" s="3370" t="str">
        <f>'rekap MPU'!I356</f>
        <v>A.3.2.1.9.</v>
      </c>
      <c r="J82" s="2055">
        <f>'rekap MPU'!J356</f>
        <v>571377.72</v>
      </c>
      <c r="K82" s="3371"/>
      <c r="L82" s="2057">
        <f t="shared" si="7"/>
        <v>5668066.9800000004</v>
      </c>
      <c r="M82" s="3419">
        <f t="shared" si="8"/>
        <v>68</v>
      </c>
      <c r="P82" s="1958"/>
      <c r="Q82" s="1958"/>
      <c r="R82" s="1958"/>
      <c r="X82" s="2127"/>
      <c r="Y82" s="2127"/>
      <c r="AA82" s="2128"/>
    </row>
    <row r="83" spans="1:27" ht="21.95" customHeight="1" x14ac:dyDescent="0.2">
      <c r="A83" s="3420">
        <f>'rekap MPU'!A414</f>
        <v>76</v>
      </c>
      <c r="B83" s="3366">
        <f t="shared" si="6"/>
        <v>69</v>
      </c>
      <c r="C83" s="3367"/>
      <c r="D83" s="3368" t="str">
        <f>'rekap MPU'!D407</f>
        <v>Instalasi kabel power (4x16mm)</v>
      </c>
      <c r="E83" s="3368"/>
      <c r="F83" s="3369"/>
      <c r="G83" s="2049">
        <f>'rekap MPU'!G407</f>
        <v>10.8</v>
      </c>
      <c r="H83" s="2050" t="str">
        <f>'rekap MPU'!H407</f>
        <v>ttk</v>
      </c>
      <c r="I83" s="3370" t="str">
        <f>'rekap MPU'!I407</f>
        <v>An. Dihitung</v>
      </c>
      <c r="J83" s="2055">
        <f>'rekap MPU'!J407</f>
        <v>490227.9</v>
      </c>
      <c r="K83" s="3371"/>
      <c r="L83" s="2057">
        <f t="shared" si="7"/>
        <v>5294461.32</v>
      </c>
      <c r="M83" s="3419">
        <f t="shared" si="8"/>
        <v>69</v>
      </c>
      <c r="P83" s="1958"/>
      <c r="Q83" s="1958"/>
      <c r="R83" s="1958"/>
      <c r="X83" s="2127"/>
      <c r="Y83" s="2127"/>
      <c r="AA83" s="2128"/>
    </row>
    <row r="84" spans="1:27" ht="21.95" customHeight="1" x14ac:dyDescent="0.2">
      <c r="A84" s="3420">
        <f>'rekap MPU'!A415</f>
        <v>77</v>
      </c>
      <c r="B84" s="3366">
        <f t="shared" si="6"/>
        <v>70</v>
      </c>
      <c r="C84" s="3367"/>
      <c r="D84" s="3368" t="str">
        <f>'rekap MPU'!D434</f>
        <v>Panel uk 50x70x25 lengkap dengan asesoris 3 phase</v>
      </c>
      <c r="E84" s="3368"/>
      <c r="F84" s="3369"/>
      <c r="G84" s="2049">
        <f>'rekap MPU'!G434</f>
        <v>1</v>
      </c>
      <c r="H84" s="2050" t="str">
        <f>'rekap MPU'!H434</f>
        <v>unit</v>
      </c>
      <c r="I84" s="3370" t="str">
        <f>'rekap MPU'!I434</f>
        <v>Daftar harga</v>
      </c>
      <c r="J84" s="2055">
        <f>'rekap MPU'!J434</f>
        <v>5000000</v>
      </c>
      <c r="K84" s="3371"/>
      <c r="L84" s="2057">
        <f t="shared" si="7"/>
        <v>5000000</v>
      </c>
      <c r="M84" s="3419">
        <f t="shared" si="8"/>
        <v>70</v>
      </c>
      <c r="P84" s="1958"/>
      <c r="Q84" s="1958"/>
      <c r="R84" s="1958"/>
      <c r="X84" s="2127"/>
      <c r="Y84" s="2127"/>
      <c r="AA84" s="2128"/>
    </row>
    <row r="85" spans="1:27" ht="21.95" customHeight="1" x14ac:dyDescent="0.2">
      <c r="A85" s="3420">
        <f>'rekap MPU'!A416</f>
        <v>78</v>
      </c>
      <c r="B85" s="3366">
        <f t="shared" si="6"/>
        <v>71</v>
      </c>
      <c r="C85" s="3367"/>
      <c r="D85" s="3368" t="str">
        <f>'rekap MPU'!D391</f>
        <v>Pasang bubungan galvalum pasir</v>
      </c>
      <c r="E85" s="3368"/>
      <c r="F85" s="3369"/>
      <c r="G85" s="2049">
        <f>'rekap MPU'!G391</f>
        <v>74.400000000000006</v>
      </c>
      <c r="H85" s="2050" t="str">
        <f>'rekap MPU'!H391</f>
        <v>m'</v>
      </c>
      <c r="I85" s="3370" t="str">
        <f>'rekap MPU'!I391</f>
        <v>A.4.5.2.39a.</v>
      </c>
      <c r="J85" s="2055">
        <f>'rekap MPU'!J391</f>
        <v>66180.710000000006</v>
      </c>
      <c r="K85" s="3371"/>
      <c r="L85" s="2057">
        <f t="shared" si="7"/>
        <v>4923844.82</v>
      </c>
      <c r="M85" s="3419">
        <f t="shared" si="8"/>
        <v>71</v>
      </c>
      <c r="P85" s="1958"/>
      <c r="Q85" s="1958"/>
      <c r="R85" s="1958"/>
      <c r="X85" s="2127"/>
      <c r="Y85" s="2127"/>
      <c r="AA85" s="2128"/>
    </row>
    <row r="86" spans="1:27" ht="21.95" customHeight="1" x14ac:dyDescent="0.2">
      <c r="A86" s="3420">
        <f>'rekap MPU'!A417</f>
        <v>79</v>
      </c>
      <c r="B86" s="3366">
        <f t="shared" si="6"/>
        <v>72</v>
      </c>
      <c r="C86" s="3367"/>
      <c r="D86" s="3368" t="str">
        <f>'rekap MPU'!D433</f>
        <v>Panel uk 40x60x25 lengkap dengan asesoris 3 phase</v>
      </c>
      <c r="E86" s="3368"/>
      <c r="F86" s="3369"/>
      <c r="G86" s="2049">
        <f>'rekap MPU'!G433</f>
        <v>1</v>
      </c>
      <c r="H86" s="2050" t="str">
        <f>'rekap MPU'!H433</f>
        <v>unit</v>
      </c>
      <c r="I86" s="3370" t="str">
        <f>'rekap MPU'!I433</f>
        <v>Daftar harga</v>
      </c>
      <c r="J86" s="2055">
        <f>'rekap MPU'!J433</f>
        <v>4500000</v>
      </c>
      <c r="K86" s="3371"/>
      <c r="L86" s="2057">
        <f t="shared" si="7"/>
        <v>4500000</v>
      </c>
      <c r="M86" s="3419">
        <f t="shared" si="8"/>
        <v>72</v>
      </c>
      <c r="P86" s="1958"/>
      <c r="Q86" s="1958"/>
      <c r="R86" s="1958"/>
      <c r="X86" s="2127"/>
      <c r="Y86" s="2127"/>
      <c r="AA86" s="2128"/>
    </row>
    <row r="87" spans="1:27" ht="21.95" customHeight="1" x14ac:dyDescent="0.2">
      <c r="A87" s="3420">
        <f>'rekap MPU'!A418</f>
        <v>80</v>
      </c>
      <c r="B87" s="3366">
        <f t="shared" si="6"/>
        <v>73</v>
      </c>
      <c r="C87" s="3367"/>
      <c r="D87" s="3368" t="str">
        <f>'rekap MPU'!D438</f>
        <v>Torn kapasitas 1000ltr+radar otomatis</v>
      </c>
      <c r="E87" s="3368"/>
      <c r="F87" s="3369"/>
      <c r="G87" s="2049">
        <f>'rekap MPU'!G438</f>
        <v>2</v>
      </c>
      <c r="H87" s="2050" t="str">
        <f>'rekap MPU'!H438</f>
        <v>unit</v>
      </c>
      <c r="I87" s="3370" t="str">
        <f>'rekap MPU'!I438</f>
        <v>Daftar harga</v>
      </c>
      <c r="J87" s="2055">
        <f>'rekap MPU'!J438</f>
        <v>2250000</v>
      </c>
      <c r="K87" s="3371"/>
      <c r="L87" s="2057">
        <f t="shared" si="7"/>
        <v>4500000</v>
      </c>
      <c r="M87" s="3419">
        <f t="shared" si="8"/>
        <v>72</v>
      </c>
      <c r="P87" s="1958"/>
      <c r="Q87" s="1958"/>
      <c r="R87" s="1958"/>
      <c r="X87" s="2127"/>
      <c r="Y87" s="2127"/>
      <c r="AA87" s="2128"/>
    </row>
    <row r="88" spans="1:27" ht="21.95" customHeight="1" x14ac:dyDescent="0.2">
      <c r="A88" s="3420">
        <f>'rekap MPU'!A419</f>
        <v>81</v>
      </c>
      <c r="B88" s="3366">
        <f t="shared" si="6"/>
        <v>74</v>
      </c>
      <c r="C88" s="3367"/>
      <c r="D88" s="3368" t="str">
        <f>'rekap MPU'!D400</f>
        <v>Memasang pipa PVC tipe AW diameter 3"</v>
      </c>
      <c r="E88" s="3368"/>
      <c r="F88" s="3369"/>
      <c r="G88" s="2049">
        <f>'rekap MPU'!G400</f>
        <v>41.8</v>
      </c>
      <c r="H88" s="2050" t="str">
        <f>'rekap MPU'!H400</f>
        <v>m'</v>
      </c>
      <c r="I88" s="3370" t="str">
        <f>'rekap MPU'!I400</f>
        <v>A.5.1.1.31.</v>
      </c>
      <c r="J88" s="2055">
        <f>'rekap MPU'!J400</f>
        <v>103284.6</v>
      </c>
      <c r="K88" s="3371"/>
      <c r="L88" s="2057">
        <f t="shared" si="7"/>
        <v>4317296.28</v>
      </c>
      <c r="M88" s="3419">
        <f t="shared" si="8"/>
        <v>74</v>
      </c>
      <c r="P88" s="1958"/>
      <c r="Q88" s="1958"/>
      <c r="R88" s="1958"/>
      <c r="X88" s="2127"/>
      <c r="Y88" s="2127"/>
      <c r="AA88" s="2128"/>
    </row>
    <row r="89" spans="1:27" ht="21.95" customHeight="1" x14ac:dyDescent="0.2">
      <c r="A89" s="3420">
        <f>'rekap MPU'!A420</f>
        <v>82</v>
      </c>
      <c r="B89" s="3366">
        <f t="shared" si="6"/>
        <v>75</v>
      </c>
      <c r="C89" s="3367"/>
      <c r="D89" s="3368" t="str">
        <f>'rekap MPU'!D395</f>
        <v>Memasang floor drain stainless</v>
      </c>
      <c r="E89" s="3368"/>
      <c r="F89" s="3369"/>
      <c r="G89" s="2049">
        <f>'rekap MPU'!G395</f>
        <v>31</v>
      </c>
      <c r="H89" s="2050" t="str">
        <f>'rekap MPU'!H395</f>
        <v>bh</v>
      </c>
      <c r="I89" s="3370" t="str">
        <f>'rekap MPU'!I395</f>
        <v>A.5.1.1.14.</v>
      </c>
      <c r="J89" s="2055">
        <f>'rekap MPU'!J395</f>
        <v>120111.09</v>
      </c>
      <c r="K89" s="3371"/>
      <c r="L89" s="2057">
        <f t="shared" si="7"/>
        <v>3723443.79</v>
      </c>
      <c r="M89" s="3419">
        <f t="shared" si="8"/>
        <v>75</v>
      </c>
      <c r="P89" s="1958"/>
      <c r="Q89" s="1958"/>
      <c r="R89" s="1958"/>
      <c r="X89" s="2127"/>
      <c r="Y89" s="2127"/>
      <c r="AA89" s="2128"/>
    </row>
    <row r="90" spans="1:27" ht="21.95" customHeight="1" x14ac:dyDescent="0.2">
      <c r="A90" s="3420">
        <f>'rekap MPU'!A421</f>
        <v>83</v>
      </c>
      <c r="B90" s="3366">
        <f t="shared" si="6"/>
        <v>76</v>
      </c>
      <c r="C90" s="3367"/>
      <c r="D90" s="3368" t="str">
        <f>'rekap MPU'!D412</f>
        <v>Instalasi titik Data CAT 6</v>
      </c>
      <c r="E90" s="3368"/>
      <c r="F90" s="3369"/>
      <c r="G90" s="2049">
        <f>'rekap MPU'!G412</f>
        <v>24</v>
      </c>
      <c r="H90" s="2050" t="str">
        <f>'rekap MPU'!H412</f>
        <v>ttk</v>
      </c>
      <c r="I90" s="3370" t="str">
        <f>'rekap MPU'!I412</f>
        <v>An. Dihitung</v>
      </c>
      <c r="J90" s="2055">
        <f>'rekap MPU'!J412</f>
        <v>140437.33000000002</v>
      </c>
      <c r="K90" s="3371"/>
      <c r="L90" s="2057">
        <f t="shared" si="7"/>
        <v>3370495.92</v>
      </c>
      <c r="M90" s="3419">
        <f t="shared" si="8"/>
        <v>76</v>
      </c>
      <c r="P90" s="1958"/>
      <c r="Q90" s="1958"/>
      <c r="R90" s="1958"/>
      <c r="X90" s="2127"/>
      <c r="Y90" s="2127"/>
      <c r="AA90" s="2128"/>
    </row>
    <row r="91" spans="1:27" ht="21.95" customHeight="1" x14ac:dyDescent="0.2">
      <c r="A91" s="3420">
        <f>'rekap MPU'!A422</f>
        <v>84</v>
      </c>
      <c r="B91" s="3366">
        <f t="shared" si="6"/>
        <v>77</v>
      </c>
      <c r="C91" s="3367"/>
      <c r="D91" s="3368" t="str">
        <f>'rekap MPU'!D411</f>
        <v>Instalasi titik Telephone 2 pair</v>
      </c>
      <c r="E91" s="3368"/>
      <c r="F91" s="3369"/>
      <c r="G91" s="2049">
        <f>'rekap MPU'!G411</f>
        <v>34</v>
      </c>
      <c r="H91" s="2050" t="str">
        <f>'rekap MPU'!H411</f>
        <v>ttk</v>
      </c>
      <c r="I91" s="3370" t="str">
        <f>'rekap MPU'!I411</f>
        <v>An. Dihitung</v>
      </c>
      <c r="J91" s="2055">
        <f>'rekap MPU'!J411</f>
        <v>93371.9</v>
      </c>
      <c r="K91" s="3371"/>
      <c r="L91" s="2057">
        <f t="shared" si="7"/>
        <v>3174644.6</v>
      </c>
      <c r="M91" s="3419">
        <f t="shared" si="8"/>
        <v>77</v>
      </c>
      <c r="P91" s="1958"/>
      <c r="Q91" s="1958"/>
      <c r="R91" s="1958"/>
      <c r="X91" s="2127"/>
      <c r="Y91" s="2127"/>
      <c r="AA91" s="2128"/>
    </row>
    <row r="92" spans="1:27" ht="21.95" customHeight="1" x14ac:dyDescent="0.2">
      <c r="A92" s="3420">
        <f>'rekap MPU'!A423</f>
        <v>85</v>
      </c>
      <c r="B92" s="3366">
        <f t="shared" si="6"/>
        <v>78</v>
      </c>
      <c r="C92" s="3367"/>
      <c r="D92" s="3368" t="str">
        <f>'rekap MPU'!D415</f>
        <v>Memasang stop kontak</v>
      </c>
      <c r="E92" s="3368"/>
      <c r="F92" s="3369"/>
      <c r="G92" s="2049">
        <f>'rekap MPU'!G415</f>
        <v>84</v>
      </c>
      <c r="H92" s="2050" t="str">
        <f>'rekap MPU'!H415</f>
        <v>bh</v>
      </c>
      <c r="I92" s="3370" t="str">
        <f>'rekap MPU'!I415</f>
        <v>An. Dihitung</v>
      </c>
      <c r="J92" s="2055">
        <f>'rekap MPU'!J415</f>
        <v>37730.699999999997</v>
      </c>
      <c r="K92" s="3371"/>
      <c r="L92" s="2057">
        <f t="shared" si="7"/>
        <v>3169378.8</v>
      </c>
      <c r="M92" s="3419">
        <f t="shared" si="8"/>
        <v>78</v>
      </c>
      <c r="P92" s="1958"/>
      <c r="Q92" s="1958"/>
      <c r="R92" s="1958"/>
      <c r="X92" s="2127"/>
      <c r="Y92" s="2127"/>
      <c r="AA92" s="2128"/>
    </row>
    <row r="93" spans="1:27" ht="21.95" customHeight="1" x14ac:dyDescent="0.2">
      <c r="A93" s="3420">
        <f>'rekap MPU'!A424</f>
        <v>86</v>
      </c>
      <c r="B93" s="3366">
        <f t="shared" si="6"/>
        <v>79</v>
      </c>
      <c r="C93" s="3367"/>
      <c r="D93" s="3368" t="str">
        <f>'rekap MPU'!D442</f>
        <v>Testing &amp; Comissioning Instalasi Litrik</v>
      </c>
      <c r="E93" s="3368"/>
      <c r="F93" s="3369"/>
      <c r="G93" s="2049">
        <f>'rekap MPU'!G442</f>
        <v>1</v>
      </c>
      <c r="H93" s="2050" t="str">
        <f>'rekap MPU'!H442</f>
        <v>lot</v>
      </c>
      <c r="I93" s="3370" t="str">
        <f>'rekap MPU'!I442</f>
        <v>Daftar harga</v>
      </c>
      <c r="J93" s="2055">
        <f>'rekap MPU'!J442</f>
        <v>3100000</v>
      </c>
      <c r="K93" s="3371"/>
      <c r="L93" s="2057">
        <f t="shared" si="7"/>
        <v>3100000</v>
      </c>
      <c r="M93" s="3419">
        <f t="shared" si="8"/>
        <v>79</v>
      </c>
      <c r="P93" s="1958"/>
      <c r="Q93" s="1958"/>
      <c r="R93" s="1958"/>
      <c r="X93" s="2127"/>
      <c r="Y93" s="2127"/>
      <c r="AA93" s="2128"/>
    </row>
    <row r="94" spans="1:27" ht="21.95" customHeight="1" x14ac:dyDescent="0.2">
      <c r="A94" s="3420">
        <f>'rekap MPU'!A425</f>
        <v>88</v>
      </c>
      <c r="B94" s="3366">
        <f t="shared" si="6"/>
        <v>80</v>
      </c>
      <c r="C94" s="3367"/>
      <c r="D94" s="3368" t="str">
        <f>'rekap MPU'!D419</f>
        <v>Memasang downlight LED 10 watt tipe inbow</v>
      </c>
      <c r="E94" s="3368"/>
      <c r="F94" s="3369"/>
      <c r="G94" s="2049">
        <f>'rekap MPU'!G419</f>
        <v>24</v>
      </c>
      <c r="H94" s="2050" t="str">
        <f>'rekap MPU'!H419</f>
        <v>ttk</v>
      </c>
      <c r="I94" s="3370" t="str">
        <f>'rekap MPU'!I419</f>
        <v>An. Dihitung</v>
      </c>
      <c r="J94" s="2055">
        <f>'rekap MPU'!J419</f>
        <v>124333.9</v>
      </c>
      <c r="K94" s="3371"/>
      <c r="L94" s="2057">
        <f t="shared" si="7"/>
        <v>2984013.6</v>
      </c>
      <c r="M94" s="3419">
        <f t="shared" si="8"/>
        <v>80</v>
      </c>
      <c r="P94" s="1958"/>
      <c r="Q94" s="1958"/>
      <c r="R94" s="1958"/>
      <c r="X94" s="2127"/>
      <c r="Y94" s="2127"/>
      <c r="AA94" s="2128"/>
    </row>
    <row r="95" spans="1:27" ht="21.95" customHeight="1" x14ac:dyDescent="0.2">
      <c r="A95" s="3420">
        <f>'rekap MPU'!A426</f>
        <v>89</v>
      </c>
      <c r="B95" s="3366">
        <f t="shared" si="6"/>
        <v>81</v>
      </c>
      <c r="C95" s="3367"/>
      <c r="D95" s="3368" t="str">
        <f>'rekap MPU'!D416</f>
        <v xml:space="preserve">Memasang stop kontak AC </v>
      </c>
      <c r="E95" s="3368"/>
      <c r="F95" s="3369"/>
      <c r="G95" s="2049">
        <f>'rekap MPU'!G416</f>
        <v>25</v>
      </c>
      <c r="H95" s="2050" t="str">
        <f>'rekap MPU'!H416</f>
        <v>bh</v>
      </c>
      <c r="I95" s="3370" t="str">
        <f>'rekap MPU'!I416</f>
        <v>An. Dihitung</v>
      </c>
      <c r="J95" s="2055">
        <f>'rekap MPU'!J416</f>
        <v>115836.3</v>
      </c>
      <c r="K95" s="3371"/>
      <c r="L95" s="2057">
        <f t="shared" si="7"/>
        <v>2895907.5</v>
      </c>
      <c r="M95" s="3419">
        <f t="shared" si="8"/>
        <v>81</v>
      </c>
      <c r="P95" s="1958"/>
      <c r="Q95" s="1958"/>
      <c r="R95" s="1958"/>
      <c r="X95" s="2127"/>
      <c r="Y95" s="2127"/>
      <c r="AA95" s="2128"/>
    </row>
    <row r="96" spans="1:27" ht="21.95" customHeight="1" x14ac:dyDescent="0.2">
      <c r="A96" s="3420">
        <f>'rekap MPU'!A427</f>
        <v>90</v>
      </c>
      <c r="B96" s="3366">
        <f t="shared" si="6"/>
        <v>82</v>
      </c>
      <c r="C96" s="3367"/>
      <c r="D96" s="3368" t="str">
        <f>'rekap MPU'!D413</f>
        <v>Memasang saklar ganda</v>
      </c>
      <c r="E96" s="3368"/>
      <c r="F96" s="3369"/>
      <c r="G96" s="2049">
        <f>'rekap MPU'!G413</f>
        <v>56</v>
      </c>
      <c r="H96" s="2050" t="str">
        <f>'rekap MPU'!H413</f>
        <v>bh</v>
      </c>
      <c r="I96" s="3370" t="str">
        <f>'rekap MPU'!I413</f>
        <v>An. Dihitung</v>
      </c>
      <c r="J96" s="2055">
        <f>'rekap MPU'!J413</f>
        <v>49855.6</v>
      </c>
      <c r="K96" s="3371"/>
      <c r="L96" s="2057">
        <f t="shared" si="7"/>
        <v>2791913.6</v>
      </c>
      <c r="M96" s="3419">
        <f t="shared" si="8"/>
        <v>82</v>
      </c>
      <c r="P96" s="1958"/>
      <c r="Q96" s="1958"/>
      <c r="R96" s="1958"/>
      <c r="X96" s="2127"/>
      <c r="Y96" s="2127"/>
      <c r="AA96" s="2128"/>
    </row>
    <row r="97" spans="1:27" ht="21.95" customHeight="1" x14ac:dyDescent="0.2">
      <c r="A97" s="3420">
        <f>'rekap MPU'!A428</f>
        <v>91</v>
      </c>
      <c r="B97" s="3366">
        <f t="shared" si="6"/>
        <v>83</v>
      </c>
      <c r="C97" s="3367"/>
      <c r="D97" s="3368" t="str">
        <f>'rekap MPU'!D418</f>
        <v>Memasang stop kontak outlet Data</v>
      </c>
      <c r="E97" s="3368"/>
      <c r="F97" s="3369"/>
      <c r="G97" s="2049">
        <f>'rekap MPU'!G418</f>
        <v>20</v>
      </c>
      <c r="H97" s="2050" t="str">
        <f>'rekap MPU'!H418</f>
        <v>bh</v>
      </c>
      <c r="I97" s="3370" t="str">
        <f>'rekap MPU'!I418</f>
        <v>An. Dihitung</v>
      </c>
      <c r="J97" s="2055">
        <f>'rekap MPU'!J418</f>
        <v>136278</v>
      </c>
      <c r="K97" s="3371"/>
      <c r="L97" s="2057">
        <f t="shared" si="7"/>
        <v>2725560</v>
      </c>
      <c r="M97" s="3419">
        <f t="shared" si="8"/>
        <v>83</v>
      </c>
      <c r="P97" s="1958"/>
      <c r="Q97" s="1958"/>
      <c r="R97" s="1958"/>
      <c r="X97" s="2127"/>
      <c r="Y97" s="2127"/>
      <c r="AA97" s="2128"/>
    </row>
    <row r="98" spans="1:27" ht="21.95" customHeight="1" x14ac:dyDescent="0.2">
      <c r="A98" s="3420">
        <f>'rekap MPU'!A429</f>
        <v>93</v>
      </c>
      <c r="B98" s="3366">
        <f t="shared" si="6"/>
        <v>84</v>
      </c>
      <c r="C98" s="3367"/>
      <c r="D98" s="3368" t="str">
        <f>'rekap MPU'!D403</f>
        <v>Memasang kran diameter 1/2", onda stainless</v>
      </c>
      <c r="E98" s="3368"/>
      <c r="F98" s="3369"/>
      <c r="G98" s="2049">
        <f>'rekap MPU'!G403</f>
        <v>15</v>
      </c>
      <c r="H98" s="2050" t="str">
        <f>'rekap MPU'!H403</f>
        <v>bh</v>
      </c>
      <c r="I98" s="3370" t="str">
        <f>'rekap MPU'!I403</f>
        <v>A.5.1.1.19.</v>
      </c>
      <c r="J98" s="2055">
        <f>'rekap MPU'!J403</f>
        <v>170986.52</v>
      </c>
      <c r="K98" s="3371"/>
      <c r="L98" s="2057">
        <f t="shared" si="7"/>
        <v>2564797.7999999998</v>
      </c>
      <c r="M98" s="3419">
        <f t="shared" si="8"/>
        <v>84</v>
      </c>
      <c r="P98" s="1958"/>
      <c r="Q98" s="1958"/>
      <c r="R98" s="1958"/>
      <c r="X98" s="2127"/>
      <c r="Y98" s="2127"/>
      <c r="AA98" s="2128"/>
    </row>
    <row r="99" spans="1:27" ht="21.95" customHeight="1" x14ac:dyDescent="0.2">
      <c r="A99" s="3420">
        <f>'rekap MPU'!A430</f>
        <v>94</v>
      </c>
      <c r="B99" s="3366">
        <f t="shared" si="6"/>
        <v>85</v>
      </c>
      <c r="C99" s="3367"/>
      <c r="D99" s="3368" t="str">
        <f>'rekap MPU'!D399</f>
        <v>Memasang pipa PVC tipe AW diameter 2"</v>
      </c>
      <c r="E99" s="3368"/>
      <c r="F99" s="3369"/>
      <c r="G99" s="2049">
        <f>'rekap MPU'!G399</f>
        <v>27.8</v>
      </c>
      <c r="H99" s="2050" t="str">
        <f>'rekap MPU'!H399</f>
        <v>m'</v>
      </c>
      <c r="I99" s="3370" t="str">
        <f>'rekap MPU'!I399</f>
        <v>A.5.1.1.29.</v>
      </c>
      <c r="J99" s="2055">
        <f>'rekap MPU'!J399</f>
        <v>78438.61</v>
      </c>
      <c r="K99" s="3371"/>
      <c r="L99" s="2057">
        <f t="shared" si="7"/>
        <v>2180593.36</v>
      </c>
      <c r="M99" s="3419">
        <f t="shared" si="8"/>
        <v>85</v>
      </c>
      <c r="P99" s="1958"/>
      <c r="Q99" s="1958"/>
      <c r="R99" s="1958"/>
      <c r="X99" s="2127"/>
      <c r="Y99" s="2127"/>
      <c r="AA99" s="2128"/>
    </row>
    <row r="100" spans="1:27" ht="21.95" customHeight="1" x14ac:dyDescent="0.2">
      <c r="A100" s="3420">
        <f>'rekap MPU'!A431</f>
        <v>95</v>
      </c>
      <c r="B100" s="3366">
        <f t="shared" si="6"/>
        <v>86</v>
      </c>
      <c r="C100" s="3367"/>
      <c r="D100" s="3368" t="str">
        <f>'rekap MPU'!D357</f>
        <v>Membuat dinding bata merah tebal 1 bata , camp 1 PC : 5 PP</v>
      </c>
      <c r="E100" s="3368"/>
      <c r="F100" s="3369"/>
      <c r="G100" s="2049">
        <f>'rekap MPU'!G357</f>
        <v>7.68</v>
      </c>
      <c r="H100" s="2050" t="str">
        <f>'rekap MPU'!H357</f>
        <v>m2</v>
      </c>
      <c r="I100" s="3370" t="str">
        <f>'rekap MPU'!I357</f>
        <v>A.4.4.1.4.</v>
      </c>
      <c r="J100" s="2055">
        <f>'rekap MPU'!J357</f>
        <v>272058.8</v>
      </c>
      <c r="K100" s="3371"/>
      <c r="L100" s="2057">
        <f t="shared" si="7"/>
        <v>2089411.58</v>
      </c>
      <c r="M100" s="3419">
        <f t="shared" si="8"/>
        <v>86</v>
      </c>
      <c r="P100" s="1958"/>
      <c r="Q100" s="1958"/>
      <c r="R100" s="1958"/>
      <c r="X100" s="2127"/>
      <c r="Y100" s="2127"/>
      <c r="AA100" s="2128"/>
    </row>
    <row r="101" spans="1:27" ht="21.95" customHeight="1" x14ac:dyDescent="0.2">
      <c r="A101" s="3420">
        <f>'rekap MPU'!A432</f>
        <v>96</v>
      </c>
      <c r="B101" s="3366">
        <f t="shared" si="6"/>
        <v>87</v>
      </c>
      <c r="C101" s="3367"/>
      <c r="D101" s="3368" t="str">
        <f>'rekap MPU'!D397</f>
        <v>Memasang pipa PVC tipe AW diameter 1"</v>
      </c>
      <c r="E101" s="3368"/>
      <c r="F101" s="3369"/>
      <c r="G101" s="2049">
        <f>'rekap MPU'!G397</f>
        <v>64.8</v>
      </c>
      <c r="H101" s="2050" t="str">
        <f>'rekap MPU'!H397</f>
        <v>m'</v>
      </c>
      <c r="I101" s="3370" t="str">
        <f>'rekap MPU'!I397</f>
        <v>A.5.1.1.27.</v>
      </c>
      <c r="J101" s="2055">
        <f>'rekap MPU'!J397</f>
        <v>26924.85</v>
      </c>
      <c r="K101" s="3371"/>
      <c r="L101" s="2057">
        <f t="shared" si="7"/>
        <v>1744730.28</v>
      </c>
      <c r="M101" s="3419">
        <f t="shared" si="8"/>
        <v>87</v>
      </c>
      <c r="P101" s="1958"/>
      <c r="Q101" s="1958"/>
      <c r="R101" s="1958"/>
      <c r="X101" s="2127"/>
      <c r="Y101" s="2127"/>
      <c r="AA101" s="2128"/>
    </row>
    <row r="102" spans="1:27" ht="21.95" customHeight="1" x14ac:dyDescent="0.2">
      <c r="A102" s="3420">
        <f>'rekap MPU'!A433</f>
        <v>97</v>
      </c>
      <c r="B102" s="3366">
        <f t="shared" si="6"/>
        <v>88</v>
      </c>
      <c r="C102" s="3367"/>
      <c r="D102" s="3368" t="str">
        <f>'rekap MPU'!D435</f>
        <v>doorcloser tanam</v>
      </c>
      <c r="E102" s="3368"/>
      <c r="F102" s="3369"/>
      <c r="G102" s="2049">
        <f>'rekap MPU'!G435</f>
        <v>2</v>
      </c>
      <c r="H102" s="2050" t="str">
        <f>'rekap MPU'!H435</f>
        <v>bh</v>
      </c>
      <c r="I102" s="3370" t="str">
        <f>'rekap MPU'!I435</f>
        <v>Daftar harga</v>
      </c>
      <c r="J102" s="2055">
        <f>'rekap MPU'!J435</f>
        <v>850000</v>
      </c>
      <c r="K102" s="3371"/>
      <c r="L102" s="2057">
        <f t="shared" si="7"/>
        <v>1700000</v>
      </c>
      <c r="M102" s="3419">
        <f t="shared" si="8"/>
        <v>88</v>
      </c>
      <c r="P102" s="1958"/>
      <c r="Q102" s="1958"/>
      <c r="R102" s="1958"/>
      <c r="X102" s="2127"/>
      <c r="Y102" s="2127"/>
      <c r="AA102" s="2128"/>
    </row>
    <row r="103" spans="1:27" ht="21.95" customHeight="1" x14ac:dyDescent="0.2">
      <c r="A103" s="3420">
        <f>'rekap MPU'!A434</f>
        <v>98</v>
      </c>
      <c r="B103" s="3366">
        <f t="shared" si="6"/>
        <v>89</v>
      </c>
      <c r="C103" s="3367"/>
      <c r="D103" s="3368" t="str">
        <f>'rekap MPU'!D432</f>
        <v>Pemasangan stop kran PVC 1 1/2"</v>
      </c>
      <c r="E103" s="3368"/>
      <c r="F103" s="3369"/>
      <c r="G103" s="2049">
        <f>'rekap MPU'!G432</f>
        <v>8</v>
      </c>
      <c r="H103" s="2050" t="str">
        <f>'rekap MPU'!H432</f>
        <v>bh</v>
      </c>
      <c r="I103" s="3370" t="str">
        <f>'rekap MPU'!I432</f>
        <v>Daftar harga</v>
      </c>
      <c r="J103" s="2055">
        <f>'rekap MPU'!J432</f>
        <v>159000</v>
      </c>
      <c r="K103" s="3371"/>
      <c r="L103" s="2057">
        <f t="shared" si="7"/>
        <v>1272000</v>
      </c>
      <c r="M103" s="3419">
        <f t="shared" si="8"/>
        <v>89</v>
      </c>
      <c r="P103" s="1958"/>
      <c r="Q103" s="1958"/>
      <c r="R103" s="1958"/>
      <c r="X103" s="2127"/>
      <c r="Y103" s="2127"/>
      <c r="AA103" s="2128"/>
    </row>
    <row r="104" spans="1:27" ht="21.95" customHeight="1" x14ac:dyDescent="0.2">
      <c r="A104" s="3420">
        <f>'rekap MPU'!A435</f>
        <v>99</v>
      </c>
      <c r="B104" s="3366">
        <f t="shared" si="6"/>
        <v>90</v>
      </c>
      <c r="C104" s="3367"/>
      <c r="D104" s="3368" t="str">
        <f>'rekap MPU'!D396</f>
        <v>Memasang pipa PVC tipe AW diameter 3/4"</v>
      </c>
      <c r="E104" s="3368"/>
      <c r="F104" s="3369"/>
      <c r="G104" s="2049">
        <f>'rekap MPU'!G396</f>
        <v>47</v>
      </c>
      <c r="H104" s="2050" t="str">
        <f>'rekap MPU'!H396</f>
        <v>m'</v>
      </c>
      <c r="I104" s="3370" t="str">
        <f>'rekap MPU'!I396</f>
        <v>A.5.1.1.26.</v>
      </c>
      <c r="J104" s="2055">
        <f>'rekap MPU'!J396</f>
        <v>24034.87</v>
      </c>
      <c r="K104" s="3371"/>
      <c r="L104" s="2057">
        <f t="shared" si="7"/>
        <v>1129638.8899999999</v>
      </c>
      <c r="M104" s="3419">
        <f t="shared" si="8"/>
        <v>90</v>
      </c>
      <c r="P104" s="1958"/>
      <c r="Q104" s="1958"/>
      <c r="R104" s="1958"/>
      <c r="X104" s="2127"/>
      <c r="Y104" s="2127"/>
      <c r="AA104" s="2128"/>
    </row>
    <row r="105" spans="1:27" ht="21.95" customHeight="1" x14ac:dyDescent="0.2">
      <c r="A105" s="3420">
        <f>'rekap MPU'!A436</f>
        <v>100</v>
      </c>
      <c r="B105" s="3366">
        <f t="shared" si="6"/>
        <v>91</v>
      </c>
      <c r="C105" s="3367"/>
      <c r="D105" s="3368" t="str">
        <f>'rekap MPU'!D402</f>
        <v>Memasang bak cuci piring stainlessteel dan aksesoris</v>
      </c>
      <c r="E105" s="3368"/>
      <c r="F105" s="3369"/>
      <c r="G105" s="2049">
        <f>'rekap MPU'!G402</f>
        <v>1</v>
      </c>
      <c r="H105" s="2050" t="str">
        <f>'rekap MPU'!H402</f>
        <v>bh</v>
      </c>
      <c r="I105" s="3370" t="str">
        <f>'rekap MPU'!I402</f>
        <v>A.5.1.1.12.</v>
      </c>
      <c r="J105" s="2055">
        <f>'rekap MPU'!J402</f>
        <v>1106133.27</v>
      </c>
      <c r="K105" s="3371"/>
      <c r="L105" s="2057">
        <f t="shared" si="7"/>
        <v>1106133.27</v>
      </c>
      <c r="M105" s="3419">
        <f t="shared" si="8"/>
        <v>91</v>
      </c>
      <c r="P105" s="1958"/>
      <c r="Q105" s="1958"/>
      <c r="R105" s="1958"/>
      <c r="X105" s="2127"/>
      <c r="Y105" s="2127"/>
      <c r="AA105" s="2128"/>
    </row>
    <row r="106" spans="1:27" ht="21.95" customHeight="1" x14ac:dyDescent="0.2">
      <c r="A106" s="3420">
        <f>'rekap MPU'!A437</f>
        <v>101</v>
      </c>
      <c r="B106" s="3366">
        <f t="shared" si="6"/>
        <v>92</v>
      </c>
      <c r="C106" s="3367"/>
      <c r="D106" s="3368" t="str">
        <f>'rekap MPU'!D414</f>
        <v>Memasang saklar tunggal</v>
      </c>
      <c r="E106" s="3368"/>
      <c r="F106" s="3369"/>
      <c r="G106" s="2049">
        <f>'rekap MPU'!G414</f>
        <v>23</v>
      </c>
      <c r="H106" s="2050" t="str">
        <f>'rekap MPU'!H414</f>
        <v>bh</v>
      </c>
      <c r="I106" s="3370" t="str">
        <f>'rekap MPU'!I414</f>
        <v>An. Dihitung</v>
      </c>
      <c r="J106" s="2055">
        <f>'rekap MPU'!J414</f>
        <v>41826.949999999997</v>
      </c>
      <c r="K106" s="3371"/>
      <c r="L106" s="2057">
        <f t="shared" si="7"/>
        <v>962019.85</v>
      </c>
      <c r="M106" s="3419">
        <f t="shared" si="8"/>
        <v>92</v>
      </c>
      <c r="P106" s="1958"/>
      <c r="Q106" s="1958"/>
      <c r="R106" s="1958"/>
      <c r="X106" s="2127"/>
      <c r="Y106" s="2127"/>
      <c r="AA106" s="2128"/>
    </row>
    <row r="107" spans="1:27" ht="21.95" customHeight="1" x14ac:dyDescent="0.2">
      <c r="A107" s="3420">
        <f>'rekap MPU'!A438</f>
        <v>102</v>
      </c>
      <c r="B107" s="3366">
        <f t="shared" si="6"/>
        <v>93</v>
      </c>
      <c r="C107" s="3367"/>
      <c r="D107" s="3368" t="str">
        <f>'rekap MPU'!D421</f>
        <v>Memasang downlight LED 17 watt tipe outbow</v>
      </c>
      <c r="E107" s="3368"/>
      <c r="F107" s="3369"/>
      <c r="G107" s="2049">
        <f>'rekap MPU'!G421</f>
        <v>8</v>
      </c>
      <c r="H107" s="2050" t="str">
        <f>'rekap MPU'!H421</f>
        <v>ttk</v>
      </c>
      <c r="I107" s="3370" t="str">
        <f>'rekap MPU'!I421</f>
        <v>An. Dihitung</v>
      </c>
      <c r="J107" s="2055">
        <f>'rekap MPU'!J421</f>
        <v>118457.9</v>
      </c>
      <c r="K107" s="3371"/>
      <c r="L107" s="2057">
        <f t="shared" si="7"/>
        <v>947663.2</v>
      </c>
      <c r="M107" s="3419">
        <f t="shared" si="8"/>
        <v>93</v>
      </c>
      <c r="P107" s="1958"/>
      <c r="Q107" s="1958"/>
      <c r="R107" s="1958"/>
      <c r="X107" s="2127"/>
      <c r="Y107" s="2127"/>
      <c r="AA107" s="2128"/>
    </row>
    <row r="108" spans="1:27" ht="21.95" customHeight="1" x14ac:dyDescent="0.2">
      <c r="A108" s="3420">
        <f>'rekap MPU'!A439</f>
        <v>103</v>
      </c>
      <c r="B108" s="3366">
        <f t="shared" si="6"/>
        <v>94</v>
      </c>
      <c r="C108" s="3367"/>
      <c r="D108" s="3368" t="str">
        <f>'rekap MPU'!D417</f>
        <v>Memasang stop kontak outlet Telephone</v>
      </c>
      <c r="E108" s="3368"/>
      <c r="F108" s="3369"/>
      <c r="G108" s="2049">
        <f>'rekap MPU'!G417</f>
        <v>10</v>
      </c>
      <c r="H108" s="2050" t="str">
        <f>'rekap MPU'!H417</f>
        <v>bh</v>
      </c>
      <c r="I108" s="3370" t="str">
        <f>'rekap MPU'!I417</f>
        <v>An. Dihitung</v>
      </c>
      <c r="J108" s="2055">
        <f>'rekap MPU'!J417</f>
        <v>82122.75</v>
      </c>
      <c r="K108" s="3371"/>
      <c r="L108" s="2057">
        <f t="shared" si="7"/>
        <v>821227.5</v>
      </c>
      <c r="M108" s="3419">
        <f t="shared" si="8"/>
        <v>94</v>
      </c>
      <c r="P108" s="1958"/>
      <c r="Q108" s="1958"/>
      <c r="R108" s="1958"/>
      <c r="X108" s="2127"/>
      <c r="Y108" s="2127"/>
      <c r="AA108" s="2128"/>
    </row>
    <row r="109" spans="1:27" ht="21.95" customHeight="1" x14ac:dyDescent="0.2">
      <c r="A109" s="3420">
        <f>'rekap MPU'!A440</f>
        <v>104</v>
      </c>
      <c r="B109" s="3366">
        <f t="shared" si="6"/>
        <v>95</v>
      </c>
      <c r="C109" s="3367"/>
      <c r="D109" s="3368" t="str">
        <f>'rekap MPU'!D426</f>
        <v>Papan Nama Proyek</v>
      </c>
      <c r="E109" s="3368"/>
      <c r="F109" s="3369"/>
      <c r="G109" s="2049">
        <f>'rekap MPU'!G426</f>
        <v>1</v>
      </c>
      <c r="H109" s="2050" t="str">
        <f>'rekap MPU'!H426</f>
        <v>ls</v>
      </c>
      <c r="I109" s="3370" t="str">
        <f>'rekap MPU'!I426</f>
        <v>Daftar harga</v>
      </c>
      <c r="J109" s="2055">
        <f>'rekap MPU'!J426</f>
        <v>350000</v>
      </c>
      <c r="K109" s="3371"/>
      <c r="L109" s="2057">
        <f t="shared" si="7"/>
        <v>350000</v>
      </c>
      <c r="M109" s="3419">
        <f t="shared" si="8"/>
        <v>95</v>
      </c>
      <c r="P109" s="1958"/>
      <c r="Q109" s="1958"/>
      <c r="R109" s="1958"/>
      <c r="X109" s="2127"/>
      <c r="Y109" s="2127"/>
      <c r="AA109" s="2128"/>
    </row>
    <row r="110" spans="1:27" ht="21.95" customHeight="1" x14ac:dyDescent="0.2">
      <c r="A110" s="3420">
        <f>'rekap MPU'!A441</f>
        <v>105</v>
      </c>
      <c r="B110" s="3366">
        <f t="shared" ref="B110:B111" si="9">B109+1</f>
        <v>96</v>
      </c>
      <c r="C110" s="3367"/>
      <c r="D110" s="3368" t="str">
        <f>'rekap MPU'!D346</f>
        <v>Administrasi dan dokumentasi</v>
      </c>
      <c r="E110" s="3368"/>
      <c r="F110" s="3369"/>
      <c r="G110" s="2049">
        <f>'rekap MPU'!G346</f>
        <v>1</v>
      </c>
      <c r="H110" s="2050" t="str">
        <f>'rekap MPU'!H346</f>
        <v>ls</v>
      </c>
      <c r="I110" s="3370" t="str">
        <f>'rekap MPU'!I346</f>
        <v>An. Dihitung</v>
      </c>
      <c r="J110" s="2055">
        <f>'rekap MPU'!J346</f>
        <v>287076.5</v>
      </c>
      <c r="K110" s="3371"/>
      <c r="L110" s="2057">
        <f t="shared" si="7"/>
        <v>287076.5</v>
      </c>
      <c r="M110" s="3419">
        <f t="shared" si="8"/>
        <v>96</v>
      </c>
      <c r="P110" s="1958"/>
      <c r="Q110" s="1958"/>
      <c r="R110" s="1958"/>
      <c r="X110" s="2127"/>
      <c r="Y110" s="2127"/>
      <c r="AA110" s="2128"/>
    </row>
    <row r="111" spans="1:27" ht="21.95" customHeight="1" x14ac:dyDescent="0.2">
      <c r="A111" s="3420">
        <f>'rekap MPU'!A442</f>
        <v>106</v>
      </c>
      <c r="B111" s="3366">
        <f t="shared" si="9"/>
        <v>97</v>
      </c>
      <c r="C111" s="3367"/>
      <c r="D111" s="3368" t="str">
        <f>'rekap MPU'!D370</f>
        <v>Memasang bekisting untuk lantai (2x pakai)</v>
      </c>
      <c r="E111" s="3368"/>
      <c r="F111" s="3369"/>
      <c r="G111" s="2049">
        <f>'rekap MPU'!G370</f>
        <v>2.048</v>
      </c>
      <c r="H111" s="2050" t="str">
        <f>'rekap MPU'!H370</f>
        <v>m2</v>
      </c>
      <c r="I111" s="3370" t="str">
        <f>'rekap MPU'!I370</f>
        <v>A.4.1.1.24</v>
      </c>
      <c r="J111" s="2055">
        <f>'rekap MPU'!J370</f>
        <v>60725.07</v>
      </c>
      <c r="K111" s="3371"/>
      <c r="L111" s="2057">
        <f t="shared" si="7"/>
        <v>124364.94</v>
      </c>
      <c r="M111" s="3419">
        <f t="shared" ref="M111:M142" si="10">RANK(L111,$L$15:$L$112,0)</f>
        <v>97</v>
      </c>
      <c r="P111" s="1958"/>
      <c r="Q111" s="1958"/>
      <c r="R111" s="1958"/>
      <c r="X111" s="2127"/>
      <c r="Y111" s="2127"/>
      <c r="AA111" s="2128"/>
    </row>
    <row r="112" spans="1:27" ht="21.95" customHeight="1" thickBot="1" x14ac:dyDescent="0.25">
      <c r="B112" s="3400"/>
      <c r="C112" s="3401"/>
      <c r="D112" s="3402"/>
      <c r="E112" s="3402"/>
      <c r="F112" s="3403"/>
      <c r="G112" s="2062"/>
      <c r="H112" s="2220"/>
      <c r="I112" s="3404"/>
      <c r="J112" s="3405"/>
      <c r="K112" s="3406"/>
      <c r="L112" s="2226"/>
      <c r="M112" s="3407"/>
      <c r="P112" s="1958"/>
      <c r="Q112" s="1958"/>
      <c r="R112" s="1958"/>
      <c r="X112" s="2127"/>
      <c r="Y112" s="2127"/>
      <c r="AA112" s="2128"/>
    </row>
    <row r="113" spans="2:27" ht="21.95" customHeight="1" thickBot="1" x14ac:dyDescent="0.25">
      <c r="B113" s="3408"/>
      <c r="C113" s="3409"/>
      <c r="D113" s="3410"/>
      <c r="E113" s="3410"/>
      <c r="F113" s="3411"/>
      <c r="G113" s="3412"/>
      <c r="H113" s="3413"/>
      <c r="I113" s="3414"/>
      <c r="J113" s="3418" t="s">
        <v>556</v>
      </c>
      <c r="K113" s="3415"/>
      <c r="L113" s="3416">
        <f>SUM(L15:L112)</f>
        <v>5224166701.8199968</v>
      </c>
      <c r="M113" s="3417"/>
      <c r="P113" s="1958"/>
      <c r="Q113" s="1958"/>
      <c r="R113" s="1958"/>
      <c r="X113" s="2127"/>
      <c r="Y113" s="2127"/>
      <c r="AA113" s="2128"/>
    </row>
    <row r="114" spans="2:27" ht="16.5" thickTop="1" x14ac:dyDescent="0.2"/>
    <row r="115" spans="2:27" x14ac:dyDescent="0.2">
      <c r="L115" s="2126"/>
    </row>
    <row r="116" spans="2:27" x14ac:dyDescent="0.2">
      <c r="L116" s="3373"/>
    </row>
  </sheetData>
  <autoFilter ref="B14:M111">
    <sortState ref="B15:M111">
      <sortCondition ref="M14:M111"/>
    </sortState>
  </autoFilter>
  <mergeCells count="2">
    <mergeCell ref="B1:M1"/>
    <mergeCell ref="B2:M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AC738"/>
  <sheetViews>
    <sheetView topLeftCell="A55" workbookViewId="0">
      <selection activeCell="P75" sqref="P75"/>
    </sheetView>
  </sheetViews>
  <sheetFormatPr defaultColWidth="9.140625" defaultRowHeight="12.75" x14ac:dyDescent="0.2"/>
  <cols>
    <col min="1" max="1" width="2.7109375" style="3558" customWidth="1"/>
    <col min="2" max="2" width="3.7109375" style="3558" customWidth="1"/>
    <col min="3" max="4" width="9.140625" style="3558"/>
    <col min="5" max="5" width="0" style="3558" hidden="1" customWidth="1"/>
    <col min="6" max="6" width="5.7109375" style="3558" customWidth="1"/>
    <col min="7" max="7" width="23.5703125" style="3558" customWidth="1"/>
    <col min="8" max="8" width="10.7109375" style="3558" customWidth="1"/>
    <col min="9" max="9" width="5.7109375" style="3558" customWidth="1"/>
    <col min="10" max="10" width="10.7109375" style="3558" customWidth="1"/>
    <col min="11" max="11" width="5.7109375" style="3558" customWidth="1"/>
    <col min="12" max="12" width="8.7109375" style="3558" customWidth="1"/>
    <col min="13" max="13" width="5.7109375" style="3558" customWidth="1"/>
    <col min="14" max="14" width="8.7109375" style="3558" customWidth="1"/>
    <col min="15" max="15" width="7.7109375" style="3558" customWidth="1"/>
    <col min="16" max="16" width="10.7109375" style="3558" customWidth="1"/>
    <col min="17" max="17" width="10.7109375" style="3620" customWidth="1"/>
    <col min="18" max="18" width="12.7109375" style="3558" customWidth="1"/>
    <col min="19" max="19" width="1.7109375" style="3558" customWidth="1"/>
    <col min="20" max="16384" width="9.140625" style="3558"/>
  </cols>
  <sheetData>
    <row r="2" spans="1:18" s="3548" customFormat="1" ht="15.75" x14ac:dyDescent="0.2">
      <c r="B2" s="3549" t="s">
        <v>2041</v>
      </c>
      <c r="C2" s="3549"/>
      <c r="D2" s="3549"/>
      <c r="E2" s="3549"/>
      <c r="F2" s="3549"/>
      <c r="G2" s="3549"/>
      <c r="H2" s="3549"/>
      <c r="I2" s="3549"/>
      <c r="J2" s="3549"/>
      <c r="K2" s="3549"/>
      <c r="L2" s="3549"/>
      <c r="M2" s="3549"/>
      <c r="N2" s="3549"/>
      <c r="O2" s="3549"/>
      <c r="P2" s="3549"/>
      <c r="Q2" s="3549"/>
      <c r="R2" s="3549"/>
    </row>
    <row r="3" spans="1:18" s="3548" customFormat="1" ht="15" x14ac:dyDescent="0.2">
      <c r="A3" s="3550"/>
      <c r="B3" s="3550"/>
      <c r="C3" s="3550"/>
      <c r="D3" s="3550"/>
      <c r="E3" s="3550"/>
      <c r="F3" s="3550"/>
      <c r="G3" s="3550"/>
      <c r="H3" s="3550"/>
      <c r="I3" s="3550"/>
      <c r="J3" s="3550"/>
      <c r="K3" s="3550"/>
      <c r="L3" s="3550"/>
      <c r="M3" s="3550"/>
      <c r="N3" s="3551"/>
      <c r="Q3" s="3552"/>
    </row>
    <row r="4" spans="1:18" s="3548" customFormat="1" ht="15" x14ac:dyDescent="0.2">
      <c r="A4" s="3550"/>
      <c r="B4" s="3550"/>
      <c r="C4" s="3552" t="str">
        <f>[6]RAB!D3</f>
        <v>KEGIATAN</v>
      </c>
      <c r="D4" s="3552"/>
      <c r="E4" s="3552"/>
      <c r="F4" s="3553" t="str">
        <f>[6]RAB!E3</f>
        <v>:</v>
      </c>
      <c r="G4" s="3554" t="str">
        <f>[6]RAB!F3</f>
        <v>PEMBANGUNAN KANTOR DINAS PERTANIAN KARANGANYAR</v>
      </c>
      <c r="H4" s="3550"/>
      <c r="I4" s="3550"/>
      <c r="J4" s="3550"/>
      <c r="K4" s="3550"/>
      <c r="L4" s="3550"/>
      <c r="M4" s="3550"/>
      <c r="N4" s="3551"/>
      <c r="Q4" s="3552"/>
    </row>
    <row r="5" spans="1:18" s="3548" customFormat="1" ht="15" x14ac:dyDescent="0.2">
      <c r="A5" s="3555"/>
      <c r="B5" s="3551"/>
      <c r="C5" s="3552" t="str">
        <f>[6]RAB!D5</f>
        <v>PEKERJAAN</v>
      </c>
      <c r="D5" s="3552"/>
      <c r="E5" s="3552"/>
      <c r="F5" s="3553" t="str">
        <f>[6]RAB!E5</f>
        <v>:</v>
      </c>
      <c r="G5" s="3554" t="str">
        <f>[6]RAB!F5</f>
        <v>PEMBANGUNAN DINAS PERTANIAN KARANGANYAR</v>
      </c>
      <c r="I5" s="3551"/>
      <c r="L5" s="3556"/>
      <c r="Q5" s="3552"/>
    </row>
    <row r="6" spans="1:18" s="3548" customFormat="1" ht="15" x14ac:dyDescent="0.2">
      <c r="A6" s="3555"/>
      <c r="B6" s="3551"/>
      <c r="C6" s="3552" t="str">
        <f>[6]RAB!D6</f>
        <v>VOLUME</v>
      </c>
      <c r="D6" s="3552"/>
      <c r="E6" s="3552"/>
      <c r="F6" s="3553" t="str">
        <f>[6]RAB!E6</f>
        <v>:</v>
      </c>
      <c r="G6" s="3554">
        <f>[6]RAB!F6</f>
        <v>0</v>
      </c>
      <c r="I6" s="3551"/>
      <c r="L6" s="3556"/>
      <c r="Q6" s="3552"/>
    </row>
    <row r="7" spans="1:18" s="3548" customFormat="1" ht="15" x14ac:dyDescent="0.2">
      <c r="A7" s="3555"/>
      <c r="B7" s="3551"/>
      <c r="C7" s="3552" t="str">
        <f>[6]RAB!D8</f>
        <v>L O K A S I</v>
      </c>
      <c r="D7" s="3552"/>
      <c r="E7" s="3552"/>
      <c r="F7" s="3553" t="str">
        <f>[6]RAB!E8</f>
        <v>:</v>
      </c>
      <c r="G7" s="3554" t="str">
        <f>[6]RAB!F8</f>
        <v>KARANGANYAR</v>
      </c>
      <c r="I7" s="3557"/>
      <c r="Q7" s="3552"/>
    </row>
    <row r="8" spans="1:18" s="3548" customFormat="1" ht="15" x14ac:dyDescent="0.2">
      <c r="A8" s="3555"/>
      <c r="B8" s="3551"/>
      <c r="C8" s="3552" t="str">
        <f>[6]RAB!D9</f>
        <v>KABUPATEN</v>
      </c>
      <c r="D8" s="3552"/>
      <c r="E8" s="3552"/>
      <c r="F8" s="3553" t="str">
        <f>[6]RAB!E9</f>
        <v>:</v>
      </c>
      <c r="G8" s="3554" t="str">
        <f>[6]RAB!F9</f>
        <v>KARANGANYAR</v>
      </c>
      <c r="I8" s="3551"/>
      <c r="Q8" s="3552"/>
    </row>
    <row r="9" spans="1:18" s="3548" customFormat="1" ht="15" x14ac:dyDescent="0.2">
      <c r="A9" s="3555"/>
      <c r="B9" s="3551"/>
      <c r="C9" s="3552" t="str">
        <f>[6]RAB!D10</f>
        <v>TAHUN ANGGARAN</v>
      </c>
      <c r="D9" s="3552"/>
      <c r="E9" s="3552"/>
      <c r="F9" s="3553" t="str">
        <f>[6]RAB!E10</f>
        <v>:</v>
      </c>
      <c r="G9" s="3554" t="str">
        <f>[6]RAB!F10</f>
        <v>2023</v>
      </c>
      <c r="I9" s="3551"/>
      <c r="J9" s="3556"/>
      <c r="Q9" s="3552"/>
    </row>
    <row r="11" spans="1:18" ht="27" thickTop="1" thickBot="1" x14ac:dyDescent="0.25">
      <c r="B11" s="3559" t="s">
        <v>362</v>
      </c>
      <c r="C11" s="3560" t="s">
        <v>784</v>
      </c>
      <c r="D11" s="3561"/>
      <c r="E11" s="3561"/>
      <c r="F11" s="3561"/>
      <c r="G11" s="3562" t="s">
        <v>1634</v>
      </c>
      <c r="H11" s="3563" t="s">
        <v>2042</v>
      </c>
      <c r="I11" s="3564"/>
      <c r="J11" s="3564" t="s">
        <v>2043</v>
      </c>
      <c r="K11" s="3564"/>
      <c r="L11" s="3564" t="s">
        <v>2044</v>
      </c>
      <c r="M11" s="3564"/>
      <c r="N11" s="3564" t="s">
        <v>556</v>
      </c>
      <c r="O11" s="3562"/>
      <c r="P11" s="3565" t="s">
        <v>422</v>
      </c>
      <c r="Q11" s="3566" t="s">
        <v>2045</v>
      </c>
      <c r="R11" s="3567" t="s">
        <v>262</v>
      </c>
    </row>
    <row r="12" spans="1:18" ht="13.5" thickTop="1" x14ac:dyDescent="0.2">
      <c r="B12" s="3568"/>
      <c r="C12" s="3569"/>
      <c r="D12" s="3570"/>
      <c r="E12" s="3570"/>
      <c r="F12" s="3570"/>
      <c r="G12" s="3570"/>
      <c r="H12" s="3571"/>
      <c r="I12" s="3571"/>
      <c r="J12" s="3571"/>
      <c r="K12" s="3571"/>
      <c r="L12" s="3571"/>
      <c r="M12" s="3571"/>
      <c r="N12" s="3571"/>
      <c r="O12" s="3571"/>
      <c r="P12" s="3571"/>
      <c r="Q12" s="3572"/>
      <c r="R12" s="3573"/>
    </row>
    <row r="13" spans="1:18" ht="18.75" x14ac:dyDescent="0.2">
      <c r="B13" s="3574" t="str">
        <f>[6]RAB!B18</f>
        <v>I</v>
      </c>
      <c r="C13" s="3575" t="str">
        <f>[6]RAB!D18</f>
        <v>GEDUNG KANTOR</v>
      </c>
      <c r="D13" s="3576"/>
      <c r="E13" s="3576"/>
      <c r="F13" s="3576"/>
      <c r="G13" s="3576"/>
      <c r="H13" s="3577"/>
      <c r="I13" s="3577"/>
      <c r="J13" s="3577"/>
      <c r="K13" s="3577"/>
      <c r="L13" s="3577"/>
      <c r="M13" s="3577"/>
      <c r="N13" s="3577"/>
      <c r="O13" s="3577"/>
      <c r="P13" s="3577"/>
      <c r="Q13" s="3578"/>
      <c r="R13" s="3579"/>
    </row>
    <row r="14" spans="1:18" x14ac:dyDescent="0.2">
      <c r="B14" s="3580" t="str">
        <f>[6]RAB!B19</f>
        <v>A.</v>
      </c>
      <c r="C14" s="3581" t="str">
        <f>[6]RAB!D19</f>
        <v>PEKERJAAN PERSIAPAN</v>
      </c>
      <c r="D14" s="3582"/>
      <c r="E14" s="3582"/>
      <c r="F14" s="3582"/>
      <c r="G14" s="3582"/>
      <c r="H14" s="3583"/>
      <c r="I14" s="3583"/>
      <c r="J14" s="3583"/>
      <c r="K14" s="3583"/>
      <c r="L14" s="3583"/>
      <c r="M14" s="3583"/>
      <c r="N14" s="3583"/>
      <c r="O14" s="3583"/>
      <c r="P14" s="3583"/>
      <c r="Q14" s="3584"/>
      <c r="R14" s="3585"/>
    </row>
    <row r="15" spans="1:18" x14ac:dyDescent="0.2">
      <c r="B15" s="3586">
        <f>[6]RAB!B20</f>
        <v>1</v>
      </c>
      <c r="C15" s="3587" t="str">
        <f>[6]RAB!D20</f>
        <v>Administrasi dan dokumentasi</v>
      </c>
      <c r="D15" s="3582"/>
      <c r="E15" s="3582"/>
      <c r="F15" s="3582"/>
      <c r="G15" s="3582"/>
      <c r="H15" s="3583">
        <v>1</v>
      </c>
      <c r="I15" s="3583"/>
      <c r="J15" s="3583"/>
      <c r="K15" s="3583"/>
      <c r="L15" s="3583"/>
      <c r="M15" s="3583"/>
      <c r="N15" s="3583"/>
      <c r="O15" s="3583"/>
      <c r="P15" s="3588">
        <f>H15</f>
        <v>1</v>
      </c>
      <c r="Q15" s="3584">
        <f>P15</f>
        <v>1</v>
      </c>
      <c r="R15" s="3585" t="str">
        <f>[6]RAB!H20</f>
        <v>ls</v>
      </c>
    </row>
    <row r="16" spans="1:18" x14ac:dyDescent="0.2">
      <c r="B16" s="3586">
        <f>[6]RAB!B21</f>
        <v>2</v>
      </c>
      <c r="C16" s="3587" t="str">
        <f>[6]RAB!D21</f>
        <v>Air dan listrik kerja</v>
      </c>
      <c r="D16" s="3582"/>
      <c r="E16" s="3582"/>
      <c r="F16" s="3582"/>
      <c r="G16" s="3582"/>
      <c r="H16" s="3583"/>
      <c r="I16" s="3583"/>
      <c r="J16" s="3583"/>
      <c r="K16" s="3583"/>
      <c r="L16" s="3583"/>
      <c r="M16" s="3583"/>
      <c r="N16" s="3583"/>
      <c r="O16" s="3583"/>
      <c r="P16" s="3588">
        <v>180</v>
      </c>
      <c r="Q16" s="3584">
        <f>P16</f>
        <v>180</v>
      </c>
      <c r="R16" s="3585" t="str">
        <f>[6]RAB!H21</f>
        <v>ls</v>
      </c>
    </row>
    <row r="17" spans="2:18" x14ac:dyDescent="0.2">
      <c r="B17" s="3586">
        <f>[6]RAB!B22</f>
        <v>3</v>
      </c>
      <c r="C17" s="3587" t="str">
        <f>[6]RAB!D22</f>
        <v xml:space="preserve">Pengukuran dan pemasangan bouwplank  </v>
      </c>
      <c r="D17" s="3582"/>
      <c r="E17" s="3582"/>
      <c r="F17" s="3582"/>
      <c r="G17" s="3582"/>
      <c r="H17" s="3583">
        <f>H34</f>
        <v>35.700000000000003</v>
      </c>
      <c r="I17" s="3583" t="s">
        <v>425</v>
      </c>
      <c r="J17" s="3583">
        <v>21.5</v>
      </c>
      <c r="K17" s="3583" t="s">
        <v>424</v>
      </c>
      <c r="L17" s="3583">
        <v>2</v>
      </c>
      <c r="M17" s="3583"/>
      <c r="N17" s="3583"/>
      <c r="O17" s="3583"/>
      <c r="P17" s="3588">
        <f>SUM(P18:P19)</f>
        <v>205.8</v>
      </c>
      <c r="Q17" s="3584">
        <f>P17</f>
        <v>205.8</v>
      </c>
      <c r="R17" s="3585" t="str">
        <f>[6]RAB!H22</f>
        <v>m'</v>
      </c>
    </row>
    <row r="18" spans="2:18" x14ac:dyDescent="0.2">
      <c r="B18" s="3586"/>
      <c r="C18" s="3587"/>
      <c r="D18" s="3582"/>
      <c r="E18" s="3582"/>
      <c r="F18" s="3582"/>
      <c r="G18" s="3582"/>
      <c r="H18" s="3583">
        <f>H17</f>
        <v>35.700000000000003</v>
      </c>
      <c r="I18" s="3589" t="s">
        <v>425</v>
      </c>
      <c r="J18" s="3583">
        <v>21.5</v>
      </c>
      <c r="K18" s="3583" t="s">
        <v>424</v>
      </c>
      <c r="L18" s="3583">
        <v>2</v>
      </c>
      <c r="M18" s="3583"/>
      <c r="N18" s="3583"/>
      <c r="O18" s="3583"/>
      <c r="P18" s="3588">
        <f>(H18+J18)*L18</f>
        <v>114.4</v>
      </c>
      <c r="Q18" s="3584"/>
      <c r="R18" s="3585"/>
    </row>
    <row r="19" spans="2:18" x14ac:dyDescent="0.2">
      <c r="B19" s="3586"/>
      <c r="C19" s="3587"/>
      <c r="D19" s="3582"/>
      <c r="E19" s="3582"/>
      <c r="F19" s="3582"/>
      <c r="G19" s="3582"/>
      <c r="H19" s="3583">
        <f>H18</f>
        <v>35.700000000000003</v>
      </c>
      <c r="I19" s="3589" t="s">
        <v>425</v>
      </c>
      <c r="J19" s="3583">
        <v>10</v>
      </c>
      <c r="K19" s="3583" t="s">
        <v>424</v>
      </c>
      <c r="L19" s="3583">
        <v>2</v>
      </c>
      <c r="M19" s="3583"/>
      <c r="N19" s="3583"/>
      <c r="O19" s="3583"/>
      <c r="P19" s="3588">
        <f>(H19+J19)*L19</f>
        <v>91.4</v>
      </c>
      <c r="Q19" s="3584"/>
      <c r="R19" s="3585"/>
    </row>
    <row r="20" spans="2:18" x14ac:dyDescent="0.2">
      <c r="B20" s="3586">
        <f>[6]RAB!B23</f>
        <v>4</v>
      </c>
      <c r="C20" s="3587" t="str">
        <f>[6]RAB!D23</f>
        <v>Pembersihan lapangan dan perataan</v>
      </c>
      <c r="D20" s="3582"/>
      <c r="E20" s="3582"/>
      <c r="F20" s="3582"/>
      <c r="G20" s="3582"/>
      <c r="H20" s="3583"/>
      <c r="I20" s="3589"/>
      <c r="J20" s="3583"/>
      <c r="K20" s="3583"/>
      <c r="L20" s="3583"/>
      <c r="M20" s="3583"/>
      <c r="N20" s="3583"/>
      <c r="O20" s="3583"/>
      <c r="P20" s="3588">
        <f>SUM(P21:P21)</f>
        <v>767.55000000000007</v>
      </c>
      <c r="Q20" s="3584">
        <f>P20</f>
        <v>767.55000000000007</v>
      </c>
      <c r="R20" s="3585" t="str">
        <f>[6]RAB!H23</f>
        <v>m2</v>
      </c>
    </row>
    <row r="21" spans="2:18" x14ac:dyDescent="0.2">
      <c r="B21" s="3586"/>
      <c r="C21" s="3587"/>
      <c r="D21" s="3582"/>
      <c r="E21" s="3582"/>
      <c r="F21" s="3582"/>
      <c r="G21" s="3582"/>
      <c r="H21" s="3583">
        <f>H18</f>
        <v>35.700000000000003</v>
      </c>
      <c r="I21" s="3589" t="s">
        <v>424</v>
      </c>
      <c r="J21" s="3583">
        <f>J18</f>
        <v>21.5</v>
      </c>
      <c r="K21" s="3583"/>
      <c r="L21" s="3583"/>
      <c r="M21" s="3583"/>
      <c r="N21" s="3583"/>
      <c r="O21" s="3583"/>
      <c r="P21" s="3588">
        <f>H21*J21</f>
        <v>767.55000000000007</v>
      </c>
      <c r="Q21" s="3584"/>
      <c r="R21" s="3585"/>
    </row>
    <row r="22" spans="2:18" x14ac:dyDescent="0.2">
      <c r="B22" s="3586">
        <f>[6]RAB!B24</f>
        <v>5</v>
      </c>
      <c r="C22" s="3587" t="str">
        <f>[6]RAB!D24</f>
        <v>Penyelenggaraan K3</v>
      </c>
      <c r="D22" s="3582"/>
      <c r="E22" s="3582"/>
      <c r="F22" s="3582"/>
      <c r="G22" s="3582"/>
      <c r="H22" s="3583"/>
      <c r="I22" s="3583"/>
      <c r="J22" s="3583"/>
      <c r="K22" s="3583"/>
      <c r="L22" s="3583"/>
      <c r="M22" s="3583"/>
      <c r="N22" s="3583"/>
      <c r="O22" s="3583"/>
      <c r="P22" s="3583"/>
      <c r="Q22" s="3584">
        <v>1</v>
      </c>
      <c r="R22" s="3585" t="str">
        <f>[6]RAB!H24</f>
        <v>ls</v>
      </c>
    </row>
    <row r="23" spans="2:18" x14ac:dyDescent="0.2">
      <c r="B23" s="3586">
        <f>[6]RAB!B25</f>
        <v>6</v>
      </c>
      <c r="C23" s="3587" t="str">
        <f>[6]RAB!D25</f>
        <v>Papan Nama Proyek</v>
      </c>
      <c r="D23" s="3582"/>
      <c r="E23" s="3582"/>
      <c r="F23" s="3582"/>
      <c r="G23" s="3582"/>
      <c r="H23" s="3583"/>
      <c r="I23" s="3583"/>
      <c r="J23" s="3583"/>
      <c r="K23" s="3583"/>
      <c r="L23" s="3583"/>
      <c r="M23" s="3583"/>
      <c r="N23" s="3583"/>
      <c r="O23" s="3583"/>
      <c r="P23" s="3583"/>
      <c r="Q23" s="3584">
        <v>1</v>
      </c>
      <c r="R23" s="3585" t="str">
        <f>[6]RAB!H25</f>
        <v>ls</v>
      </c>
    </row>
    <row r="24" spans="2:18" x14ac:dyDescent="0.2">
      <c r="B24" s="3586"/>
      <c r="C24" s="3587"/>
      <c r="D24" s="3582"/>
      <c r="E24" s="3582"/>
      <c r="F24" s="3582"/>
      <c r="G24" s="3590"/>
      <c r="H24" s="3583"/>
      <c r="I24" s="3583"/>
      <c r="J24" s="3583"/>
      <c r="K24" s="3583"/>
      <c r="L24" s="3583"/>
      <c r="M24" s="3583"/>
      <c r="N24" s="3591"/>
      <c r="O24" s="3583"/>
      <c r="P24" s="3583"/>
      <c r="Q24" s="3584"/>
      <c r="R24" s="3585"/>
    </row>
    <row r="25" spans="2:18" x14ac:dyDescent="0.2">
      <c r="B25" s="3592" t="str">
        <f>[6]RAB!B27</f>
        <v>B.</v>
      </c>
      <c r="C25" s="3581" t="str">
        <f>[6]RAB!D27</f>
        <v>PEKERJAAN TANAH</v>
      </c>
      <c r="D25" s="3582"/>
      <c r="E25" s="3582"/>
      <c r="F25" s="3582"/>
      <c r="G25" s="3590"/>
      <c r="H25" s="3583"/>
      <c r="I25" s="3583"/>
      <c r="J25" s="3583"/>
      <c r="K25" s="3583"/>
      <c r="L25" s="3583"/>
      <c r="M25" s="3583"/>
      <c r="N25" s="3591"/>
      <c r="O25" s="3583"/>
      <c r="P25" s="3583"/>
      <c r="Q25" s="3584"/>
      <c r="R25" s="3585"/>
    </row>
    <row r="26" spans="2:18" x14ac:dyDescent="0.2">
      <c r="B26" s="3586">
        <f>[6]RAB!B28</f>
        <v>1</v>
      </c>
      <c r="C26" s="3587" t="str">
        <f>[6]RAB!D28</f>
        <v xml:space="preserve">Menggali tanah biasa sedalam 1 m' </v>
      </c>
      <c r="D26" s="3582"/>
      <c r="E26" s="3582"/>
      <c r="F26" s="3582"/>
      <c r="G26" s="3593"/>
      <c r="H26" s="3594" t="s">
        <v>2046</v>
      </c>
      <c r="I26" s="3594"/>
      <c r="J26" s="3594" t="s">
        <v>2047</v>
      </c>
      <c r="K26" s="3594"/>
      <c r="L26" s="3594" t="s">
        <v>2048</v>
      </c>
      <c r="M26" s="3583"/>
      <c r="N26" s="3591"/>
      <c r="O26" s="3583"/>
      <c r="P26" s="3595">
        <f>SUM(P27:P28)</f>
        <v>125.12000000000002</v>
      </c>
      <c r="Q26" s="3584">
        <f>P26</f>
        <v>125.12000000000002</v>
      </c>
      <c r="R26" s="3585" t="str">
        <f>[6]RAB!H28</f>
        <v>m3</v>
      </c>
    </row>
    <row r="27" spans="2:18" x14ac:dyDescent="0.2">
      <c r="B27" s="3586"/>
      <c r="C27" s="3587"/>
      <c r="D27" s="3582"/>
      <c r="E27" s="3582"/>
      <c r="F27" s="3582"/>
      <c r="G27" s="3593" t="s">
        <v>2049</v>
      </c>
      <c r="H27" s="3583">
        <f>(35.7+21.5)*2</f>
        <v>114.4</v>
      </c>
      <c r="I27" s="3583" t="s">
        <v>424</v>
      </c>
      <c r="J27" s="3583">
        <v>0.8</v>
      </c>
      <c r="K27" s="3583" t="s">
        <v>424</v>
      </c>
      <c r="L27" s="3583">
        <v>1.3</v>
      </c>
      <c r="M27" s="3589" t="s">
        <v>696</v>
      </c>
      <c r="N27" s="3591">
        <f>H27*J27*L27</f>
        <v>118.97600000000001</v>
      </c>
      <c r="O27" s="3583"/>
      <c r="P27" s="3583">
        <f>SUM(N27:N28)</f>
        <v>122.04800000000002</v>
      </c>
      <c r="Q27" s="3584"/>
      <c r="R27" s="3585"/>
    </row>
    <row r="28" spans="2:18" x14ac:dyDescent="0.2">
      <c r="B28" s="3586"/>
      <c r="C28" s="3587"/>
      <c r="D28" s="3582"/>
      <c r="E28" s="3582"/>
      <c r="F28" s="3582"/>
      <c r="G28" s="3593" t="s">
        <v>2050</v>
      </c>
      <c r="H28" s="3583">
        <f>(6.75*2)+5.7</f>
        <v>19.2</v>
      </c>
      <c r="I28" s="3583" t="s">
        <v>424</v>
      </c>
      <c r="J28" s="3583">
        <v>0.4</v>
      </c>
      <c r="K28" s="3583" t="s">
        <v>424</v>
      </c>
      <c r="L28" s="3583">
        <v>0.4</v>
      </c>
      <c r="M28" s="3589" t="s">
        <v>696</v>
      </c>
      <c r="N28" s="3591">
        <f>H28*J28*L28</f>
        <v>3.0720000000000001</v>
      </c>
      <c r="O28" s="3583"/>
      <c r="P28" s="3583">
        <f>H28*J28*L28</f>
        <v>3.0720000000000001</v>
      </c>
      <c r="Q28" s="3584"/>
      <c r="R28" s="3585"/>
    </row>
    <row r="29" spans="2:18" x14ac:dyDescent="0.2">
      <c r="B29" s="3586"/>
      <c r="C29" s="3587"/>
      <c r="D29" s="3582"/>
      <c r="E29" s="3582"/>
      <c r="F29" s="3582"/>
      <c r="G29" s="3593"/>
      <c r="H29" s="3583"/>
      <c r="I29" s="3583"/>
      <c r="J29" s="3583"/>
      <c r="K29" s="3583"/>
      <c r="L29" s="3583"/>
      <c r="M29" s="3583"/>
      <c r="N29" s="3591"/>
      <c r="O29" s="3583"/>
      <c r="P29" s="3583"/>
      <c r="Q29" s="3584"/>
      <c r="R29" s="3585"/>
    </row>
    <row r="30" spans="2:18" x14ac:dyDescent="0.2">
      <c r="B30" s="3586">
        <f>[6]RAB!B29</f>
        <v>2</v>
      </c>
      <c r="C30" s="3587" t="str">
        <f>[6]RAB!D29</f>
        <v>Menggali tanah biasa sedalam 2 m'</v>
      </c>
      <c r="D30" s="3582"/>
      <c r="E30" s="3582"/>
      <c r="F30" s="3582"/>
      <c r="G30" s="3593"/>
      <c r="H30" s="3594" t="s">
        <v>2046</v>
      </c>
      <c r="I30" s="3594"/>
      <c r="J30" s="3594" t="s">
        <v>2047</v>
      </c>
      <c r="K30" s="3594"/>
      <c r="L30" s="3594" t="s">
        <v>2048</v>
      </c>
      <c r="M30" s="3583"/>
      <c r="N30" s="3591"/>
      <c r="O30" s="3583"/>
      <c r="P30" s="3595">
        <f>SUM(P31:P32)</f>
        <v>415</v>
      </c>
      <c r="Q30" s="3584">
        <f>P30</f>
        <v>415</v>
      </c>
      <c r="R30" s="3585" t="str">
        <f>[6]RAB!H29</f>
        <v>m3</v>
      </c>
    </row>
    <row r="31" spans="2:18" x14ac:dyDescent="0.2">
      <c r="B31" s="3586"/>
      <c r="C31" s="3587"/>
      <c r="D31" s="3582"/>
      <c r="E31" s="3582"/>
      <c r="F31" s="3582"/>
      <c r="G31" s="3593" t="s">
        <v>2051</v>
      </c>
      <c r="H31" s="3583">
        <v>1.5</v>
      </c>
      <c r="I31" s="3583" t="s">
        <v>424</v>
      </c>
      <c r="J31" s="3583">
        <f>H31</f>
        <v>1.5</v>
      </c>
      <c r="K31" s="3583" t="s">
        <v>424</v>
      </c>
      <c r="L31" s="3583">
        <v>2.5</v>
      </c>
      <c r="M31" s="3583" t="s">
        <v>424</v>
      </c>
      <c r="N31" s="3591">
        <f>6*12</f>
        <v>72</v>
      </c>
      <c r="O31" s="3583"/>
      <c r="P31" s="3583">
        <f>H31*J31*L31*N31</f>
        <v>405</v>
      </c>
      <c r="Q31" s="3584"/>
      <c r="R31" s="3585"/>
    </row>
    <row r="32" spans="2:18" x14ac:dyDescent="0.2">
      <c r="B32" s="3586"/>
      <c r="C32" s="3587"/>
      <c r="D32" s="3582"/>
      <c r="E32" s="3582"/>
      <c r="F32" s="3582"/>
      <c r="G32" s="3593" t="s">
        <v>2052</v>
      </c>
      <c r="H32" s="3583">
        <v>1</v>
      </c>
      <c r="I32" s="3583" t="s">
        <v>424</v>
      </c>
      <c r="J32" s="3583">
        <f>H32</f>
        <v>1</v>
      </c>
      <c r="K32" s="3583" t="s">
        <v>424</v>
      </c>
      <c r="L32" s="3583">
        <v>2.5</v>
      </c>
      <c r="M32" s="3583" t="s">
        <v>424</v>
      </c>
      <c r="N32" s="3591">
        <v>4</v>
      </c>
      <c r="O32" s="3583"/>
      <c r="P32" s="3583">
        <f>H32*J32*L32*N32</f>
        <v>10</v>
      </c>
      <c r="Q32" s="3584"/>
      <c r="R32" s="3585"/>
    </row>
    <row r="33" spans="2:18" x14ac:dyDescent="0.2">
      <c r="B33" s="3586">
        <f>[6]RAB!B30</f>
        <v>3</v>
      </c>
      <c r="C33" s="3587" t="str">
        <f>[6]RAB!D30</f>
        <v>Pengurugan kembali galian tanah</v>
      </c>
      <c r="D33" s="3582"/>
      <c r="E33" s="3582"/>
      <c r="F33" s="3582"/>
      <c r="G33" s="3593"/>
      <c r="H33" s="3583"/>
      <c r="I33" s="3583"/>
      <c r="J33" s="3583"/>
      <c r="K33" s="3583"/>
      <c r="L33" s="3583">
        <v>0.3</v>
      </c>
      <c r="M33" s="3583" t="s">
        <v>424</v>
      </c>
      <c r="N33" s="3583">
        <f>Q26+Q30</f>
        <v>540.12</v>
      </c>
      <c r="O33" s="3583"/>
      <c r="P33" s="3596">
        <f>L33*N33</f>
        <v>162.036</v>
      </c>
      <c r="Q33" s="3597">
        <f>P33</f>
        <v>162.036</v>
      </c>
      <c r="R33" s="3585" t="str">
        <f>[6]RAB!H30</f>
        <v>m3</v>
      </c>
    </row>
    <row r="34" spans="2:18" x14ac:dyDescent="0.2">
      <c r="B34" s="3586">
        <f>[6]RAB!B31</f>
        <v>4</v>
      </c>
      <c r="C34" s="3587" t="str">
        <f>[6]RAB!D31</f>
        <v>Urug tanah dan dipadatkan</v>
      </c>
      <c r="D34" s="3582"/>
      <c r="E34" s="3582"/>
      <c r="F34" s="3582"/>
      <c r="G34" s="3593" t="s">
        <v>2053</v>
      </c>
      <c r="H34" s="3583">
        <v>35.700000000000003</v>
      </c>
      <c r="I34" s="3583" t="s">
        <v>424</v>
      </c>
      <c r="J34" s="3583">
        <v>25.7</v>
      </c>
      <c r="K34" s="3583" t="s">
        <v>424</v>
      </c>
      <c r="L34" s="3583">
        <v>0.4</v>
      </c>
      <c r="M34" s="3583"/>
      <c r="N34" s="3583"/>
      <c r="O34" s="3583"/>
      <c r="P34" s="3583">
        <f>H34*J34*L34</f>
        <v>366.99600000000004</v>
      </c>
      <c r="Q34" s="3584">
        <f>SUM(P34:P34)</f>
        <v>366.99600000000004</v>
      </c>
      <c r="R34" s="3585" t="str">
        <f>[6]RAB!H31</f>
        <v>m3</v>
      </c>
    </row>
    <row r="35" spans="2:18" x14ac:dyDescent="0.2">
      <c r="B35" s="3586">
        <f>[6]RAB!B32</f>
        <v>5</v>
      </c>
      <c r="C35" s="3587" t="str">
        <f>[6]RAB!D32</f>
        <v>Mengurug pasir urug</v>
      </c>
      <c r="D35" s="3582"/>
      <c r="E35" s="3582"/>
      <c r="F35" s="3582"/>
      <c r="G35" s="3593"/>
      <c r="H35" s="3583"/>
      <c r="I35" s="3583"/>
      <c r="J35" s="3583"/>
      <c r="K35" s="3583"/>
      <c r="L35" s="3583"/>
      <c r="M35" s="3583"/>
      <c r="N35" s="3591"/>
      <c r="O35" s="3598"/>
      <c r="P35" s="3583"/>
      <c r="Q35" s="3584">
        <f>SUM(P36:P39)</f>
        <v>26.52</v>
      </c>
      <c r="R35" s="3585" t="str">
        <f>[6]RAB!H32</f>
        <v>m3</v>
      </c>
    </row>
    <row r="36" spans="2:18" x14ac:dyDescent="0.2">
      <c r="B36" s="3586"/>
      <c r="C36" s="3587"/>
      <c r="D36" s="3582"/>
      <c r="E36" s="3582"/>
      <c r="F36" s="3582"/>
      <c r="G36" s="3593" t="s">
        <v>2054</v>
      </c>
      <c r="H36" s="3583">
        <f>H27</f>
        <v>114.4</v>
      </c>
      <c r="I36" s="3583" t="s">
        <v>424</v>
      </c>
      <c r="J36" s="3583">
        <f>J27</f>
        <v>0.8</v>
      </c>
      <c r="K36" s="3583" t="s">
        <v>424</v>
      </c>
      <c r="L36" s="3583">
        <v>0.1</v>
      </c>
      <c r="M36" s="3583"/>
      <c r="N36" s="3591"/>
      <c r="O36" s="3583"/>
      <c r="P36" s="3583">
        <f>H36*J36*L36</f>
        <v>9.152000000000001</v>
      </c>
      <c r="Q36" s="3584"/>
      <c r="R36" s="3585"/>
    </row>
    <row r="37" spans="2:18" x14ac:dyDescent="0.2">
      <c r="B37" s="3586"/>
      <c r="C37" s="3587"/>
      <c r="D37" s="3582"/>
      <c r="E37" s="3582"/>
      <c r="F37" s="3582"/>
      <c r="G37" s="3593" t="s">
        <v>2055</v>
      </c>
      <c r="H37" s="3583">
        <f>H28</f>
        <v>19.2</v>
      </c>
      <c r="I37" s="3583" t="s">
        <v>424</v>
      </c>
      <c r="J37" s="3583">
        <f>L28</f>
        <v>0.4</v>
      </c>
      <c r="K37" s="3583" t="s">
        <v>424</v>
      </c>
      <c r="L37" s="3583">
        <v>0.1</v>
      </c>
      <c r="M37" s="3583"/>
      <c r="N37" s="3591"/>
      <c r="O37" s="3583"/>
      <c r="P37" s="3583">
        <f>H37*J37*L37</f>
        <v>0.76800000000000002</v>
      </c>
      <c r="Q37" s="3584"/>
      <c r="R37" s="3585"/>
    </row>
    <row r="38" spans="2:18" x14ac:dyDescent="0.2">
      <c r="B38" s="3586"/>
      <c r="C38" s="3587"/>
      <c r="D38" s="3582"/>
      <c r="E38" s="3582"/>
      <c r="F38" s="3582"/>
      <c r="G38" s="3593" t="s">
        <v>2056</v>
      </c>
      <c r="H38" s="3583">
        <f>H31</f>
        <v>1.5</v>
      </c>
      <c r="I38" s="3583" t="s">
        <v>424</v>
      </c>
      <c r="J38" s="3583">
        <f>J31</f>
        <v>1.5</v>
      </c>
      <c r="K38" s="3583" t="s">
        <v>424</v>
      </c>
      <c r="L38" s="3583">
        <v>0.1</v>
      </c>
      <c r="M38" s="3583" t="s">
        <v>424</v>
      </c>
      <c r="N38" s="3591">
        <f>N31</f>
        <v>72</v>
      </c>
      <c r="O38" s="3583"/>
      <c r="P38" s="3583">
        <f>H38*J38*L38*N38</f>
        <v>16.2</v>
      </c>
      <c r="Q38" s="3584"/>
      <c r="R38" s="3585"/>
    </row>
    <row r="39" spans="2:18" x14ac:dyDescent="0.2">
      <c r="B39" s="3586"/>
      <c r="C39" s="3587"/>
      <c r="D39" s="3582"/>
      <c r="E39" s="3582"/>
      <c r="F39" s="3582"/>
      <c r="G39" s="3593" t="s">
        <v>2057</v>
      </c>
      <c r="H39" s="3583">
        <f>H32</f>
        <v>1</v>
      </c>
      <c r="I39" s="3583" t="s">
        <v>424</v>
      </c>
      <c r="J39" s="3583">
        <f>J32</f>
        <v>1</v>
      </c>
      <c r="K39" s="3583" t="s">
        <v>424</v>
      </c>
      <c r="L39" s="3583">
        <f>L38</f>
        <v>0.1</v>
      </c>
      <c r="M39" s="3583" t="s">
        <v>424</v>
      </c>
      <c r="N39" s="3591">
        <f>N32</f>
        <v>4</v>
      </c>
      <c r="O39" s="3583"/>
      <c r="P39" s="3583">
        <f>H39*J39*L39*N39</f>
        <v>0.4</v>
      </c>
      <c r="Q39" s="3584"/>
      <c r="R39" s="3585"/>
    </row>
    <row r="40" spans="2:18" x14ac:dyDescent="0.2">
      <c r="B40" s="3592" t="str">
        <f>[6]RAB!B34</f>
        <v>C.</v>
      </c>
      <c r="C40" s="3581" t="str">
        <f>[6]RAB!D34</f>
        <v>PEKERJAAN PONDASI</v>
      </c>
      <c r="D40" s="3582"/>
      <c r="E40" s="3582"/>
      <c r="F40" s="3582"/>
      <c r="G40" s="3593"/>
      <c r="H40" s="3583"/>
      <c r="I40" s="3583"/>
      <c r="J40" s="3583"/>
      <c r="K40" s="3583"/>
      <c r="L40" s="3583"/>
      <c r="M40" s="3583"/>
      <c r="N40" s="3591"/>
      <c r="O40" s="3598"/>
      <c r="P40" s="3583"/>
      <c r="Q40" s="3584"/>
      <c r="R40" s="3585"/>
    </row>
    <row r="41" spans="2:18" x14ac:dyDescent="0.2">
      <c r="B41" s="3586">
        <f>[6]RAB!B35</f>
        <v>1</v>
      </c>
      <c r="C41" s="3587" t="str">
        <f>[6]RAB!D35</f>
        <v>(K3) Memasang batu kosong ( anstamping )</v>
      </c>
      <c r="D41" s="3582"/>
      <c r="E41" s="3582"/>
      <c r="F41" s="3582"/>
      <c r="G41" s="3593"/>
      <c r="H41" s="3583">
        <f>H43*J43*0.1</f>
        <v>9.152000000000001</v>
      </c>
      <c r="I41" s="3589" t="s">
        <v>425</v>
      </c>
      <c r="J41" s="3583">
        <f>H45*J45*0.1</f>
        <v>0.76800000000000002</v>
      </c>
      <c r="K41" s="3583"/>
      <c r="L41" s="3583"/>
      <c r="M41" s="3583"/>
      <c r="N41" s="3591"/>
      <c r="O41" s="3598"/>
      <c r="P41" s="3583">
        <f>H41+J41</f>
        <v>9.9200000000000017</v>
      </c>
      <c r="Q41" s="3584">
        <f>P41</f>
        <v>9.9200000000000017</v>
      </c>
      <c r="R41" s="3585" t="str">
        <f>[6]RAB!H35</f>
        <v>m3</v>
      </c>
    </row>
    <row r="42" spans="2:18" x14ac:dyDescent="0.2">
      <c r="B42" s="3586">
        <f>[6]RAB!B36</f>
        <v>2</v>
      </c>
      <c r="C42" s="3587" t="str">
        <f>[6]RAB!D36</f>
        <v>Memasang pondasi batu belah, campuran 1 PC : 6 PP</v>
      </c>
      <c r="D42" s="3582"/>
      <c r="E42" s="3582"/>
      <c r="F42" s="3582"/>
      <c r="G42" s="3593"/>
      <c r="H42" s="3594" t="s">
        <v>2046</v>
      </c>
      <c r="I42" s="3594"/>
      <c r="J42" s="3594" t="s">
        <v>2058</v>
      </c>
      <c r="K42" s="3594"/>
      <c r="L42" s="3594" t="s">
        <v>2059</v>
      </c>
      <c r="M42" s="3583"/>
      <c r="N42" s="3599" t="s">
        <v>2048</v>
      </c>
      <c r="O42" s="3598"/>
      <c r="P42" s="3583">
        <f>SUM(P43:P43)</f>
        <v>44.044000000000004</v>
      </c>
      <c r="Q42" s="3584">
        <f>P42</f>
        <v>44.044000000000004</v>
      </c>
      <c r="R42" s="3585" t="str">
        <f>[6]RAB!H36</f>
        <v>m3</v>
      </c>
    </row>
    <row r="43" spans="2:18" x14ac:dyDescent="0.2">
      <c r="B43" s="3586"/>
      <c r="C43" s="3587"/>
      <c r="D43" s="3582"/>
      <c r="E43" s="3582"/>
      <c r="F43" s="3582"/>
      <c r="G43" s="3593" t="s">
        <v>2060</v>
      </c>
      <c r="H43" s="3583">
        <f>H27</f>
        <v>114.4</v>
      </c>
      <c r="I43" s="3583" t="str">
        <f t="shared" ref="I43:K43" si="0">I27</f>
        <v>x</v>
      </c>
      <c r="J43" s="3583">
        <v>0.8</v>
      </c>
      <c r="K43" s="3583" t="str">
        <f t="shared" si="0"/>
        <v>x</v>
      </c>
      <c r="L43" s="3583">
        <v>0.3</v>
      </c>
      <c r="M43" s="3583" t="s">
        <v>424</v>
      </c>
      <c r="N43" s="3600">
        <v>0.7</v>
      </c>
      <c r="O43" s="3598"/>
      <c r="P43" s="3583">
        <f>(0.5*(L43+J43)*N43)*H43</f>
        <v>44.044000000000004</v>
      </c>
      <c r="Q43" s="3584"/>
      <c r="R43" s="3585"/>
    </row>
    <row r="44" spans="2:18" x14ac:dyDescent="0.2">
      <c r="B44" s="3586">
        <f>[6]RAB!B37</f>
        <v>3</v>
      </c>
      <c r="C44" s="3587" t="str">
        <f>[6]RAB!D37</f>
        <v>Memasang rollag batu bata ,1 PC : 5 PP</v>
      </c>
      <c r="D44" s="3582"/>
      <c r="E44" s="3582"/>
      <c r="F44" s="3582"/>
      <c r="G44" s="3593"/>
      <c r="H44" s="3594" t="s">
        <v>2046</v>
      </c>
      <c r="I44" s="3594"/>
      <c r="J44" s="3594" t="s">
        <v>2058</v>
      </c>
      <c r="K44" s="3594"/>
      <c r="L44" s="3594" t="s">
        <v>2048</v>
      </c>
      <c r="M44" s="3583"/>
      <c r="N44" s="3599"/>
      <c r="O44" s="3583"/>
      <c r="P44" s="3583">
        <f>H45*J45*L45</f>
        <v>3.0720000000000001</v>
      </c>
      <c r="Q44" s="3584">
        <f>P44</f>
        <v>3.0720000000000001</v>
      </c>
      <c r="R44" s="3585" t="str">
        <f>[6]RAB!H37</f>
        <v>m2</v>
      </c>
    </row>
    <row r="45" spans="2:18" x14ac:dyDescent="0.2">
      <c r="B45" s="3586"/>
      <c r="C45" s="3587"/>
      <c r="D45" s="3582"/>
      <c r="E45" s="3582"/>
      <c r="F45" s="3582"/>
      <c r="G45" s="3593" t="s">
        <v>2061</v>
      </c>
      <c r="H45" s="3583">
        <f>H28</f>
        <v>19.2</v>
      </c>
      <c r="I45" s="3583" t="str">
        <f t="shared" ref="I45:K45" si="1">I28</f>
        <v>x</v>
      </c>
      <c r="J45" s="3583">
        <f t="shared" si="1"/>
        <v>0.4</v>
      </c>
      <c r="K45" s="3583" t="str">
        <f t="shared" si="1"/>
        <v>x</v>
      </c>
      <c r="L45" s="3583">
        <f>L28</f>
        <v>0.4</v>
      </c>
      <c r="M45" s="3583"/>
      <c r="N45" s="3600"/>
      <c r="O45" s="3583"/>
      <c r="P45" s="3583"/>
      <c r="Q45" s="3584"/>
      <c r="R45" s="3585"/>
    </row>
    <row r="46" spans="2:18" x14ac:dyDescent="0.2">
      <c r="B46" s="3586"/>
      <c r="C46" s="3587"/>
      <c r="D46" s="3582"/>
      <c r="E46" s="3582"/>
      <c r="F46" s="3582"/>
      <c r="G46" s="3593"/>
      <c r="H46" s="3583"/>
      <c r="I46" s="3583"/>
      <c r="J46" s="3583"/>
      <c r="K46" s="3583"/>
      <c r="L46" s="3583"/>
      <c r="M46" s="3583"/>
      <c r="N46" s="3591"/>
      <c r="O46" s="3598"/>
      <c r="P46" s="3583"/>
      <c r="Q46" s="3584"/>
      <c r="R46" s="3585"/>
    </row>
    <row r="47" spans="2:18" x14ac:dyDescent="0.2">
      <c r="B47" s="3592" t="str">
        <f>[6]RAB!B39</f>
        <v>D.</v>
      </c>
      <c r="C47" s="3581" t="str">
        <f>[6]RAB!D39</f>
        <v>PEKERJAAN BETON</v>
      </c>
      <c r="D47" s="3582"/>
      <c r="E47" s="3582"/>
      <c r="F47" s="3582"/>
      <c r="G47" s="3593"/>
      <c r="H47" s="3583"/>
      <c r="I47" s="3583"/>
      <c r="J47" s="3583"/>
      <c r="K47" s="3583"/>
      <c r="L47" s="3583"/>
      <c r="M47" s="3583"/>
      <c r="N47" s="3591"/>
      <c r="O47" s="3598"/>
      <c r="P47" s="3583"/>
      <c r="Q47" s="3584"/>
      <c r="R47" s="3585"/>
    </row>
    <row r="48" spans="2:18" x14ac:dyDescent="0.2">
      <c r="B48" s="3592"/>
      <c r="C48" s="3581" t="str">
        <f>[6]RAB!D40</f>
        <v>LANTAI 1</v>
      </c>
      <c r="D48" s="3582"/>
      <c r="E48" s="3582"/>
      <c r="F48" s="3582"/>
      <c r="G48" s="3593"/>
      <c r="H48" s="3583"/>
      <c r="I48" s="3583"/>
      <c r="J48" s="3583"/>
      <c r="K48" s="3583"/>
      <c r="L48" s="3583"/>
      <c r="M48" s="3583"/>
      <c r="N48" s="3591"/>
      <c r="O48" s="3598"/>
      <c r="P48" s="3583"/>
      <c r="Q48" s="3584"/>
      <c r="R48" s="3585"/>
    </row>
    <row r="49" spans="2:18" x14ac:dyDescent="0.2">
      <c r="B49" s="3592"/>
      <c r="C49" s="3581" t="str">
        <f>[6]RAB!D41</f>
        <v>A. BETON FOOTPLAT</v>
      </c>
      <c r="D49" s="3582"/>
      <c r="E49" s="3582"/>
      <c r="F49" s="3582"/>
      <c r="G49" s="3593"/>
      <c r="H49" s="3583"/>
      <c r="I49" s="3583"/>
      <c r="J49" s="3583"/>
      <c r="K49" s="3583"/>
      <c r="L49" s="3583"/>
      <c r="M49" s="3583"/>
      <c r="N49" s="3591"/>
      <c r="O49" s="3598"/>
      <c r="P49" s="3583"/>
      <c r="Q49" s="3584"/>
      <c r="R49" s="3585"/>
    </row>
    <row r="50" spans="2:18" x14ac:dyDescent="0.2">
      <c r="B50" s="3586">
        <f>[6]RAB!B42</f>
        <v>1</v>
      </c>
      <c r="C50" s="3587" t="str">
        <f>[6]RAB!D42</f>
        <v>Membuat lantai kerja beton mutu f'c = 7,4 Mpa, T : 5 cm</v>
      </c>
      <c r="D50" s="3582"/>
      <c r="E50" s="3582"/>
      <c r="F50" s="3582"/>
      <c r="G50" s="3593"/>
      <c r="H50" s="3583"/>
      <c r="I50" s="3583"/>
      <c r="J50" s="3583"/>
      <c r="K50" s="3583"/>
      <c r="L50" s="3583"/>
      <c r="M50" s="3583"/>
      <c r="N50" s="3591"/>
      <c r="O50" s="3598"/>
      <c r="P50" s="3583"/>
      <c r="Q50" s="3584"/>
      <c r="R50" s="3585"/>
    </row>
    <row r="51" spans="2:18" x14ac:dyDescent="0.2">
      <c r="B51" s="3586"/>
      <c r="C51" s="3587"/>
      <c r="D51" s="3582"/>
      <c r="E51" s="3582"/>
      <c r="F51" s="3582"/>
      <c r="G51" s="3593" t="s">
        <v>2062</v>
      </c>
      <c r="H51" s="3583">
        <f>H31</f>
        <v>1.5</v>
      </c>
      <c r="I51" s="3583" t="s">
        <v>424</v>
      </c>
      <c r="J51" s="3583">
        <f>J31</f>
        <v>1.5</v>
      </c>
      <c r="K51" s="3583" t="s">
        <v>424</v>
      </c>
      <c r="L51" s="3583">
        <v>0.05</v>
      </c>
      <c r="M51" s="3583" t="s">
        <v>424</v>
      </c>
      <c r="N51" s="3591">
        <f>N31</f>
        <v>72</v>
      </c>
      <c r="O51" s="3598"/>
      <c r="P51" s="3583">
        <f>H51*J51*L51*N51</f>
        <v>8.1</v>
      </c>
      <c r="Q51" s="3584">
        <f>SUM(P51:P52)</f>
        <v>8.2999999999999989</v>
      </c>
      <c r="R51" s="3585" t="str">
        <f>[6]RAB!H42</f>
        <v>m3</v>
      </c>
    </row>
    <row r="52" spans="2:18" x14ac:dyDescent="0.2">
      <c r="B52" s="3586"/>
      <c r="C52" s="3587"/>
      <c r="D52" s="3582"/>
      <c r="E52" s="3582"/>
      <c r="F52" s="3582"/>
      <c r="G52" s="3593" t="s">
        <v>2063</v>
      </c>
      <c r="H52" s="3583">
        <f>H32</f>
        <v>1</v>
      </c>
      <c r="I52" s="3583" t="s">
        <v>424</v>
      </c>
      <c r="J52" s="3583">
        <f>J32</f>
        <v>1</v>
      </c>
      <c r="K52" s="3583" t="s">
        <v>424</v>
      </c>
      <c r="L52" s="3583">
        <f>L51</f>
        <v>0.05</v>
      </c>
      <c r="M52" s="3583" t="s">
        <v>424</v>
      </c>
      <c r="N52" s="3591">
        <f>N32</f>
        <v>4</v>
      </c>
      <c r="O52" s="3598"/>
      <c r="P52" s="3583">
        <f>H52*J52*L52*N52</f>
        <v>0.2</v>
      </c>
      <c r="Q52" s="3584"/>
      <c r="R52" s="3585"/>
    </row>
    <row r="53" spans="2:18" x14ac:dyDescent="0.2">
      <c r="B53" s="3586"/>
      <c r="C53" s="3587"/>
      <c r="D53" s="3582"/>
      <c r="E53" s="3582"/>
      <c r="F53" s="3582"/>
      <c r="G53" s="3593"/>
      <c r="H53" s="3583"/>
      <c r="I53" s="3583"/>
      <c r="J53" s="3583"/>
      <c r="K53" s="3583"/>
      <c r="L53" s="3583"/>
      <c r="M53" s="3583"/>
      <c r="N53" s="3591"/>
      <c r="O53" s="3598"/>
      <c r="P53" s="3583"/>
      <c r="Q53" s="3584"/>
      <c r="R53" s="3585"/>
    </row>
    <row r="54" spans="2:18" x14ac:dyDescent="0.2">
      <c r="B54" s="3586"/>
      <c r="C54" s="3581" t="str">
        <f>[6]RAB!D43</f>
        <v>FOOTPLAT TIPE FP1 (120 X 120 )</v>
      </c>
      <c r="D54" s="3582"/>
      <c r="E54" s="3582"/>
      <c r="F54" s="3582"/>
      <c r="G54" s="3593"/>
      <c r="H54" s="3583"/>
      <c r="I54" s="3583"/>
      <c r="J54" s="3583"/>
      <c r="K54" s="3583"/>
      <c r="L54" s="3583"/>
      <c r="M54" s="3583"/>
      <c r="N54" s="3591"/>
      <c r="O54" s="3598"/>
      <c r="P54" s="3583"/>
      <c r="Q54" s="3584"/>
      <c r="R54" s="3585"/>
    </row>
    <row r="55" spans="2:18" x14ac:dyDescent="0.2">
      <c r="B55" s="3586">
        <f>[6]RAB!B44</f>
        <v>1</v>
      </c>
      <c r="C55" s="3587" t="str">
        <f>[6]RAB!D44</f>
        <v xml:space="preserve">Membuat beton mutu f'c = 21,7 Mpa </v>
      </c>
      <c r="D55" s="3582"/>
      <c r="E55" s="3582"/>
      <c r="F55" s="3582"/>
      <c r="G55" s="3593"/>
      <c r="H55" s="3583"/>
      <c r="I55" s="3583"/>
      <c r="J55" s="3583"/>
      <c r="K55" s="3583"/>
      <c r="L55" s="3583"/>
      <c r="M55" s="3583"/>
      <c r="N55" s="3591"/>
      <c r="O55" s="3598"/>
      <c r="P55" s="3583"/>
      <c r="Q55" s="3584">
        <f>P56</f>
        <v>41.471999999999994</v>
      </c>
      <c r="R55" s="3585" t="str">
        <f>[6]RAB!H44</f>
        <v>m3</v>
      </c>
    </row>
    <row r="56" spans="2:18" x14ac:dyDescent="0.2">
      <c r="B56" s="3586"/>
      <c r="C56" s="3587"/>
      <c r="D56" s="3582"/>
      <c r="E56" s="3582"/>
      <c r="F56" s="3582"/>
      <c r="G56" s="3593" t="s">
        <v>2064</v>
      </c>
      <c r="H56" s="3583"/>
      <c r="I56" s="3583"/>
      <c r="J56" s="3583"/>
      <c r="K56" s="3583"/>
      <c r="L56" s="3583"/>
      <c r="M56" s="3583"/>
      <c r="N56" s="3591"/>
      <c r="O56" s="3598"/>
      <c r="P56" s="3583">
        <f>'[6]TABEL HITUNG BESI 1'!G9</f>
        <v>41.471999999999994</v>
      </c>
      <c r="Q56" s="3584"/>
      <c r="R56" s="3585"/>
    </row>
    <row r="57" spans="2:18" x14ac:dyDescent="0.2">
      <c r="B57" s="3586">
        <f>[6]RAB!B45</f>
        <v>2</v>
      </c>
      <c r="C57" s="3587" t="str">
        <f>[6]RAB!D45</f>
        <v>Pembesian 1 kg dengan besi polos atau besi ulir</v>
      </c>
      <c r="D57" s="3582"/>
      <c r="E57" s="3582"/>
      <c r="F57" s="3582"/>
      <c r="G57" s="3593"/>
      <c r="H57" s="3583"/>
      <c r="I57" s="3583"/>
      <c r="J57" s="3583"/>
      <c r="K57" s="3583"/>
      <c r="L57" s="3583"/>
      <c r="M57" s="3583"/>
      <c r="N57" s="3591"/>
      <c r="O57" s="3598"/>
      <c r="P57" s="3583"/>
      <c r="Q57" s="3584">
        <f>SUM(P58:P59)</f>
        <v>3622.2814623302602</v>
      </c>
      <c r="R57" s="3585" t="str">
        <f>[6]RAB!H45</f>
        <v>kg</v>
      </c>
    </row>
    <row r="58" spans="2:18" x14ac:dyDescent="0.2">
      <c r="B58" s="3586"/>
      <c r="C58" s="3587"/>
      <c r="D58" s="3582"/>
      <c r="E58" s="3582"/>
      <c r="F58" s="3582"/>
      <c r="G58" s="3593" t="s">
        <v>2064</v>
      </c>
      <c r="H58" s="3583"/>
      <c r="I58" s="3583"/>
      <c r="J58" s="3583"/>
      <c r="K58" s="3583"/>
      <c r="L58" s="3583"/>
      <c r="M58" s="3583"/>
      <c r="N58" s="3591"/>
      <c r="O58" s="3598"/>
      <c r="P58" s="3583">
        <f>'[6]TABEL HITUNG BESI 1'!M9</f>
        <v>2181.891892603639</v>
      </c>
      <c r="Q58" s="3584"/>
      <c r="R58" s="3585"/>
    </row>
    <row r="59" spans="2:18" x14ac:dyDescent="0.2">
      <c r="B59" s="3586"/>
      <c r="C59" s="3587"/>
      <c r="D59" s="3582"/>
      <c r="E59" s="3582"/>
      <c r="F59" s="3582"/>
      <c r="G59" s="3593"/>
      <c r="H59" s="3583"/>
      <c r="I59" s="3583"/>
      <c r="J59" s="3583"/>
      <c r="K59" s="3583"/>
      <c r="L59" s="3583"/>
      <c r="M59" s="3583"/>
      <c r="N59" s="3591"/>
      <c r="O59" s="3598"/>
      <c r="P59" s="3583">
        <f>'[6]TABEL HITUNG BESI 1'!R9</f>
        <v>1440.3895697266209</v>
      </c>
      <c r="Q59" s="3584"/>
      <c r="R59" s="3585"/>
    </row>
    <row r="60" spans="2:18" x14ac:dyDescent="0.2">
      <c r="B60" s="3586">
        <f>[6]RAB!B46</f>
        <v>3</v>
      </c>
      <c r="C60" s="3587" t="str">
        <f>[6]RAB!D46</f>
        <v>(K3) Memasang bekisting untuk pondasi ( 2x pakai )</v>
      </c>
      <c r="D60" s="3582"/>
      <c r="E60" s="3582"/>
      <c r="F60" s="3582"/>
      <c r="G60" s="3593"/>
      <c r="H60" s="3583"/>
      <c r="I60" s="3583"/>
      <c r="J60" s="3583"/>
      <c r="K60" s="3583"/>
      <c r="L60" s="3583"/>
      <c r="M60" s="3583"/>
      <c r="N60" s="3591"/>
      <c r="O60" s="3598"/>
      <c r="P60" s="3583"/>
      <c r="Q60" s="3584">
        <f>P61</f>
        <v>138.24</v>
      </c>
      <c r="R60" s="3585" t="str">
        <f>[6]RAB!H46</f>
        <v>m2</v>
      </c>
    </row>
    <row r="61" spans="2:18" x14ac:dyDescent="0.2">
      <c r="B61" s="3586"/>
      <c r="C61" s="3587"/>
      <c r="D61" s="3582"/>
      <c r="E61" s="3582"/>
      <c r="F61" s="3582"/>
      <c r="G61" s="3593" t="s">
        <v>2064</v>
      </c>
      <c r="H61" s="3583"/>
      <c r="I61" s="3583"/>
      <c r="J61" s="3583"/>
      <c r="K61" s="3583"/>
      <c r="L61" s="3583"/>
      <c r="M61" s="3583"/>
      <c r="N61" s="3591"/>
      <c r="O61" s="3598"/>
      <c r="P61" s="3583">
        <f>'[6]TABEL HITUNG BESI 1'!H9</f>
        <v>138.24</v>
      </c>
      <c r="Q61" s="3584"/>
      <c r="R61" s="3585"/>
    </row>
    <row r="62" spans="2:18" x14ac:dyDescent="0.2">
      <c r="B62" s="3586"/>
      <c r="C62" s="3587"/>
      <c r="D62" s="3582"/>
      <c r="E62" s="3582"/>
      <c r="F62" s="3582"/>
      <c r="G62" s="3593"/>
      <c r="H62" s="3583"/>
      <c r="I62" s="3583"/>
      <c r="J62" s="3583"/>
      <c r="K62" s="3583"/>
      <c r="L62" s="3583"/>
      <c r="M62" s="3583"/>
      <c r="N62" s="3591"/>
      <c r="O62" s="3598"/>
      <c r="P62" s="3583"/>
      <c r="Q62" s="3584"/>
      <c r="R62" s="3585"/>
    </row>
    <row r="63" spans="2:18" x14ac:dyDescent="0.2">
      <c r="B63" s="3586"/>
      <c r="C63" s="3581" t="str">
        <f>[6]RAB!D47</f>
        <v>FOOTPLAT TIPE FP2 (80 X 80 )</v>
      </c>
      <c r="D63" s="3582"/>
      <c r="E63" s="3582"/>
      <c r="F63" s="3582"/>
      <c r="G63" s="3593"/>
      <c r="H63" s="3583"/>
      <c r="I63" s="3583"/>
      <c r="J63" s="3583"/>
      <c r="K63" s="3583"/>
      <c r="L63" s="3583"/>
      <c r="M63" s="3583"/>
      <c r="N63" s="3591"/>
      <c r="O63" s="3598"/>
      <c r="P63" s="3583"/>
      <c r="Q63" s="3584"/>
      <c r="R63" s="3585"/>
    </row>
    <row r="64" spans="2:18" x14ac:dyDescent="0.2">
      <c r="B64" s="3586">
        <f>[6]RAB!B48</f>
        <v>1</v>
      </c>
      <c r="C64" s="3587" t="str">
        <f>[6]RAB!D48</f>
        <v xml:space="preserve">Membuat beton mutu f'c = 21,7 Mpa </v>
      </c>
      <c r="D64" s="3582"/>
      <c r="E64" s="3582"/>
      <c r="F64" s="3582"/>
      <c r="G64" s="3593"/>
      <c r="H64" s="3583"/>
      <c r="I64" s="3583"/>
      <c r="J64" s="3583"/>
      <c r="K64" s="3583"/>
      <c r="L64" s="3583"/>
      <c r="M64" s="3583"/>
      <c r="N64" s="3591"/>
      <c r="O64" s="3598"/>
      <c r="P64" s="3583"/>
      <c r="Q64" s="3584">
        <f>P65</f>
        <v>0.76800000000000013</v>
      </c>
      <c r="R64" s="3585" t="str">
        <f>[6]RAB!H48</f>
        <v>m3</v>
      </c>
    </row>
    <row r="65" spans="2:18" x14ac:dyDescent="0.2">
      <c r="B65" s="3586"/>
      <c r="C65" s="3587"/>
      <c r="D65" s="3582"/>
      <c r="E65" s="3582"/>
      <c r="F65" s="3582"/>
      <c r="G65" s="3593" t="s">
        <v>2064</v>
      </c>
      <c r="H65" s="3583"/>
      <c r="I65" s="3583"/>
      <c r="J65" s="3583"/>
      <c r="K65" s="3583"/>
      <c r="L65" s="3583"/>
      <c r="M65" s="3583"/>
      <c r="N65" s="3591"/>
      <c r="O65" s="3598"/>
      <c r="P65" s="3583">
        <f>'[6]TABEL HITUNG BESI 1'!G17</f>
        <v>0.76800000000000013</v>
      </c>
      <c r="Q65" s="3584"/>
      <c r="R65" s="3585"/>
    </row>
    <row r="66" spans="2:18" x14ac:dyDescent="0.2">
      <c r="B66" s="3586">
        <f>[6]RAB!B49</f>
        <v>2</v>
      </c>
      <c r="C66" s="3587" t="str">
        <f>[6]RAB!D49</f>
        <v>Pembesian 1 kg dengan besi polos atau besi ulir</v>
      </c>
      <c r="D66" s="3582"/>
      <c r="E66" s="3582"/>
      <c r="F66" s="3582"/>
      <c r="G66" s="3593"/>
      <c r="H66" s="3583"/>
      <c r="I66" s="3583"/>
      <c r="J66" s="3583"/>
      <c r="K66" s="3583"/>
      <c r="L66" s="3583"/>
      <c r="M66" s="3583"/>
      <c r="N66" s="3591"/>
      <c r="O66" s="3598"/>
      <c r="P66" s="3583"/>
      <c r="Q66" s="3584">
        <f>SUM(P67:P68)</f>
        <v>73.353172532374217</v>
      </c>
      <c r="R66" s="3585" t="str">
        <f>[6]RAB!H49</f>
        <v>kg</v>
      </c>
    </row>
    <row r="67" spans="2:18" x14ac:dyDescent="0.2">
      <c r="B67" s="3586"/>
      <c r="C67" s="3587"/>
      <c r="D67" s="3582"/>
      <c r="E67" s="3582"/>
      <c r="F67" s="3582"/>
      <c r="G67" s="3593" t="s">
        <v>2064</v>
      </c>
      <c r="H67" s="3583"/>
      <c r="I67" s="3583"/>
      <c r="J67" s="3583"/>
      <c r="K67" s="3583"/>
      <c r="L67" s="3583"/>
      <c r="M67" s="3583"/>
      <c r="N67" s="3591"/>
      <c r="O67" s="3598"/>
      <c r="P67" s="3583">
        <f>'[6]TABEL HITUNG BESI 1'!M17</f>
        <v>36.676586266187108</v>
      </c>
      <c r="Q67" s="3584"/>
      <c r="R67" s="3585"/>
    </row>
    <row r="68" spans="2:18" x14ac:dyDescent="0.2">
      <c r="B68" s="3586"/>
      <c r="C68" s="3587"/>
      <c r="D68" s="3582"/>
      <c r="E68" s="3582"/>
      <c r="F68" s="3582"/>
      <c r="G68" s="3593"/>
      <c r="H68" s="3583"/>
      <c r="I68" s="3583"/>
      <c r="J68" s="3583"/>
      <c r="K68" s="3583"/>
      <c r="L68" s="3583"/>
      <c r="M68" s="3583"/>
      <c r="N68" s="3591"/>
      <c r="O68" s="3598"/>
      <c r="P68" s="3583">
        <f>'[6]TABEL HITUNG BESI 1'!R17</f>
        <v>36.676586266187108</v>
      </c>
      <c r="Q68" s="3584"/>
      <c r="R68" s="3585"/>
    </row>
    <row r="69" spans="2:18" x14ac:dyDescent="0.2">
      <c r="B69" s="3586">
        <f>[6]RAB!B50</f>
        <v>3</v>
      </c>
      <c r="C69" s="3587" t="str">
        <f>[6]RAB!D50</f>
        <v>(K3) Memasang bekisting untuk pondasi ( 2x pakai )</v>
      </c>
      <c r="D69" s="3582"/>
      <c r="E69" s="3582"/>
      <c r="F69" s="3582"/>
      <c r="G69" s="3593"/>
      <c r="H69" s="3583"/>
      <c r="I69" s="3583"/>
      <c r="J69" s="3583"/>
      <c r="K69" s="3583"/>
      <c r="L69" s="3583"/>
      <c r="M69" s="3583"/>
      <c r="N69" s="3591"/>
      <c r="O69" s="3598"/>
      <c r="P69" s="3583"/>
      <c r="Q69" s="3584">
        <f>P70</f>
        <v>3.84</v>
      </c>
      <c r="R69" s="3585" t="str">
        <f>[6]RAB!H50</f>
        <v>m2</v>
      </c>
    </row>
    <row r="70" spans="2:18" x14ac:dyDescent="0.2">
      <c r="B70" s="3586"/>
      <c r="C70" s="3581"/>
      <c r="D70" s="3582"/>
      <c r="E70" s="3582"/>
      <c r="F70" s="3582"/>
      <c r="G70" s="3593" t="s">
        <v>2064</v>
      </c>
      <c r="H70" s="3583"/>
      <c r="I70" s="3583"/>
      <c r="J70" s="3583"/>
      <c r="K70" s="3583"/>
      <c r="L70" s="3583"/>
      <c r="M70" s="3583"/>
      <c r="N70" s="3591"/>
      <c r="O70" s="3598"/>
      <c r="P70" s="3583">
        <f>'[6]TABEL HITUNG BESI 1'!H17</f>
        <v>3.84</v>
      </c>
      <c r="Q70" s="3584"/>
      <c r="R70" s="3585"/>
    </row>
    <row r="71" spans="2:18" x14ac:dyDescent="0.2">
      <c r="B71" s="3586"/>
      <c r="C71" s="3581"/>
      <c r="D71" s="3582"/>
      <c r="E71" s="3582"/>
      <c r="F71" s="3582"/>
      <c r="G71" s="3593"/>
      <c r="H71" s="3583"/>
      <c r="I71" s="3583"/>
      <c r="J71" s="3583"/>
      <c r="K71" s="3583"/>
      <c r="L71" s="3583"/>
      <c r="M71" s="3583"/>
      <c r="N71" s="3591"/>
      <c r="O71" s="3598"/>
      <c r="P71" s="3583"/>
      <c r="Q71" s="3584"/>
      <c r="R71" s="3585"/>
    </row>
    <row r="72" spans="2:18" x14ac:dyDescent="0.2">
      <c r="B72" s="3592">
        <f>[6]RAB!B51</f>
        <v>0</v>
      </c>
      <c r="C72" s="3581" t="str">
        <f>[6]RAB!D51</f>
        <v>B. BETON SLOOF</v>
      </c>
      <c r="D72" s="3582"/>
      <c r="E72" s="3582"/>
      <c r="F72" s="3582"/>
      <c r="G72" s="3593"/>
      <c r="H72" s="3583"/>
      <c r="I72" s="3583"/>
      <c r="J72" s="3583"/>
      <c r="K72" s="3583"/>
      <c r="L72" s="3583"/>
      <c r="M72" s="3583"/>
      <c r="N72" s="3591"/>
      <c r="O72" s="3598"/>
      <c r="P72" s="3583"/>
      <c r="Q72" s="3584"/>
      <c r="R72" s="3585"/>
    </row>
    <row r="73" spans="2:18" x14ac:dyDescent="0.2">
      <c r="B73" s="3592"/>
      <c r="C73" s="3581" t="str">
        <f>[6]RAB!D52</f>
        <v>PEKERJAAN SLOOF S1 (20 X 40)</v>
      </c>
      <c r="D73" s="3582"/>
      <c r="E73" s="3582"/>
      <c r="F73" s="3582"/>
      <c r="G73" s="3593"/>
      <c r="H73" s="3583"/>
      <c r="I73" s="3583"/>
      <c r="J73" s="3583"/>
      <c r="K73" s="3583"/>
      <c r="L73" s="3583"/>
      <c r="M73" s="3583"/>
      <c r="N73" s="3591"/>
      <c r="O73" s="3598"/>
      <c r="P73" s="3583"/>
      <c r="Q73" s="3584"/>
      <c r="R73" s="3585"/>
    </row>
    <row r="74" spans="2:18" x14ac:dyDescent="0.2">
      <c r="B74" s="3586">
        <f>[6]RAB!B53</f>
        <v>1</v>
      </c>
      <c r="C74" s="3587" t="str">
        <f>[6]RAB!D53</f>
        <v xml:space="preserve">Membuat beton mutu f'c = 21,7 Mpa </v>
      </c>
      <c r="D74" s="3582"/>
      <c r="E74" s="3582"/>
      <c r="F74" s="3582"/>
      <c r="G74" s="3593"/>
      <c r="H74" s="3583"/>
      <c r="I74" s="3583"/>
      <c r="J74" s="3583"/>
      <c r="K74" s="3583"/>
      <c r="L74" s="3583"/>
      <c r="M74" s="3583"/>
      <c r="N74" s="3591"/>
      <c r="O74" s="3598"/>
      <c r="P74" s="3583"/>
      <c r="Q74" s="3584">
        <f>P75</f>
        <v>24.736000000000008</v>
      </c>
      <c r="R74" s="3585" t="str">
        <f>[6]RAB!H53</f>
        <v>m3</v>
      </c>
    </row>
    <row r="75" spans="2:18" x14ac:dyDescent="0.2">
      <c r="B75" s="3586"/>
      <c r="C75" s="3587"/>
      <c r="D75" s="3582"/>
      <c r="E75" s="3582"/>
      <c r="F75" s="3582"/>
      <c r="G75" s="3593" t="s">
        <v>2065</v>
      </c>
      <c r="H75" s="3583"/>
      <c r="I75" s="3583"/>
      <c r="J75" s="3583"/>
      <c r="K75" s="3583"/>
      <c r="L75" s="3583"/>
      <c r="M75" s="3583"/>
      <c r="N75" s="3591"/>
      <c r="O75" s="3598"/>
      <c r="P75" s="3583">
        <f>'[6]TABEL HITUNG BESI 2'!G23</f>
        <v>24.736000000000008</v>
      </c>
      <c r="Q75" s="3584"/>
      <c r="R75" s="3585"/>
    </row>
    <row r="76" spans="2:18" x14ac:dyDescent="0.2">
      <c r="B76" s="3586">
        <f>[6]RAB!B54</f>
        <v>2</v>
      </c>
      <c r="C76" s="3587" t="str">
        <f>[6]RAB!D54</f>
        <v>Pembesian 1 kg dengan besi polos atau besi ulir</v>
      </c>
      <c r="D76" s="3582"/>
      <c r="E76" s="3582"/>
      <c r="F76" s="3582"/>
      <c r="G76" s="3593"/>
      <c r="H76" s="3583"/>
      <c r="I76" s="3583"/>
      <c r="J76" s="3583"/>
      <c r="K76" s="3583"/>
      <c r="L76" s="3583"/>
      <c r="M76" s="3583"/>
      <c r="N76" s="3591"/>
      <c r="O76" s="3598"/>
      <c r="P76" s="3583"/>
      <c r="Q76" s="3584">
        <f>SUM(P77:P79)</f>
        <v>4504.2409055814333</v>
      </c>
      <c r="R76" s="3585" t="str">
        <f>[6]RAB!H54</f>
        <v>kg</v>
      </c>
    </row>
    <row r="77" spans="2:18" x14ac:dyDescent="0.2">
      <c r="B77" s="3586"/>
      <c r="C77" s="3587"/>
      <c r="D77" s="3582"/>
      <c r="E77" s="3582"/>
      <c r="F77" s="3582"/>
      <c r="G77" s="3593" t="s">
        <v>2065</v>
      </c>
      <c r="H77" s="3583"/>
      <c r="I77" s="3583"/>
      <c r="J77" s="3583"/>
      <c r="K77" s="3583"/>
      <c r="L77" s="3583"/>
      <c r="M77" s="3583"/>
      <c r="N77" s="3591"/>
      <c r="O77" s="3598"/>
      <c r="P77" s="3583">
        <f>'[6]TABEL HITUNG BESI 2'!K23</f>
        <v>1952.0861492854319</v>
      </c>
      <c r="Q77" s="3584"/>
      <c r="R77" s="3585"/>
    </row>
    <row r="78" spans="2:18" x14ac:dyDescent="0.2">
      <c r="B78" s="3586"/>
      <c r="C78" s="3587"/>
      <c r="D78" s="3582"/>
      <c r="E78" s="3582"/>
      <c r="F78" s="3582"/>
      <c r="G78" s="3593"/>
      <c r="H78" s="3583"/>
      <c r="I78" s="3583"/>
      <c r="J78" s="3583"/>
      <c r="K78" s="3583"/>
      <c r="L78" s="3583"/>
      <c r="M78" s="3583"/>
      <c r="N78" s="3591"/>
      <c r="O78" s="3598"/>
      <c r="P78" s="3583">
        <f>'[6]TABEL HITUNG BESI 2'!N23</f>
        <v>644.34093599460527</v>
      </c>
      <c r="Q78" s="3584"/>
      <c r="R78" s="3585"/>
    </row>
    <row r="79" spans="2:18" x14ac:dyDescent="0.2">
      <c r="B79" s="3586"/>
      <c r="C79" s="3587"/>
      <c r="D79" s="3582"/>
      <c r="E79" s="3582"/>
      <c r="F79" s="3582"/>
      <c r="G79" s="3593"/>
      <c r="H79" s="3583"/>
      <c r="I79" s="3583"/>
      <c r="J79" s="3583"/>
      <c r="K79" s="3583"/>
      <c r="L79" s="3583"/>
      <c r="M79" s="3583"/>
      <c r="N79" s="3591"/>
      <c r="O79" s="3598"/>
      <c r="P79" s="3583">
        <f>'[6]TABEL HITUNG BESI 2'!S23</f>
        <v>1907.8138203013959</v>
      </c>
      <c r="Q79" s="3584"/>
      <c r="R79" s="3585"/>
    </row>
    <row r="80" spans="2:18" x14ac:dyDescent="0.2">
      <c r="B80" s="3586">
        <f>[6]RAB!B55</f>
        <v>3</v>
      </c>
      <c r="C80" s="3587" t="str">
        <f>[6]RAB!D55</f>
        <v>(K3) Memasang bekisting untuk sloof ( 2x pakai )</v>
      </c>
      <c r="D80" s="3582"/>
      <c r="E80" s="3582"/>
      <c r="F80" s="3582"/>
      <c r="G80" s="3593"/>
      <c r="H80" s="3583"/>
      <c r="I80" s="3583"/>
      <c r="J80" s="3583"/>
      <c r="K80" s="3583"/>
      <c r="L80" s="3583"/>
      <c r="M80" s="3583"/>
      <c r="N80" s="3591"/>
      <c r="O80" s="3598"/>
      <c r="P80" s="3583"/>
      <c r="Q80" s="3584">
        <f>P81</f>
        <v>247.36000000000004</v>
      </c>
      <c r="R80" s="3585" t="str">
        <f>[6]RAB!H55</f>
        <v>m2</v>
      </c>
    </row>
    <row r="81" spans="2:18" x14ac:dyDescent="0.2">
      <c r="B81" s="3586"/>
      <c r="C81" s="3587"/>
      <c r="D81" s="3582"/>
      <c r="E81" s="3582"/>
      <c r="F81" s="3582"/>
      <c r="G81" s="3593" t="s">
        <v>2065</v>
      </c>
      <c r="H81" s="3583"/>
      <c r="I81" s="3583"/>
      <c r="J81" s="3583"/>
      <c r="K81" s="3583"/>
      <c r="L81" s="3583"/>
      <c r="M81" s="3583"/>
      <c r="N81" s="3591"/>
      <c r="O81" s="3598"/>
      <c r="P81" s="3583">
        <f>'[6]TABEL HITUNG BESI 2'!H23</f>
        <v>247.36000000000004</v>
      </c>
      <c r="Q81" s="3584"/>
      <c r="R81" s="3585"/>
    </row>
    <row r="82" spans="2:18" x14ac:dyDescent="0.2">
      <c r="B82" s="3586"/>
      <c r="C82" s="3587"/>
      <c r="D82" s="3582"/>
      <c r="E82" s="3582"/>
      <c r="F82" s="3582"/>
      <c r="G82" s="3593"/>
      <c r="H82" s="3583"/>
      <c r="I82" s="3583"/>
      <c r="J82" s="3583"/>
      <c r="K82" s="3583"/>
      <c r="L82" s="3583"/>
      <c r="M82" s="3583"/>
      <c r="N82" s="3591"/>
      <c r="O82" s="3598"/>
      <c r="P82" s="3583"/>
      <c r="Q82" s="3584"/>
      <c r="R82" s="3585"/>
    </row>
    <row r="83" spans="2:18" x14ac:dyDescent="0.2">
      <c r="B83" s="3586"/>
      <c r="C83" s="3581" t="str">
        <f>[6]RAB!D56</f>
        <v>PEKERJAAN SLOOF S2 (20 X 30)</v>
      </c>
      <c r="D83" s="3582"/>
      <c r="E83" s="3582"/>
      <c r="F83" s="3582"/>
      <c r="G83" s="3593"/>
      <c r="H83" s="3583"/>
      <c r="I83" s="3583"/>
      <c r="J83" s="3583"/>
      <c r="K83" s="3583"/>
      <c r="L83" s="3583"/>
      <c r="M83" s="3583"/>
      <c r="N83" s="3591"/>
      <c r="O83" s="3598"/>
      <c r="P83" s="3583"/>
      <c r="Q83" s="3584"/>
      <c r="R83" s="3585"/>
    </row>
    <row r="84" spans="2:18" x14ac:dyDescent="0.2">
      <c r="B84" s="3586">
        <f>[6]RAB!B57</f>
        <v>1</v>
      </c>
      <c r="C84" s="3587" t="str">
        <f>[6]RAB!D57</f>
        <v xml:space="preserve">Membuat beton mutu f'c = 21,7 Mpa </v>
      </c>
      <c r="D84" s="3582"/>
      <c r="E84" s="3582"/>
      <c r="F84" s="3582"/>
      <c r="G84" s="3593"/>
      <c r="H84" s="3583"/>
      <c r="I84" s="3583"/>
      <c r="J84" s="3583"/>
      <c r="K84" s="3583"/>
      <c r="L84" s="3583"/>
      <c r="M84" s="3583"/>
      <c r="N84" s="3591"/>
      <c r="O84" s="3598"/>
      <c r="P84" s="3583"/>
      <c r="Q84" s="3584">
        <f>P85</f>
        <v>13.343999999999998</v>
      </c>
      <c r="R84" s="3585" t="str">
        <f>[6]RAB!H57</f>
        <v>m3</v>
      </c>
    </row>
    <row r="85" spans="2:18" x14ac:dyDescent="0.2">
      <c r="B85" s="3586"/>
      <c r="C85" s="3587"/>
      <c r="D85" s="3582"/>
      <c r="E85" s="3582"/>
      <c r="F85" s="3582"/>
      <c r="G85" s="3593" t="s">
        <v>2065</v>
      </c>
      <c r="H85" s="3583"/>
      <c r="I85" s="3583"/>
      <c r="J85" s="3583"/>
      <c r="K85" s="3583"/>
      <c r="L85" s="3583"/>
      <c r="M85" s="3583"/>
      <c r="N85" s="3591"/>
      <c r="O85" s="3598"/>
      <c r="P85" s="3583">
        <f>'[6]TABEL HITUNG BESI 2'!G42</f>
        <v>13.343999999999998</v>
      </c>
      <c r="Q85" s="3584"/>
      <c r="R85" s="3585"/>
    </row>
    <row r="86" spans="2:18" x14ac:dyDescent="0.2">
      <c r="B86" s="3586">
        <f>[6]RAB!B58</f>
        <v>2</v>
      </c>
      <c r="C86" s="3587" t="str">
        <f>[6]RAB!D58</f>
        <v>Pembesian 1 kg dengan besi polos atau besi ulir</v>
      </c>
      <c r="D86" s="3582"/>
      <c r="E86" s="3582"/>
      <c r="F86" s="3582"/>
      <c r="G86" s="3593"/>
      <c r="H86" s="3583"/>
      <c r="I86" s="3583"/>
      <c r="J86" s="3583"/>
      <c r="K86" s="3583"/>
      <c r="L86" s="3583"/>
      <c r="M86" s="3583"/>
      <c r="N86" s="3591"/>
      <c r="O86" s="3598"/>
      <c r="P86" s="3583"/>
      <c r="Q86" s="3584">
        <f>SUM(P87:P88)</f>
        <v>2070.8000451047028</v>
      </c>
      <c r="R86" s="3585" t="str">
        <f>[6]RAB!H58</f>
        <v>kg</v>
      </c>
    </row>
    <row r="87" spans="2:18" x14ac:dyDescent="0.2">
      <c r="B87" s="3586"/>
      <c r="C87" s="3587"/>
      <c r="D87" s="3582"/>
      <c r="E87" s="3582"/>
      <c r="F87" s="3582"/>
      <c r="G87" s="3593" t="s">
        <v>2065</v>
      </c>
      <c r="H87" s="3583"/>
      <c r="I87" s="3583"/>
      <c r="J87" s="3583"/>
      <c r="K87" s="3583"/>
      <c r="L87" s="3583"/>
      <c r="M87" s="3583"/>
      <c r="N87" s="3591"/>
      <c r="O87" s="3598"/>
      <c r="P87" s="3583">
        <f>'[6]TABEL HITUNG BESI 2'!K42</f>
        <v>926.91736200000128</v>
      </c>
      <c r="Q87" s="3584"/>
      <c r="R87" s="3585"/>
    </row>
    <row r="88" spans="2:18" x14ac:dyDescent="0.2">
      <c r="B88" s="3586"/>
      <c r="C88" s="3587"/>
      <c r="D88" s="3582"/>
      <c r="E88" s="3582"/>
      <c r="F88" s="3582"/>
      <c r="G88" s="3593"/>
      <c r="H88" s="3583"/>
      <c r="I88" s="3583"/>
      <c r="J88" s="3583"/>
      <c r="K88" s="3583"/>
      <c r="L88" s="3583"/>
      <c r="M88" s="3583"/>
      <c r="N88" s="3591"/>
      <c r="O88" s="3598"/>
      <c r="P88" s="3583">
        <f>'[6]TABEL HITUNG BESI 2'!S42</f>
        <v>1143.8826831047013</v>
      </c>
      <c r="Q88" s="3584"/>
      <c r="R88" s="3585"/>
    </row>
    <row r="89" spans="2:18" x14ac:dyDescent="0.2">
      <c r="B89" s="3586">
        <f>[6]RAB!B59</f>
        <v>3</v>
      </c>
      <c r="C89" s="3587" t="str">
        <f>[6]RAB!D59</f>
        <v>(K3) Memasang bekisting untuk sloof ( 2x pakai )</v>
      </c>
      <c r="D89" s="3582"/>
      <c r="E89" s="3582"/>
      <c r="F89" s="3582"/>
      <c r="G89" s="3593"/>
      <c r="H89" s="3583"/>
      <c r="I89" s="3583"/>
      <c r="J89" s="3583"/>
      <c r="K89" s="3583"/>
      <c r="L89" s="3583"/>
      <c r="M89" s="3583"/>
      <c r="N89" s="3591"/>
      <c r="O89" s="3598"/>
      <c r="P89" s="3583"/>
      <c r="Q89" s="3584">
        <f>P90</f>
        <v>133.43999999999997</v>
      </c>
      <c r="R89" s="3585" t="str">
        <f>[6]RAB!H59</f>
        <v>m2</v>
      </c>
    </row>
    <row r="90" spans="2:18" x14ac:dyDescent="0.2">
      <c r="B90" s="3586"/>
      <c r="C90" s="3587"/>
      <c r="D90" s="3582"/>
      <c r="E90" s="3582"/>
      <c r="F90" s="3582"/>
      <c r="G90" s="3593" t="s">
        <v>2065</v>
      </c>
      <c r="H90" s="3583"/>
      <c r="I90" s="3583"/>
      <c r="J90" s="3583"/>
      <c r="K90" s="3583"/>
      <c r="L90" s="3583"/>
      <c r="M90" s="3583"/>
      <c r="N90" s="3591"/>
      <c r="O90" s="3598"/>
      <c r="P90" s="3583">
        <f>'[6]TABEL HITUNG BESI 2'!H42</f>
        <v>133.43999999999997</v>
      </c>
      <c r="Q90" s="3584"/>
      <c r="R90" s="3585"/>
    </row>
    <row r="91" spans="2:18" x14ac:dyDescent="0.2">
      <c r="B91" s="3586"/>
      <c r="C91" s="3587" t="str">
        <f>[6]RAB!D60</f>
        <v>PEKERJAAN SLOOF S3 (15 X 20)</v>
      </c>
      <c r="D91" s="3582"/>
      <c r="E91" s="3582"/>
      <c r="F91" s="3582"/>
      <c r="G91" s="3593"/>
      <c r="H91" s="3583"/>
      <c r="I91" s="3583"/>
      <c r="J91" s="3583"/>
      <c r="K91" s="3583"/>
      <c r="L91" s="3583"/>
      <c r="M91" s="3583"/>
      <c r="N91" s="3591"/>
      <c r="O91" s="3598"/>
      <c r="P91" s="3583"/>
      <c r="Q91" s="3584"/>
      <c r="R91" s="3585"/>
    </row>
    <row r="92" spans="2:18" x14ac:dyDescent="0.2">
      <c r="B92" s="3586">
        <f>[6]RAB!B61</f>
        <v>1</v>
      </c>
      <c r="C92" s="3601" t="str">
        <f>[6]RAB!D61</f>
        <v xml:space="preserve">Membuat beton mutu f'c = 21,7 Mpa </v>
      </c>
      <c r="D92" s="3582"/>
      <c r="E92" s="3582"/>
      <c r="F92" s="3582"/>
      <c r="G92" s="3593"/>
      <c r="H92" s="3583"/>
      <c r="I92" s="3583"/>
      <c r="J92" s="3583"/>
      <c r="K92" s="3583"/>
      <c r="L92" s="3583"/>
      <c r="M92" s="3583"/>
      <c r="N92" s="3591"/>
      <c r="O92" s="3598"/>
      <c r="Q92" s="3584">
        <f>P93</f>
        <v>2.4750000000000001</v>
      </c>
      <c r="R92" s="3585" t="str">
        <f>[6]RAB!H61</f>
        <v>m3</v>
      </c>
    </row>
    <row r="93" spans="2:18" x14ac:dyDescent="0.2">
      <c r="B93" s="3586"/>
      <c r="C93" s="3601"/>
      <c r="D93" s="3582"/>
      <c r="E93" s="3582"/>
      <c r="F93" s="3582"/>
      <c r="G93" s="3593"/>
      <c r="H93" s="3583"/>
      <c r="I93" s="3583"/>
      <c r="J93" s="3583"/>
      <c r="K93" s="3583"/>
      <c r="L93" s="3583"/>
      <c r="M93" s="3583"/>
      <c r="N93" s="3591"/>
      <c r="O93" s="3598"/>
      <c r="P93" s="3583">
        <f>'[6]TABEL HITUNG BESI 2'!G60</f>
        <v>2.4750000000000001</v>
      </c>
      <c r="Q93" s="3584"/>
      <c r="R93" s="3585"/>
    </row>
    <row r="94" spans="2:18" x14ac:dyDescent="0.2">
      <c r="B94" s="3586">
        <f>[6]RAB!B62</f>
        <v>2</v>
      </c>
      <c r="C94" s="3601" t="str">
        <f>[6]RAB!D62</f>
        <v>Pembesian 1 kg dengan besi polos atau besi ulir</v>
      </c>
      <c r="D94" s="3582"/>
      <c r="E94" s="3582"/>
      <c r="F94" s="3582"/>
      <c r="G94" s="3593"/>
      <c r="H94" s="3583"/>
      <c r="I94" s="3583"/>
      <c r="J94" s="3583"/>
      <c r="K94" s="3583"/>
      <c r="L94" s="3583"/>
      <c r="M94" s="3583"/>
      <c r="N94" s="3591"/>
      <c r="O94" s="3598"/>
      <c r="Q94" s="3584">
        <f>P95</f>
        <v>547.33738272710912</v>
      </c>
      <c r="R94" s="3585" t="str">
        <f>[6]RAB!H62</f>
        <v>kg</v>
      </c>
    </row>
    <row r="95" spans="2:18" x14ac:dyDescent="0.2">
      <c r="B95" s="3586"/>
      <c r="C95" s="3601"/>
      <c r="D95" s="3582"/>
      <c r="E95" s="3582"/>
      <c r="F95" s="3582"/>
      <c r="G95" s="3593"/>
      <c r="H95" s="3583"/>
      <c r="I95" s="3583"/>
      <c r="J95" s="3583"/>
      <c r="K95" s="3583"/>
      <c r="L95" s="3583"/>
      <c r="M95" s="3583"/>
      <c r="N95" s="3591"/>
      <c r="O95" s="3598"/>
      <c r="P95" s="3583">
        <f>'[6]TABEL HITUNG BESI 2'!K60+'[6]TABEL HITUNG BESI 2'!S60</f>
        <v>547.33738272710912</v>
      </c>
      <c r="Q95" s="3584"/>
      <c r="R95" s="3585"/>
    </row>
    <row r="96" spans="2:18" x14ac:dyDescent="0.2">
      <c r="B96" s="3586">
        <f>[6]RAB!B63</f>
        <v>3</v>
      </c>
      <c r="C96" s="3601" t="str">
        <f>[6]RAB!D63</f>
        <v>(K3) Memasang bekisting untuk sloof ( 2x pakai )</v>
      </c>
      <c r="D96" s="3582"/>
      <c r="E96" s="3582"/>
      <c r="F96" s="3582"/>
      <c r="G96" s="3593"/>
      <c r="H96" s="3583"/>
      <c r="I96" s="3583"/>
      <c r="J96" s="3583"/>
      <c r="K96" s="3583"/>
      <c r="L96" s="3583"/>
      <c r="M96" s="3583"/>
      <c r="N96" s="3591"/>
      <c r="O96" s="3598"/>
      <c r="Q96" s="3584">
        <f>P97</f>
        <v>33</v>
      </c>
      <c r="R96" s="3585" t="str">
        <f>[6]RAB!H63</f>
        <v>m2</v>
      </c>
    </row>
    <row r="97" spans="2:18" x14ac:dyDescent="0.2">
      <c r="B97" s="3586"/>
      <c r="C97" s="3601"/>
      <c r="D97" s="3582"/>
      <c r="E97" s="3582"/>
      <c r="F97" s="3582"/>
      <c r="G97" s="3593"/>
      <c r="H97" s="3583"/>
      <c r="I97" s="3583"/>
      <c r="J97" s="3583"/>
      <c r="K97" s="3583"/>
      <c r="L97" s="3583"/>
      <c r="M97" s="3583"/>
      <c r="N97" s="3591"/>
      <c r="O97" s="3598"/>
      <c r="P97" s="3583">
        <f>'[6]TABEL HITUNG BESI 2'!H60</f>
        <v>33</v>
      </c>
      <c r="Q97" s="3584"/>
      <c r="R97" s="3585"/>
    </row>
    <row r="98" spans="2:18" x14ac:dyDescent="0.2">
      <c r="B98" s="3586"/>
      <c r="C98" s="3587"/>
      <c r="D98" s="3582"/>
      <c r="E98" s="3582"/>
      <c r="F98" s="3582"/>
      <c r="G98" s="3593"/>
      <c r="H98" s="3583"/>
      <c r="I98" s="3583"/>
      <c r="J98" s="3583"/>
      <c r="K98" s="3583"/>
      <c r="L98" s="3583"/>
      <c r="M98" s="3583"/>
      <c r="N98" s="3591"/>
      <c r="O98" s="3598"/>
      <c r="P98" s="3583"/>
      <c r="Q98" s="3584"/>
      <c r="R98" s="3585"/>
    </row>
    <row r="99" spans="2:18" x14ac:dyDescent="0.2">
      <c r="B99" s="3592"/>
      <c r="C99" s="3581" t="str">
        <f>[6]RAB!D64</f>
        <v>C. BETON KOLOM</v>
      </c>
      <c r="D99" s="3582"/>
      <c r="E99" s="3582"/>
      <c r="F99" s="3582"/>
      <c r="G99" s="3593"/>
      <c r="H99" s="3583"/>
      <c r="I99" s="3583"/>
      <c r="J99" s="3583"/>
      <c r="K99" s="3583"/>
      <c r="L99" s="3583"/>
      <c r="M99" s="3583"/>
      <c r="N99" s="3591"/>
      <c r="O99" s="3598"/>
      <c r="P99" s="3583"/>
      <c r="Q99" s="3584"/>
      <c r="R99" s="3585"/>
    </row>
    <row r="100" spans="2:18" x14ac:dyDescent="0.2">
      <c r="B100" s="3586"/>
      <c r="C100" s="3581" t="str">
        <f>[6]RAB!D65</f>
        <v>PEKERJAAN KOLOM PEDESTAL (30 X 50)</v>
      </c>
      <c r="D100" s="3582"/>
      <c r="E100" s="3582"/>
      <c r="F100" s="3582"/>
      <c r="G100" s="3593"/>
      <c r="H100" s="3583"/>
      <c r="I100" s="3583"/>
      <c r="J100" s="3583"/>
      <c r="K100" s="3583"/>
      <c r="L100" s="3583"/>
      <c r="M100" s="3583"/>
      <c r="N100" s="3591"/>
      <c r="O100" s="3598"/>
      <c r="P100" s="3583"/>
      <c r="Q100" s="3584"/>
      <c r="R100" s="3585"/>
    </row>
    <row r="101" spans="2:18" x14ac:dyDescent="0.2">
      <c r="B101" s="3586">
        <f>[6]RAB!B66</f>
        <v>1</v>
      </c>
      <c r="C101" s="3587" t="str">
        <f>[6]RAB!D66</f>
        <v xml:space="preserve">Membuat beton mutu f'c = 21,7 Mpa </v>
      </c>
      <c r="D101" s="3582"/>
      <c r="E101" s="3582"/>
      <c r="F101" s="3582"/>
      <c r="G101" s="3593"/>
      <c r="H101" s="3583"/>
      <c r="I101" s="3583"/>
      <c r="J101" s="3583"/>
      <c r="K101" s="3583"/>
      <c r="L101" s="3583"/>
      <c r="M101" s="3583"/>
      <c r="N101" s="3591"/>
      <c r="O101" s="3598"/>
      <c r="P101" s="3583"/>
      <c r="Q101" s="3584">
        <f>P102</f>
        <v>16.2</v>
      </c>
      <c r="R101" s="3585" t="str">
        <f>[6]RAB!H66</f>
        <v>m3</v>
      </c>
    </row>
    <row r="102" spans="2:18" x14ac:dyDescent="0.2">
      <c r="B102" s="3586"/>
      <c r="C102" s="3587"/>
      <c r="D102" s="3582"/>
      <c r="E102" s="3582"/>
      <c r="F102" s="3582"/>
      <c r="G102" s="3593" t="s">
        <v>2065</v>
      </c>
      <c r="H102" s="3583"/>
      <c r="I102" s="3583"/>
      <c r="J102" s="3583"/>
      <c r="K102" s="3583"/>
      <c r="L102" s="3583"/>
      <c r="M102" s="3583"/>
      <c r="N102" s="3591"/>
      <c r="O102" s="3598"/>
      <c r="P102" s="3583">
        <f>'[6]TABEL HITUNG BESI 2'!G70</f>
        <v>16.2</v>
      </c>
      <c r="Q102" s="3584"/>
      <c r="R102" s="3585"/>
    </row>
    <row r="103" spans="2:18" x14ac:dyDescent="0.2">
      <c r="B103" s="3586">
        <f>[6]RAB!B67</f>
        <v>2</v>
      </c>
      <c r="C103" s="3587" t="str">
        <f>[6]RAB!D67</f>
        <v>Pembesian 1 kg dengan besi polos atau besi ulir</v>
      </c>
      <c r="D103" s="3582"/>
      <c r="E103" s="3582"/>
      <c r="F103" s="3582"/>
      <c r="G103" s="3593"/>
      <c r="H103" s="3583"/>
      <c r="I103" s="3583"/>
      <c r="J103" s="3583"/>
      <c r="K103" s="3583"/>
      <c r="L103" s="3583"/>
      <c r="M103" s="3583"/>
      <c r="N103" s="3591"/>
      <c r="O103" s="3598"/>
      <c r="P103" s="3583"/>
      <c r="Q103" s="3584">
        <f>P104</f>
        <v>2046.154983775577</v>
      </c>
      <c r="R103" s="3585" t="str">
        <f>[6]RAB!H67</f>
        <v>kg</v>
      </c>
    </row>
    <row r="104" spans="2:18" x14ac:dyDescent="0.2">
      <c r="B104" s="3586"/>
      <c r="C104" s="3587"/>
      <c r="D104" s="3582"/>
      <c r="E104" s="3582"/>
      <c r="F104" s="3582"/>
      <c r="G104" s="3593" t="s">
        <v>2065</v>
      </c>
      <c r="H104" s="3583"/>
      <c r="I104" s="3583"/>
      <c r="J104" s="3583"/>
      <c r="K104" s="3583"/>
      <c r="L104" s="3583"/>
      <c r="M104" s="3583"/>
      <c r="N104" s="3591"/>
      <c r="O104" s="3598"/>
      <c r="P104" s="3583">
        <f>'[6]TABEL HITUNG BESI 2'!K70+'[6]TABEL HITUNG BESI 2'!S70</f>
        <v>2046.154983775577</v>
      </c>
      <c r="Q104" s="3584"/>
      <c r="R104" s="3585"/>
    </row>
    <row r="105" spans="2:18" x14ac:dyDescent="0.2">
      <c r="B105" s="3586">
        <f>[6]RAB!B68</f>
        <v>3</v>
      </c>
      <c r="C105" s="3587" t="str">
        <f>[6]RAB!D68</f>
        <v>(K3) Memasang bekisting untuk kolom ( 2x pakai )</v>
      </c>
      <c r="D105" s="3582"/>
      <c r="E105" s="3582"/>
      <c r="F105" s="3582"/>
      <c r="G105" s="3593"/>
      <c r="H105" s="3583"/>
      <c r="I105" s="3583"/>
      <c r="J105" s="3583"/>
      <c r="K105" s="3583"/>
      <c r="L105" s="3583"/>
      <c r="M105" s="3583"/>
      <c r="N105" s="3591"/>
      <c r="O105" s="3598"/>
      <c r="P105" s="3583"/>
      <c r="Q105" s="3584">
        <f>P106</f>
        <v>64.8</v>
      </c>
      <c r="R105" s="3585" t="str">
        <f>[6]RAB!H68</f>
        <v>m2</v>
      </c>
    </row>
    <row r="106" spans="2:18" x14ac:dyDescent="0.2">
      <c r="B106" s="3586"/>
      <c r="C106" s="3587"/>
      <c r="D106" s="3582"/>
      <c r="E106" s="3582"/>
      <c r="F106" s="3582"/>
      <c r="G106" s="3593" t="s">
        <v>2065</v>
      </c>
      <c r="H106" s="3583"/>
      <c r="I106" s="3583"/>
      <c r="J106" s="3583"/>
      <c r="K106" s="3583"/>
      <c r="L106" s="3583"/>
      <c r="M106" s="3583"/>
      <c r="N106" s="3591"/>
      <c r="O106" s="3598"/>
      <c r="P106" s="3583">
        <f>'[6]TABEL HITUNG BESI 2'!H70</f>
        <v>64.8</v>
      </c>
      <c r="Q106" s="3584"/>
      <c r="R106" s="3585"/>
    </row>
    <row r="107" spans="2:18" x14ac:dyDescent="0.2">
      <c r="B107" s="3586"/>
      <c r="C107" s="3587"/>
      <c r="D107" s="3582"/>
      <c r="E107" s="3582"/>
      <c r="F107" s="3582"/>
      <c r="G107" s="3593"/>
      <c r="H107" s="3583"/>
      <c r="I107" s="3583"/>
      <c r="J107" s="3583"/>
      <c r="K107" s="3583"/>
      <c r="L107" s="3583"/>
      <c r="M107" s="3583"/>
      <c r="N107" s="3591"/>
      <c r="O107" s="3598"/>
      <c r="P107" s="3583"/>
      <c r="Q107" s="3584"/>
      <c r="R107" s="3585"/>
    </row>
    <row r="108" spans="2:18" x14ac:dyDescent="0.2">
      <c r="B108" s="3586"/>
      <c r="C108" s="3581" t="str">
        <f>[6]RAB!D69</f>
        <v>PEKERJAAN KOLOM K1 (30 X 50)</v>
      </c>
      <c r="D108" s="3582"/>
      <c r="E108" s="3582"/>
      <c r="F108" s="3582"/>
      <c r="G108" s="3593"/>
      <c r="H108" s="3583"/>
      <c r="I108" s="3583"/>
      <c r="J108" s="3583"/>
      <c r="K108" s="3583"/>
      <c r="L108" s="3583"/>
      <c r="M108" s="3583"/>
      <c r="N108" s="3591"/>
      <c r="O108" s="3598"/>
      <c r="P108" s="3583"/>
      <c r="Q108" s="3584"/>
      <c r="R108" s="3585"/>
    </row>
    <row r="109" spans="2:18" x14ac:dyDescent="0.2">
      <c r="B109" s="3586">
        <f>[6]RAB!B70</f>
        <v>1</v>
      </c>
      <c r="C109" s="3587" t="str">
        <f>[6]RAB!D70</f>
        <v xml:space="preserve">Membuat beton mutu f'c = 21,7 Mpa </v>
      </c>
      <c r="D109" s="3582"/>
      <c r="E109" s="3582"/>
      <c r="F109" s="3582"/>
      <c r="G109" s="3593"/>
      <c r="H109" s="3583"/>
      <c r="I109" s="3583"/>
      <c r="J109" s="3583"/>
      <c r="K109" s="3583"/>
      <c r="L109" s="3583"/>
      <c r="M109" s="3583"/>
      <c r="N109" s="3591"/>
      <c r="O109" s="3598"/>
      <c r="P109" s="3583"/>
      <c r="Q109" s="3584">
        <f>P110</f>
        <v>41.04</v>
      </c>
      <c r="R109" s="3585" t="str">
        <f>[6]RAB!H70</f>
        <v>m3</v>
      </c>
    </row>
    <row r="110" spans="2:18" x14ac:dyDescent="0.2">
      <c r="B110" s="3586"/>
      <c r="C110" s="3587"/>
      <c r="D110" s="3582"/>
      <c r="E110" s="3582"/>
      <c r="F110" s="3582"/>
      <c r="G110" s="3593" t="s">
        <v>2065</v>
      </c>
      <c r="H110" s="3583"/>
      <c r="I110" s="3583"/>
      <c r="J110" s="3583"/>
      <c r="K110" s="3583"/>
      <c r="L110" s="3583"/>
      <c r="M110" s="3583"/>
      <c r="N110" s="3591"/>
      <c r="O110" s="3598"/>
      <c r="P110" s="3583">
        <f>'[6]TABEL HITUNG BESI 2'!G79</f>
        <v>41.04</v>
      </c>
      <c r="Q110" s="3584"/>
      <c r="R110" s="3585"/>
    </row>
    <row r="111" spans="2:18" x14ac:dyDescent="0.2">
      <c r="B111" s="3586">
        <f>[6]RAB!B71</f>
        <v>2</v>
      </c>
      <c r="C111" s="3587" t="str">
        <f>[6]RAB!D71</f>
        <v>Pembesian 1 kg dengan besi polos atau besi ulir</v>
      </c>
      <c r="D111" s="3582"/>
      <c r="E111" s="3582"/>
      <c r="F111" s="3582"/>
      <c r="G111" s="3593"/>
      <c r="H111" s="3583"/>
      <c r="I111" s="3583"/>
      <c r="J111" s="3591"/>
      <c r="K111" s="3583"/>
      <c r="L111" s="3583"/>
      <c r="M111" s="3583"/>
      <c r="N111" s="3591"/>
      <c r="O111" s="3598"/>
      <c r="P111" s="3583"/>
      <c r="Q111" s="3584">
        <f>SUM(P112:P113)</f>
        <v>5668.791571739398</v>
      </c>
      <c r="R111" s="3585" t="str">
        <f>[6]RAB!H71</f>
        <v>kg</v>
      </c>
    </row>
    <row r="112" spans="2:18" x14ac:dyDescent="0.2">
      <c r="B112" s="3586"/>
      <c r="C112" s="3587"/>
      <c r="D112" s="3582"/>
      <c r="E112" s="3582"/>
      <c r="F112" s="3582"/>
      <c r="G112" s="3593" t="s">
        <v>2065</v>
      </c>
      <c r="H112" s="3583"/>
      <c r="I112" s="3583"/>
      <c r="J112" s="3591"/>
      <c r="K112" s="3583"/>
      <c r="L112" s="3583"/>
      <c r="M112" s="3583"/>
      <c r="N112" s="3591"/>
      <c r="O112" s="3598"/>
      <c r="P112" s="3583">
        <f>'[6]TABEL HITUNG BESI 2'!K79</f>
        <v>4318.3277041113679</v>
      </c>
      <c r="Q112" s="3584"/>
      <c r="R112" s="3585"/>
    </row>
    <row r="113" spans="2:18" x14ac:dyDescent="0.2">
      <c r="B113" s="3586"/>
      <c r="C113" s="3587"/>
      <c r="D113" s="3582"/>
      <c r="E113" s="3582"/>
      <c r="F113" s="3582"/>
      <c r="G113" s="3593"/>
      <c r="H113" s="3583"/>
      <c r="I113" s="3583"/>
      <c r="J113" s="3591"/>
      <c r="K113" s="3583"/>
      <c r="L113" s="3583"/>
      <c r="M113" s="3583"/>
      <c r="N113" s="3591"/>
      <c r="O113" s="3598"/>
      <c r="P113" s="3583">
        <f>'[6]TABEL HITUNG BESI 2'!S79</f>
        <v>1350.4638676280299</v>
      </c>
      <c r="Q113" s="3584"/>
      <c r="R113" s="3585"/>
    </row>
    <row r="114" spans="2:18" x14ac:dyDescent="0.2">
      <c r="B114" s="3586">
        <f>[6]RAB!B72</f>
        <v>3</v>
      </c>
      <c r="C114" s="3587" t="str">
        <f>[6]RAB!D72</f>
        <v>(K3) Memasang bekisting untuk kolom ( 2x pakai )</v>
      </c>
      <c r="D114" s="3582"/>
      <c r="E114" s="3582"/>
      <c r="F114" s="3582"/>
      <c r="G114" s="3593"/>
      <c r="H114" s="3583"/>
      <c r="I114" s="3583"/>
      <c r="J114" s="3591"/>
      <c r="K114" s="3583"/>
      <c r="L114" s="3583"/>
      <c r="M114" s="3583"/>
      <c r="N114" s="3591"/>
      <c r="O114" s="3598"/>
      <c r="P114" s="3583"/>
      <c r="Q114" s="3584">
        <f>P115</f>
        <v>164.16</v>
      </c>
      <c r="R114" s="3585" t="str">
        <f>[6]RAB!H72</f>
        <v>m2</v>
      </c>
    </row>
    <row r="115" spans="2:18" x14ac:dyDescent="0.2">
      <c r="B115" s="3586"/>
      <c r="C115" s="3587"/>
      <c r="D115" s="3582"/>
      <c r="E115" s="3582"/>
      <c r="F115" s="3582"/>
      <c r="G115" s="3593" t="s">
        <v>2065</v>
      </c>
      <c r="H115" s="3583"/>
      <c r="I115" s="3583"/>
      <c r="J115" s="3591"/>
      <c r="K115" s="3583"/>
      <c r="L115" s="3583"/>
      <c r="M115" s="3583"/>
      <c r="N115" s="3591"/>
      <c r="O115" s="3598"/>
      <c r="P115" s="3583">
        <f>'[6]TABEL HITUNG BESI 2'!H79</f>
        <v>164.16</v>
      </c>
      <c r="Q115" s="3584"/>
      <c r="R115" s="3585"/>
    </row>
    <row r="116" spans="2:18" x14ac:dyDescent="0.2">
      <c r="B116" s="3586"/>
      <c r="C116" s="3581" t="str">
        <f>[6]RAB!D73</f>
        <v>PEKERJAAN KOLOM K3 (30 X 30)</v>
      </c>
      <c r="D116" s="3582"/>
      <c r="E116" s="3582"/>
      <c r="F116" s="3582"/>
      <c r="G116" s="3593"/>
      <c r="H116" s="3583"/>
      <c r="I116" s="3583"/>
      <c r="J116" s="3591"/>
      <c r="K116" s="3583"/>
      <c r="L116" s="3583"/>
      <c r="M116" s="3583"/>
      <c r="N116" s="3591"/>
      <c r="O116" s="3598"/>
      <c r="P116" s="3583"/>
      <c r="Q116" s="3584"/>
      <c r="R116" s="3585"/>
    </row>
    <row r="117" spans="2:18" x14ac:dyDescent="0.2">
      <c r="B117" s="3586">
        <f>[6]RAB!B74</f>
        <v>1</v>
      </c>
      <c r="C117" s="3587" t="str">
        <f>[6]RAB!D74</f>
        <v xml:space="preserve">Membuat beton mutu f'c = 21,7 Mpa </v>
      </c>
      <c r="D117" s="3582"/>
      <c r="E117" s="3582"/>
      <c r="F117" s="3582"/>
      <c r="G117" s="3593"/>
      <c r="H117" s="3583"/>
      <c r="I117" s="3583"/>
      <c r="J117" s="3591"/>
      <c r="K117" s="3583"/>
      <c r="L117" s="3583"/>
      <c r="M117" s="3583"/>
      <c r="N117" s="3591"/>
      <c r="O117" s="3598"/>
      <c r="P117" s="3583"/>
      <c r="Q117" s="3584">
        <f>P118</f>
        <v>1.3679999999999999</v>
      </c>
      <c r="R117" s="3585" t="str">
        <f>[6]RAB!H74</f>
        <v>m3</v>
      </c>
    </row>
    <row r="118" spans="2:18" x14ac:dyDescent="0.2">
      <c r="B118" s="3586"/>
      <c r="C118" s="3587"/>
      <c r="D118" s="3582"/>
      <c r="E118" s="3582"/>
      <c r="F118" s="3582"/>
      <c r="G118" s="3593" t="s">
        <v>2065</v>
      </c>
      <c r="H118" s="3583"/>
      <c r="I118" s="3583"/>
      <c r="J118" s="3591"/>
      <c r="K118" s="3583"/>
      <c r="L118" s="3583"/>
      <c r="M118" s="3583"/>
      <c r="N118" s="3591"/>
      <c r="O118" s="3598"/>
      <c r="P118" s="3583">
        <f>'[6]TABEL HITUNG BESI 2'!G87</f>
        <v>1.3679999999999999</v>
      </c>
      <c r="Q118" s="3584"/>
      <c r="R118" s="3585"/>
    </row>
    <row r="119" spans="2:18" x14ac:dyDescent="0.2">
      <c r="B119" s="3586">
        <f>[6]RAB!B75</f>
        <v>2</v>
      </c>
      <c r="C119" s="3587" t="str">
        <f>[6]RAB!D75</f>
        <v>Pembesian 1 kg dengan besi polos atau besi ulir</v>
      </c>
      <c r="D119" s="3582"/>
      <c r="E119" s="3582"/>
      <c r="F119" s="3582"/>
      <c r="G119" s="3593"/>
      <c r="H119" s="3583"/>
      <c r="I119" s="3583"/>
      <c r="J119" s="3591"/>
      <c r="K119" s="3583"/>
      <c r="L119" s="3583"/>
      <c r="M119" s="3583"/>
      <c r="N119" s="3591"/>
      <c r="O119" s="3598"/>
      <c r="P119" s="3583"/>
      <c r="Q119" s="3584">
        <f>P120</f>
        <v>164.92626298665471</v>
      </c>
      <c r="R119" s="3585" t="str">
        <f>[6]RAB!H75</f>
        <v>kg</v>
      </c>
    </row>
    <row r="120" spans="2:18" x14ac:dyDescent="0.2">
      <c r="B120" s="3586"/>
      <c r="C120" s="3587"/>
      <c r="D120" s="3582"/>
      <c r="E120" s="3582"/>
      <c r="F120" s="3582"/>
      <c r="G120" s="3593" t="s">
        <v>2065</v>
      </c>
      <c r="H120" s="3583"/>
      <c r="I120" s="3583"/>
      <c r="J120" s="3591"/>
      <c r="K120" s="3583"/>
      <c r="L120" s="3583"/>
      <c r="M120" s="3583"/>
      <c r="N120" s="3591"/>
      <c r="O120" s="3598"/>
      <c r="P120" s="3583">
        <f>'[6]TABEL HITUNG BESI 2'!K87+'[6]TABEL HITUNG BESI 2'!S87</f>
        <v>164.92626298665471</v>
      </c>
      <c r="Q120" s="3584"/>
      <c r="R120" s="3585"/>
    </row>
    <row r="121" spans="2:18" x14ac:dyDescent="0.2">
      <c r="B121" s="3586">
        <f>[6]RAB!B76</f>
        <v>3</v>
      </c>
      <c r="C121" s="3587" t="str">
        <f>[6]RAB!D76</f>
        <v>(K3) Memasang bekisting untuk kolom ( 2x pakai )</v>
      </c>
      <c r="D121" s="3582"/>
      <c r="E121" s="3582"/>
      <c r="F121" s="3582"/>
      <c r="G121" s="3593"/>
      <c r="H121" s="3583"/>
      <c r="I121" s="3583"/>
      <c r="J121" s="3591"/>
      <c r="K121" s="3583"/>
      <c r="L121" s="3583"/>
      <c r="M121" s="3583"/>
      <c r="N121" s="3591"/>
      <c r="O121" s="3598"/>
      <c r="P121" s="3583"/>
      <c r="Q121" s="3584">
        <f>P122</f>
        <v>9.1199999999999992</v>
      </c>
      <c r="R121" s="3585" t="str">
        <f>[6]RAB!H76</f>
        <v>m2</v>
      </c>
    </row>
    <row r="122" spans="2:18" x14ac:dyDescent="0.2">
      <c r="B122" s="3586"/>
      <c r="C122" s="3587"/>
      <c r="D122" s="3582"/>
      <c r="E122" s="3582"/>
      <c r="F122" s="3582"/>
      <c r="G122" s="3593" t="s">
        <v>2065</v>
      </c>
      <c r="H122" s="3583"/>
      <c r="I122" s="3583"/>
      <c r="J122" s="3591"/>
      <c r="K122" s="3583"/>
      <c r="L122" s="3583"/>
      <c r="M122" s="3583"/>
      <c r="N122" s="3591"/>
      <c r="O122" s="3598"/>
      <c r="P122" s="3583">
        <f>'[6]TABEL HITUNG BESI 2'!H87</f>
        <v>9.1199999999999992</v>
      </c>
      <c r="Q122" s="3584"/>
      <c r="R122" s="3585"/>
    </row>
    <row r="123" spans="2:18" x14ac:dyDescent="0.2">
      <c r="B123" s="3586"/>
      <c r="C123" s="3587"/>
      <c r="D123" s="3582"/>
      <c r="E123" s="3582"/>
      <c r="F123" s="3582"/>
      <c r="G123" s="3593"/>
      <c r="H123" s="3583"/>
      <c r="I123" s="3583"/>
      <c r="J123" s="3591"/>
      <c r="K123" s="3583"/>
      <c r="L123" s="3583"/>
      <c r="M123" s="3583"/>
      <c r="N123" s="3591"/>
      <c r="O123" s="3598"/>
      <c r="P123" s="3583"/>
      <c r="Q123" s="3584"/>
      <c r="R123" s="3585"/>
    </row>
    <row r="124" spans="2:18" x14ac:dyDescent="0.2">
      <c r="B124" s="3586"/>
      <c r="C124" s="3581" t="str">
        <f>[6]RAB!D77</f>
        <v>D. BETON PRAKTIS</v>
      </c>
      <c r="D124" s="3582"/>
      <c r="E124" s="3582"/>
      <c r="F124" s="3582"/>
      <c r="G124" s="3593"/>
      <c r="H124" s="3595"/>
      <c r="I124" s="3583"/>
      <c r="J124" s="3595"/>
      <c r="K124" s="3583"/>
      <c r="L124" s="3595"/>
      <c r="M124" s="3583"/>
      <c r="N124" s="3595"/>
      <c r="O124" s="3583"/>
      <c r="P124" s="3583"/>
      <c r="Q124" s="3597"/>
      <c r="R124" s="3585"/>
    </row>
    <row r="125" spans="2:18" x14ac:dyDescent="0.2">
      <c r="B125" s="3586">
        <f>[6]RAB!B78</f>
        <v>1</v>
      </c>
      <c r="C125" s="3587" t="str">
        <f>[6]RAB!D78</f>
        <v>Membuat kolom praktis beton bertulang 11/11 cm</v>
      </c>
      <c r="D125" s="3582"/>
      <c r="E125" s="3582"/>
      <c r="F125" s="3582"/>
      <c r="G125" s="3593"/>
      <c r="H125" s="3583">
        <v>3.8</v>
      </c>
      <c r="I125" s="3583" t="s">
        <v>424</v>
      </c>
      <c r="J125" s="3583">
        <f>40+(8*2)</f>
        <v>56</v>
      </c>
      <c r="K125" s="3583"/>
      <c r="L125" s="3583"/>
      <c r="M125" s="3583"/>
      <c r="N125" s="3591"/>
      <c r="O125" s="3583"/>
      <c r="P125" s="3583">
        <f>H125*J125</f>
        <v>212.79999999999998</v>
      </c>
      <c r="Q125" s="3584">
        <f>P125</f>
        <v>212.79999999999998</v>
      </c>
      <c r="R125" s="3585" t="str">
        <f>[6]RAB!H78</f>
        <v>m'</v>
      </c>
    </row>
    <row r="126" spans="2:18" x14ac:dyDescent="0.2">
      <c r="B126" s="3586">
        <f>[6]RAB!B79</f>
        <v>2</v>
      </c>
      <c r="C126" s="3587" t="str">
        <f>[6]RAB!D79</f>
        <v>Membuat balok latei ( 10 x 15 ) cm</v>
      </c>
      <c r="D126" s="3582"/>
      <c r="E126" s="3582"/>
      <c r="F126" s="3582"/>
      <c r="G126" s="3593"/>
      <c r="H126" s="3583">
        <f>(35*2)+(21*2)+(3*2)+(7*2)</f>
        <v>132</v>
      </c>
      <c r="I126" s="3589"/>
      <c r="J126" s="3583"/>
      <c r="K126" s="3583"/>
      <c r="L126" s="3595"/>
      <c r="M126" s="3583"/>
      <c r="N126" s="3595"/>
      <c r="O126" s="3583"/>
      <c r="P126" s="3583">
        <f>H126</f>
        <v>132</v>
      </c>
      <c r="Q126" s="3597">
        <f>P126</f>
        <v>132</v>
      </c>
      <c r="R126" s="3585" t="str">
        <f>[6]RAB!H79</f>
        <v>m'</v>
      </c>
    </row>
    <row r="127" spans="2:18" x14ac:dyDescent="0.2">
      <c r="B127" s="3586"/>
      <c r="C127" s="3587"/>
      <c r="D127" s="3582"/>
      <c r="E127" s="3582"/>
      <c r="F127" s="3582"/>
      <c r="G127" s="3593"/>
      <c r="H127" s="3583"/>
      <c r="I127" s="3583"/>
      <c r="J127" s="3583"/>
      <c r="K127" s="3583"/>
      <c r="L127" s="3583"/>
      <c r="M127" s="3583"/>
      <c r="N127" s="3591"/>
      <c r="O127" s="3583"/>
      <c r="P127" s="3588"/>
      <c r="Q127" s="3597"/>
      <c r="R127" s="3585"/>
    </row>
    <row r="128" spans="2:18" x14ac:dyDescent="0.2">
      <c r="B128" s="3586"/>
      <c r="C128" s="3581" t="str">
        <f>[6]RAB!D80</f>
        <v>E. BETON PLAT MEJA</v>
      </c>
      <c r="D128" s="3582"/>
      <c r="E128" s="3582"/>
      <c r="F128" s="3582"/>
      <c r="G128" s="3593"/>
      <c r="H128" s="3583"/>
      <c r="I128" s="3583"/>
      <c r="J128" s="3583"/>
      <c r="K128" s="3583"/>
      <c r="L128" s="3583"/>
      <c r="M128" s="3583"/>
      <c r="N128" s="3591"/>
      <c r="O128" s="3583"/>
      <c r="P128" s="3588"/>
      <c r="Q128" s="3597"/>
      <c r="R128" s="3585"/>
    </row>
    <row r="129" spans="2:18" x14ac:dyDescent="0.2">
      <c r="B129" s="3586">
        <f>[6]RAB!B81</f>
        <v>1</v>
      </c>
      <c r="C129" s="3587" t="str">
        <f>[6]RAB!D81</f>
        <v xml:space="preserve">Membuat beton mutu f'c = 21,7 Mpa </v>
      </c>
      <c r="D129" s="3582"/>
      <c r="E129" s="3582"/>
      <c r="F129" s="3582"/>
      <c r="G129" s="3593"/>
      <c r="H129" s="3583"/>
      <c r="I129" s="3583"/>
      <c r="J129" s="3583"/>
      <c r="K129" s="3583"/>
      <c r="L129" s="3583"/>
      <c r="M129" s="3583"/>
      <c r="N129" s="3591"/>
      <c r="O129" s="3583"/>
      <c r="P129" s="3588"/>
      <c r="Q129" s="3597">
        <f>P130</f>
        <v>0.128</v>
      </c>
      <c r="R129" s="3585" t="str">
        <f>[6]RAB!H81</f>
        <v>m3</v>
      </c>
    </row>
    <row r="130" spans="2:18" x14ac:dyDescent="0.2">
      <c r="B130" s="3586"/>
      <c r="C130" s="3587"/>
      <c r="D130" s="3582"/>
      <c r="E130" s="3582"/>
      <c r="F130" s="3582"/>
      <c r="G130" s="3593" t="s">
        <v>2064</v>
      </c>
      <c r="H130" s="3583"/>
      <c r="I130" s="3583"/>
      <c r="J130" s="3583"/>
      <c r="K130" s="3583"/>
      <c r="L130" s="3583"/>
      <c r="M130" s="3583"/>
      <c r="N130" s="3591"/>
      <c r="O130" s="3583"/>
      <c r="P130" s="3588">
        <f>'[6]TABEL HITUNG BESI 1'!G37</f>
        <v>0.128</v>
      </c>
      <c r="Q130" s="3597"/>
      <c r="R130" s="3585"/>
    </row>
    <row r="131" spans="2:18" x14ac:dyDescent="0.2">
      <c r="B131" s="3586">
        <f>[6]RAB!B82</f>
        <v>2</v>
      </c>
      <c r="C131" s="3587" t="str">
        <f>[6]RAB!D82</f>
        <v>Pembesian 1 kg dengan besi polos atau besi ulir</v>
      </c>
      <c r="D131" s="3582"/>
      <c r="E131" s="3582"/>
      <c r="F131" s="3582"/>
      <c r="G131" s="3593"/>
      <c r="H131" s="3583"/>
      <c r="I131" s="3583"/>
      <c r="J131" s="3583"/>
      <c r="K131" s="3583"/>
      <c r="L131" s="3583"/>
      <c r="M131" s="3583"/>
      <c r="N131" s="3591"/>
      <c r="O131" s="3583"/>
      <c r="P131" s="3588"/>
      <c r="Q131" s="3597">
        <f>P132</f>
        <v>11.632337419335084</v>
      </c>
      <c r="R131" s="3585" t="str">
        <f>[6]RAB!H82</f>
        <v>kg</v>
      </c>
    </row>
    <row r="132" spans="2:18" x14ac:dyDescent="0.2">
      <c r="B132" s="3586"/>
      <c r="C132" s="3587"/>
      <c r="D132" s="3582"/>
      <c r="E132" s="3582"/>
      <c r="F132" s="3582"/>
      <c r="G132" s="3593" t="s">
        <v>2064</v>
      </c>
      <c r="H132" s="3583"/>
      <c r="I132" s="3583"/>
      <c r="J132" s="3583"/>
      <c r="K132" s="3583"/>
      <c r="L132" s="3583"/>
      <c r="M132" s="3583"/>
      <c r="N132" s="3591"/>
      <c r="O132" s="3583"/>
      <c r="P132" s="3588">
        <f>'[6]TABEL HITUNG BESI 1'!M37+'[6]TABEL HITUNG BESI 1'!R37</f>
        <v>11.632337419335084</v>
      </c>
      <c r="Q132" s="3597"/>
      <c r="R132" s="3585"/>
    </row>
    <row r="133" spans="2:18" x14ac:dyDescent="0.2">
      <c r="B133" s="3586">
        <f>[6]RAB!B83</f>
        <v>3</v>
      </c>
      <c r="C133" s="3587" t="str">
        <f>[6]RAB!D83</f>
        <v xml:space="preserve">Memasang bekisting </v>
      </c>
      <c r="D133" s="3582"/>
      <c r="E133" s="3582"/>
      <c r="F133" s="3582"/>
      <c r="G133" s="3593"/>
      <c r="H133" s="3583"/>
      <c r="I133" s="3583"/>
      <c r="J133" s="3583"/>
      <c r="K133" s="3583"/>
      <c r="L133" s="3583"/>
      <c r="M133" s="3583"/>
      <c r="N133" s="3591"/>
      <c r="O133" s="3583"/>
      <c r="P133" s="3588"/>
      <c r="Q133" s="3597">
        <f>P134</f>
        <v>2.048</v>
      </c>
      <c r="R133" s="3585" t="str">
        <f>[6]RAB!H83</f>
        <v>m2</v>
      </c>
    </row>
    <row r="134" spans="2:18" x14ac:dyDescent="0.2">
      <c r="B134" s="3586"/>
      <c r="C134" s="3587"/>
      <c r="D134" s="3582"/>
      <c r="E134" s="3582"/>
      <c r="F134" s="3582"/>
      <c r="G134" s="3593" t="s">
        <v>2064</v>
      </c>
      <c r="H134" s="3583"/>
      <c r="I134" s="3583"/>
      <c r="J134" s="3583"/>
      <c r="K134" s="3583"/>
      <c r="L134" s="3583"/>
      <c r="M134" s="3583"/>
      <c r="N134" s="3591"/>
      <c r="O134" s="3583"/>
      <c r="P134" s="3588">
        <f>'[6]TABEL HITUNG BESI 1'!H37</f>
        <v>2.048</v>
      </c>
      <c r="Q134" s="3597"/>
      <c r="R134" s="3585"/>
    </row>
    <row r="135" spans="2:18" x14ac:dyDescent="0.2">
      <c r="B135" s="3586"/>
      <c r="C135" s="3587"/>
      <c r="D135" s="3582"/>
      <c r="E135" s="3582"/>
      <c r="F135" s="3582"/>
      <c r="G135" s="3593"/>
      <c r="H135" s="3583"/>
      <c r="I135" s="3583"/>
      <c r="J135" s="3583"/>
      <c r="K135" s="3583"/>
      <c r="L135" s="3583"/>
      <c r="M135" s="3583"/>
      <c r="N135" s="3591"/>
      <c r="O135" s="3583"/>
      <c r="P135" s="3588"/>
      <c r="Q135" s="3597"/>
      <c r="R135" s="3585"/>
    </row>
    <row r="136" spans="2:18" x14ac:dyDescent="0.2">
      <c r="B136" s="3586"/>
      <c r="C136" s="3581" t="str">
        <f>[6]RAB!D85</f>
        <v>LANTAI 2</v>
      </c>
      <c r="D136" s="3582"/>
      <c r="E136" s="3582"/>
      <c r="F136" s="3582"/>
      <c r="G136" s="3593"/>
      <c r="H136" s="3595"/>
      <c r="I136" s="3583"/>
      <c r="J136" s="3595"/>
      <c r="K136" s="3583"/>
      <c r="L136" s="3595"/>
      <c r="M136" s="3583"/>
      <c r="N136" s="3595"/>
      <c r="O136" s="3583"/>
      <c r="P136" s="3583"/>
      <c r="Q136" s="3597"/>
      <c r="R136" s="3585"/>
    </row>
    <row r="137" spans="2:18" x14ac:dyDescent="0.2">
      <c r="B137" s="3592"/>
      <c r="C137" s="3581" t="str">
        <f>[6]RAB!D86</f>
        <v>A. BETON BALOK</v>
      </c>
      <c r="D137" s="3582"/>
      <c r="E137" s="3582"/>
      <c r="F137" s="3582"/>
      <c r="G137" s="3593"/>
      <c r="H137" s="3583"/>
      <c r="I137" s="3583"/>
      <c r="J137" s="3583"/>
      <c r="K137" s="3583"/>
      <c r="L137" s="3583"/>
      <c r="M137" s="3583"/>
      <c r="N137" s="3583"/>
      <c r="O137" s="3583"/>
      <c r="P137" s="3583"/>
      <c r="Q137" s="3584"/>
      <c r="R137" s="3585"/>
    </row>
    <row r="138" spans="2:18" x14ac:dyDescent="0.2">
      <c r="B138" s="3592"/>
      <c r="C138" s="3581" t="str">
        <f>[6]RAB!D87</f>
        <v>Balok B1 (15 X 30) Elv. + 4.00</v>
      </c>
      <c r="D138" s="3582"/>
      <c r="E138" s="3582"/>
      <c r="F138" s="3582"/>
      <c r="G138" s="3593"/>
      <c r="H138" s="3583"/>
      <c r="I138" s="3583"/>
      <c r="J138" s="3583"/>
      <c r="K138" s="3583"/>
      <c r="L138" s="3583"/>
      <c r="M138" s="3583"/>
      <c r="N138" s="3583"/>
      <c r="O138" s="3583"/>
      <c r="P138" s="3583"/>
      <c r="Q138" s="3584"/>
      <c r="R138" s="3585"/>
    </row>
    <row r="139" spans="2:18" x14ac:dyDescent="0.2">
      <c r="B139" s="3586">
        <f>[6]RAB!B88</f>
        <v>1</v>
      </c>
      <c r="C139" s="3601" t="str">
        <f>[6]RAB!D88</f>
        <v xml:space="preserve">Membuat beton mutu f'c = 21,7 Mpa </v>
      </c>
      <c r="D139" s="3582"/>
      <c r="E139" s="3582"/>
      <c r="F139" s="3582"/>
      <c r="G139" s="3593"/>
      <c r="H139" s="3583"/>
      <c r="I139" s="3583"/>
      <c r="J139" s="3583"/>
      <c r="K139" s="3583"/>
      <c r="L139" s="3583"/>
      <c r="M139" s="3583"/>
      <c r="N139" s="3591"/>
      <c r="O139" s="3583"/>
      <c r="P139" s="3583"/>
      <c r="Q139" s="3584">
        <f>P140</f>
        <v>35.824499999999993</v>
      </c>
      <c r="R139" s="3585" t="str">
        <f>[6]RAB!H88</f>
        <v>m3</v>
      </c>
    </row>
    <row r="140" spans="2:18" x14ac:dyDescent="0.2">
      <c r="B140" s="3586"/>
      <c r="C140" s="3601"/>
      <c r="D140" s="3582"/>
      <c r="E140" s="3582"/>
      <c r="F140" s="3582"/>
      <c r="G140" s="3593"/>
      <c r="H140" s="3583"/>
      <c r="I140" s="3583"/>
      <c r="J140" s="3583"/>
      <c r="K140" s="3583"/>
      <c r="L140" s="3583"/>
      <c r="M140" s="3583"/>
      <c r="N140" s="3591"/>
      <c r="O140" s="3583"/>
      <c r="P140" s="3583">
        <f>'[6]TABEL HITUNG BESI 2'!G124</f>
        <v>35.824499999999993</v>
      </c>
      <c r="Q140" s="3584"/>
      <c r="R140" s="3585"/>
    </row>
    <row r="141" spans="2:18" x14ac:dyDescent="0.2">
      <c r="B141" s="3586">
        <f>[6]RAB!B89</f>
        <v>2</v>
      </c>
      <c r="C141" s="3601" t="str">
        <f>[6]RAB!D89</f>
        <v>Pembesian 1 kg dengan besi polos atau besi ulir</v>
      </c>
      <c r="D141" s="3582"/>
      <c r="E141" s="3582"/>
      <c r="F141" s="3582"/>
      <c r="G141" s="3593"/>
      <c r="H141" s="3583"/>
      <c r="I141" s="3583"/>
      <c r="J141" s="3583"/>
      <c r="K141" s="3583"/>
      <c r="L141" s="3583"/>
      <c r="M141" s="3583"/>
      <c r="N141" s="3591"/>
      <c r="O141" s="3583"/>
      <c r="P141" s="3583"/>
      <c r="Q141" s="3584">
        <f>P142</f>
        <v>7846.2752208014263</v>
      </c>
      <c r="R141" s="3585" t="str">
        <f>[6]RAB!H89</f>
        <v>kg</v>
      </c>
    </row>
    <row r="142" spans="2:18" x14ac:dyDescent="0.2">
      <c r="B142" s="3586"/>
      <c r="C142" s="3601"/>
      <c r="D142" s="3582"/>
      <c r="E142" s="3582"/>
      <c r="F142" s="3582"/>
      <c r="G142" s="3593"/>
      <c r="H142" s="3583"/>
      <c r="I142" s="3583"/>
      <c r="J142" s="3583"/>
      <c r="K142" s="3583"/>
      <c r="L142" s="3583"/>
      <c r="M142" s="3583"/>
      <c r="N142" s="3591"/>
      <c r="O142" s="3583"/>
      <c r="P142" s="3583">
        <f>'[6]TABEL HITUNG BESI 2'!K124+'[6]TABEL HITUNG BESI 2'!N124+'[6]TABEL HITUNG BESI 2'!S124</f>
        <v>7846.2752208014263</v>
      </c>
      <c r="Q142" s="3584"/>
      <c r="R142" s="3585"/>
    </row>
    <row r="143" spans="2:18" x14ac:dyDescent="0.2">
      <c r="B143" s="3586">
        <f>[6]RAB!B90</f>
        <v>3</v>
      </c>
      <c r="C143" s="3601" t="str">
        <f>[6]RAB!D90</f>
        <v>(K3) Memasang bekisting untuk balok ( 2x Pakai )</v>
      </c>
      <c r="D143" s="3582"/>
      <c r="E143" s="3582"/>
      <c r="F143" s="3582"/>
      <c r="G143" s="3593"/>
      <c r="H143" s="3583"/>
      <c r="I143" s="3583"/>
      <c r="J143" s="3583"/>
      <c r="K143" s="3583"/>
      <c r="L143" s="3583"/>
      <c r="M143" s="3583"/>
      <c r="N143" s="3591"/>
      <c r="O143" s="3583"/>
      <c r="P143" s="3583"/>
      <c r="Q143" s="3584">
        <f>P144</f>
        <v>471.37499999999989</v>
      </c>
      <c r="R143" s="3585" t="str">
        <f>[6]RAB!H90</f>
        <v>m2</v>
      </c>
    </row>
    <row r="144" spans="2:18" x14ac:dyDescent="0.2">
      <c r="B144" s="3586"/>
      <c r="C144" s="3601"/>
      <c r="D144" s="3582"/>
      <c r="E144" s="3582"/>
      <c r="F144" s="3582"/>
      <c r="G144" s="3593"/>
      <c r="H144" s="3583"/>
      <c r="I144" s="3583"/>
      <c r="J144" s="3583"/>
      <c r="K144" s="3583"/>
      <c r="L144" s="3583"/>
      <c r="M144" s="3583"/>
      <c r="N144" s="3591"/>
      <c r="O144" s="3583"/>
      <c r="P144" s="3583">
        <f>'[6]TABEL HITUNG BESI 2'!H124</f>
        <v>471.37499999999989</v>
      </c>
      <c r="Q144" s="3584"/>
      <c r="R144" s="3585"/>
    </row>
    <row r="145" spans="2:18" x14ac:dyDescent="0.2">
      <c r="B145" s="3586"/>
      <c r="C145" s="3601"/>
      <c r="D145" s="3582"/>
      <c r="E145" s="3582"/>
      <c r="F145" s="3582"/>
      <c r="G145" s="3593"/>
      <c r="H145" s="3583"/>
      <c r="I145" s="3583"/>
      <c r="J145" s="3583"/>
      <c r="K145" s="3583"/>
      <c r="L145" s="3583"/>
      <c r="M145" s="3583"/>
      <c r="N145" s="3591"/>
      <c r="O145" s="3583"/>
      <c r="P145" s="3583"/>
      <c r="Q145" s="3584"/>
      <c r="R145" s="3585"/>
    </row>
    <row r="146" spans="2:18" x14ac:dyDescent="0.2">
      <c r="B146" s="3586"/>
      <c r="C146" s="3602" t="str">
        <f>[6]RAB!D91</f>
        <v>Balok B2 (15 X 25) Elv. + 4.00</v>
      </c>
      <c r="D146" s="3582"/>
      <c r="E146" s="3582"/>
      <c r="F146" s="3582"/>
      <c r="G146" s="3593"/>
      <c r="H146" s="3583"/>
      <c r="I146" s="3583"/>
      <c r="J146" s="3583"/>
      <c r="K146" s="3583"/>
      <c r="L146" s="3583"/>
      <c r="M146" s="3583"/>
      <c r="N146" s="3591"/>
      <c r="O146" s="3583"/>
      <c r="P146" s="3583"/>
      <c r="Q146" s="3584"/>
      <c r="R146" s="3585"/>
    </row>
    <row r="147" spans="2:18" x14ac:dyDescent="0.2">
      <c r="B147" s="3586">
        <f>[6]RAB!B92</f>
        <v>1</v>
      </c>
      <c r="C147" s="3601" t="str">
        <f>[6]RAB!D92</f>
        <v xml:space="preserve">Membuat beton mutu f'c = 21,7 Mpa </v>
      </c>
      <c r="D147" s="3582"/>
      <c r="E147" s="3582"/>
      <c r="F147" s="3582"/>
      <c r="G147" s="3593"/>
      <c r="H147" s="3583"/>
      <c r="I147" s="3583"/>
      <c r="J147" s="3583"/>
      <c r="K147" s="3583"/>
      <c r="L147" s="3583"/>
      <c r="M147" s="3583"/>
      <c r="N147" s="3591"/>
      <c r="O147" s="3583"/>
      <c r="P147" s="3583"/>
      <c r="Q147" s="3584">
        <f>P148</f>
        <v>14.512000000000004</v>
      </c>
      <c r="R147" s="3585" t="str">
        <f>[6]RAB!H92</f>
        <v>m3</v>
      </c>
    </row>
    <row r="148" spans="2:18" x14ac:dyDescent="0.2">
      <c r="B148" s="3586"/>
      <c r="C148" s="3601"/>
      <c r="D148" s="3582"/>
      <c r="E148" s="3582"/>
      <c r="F148" s="3582"/>
      <c r="G148" s="3593"/>
      <c r="H148" s="3583"/>
      <c r="I148" s="3583"/>
      <c r="J148" s="3583"/>
      <c r="K148" s="3583"/>
      <c r="L148" s="3583"/>
      <c r="M148" s="3583"/>
      <c r="N148" s="3591"/>
      <c r="O148" s="3583"/>
      <c r="P148" s="3583">
        <f>'[6]TABEL HITUNG BESI 2'!G160</f>
        <v>14.512000000000004</v>
      </c>
      <c r="Q148" s="3584"/>
      <c r="R148" s="3585"/>
    </row>
    <row r="149" spans="2:18" x14ac:dyDescent="0.2">
      <c r="B149" s="3586">
        <f>[6]RAB!B93</f>
        <v>2</v>
      </c>
      <c r="C149" s="3601" t="str">
        <f>[6]RAB!D93</f>
        <v>Pembesian 1 kg dengan besi polos atau besi ulir</v>
      </c>
      <c r="D149" s="3582"/>
      <c r="E149" s="3582"/>
      <c r="F149" s="3582"/>
      <c r="G149" s="3593"/>
      <c r="H149" s="3583"/>
      <c r="I149" s="3583"/>
      <c r="J149" s="3583"/>
      <c r="K149" s="3583"/>
      <c r="L149" s="3583"/>
      <c r="M149" s="3583"/>
      <c r="N149" s="3591"/>
      <c r="O149" s="3583"/>
      <c r="P149" s="3583"/>
      <c r="Q149" s="3584">
        <f>P150</f>
        <v>1696.4400838251379</v>
      </c>
      <c r="R149" s="3585" t="str">
        <f>[6]RAB!H93</f>
        <v>kg</v>
      </c>
    </row>
    <row r="150" spans="2:18" x14ac:dyDescent="0.2">
      <c r="B150" s="3586"/>
      <c r="C150" s="3601"/>
      <c r="D150" s="3582"/>
      <c r="E150" s="3582"/>
      <c r="F150" s="3582"/>
      <c r="G150" s="3593"/>
      <c r="H150" s="3583"/>
      <c r="I150" s="3583"/>
      <c r="J150" s="3583"/>
      <c r="K150" s="3583"/>
      <c r="L150" s="3583"/>
      <c r="M150" s="3583"/>
      <c r="N150" s="3591"/>
      <c r="O150" s="3583"/>
      <c r="P150" s="3583">
        <f>'[6]TABEL HITUNG BESI 2'!K160+'[6]TABEL HITUNG BESI 2'!N160+'[6]TABEL HITUNG BESI 2'!S160</f>
        <v>1696.4400838251379</v>
      </c>
      <c r="Q150" s="3584"/>
      <c r="R150" s="3585"/>
    </row>
    <row r="151" spans="2:18" x14ac:dyDescent="0.2">
      <c r="B151" s="3586">
        <f>[6]RAB!B94</f>
        <v>3</v>
      </c>
      <c r="C151" s="3601" t="str">
        <f>[6]RAB!D94</f>
        <v>(K3) Memasang bekisting untuk balok ( 2x Pakai )</v>
      </c>
      <c r="D151" s="3582"/>
      <c r="E151" s="3582"/>
      <c r="F151" s="3582"/>
      <c r="G151" s="3593"/>
      <c r="H151" s="3583"/>
      <c r="I151" s="3583"/>
      <c r="J151" s="3583"/>
      <c r="K151" s="3583"/>
      <c r="L151" s="3583"/>
      <c r="M151" s="3583"/>
      <c r="N151" s="3591"/>
      <c r="O151" s="3583"/>
      <c r="P151" s="3583"/>
      <c r="Q151" s="3584">
        <f>P152</f>
        <v>181.4</v>
      </c>
      <c r="R151" s="3585" t="str">
        <f>[6]RAB!H94</f>
        <v>m2</v>
      </c>
    </row>
    <row r="152" spans="2:18" x14ac:dyDescent="0.2">
      <c r="B152" s="3586"/>
      <c r="C152" s="3601"/>
      <c r="D152" s="3582"/>
      <c r="E152" s="3582"/>
      <c r="F152" s="3582"/>
      <c r="G152" s="3593"/>
      <c r="H152" s="3583"/>
      <c r="I152" s="3583"/>
      <c r="J152" s="3583"/>
      <c r="K152" s="3583"/>
      <c r="L152" s="3583"/>
      <c r="M152" s="3583"/>
      <c r="N152" s="3591"/>
      <c r="O152" s="3583"/>
      <c r="P152" s="3583">
        <f>'[6]TABEL HITUNG BESI 2'!H160</f>
        <v>181.4</v>
      </c>
      <c r="Q152" s="3584"/>
      <c r="R152" s="3585"/>
    </row>
    <row r="153" spans="2:18" x14ac:dyDescent="0.2">
      <c r="B153" s="3586"/>
      <c r="C153" s="3601"/>
      <c r="D153" s="3582"/>
      <c r="E153" s="3582"/>
      <c r="F153" s="3582"/>
      <c r="G153" s="3593"/>
      <c r="H153" s="3583"/>
      <c r="I153" s="3583"/>
      <c r="J153" s="3583"/>
      <c r="K153" s="3583"/>
      <c r="L153" s="3583"/>
      <c r="M153" s="3583"/>
      <c r="N153" s="3591"/>
      <c r="O153" s="3583"/>
      <c r="P153" s="3583"/>
      <c r="Q153" s="3584"/>
      <c r="R153" s="3585"/>
    </row>
    <row r="154" spans="2:18" x14ac:dyDescent="0.2">
      <c r="B154" s="3586"/>
      <c r="C154" s="3602" t="str">
        <f>[6]RAB!D95</f>
        <v>Balok B1 (15 X 30) Elv. + 8.00</v>
      </c>
      <c r="D154" s="3582"/>
      <c r="E154" s="3582"/>
      <c r="F154" s="3582"/>
      <c r="G154" s="3593"/>
      <c r="H154" s="3583"/>
      <c r="I154" s="3583"/>
      <c r="J154" s="3583"/>
      <c r="K154" s="3583"/>
      <c r="L154" s="3583"/>
      <c r="M154" s="3583"/>
      <c r="N154" s="3591"/>
      <c r="O154" s="3583"/>
      <c r="P154" s="3583"/>
      <c r="Q154" s="3584"/>
      <c r="R154" s="3585"/>
    </row>
    <row r="155" spans="2:18" x14ac:dyDescent="0.2">
      <c r="B155" s="3586">
        <f>[6]RAB!B96</f>
        <v>1</v>
      </c>
      <c r="C155" s="3601" t="str">
        <f>[6]RAB!D96</f>
        <v xml:space="preserve">Membuat beton mutu f'c = 21,7 Mpa </v>
      </c>
      <c r="D155" s="3582"/>
      <c r="E155" s="3582"/>
      <c r="F155" s="3582"/>
      <c r="G155" s="3593"/>
      <c r="H155" s="3583"/>
      <c r="I155" s="3583"/>
      <c r="J155" s="3583"/>
      <c r="K155" s="3583"/>
      <c r="L155" s="3583"/>
      <c r="M155" s="3583"/>
      <c r="N155" s="3591"/>
      <c r="O155" s="3583"/>
      <c r="P155" s="3583"/>
      <c r="Q155" s="3584">
        <f>P156</f>
        <v>4.2374999999999998</v>
      </c>
      <c r="R155" s="3585" t="str">
        <f>[6]RAB!H96</f>
        <v>m3</v>
      </c>
    </row>
    <row r="156" spans="2:18" x14ac:dyDescent="0.2">
      <c r="B156" s="3586"/>
      <c r="C156" s="3601"/>
      <c r="D156" s="3582"/>
      <c r="E156" s="3582"/>
      <c r="F156" s="3582"/>
      <c r="G156" s="3593"/>
      <c r="H156" s="3583"/>
      <c r="I156" s="3583"/>
      <c r="J156" s="3583"/>
      <c r="K156" s="3583"/>
      <c r="L156" s="3583"/>
      <c r="M156" s="3583"/>
      <c r="N156" s="3591"/>
      <c r="O156" s="3583"/>
      <c r="P156" s="3583">
        <f>'[6]TABEL HITUNG BESI 2'!G173</f>
        <v>4.2374999999999998</v>
      </c>
      <c r="Q156" s="3584"/>
      <c r="R156" s="3585"/>
    </row>
    <row r="157" spans="2:18" x14ac:dyDescent="0.2">
      <c r="B157" s="3586">
        <f>[6]RAB!B97</f>
        <v>2</v>
      </c>
      <c r="C157" s="3601" t="str">
        <f>[6]RAB!D97</f>
        <v>Pembesian 1 kg dengan besi polos atau besi ulir</v>
      </c>
      <c r="D157" s="3582"/>
      <c r="E157" s="3582"/>
      <c r="F157" s="3582"/>
      <c r="G157" s="3593"/>
      <c r="H157" s="3583"/>
      <c r="I157" s="3583"/>
      <c r="J157" s="3583"/>
      <c r="K157" s="3583"/>
      <c r="L157" s="3583"/>
      <c r="M157" s="3583"/>
      <c r="N157" s="3591"/>
      <c r="O157" s="3583"/>
      <c r="P157" s="3583"/>
      <c r="Q157" s="3584">
        <f>P158</f>
        <v>1603.4769066894846</v>
      </c>
      <c r="R157" s="3585" t="str">
        <f>[6]RAB!H97</f>
        <v>kg</v>
      </c>
    </row>
    <row r="158" spans="2:18" x14ac:dyDescent="0.2">
      <c r="B158" s="3586"/>
      <c r="C158" s="3601"/>
      <c r="D158" s="3582"/>
      <c r="E158" s="3582"/>
      <c r="F158" s="3582"/>
      <c r="G158" s="3593"/>
      <c r="H158" s="3583"/>
      <c r="I158" s="3583"/>
      <c r="J158" s="3583"/>
      <c r="K158" s="3583"/>
      <c r="L158" s="3583"/>
      <c r="M158" s="3583"/>
      <c r="N158" s="3591"/>
      <c r="O158" s="3583"/>
      <c r="P158" s="3583">
        <f>'[6]TABEL HITUNG BESI 2'!K173+'[6]TABEL HITUNG BESI 2'!N173+'[6]TABEL HITUNG BESI 2'!S173</f>
        <v>1603.4769066894846</v>
      </c>
      <c r="Q158" s="3584"/>
      <c r="R158" s="3585"/>
    </row>
    <row r="159" spans="2:18" x14ac:dyDescent="0.2">
      <c r="B159" s="3586">
        <f>[6]RAB!B98</f>
        <v>3</v>
      </c>
      <c r="C159" s="3601" t="str">
        <f>[6]RAB!D98</f>
        <v>(K3) Memasang bekisting untuk balok ( 2x Pakai )</v>
      </c>
      <c r="D159" s="3582"/>
      <c r="E159" s="3582"/>
      <c r="F159" s="3582"/>
      <c r="G159" s="3593"/>
      <c r="H159" s="3583"/>
      <c r="I159" s="3583"/>
      <c r="J159" s="3583"/>
      <c r="K159" s="3583"/>
      <c r="L159" s="3583"/>
      <c r="M159" s="3583"/>
      <c r="N159" s="3591"/>
      <c r="O159" s="3583"/>
      <c r="P159" s="3583"/>
      <c r="Q159" s="3584">
        <f>P160</f>
        <v>56.5</v>
      </c>
      <c r="R159" s="3585" t="str">
        <f>[6]RAB!H98</f>
        <v>m2</v>
      </c>
    </row>
    <row r="160" spans="2:18" x14ac:dyDescent="0.2">
      <c r="B160" s="3586"/>
      <c r="C160" s="3601"/>
      <c r="D160" s="3582"/>
      <c r="E160" s="3582"/>
      <c r="F160" s="3582"/>
      <c r="G160" s="3593"/>
      <c r="H160" s="3583"/>
      <c r="I160" s="3583"/>
      <c r="J160" s="3583"/>
      <c r="K160" s="3583"/>
      <c r="L160" s="3583"/>
      <c r="M160" s="3583"/>
      <c r="N160" s="3591"/>
      <c r="O160" s="3583"/>
      <c r="P160" s="3583">
        <f>'[6]TABEL HITUNG BESI 2'!H173</f>
        <v>56.5</v>
      </c>
      <c r="Q160" s="3584"/>
      <c r="R160" s="3585"/>
    </row>
    <row r="161" spans="2:18" x14ac:dyDescent="0.2">
      <c r="B161" s="3586"/>
      <c r="C161" s="3601"/>
      <c r="D161" s="3582"/>
      <c r="E161" s="3582"/>
      <c r="F161" s="3582"/>
      <c r="G161" s="3593"/>
      <c r="H161" s="3583"/>
      <c r="I161" s="3583"/>
      <c r="J161" s="3583"/>
      <c r="K161" s="3583"/>
      <c r="L161" s="3583"/>
      <c r="M161" s="3583"/>
      <c r="N161" s="3591"/>
      <c r="O161" s="3583"/>
      <c r="P161" s="3583"/>
      <c r="Q161" s="3584"/>
      <c r="R161" s="3585"/>
    </row>
    <row r="162" spans="2:18" x14ac:dyDescent="0.2">
      <c r="B162" s="3586"/>
      <c r="C162" s="3602" t="str">
        <f>[6]RAB!D99</f>
        <v>Balok BK (15 X 30-20) Elv. + 8.00</v>
      </c>
      <c r="D162" s="3582"/>
      <c r="E162" s="3582"/>
      <c r="F162" s="3582"/>
      <c r="G162" s="3593"/>
      <c r="H162" s="3583"/>
      <c r="I162" s="3583"/>
      <c r="J162" s="3583"/>
      <c r="K162" s="3583"/>
      <c r="L162" s="3583"/>
      <c r="M162" s="3583"/>
      <c r="N162" s="3591"/>
      <c r="O162" s="3583"/>
      <c r="P162" s="3583"/>
      <c r="Q162" s="3584"/>
      <c r="R162" s="3585"/>
    </row>
    <row r="163" spans="2:18" x14ac:dyDescent="0.2">
      <c r="B163" s="3586">
        <f>[6]RAB!B100</f>
        <v>1</v>
      </c>
      <c r="C163" s="3601" t="str">
        <f>[6]RAB!D100</f>
        <v xml:space="preserve">Membuat beton mutu f'c = 21,7 Mpa </v>
      </c>
      <c r="D163" s="3582"/>
      <c r="E163" s="3582"/>
      <c r="F163" s="3582"/>
      <c r="G163" s="3593"/>
      <c r="H163" s="3583"/>
      <c r="I163" s="3583"/>
      <c r="J163" s="3583"/>
      <c r="K163" s="3583"/>
      <c r="L163" s="3583"/>
      <c r="M163" s="3583"/>
      <c r="N163" s="3591"/>
      <c r="O163" s="3583"/>
      <c r="P163" s="3583"/>
      <c r="Q163" s="3584">
        <f>P164</f>
        <v>2.6880000000000002</v>
      </c>
      <c r="R163" s="3585" t="str">
        <f>[6]RAB!H100</f>
        <v>m3</v>
      </c>
    </row>
    <row r="164" spans="2:18" x14ac:dyDescent="0.2">
      <c r="B164" s="3586"/>
      <c r="C164" s="3601"/>
      <c r="D164" s="3582"/>
      <c r="E164" s="3582"/>
      <c r="F164" s="3582"/>
      <c r="G164" s="3593"/>
      <c r="H164" s="3583"/>
      <c r="I164" s="3583"/>
      <c r="J164" s="3583"/>
      <c r="K164" s="3583"/>
      <c r="L164" s="3583"/>
      <c r="M164" s="3583"/>
      <c r="N164" s="3591"/>
      <c r="O164" s="3583"/>
      <c r="P164" s="3583">
        <f>'[6]TABEL HITUNG BESI 2'!G183</f>
        <v>2.6880000000000002</v>
      </c>
      <c r="Q164" s="3584"/>
      <c r="R164" s="3585"/>
    </row>
    <row r="165" spans="2:18" x14ac:dyDescent="0.2">
      <c r="B165" s="3586">
        <f>[6]RAB!B101</f>
        <v>2</v>
      </c>
      <c r="C165" s="3601" t="str">
        <f>[6]RAB!D101</f>
        <v>Pembesian 1 kg dengan besi polos atau besi ulir</v>
      </c>
      <c r="D165" s="3582"/>
      <c r="E165" s="3582"/>
      <c r="F165" s="3582"/>
      <c r="G165" s="3593"/>
      <c r="H165" s="3583"/>
      <c r="I165" s="3583"/>
      <c r="J165" s="3583"/>
      <c r="K165" s="3583"/>
      <c r="L165" s="3583"/>
      <c r="M165" s="3583"/>
      <c r="N165" s="3591"/>
      <c r="O165" s="3583"/>
      <c r="P165" s="3583"/>
      <c r="Q165" s="3584">
        <f>P166</f>
        <v>473.36602853631257</v>
      </c>
      <c r="R165" s="3585" t="str">
        <f>[6]RAB!H101</f>
        <v>kg</v>
      </c>
    </row>
    <row r="166" spans="2:18" x14ac:dyDescent="0.2">
      <c r="B166" s="3586"/>
      <c r="C166" s="3601"/>
      <c r="D166" s="3582"/>
      <c r="E166" s="3582"/>
      <c r="F166" s="3582"/>
      <c r="G166" s="3593"/>
      <c r="H166" s="3583"/>
      <c r="I166" s="3583"/>
      <c r="J166" s="3583"/>
      <c r="K166" s="3583"/>
      <c r="L166" s="3583"/>
      <c r="M166" s="3583"/>
      <c r="N166" s="3591"/>
      <c r="O166" s="3583"/>
      <c r="P166" s="3583">
        <f>'[6]TABEL HITUNG BESI 2'!K183+'[6]TABEL HITUNG BESI 2'!N183+'[6]TABEL HITUNG BESI 2'!S183</f>
        <v>473.36602853631257</v>
      </c>
      <c r="Q166" s="3584"/>
      <c r="R166" s="3585"/>
    </row>
    <row r="167" spans="2:18" x14ac:dyDescent="0.2">
      <c r="B167" s="3586">
        <f>[6]RAB!B102</f>
        <v>3</v>
      </c>
      <c r="C167" s="3601" t="str">
        <f>[6]RAB!D102</f>
        <v>(K3) Memasang bekisting untuk balok ( 2x Pakai )</v>
      </c>
      <c r="D167" s="3582"/>
      <c r="E167" s="3582"/>
      <c r="F167" s="3582"/>
      <c r="G167" s="3593"/>
      <c r="H167" s="3583"/>
      <c r="I167" s="3583"/>
      <c r="J167" s="3583"/>
      <c r="K167" s="3583"/>
      <c r="L167" s="3583"/>
      <c r="M167" s="3583"/>
      <c r="N167" s="3591"/>
      <c r="O167" s="3583"/>
      <c r="P167" s="3583"/>
      <c r="Q167" s="3584">
        <f>P168</f>
        <v>35.840000000000003</v>
      </c>
      <c r="R167" s="3585" t="str">
        <f>[6]RAB!H102</f>
        <v>m2</v>
      </c>
    </row>
    <row r="168" spans="2:18" x14ac:dyDescent="0.2">
      <c r="B168" s="3586"/>
      <c r="C168" s="3601"/>
      <c r="D168" s="3582"/>
      <c r="E168" s="3582"/>
      <c r="F168" s="3582"/>
      <c r="G168" s="3593"/>
      <c r="H168" s="3583"/>
      <c r="I168" s="3583"/>
      <c r="J168" s="3583"/>
      <c r="K168" s="3583"/>
      <c r="L168" s="3583"/>
      <c r="M168" s="3583"/>
      <c r="N168" s="3591"/>
      <c r="O168" s="3583"/>
      <c r="P168" s="3583">
        <f>'[6]TABEL HITUNG BESI 2'!H183</f>
        <v>35.840000000000003</v>
      </c>
      <c r="Q168" s="3584"/>
      <c r="R168" s="3585"/>
    </row>
    <row r="169" spans="2:18" x14ac:dyDescent="0.2">
      <c r="B169" s="3586"/>
      <c r="C169" s="3601"/>
      <c r="D169" s="3582"/>
      <c r="E169" s="3582"/>
      <c r="F169" s="3582"/>
      <c r="G169" s="3593"/>
      <c r="H169" s="3583"/>
      <c r="I169" s="3583"/>
      <c r="J169" s="3583"/>
      <c r="K169" s="3583"/>
      <c r="L169" s="3583"/>
      <c r="M169" s="3583"/>
      <c r="N169" s="3591"/>
      <c r="O169" s="3583"/>
      <c r="P169" s="3583"/>
      <c r="Q169" s="3584"/>
      <c r="R169" s="3585"/>
    </row>
    <row r="170" spans="2:18" x14ac:dyDescent="0.2">
      <c r="B170" s="3586"/>
      <c r="C170" s="3602" t="str">
        <f>[6]RAB!D103</f>
        <v>Balok RB (15 X 35) Elv. + 8.00</v>
      </c>
      <c r="D170" s="3582"/>
      <c r="E170" s="3582"/>
      <c r="F170" s="3582"/>
      <c r="G170" s="3593"/>
      <c r="H170" s="3583"/>
      <c r="I170" s="3583"/>
      <c r="J170" s="3583"/>
      <c r="K170" s="3583"/>
      <c r="L170" s="3583"/>
      <c r="M170" s="3583"/>
      <c r="N170" s="3591"/>
      <c r="O170" s="3583"/>
      <c r="P170" s="3583"/>
      <c r="Q170" s="3584"/>
      <c r="R170" s="3585"/>
    </row>
    <row r="171" spans="2:18" x14ac:dyDescent="0.2">
      <c r="B171" s="3586">
        <f>[6]RAB!B104</f>
        <v>1</v>
      </c>
      <c r="C171" s="3601" t="str">
        <f>[6]RAB!D104</f>
        <v xml:space="preserve">Membuat beton mutu f'c = 21,7 Mpa </v>
      </c>
      <c r="D171" s="3582"/>
      <c r="E171" s="3582"/>
      <c r="F171" s="3582"/>
      <c r="G171" s="3593"/>
      <c r="H171" s="3583"/>
      <c r="I171" s="3583"/>
      <c r="J171" s="3583"/>
      <c r="K171" s="3583"/>
      <c r="L171" s="3583"/>
      <c r="M171" s="3583"/>
      <c r="N171" s="3591"/>
      <c r="O171" s="3583"/>
      <c r="P171" s="3583"/>
      <c r="Q171" s="3584">
        <f>P172</f>
        <v>5.7059999999999986</v>
      </c>
      <c r="R171" s="3585" t="str">
        <f>[6]RAB!H104</f>
        <v>m3</v>
      </c>
    </row>
    <row r="172" spans="2:18" x14ac:dyDescent="0.2">
      <c r="B172" s="3586"/>
      <c r="C172" s="3601"/>
      <c r="D172" s="3582"/>
      <c r="E172" s="3582"/>
      <c r="F172" s="3582"/>
      <c r="G172" s="3593"/>
      <c r="H172" s="3583"/>
      <c r="I172" s="3583"/>
      <c r="J172" s="3583"/>
      <c r="K172" s="3583"/>
      <c r="L172" s="3583"/>
      <c r="M172" s="3583"/>
      <c r="N172" s="3591"/>
      <c r="O172" s="3583"/>
      <c r="P172" s="3583">
        <f>'[6]TABEL HITUNG BESI 2'!G196</f>
        <v>5.7059999999999986</v>
      </c>
      <c r="Q172" s="3584"/>
      <c r="R172" s="3585"/>
    </row>
    <row r="173" spans="2:18" x14ac:dyDescent="0.2">
      <c r="B173" s="3586">
        <f>[6]RAB!B105</f>
        <v>2</v>
      </c>
      <c r="C173" s="3601" t="str">
        <f>[6]RAB!D105</f>
        <v>Pembesian 1 kg dengan besi polos atau besi ulir</v>
      </c>
      <c r="D173" s="3582"/>
      <c r="E173" s="3582"/>
      <c r="F173" s="3582"/>
      <c r="G173" s="3593"/>
      <c r="H173" s="3583"/>
      <c r="I173" s="3583"/>
      <c r="J173" s="3583"/>
      <c r="K173" s="3583"/>
      <c r="L173" s="3583"/>
      <c r="M173" s="3583"/>
      <c r="N173" s="3591"/>
      <c r="O173" s="3583"/>
      <c r="P173" s="3583"/>
      <c r="Q173" s="3584">
        <f>P174</f>
        <v>1272.2671760379098</v>
      </c>
      <c r="R173" s="3585" t="str">
        <f>[6]RAB!H105</f>
        <v>kg</v>
      </c>
    </row>
    <row r="174" spans="2:18" x14ac:dyDescent="0.2">
      <c r="B174" s="3586"/>
      <c r="C174" s="3601"/>
      <c r="D174" s="3582"/>
      <c r="E174" s="3582"/>
      <c r="F174" s="3582"/>
      <c r="G174" s="3593"/>
      <c r="H174" s="3583"/>
      <c r="I174" s="3583"/>
      <c r="J174" s="3583"/>
      <c r="K174" s="3583"/>
      <c r="L174" s="3583"/>
      <c r="M174" s="3583"/>
      <c r="N174" s="3591"/>
      <c r="O174" s="3583"/>
      <c r="P174" s="3583">
        <f>'[6]TABEL HITUNG BESI 2'!K196+'[6]TABEL HITUNG BESI 2'!N196+'[6]TABEL HITUNG BESI 2'!S196</f>
        <v>1272.2671760379098</v>
      </c>
      <c r="Q174" s="3584"/>
      <c r="R174" s="3585"/>
    </row>
    <row r="175" spans="2:18" x14ac:dyDescent="0.2">
      <c r="B175" s="3586">
        <f>[6]RAB!B106</f>
        <v>3</v>
      </c>
      <c r="C175" s="3601" t="str">
        <f>[6]RAB!D106</f>
        <v>(K3) Memasang bekisting untuk balok ( 2x Pakai )</v>
      </c>
      <c r="D175" s="3582"/>
      <c r="E175" s="3582"/>
      <c r="F175" s="3582"/>
      <c r="G175" s="3593"/>
      <c r="H175" s="3583"/>
      <c r="I175" s="3583"/>
      <c r="J175" s="3583"/>
      <c r="K175" s="3583"/>
      <c r="L175" s="3583"/>
      <c r="M175" s="3583"/>
      <c r="N175" s="3591"/>
      <c r="O175" s="3583"/>
      <c r="P175" s="3583"/>
      <c r="Q175" s="3584">
        <f>P176</f>
        <v>95.09999999999998</v>
      </c>
      <c r="R175" s="3585" t="str">
        <f>[6]RAB!H106</f>
        <v>m2</v>
      </c>
    </row>
    <row r="176" spans="2:18" x14ac:dyDescent="0.2">
      <c r="B176" s="3586"/>
      <c r="C176" s="3601"/>
      <c r="D176" s="3582"/>
      <c r="E176" s="3582"/>
      <c r="F176" s="3582"/>
      <c r="G176" s="3593"/>
      <c r="H176" s="3583"/>
      <c r="I176" s="3583"/>
      <c r="J176" s="3583"/>
      <c r="K176" s="3583"/>
      <c r="L176" s="3583"/>
      <c r="M176" s="3583"/>
      <c r="N176" s="3591"/>
      <c r="O176" s="3583"/>
      <c r="P176" s="3583">
        <f>'[6]TABEL HITUNG BESI 2'!H196</f>
        <v>95.09999999999998</v>
      </c>
      <c r="Q176" s="3584"/>
      <c r="R176" s="3585"/>
    </row>
    <row r="177" spans="2:18" x14ac:dyDescent="0.2">
      <c r="B177" s="3586"/>
      <c r="C177" s="3587"/>
      <c r="D177" s="3582"/>
      <c r="E177" s="3582"/>
      <c r="F177" s="3582"/>
      <c r="G177" s="3593"/>
      <c r="H177" s="3583"/>
      <c r="I177" s="3583"/>
      <c r="J177" s="3583"/>
      <c r="K177" s="3583"/>
      <c r="L177" s="3583"/>
      <c r="M177" s="3583"/>
      <c r="N177" s="3591"/>
      <c r="O177" s="3583"/>
      <c r="P177" s="3583"/>
      <c r="Q177" s="3584"/>
      <c r="R177" s="3585"/>
    </row>
    <row r="178" spans="2:18" x14ac:dyDescent="0.2">
      <c r="B178" s="3592"/>
      <c r="C178" s="3581" t="str">
        <f>[6]RAB!D108</f>
        <v>B. BETON PLAT</v>
      </c>
      <c r="D178" s="3582"/>
      <c r="E178" s="3582"/>
      <c r="F178" s="3582"/>
      <c r="G178" s="3593"/>
      <c r="H178" s="3583"/>
      <c r="I178" s="3583"/>
      <c r="J178" s="3583"/>
      <c r="K178" s="3583"/>
      <c r="L178" s="3583"/>
      <c r="M178" s="3583"/>
      <c r="N178" s="3591"/>
      <c r="O178" s="3583"/>
      <c r="P178" s="3583"/>
      <c r="Q178" s="3584"/>
      <c r="R178" s="3585"/>
    </row>
    <row r="179" spans="2:18" x14ac:dyDescent="0.2">
      <c r="B179" s="3592"/>
      <c r="C179" s="3581" t="str">
        <f>[6]RAB!D109</f>
        <v>Plat Lantai t;12 cm</v>
      </c>
      <c r="D179" s="3582"/>
      <c r="E179" s="3582"/>
      <c r="F179" s="3582"/>
      <c r="G179" s="3593"/>
      <c r="H179" s="3583"/>
      <c r="I179" s="3583"/>
      <c r="J179" s="3583"/>
      <c r="K179" s="3583"/>
      <c r="L179" s="3583"/>
      <c r="M179" s="3583"/>
      <c r="N179" s="3591"/>
      <c r="O179" s="3583"/>
      <c r="P179" s="3583"/>
      <c r="Q179" s="3584"/>
      <c r="R179" s="3585"/>
    </row>
    <row r="180" spans="2:18" x14ac:dyDescent="0.2">
      <c r="B180" s="3586">
        <f>[6]RAB!B110</f>
        <v>1</v>
      </c>
      <c r="C180" s="3587" t="str">
        <f>[6]RAB!D110</f>
        <v xml:space="preserve">Membuat beton mutu f'c = 21,7 Mpa </v>
      </c>
      <c r="D180" s="3582"/>
      <c r="E180" s="3582"/>
      <c r="F180" s="3582"/>
      <c r="G180" s="3593"/>
      <c r="H180" s="3583"/>
      <c r="I180" s="3583"/>
      <c r="J180" s="3583"/>
      <c r="K180" s="3583"/>
      <c r="L180" s="3583"/>
      <c r="M180" s="3583"/>
      <c r="N180" s="3591"/>
      <c r="O180" s="3583"/>
      <c r="P180" s="3583"/>
      <c r="Q180" s="3584">
        <f>P181</f>
        <v>74.461199999999977</v>
      </c>
      <c r="R180" s="3585" t="str">
        <f>[6]RAB!H110</f>
        <v>m3</v>
      </c>
    </row>
    <row r="181" spans="2:18" x14ac:dyDescent="0.2">
      <c r="B181" s="3586"/>
      <c r="C181" s="3587"/>
      <c r="D181" s="3582"/>
      <c r="E181" s="3582"/>
      <c r="F181" s="3582"/>
      <c r="G181" s="3593" t="s">
        <v>2064</v>
      </c>
      <c r="H181" s="3583"/>
      <c r="I181" s="3583"/>
      <c r="J181" s="3583"/>
      <c r="K181" s="3583"/>
      <c r="L181" s="3583"/>
      <c r="M181" s="3583"/>
      <c r="N181" s="3591"/>
      <c r="O181" s="3583"/>
      <c r="P181" s="3583">
        <f>'[6]TABEL HITUNG BESI 1'!G29</f>
        <v>74.461199999999977</v>
      </c>
      <c r="Q181" s="3584"/>
      <c r="R181" s="3585"/>
    </row>
    <row r="182" spans="2:18" x14ac:dyDescent="0.2">
      <c r="B182" s="3586">
        <f>[6]RAB!B111</f>
        <v>2</v>
      </c>
      <c r="C182" s="3587" t="str">
        <f>[6]RAB!D111</f>
        <v>Pembesian 1 kg dengan besi polos atau besi ulir</v>
      </c>
      <c r="D182" s="3582"/>
      <c r="E182" s="3582"/>
      <c r="F182" s="3582"/>
      <c r="G182" s="3593"/>
      <c r="H182" s="3583"/>
      <c r="I182" s="3583"/>
      <c r="J182" s="3583"/>
      <c r="K182" s="3583"/>
      <c r="L182" s="3583"/>
      <c r="M182" s="3583"/>
      <c r="N182" s="3603"/>
      <c r="O182" s="3591"/>
      <c r="P182" s="3583"/>
      <c r="Q182" s="3584">
        <f>SUM(P183:P184)</f>
        <v>6158.315468184197</v>
      </c>
      <c r="R182" s="3585" t="str">
        <f>[6]RAB!H111</f>
        <v>kg</v>
      </c>
    </row>
    <row r="183" spans="2:18" x14ac:dyDescent="0.2">
      <c r="B183" s="3586"/>
      <c r="C183" s="3587"/>
      <c r="D183" s="3582"/>
      <c r="E183" s="3582"/>
      <c r="F183" s="3582"/>
      <c r="G183" s="3593" t="s">
        <v>2064</v>
      </c>
      <c r="H183" s="3583"/>
      <c r="I183" s="3583"/>
      <c r="J183" s="3583"/>
      <c r="K183" s="3583"/>
      <c r="L183" s="3583"/>
      <c r="M183" s="3583"/>
      <c r="N183" s="3603"/>
      <c r="O183" s="3583"/>
      <c r="P183" s="3583">
        <f>'[6]TABEL HITUNG BESI 1'!M29</f>
        <v>3105.1790814605647</v>
      </c>
      <c r="Q183" s="3584"/>
      <c r="R183" s="3585"/>
    </row>
    <row r="184" spans="2:18" x14ac:dyDescent="0.2">
      <c r="B184" s="3586"/>
      <c r="C184" s="3587"/>
      <c r="D184" s="3582"/>
      <c r="E184" s="3582"/>
      <c r="F184" s="3582"/>
      <c r="G184" s="3593"/>
      <c r="H184" s="3583"/>
      <c r="I184" s="3583"/>
      <c r="J184" s="3583"/>
      <c r="K184" s="3583"/>
      <c r="L184" s="3583"/>
      <c r="M184" s="3583"/>
      <c r="N184" s="3603"/>
      <c r="O184" s="3591"/>
      <c r="P184" s="3583">
        <f>'[6]TABEL HITUNG BESI 1'!R29</f>
        <v>3053.1363867236323</v>
      </c>
      <c r="Q184" s="3584"/>
      <c r="R184" s="3585"/>
    </row>
    <row r="185" spans="2:18" x14ac:dyDescent="0.2">
      <c r="B185" s="3586"/>
      <c r="C185" s="3587"/>
      <c r="D185" s="3582"/>
      <c r="E185" s="3582"/>
      <c r="F185" s="3582"/>
      <c r="G185" s="3593"/>
      <c r="H185" s="3583"/>
      <c r="I185" s="3583"/>
      <c r="J185" s="3583"/>
      <c r="K185" s="3583"/>
      <c r="L185" s="3583"/>
      <c r="M185" s="3583"/>
      <c r="N185" s="3603"/>
      <c r="O185" s="3591"/>
      <c r="P185" s="3583"/>
      <c r="Q185" s="3584"/>
      <c r="R185" s="3585"/>
    </row>
    <row r="186" spans="2:18" x14ac:dyDescent="0.2">
      <c r="B186" s="3586">
        <f>[6]RAB!B112</f>
        <v>3</v>
      </c>
      <c r="C186" s="3587" t="str">
        <f>[6]RAB!D112</f>
        <v>(K3) Memasang bekisting untuk lantai ( 2x pakai )</v>
      </c>
      <c r="D186" s="3582"/>
      <c r="E186" s="3582"/>
      <c r="F186" s="3582"/>
      <c r="G186" s="3593"/>
      <c r="H186" s="3583"/>
      <c r="I186" s="3583"/>
      <c r="J186" s="3583"/>
      <c r="K186" s="3583"/>
      <c r="L186" s="3583"/>
      <c r="M186" s="3583"/>
      <c r="N186" s="3583"/>
      <c r="O186" s="3583"/>
      <c r="P186" s="3583"/>
      <c r="Q186" s="3584">
        <f>P187</f>
        <v>732.87119999999982</v>
      </c>
      <c r="R186" s="3585" t="str">
        <f>[6]RAB!H112</f>
        <v>m2</v>
      </c>
    </row>
    <row r="187" spans="2:18" x14ac:dyDescent="0.2">
      <c r="B187" s="3586"/>
      <c r="C187" s="3587"/>
      <c r="D187" s="3582"/>
      <c r="E187" s="3582"/>
      <c r="F187" s="3582"/>
      <c r="G187" s="3593" t="s">
        <v>2064</v>
      </c>
      <c r="H187" s="3583"/>
      <c r="I187" s="3583"/>
      <c r="J187" s="3583"/>
      <c r="K187" s="3583"/>
      <c r="L187" s="3583"/>
      <c r="M187" s="3583"/>
      <c r="N187" s="3583"/>
      <c r="O187" s="3583"/>
      <c r="P187" s="3583">
        <f>'[6]TABEL HITUNG BESI 1'!H29</f>
        <v>732.87119999999982</v>
      </c>
      <c r="Q187" s="3584"/>
      <c r="R187" s="3585"/>
    </row>
    <row r="188" spans="2:18" x14ac:dyDescent="0.2">
      <c r="B188" s="3586"/>
      <c r="C188" s="3581"/>
      <c r="D188" s="3582"/>
      <c r="E188" s="3582"/>
      <c r="F188" s="3582"/>
      <c r="G188" s="3593"/>
      <c r="H188" s="3583"/>
      <c r="I188" s="3583"/>
      <c r="J188" s="3583"/>
      <c r="K188" s="3583"/>
      <c r="L188" s="3583"/>
      <c r="M188" s="3583"/>
      <c r="N188" s="3591"/>
      <c r="O188" s="3583"/>
      <c r="P188" s="3583"/>
      <c r="Q188" s="3584"/>
      <c r="R188" s="3585"/>
    </row>
    <row r="189" spans="2:18" x14ac:dyDescent="0.2">
      <c r="B189" s="3586"/>
      <c r="C189" s="3581" t="str">
        <f>[6]RAB!D113</f>
        <v>Beton plat tangga</v>
      </c>
      <c r="D189" s="3582"/>
      <c r="E189" s="3582"/>
      <c r="F189" s="3582"/>
      <c r="G189" s="3593"/>
      <c r="H189" s="3583"/>
      <c r="I189" s="3583"/>
      <c r="J189" s="3583"/>
      <c r="K189" s="3583"/>
      <c r="L189" s="3583"/>
      <c r="M189" s="3583"/>
      <c r="N189" s="3591"/>
      <c r="O189" s="3583"/>
      <c r="P189" s="3583"/>
      <c r="Q189" s="3584"/>
      <c r="R189" s="3585"/>
    </row>
    <row r="190" spans="2:18" x14ac:dyDescent="0.2">
      <c r="B190" s="3586"/>
      <c r="C190" s="3587" t="str">
        <f>[6]RAB!D114</f>
        <v xml:space="preserve">Membuat beton mutu f'c = 21,7 Mpa </v>
      </c>
      <c r="D190" s="3582"/>
      <c r="E190" s="3582"/>
      <c r="F190" s="3582"/>
      <c r="G190" s="3593"/>
      <c r="H190" s="3583"/>
      <c r="I190" s="3583"/>
      <c r="J190" s="3583"/>
      <c r="K190" s="3583"/>
      <c r="L190" s="3583"/>
      <c r="M190" s="3583"/>
      <c r="N190" s="3591"/>
      <c r="O190" s="3583"/>
      <c r="Q190" s="3584">
        <f>P191</f>
        <v>1.7711999999999999</v>
      </c>
      <c r="R190" s="3585" t="str">
        <f>[6]RAB!H114</f>
        <v>m3</v>
      </c>
    </row>
    <row r="191" spans="2:18" x14ac:dyDescent="0.2">
      <c r="B191" s="3586"/>
      <c r="C191" s="3587"/>
      <c r="D191" s="3582"/>
      <c r="E191" s="3582"/>
      <c r="F191" s="3582"/>
      <c r="G191" s="3593" t="s">
        <v>2064</v>
      </c>
      <c r="H191" s="3583"/>
      <c r="I191" s="3583"/>
      <c r="J191" s="3583"/>
      <c r="K191" s="3583"/>
      <c r="L191" s="3583"/>
      <c r="M191" s="3583"/>
      <c r="N191" s="3591"/>
      <c r="O191" s="3583"/>
      <c r="P191" s="3583">
        <f>'[6]TABEL HITUNG BESI 1'!G62</f>
        <v>1.7711999999999999</v>
      </c>
      <c r="Q191" s="3584"/>
      <c r="R191" s="3585"/>
    </row>
    <row r="192" spans="2:18" x14ac:dyDescent="0.2">
      <c r="B192" s="3586"/>
      <c r="C192" s="3587"/>
      <c r="D192" s="3582"/>
      <c r="E192" s="3582"/>
      <c r="F192" s="3582"/>
      <c r="G192" s="3593"/>
      <c r="H192" s="3583"/>
      <c r="I192" s="3583"/>
      <c r="J192" s="3583"/>
      <c r="K192" s="3583"/>
      <c r="L192" s="3583"/>
      <c r="M192" s="3583"/>
      <c r="N192" s="3591"/>
      <c r="O192" s="3583"/>
      <c r="P192" s="3583"/>
      <c r="Q192" s="3584"/>
      <c r="R192" s="3585"/>
    </row>
    <row r="193" spans="2:18" x14ac:dyDescent="0.2">
      <c r="B193" s="3586"/>
      <c r="C193" s="3587" t="str">
        <f>[6]RAB!D115</f>
        <v>Pembesian 1 kg dengan besi polos atau besi ulir</v>
      </c>
      <c r="D193" s="3582"/>
      <c r="E193" s="3582"/>
      <c r="F193" s="3582"/>
      <c r="G193" s="3593"/>
      <c r="H193" s="3583"/>
      <c r="I193" s="3583"/>
      <c r="J193" s="3583"/>
      <c r="K193" s="3583"/>
      <c r="L193" s="3583"/>
      <c r="M193" s="3583"/>
      <c r="N193" s="3591"/>
      <c r="O193" s="3583"/>
      <c r="P193" s="3583"/>
      <c r="Q193" s="3584">
        <f>P194</f>
        <v>210.41193788536071</v>
      </c>
      <c r="R193" s="3585" t="str">
        <f>[6]RAB!H115</f>
        <v>kg</v>
      </c>
    </row>
    <row r="194" spans="2:18" x14ac:dyDescent="0.2">
      <c r="B194" s="3586"/>
      <c r="C194" s="3587"/>
      <c r="D194" s="3582"/>
      <c r="E194" s="3582"/>
      <c r="F194" s="3582"/>
      <c r="G194" s="3593" t="s">
        <v>2064</v>
      </c>
      <c r="H194" s="3583"/>
      <c r="I194" s="3583"/>
      <c r="J194" s="3583"/>
      <c r="K194" s="3583"/>
      <c r="L194" s="3583"/>
      <c r="M194" s="3583"/>
      <c r="N194" s="3591"/>
      <c r="O194" s="3583"/>
      <c r="P194" s="3583">
        <f>'[6]TABEL HITUNG BESI 1'!M62+'[6]TABEL HITUNG BESI 1'!R62</f>
        <v>210.41193788536071</v>
      </c>
      <c r="Q194" s="3584"/>
      <c r="R194" s="3585"/>
    </row>
    <row r="195" spans="2:18" x14ac:dyDescent="0.2">
      <c r="B195" s="3586"/>
      <c r="C195" s="3587"/>
      <c r="D195" s="3582"/>
      <c r="E195" s="3582"/>
      <c r="F195" s="3582"/>
      <c r="G195" s="3593"/>
      <c r="H195" s="3583"/>
      <c r="I195" s="3583"/>
      <c r="J195" s="3583"/>
      <c r="K195" s="3583"/>
      <c r="L195" s="3583"/>
      <c r="M195" s="3583"/>
      <c r="N195" s="3591"/>
      <c r="O195" s="3583"/>
      <c r="P195" s="3583"/>
      <c r="Q195" s="3584"/>
      <c r="R195" s="3585"/>
    </row>
    <row r="196" spans="2:18" x14ac:dyDescent="0.2">
      <c r="B196" s="3586"/>
      <c r="C196" s="3587" t="str">
        <f>[6]RAB!D116</f>
        <v>(K3) Memasang bekisting untuk lantai ( 2x pakai )</v>
      </c>
      <c r="D196" s="3582"/>
      <c r="E196" s="3582"/>
      <c r="F196" s="3582"/>
      <c r="G196" s="3593"/>
      <c r="H196" s="3583"/>
      <c r="I196" s="3583"/>
      <c r="J196" s="3583"/>
      <c r="K196" s="3583"/>
      <c r="L196" s="3583"/>
      <c r="M196" s="3583"/>
      <c r="N196" s="3591"/>
      <c r="O196" s="3583"/>
      <c r="P196" s="3583"/>
      <c r="Q196" s="3584">
        <f>P197</f>
        <v>18.216000000000001</v>
      </c>
      <c r="R196" s="3585" t="str">
        <f>[6]RAB!H116</f>
        <v>m2</v>
      </c>
    </row>
    <row r="197" spans="2:18" x14ac:dyDescent="0.2">
      <c r="B197" s="3586"/>
      <c r="C197" s="3587"/>
      <c r="D197" s="3582"/>
      <c r="E197" s="3582"/>
      <c r="F197" s="3582"/>
      <c r="G197" s="3593" t="s">
        <v>2064</v>
      </c>
      <c r="H197" s="3583"/>
      <c r="I197" s="3583"/>
      <c r="J197" s="3583"/>
      <c r="K197" s="3583"/>
      <c r="L197" s="3583"/>
      <c r="M197" s="3583"/>
      <c r="N197" s="3591"/>
      <c r="O197" s="3583"/>
      <c r="P197" s="3583">
        <f>'[6]TABEL HITUNG BESI 1'!H62</f>
        <v>18.216000000000001</v>
      </c>
      <c r="Q197" s="3584"/>
      <c r="R197" s="3585"/>
    </row>
    <row r="198" spans="2:18" x14ac:dyDescent="0.2">
      <c r="B198" s="3586"/>
      <c r="C198" s="3587"/>
      <c r="D198" s="3582"/>
      <c r="E198" s="3582"/>
      <c r="F198" s="3582"/>
      <c r="G198" s="3593"/>
      <c r="H198" s="3583"/>
      <c r="I198" s="3583"/>
      <c r="J198" s="3583"/>
      <c r="K198" s="3583"/>
      <c r="L198" s="3583"/>
      <c r="M198" s="3583"/>
      <c r="N198" s="3591"/>
      <c r="O198" s="3583"/>
      <c r="P198" s="3583"/>
      <c r="Q198" s="3584"/>
      <c r="R198" s="3585"/>
    </row>
    <row r="199" spans="2:18" x14ac:dyDescent="0.2">
      <c r="B199" s="3586"/>
      <c r="C199" s="3581" t="str">
        <f>[6]RAB!D117</f>
        <v>Plat Talang beton</v>
      </c>
      <c r="D199" s="3582"/>
      <c r="E199" s="3582"/>
      <c r="F199" s="3582"/>
      <c r="G199" s="3593"/>
      <c r="H199" s="3583"/>
      <c r="I199" s="3583"/>
      <c r="J199" s="3583"/>
      <c r="K199" s="3583"/>
      <c r="L199" s="3583"/>
      <c r="M199" s="3583"/>
      <c r="N199" s="3591"/>
      <c r="O199" s="3583"/>
      <c r="P199" s="3583"/>
      <c r="Q199" s="3584"/>
      <c r="R199" s="3585"/>
    </row>
    <row r="200" spans="2:18" x14ac:dyDescent="0.2">
      <c r="B200" s="3586">
        <f>[6]RAB!B118</f>
        <v>1</v>
      </c>
      <c r="C200" s="3587" t="str">
        <f>[6]RAB!D118</f>
        <v xml:space="preserve">Membuat beton mutu f'c = 21,7 Mpa </v>
      </c>
      <c r="D200" s="3582"/>
      <c r="E200" s="3582"/>
      <c r="F200" s="3582"/>
      <c r="G200" s="3593"/>
      <c r="H200" s="3583"/>
      <c r="I200" s="3583"/>
      <c r="J200" s="3583"/>
      <c r="K200" s="3583"/>
      <c r="L200" s="3583"/>
      <c r="M200" s="3583"/>
      <c r="N200" s="3591"/>
      <c r="O200" s="3583"/>
      <c r="P200" s="3583"/>
      <c r="Q200" s="3584">
        <f>P201</f>
        <v>9.516</v>
      </c>
      <c r="R200" s="3585" t="str">
        <f>[6]RAB!H118</f>
        <v>m3</v>
      </c>
    </row>
    <row r="201" spans="2:18" x14ac:dyDescent="0.2">
      <c r="B201" s="3586"/>
      <c r="C201" s="3587"/>
      <c r="D201" s="3582"/>
      <c r="E201" s="3582"/>
      <c r="F201" s="3582"/>
      <c r="G201" s="3593" t="s">
        <v>2064</v>
      </c>
      <c r="H201" s="3583"/>
      <c r="I201" s="3583"/>
      <c r="J201" s="3583"/>
      <c r="K201" s="3583"/>
      <c r="L201" s="3583"/>
      <c r="M201" s="3583"/>
      <c r="N201" s="3591"/>
      <c r="O201" s="3583"/>
      <c r="P201" s="3583">
        <f>'[6]TABEL HITUNG BESI 1'!G77</f>
        <v>9.516</v>
      </c>
      <c r="Q201" s="3584"/>
      <c r="R201" s="3585"/>
    </row>
    <row r="202" spans="2:18" x14ac:dyDescent="0.2">
      <c r="B202" s="3586">
        <f>[6]RAB!B119</f>
        <v>2</v>
      </c>
      <c r="C202" s="3587" t="str">
        <f>[6]RAB!D119</f>
        <v>Pembesian 1 kg dengan besi polos atau besi ulir</v>
      </c>
      <c r="D202" s="3582"/>
      <c r="E202" s="3582"/>
      <c r="F202" s="3582"/>
      <c r="G202" s="3593"/>
      <c r="H202" s="3583"/>
      <c r="I202" s="3583"/>
      <c r="J202" s="3583"/>
      <c r="K202" s="3583"/>
      <c r="L202" s="3583"/>
      <c r="M202" s="3583"/>
      <c r="N202" s="3591"/>
      <c r="O202" s="3583"/>
      <c r="P202" s="3583"/>
      <c r="Q202" s="3584">
        <f>SUM(P203:P204)</f>
        <v>1212.5413331559116</v>
      </c>
      <c r="R202" s="3585" t="str">
        <f>[6]RAB!H119</f>
        <v>kg</v>
      </c>
    </row>
    <row r="203" spans="2:18" x14ac:dyDescent="0.2">
      <c r="B203" s="3586"/>
      <c r="C203" s="3587"/>
      <c r="D203" s="3582"/>
      <c r="E203" s="3582"/>
      <c r="F203" s="3582"/>
      <c r="G203" s="3593" t="s">
        <v>2064</v>
      </c>
      <c r="H203" s="3583"/>
      <c r="I203" s="3583"/>
      <c r="J203" s="3583"/>
      <c r="K203" s="3583"/>
      <c r="L203" s="3583"/>
      <c r="M203" s="3583"/>
      <c r="N203" s="3603"/>
      <c r="O203" s="3583"/>
      <c r="P203" s="3583">
        <f>'[6]TABEL HITUNG BESI 1'!M77</f>
        <v>610.01150821274086</v>
      </c>
      <c r="Q203" s="3584"/>
      <c r="R203" s="3585"/>
    </row>
    <row r="204" spans="2:18" x14ac:dyDescent="0.2">
      <c r="B204" s="3586"/>
      <c r="C204" s="3587"/>
      <c r="D204" s="3582"/>
      <c r="E204" s="3582"/>
      <c r="F204" s="3582"/>
      <c r="G204" s="3593"/>
      <c r="H204" s="3583"/>
      <c r="I204" s="3583"/>
      <c r="J204" s="3583"/>
      <c r="K204" s="3583"/>
      <c r="L204" s="3583"/>
      <c r="M204" s="3583"/>
      <c r="N204" s="3603"/>
      <c r="O204" s="3591"/>
      <c r="P204" s="3583">
        <f>'[6]TABEL HITUNG BESI 1'!R77</f>
        <v>602.52982494317087</v>
      </c>
      <c r="Q204" s="3584"/>
      <c r="R204" s="3585"/>
    </row>
    <row r="205" spans="2:18" x14ac:dyDescent="0.2">
      <c r="B205" s="3586"/>
      <c r="C205" s="3587"/>
      <c r="D205" s="3582"/>
      <c r="E205" s="3582"/>
      <c r="F205" s="3582"/>
      <c r="G205" s="3593"/>
      <c r="H205" s="3583"/>
      <c r="I205" s="3583"/>
      <c r="J205" s="3583"/>
      <c r="K205" s="3583"/>
      <c r="L205" s="3583"/>
      <c r="M205" s="3583"/>
      <c r="N205" s="3603"/>
      <c r="O205" s="3591"/>
      <c r="P205" s="3583"/>
      <c r="Q205" s="3584"/>
      <c r="R205" s="3585"/>
    </row>
    <row r="206" spans="2:18" x14ac:dyDescent="0.2">
      <c r="B206" s="3586">
        <f>[6]RAB!B120</f>
        <v>3</v>
      </c>
      <c r="C206" s="3587" t="str">
        <f>[6]RAB!D120</f>
        <v>(K3) Memasang bekisting untuk lantai ( 2x pakai )</v>
      </c>
      <c r="D206" s="3582"/>
      <c r="E206" s="3582"/>
      <c r="F206" s="3582"/>
      <c r="G206" s="3593"/>
      <c r="H206" s="3583"/>
      <c r="I206" s="3583"/>
      <c r="J206" s="3583"/>
      <c r="K206" s="3583"/>
      <c r="L206" s="3583"/>
      <c r="M206" s="3583"/>
      <c r="N206" s="3591"/>
      <c r="O206" s="3583"/>
      <c r="P206" s="3583"/>
      <c r="Q206" s="3584">
        <f>P207</f>
        <v>108.73599999999999</v>
      </c>
      <c r="R206" s="3585" t="str">
        <f>[6]RAB!H120</f>
        <v>m2</v>
      </c>
    </row>
    <row r="207" spans="2:18" x14ac:dyDescent="0.2">
      <c r="B207" s="3586"/>
      <c r="C207" s="3587"/>
      <c r="D207" s="3582"/>
      <c r="E207" s="3582"/>
      <c r="F207" s="3582"/>
      <c r="G207" s="3593" t="s">
        <v>2064</v>
      </c>
      <c r="H207" s="3583"/>
      <c r="I207" s="3583"/>
      <c r="J207" s="3583"/>
      <c r="K207" s="3583"/>
      <c r="L207" s="3583"/>
      <c r="M207" s="3583"/>
      <c r="N207" s="3583"/>
      <c r="O207" s="3583"/>
      <c r="P207" s="3583">
        <f>'[6]TABEL HITUNG BESI 1'!H77</f>
        <v>108.73599999999999</v>
      </c>
      <c r="Q207" s="3584"/>
      <c r="R207" s="3585"/>
    </row>
    <row r="208" spans="2:18" x14ac:dyDescent="0.2">
      <c r="B208" s="3586"/>
      <c r="C208" s="3587" t="str">
        <f>[6]RAB!D121</f>
        <v>Plat Lisplang beton</v>
      </c>
      <c r="D208" s="3582"/>
      <c r="E208" s="3582"/>
      <c r="F208" s="3582"/>
      <c r="G208" s="3593"/>
      <c r="H208" s="3583"/>
      <c r="I208" s="3583"/>
      <c r="J208" s="3583"/>
      <c r="K208" s="3583"/>
      <c r="L208" s="3583"/>
      <c r="M208" s="3583"/>
      <c r="N208" s="3583"/>
      <c r="O208" s="3583"/>
      <c r="P208" s="3583"/>
      <c r="Q208" s="3584"/>
      <c r="R208" s="3585"/>
    </row>
    <row r="209" spans="2:18" x14ac:dyDescent="0.2">
      <c r="B209" s="3586">
        <f>[6]RAB!B122</f>
        <v>1</v>
      </c>
      <c r="C209" s="3587" t="str">
        <f>[6]RAB!D122</f>
        <v xml:space="preserve">Membuat beton mutu f'c = 21,7 Mpa </v>
      </c>
      <c r="D209" s="3582"/>
      <c r="E209" s="3582"/>
      <c r="F209" s="3582"/>
      <c r="G209" s="3593"/>
      <c r="H209" s="3583"/>
      <c r="I209" s="3583"/>
      <c r="J209" s="3583"/>
      <c r="K209" s="3583"/>
      <c r="L209" s="3583"/>
      <c r="M209" s="3583"/>
      <c r="N209" s="3583"/>
      <c r="O209" s="3583"/>
      <c r="P209" s="3583"/>
      <c r="Q209" s="3584">
        <f>P210</f>
        <v>9.3940000000000001</v>
      </c>
      <c r="R209" s="3585" t="str">
        <f>[6]RAB!H122</f>
        <v>m3</v>
      </c>
    </row>
    <row r="210" spans="2:18" x14ac:dyDescent="0.2">
      <c r="B210" s="3586"/>
      <c r="C210" s="3587"/>
      <c r="D210" s="3582"/>
      <c r="E210" s="3582"/>
      <c r="F210" s="3582"/>
      <c r="G210" s="3593" t="s">
        <v>2064</v>
      </c>
      <c r="H210" s="3583"/>
      <c r="I210" s="3583"/>
      <c r="J210" s="3583"/>
      <c r="K210" s="3583"/>
      <c r="L210" s="3583"/>
      <c r="M210" s="3583"/>
      <c r="N210" s="3583"/>
      <c r="O210" s="3583"/>
      <c r="P210" s="3583">
        <f>'[6]TABEL HITUNG BESI 1'!G69</f>
        <v>9.3940000000000001</v>
      </c>
      <c r="Q210" s="3584"/>
      <c r="R210" s="3585"/>
    </row>
    <row r="211" spans="2:18" x14ac:dyDescent="0.2">
      <c r="B211" s="3586">
        <f>[6]RAB!B123</f>
        <v>2</v>
      </c>
      <c r="C211" s="3587" t="str">
        <f>[6]RAB!D123</f>
        <v>Pembesian 1 kg dengan besi polos atau besi ulir</v>
      </c>
      <c r="D211" s="3582"/>
      <c r="E211" s="3582"/>
      <c r="F211" s="3582"/>
      <c r="G211" s="3593"/>
      <c r="H211" s="3583"/>
      <c r="I211" s="3583"/>
      <c r="J211" s="3583"/>
      <c r="K211" s="3583"/>
      <c r="L211" s="3583"/>
      <c r="M211" s="3583"/>
      <c r="N211" s="3583"/>
      <c r="O211" s="3583"/>
      <c r="P211" s="3583"/>
      <c r="Q211" s="3584">
        <f>P212</f>
        <v>595.16096804676351</v>
      </c>
      <c r="R211" s="3585" t="str">
        <f>[6]RAB!H123</f>
        <v>kg</v>
      </c>
    </row>
    <row r="212" spans="2:18" x14ac:dyDescent="0.2">
      <c r="B212" s="3586"/>
      <c r="C212" s="3587"/>
      <c r="D212" s="3582"/>
      <c r="E212" s="3582"/>
      <c r="F212" s="3582"/>
      <c r="G212" s="3593" t="s">
        <v>2064</v>
      </c>
      <c r="H212" s="3583"/>
      <c r="I212" s="3583"/>
      <c r="J212" s="3583"/>
      <c r="K212" s="3583"/>
      <c r="L212" s="3583"/>
      <c r="M212" s="3583"/>
      <c r="N212" s="3583"/>
      <c r="O212" s="3583"/>
      <c r="P212" s="3583">
        <f>'[6]TABEL HITUNG BESI 1'!M69+'[6]TABEL HITUNG BESI 1'!R69</f>
        <v>595.16096804676351</v>
      </c>
      <c r="Q212" s="3584"/>
      <c r="R212" s="3585"/>
    </row>
    <row r="213" spans="2:18" x14ac:dyDescent="0.2">
      <c r="B213" s="3586">
        <f>[6]RAB!B124</f>
        <v>3</v>
      </c>
      <c r="C213" s="3587" t="str">
        <f>[6]RAB!D124</f>
        <v>(K3) Memasang bekisting untuk lantai ( 2x pakai )</v>
      </c>
      <c r="D213" s="3582"/>
      <c r="E213" s="3582"/>
      <c r="F213" s="3582"/>
      <c r="G213" s="3593"/>
      <c r="H213" s="3583"/>
      <c r="I213" s="3583"/>
      <c r="J213" s="3583"/>
      <c r="K213" s="3583"/>
      <c r="L213" s="3583"/>
      <c r="M213" s="3583"/>
      <c r="N213" s="3583"/>
      <c r="O213" s="3583"/>
      <c r="P213" s="3583"/>
      <c r="Q213" s="3584">
        <f>P214</f>
        <v>285.63399999999996</v>
      </c>
      <c r="R213" s="3585" t="str">
        <f>[6]RAB!H124</f>
        <v>m2</v>
      </c>
    </row>
    <row r="214" spans="2:18" x14ac:dyDescent="0.2">
      <c r="B214" s="3586"/>
      <c r="C214" s="3587"/>
      <c r="D214" s="3582"/>
      <c r="E214" s="3582"/>
      <c r="F214" s="3582"/>
      <c r="G214" s="3593" t="s">
        <v>2064</v>
      </c>
      <c r="H214" s="3583"/>
      <c r="I214" s="3583"/>
      <c r="J214" s="3583"/>
      <c r="K214" s="3583"/>
      <c r="L214" s="3583"/>
      <c r="M214" s="3583"/>
      <c r="N214" s="3583"/>
      <c r="O214" s="3583"/>
      <c r="P214" s="3583">
        <f>'[6]TABEL HITUNG BESI 1'!H69</f>
        <v>285.63399999999996</v>
      </c>
      <c r="Q214" s="3584"/>
      <c r="R214" s="3585"/>
    </row>
    <row r="215" spans="2:18" x14ac:dyDescent="0.2">
      <c r="B215" s="3586"/>
      <c r="C215" s="3587"/>
      <c r="D215" s="3582"/>
      <c r="E215" s="3582"/>
      <c r="F215" s="3582"/>
      <c r="G215" s="3593"/>
      <c r="H215" s="3583"/>
      <c r="I215" s="3604"/>
      <c r="J215" s="3583"/>
      <c r="K215" s="3583"/>
      <c r="L215" s="3583"/>
      <c r="M215" s="3583"/>
      <c r="N215" s="3583"/>
      <c r="O215" s="3583"/>
      <c r="P215" s="3583"/>
      <c r="Q215" s="3584"/>
      <c r="R215" s="3585"/>
    </row>
    <row r="216" spans="2:18" x14ac:dyDescent="0.2">
      <c r="B216" s="3586"/>
      <c r="C216" s="3581" t="str">
        <f>[6]RAB!D126</f>
        <v>C. BETON KOLOM</v>
      </c>
      <c r="D216" s="3582"/>
      <c r="E216" s="3582"/>
      <c r="F216" s="3582"/>
      <c r="G216" s="3593"/>
      <c r="H216" s="3583"/>
      <c r="I216" s="3604"/>
      <c r="J216" s="3583"/>
      <c r="K216" s="3583"/>
      <c r="L216" s="3583"/>
      <c r="M216" s="3583"/>
      <c r="N216" s="3583"/>
      <c r="O216" s="3583"/>
      <c r="P216" s="3583"/>
      <c r="Q216" s="3584"/>
      <c r="R216" s="3585"/>
    </row>
    <row r="217" spans="2:18" x14ac:dyDescent="0.2">
      <c r="B217" s="3586"/>
      <c r="C217" s="3581" t="str">
        <f>[6]RAB!D127</f>
        <v>PEKERJAAN KOLOM K2 (30 X 40)  Elv. + 4.00</v>
      </c>
      <c r="D217" s="3582"/>
      <c r="E217" s="3582"/>
      <c r="F217" s="3582"/>
      <c r="G217" s="3593"/>
      <c r="H217" s="3583"/>
      <c r="I217" s="3604"/>
      <c r="J217" s="3583"/>
      <c r="K217" s="3583"/>
      <c r="L217" s="3583"/>
      <c r="M217" s="3583"/>
      <c r="N217" s="3583"/>
      <c r="O217" s="3583"/>
      <c r="P217" s="3583"/>
      <c r="Q217" s="3584"/>
      <c r="R217" s="3585"/>
    </row>
    <row r="218" spans="2:18" x14ac:dyDescent="0.2">
      <c r="B218" s="3586">
        <f>[6]RAB!B128</f>
        <v>1</v>
      </c>
      <c r="C218" s="3587" t="str">
        <f>[6]RAB!D128</f>
        <v xml:space="preserve">Membuat beton mutu f'c = 21,7 Mpa </v>
      </c>
      <c r="D218" s="3582"/>
      <c r="E218" s="3582"/>
      <c r="F218" s="3582"/>
      <c r="G218" s="3593"/>
      <c r="H218" s="3583"/>
      <c r="I218" s="3583"/>
      <c r="J218" s="3583"/>
      <c r="K218" s="3583"/>
      <c r="L218" s="3583"/>
      <c r="M218" s="3583"/>
      <c r="N218" s="3583"/>
      <c r="O218" s="3583"/>
      <c r="P218" s="3583"/>
      <c r="Q218" s="3584">
        <f>P219</f>
        <v>14.591999999999999</v>
      </c>
      <c r="R218" s="3585" t="str">
        <f>[6]RAB!H128</f>
        <v>m3</v>
      </c>
    </row>
    <row r="219" spans="2:18" x14ac:dyDescent="0.2">
      <c r="B219" s="3586"/>
      <c r="C219" s="3587"/>
      <c r="D219" s="3582"/>
      <c r="E219" s="3582"/>
      <c r="F219" s="3582"/>
      <c r="G219" s="3593" t="s">
        <v>2064</v>
      </c>
      <c r="H219" s="3583"/>
      <c r="I219" s="3583"/>
      <c r="J219" s="3583"/>
      <c r="K219" s="3583"/>
      <c r="L219" s="3583"/>
      <c r="M219" s="3583"/>
      <c r="N219" s="3583"/>
      <c r="O219" s="3583"/>
      <c r="P219" s="3583">
        <f>'[6]TABEL HITUNG BESI 2'!G95</f>
        <v>14.591999999999999</v>
      </c>
      <c r="Q219" s="3584"/>
      <c r="R219" s="3585"/>
    </row>
    <row r="220" spans="2:18" x14ac:dyDescent="0.2">
      <c r="B220" s="3586">
        <f>[6]RAB!B129</f>
        <v>2</v>
      </c>
      <c r="C220" s="3587" t="str">
        <f>[6]RAB!D129</f>
        <v>Pembesian 1 kg dengan besi polos atau besi ulir</v>
      </c>
      <c r="D220" s="3582"/>
      <c r="E220" s="3582"/>
      <c r="F220" s="3582"/>
      <c r="G220" s="3593"/>
      <c r="H220" s="3583"/>
      <c r="I220" s="3604"/>
      <c r="J220" s="3583"/>
      <c r="K220" s="3583"/>
      <c r="L220" s="3583"/>
      <c r="M220" s="3583"/>
      <c r="N220" s="3583"/>
      <c r="O220" s="3583"/>
      <c r="P220" s="3583"/>
      <c r="Q220" s="3584">
        <f>P221</f>
        <v>2444.9166795612718</v>
      </c>
      <c r="R220" s="3585" t="str">
        <f>[6]RAB!H129</f>
        <v>kg</v>
      </c>
    </row>
    <row r="221" spans="2:18" x14ac:dyDescent="0.2">
      <c r="B221" s="3586"/>
      <c r="C221" s="3587"/>
      <c r="D221" s="3582"/>
      <c r="E221" s="3582"/>
      <c r="F221" s="3582"/>
      <c r="G221" s="3593" t="s">
        <v>2064</v>
      </c>
      <c r="H221" s="3583"/>
      <c r="I221" s="3604"/>
      <c r="J221" s="3583"/>
      <c r="K221" s="3583"/>
      <c r="L221" s="3583"/>
      <c r="M221" s="3583"/>
      <c r="N221" s="3583"/>
      <c r="O221" s="3583"/>
      <c r="P221" s="3583">
        <f>'[6]TABEL HITUNG BESI 2'!K95+'[6]TABEL HITUNG BESI 2'!S95</f>
        <v>2444.9166795612718</v>
      </c>
      <c r="Q221" s="3584"/>
      <c r="R221" s="3585"/>
    </row>
    <row r="222" spans="2:18" x14ac:dyDescent="0.2">
      <c r="B222" s="3586"/>
      <c r="C222" s="3587"/>
      <c r="D222" s="3582"/>
      <c r="E222" s="3582"/>
      <c r="F222" s="3582"/>
      <c r="G222" s="3593"/>
      <c r="H222" s="3583"/>
      <c r="I222" s="3604"/>
      <c r="J222" s="3583"/>
      <c r="K222" s="3583"/>
      <c r="L222" s="3583"/>
      <c r="M222" s="3583"/>
      <c r="N222" s="3583"/>
      <c r="O222" s="3583"/>
      <c r="P222" s="3583"/>
      <c r="Q222" s="3584"/>
      <c r="R222" s="3585"/>
    </row>
    <row r="223" spans="2:18" x14ac:dyDescent="0.2">
      <c r="B223" s="3586">
        <f>[6]RAB!B130</f>
        <v>3</v>
      </c>
      <c r="C223" s="3587" t="str">
        <f>[6]RAB!D130</f>
        <v>(K3) Memasang bekisting untuk kolom ( 2x pakai )</v>
      </c>
      <c r="D223" s="3582"/>
      <c r="E223" s="3582"/>
      <c r="F223" s="3582"/>
      <c r="G223" s="3593"/>
      <c r="H223" s="3583"/>
      <c r="I223" s="3583"/>
      <c r="J223" s="3583"/>
      <c r="K223" s="3583"/>
      <c r="L223" s="3583"/>
      <c r="M223" s="3583"/>
      <c r="N223" s="3583"/>
      <c r="O223" s="3583"/>
      <c r="P223" s="3583"/>
      <c r="Q223" s="3584">
        <f>P224</f>
        <v>72.959999999999994</v>
      </c>
      <c r="R223" s="3585" t="str">
        <f>[6]RAB!H130</f>
        <v>m2</v>
      </c>
    </row>
    <row r="224" spans="2:18" x14ac:dyDescent="0.2">
      <c r="B224" s="3586"/>
      <c r="C224" s="3587"/>
      <c r="D224" s="3582"/>
      <c r="E224" s="3582"/>
      <c r="F224" s="3582"/>
      <c r="G224" s="3593"/>
      <c r="H224" s="3583"/>
      <c r="I224" s="3583"/>
      <c r="J224" s="3583"/>
      <c r="K224" s="3583"/>
      <c r="L224" s="3583"/>
      <c r="M224" s="3583"/>
      <c r="N224" s="3583"/>
      <c r="O224" s="3583"/>
      <c r="P224" s="3583">
        <f>'[6]TABEL HITUNG BESI 2'!H95</f>
        <v>72.959999999999994</v>
      </c>
      <c r="Q224" s="3584"/>
      <c r="R224" s="3585"/>
    </row>
    <row r="225" spans="2:29" x14ac:dyDescent="0.2">
      <c r="B225" s="3586"/>
      <c r="C225" s="3587"/>
      <c r="D225" s="3582"/>
      <c r="E225" s="3582"/>
      <c r="F225" s="3582"/>
      <c r="G225" s="3593"/>
      <c r="H225" s="3583"/>
      <c r="I225" s="3604"/>
      <c r="J225" s="3583"/>
      <c r="K225" s="3583"/>
      <c r="L225" s="3583"/>
      <c r="M225" s="3583"/>
      <c r="N225" s="3583"/>
      <c r="O225" s="3583"/>
      <c r="P225" s="3583"/>
      <c r="Q225" s="3584"/>
      <c r="R225" s="3585"/>
    </row>
    <row r="226" spans="2:29" x14ac:dyDescent="0.2">
      <c r="B226" s="3592">
        <f>[6]RAB!B132</f>
        <v>0</v>
      </c>
      <c r="C226" s="3581" t="str">
        <f>[6]RAB!D132</f>
        <v>D. BETON PRAKTIS</v>
      </c>
      <c r="D226" s="3582"/>
      <c r="E226" s="3582"/>
      <c r="F226" s="3582"/>
      <c r="G226" s="3593"/>
      <c r="H226" s="3583"/>
      <c r="I226" s="3583"/>
      <c r="J226" s="3583"/>
      <c r="K226" s="3583"/>
      <c r="L226" s="3583"/>
      <c r="M226" s="3583"/>
      <c r="N226" s="3591"/>
      <c r="O226" s="3583"/>
      <c r="P226" s="3583"/>
      <c r="Q226" s="3584"/>
      <c r="R226" s="3585"/>
    </row>
    <row r="227" spans="2:29" x14ac:dyDescent="0.2">
      <c r="B227" s="3586">
        <f>[6]RAB!B133</f>
        <v>1</v>
      </c>
      <c r="C227" s="3587" t="str">
        <f>[6]RAB!D133</f>
        <v>Membuat kolom praktis beton bertulang 11/11 cm</v>
      </c>
      <c r="D227" s="3582"/>
      <c r="E227" s="3582"/>
      <c r="F227" s="3582"/>
      <c r="G227" s="3593"/>
      <c r="H227" s="3583">
        <v>3.8</v>
      </c>
      <c r="I227" s="3583" t="s">
        <v>424</v>
      </c>
      <c r="J227" s="3583">
        <v>40</v>
      </c>
      <c r="K227" s="3583"/>
      <c r="L227" s="3583"/>
      <c r="M227" s="3583"/>
      <c r="N227" s="3591"/>
      <c r="O227" s="3583"/>
      <c r="P227" s="3583">
        <f>H227*J227</f>
        <v>152</v>
      </c>
      <c r="Q227" s="3584">
        <f>P227</f>
        <v>152</v>
      </c>
      <c r="R227" s="3585" t="str">
        <f>[6]RAB!H133</f>
        <v>m'</v>
      </c>
    </row>
    <row r="228" spans="2:29" x14ac:dyDescent="0.2">
      <c r="B228" s="3586">
        <f>[6]RAB!B134</f>
        <v>2</v>
      </c>
      <c r="C228" s="3587" t="str">
        <f>[6]RAB!D134</f>
        <v>Membuat balok latei ( 10 x 15 ) cm</v>
      </c>
      <c r="D228" s="3582"/>
      <c r="E228" s="3582"/>
      <c r="F228" s="3582"/>
      <c r="G228" s="3593"/>
      <c r="H228" s="3583">
        <f>(35*2)+(21*2)+(3*2)+(7*2)</f>
        <v>132</v>
      </c>
      <c r="I228" s="3583"/>
      <c r="J228" s="3583"/>
      <c r="K228" s="3583"/>
      <c r="L228" s="3583"/>
      <c r="M228" s="3583"/>
      <c r="N228" s="3591"/>
      <c r="O228" s="3583"/>
      <c r="P228" s="3583">
        <f>H228</f>
        <v>132</v>
      </c>
      <c r="Q228" s="3584">
        <f>P228</f>
        <v>132</v>
      </c>
      <c r="R228" s="3585" t="str">
        <f>[6]RAB!H134</f>
        <v>m'</v>
      </c>
    </row>
    <row r="229" spans="2:29" x14ac:dyDescent="0.2">
      <c r="B229" s="3592"/>
      <c r="C229" s="3581"/>
      <c r="D229" s="3582"/>
      <c r="E229" s="3582"/>
      <c r="F229" s="3582"/>
      <c r="G229" s="3593"/>
      <c r="H229" s="3583"/>
      <c r="I229" s="3583"/>
      <c r="J229" s="3583"/>
      <c r="K229" s="3583"/>
      <c r="L229" s="3583"/>
      <c r="M229" s="3583"/>
      <c r="N229" s="3591"/>
      <c r="O229" s="3583"/>
      <c r="P229" s="3583"/>
      <c r="Q229" s="3584"/>
      <c r="R229" s="3585"/>
    </row>
    <row r="230" spans="2:29" x14ac:dyDescent="0.2">
      <c r="B230" s="3592" t="str">
        <f>[6]RAB!B137</f>
        <v>E.</v>
      </c>
      <c r="C230" s="3581" t="str">
        <f>[6]RAB!D137</f>
        <v>PEKERJAAN PASANGAN DINDING DAN PLASTERAN</v>
      </c>
      <c r="D230" s="3582"/>
      <c r="E230" s="3582"/>
      <c r="F230" s="3582"/>
      <c r="G230" s="3593"/>
      <c r="H230" s="3583"/>
      <c r="I230" s="3583"/>
      <c r="J230" s="3583"/>
      <c r="K230" s="3583"/>
      <c r="L230" s="3583"/>
      <c r="M230" s="3583"/>
      <c r="N230" s="3583"/>
      <c r="O230" s="3583"/>
      <c r="P230" s="3583"/>
      <c r="Q230" s="3584"/>
      <c r="R230" s="3585"/>
    </row>
    <row r="231" spans="2:29" x14ac:dyDescent="0.2">
      <c r="B231" s="3592"/>
      <c r="C231" s="3581" t="str">
        <f>[6]RAB!D138</f>
        <v>LANTAI 1</v>
      </c>
      <c r="D231" s="3582"/>
      <c r="E231" s="3582"/>
      <c r="F231" s="3582"/>
      <c r="G231" s="3593"/>
      <c r="H231" s="3583"/>
      <c r="I231" s="3583"/>
      <c r="J231" s="3583"/>
      <c r="K231" s="3583"/>
      <c r="L231" s="3583"/>
      <c r="M231" s="3583"/>
      <c r="N231" s="3583"/>
      <c r="O231" s="3583"/>
      <c r="P231" s="3583"/>
      <c r="Q231" s="3584"/>
      <c r="R231" s="3585"/>
    </row>
    <row r="232" spans="2:29" x14ac:dyDescent="0.2">
      <c r="B232" s="3586">
        <f>[6]RAB!B139</f>
        <v>1</v>
      </c>
      <c r="C232" s="3587" t="str">
        <f>[6]RAB!D139</f>
        <v>Membuat dinding bata merah tebal 1/2 bata , camp 1 PC : 6 PP</v>
      </c>
      <c r="D232" s="3582"/>
      <c r="E232" s="3582"/>
      <c r="F232" s="3582"/>
      <c r="G232" s="3593"/>
      <c r="H232" s="3583"/>
      <c r="I232" s="3583"/>
      <c r="J232" s="3583"/>
      <c r="K232" s="3583"/>
      <c r="L232" s="3583"/>
      <c r="M232" s="3583"/>
      <c r="N232" s="3583"/>
      <c r="O232" s="3583"/>
      <c r="P232" s="3583"/>
      <c r="Q232" s="3584">
        <f>Q233-Q251</f>
        <v>549.26</v>
      </c>
      <c r="R232" s="3585" t="str">
        <f>[6]RAB!H139</f>
        <v>m2</v>
      </c>
    </row>
    <row r="233" spans="2:29" x14ac:dyDescent="0.2">
      <c r="B233" s="3586"/>
      <c r="C233" s="3587"/>
      <c r="D233" s="3582"/>
      <c r="E233" s="3582"/>
      <c r="F233" s="3582"/>
      <c r="G233" s="3593" t="s">
        <v>2066</v>
      </c>
      <c r="H233" s="3583">
        <v>35.5</v>
      </c>
      <c r="I233" s="3583" t="s">
        <v>424</v>
      </c>
      <c r="J233" s="3583">
        <v>3.45</v>
      </c>
      <c r="K233" s="3583"/>
      <c r="L233" s="3583"/>
      <c r="M233" s="3583"/>
      <c r="N233" s="3583"/>
      <c r="O233" s="3583"/>
      <c r="P233" s="3583">
        <f>H233*J233</f>
        <v>122.47500000000001</v>
      </c>
      <c r="Q233" s="3584">
        <f>SUM(P233:P250)</f>
        <v>720.36</v>
      </c>
      <c r="R233" s="3585"/>
      <c r="U233" s="3605"/>
      <c r="V233" s="3606"/>
      <c r="W233" s="3607"/>
      <c r="X233" s="3606"/>
      <c r="Z233" s="3605"/>
      <c r="AA233" s="3607"/>
      <c r="AB233" s="3607"/>
      <c r="AC233" s="3606"/>
    </row>
    <row r="234" spans="2:29" x14ac:dyDescent="0.2">
      <c r="B234" s="3586"/>
      <c r="C234" s="3587"/>
      <c r="D234" s="3582"/>
      <c r="E234" s="3582"/>
      <c r="F234" s="3582"/>
      <c r="G234" s="3593" t="s">
        <v>2067</v>
      </c>
      <c r="H234" s="3583">
        <f>3.15*2</f>
        <v>6.3</v>
      </c>
      <c r="I234" s="3583" t="s">
        <v>424</v>
      </c>
      <c r="J234" s="3583">
        <f>$J$233</f>
        <v>3.45</v>
      </c>
      <c r="K234" s="3583"/>
      <c r="L234" s="3583"/>
      <c r="M234" s="3583"/>
      <c r="N234" s="3583"/>
      <c r="O234" s="3583"/>
      <c r="P234" s="3583">
        <f t="shared" ref="P234:P249" si="2">H234*J234</f>
        <v>21.734999999999999</v>
      </c>
      <c r="Q234" s="3584"/>
      <c r="R234" s="3585"/>
      <c r="U234" s="3605"/>
      <c r="V234" s="3606"/>
      <c r="W234" s="3607"/>
      <c r="X234" s="3606"/>
      <c r="Z234" s="3605"/>
      <c r="AA234" s="3607"/>
      <c r="AB234" s="3607"/>
      <c r="AC234" s="3606"/>
    </row>
    <row r="235" spans="2:29" x14ac:dyDescent="0.2">
      <c r="B235" s="3586"/>
      <c r="C235" s="3587"/>
      <c r="D235" s="3582"/>
      <c r="E235" s="3582"/>
      <c r="F235" s="3582"/>
      <c r="G235" s="3593" t="s">
        <v>2068</v>
      </c>
      <c r="H235" s="3583">
        <v>3</v>
      </c>
      <c r="I235" s="3583" t="s">
        <v>424</v>
      </c>
      <c r="J235" s="3583">
        <f t="shared" ref="J235:J250" si="3">$J$233</f>
        <v>3.45</v>
      </c>
      <c r="K235" s="3583"/>
      <c r="L235" s="3583"/>
      <c r="M235" s="3583"/>
      <c r="N235" s="3583"/>
      <c r="O235" s="3583"/>
      <c r="P235" s="3583">
        <f t="shared" si="2"/>
        <v>10.350000000000001</v>
      </c>
      <c r="Q235" s="3584"/>
      <c r="R235" s="3585"/>
      <c r="U235" s="3605"/>
      <c r="V235" s="3606"/>
      <c r="W235" s="3607"/>
      <c r="X235" s="3606"/>
      <c r="Z235" s="3605"/>
      <c r="AA235" s="3607"/>
      <c r="AB235" s="3607"/>
      <c r="AC235" s="3606"/>
    </row>
    <row r="236" spans="2:29" x14ac:dyDescent="0.2">
      <c r="B236" s="3586"/>
      <c r="C236" s="3587"/>
      <c r="D236" s="3582"/>
      <c r="E236" s="3582"/>
      <c r="F236" s="3582"/>
      <c r="G236" s="3593" t="s">
        <v>2069</v>
      </c>
      <c r="H236" s="3583">
        <f>3+3+3</f>
        <v>9</v>
      </c>
      <c r="I236" s="3583" t="s">
        <v>424</v>
      </c>
      <c r="J236" s="3583">
        <f t="shared" si="3"/>
        <v>3.45</v>
      </c>
      <c r="K236" s="3583"/>
      <c r="L236" s="3583"/>
      <c r="M236" s="3583"/>
      <c r="N236" s="3583"/>
      <c r="O236" s="3583"/>
      <c r="P236" s="3583">
        <f t="shared" si="2"/>
        <v>31.05</v>
      </c>
      <c r="Q236" s="3584"/>
      <c r="R236" s="3585"/>
      <c r="U236" s="3605"/>
      <c r="V236" s="3606"/>
      <c r="W236" s="3607"/>
      <c r="X236" s="3606"/>
      <c r="Z236" s="3605"/>
      <c r="AA236" s="3607"/>
      <c r="AB236" s="3607"/>
      <c r="AC236" s="3606"/>
    </row>
    <row r="237" spans="2:29" x14ac:dyDescent="0.2">
      <c r="B237" s="3586"/>
      <c r="C237" s="3587"/>
      <c r="D237" s="3582"/>
      <c r="E237" s="3582"/>
      <c r="F237" s="3582"/>
      <c r="G237" s="3593" t="s">
        <v>2070</v>
      </c>
      <c r="H237" s="3583">
        <v>3</v>
      </c>
      <c r="I237" s="3583" t="s">
        <v>424</v>
      </c>
      <c r="J237" s="3583">
        <f t="shared" si="3"/>
        <v>3.45</v>
      </c>
      <c r="K237" s="3583"/>
      <c r="L237" s="3583"/>
      <c r="M237" s="3583"/>
      <c r="N237" s="3583"/>
      <c r="O237" s="3583"/>
      <c r="P237" s="3583">
        <f>H237*J237</f>
        <v>10.350000000000001</v>
      </c>
      <c r="Q237" s="3584"/>
      <c r="R237" s="3585"/>
      <c r="U237" s="3605"/>
      <c r="V237" s="3606"/>
      <c r="W237" s="3607"/>
      <c r="X237" s="3606"/>
      <c r="Z237" s="3605"/>
      <c r="AA237" s="3607"/>
      <c r="AB237" s="3607"/>
      <c r="AC237" s="3606"/>
    </row>
    <row r="238" spans="2:29" x14ac:dyDescent="0.2">
      <c r="B238" s="3586"/>
      <c r="C238" s="3587"/>
      <c r="D238" s="3582"/>
      <c r="E238" s="3582"/>
      <c r="F238" s="3582"/>
      <c r="G238" s="3593" t="s">
        <v>2071</v>
      </c>
      <c r="H238" s="3583">
        <f>3+3+3</f>
        <v>9</v>
      </c>
      <c r="I238" s="3583" t="s">
        <v>424</v>
      </c>
      <c r="J238" s="3583">
        <f t="shared" si="3"/>
        <v>3.45</v>
      </c>
      <c r="K238" s="3583"/>
      <c r="L238" s="3583"/>
      <c r="M238" s="3583"/>
      <c r="N238" s="3583"/>
      <c r="O238" s="3583"/>
      <c r="P238" s="3583">
        <f>H238*J238</f>
        <v>31.05</v>
      </c>
      <c r="Q238" s="3584"/>
      <c r="R238" s="3585"/>
      <c r="U238" s="3605"/>
      <c r="V238" s="3606"/>
      <c r="W238" s="3607"/>
      <c r="X238" s="3606"/>
      <c r="Z238" s="3605"/>
      <c r="AA238" s="3607"/>
      <c r="AB238" s="3607"/>
      <c r="AC238" s="3606"/>
    </row>
    <row r="239" spans="2:29" x14ac:dyDescent="0.2">
      <c r="B239" s="3586"/>
      <c r="C239" s="3587"/>
      <c r="D239" s="3582"/>
      <c r="E239" s="3582"/>
      <c r="F239" s="3582"/>
      <c r="G239" s="3593" t="s">
        <v>2072</v>
      </c>
      <c r="H239" s="3583">
        <v>35.5</v>
      </c>
      <c r="I239" s="3583" t="s">
        <v>424</v>
      </c>
      <c r="J239" s="3583">
        <f t="shared" si="3"/>
        <v>3.45</v>
      </c>
      <c r="K239" s="3583"/>
      <c r="L239" s="3583"/>
      <c r="M239" s="3583"/>
      <c r="N239" s="3583"/>
      <c r="O239" s="3583"/>
      <c r="P239" s="3583">
        <f t="shared" si="2"/>
        <v>122.47500000000001</v>
      </c>
      <c r="Q239" s="3584"/>
      <c r="R239" s="3585"/>
      <c r="U239" s="3605"/>
      <c r="V239" s="3606"/>
      <c r="W239" s="3607"/>
      <c r="X239" s="3606"/>
      <c r="Z239" s="3605"/>
      <c r="AA239" s="3607"/>
      <c r="AB239" s="3607"/>
      <c r="AC239" s="3606"/>
    </row>
    <row r="240" spans="2:29" x14ac:dyDescent="0.2">
      <c r="B240" s="3586"/>
      <c r="C240" s="3587"/>
      <c r="D240" s="3582"/>
      <c r="E240" s="3582"/>
      <c r="F240" s="3582"/>
      <c r="G240" s="3593" t="s">
        <v>2073</v>
      </c>
      <c r="H240" s="3583">
        <v>21</v>
      </c>
      <c r="I240" s="3583" t="s">
        <v>424</v>
      </c>
      <c r="J240" s="3583">
        <f t="shared" si="3"/>
        <v>3.45</v>
      </c>
      <c r="K240" s="3583"/>
      <c r="L240" s="3583"/>
      <c r="M240" s="3583"/>
      <c r="N240" s="3583"/>
      <c r="O240" s="3583"/>
      <c r="P240" s="3583">
        <f t="shared" si="2"/>
        <v>72.45</v>
      </c>
      <c r="Q240" s="3584"/>
      <c r="R240" s="3585"/>
      <c r="U240" s="3605"/>
      <c r="V240" s="3606"/>
      <c r="W240" s="3607"/>
      <c r="X240" s="3605"/>
      <c r="Y240" s="3606"/>
      <c r="Z240" s="3605"/>
      <c r="AA240" s="3606"/>
      <c r="AB240" s="3607"/>
      <c r="AC240" s="3606"/>
    </row>
    <row r="241" spans="2:29" x14ac:dyDescent="0.2">
      <c r="B241" s="3586"/>
      <c r="C241" s="3587"/>
      <c r="D241" s="3582"/>
      <c r="E241" s="3582"/>
      <c r="F241" s="3582"/>
      <c r="G241" s="3593" t="s">
        <v>2074</v>
      </c>
      <c r="H241" s="3583">
        <f>2+2</f>
        <v>4</v>
      </c>
      <c r="I241" s="3583" t="s">
        <v>424</v>
      </c>
      <c r="J241" s="3583">
        <f t="shared" si="3"/>
        <v>3.45</v>
      </c>
      <c r="K241" s="3583"/>
      <c r="L241" s="3583"/>
      <c r="M241" s="3583"/>
      <c r="N241" s="3583"/>
      <c r="O241" s="3583"/>
      <c r="P241" s="3583">
        <f>H241*J241</f>
        <v>13.8</v>
      </c>
      <c r="Q241" s="3584"/>
      <c r="R241" s="3585"/>
      <c r="U241" s="3605"/>
      <c r="V241" s="3606"/>
      <c r="W241" s="3607"/>
      <c r="X241" s="3605"/>
      <c r="Y241" s="3606"/>
      <c r="Z241" s="3605"/>
      <c r="AA241" s="3606"/>
      <c r="AB241" s="3607"/>
      <c r="AC241" s="3606"/>
    </row>
    <row r="242" spans="2:29" x14ac:dyDescent="0.2">
      <c r="B242" s="3586"/>
      <c r="C242" s="3587"/>
      <c r="D242" s="3582"/>
      <c r="E242" s="3582"/>
      <c r="F242" s="3582"/>
      <c r="G242" s="3593" t="s">
        <v>2075</v>
      </c>
      <c r="H242" s="3583">
        <f>2</f>
        <v>2</v>
      </c>
      <c r="I242" s="3583" t="s">
        <v>424</v>
      </c>
      <c r="J242" s="3583">
        <f t="shared" si="3"/>
        <v>3.45</v>
      </c>
      <c r="K242" s="3583"/>
      <c r="L242" s="3583"/>
      <c r="M242" s="3583"/>
      <c r="N242" s="3583"/>
      <c r="O242" s="3583"/>
      <c r="P242" s="3583">
        <f>H242*J242</f>
        <v>6.9</v>
      </c>
      <c r="Q242" s="3584"/>
      <c r="R242" s="3585"/>
      <c r="U242" s="3605"/>
      <c r="V242" s="3606"/>
      <c r="W242" s="3607"/>
      <c r="X242" s="3605"/>
      <c r="Y242" s="3606"/>
      <c r="Z242" s="3605"/>
      <c r="AA242" s="3606"/>
      <c r="AB242" s="3607"/>
      <c r="AC242" s="3606"/>
    </row>
    <row r="243" spans="2:29" x14ac:dyDescent="0.2">
      <c r="B243" s="3586"/>
      <c r="C243" s="3587"/>
      <c r="D243" s="3582"/>
      <c r="E243" s="3582"/>
      <c r="F243" s="3582"/>
      <c r="G243" s="3593" t="s">
        <v>2076</v>
      </c>
      <c r="H243" s="3583">
        <f>2+9</f>
        <v>11</v>
      </c>
      <c r="I243" s="3583" t="s">
        <v>424</v>
      </c>
      <c r="J243" s="3583">
        <f t="shared" si="3"/>
        <v>3.45</v>
      </c>
      <c r="K243" s="3583"/>
      <c r="L243" s="3583"/>
      <c r="M243" s="3583"/>
      <c r="N243" s="3583"/>
      <c r="O243" s="3583"/>
      <c r="P243" s="3583">
        <f t="shared" si="2"/>
        <v>37.950000000000003</v>
      </c>
      <c r="Q243" s="3584"/>
      <c r="R243" s="3585"/>
      <c r="U243" s="3605"/>
      <c r="V243" s="3606"/>
      <c r="W243" s="3607"/>
      <c r="X243" s="3605"/>
      <c r="Y243" s="3606"/>
      <c r="Z243" s="3605"/>
      <c r="AA243" s="3606"/>
      <c r="AB243" s="3607"/>
      <c r="AC243" s="3606"/>
    </row>
    <row r="244" spans="2:29" x14ac:dyDescent="0.2">
      <c r="B244" s="3586"/>
      <c r="C244" s="3587"/>
      <c r="D244" s="3582"/>
      <c r="E244" s="3582"/>
      <c r="F244" s="3582"/>
      <c r="G244" s="3593" t="s">
        <v>2077</v>
      </c>
      <c r="H244" s="3583">
        <f>3</f>
        <v>3</v>
      </c>
      <c r="I244" s="3583" t="s">
        <v>424</v>
      </c>
      <c r="J244" s="3583">
        <f t="shared" si="3"/>
        <v>3.45</v>
      </c>
      <c r="K244" s="3583"/>
      <c r="L244" s="3583"/>
      <c r="M244" s="3583"/>
      <c r="N244" s="3583"/>
      <c r="O244" s="3583"/>
      <c r="P244" s="3583">
        <f t="shared" si="2"/>
        <v>10.350000000000001</v>
      </c>
      <c r="Q244" s="3584"/>
      <c r="R244" s="3585"/>
      <c r="U244" s="3605"/>
      <c r="V244" s="3606"/>
      <c r="W244" s="3607"/>
      <c r="X244" s="3605"/>
      <c r="Y244" s="3606"/>
      <c r="Z244" s="3605"/>
      <c r="AA244" s="3606"/>
      <c r="AB244" s="3607"/>
      <c r="AC244" s="3606"/>
    </row>
    <row r="245" spans="2:29" x14ac:dyDescent="0.2">
      <c r="B245" s="3586"/>
      <c r="C245" s="3587"/>
      <c r="D245" s="3582"/>
      <c r="E245" s="3582"/>
      <c r="F245" s="3582"/>
      <c r="G245" s="3593" t="s">
        <v>2078</v>
      </c>
      <c r="H245" s="3583">
        <f>9+4.25</f>
        <v>13.25</v>
      </c>
      <c r="I245" s="3583" t="s">
        <v>424</v>
      </c>
      <c r="J245" s="3583">
        <f t="shared" si="3"/>
        <v>3.45</v>
      </c>
      <c r="K245" s="3583"/>
      <c r="L245" s="3583"/>
      <c r="M245" s="3583"/>
      <c r="N245" s="3583"/>
      <c r="O245" s="3583"/>
      <c r="P245" s="3583">
        <f t="shared" si="2"/>
        <v>45.712500000000006</v>
      </c>
      <c r="Q245" s="3584"/>
      <c r="R245" s="3585"/>
      <c r="U245" s="3605"/>
      <c r="V245" s="3606"/>
      <c r="W245" s="3607"/>
      <c r="X245" s="3605"/>
      <c r="Y245" s="3606"/>
      <c r="Z245" s="3605"/>
      <c r="AA245" s="3606"/>
      <c r="AB245" s="3607"/>
      <c r="AC245" s="3606"/>
    </row>
    <row r="246" spans="2:29" x14ac:dyDescent="0.2">
      <c r="B246" s="3586"/>
      <c r="C246" s="3587"/>
      <c r="D246" s="3582"/>
      <c r="E246" s="3582"/>
      <c r="F246" s="3582"/>
      <c r="G246" s="3593" t="s">
        <v>2079</v>
      </c>
      <c r="H246" s="3583">
        <f>1.2*2</f>
        <v>2.4</v>
      </c>
      <c r="I246" s="3583" t="s">
        <v>424</v>
      </c>
      <c r="J246" s="3583">
        <f t="shared" si="3"/>
        <v>3.45</v>
      </c>
      <c r="K246" s="3583"/>
      <c r="L246" s="3583"/>
      <c r="M246" s="3583"/>
      <c r="N246" s="3583"/>
      <c r="O246" s="3583"/>
      <c r="P246" s="3583">
        <f t="shared" si="2"/>
        <v>8.2799999999999994</v>
      </c>
      <c r="Q246" s="3584"/>
      <c r="R246" s="3585"/>
      <c r="U246" s="3605"/>
      <c r="V246" s="3606"/>
      <c r="W246" s="3607"/>
      <c r="X246" s="3605"/>
      <c r="Y246" s="3606"/>
      <c r="Z246" s="3605"/>
      <c r="AA246" s="3606"/>
      <c r="AB246" s="3607"/>
      <c r="AC246" s="3606"/>
    </row>
    <row r="247" spans="2:29" x14ac:dyDescent="0.2">
      <c r="B247" s="3586"/>
      <c r="C247" s="3587"/>
      <c r="D247" s="3582"/>
      <c r="E247" s="3582"/>
      <c r="F247" s="3582"/>
      <c r="G247" s="3593" t="s">
        <v>2080</v>
      </c>
      <c r="H247" s="3583">
        <f>9+4.25+1.75+1.75</f>
        <v>16.75</v>
      </c>
      <c r="I247" s="3583" t="s">
        <v>424</v>
      </c>
      <c r="J247" s="3583">
        <f t="shared" si="3"/>
        <v>3.45</v>
      </c>
      <c r="K247" s="3583"/>
      <c r="L247" s="3583"/>
      <c r="M247" s="3583"/>
      <c r="N247" s="3583"/>
      <c r="O247" s="3583"/>
      <c r="P247" s="3583">
        <f t="shared" si="2"/>
        <v>57.787500000000001</v>
      </c>
      <c r="Q247" s="3584"/>
      <c r="R247" s="3585"/>
      <c r="U247" s="3605"/>
      <c r="V247" s="3606"/>
      <c r="W247" s="3607"/>
      <c r="X247" s="3605"/>
      <c r="Y247" s="3606"/>
      <c r="Z247" s="3605"/>
      <c r="AA247" s="3606"/>
      <c r="AB247" s="3607"/>
      <c r="AC247" s="3606"/>
    </row>
    <row r="248" spans="2:29" x14ac:dyDescent="0.2">
      <c r="B248" s="3586"/>
      <c r="C248" s="3587"/>
      <c r="D248" s="3582"/>
      <c r="E248" s="3582"/>
      <c r="F248" s="3582"/>
      <c r="G248" s="3593" t="s">
        <v>2081</v>
      </c>
      <c r="H248" s="3583">
        <f>4.5+4.6</f>
        <v>9.1</v>
      </c>
      <c r="I248" s="3583" t="s">
        <v>424</v>
      </c>
      <c r="J248" s="3583">
        <f t="shared" si="3"/>
        <v>3.45</v>
      </c>
      <c r="K248" s="3583"/>
      <c r="L248" s="3583"/>
      <c r="M248" s="3583"/>
      <c r="N248" s="3583"/>
      <c r="O248" s="3583"/>
      <c r="P248" s="3583">
        <f t="shared" si="2"/>
        <v>31.395</v>
      </c>
      <c r="Q248" s="3584"/>
      <c r="R248" s="3585"/>
      <c r="U248" s="3605"/>
      <c r="V248" s="3606"/>
      <c r="W248" s="3607"/>
      <c r="X248" s="3605"/>
      <c r="Y248" s="3606"/>
      <c r="Z248" s="3605"/>
      <c r="AA248" s="3606"/>
      <c r="AB248" s="3607"/>
      <c r="AC248" s="3606"/>
    </row>
    <row r="249" spans="2:29" x14ac:dyDescent="0.2">
      <c r="B249" s="3586"/>
      <c r="C249" s="3587"/>
      <c r="D249" s="3582"/>
      <c r="E249" s="3582"/>
      <c r="F249" s="3582"/>
      <c r="G249" s="3593" t="s">
        <v>2082</v>
      </c>
      <c r="H249" s="3583">
        <v>4</v>
      </c>
      <c r="I249" s="3583" t="s">
        <v>424</v>
      </c>
      <c r="J249" s="3583">
        <f t="shared" si="3"/>
        <v>3.45</v>
      </c>
      <c r="K249" s="3583"/>
      <c r="L249" s="3583"/>
      <c r="M249" s="3583"/>
      <c r="N249" s="3583"/>
      <c r="O249" s="3583"/>
      <c r="P249" s="3583">
        <f t="shared" si="2"/>
        <v>13.8</v>
      </c>
      <c r="Q249" s="3584"/>
      <c r="R249" s="3585"/>
      <c r="U249" s="3605"/>
      <c r="V249" s="3606"/>
      <c r="W249" s="3607"/>
      <c r="X249" s="3605"/>
      <c r="Y249" s="3606"/>
      <c r="Z249" s="3605"/>
      <c r="AA249" s="3606"/>
      <c r="AB249" s="3607"/>
      <c r="AC249" s="3606"/>
    </row>
    <row r="250" spans="2:29" x14ac:dyDescent="0.2">
      <c r="B250" s="3586"/>
      <c r="C250" s="3587"/>
      <c r="D250" s="3582"/>
      <c r="E250" s="3582"/>
      <c r="F250" s="3582"/>
      <c r="G250" s="3593" t="s">
        <v>2083</v>
      </c>
      <c r="H250" s="3583">
        <v>21</v>
      </c>
      <c r="I250" s="3583" t="s">
        <v>424</v>
      </c>
      <c r="J250" s="3583">
        <f t="shared" si="3"/>
        <v>3.45</v>
      </c>
      <c r="K250" s="3583"/>
      <c r="L250" s="3583"/>
      <c r="M250" s="3583"/>
      <c r="N250" s="3583"/>
      <c r="O250" s="3583"/>
      <c r="P250" s="3583">
        <f>H250*J250</f>
        <v>72.45</v>
      </c>
      <c r="Q250" s="3584"/>
      <c r="R250" s="3585"/>
      <c r="U250" s="3605"/>
      <c r="V250" s="3606"/>
      <c r="W250" s="3607"/>
      <c r="X250" s="3605"/>
      <c r="Y250" s="3606"/>
      <c r="Z250" s="3605"/>
      <c r="AA250" s="3606"/>
      <c r="AB250" s="3607"/>
      <c r="AC250" s="3606"/>
    </row>
    <row r="251" spans="2:29" s="3615" customFormat="1" x14ac:dyDescent="0.2">
      <c r="B251" s="3608"/>
      <c r="C251" s="3609"/>
      <c r="D251" s="3610"/>
      <c r="E251" s="3610"/>
      <c r="F251" s="3610"/>
      <c r="G251" s="3611" t="s">
        <v>2084</v>
      </c>
      <c r="H251" s="3612"/>
      <c r="I251" s="3612"/>
      <c r="J251" s="3612"/>
      <c r="K251" s="3612"/>
      <c r="L251" s="3612"/>
      <c r="M251" s="3612"/>
      <c r="N251" s="3612"/>
      <c r="O251" s="3612"/>
      <c r="P251" s="3612"/>
      <c r="Q251" s="3613">
        <f>SUM(P252:P260)</f>
        <v>171.10000000000002</v>
      </c>
      <c r="R251" s="3614"/>
      <c r="U251" s="3616"/>
      <c r="V251" s="3617"/>
      <c r="W251" s="3618"/>
      <c r="X251" s="3616"/>
      <c r="Y251" s="3617"/>
      <c r="Z251" s="3616"/>
      <c r="AA251" s="3617"/>
      <c r="AB251" s="3618"/>
      <c r="AC251" s="3617"/>
    </row>
    <row r="252" spans="2:29" s="3615" customFormat="1" x14ac:dyDescent="0.2">
      <c r="B252" s="3608"/>
      <c r="C252" s="3609"/>
      <c r="D252" s="3610"/>
      <c r="E252" s="3610"/>
      <c r="F252" s="3610"/>
      <c r="G252" s="3611" t="s">
        <v>1132</v>
      </c>
      <c r="H252" s="3612">
        <v>24</v>
      </c>
      <c r="I252" s="3612" t="s">
        <v>424</v>
      </c>
      <c r="J252" s="3612">
        <v>2.2999999999999998</v>
      </c>
      <c r="K252" s="3612" t="s">
        <v>424</v>
      </c>
      <c r="L252" s="3612">
        <v>2.1</v>
      </c>
      <c r="M252" s="3612"/>
      <c r="N252" s="3612"/>
      <c r="O252" s="3612"/>
      <c r="P252" s="3612">
        <f>H252*J252*L252</f>
        <v>115.92</v>
      </c>
      <c r="Q252" s="3613"/>
      <c r="R252" s="3614"/>
      <c r="U252" s="3616"/>
      <c r="V252" s="3617"/>
      <c r="W252" s="3618"/>
      <c r="X252" s="3616"/>
      <c r="Y252" s="3617"/>
      <c r="Z252" s="3616"/>
      <c r="AA252" s="3617"/>
      <c r="AB252" s="3618"/>
      <c r="AC252" s="3617"/>
    </row>
    <row r="253" spans="2:29" s="3615" customFormat="1" x14ac:dyDescent="0.2">
      <c r="B253" s="3608"/>
      <c r="C253" s="3609"/>
      <c r="D253" s="3610"/>
      <c r="E253" s="3610"/>
      <c r="F253" s="3610"/>
      <c r="G253" s="3611" t="s">
        <v>2085</v>
      </c>
      <c r="H253" s="3612">
        <v>1</v>
      </c>
      <c r="I253" s="3612" t="s">
        <v>424</v>
      </c>
      <c r="J253" s="3612">
        <v>1</v>
      </c>
      <c r="K253" s="3612" t="s">
        <v>424</v>
      </c>
      <c r="L253" s="3612">
        <v>2.7</v>
      </c>
      <c r="M253" s="3612"/>
      <c r="N253" s="3612"/>
      <c r="O253" s="3612"/>
      <c r="P253" s="3612">
        <f t="shared" ref="P253:P257" si="4">H253*J253*L253</f>
        <v>2.7</v>
      </c>
      <c r="Q253" s="3613"/>
      <c r="R253" s="3614"/>
      <c r="U253" s="3616"/>
      <c r="V253" s="3617"/>
      <c r="W253" s="3618"/>
      <c r="X253" s="3616"/>
      <c r="Y253" s="3617"/>
      <c r="Z253" s="3616"/>
      <c r="AA253" s="3617"/>
      <c r="AB253" s="3618"/>
      <c r="AC253" s="3617"/>
    </row>
    <row r="254" spans="2:29" s="3615" customFormat="1" x14ac:dyDescent="0.2">
      <c r="B254" s="3608"/>
      <c r="C254" s="3609"/>
      <c r="D254" s="3610"/>
      <c r="E254" s="3610"/>
      <c r="F254" s="3610"/>
      <c r="G254" s="3611" t="s">
        <v>2086</v>
      </c>
      <c r="H254" s="3612">
        <v>6</v>
      </c>
      <c r="I254" s="3612" t="s">
        <v>424</v>
      </c>
      <c r="J254" s="3612">
        <v>0.9</v>
      </c>
      <c r="K254" s="3612" t="s">
        <v>424</v>
      </c>
      <c r="L254" s="3612">
        <v>2.7</v>
      </c>
      <c r="M254" s="3612"/>
      <c r="N254" s="3612"/>
      <c r="O254" s="3612"/>
      <c r="P254" s="3612">
        <f t="shared" si="4"/>
        <v>14.580000000000002</v>
      </c>
      <c r="Q254" s="3613"/>
      <c r="R254" s="3614"/>
      <c r="U254" s="3616"/>
      <c r="V254" s="3617"/>
      <c r="W254" s="3618"/>
      <c r="X254" s="3616"/>
      <c r="Y254" s="3617"/>
      <c r="Z254" s="3616"/>
      <c r="AA254" s="3617"/>
      <c r="AB254" s="3618"/>
      <c r="AC254" s="3617"/>
    </row>
    <row r="255" spans="2:29" s="3615" customFormat="1" x14ac:dyDescent="0.2">
      <c r="B255" s="3608"/>
      <c r="C255" s="3609"/>
      <c r="D255" s="3610"/>
      <c r="E255" s="3610"/>
      <c r="F255" s="3610"/>
      <c r="G255" s="3611" t="s">
        <v>2087</v>
      </c>
      <c r="H255" s="3612">
        <v>9</v>
      </c>
      <c r="I255" s="3612" t="s">
        <v>424</v>
      </c>
      <c r="J255" s="3612">
        <v>0.8</v>
      </c>
      <c r="K255" s="3612" t="s">
        <v>424</v>
      </c>
      <c r="L255" s="3612">
        <v>2.7</v>
      </c>
      <c r="M255" s="3612"/>
      <c r="N255" s="3612"/>
      <c r="O255" s="3612"/>
      <c r="P255" s="3612">
        <f t="shared" si="4"/>
        <v>19.440000000000001</v>
      </c>
      <c r="Q255" s="3613"/>
      <c r="R255" s="3614"/>
      <c r="U255" s="3616"/>
      <c r="V255" s="3617"/>
      <c r="W255" s="3618"/>
      <c r="X255" s="3616"/>
      <c r="Y255" s="3617"/>
      <c r="Z255" s="3616"/>
      <c r="AA255" s="3617"/>
      <c r="AB255" s="3618"/>
      <c r="AC255" s="3617"/>
    </row>
    <row r="256" spans="2:29" s="3615" customFormat="1" x14ac:dyDescent="0.2">
      <c r="B256" s="3608"/>
      <c r="C256" s="3609"/>
      <c r="D256" s="3610"/>
      <c r="E256" s="3610"/>
      <c r="F256" s="3610"/>
      <c r="G256" s="3611" t="s">
        <v>2088</v>
      </c>
      <c r="H256" s="3612">
        <v>8</v>
      </c>
      <c r="I256" s="3612" t="s">
        <v>424</v>
      </c>
      <c r="J256" s="3612">
        <v>0.7</v>
      </c>
      <c r="K256" s="3612" t="s">
        <v>424</v>
      </c>
      <c r="L256" s="3612">
        <v>0.5</v>
      </c>
      <c r="M256" s="3612"/>
      <c r="N256" s="3612"/>
      <c r="O256" s="3612"/>
      <c r="P256" s="3612">
        <f t="shared" si="4"/>
        <v>2.8</v>
      </c>
      <c r="Q256" s="3613"/>
      <c r="R256" s="3614"/>
      <c r="U256" s="3616"/>
      <c r="V256" s="3617"/>
      <c r="W256" s="3618"/>
      <c r="X256" s="3616"/>
      <c r="Y256" s="3617"/>
      <c r="Z256" s="3616"/>
      <c r="AA256" s="3617"/>
      <c r="AB256" s="3618"/>
      <c r="AC256" s="3617"/>
    </row>
    <row r="257" spans="2:29" s="3615" customFormat="1" x14ac:dyDescent="0.2">
      <c r="B257" s="3608"/>
      <c r="C257" s="3609"/>
      <c r="D257" s="3610"/>
      <c r="E257" s="3610"/>
      <c r="F257" s="3610"/>
      <c r="G257" s="3611" t="s">
        <v>1659</v>
      </c>
      <c r="H257" s="3612">
        <v>3</v>
      </c>
      <c r="I257" s="3612" t="s">
        <v>424</v>
      </c>
      <c r="J257" s="3612">
        <v>1.8</v>
      </c>
      <c r="K257" s="3612" t="s">
        <v>424</v>
      </c>
      <c r="L257" s="3612">
        <v>2.9</v>
      </c>
      <c r="M257" s="3612"/>
      <c r="N257" s="3612"/>
      <c r="O257" s="3612"/>
      <c r="P257" s="3612">
        <f t="shared" si="4"/>
        <v>15.66</v>
      </c>
      <c r="Q257" s="3613"/>
      <c r="R257" s="3614"/>
      <c r="U257" s="3616"/>
      <c r="V257" s="3617"/>
      <c r="W257" s="3618"/>
      <c r="X257" s="3616"/>
      <c r="Y257" s="3617"/>
      <c r="Z257" s="3616"/>
      <c r="AA257" s="3617"/>
      <c r="AB257" s="3618"/>
      <c r="AC257" s="3617"/>
    </row>
    <row r="258" spans="2:29" x14ac:dyDescent="0.2">
      <c r="B258" s="3586"/>
      <c r="C258" s="3587"/>
      <c r="D258" s="3582"/>
      <c r="E258" s="3582"/>
      <c r="F258" s="3582"/>
      <c r="G258" s="3593"/>
      <c r="H258" s="3583"/>
      <c r="I258" s="3583"/>
      <c r="J258" s="3583"/>
      <c r="K258" s="3583"/>
      <c r="L258" s="3583"/>
      <c r="M258" s="3583"/>
      <c r="N258" s="3583"/>
      <c r="O258" s="3583"/>
      <c r="P258" s="3583"/>
      <c r="Q258" s="3584"/>
      <c r="R258" s="3585"/>
      <c r="U258" s="3605"/>
      <c r="V258" s="3606"/>
      <c r="W258" s="3607"/>
      <c r="X258" s="3605"/>
      <c r="Y258" s="3606"/>
      <c r="Z258" s="3605"/>
      <c r="AA258" s="3606"/>
      <c r="AB258" s="3607"/>
      <c r="AC258" s="3606"/>
    </row>
    <row r="259" spans="2:29" x14ac:dyDescent="0.2">
      <c r="B259" s="3586"/>
      <c r="C259" s="3587"/>
      <c r="D259" s="3582"/>
      <c r="E259" s="3582"/>
      <c r="F259" s="3582"/>
      <c r="G259" s="3593"/>
      <c r="H259" s="3583"/>
      <c r="I259" s="3583"/>
      <c r="J259" s="3583"/>
      <c r="K259" s="3583"/>
      <c r="L259" s="3583"/>
      <c r="M259" s="3583"/>
      <c r="N259" s="3583"/>
      <c r="O259" s="3583"/>
      <c r="P259" s="3583"/>
      <c r="Q259" s="3584"/>
      <c r="R259" s="3585"/>
      <c r="U259" s="3605"/>
      <c r="V259" s="3606"/>
      <c r="W259" s="3607"/>
      <c r="X259" s="3605"/>
      <c r="Y259" s="3606"/>
      <c r="Z259" s="3605"/>
      <c r="AA259" s="3606"/>
      <c r="AB259" s="3607"/>
      <c r="AC259" s="3606"/>
    </row>
    <row r="260" spans="2:29" x14ac:dyDescent="0.2">
      <c r="B260" s="3586"/>
      <c r="C260" s="3587"/>
      <c r="D260" s="3582"/>
      <c r="E260" s="3582"/>
      <c r="F260" s="3582"/>
      <c r="G260" s="3593"/>
      <c r="H260" s="3583"/>
      <c r="I260" s="3583"/>
      <c r="J260" s="3583"/>
      <c r="K260" s="3583"/>
      <c r="L260" s="3583"/>
      <c r="M260" s="3583"/>
      <c r="N260" s="3583"/>
      <c r="O260" s="3583"/>
      <c r="P260" s="3583"/>
      <c r="Q260" s="3584"/>
      <c r="R260" s="3585"/>
      <c r="U260" s="3605"/>
      <c r="V260" s="3606"/>
      <c r="W260" s="3607"/>
      <c r="X260" s="3605"/>
      <c r="Y260" s="3606"/>
      <c r="Z260" s="3605"/>
      <c r="AA260" s="3606"/>
      <c r="AB260" s="3607"/>
      <c r="AC260" s="3606"/>
    </row>
    <row r="261" spans="2:29" x14ac:dyDescent="0.2">
      <c r="B261" s="3586">
        <f>[6]RAB!B140</f>
        <v>2</v>
      </c>
      <c r="C261" s="3587" t="str">
        <f>[6]RAB!D140</f>
        <v>Pek. Dinding Partisi Gypsum 9 mm Double</v>
      </c>
      <c r="D261" s="3582"/>
      <c r="E261" s="3582"/>
      <c r="F261" s="3582"/>
      <c r="G261" s="3593"/>
      <c r="H261" s="3583"/>
      <c r="I261" s="3583"/>
      <c r="J261" s="3583"/>
      <c r="K261" s="3583"/>
      <c r="L261" s="3583"/>
      <c r="M261" s="3583"/>
      <c r="N261" s="3583"/>
      <c r="O261" s="3583"/>
      <c r="P261" s="3583"/>
      <c r="Q261" s="3584">
        <f>Q262-Q272</f>
        <v>247.13599999999997</v>
      </c>
      <c r="R261" s="3585" t="str">
        <f>[6]RAB!H140</f>
        <v>m2</v>
      </c>
    </row>
    <row r="262" spans="2:29" x14ac:dyDescent="0.2">
      <c r="B262" s="3586"/>
      <c r="C262" s="3587"/>
      <c r="D262" s="3582"/>
      <c r="E262" s="3582"/>
      <c r="F262" s="3582"/>
      <c r="G262" s="3593" t="s">
        <v>2068</v>
      </c>
      <c r="H262" s="3583">
        <f>8.8*2</f>
        <v>17.600000000000001</v>
      </c>
      <c r="I262" s="3583" t="s">
        <v>424</v>
      </c>
      <c r="J262" s="3583">
        <v>2.95</v>
      </c>
      <c r="K262" s="3583"/>
      <c r="L262" s="3583"/>
      <c r="M262" s="3583"/>
      <c r="N262" s="3583"/>
      <c r="O262" s="3583"/>
      <c r="P262" s="3583">
        <f t="shared" ref="P262:P271" si="5">H262*J262</f>
        <v>51.920000000000009</v>
      </c>
      <c r="Q262" s="3619">
        <f>SUM(P262:P271)</f>
        <v>284.02599999999995</v>
      </c>
      <c r="R262" s="3585"/>
      <c r="U262" s="3605"/>
      <c r="V262" s="3606"/>
      <c r="W262" s="3607"/>
      <c r="X262" s="3606"/>
      <c r="Z262" s="3605"/>
      <c r="AA262" s="3607"/>
      <c r="AB262" s="3607"/>
      <c r="AC262" s="3606"/>
    </row>
    <row r="263" spans="2:29" x14ac:dyDescent="0.2">
      <c r="B263" s="3586"/>
      <c r="C263" s="3587"/>
      <c r="D263" s="3582"/>
      <c r="E263" s="3582"/>
      <c r="F263" s="3582"/>
      <c r="G263" s="3593" t="s">
        <v>2089</v>
      </c>
      <c r="H263" s="3583">
        <v>2.88</v>
      </c>
      <c r="I263" s="3583" t="s">
        <v>424</v>
      </c>
      <c r="J263" s="3583">
        <f t="shared" ref="J263:J271" si="6">$J$262</f>
        <v>2.95</v>
      </c>
      <c r="K263" s="3583"/>
      <c r="L263" s="3583"/>
      <c r="M263" s="3583"/>
      <c r="N263" s="3583"/>
      <c r="O263" s="3583"/>
      <c r="P263" s="3583">
        <f t="shared" si="5"/>
        <v>8.4960000000000004</v>
      </c>
      <c r="R263" s="3585"/>
      <c r="U263" s="3605"/>
      <c r="V263" s="3606"/>
      <c r="W263" s="3607"/>
      <c r="X263" s="3606"/>
      <c r="Z263" s="3605"/>
      <c r="AA263" s="3607"/>
      <c r="AB263" s="3607"/>
      <c r="AC263" s="3606"/>
    </row>
    <row r="264" spans="2:29" x14ac:dyDescent="0.2">
      <c r="B264" s="3586"/>
      <c r="C264" s="3587"/>
      <c r="D264" s="3582"/>
      <c r="E264" s="3582"/>
      <c r="F264" s="3582"/>
      <c r="G264" s="3593" t="s">
        <v>2090</v>
      </c>
      <c r="H264" s="3583">
        <f>14.5+5.5</f>
        <v>20</v>
      </c>
      <c r="I264" s="3583" t="s">
        <v>424</v>
      </c>
      <c r="J264" s="3583">
        <f t="shared" si="6"/>
        <v>2.95</v>
      </c>
      <c r="K264" s="3583"/>
      <c r="L264" s="3583"/>
      <c r="M264" s="3583"/>
      <c r="N264" s="3583"/>
      <c r="O264" s="3583"/>
      <c r="P264" s="3583">
        <f t="shared" si="5"/>
        <v>59</v>
      </c>
      <c r="Q264" s="3584"/>
      <c r="R264" s="3585"/>
      <c r="U264" s="3605"/>
      <c r="V264" s="3606"/>
      <c r="W264" s="3607"/>
      <c r="X264" s="3606"/>
      <c r="Z264" s="3605"/>
      <c r="AA264" s="3607"/>
      <c r="AB264" s="3607"/>
      <c r="AC264" s="3606"/>
    </row>
    <row r="265" spans="2:29" x14ac:dyDescent="0.2">
      <c r="B265" s="3586"/>
      <c r="C265" s="3587"/>
      <c r="D265" s="3582"/>
      <c r="E265" s="3582"/>
      <c r="F265" s="3582"/>
      <c r="G265" s="3593" t="s">
        <v>2091</v>
      </c>
      <c r="H265" s="3583">
        <f>5.5+14.5</f>
        <v>20</v>
      </c>
      <c r="I265" s="3583" t="s">
        <v>424</v>
      </c>
      <c r="J265" s="3583">
        <f t="shared" si="6"/>
        <v>2.95</v>
      </c>
      <c r="K265" s="3583"/>
      <c r="L265" s="3583"/>
      <c r="M265" s="3583"/>
      <c r="N265" s="3583"/>
      <c r="O265" s="3583"/>
      <c r="P265" s="3583">
        <f t="shared" si="5"/>
        <v>59</v>
      </c>
      <c r="Q265" s="3584"/>
      <c r="R265" s="3585"/>
      <c r="U265" s="3605"/>
      <c r="V265" s="3606"/>
      <c r="W265" s="3607"/>
      <c r="X265" s="3606"/>
      <c r="Z265" s="3605"/>
      <c r="AA265" s="3607"/>
      <c r="AB265" s="3607"/>
      <c r="AC265" s="3606"/>
    </row>
    <row r="266" spans="2:29" x14ac:dyDescent="0.2">
      <c r="B266" s="3586"/>
      <c r="C266" s="3587"/>
      <c r="D266" s="3582"/>
      <c r="E266" s="3582"/>
      <c r="F266" s="3582"/>
      <c r="G266" s="3593" t="s">
        <v>2070</v>
      </c>
      <c r="H266" s="3583">
        <v>3</v>
      </c>
      <c r="I266" s="3583" t="s">
        <v>424</v>
      </c>
      <c r="J266" s="3583">
        <f t="shared" si="6"/>
        <v>2.95</v>
      </c>
      <c r="K266" s="3583"/>
      <c r="L266" s="3583"/>
      <c r="M266" s="3583"/>
      <c r="N266" s="3583"/>
      <c r="O266" s="3583"/>
      <c r="P266" s="3583">
        <f t="shared" si="5"/>
        <v>8.8500000000000014</v>
      </c>
      <c r="Q266" s="3584"/>
      <c r="R266" s="3585"/>
      <c r="U266" s="3605"/>
      <c r="V266" s="3606"/>
      <c r="W266" s="3607"/>
      <c r="X266" s="3606"/>
      <c r="Z266" s="3605"/>
      <c r="AA266" s="3607"/>
      <c r="AB266" s="3607"/>
      <c r="AC266" s="3606"/>
    </row>
    <row r="267" spans="2:29" x14ac:dyDescent="0.2">
      <c r="B267" s="3586"/>
      <c r="C267" s="3587"/>
      <c r="D267" s="3582"/>
      <c r="E267" s="3582"/>
      <c r="F267" s="3582"/>
      <c r="G267" s="3593" t="s">
        <v>2092</v>
      </c>
      <c r="H267" s="3583">
        <v>4.75</v>
      </c>
      <c r="I267" s="3583" t="s">
        <v>424</v>
      </c>
      <c r="J267" s="3583">
        <f t="shared" si="6"/>
        <v>2.95</v>
      </c>
      <c r="K267" s="3583"/>
      <c r="L267" s="3583"/>
      <c r="M267" s="3583"/>
      <c r="N267" s="3583"/>
      <c r="O267" s="3583"/>
      <c r="P267" s="3583">
        <f t="shared" si="5"/>
        <v>14.012500000000001</v>
      </c>
      <c r="Q267" s="3584"/>
      <c r="R267" s="3585"/>
      <c r="U267" s="3605"/>
      <c r="V267" s="3606"/>
      <c r="W267" s="3607"/>
      <c r="X267" s="3606"/>
      <c r="Z267" s="3605"/>
      <c r="AA267" s="3607"/>
      <c r="AB267" s="3607"/>
      <c r="AC267" s="3606"/>
    </row>
    <row r="268" spans="2:29" x14ac:dyDescent="0.2">
      <c r="B268" s="3586"/>
      <c r="C268" s="3587"/>
      <c r="D268" s="3582"/>
      <c r="E268" s="3582"/>
      <c r="F268" s="3582"/>
      <c r="G268" s="3593" t="s">
        <v>2074</v>
      </c>
      <c r="H268" s="3583">
        <f>2.2+2+2.8</f>
        <v>7</v>
      </c>
      <c r="I268" s="3583" t="s">
        <v>424</v>
      </c>
      <c r="J268" s="3583">
        <f t="shared" si="6"/>
        <v>2.95</v>
      </c>
      <c r="K268" s="3583"/>
      <c r="L268" s="3583"/>
      <c r="M268" s="3583"/>
      <c r="N268" s="3583"/>
      <c r="O268" s="3583"/>
      <c r="P268" s="3583">
        <f t="shared" si="5"/>
        <v>20.650000000000002</v>
      </c>
      <c r="Q268" s="3584"/>
      <c r="R268" s="3585"/>
      <c r="U268" s="3605"/>
      <c r="V268" s="3606"/>
      <c r="W268" s="3607"/>
      <c r="X268" s="3606"/>
      <c r="Z268" s="3605"/>
      <c r="AA268" s="3607"/>
      <c r="AB268" s="3607"/>
      <c r="AC268" s="3606"/>
    </row>
    <row r="269" spans="2:29" x14ac:dyDescent="0.2">
      <c r="B269" s="3586"/>
      <c r="C269" s="3587"/>
      <c r="D269" s="3582"/>
      <c r="E269" s="3582"/>
      <c r="F269" s="3582"/>
      <c r="G269" s="3593" t="s">
        <v>2076</v>
      </c>
      <c r="H269" s="3583">
        <f>6.8</f>
        <v>6.8</v>
      </c>
      <c r="I269" s="3583" t="s">
        <v>424</v>
      </c>
      <c r="J269" s="3583">
        <f t="shared" si="6"/>
        <v>2.95</v>
      </c>
      <c r="K269" s="3583"/>
      <c r="L269" s="3583"/>
      <c r="M269" s="3583"/>
      <c r="N269" s="3583"/>
      <c r="O269" s="3583"/>
      <c r="P269" s="3583">
        <f t="shared" si="5"/>
        <v>20.060000000000002</v>
      </c>
      <c r="Q269" s="3584"/>
      <c r="R269" s="3585"/>
      <c r="U269" s="3605"/>
      <c r="V269" s="3606"/>
      <c r="W269" s="3607"/>
      <c r="X269" s="3606"/>
      <c r="Z269" s="3605"/>
      <c r="AA269" s="3607"/>
      <c r="AB269" s="3607"/>
      <c r="AC269" s="3606"/>
    </row>
    <row r="270" spans="2:29" x14ac:dyDescent="0.2">
      <c r="B270" s="3586"/>
      <c r="C270" s="3587"/>
      <c r="D270" s="3582"/>
      <c r="E270" s="3582"/>
      <c r="F270" s="3582"/>
      <c r="G270" s="3593" t="s">
        <v>2081</v>
      </c>
      <c r="H270" s="3583">
        <v>4.75</v>
      </c>
      <c r="I270" s="3583" t="s">
        <v>424</v>
      </c>
      <c r="J270" s="3583">
        <f t="shared" si="6"/>
        <v>2.95</v>
      </c>
      <c r="K270" s="3583"/>
      <c r="L270" s="3583"/>
      <c r="M270" s="3583"/>
      <c r="N270" s="3583"/>
      <c r="O270" s="3583"/>
      <c r="P270" s="3583">
        <f t="shared" si="5"/>
        <v>14.012500000000001</v>
      </c>
      <c r="Q270" s="3584"/>
      <c r="R270" s="3585"/>
      <c r="U270" s="3605"/>
      <c r="V270" s="3606"/>
      <c r="W270" s="3607"/>
      <c r="X270" s="3605"/>
      <c r="Y270" s="3606"/>
      <c r="Z270" s="3605"/>
      <c r="AA270" s="3606"/>
      <c r="AB270" s="3607"/>
      <c r="AC270" s="3606"/>
    </row>
    <row r="271" spans="2:29" x14ac:dyDescent="0.2">
      <c r="B271" s="3586"/>
      <c r="C271" s="3587"/>
      <c r="D271" s="3582"/>
      <c r="E271" s="3582"/>
      <c r="F271" s="3582"/>
      <c r="G271" s="3593" t="s">
        <v>2093</v>
      </c>
      <c r="H271" s="3583">
        <v>9.5</v>
      </c>
      <c r="I271" s="3583" t="s">
        <v>424</v>
      </c>
      <c r="J271" s="3583">
        <f t="shared" si="6"/>
        <v>2.95</v>
      </c>
      <c r="K271" s="3583"/>
      <c r="L271" s="3583"/>
      <c r="M271" s="3583"/>
      <c r="N271" s="3583"/>
      <c r="O271" s="3583"/>
      <c r="P271" s="3583">
        <f t="shared" si="5"/>
        <v>28.025000000000002</v>
      </c>
      <c r="Q271" s="3584"/>
      <c r="R271" s="3585"/>
      <c r="U271" s="3605"/>
      <c r="V271" s="3606"/>
      <c r="W271" s="3607"/>
      <c r="X271" s="3605"/>
      <c r="Y271" s="3606"/>
      <c r="Z271" s="3605"/>
      <c r="AA271" s="3606"/>
      <c r="AB271" s="3607"/>
      <c r="AC271" s="3606"/>
    </row>
    <row r="272" spans="2:29" s="3615" customFormat="1" x14ac:dyDescent="0.2">
      <c r="B272" s="3608"/>
      <c r="C272" s="3609"/>
      <c r="D272" s="3610"/>
      <c r="E272" s="3610"/>
      <c r="F272" s="3610"/>
      <c r="G272" s="3611" t="s">
        <v>2084</v>
      </c>
      <c r="H272" s="3612"/>
      <c r="I272" s="3612"/>
      <c r="J272" s="3612"/>
      <c r="K272" s="3612"/>
      <c r="L272" s="3612"/>
      <c r="M272" s="3612"/>
      <c r="N272" s="3612"/>
      <c r="O272" s="3612"/>
      <c r="P272" s="3612"/>
      <c r="Q272" s="3613">
        <f>SUM(P273:P275)</f>
        <v>36.89</v>
      </c>
      <c r="R272" s="3614"/>
      <c r="U272" s="3616"/>
      <c r="V272" s="3617"/>
      <c r="W272" s="3618"/>
      <c r="X272" s="3616"/>
      <c r="Y272" s="3617"/>
      <c r="Z272" s="3616"/>
      <c r="AA272" s="3617"/>
      <c r="AB272" s="3618"/>
      <c r="AC272" s="3617"/>
    </row>
    <row r="273" spans="2:29" s="3615" customFormat="1" x14ac:dyDescent="0.2">
      <c r="B273" s="3608"/>
      <c r="C273" s="3609"/>
      <c r="D273" s="3610"/>
      <c r="E273" s="3610"/>
      <c r="F273" s="3610"/>
      <c r="G273" s="3611" t="s">
        <v>1658</v>
      </c>
      <c r="H273" s="3612">
        <v>8</v>
      </c>
      <c r="I273" s="3612" t="s">
        <v>424</v>
      </c>
      <c r="J273" s="3612">
        <v>1</v>
      </c>
      <c r="K273" s="3612" t="s">
        <v>424</v>
      </c>
      <c r="L273" s="3612">
        <v>2.7</v>
      </c>
      <c r="M273" s="3612"/>
      <c r="N273" s="3612"/>
      <c r="O273" s="3612"/>
      <c r="P273" s="3612">
        <f t="shared" ref="P273:P275" si="7">H273*J273*L273</f>
        <v>21.6</v>
      </c>
      <c r="Q273" s="3613"/>
      <c r="R273" s="3614"/>
      <c r="U273" s="3616"/>
      <c r="V273" s="3617"/>
      <c r="W273" s="3618"/>
      <c r="X273" s="3616"/>
      <c r="Y273" s="3617"/>
      <c r="Z273" s="3616"/>
      <c r="AA273" s="3617"/>
      <c r="AB273" s="3618"/>
      <c r="AC273" s="3617"/>
    </row>
    <row r="274" spans="2:29" s="3615" customFormat="1" x14ac:dyDescent="0.2">
      <c r="B274" s="3608"/>
      <c r="C274" s="3609"/>
      <c r="D274" s="3610"/>
      <c r="E274" s="3610"/>
      <c r="F274" s="3610"/>
      <c r="G274" s="3611" t="s">
        <v>2086</v>
      </c>
      <c r="H274" s="3612">
        <v>3</v>
      </c>
      <c r="I274" s="3612" t="s">
        <v>424</v>
      </c>
      <c r="J274" s="3612">
        <v>0.9</v>
      </c>
      <c r="K274" s="3612" t="s">
        <v>424</v>
      </c>
      <c r="L274" s="3612">
        <v>2.7</v>
      </c>
      <c r="M274" s="3612"/>
      <c r="N274" s="3612"/>
      <c r="O274" s="3612"/>
      <c r="P274" s="3612">
        <f t="shared" si="7"/>
        <v>7.2900000000000009</v>
      </c>
      <c r="Q274" s="3613"/>
      <c r="R274" s="3614"/>
      <c r="U274" s="3616"/>
      <c r="V274" s="3617"/>
      <c r="W274" s="3618"/>
      <c r="X274" s="3616"/>
      <c r="Y274" s="3617"/>
      <c r="Z274" s="3616"/>
      <c r="AA274" s="3617"/>
      <c r="AB274" s="3618"/>
      <c r="AC274" s="3617"/>
    </row>
    <row r="275" spans="2:29" s="3615" customFormat="1" x14ac:dyDescent="0.2">
      <c r="B275" s="3608"/>
      <c r="C275" s="3609"/>
      <c r="D275" s="3610"/>
      <c r="E275" s="3610"/>
      <c r="F275" s="3610"/>
      <c r="G275" s="3611" t="s">
        <v>2094</v>
      </c>
      <c r="H275" s="3612">
        <v>2</v>
      </c>
      <c r="I275" s="3612" t="s">
        <v>424</v>
      </c>
      <c r="J275" s="3612">
        <v>2</v>
      </c>
      <c r="K275" s="3612" t="s">
        <v>424</v>
      </c>
      <c r="L275" s="3612">
        <v>2</v>
      </c>
      <c r="M275" s="3612"/>
      <c r="N275" s="3612"/>
      <c r="O275" s="3612"/>
      <c r="P275" s="3612">
        <f t="shared" si="7"/>
        <v>8</v>
      </c>
      <c r="Q275" s="3613"/>
      <c r="R275" s="3614"/>
      <c r="U275" s="3616"/>
      <c r="V275" s="3617"/>
      <c r="W275" s="3618"/>
      <c r="X275" s="3616"/>
      <c r="Y275" s="3617"/>
      <c r="Z275" s="3616"/>
      <c r="AA275" s="3617"/>
      <c r="AB275" s="3618"/>
      <c r="AC275" s="3617"/>
    </row>
    <row r="276" spans="2:29" x14ac:dyDescent="0.2">
      <c r="B276" s="3586"/>
      <c r="C276" s="3587"/>
      <c r="D276" s="3582"/>
      <c r="E276" s="3582"/>
      <c r="F276" s="3582"/>
      <c r="G276" s="3593"/>
      <c r="H276" s="3583"/>
      <c r="I276" s="3583"/>
      <c r="J276" s="3583"/>
      <c r="K276" s="3583"/>
      <c r="L276" s="3583"/>
      <c r="M276" s="3583"/>
      <c r="N276" s="3583"/>
      <c r="O276" s="3583"/>
      <c r="P276" s="3583"/>
      <c r="Q276" s="3584"/>
      <c r="R276" s="3585"/>
    </row>
    <row r="277" spans="2:29" x14ac:dyDescent="0.2">
      <c r="B277" s="3586"/>
      <c r="C277" s="3587"/>
      <c r="D277" s="3582"/>
      <c r="E277" s="3582"/>
      <c r="F277" s="3582"/>
      <c r="G277" s="3593"/>
      <c r="H277" s="3583"/>
      <c r="I277" s="3583"/>
      <c r="J277" s="3583"/>
      <c r="K277" s="3583"/>
      <c r="L277" s="3583"/>
      <c r="M277" s="3583"/>
      <c r="N277" s="3583"/>
      <c r="O277" s="3583"/>
      <c r="P277" s="3583"/>
      <c r="Q277" s="3584"/>
      <c r="R277" s="3585"/>
    </row>
    <row r="278" spans="2:29" x14ac:dyDescent="0.2">
      <c r="B278" s="3586"/>
      <c r="C278" s="3587"/>
      <c r="D278" s="3582"/>
      <c r="E278" s="3582"/>
      <c r="F278" s="3582"/>
      <c r="G278" s="3593"/>
      <c r="H278" s="3583"/>
      <c r="I278" s="3583"/>
      <c r="J278" s="3583"/>
      <c r="K278" s="3583"/>
      <c r="L278" s="3583"/>
      <c r="M278" s="3583"/>
      <c r="N278" s="3583"/>
      <c r="O278" s="3583"/>
      <c r="P278" s="3583"/>
      <c r="Q278" s="3584"/>
      <c r="R278" s="3585"/>
    </row>
    <row r="279" spans="2:29" x14ac:dyDescent="0.2">
      <c r="B279" s="3586">
        <f>[6]RAB!B141</f>
        <v>3</v>
      </c>
      <c r="C279" s="3587" t="str">
        <f>[6]RAB!D141</f>
        <v>Memasang plesteran 1 PC : 6 PP, tebal 15 mm</v>
      </c>
      <c r="D279" s="3582"/>
      <c r="E279" s="3582"/>
      <c r="F279" s="3582"/>
      <c r="G279" s="3593"/>
      <c r="H279" s="3583">
        <v>2</v>
      </c>
      <c r="I279" s="3583" t="s">
        <v>424</v>
      </c>
      <c r="J279" s="3583">
        <f>Q232</f>
        <v>549.26</v>
      </c>
      <c r="K279" s="3583"/>
      <c r="L279" s="3583"/>
      <c r="M279" s="3583"/>
      <c r="N279" s="3583"/>
      <c r="O279" s="3583"/>
      <c r="P279" s="3583">
        <f>H279*J279</f>
        <v>1098.52</v>
      </c>
      <c r="Q279" s="3584">
        <f>P279</f>
        <v>1098.52</v>
      </c>
      <c r="R279" s="3585" t="str">
        <f>[6]RAB!H141</f>
        <v>m2</v>
      </c>
    </row>
    <row r="280" spans="2:29" x14ac:dyDescent="0.2">
      <c r="B280" s="3586">
        <f>[6]RAB!B142</f>
        <v>4</v>
      </c>
      <c r="C280" s="3587" t="str">
        <f>[6]RAB!D142</f>
        <v>Sponengan</v>
      </c>
      <c r="D280" s="3582"/>
      <c r="E280" s="3582"/>
      <c r="F280" s="3582"/>
      <c r="G280" s="3593"/>
      <c r="H280" s="3583"/>
      <c r="I280" s="3583"/>
      <c r="J280" s="3583"/>
      <c r="K280" s="3583"/>
      <c r="L280" s="3591"/>
      <c r="M280" s="3583"/>
      <c r="N280" s="3583"/>
      <c r="O280" s="3583"/>
      <c r="P280" s="3596"/>
      <c r="Q280" s="3584">
        <f>SUM(P281:P282)</f>
        <v>1206.2</v>
      </c>
      <c r="R280" s="3585" t="str">
        <f>[6]RAB!H142</f>
        <v>m'</v>
      </c>
    </row>
    <row r="281" spans="2:29" x14ac:dyDescent="0.2">
      <c r="B281" s="3586"/>
      <c r="C281" s="3587"/>
      <c r="D281" s="3582"/>
      <c r="E281" s="3582"/>
      <c r="F281" s="3582"/>
      <c r="G281" s="3593"/>
      <c r="H281" s="3583">
        <f>Q251</f>
        <v>171.10000000000002</v>
      </c>
      <c r="I281" s="3583" t="s">
        <v>424</v>
      </c>
      <c r="J281" s="3583">
        <v>2</v>
      </c>
      <c r="K281" s="3583"/>
      <c r="L281" s="3591"/>
      <c r="M281" s="3583"/>
      <c r="N281" s="3583"/>
      <c r="O281" s="3583"/>
      <c r="P281" s="3596">
        <f>H281*J281</f>
        <v>342.20000000000005</v>
      </c>
      <c r="Q281" s="3597"/>
      <c r="R281" s="3585"/>
    </row>
    <row r="282" spans="2:29" x14ac:dyDescent="0.2">
      <c r="B282" s="3586"/>
      <c r="C282" s="3587"/>
      <c r="D282" s="3582"/>
      <c r="E282" s="3582"/>
      <c r="F282" s="3582"/>
      <c r="G282" s="3593"/>
      <c r="H282" s="3583">
        <v>72</v>
      </c>
      <c r="I282" s="3583" t="s">
        <v>424</v>
      </c>
      <c r="J282" s="3583">
        <v>4</v>
      </c>
      <c r="K282" s="3583" t="s">
        <v>424</v>
      </c>
      <c r="L282" s="3591">
        <v>3</v>
      </c>
      <c r="M282" s="3583"/>
      <c r="N282" s="3583"/>
      <c r="O282" s="3583"/>
      <c r="P282" s="3596">
        <f>H282*J282*L282</f>
        <v>864</v>
      </c>
      <c r="Q282" s="3597"/>
      <c r="R282" s="3585"/>
    </row>
    <row r="283" spans="2:29" x14ac:dyDescent="0.2">
      <c r="B283" s="3586">
        <f>[6]RAB!B143</f>
        <v>5</v>
      </c>
      <c r="C283" s="3587" t="str">
        <f>[6]RAB!D143</f>
        <v>Memasang acian</v>
      </c>
      <c r="D283" s="3582"/>
      <c r="E283" s="3582"/>
      <c r="F283" s="3582"/>
      <c r="G283" s="3593"/>
      <c r="H283" s="3583"/>
      <c r="I283" s="3583"/>
      <c r="J283" s="3583"/>
      <c r="K283" s="3583"/>
      <c r="L283" s="3583"/>
      <c r="M283" s="3583"/>
      <c r="N283" s="3583"/>
      <c r="O283" s="3583"/>
      <c r="P283" s="3583">
        <f>H284</f>
        <v>1098.52</v>
      </c>
      <c r="Q283" s="3584">
        <f>P283</f>
        <v>1098.52</v>
      </c>
      <c r="R283" s="3585" t="str">
        <f>[6]RAB!H143</f>
        <v>m2</v>
      </c>
    </row>
    <row r="284" spans="2:29" x14ac:dyDescent="0.2">
      <c r="B284" s="3586"/>
      <c r="C284" s="3587"/>
      <c r="D284" s="3582"/>
      <c r="E284" s="3582"/>
      <c r="F284" s="3582"/>
      <c r="G284" s="3593" t="s">
        <v>2095</v>
      </c>
      <c r="H284" s="3583">
        <f>P279</f>
        <v>1098.52</v>
      </c>
      <c r="I284" s="3583"/>
      <c r="J284" s="3583"/>
      <c r="K284" s="3583"/>
      <c r="L284" s="3583"/>
      <c r="M284" s="3583"/>
      <c r="N284" s="3583"/>
      <c r="O284" s="3583"/>
      <c r="P284" s="3583"/>
      <c r="Q284" s="3584"/>
      <c r="R284" s="3585"/>
    </row>
    <row r="285" spans="2:29" x14ac:dyDescent="0.2">
      <c r="B285" s="3586"/>
      <c r="C285" s="3587"/>
      <c r="D285" s="3582"/>
      <c r="E285" s="3582"/>
      <c r="F285" s="3590"/>
      <c r="G285" s="3621"/>
      <c r="H285" s="3583"/>
      <c r="I285" s="3583"/>
      <c r="J285" s="3583"/>
      <c r="K285" s="3583"/>
      <c r="L285" s="3583"/>
      <c r="M285" s="3583"/>
      <c r="N285" s="3583"/>
      <c r="O285" s="3583"/>
      <c r="P285" s="3583"/>
      <c r="Q285" s="3584"/>
      <c r="R285" s="3585"/>
    </row>
    <row r="286" spans="2:29" x14ac:dyDescent="0.2">
      <c r="B286" s="3586"/>
      <c r="C286" s="3581" t="str">
        <f>[6]RAB!D145</f>
        <v>LANTAI 2</v>
      </c>
      <c r="D286" s="3582"/>
      <c r="E286" s="3582"/>
      <c r="F286" s="3582"/>
      <c r="G286" s="3593"/>
      <c r="H286" s="3583"/>
      <c r="I286" s="3583"/>
      <c r="J286" s="3583"/>
      <c r="K286" s="3583"/>
      <c r="L286" s="3583"/>
      <c r="M286" s="3583"/>
      <c r="N286" s="3583"/>
      <c r="O286" s="3583"/>
      <c r="P286" s="3583" t="s">
        <v>2096</v>
      </c>
      <c r="Q286" s="3597"/>
      <c r="R286" s="3585"/>
    </row>
    <row r="287" spans="2:29" x14ac:dyDescent="0.2">
      <c r="B287" s="3586"/>
      <c r="C287" s="3587" t="str">
        <f>[6]RAB!D146</f>
        <v>Membuat dinding bata merah tebal 1/2 bata , camp 1 PC : 6 PP</v>
      </c>
      <c r="D287" s="3582"/>
      <c r="E287" s="3582"/>
      <c r="F287" s="3582"/>
      <c r="G287" s="3593"/>
      <c r="H287" s="3583"/>
      <c r="I287" s="3583"/>
      <c r="J287" s="3583"/>
      <c r="K287" s="3583"/>
      <c r="L287" s="3583"/>
      <c r="M287" s="3583"/>
      <c r="N287" s="3583"/>
      <c r="O287" s="3583"/>
      <c r="P287" s="3583"/>
      <c r="Q287" s="3597">
        <f>Q288-Q306</f>
        <v>407.23250000000002</v>
      </c>
      <c r="R287" s="3585" t="str">
        <f>[6]RAB!H146</f>
        <v>m2</v>
      </c>
    </row>
    <row r="288" spans="2:29" x14ac:dyDescent="0.2">
      <c r="B288" s="3586"/>
      <c r="C288" s="3587"/>
      <c r="D288" s="3582"/>
      <c r="E288" s="3582"/>
      <c r="F288" s="3582"/>
      <c r="G288" s="3593" t="s">
        <v>2066</v>
      </c>
      <c r="H288" s="3583">
        <v>35.5</v>
      </c>
      <c r="I288" s="3583" t="s">
        <v>424</v>
      </c>
      <c r="J288" s="3583">
        <v>3.45</v>
      </c>
      <c r="K288" s="3583"/>
      <c r="L288" s="3583"/>
      <c r="M288" s="3583"/>
      <c r="N288" s="3583"/>
      <c r="O288" s="3583"/>
      <c r="P288" s="3583">
        <f>H288*J288</f>
        <v>122.47500000000001</v>
      </c>
      <c r="Q288" s="3584">
        <f>SUM(P288:P305)</f>
        <v>550.79250000000002</v>
      </c>
      <c r="R288" s="3585"/>
      <c r="U288" s="3605"/>
      <c r="V288" s="3606"/>
      <c r="W288" s="3607"/>
      <c r="X288" s="3606"/>
      <c r="Z288" s="3605"/>
      <c r="AA288" s="3607"/>
      <c r="AB288" s="3607"/>
      <c r="AC288" s="3606"/>
    </row>
    <row r="289" spans="2:29" x14ac:dyDescent="0.2">
      <c r="B289" s="3586"/>
      <c r="C289" s="3587"/>
      <c r="D289" s="3582"/>
      <c r="E289" s="3582"/>
      <c r="F289" s="3582"/>
      <c r="G289" s="3593" t="s">
        <v>2067</v>
      </c>
      <c r="H289" s="3583">
        <f>2</f>
        <v>2</v>
      </c>
      <c r="I289" s="3583" t="s">
        <v>424</v>
      </c>
      <c r="J289" s="3583">
        <f>J288</f>
        <v>3.45</v>
      </c>
      <c r="K289" s="3583"/>
      <c r="L289" s="3583"/>
      <c r="M289" s="3583"/>
      <c r="N289" s="3583"/>
      <c r="O289" s="3583"/>
      <c r="P289" s="3583">
        <f t="shared" ref="P289:P305" si="8">H289*J289</f>
        <v>6.9</v>
      </c>
      <c r="Q289" s="3622"/>
      <c r="R289" s="3585"/>
      <c r="U289" s="3605"/>
      <c r="V289" s="3606"/>
      <c r="W289" s="3607"/>
      <c r="X289" s="3606"/>
      <c r="Z289" s="3605"/>
      <c r="AA289" s="3607"/>
      <c r="AB289" s="3607"/>
      <c r="AC289" s="3606"/>
    </row>
    <row r="290" spans="2:29" x14ac:dyDescent="0.2">
      <c r="B290" s="3586"/>
      <c r="C290" s="3587"/>
      <c r="D290" s="3582"/>
      <c r="E290" s="3582"/>
      <c r="F290" s="3582"/>
      <c r="G290" s="3593" t="s">
        <v>2068</v>
      </c>
      <c r="H290" s="3583">
        <v>3</v>
      </c>
      <c r="I290" s="3583" t="s">
        <v>424</v>
      </c>
      <c r="J290" s="3583">
        <f t="shared" ref="J290:J305" si="9">J289</f>
        <v>3.45</v>
      </c>
      <c r="K290" s="3583"/>
      <c r="L290" s="3583"/>
      <c r="M290" s="3583"/>
      <c r="N290" s="3583"/>
      <c r="O290" s="3583"/>
      <c r="P290" s="3583">
        <f t="shared" si="8"/>
        <v>10.350000000000001</v>
      </c>
      <c r="R290" s="3585"/>
      <c r="U290" s="3605"/>
      <c r="V290" s="3606"/>
      <c r="W290" s="3607"/>
      <c r="X290" s="3606"/>
      <c r="Z290" s="3605"/>
      <c r="AA290" s="3607"/>
      <c r="AB290" s="3607"/>
      <c r="AC290" s="3606"/>
    </row>
    <row r="291" spans="2:29" x14ac:dyDescent="0.2">
      <c r="B291" s="3586"/>
      <c r="C291" s="3587"/>
      <c r="D291" s="3582"/>
      <c r="E291" s="3582"/>
      <c r="F291" s="3582"/>
      <c r="G291" s="3593" t="s">
        <v>2069</v>
      </c>
      <c r="H291" s="3583">
        <f>3</f>
        <v>3</v>
      </c>
      <c r="I291" s="3583" t="s">
        <v>424</v>
      </c>
      <c r="J291" s="3583">
        <f t="shared" si="9"/>
        <v>3.45</v>
      </c>
      <c r="K291" s="3583"/>
      <c r="L291" s="3583"/>
      <c r="M291" s="3583"/>
      <c r="N291" s="3583"/>
      <c r="O291" s="3583"/>
      <c r="P291" s="3583">
        <f t="shared" si="8"/>
        <v>10.350000000000001</v>
      </c>
      <c r="R291" s="3585"/>
      <c r="U291" s="3605"/>
      <c r="V291" s="3606"/>
      <c r="W291" s="3607"/>
      <c r="X291" s="3606"/>
      <c r="Z291" s="3605"/>
      <c r="AA291" s="3607"/>
      <c r="AB291" s="3607"/>
      <c r="AC291" s="3606"/>
    </row>
    <row r="292" spans="2:29" x14ac:dyDescent="0.2">
      <c r="B292" s="3586"/>
      <c r="C292" s="3587"/>
      <c r="D292" s="3582"/>
      <c r="E292" s="3582"/>
      <c r="F292" s="3582"/>
      <c r="G292" s="3593" t="s">
        <v>2070</v>
      </c>
      <c r="H292" s="3583">
        <v>3</v>
      </c>
      <c r="I292" s="3583" t="s">
        <v>424</v>
      </c>
      <c r="J292" s="3583">
        <f t="shared" si="9"/>
        <v>3.45</v>
      </c>
      <c r="K292" s="3583"/>
      <c r="L292" s="3583"/>
      <c r="M292" s="3583"/>
      <c r="N292" s="3583"/>
      <c r="O292" s="3583"/>
      <c r="P292" s="3583">
        <f t="shared" si="8"/>
        <v>10.350000000000001</v>
      </c>
      <c r="Q292" s="3584"/>
      <c r="R292" s="3585"/>
      <c r="U292" s="3605"/>
      <c r="V292" s="3606"/>
      <c r="W292" s="3607"/>
      <c r="X292" s="3606"/>
      <c r="Z292" s="3605"/>
      <c r="AA292" s="3607"/>
      <c r="AB292" s="3607"/>
      <c r="AC292" s="3606"/>
    </row>
    <row r="293" spans="2:29" x14ac:dyDescent="0.2">
      <c r="B293" s="3586"/>
      <c r="C293" s="3587"/>
      <c r="D293" s="3582"/>
      <c r="E293" s="3582"/>
      <c r="F293" s="3582"/>
      <c r="G293" s="3593" t="s">
        <v>2071</v>
      </c>
      <c r="H293" s="3583">
        <f>3+3</f>
        <v>6</v>
      </c>
      <c r="I293" s="3583" t="s">
        <v>424</v>
      </c>
      <c r="J293" s="3583">
        <f t="shared" si="9"/>
        <v>3.45</v>
      </c>
      <c r="K293" s="3583"/>
      <c r="L293" s="3583"/>
      <c r="M293" s="3583"/>
      <c r="N293" s="3583"/>
      <c r="O293" s="3583"/>
      <c r="P293" s="3583">
        <f t="shared" si="8"/>
        <v>20.700000000000003</v>
      </c>
      <c r="Q293" s="3584"/>
      <c r="R293" s="3585"/>
      <c r="U293" s="3605"/>
      <c r="V293" s="3606"/>
      <c r="W293" s="3607"/>
      <c r="X293" s="3606"/>
      <c r="Z293" s="3605"/>
      <c r="AA293" s="3607"/>
      <c r="AB293" s="3607"/>
      <c r="AC293" s="3606"/>
    </row>
    <row r="294" spans="2:29" x14ac:dyDescent="0.2">
      <c r="B294" s="3586"/>
      <c r="C294" s="3587"/>
      <c r="D294" s="3582"/>
      <c r="E294" s="3582"/>
      <c r="F294" s="3582"/>
      <c r="G294" s="3593" t="s">
        <v>2072</v>
      </c>
      <c r="H294" s="3583">
        <v>35.5</v>
      </c>
      <c r="I294" s="3583" t="s">
        <v>424</v>
      </c>
      <c r="J294" s="3583">
        <f t="shared" si="9"/>
        <v>3.45</v>
      </c>
      <c r="K294" s="3583"/>
      <c r="L294" s="3583"/>
      <c r="M294" s="3583"/>
      <c r="N294" s="3583"/>
      <c r="O294" s="3583"/>
      <c r="P294" s="3583">
        <f t="shared" si="8"/>
        <v>122.47500000000001</v>
      </c>
      <c r="Q294" s="3584"/>
      <c r="R294" s="3585"/>
      <c r="U294" s="3605"/>
      <c r="V294" s="3606"/>
      <c r="W294" s="3607"/>
      <c r="X294" s="3606"/>
      <c r="Z294" s="3605"/>
      <c r="AA294" s="3607"/>
      <c r="AB294" s="3607"/>
      <c r="AC294" s="3606"/>
    </row>
    <row r="295" spans="2:29" x14ac:dyDescent="0.2">
      <c r="B295" s="3586"/>
      <c r="C295" s="3587"/>
      <c r="D295" s="3582"/>
      <c r="E295" s="3582"/>
      <c r="F295" s="3582"/>
      <c r="G295" s="3593" t="s">
        <v>2073</v>
      </c>
      <c r="H295" s="3583">
        <v>21</v>
      </c>
      <c r="I295" s="3583" t="s">
        <v>424</v>
      </c>
      <c r="J295" s="3583">
        <f t="shared" si="9"/>
        <v>3.45</v>
      </c>
      <c r="K295" s="3583"/>
      <c r="L295" s="3583"/>
      <c r="M295" s="3583"/>
      <c r="N295" s="3583"/>
      <c r="O295" s="3583"/>
      <c r="P295" s="3583">
        <f t="shared" si="8"/>
        <v>72.45</v>
      </c>
      <c r="Q295" s="3584"/>
      <c r="R295" s="3585"/>
      <c r="U295" s="3605"/>
      <c r="V295" s="3606"/>
      <c r="W295" s="3607"/>
      <c r="X295" s="3606"/>
      <c r="Z295" s="3605"/>
      <c r="AA295" s="3607"/>
      <c r="AB295" s="3607"/>
      <c r="AC295" s="3606"/>
    </row>
    <row r="296" spans="2:29" x14ac:dyDescent="0.2">
      <c r="B296" s="3586"/>
      <c r="C296" s="3587"/>
      <c r="D296" s="3582"/>
      <c r="E296" s="3582"/>
      <c r="F296" s="3582"/>
      <c r="G296" s="3593" t="s">
        <v>2074</v>
      </c>
      <c r="H296" s="3583">
        <f>2+2</f>
        <v>4</v>
      </c>
      <c r="I296" s="3583" t="s">
        <v>424</v>
      </c>
      <c r="J296" s="3583">
        <f t="shared" si="9"/>
        <v>3.45</v>
      </c>
      <c r="K296" s="3583"/>
      <c r="L296" s="3583"/>
      <c r="M296" s="3583"/>
      <c r="N296" s="3583"/>
      <c r="O296" s="3583"/>
      <c r="P296" s="3583">
        <f t="shared" si="8"/>
        <v>13.8</v>
      </c>
      <c r="Q296" s="3584"/>
      <c r="R296" s="3585"/>
      <c r="U296" s="3605"/>
      <c r="V296" s="3606"/>
      <c r="W296" s="3607"/>
      <c r="X296" s="3606"/>
      <c r="Z296" s="3605"/>
      <c r="AA296" s="3607"/>
      <c r="AB296" s="3607"/>
      <c r="AC296" s="3606"/>
    </row>
    <row r="297" spans="2:29" x14ac:dyDescent="0.2">
      <c r="B297" s="3586"/>
      <c r="C297" s="3587"/>
      <c r="D297" s="3582"/>
      <c r="E297" s="3582"/>
      <c r="F297" s="3582"/>
      <c r="G297" s="3593" t="s">
        <v>2075</v>
      </c>
      <c r="H297" s="3583">
        <f>2</f>
        <v>2</v>
      </c>
      <c r="I297" s="3583" t="s">
        <v>424</v>
      </c>
      <c r="J297" s="3583">
        <f t="shared" si="9"/>
        <v>3.45</v>
      </c>
      <c r="K297" s="3583"/>
      <c r="L297" s="3583"/>
      <c r="M297" s="3583"/>
      <c r="N297" s="3583"/>
      <c r="O297" s="3583"/>
      <c r="P297" s="3583">
        <f t="shared" si="8"/>
        <v>6.9</v>
      </c>
      <c r="Q297" s="3584"/>
      <c r="R297" s="3585"/>
      <c r="U297" s="3605"/>
      <c r="V297" s="3606"/>
      <c r="W297" s="3607"/>
      <c r="X297" s="3606"/>
      <c r="Z297" s="3605"/>
      <c r="AA297" s="3607"/>
      <c r="AB297" s="3607"/>
      <c r="AC297" s="3606"/>
    </row>
    <row r="298" spans="2:29" x14ac:dyDescent="0.2">
      <c r="B298" s="3586"/>
      <c r="C298" s="3587"/>
      <c r="D298" s="3582"/>
      <c r="E298" s="3582"/>
      <c r="F298" s="3582"/>
      <c r="G298" s="3593" t="s">
        <v>2076</v>
      </c>
      <c r="H298" s="3583">
        <f>2</f>
        <v>2</v>
      </c>
      <c r="I298" s="3583" t="s">
        <v>424</v>
      </c>
      <c r="J298" s="3583">
        <f t="shared" si="9"/>
        <v>3.45</v>
      </c>
      <c r="K298" s="3583"/>
      <c r="L298" s="3583"/>
      <c r="M298" s="3583"/>
      <c r="N298" s="3583"/>
      <c r="O298" s="3583"/>
      <c r="P298" s="3583">
        <f t="shared" si="8"/>
        <v>6.9</v>
      </c>
      <c r="Q298" s="3584"/>
      <c r="R298" s="3585"/>
      <c r="U298" s="3605"/>
      <c r="V298" s="3606"/>
      <c r="W298" s="3607"/>
      <c r="X298" s="3606"/>
      <c r="Z298" s="3605"/>
      <c r="AA298" s="3607"/>
      <c r="AB298" s="3607"/>
      <c r="AC298" s="3606"/>
    </row>
    <row r="299" spans="2:29" x14ac:dyDescent="0.2">
      <c r="B299" s="3586"/>
      <c r="C299" s="3587"/>
      <c r="D299" s="3582"/>
      <c r="E299" s="3582"/>
      <c r="F299" s="3582"/>
      <c r="G299" s="3593" t="s">
        <v>2077</v>
      </c>
      <c r="H299" s="3583">
        <f>3</f>
        <v>3</v>
      </c>
      <c r="I299" s="3583" t="s">
        <v>424</v>
      </c>
      <c r="J299" s="3583">
        <f t="shared" si="9"/>
        <v>3.45</v>
      </c>
      <c r="K299" s="3583"/>
      <c r="L299" s="3583"/>
      <c r="M299" s="3583"/>
      <c r="N299" s="3583"/>
      <c r="O299" s="3583"/>
      <c r="P299" s="3583">
        <f t="shared" si="8"/>
        <v>10.350000000000001</v>
      </c>
      <c r="Q299" s="3584"/>
      <c r="R299" s="3585"/>
      <c r="U299" s="3605"/>
      <c r="V299" s="3606"/>
      <c r="W299" s="3607"/>
      <c r="X299" s="3606"/>
      <c r="Z299" s="3605"/>
      <c r="AA299" s="3607"/>
      <c r="AB299" s="3607"/>
      <c r="AC299" s="3606"/>
    </row>
    <row r="300" spans="2:29" x14ac:dyDescent="0.2">
      <c r="B300" s="3586"/>
      <c r="C300" s="3587"/>
      <c r="D300" s="3582"/>
      <c r="E300" s="3582"/>
      <c r="F300" s="3582"/>
      <c r="G300" s="3593" t="s">
        <v>2078</v>
      </c>
      <c r="H300" s="3583">
        <f>4.25</f>
        <v>4.25</v>
      </c>
      <c r="I300" s="3583" t="s">
        <v>424</v>
      </c>
      <c r="J300" s="3583">
        <f t="shared" si="9"/>
        <v>3.45</v>
      </c>
      <c r="K300" s="3583"/>
      <c r="L300" s="3583"/>
      <c r="M300" s="3583"/>
      <c r="N300" s="3583"/>
      <c r="O300" s="3583"/>
      <c r="P300" s="3583">
        <f t="shared" si="8"/>
        <v>14.662500000000001</v>
      </c>
      <c r="Q300" s="3584"/>
      <c r="R300" s="3585"/>
      <c r="U300" s="3605"/>
      <c r="V300" s="3606"/>
      <c r="W300" s="3607"/>
      <c r="X300" s="3606"/>
      <c r="Z300" s="3605"/>
      <c r="AA300" s="3607"/>
      <c r="AB300" s="3607"/>
      <c r="AC300" s="3606"/>
    </row>
    <row r="301" spans="2:29" x14ac:dyDescent="0.2">
      <c r="B301" s="3586"/>
      <c r="C301" s="3587"/>
      <c r="D301" s="3582"/>
      <c r="E301" s="3582"/>
      <c r="F301" s="3582"/>
      <c r="G301" s="3593" t="s">
        <v>2079</v>
      </c>
      <c r="H301" s="3583">
        <f>1.2*2</f>
        <v>2.4</v>
      </c>
      <c r="I301" s="3583" t="s">
        <v>424</v>
      </c>
      <c r="J301" s="3583">
        <f t="shared" si="9"/>
        <v>3.45</v>
      </c>
      <c r="K301" s="3583"/>
      <c r="L301" s="3583"/>
      <c r="M301" s="3583"/>
      <c r="N301" s="3583"/>
      <c r="O301" s="3583"/>
      <c r="P301" s="3583">
        <f t="shared" si="8"/>
        <v>8.2799999999999994</v>
      </c>
      <c r="Q301" s="3584"/>
      <c r="R301" s="3585"/>
      <c r="U301" s="3605"/>
      <c r="V301" s="3606"/>
      <c r="W301" s="3607"/>
      <c r="X301" s="3606"/>
      <c r="Z301" s="3605"/>
      <c r="AA301" s="3607"/>
      <c r="AB301" s="3607"/>
      <c r="AC301" s="3606"/>
    </row>
    <row r="302" spans="2:29" x14ac:dyDescent="0.2">
      <c r="B302" s="3586"/>
      <c r="C302" s="3587"/>
      <c r="D302" s="3582"/>
      <c r="E302" s="3582"/>
      <c r="F302" s="3582"/>
      <c r="G302" s="3593" t="s">
        <v>2080</v>
      </c>
      <c r="H302" s="3583">
        <f>1.75+1.75</f>
        <v>3.5</v>
      </c>
      <c r="I302" s="3583" t="s">
        <v>424</v>
      </c>
      <c r="J302" s="3583">
        <f t="shared" si="9"/>
        <v>3.45</v>
      </c>
      <c r="K302" s="3583"/>
      <c r="L302" s="3583"/>
      <c r="M302" s="3583"/>
      <c r="N302" s="3583"/>
      <c r="O302" s="3583"/>
      <c r="P302" s="3583">
        <f t="shared" si="8"/>
        <v>12.075000000000001</v>
      </c>
      <c r="Q302" s="3584"/>
      <c r="R302" s="3585"/>
      <c r="U302" s="3605"/>
      <c r="V302" s="3606"/>
      <c r="W302" s="3607"/>
      <c r="X302" s="3606"/>
      <c r="Z302" s="3605"/>
      <c r="AA302" s="3607"/>
      <c r="AB302" s="3607"/>
      <c r="AC302" s="3606"/>
    </row>
    <row r="303" spans="2:29" x14ac:dyDescent="0.2">
      <c r="B303" s="3586"/>
      <c r="C303" s="3587"/>
      <c r="D303" s="3582"/>
      <c r="E303" s="3582"/>
      <c r="F303" s="3582"/>
      <c r="G303" s="3593" t="s">
        <v>2081</v>
      </c>
      <c r="H303" s="3583">
        <f>4.5</f>
        <v>4.5</v>
      </c>
      <c r="I303" s="3583" t="s">
        <v>424</v>
      </c>
      <c r="J303" s="3583">
        <f t="shared" si="9"/>
        <v>3.45</v>
      </c>
      <c r="K303" s="3583"/>
      <c r="L303" s="3583"/>
      <c r="M303" s="3583"/>
      <c r="N303" s="3583"/>
      <c r="O303" s="3583"/>
      <c r="P303" s="3583">
        <f t="shared" si="8"/>
        <v>15.525</v>
      </c>
      <c r="Q303" s="3584"/>
      <c r="R303" s="3585"/>
      <c r="U303" s="3605"/>
      <c r="V303" s="3606"/>
      <c r="W303" s="3607"/>
      <c r="X303" s="3606"/>
      <c r="Z303" s="3605"/>
      <c r="AA303" s="3607"/>
      <c r="AB303" s="3607"/>
      <c r="AC303" s="3606"/>
    </row>
    <row r="304" spans="2:29" x14ac:dyDescent="0.2">
      <c r="B304" s="3586"/>
      <c r="C304" s="3587"/>
      <c r="D304" s="3582"/>
      <c r="E304" s="3582"/>
      <c r="F304" s="3582"/>
      <c r="G304" s="3593" t="s">
        <v>2082</v>
      </c>
      <c r="H304" s="3583">
        <v>4</v>
      </c>
      <c r="I304" s="3583" t="s">
        <v>424</v>
      </c>
      <c r="J304" s="3583">
        <f t="shared" si="9"/>
        <v>3.45</v>
      </c>
      <c r="K304" s="3594"/>
      <c r="L304" s="3594"/>
      <c r="M304" s="3594"/>
      <c r="N304" s="3594"/>
      <c r="O304" s="3594"/>
      <c r="P304" s="3583">
        <f t="shared" si="8"/>
        <v>13.8</v>
      </c>
      <c r="Q304" s="3584"/>
      <c r="R304" s="3585"/>
      <c r="U304" s="3605"/>
      <c r="V304" s="3606"/>
      <c r="W304" s="3607"/>
      <c r="X304" s="3606"/>
      <c r="Z304" s="3605"/>
      <c r="AA304" s="3607"/>
      <c r="AB304" s="3607"/>
      <c r="AC304" s="3606"/>
    </row>
    <row r="305" spans="2:29" x14ac:dyDescent="0.2">
      <c r="B305" s="3586"/>
      <c r="C305" s="3587"/>
      <c r="D305" s="3582"/>
      <c r="E305" s="3582"/>
      <c r="F305" s="3582"/>
      <c r="G305" s="3593" t="s">
        <v>2083</v>
      </c>
      <c r="H305" s="3583">
        <v>21</v>
      </c>
      <c r="I305" s="3583" t="s">
        <v>424</v>
      </c>
      <c r="J305" s="3583">
        <f t="shared" si="9"/>
        <v>3.45</v>
      </c>
      <c r="K305" s="3594"/>
      <c r="L305" s="3594"/>
      <c r="M305" s="3594"/>
      <c r="N305" s="3594"/>
      <c r="O305" s="3594"/>
      <c r="P305" s="3583">
        <f t="shared" si="8"/>
        <v>72.45</v>
      </c>
      <c r="Q305" s="3584"/>
      <c r="R305" s="3585"/>
      <c r="U305" s="3605"/>
      <c r="V305" s="3606"/>
      <c r="W305" s="3607"/>
      <c r="X305" s="3606"/>
      <c r="Z305" s="3605"/>
      <c r="AA305" s="3607"/>
      <c r="AB305" s="3607"/>
      <c r="AC305" s="3606"/>
    </row>
    <row r="306" spans="2:29" s="3615" customFormat="1" x14ac:dyDescent="0.2">
      <c r="B306" s="3608"/>
      <c r="C306" s="3609"/>
      <c r="D306" s="3610"/>
      <c r="E306" s="3610"/>
      <c r="F306" s="3610"/>
      <c r="G306" s="3611" t="s">
        <v>2084</v>
      </c>
      <c r="H306" s="3612"/>
      <c r="I306" s="3612"/>
      <c r="J306" s="3612"/>
      <c r="K306" s="3612"/>
      <c r="L306" s="3612"/>
      <c r="M306" s="3612"/>
      <c r="N306" s="3612"/>
      <c r="O306" s="3612"/>
      <c r="P306" s="3612"/>
      <c r="Q306" s="3613">
        <f>SUM(P307:P310)</f>
        <v>143.56</v>
      </c>
      <c r="R306" s="3614"/>
      <c r="U306" s="3616"/>
      <c r="V306" s="3617"/>
      <c r="W306" s="3618"/>
      <c r="X306" s="3616"/>
      <c r="Y306" s="3617"/>
      <c r="Z306" s="3616"/>
      <c r="AA306" s="3617"/>
      <c r="AB306" s="3618"/>
      <c r="AC306" s="3617"/>
    </row>
    <row r="307" spans="2:29" s="3615" customFormat="1" x14ac:dyDescent="0.2">
      <c r="B307" s="3608"/>
      <c r="C307" s="3609"/>
      <c r="D307" s="3610"/>
      <c r="E307" s="3610"/>
      <c r="F307" s="3610"/>
      <c r="G307" s="3611" t="s">
        <v>1132</v>
      </c>
      <c r="H307" s="3612">
        <v>24</v>
      </c>
      <c r="I307" s="3612" t="s">
        <v>424</v>
      </c>
      <c r="J307" s="3612">
        <v>2.2999999999999998</v>
      </c>
      <c r="K307" s="3612" t="s">
        <v>424</v>
      </c>
      <c r="L307" s="3612">
        <v>2.1</v>
      </c>
      <c r="M307" s="3612"/>
      <c r="N307" s="3612"/>
      <c r="O307" s="3612"/>
      <c r="P307" s="3612">
        <f>H307*J307*L307</f>
        <v>115.92</v>
      </c>
      <c r="Q307" s="3613"/>
      <c r="R307" s="3614"/>
      <c r="U307" s="3616"/>
      <c r="V307" s="3617"/>
      <c r="W307" s="3618"/>
      <c r="X307" s="3616"/>
      <c r="Y307" s="3617"/>
      <c r="Z307" s="3616"/>
      <c r="AA307" s="3617"/>
      <c r="AB307" s="3618"/>
      <c r="AC307" s="3617"/>
    </row>
    <row r="308" spans="2:29" s="3615" customFormat="1" x14ac:dyDescent="0.2">
      <c r="B308" s="3608"/>
      <c r="C308" s="3609"/>
      <c r="D308" s="3610"/>
      <c r="E308" s="3610"/>
      <c r="F308" s="3610"/>
      <c r="G308" s="3611" t="s">
        <v>2086</v>
      </c>
      <c r="H308" s="3612">
        <v>4</v>
      </c>
      <c r="I308" s="3612" t="s">
        <v>424</v>
      </c>
      <c r="J308" s="3612">
        <v>0.9</v>
      </c>
      <c r="K308" s="3612" t="s">
        <v>424</v>
      </c>
      <c r="L308" s="3612">
        <v>2.7</v>
      </c>
      <c r="M308" s="3612"/>
      <c r="N308" s="3612"/>
      <c r="O308" s="3612"/>
      <c r="P308" s="3612">
        <f t="shared" ref="P308:P310" si="10">H308*J308*L308</f>
        <v>9.7200000000000006</v>
      </c>
      <c r="Q308" s="3613"/>
      <c r="R308" s="3614"/>
      <c r="U308" s="3616"/>
      <c r="V308" s="3617"/>
      <c r="W308" s="3618"/>
      <c r="X308" s="3616"/>
      <c r="Y308" s="3617"/>
      <c r="Z308" s="3616"/>
      <c r="AA308" s="3617"/>
      <c r="AB308" s="3618"/>
      <c r="AC308" s="3617"/>
    </row>
    <row r="309" spans="2:29" s="3615" customFormat="1" x14ac:dyDescent="0.2">
      <c r="B309" s="3608"/>
      <c r="C309" s="3609"/>
      <c r="D309" s="3610"/>
      <c r="E309" s="3610"/>
      <c r="F309" s="3610"/>
      <c r="G309" s="3611" t="s">
        <v>2087</v>
      </c>
      <c r="H309" s="3612">
        <v>7</v>
      </c>
      <c r="I309" s="3612" t="s">
        <v>424</v>
      </c>
      <c r="J309" s="3612">
        <v>0.8</v>
      </c>
      <c r="K309" s="3612" t="s">
        <v>424</v>
      </c>
      <c r="L309" s="3612">
        <v>2.7</v>
      </c>
      <c r="M309" s="3612"/>
      <c r="N309" s="3612"/>
      <c r="O309" s="3612"/>
      <c r="P309" s="3612">
        <f t="shared" si="10"/>
        <v>15.120000000000003</v>
      </c>
      <c r="Q309" s="3613"/>
      <c r="R309" s="3614"/>
      <c r="U309" s="3616"/>
      <c r="V309" s="3617"/>
      <c r="W309" s="3618"/>
      <c r="X309" s="3616"/>
      <c r="Y309" s="3617"/>
      <c r="Z309" s="3616"/>
      <c r="AA309" s="3617"/>
      <c r="AB309" s="3618"/>
      <c r="AC309" s="3617"/>
    </row>
    <row r="310" spans="2:29" s="3615" customFormat="1" x14ac:dyDescent="0.2">
      <c r="B310" s="3608"/>
      <c r="C310" s="3609"/>
      <c r="D310" s="3610"/>
      <c r="E310" s="3610"/>
      <c r="F310" s="3610"/>
      <c r="G310" s="3611" t="s">
        <v>2088</v>
      </c>
      <c r="H310" s="3612">
        <v>8</v>
      </c>
      <c r="I310" s="3612" t="s">
        <v>424</v>
      </c>
      <c r="J310" s="3612">
        <v>0.7</v>
      </c>
      <c r="K310" s="3612" t="s">
        <v>424</v>
      </c>
      <c r="L310" s="3612">
        <v>0.5</v>
      </c>
      <c r="M310" s="3612"/>
      <c r="N310" s="3612"/>
      <c r="O310" s="3612"/>
      <c r="P310" s="3612">
        <f t="shared" si="10"/>
        <v>2.8</v>
      </c>
      <c r="Q310" s="3613"/>
      <c r="R310" s="3614"/>
      <c r="U310" s="3616"/>
      <c r="V310" s="3617"/>
      <c r="W310" s="3618"/>
      <c r="X310" s="3616"/>
      <c r="Y310" s="3617"/>
      <c r="Z310" s="3616"/>
      <c r="AA310" s="3617"/>
      <c r="AB310" s="3618"/>
      <c r="AC310" s="3617"/>
    </row>
    <row r="311" spans="2:29" x14ac:dyDescent="0.2">
      <c r="B311" s="3586"/>
      <c r="C311" s="3587"/>
      <c r="D311" s="3582"/>
      <c r="E311" s="3582"/>
      <c r="F311" s="3582"/>
      <c r="G311" s="3593"/>
      <c r="H311" s="3583"/>
      <c r="I311" s="3583"/>
      <c r="J311" s="3583"/>
      <c r="K311" s="3583"/>
      <c r="L311" s="3583"/>
      <c r="M311" s="3583"/>
      <c r="N311" s="3583"/>
      <c r="O311" s="3583"/>
      <c r="P311" s="3583"/>
      <c r="Q311" s="3584"/>
      <c r="R311" s="3585"/>
    </row>
    <row r="312" spans="2:29" x14ac:dyDescent="0.2">
      <c r="B312" s="3586">
        <f>[6]RAB!B147</f>
        <v>2</v>
      </c>
      <c r="C312" s="3587" t="str">
        <f>[6]RAB!D147</f>
        <v>Pek. Dinding Partisi Gypsum 9 mm Double</v>
      </c>
      <c r="D312" s="3582"/>
      <c r="E312" s="3582"/>
      <c r="F312" s="3582"/>
      <c r="G312" s="3593"/>
      <c r="H312" s="3583"/>
      <c r="I312" s="3583"/>
      <c r="J312" s="3583"/>
      <c r="K312" s="3583"/>
      <c r="L312" s="3583"/>
      <c r="M312" s="3583"/>
      <c r="N312" s="3583"/>
      <c r="O312" s="3583"/>
      <c r="P312" s="3583"/>
      <c r="Q312" s="3597">
        <f>Q313-Q323</f>
        <v>236.99750000000009</v>
      </c>
      <c r="R312" s="3585" t="str">
        <f>[6]RAB!H147</f>
        <v>m2</v>
      </c>
    </row>
    <row r="313" spans="2:29" x14ac:dyDescent="0.2">
      <c r="B313" s="3586"/>
      <c r="C313" s="3587"/>
      <c r="D313" s="3582"/>
      <c r="E313" s="3582"/>
      <c r="F313" s="3582"/>
      <c r="G313" s="3593" t="s">
        <v>2067</v>
      </c>
      <c r="H313" s="3583">
        <f>2.85*2</f>
        <v>5.7</v>
      </c>
      <c r="I313" s="3583" t="s">
        <v>424</v>
      </c>
      <c r="J313" s="3583">
        <v>2.95</v>
      </c>
      <c r="K313" s="3583"/>
      <c r="L313" s="3583"/>
      <c r="M313" s="3583"/>
      <c r="N313" s="3583"/>
      <c r="O313" s="3583"/>
      <c r="P313" s="3583"/>
      <c r="Q313" s="3623">
        <f>SUM(P314:P321)</f>
        <v>283.34750000000008</v>
      </c>
      <c r="R313" s="3585"/>
    </row>
    <row r="314" spans="2:29" x14ac:dyDescent="0.2">
      <c r="B314" s="3586"/>
      <c r="C314" s="3587"/>
      <c r="D314" s="3582"/>
      <c r="E314" s="3582"/>
      <c r="F314" s="3582"/>
      <c r="G314" s="3593" t="s">
        <v>2089</v>
      </c>
      <c r="H314" s="3583">
        <v>20.8</v>
      </c>
      <c r="I314" s="3583" t="s">
        <v>424</v>
      </c>
      <c r="J314" s="3583">
        <f>J313</f>
        <v>2.95</v>
      </c>
      <c r="K314" s="3583"/>
      <c r="L314" s="3583"/>
      <c r="M314" s="3583"/>
      <c r="N314" s="3583"/>
      <c r="O314" s="3583"/>
      <c r="P314" s="3583">
        <f t="shared" ref="P314:P321" si="11">H314*J314</f>
        <v>61.360000000000007</v>
      </c>
      <c r="R314" s="3585"/>
      <c r="U314" s="3605"/>
      <c r="V314" s="3606"/>
      <c r="W314" s="3607"/>
      <c r="X314" s="3606"/>
      <c r="Z314" s="3605"/>
      <c r="AA314" s="3607"/>
      <c r="AB314" s="3607"/>
      <c r="AC314" s="3606"/>
    </row>
    <row r="315" spans="2:29" x14ac:dyDescent="0.2">
      <c r="B315" s="3586"/>
      <c r="C315" s="3587"/>
      <c r="D315" s="3582"/>
      <c r="E315" s="3582"/>
      <c r="F315" s="3582"/>
      <c r="G315" s="3593" t="s">
        <v>2090</v>
      </c>
      <c r="H315" s="3583">
        <f>20.8-5.55</f>
        <v>15.25</v>
      </c>
      <c r="I315" s="3583" t="s">
        <v>424</v>
      </c>
      <c r="J315" s="3583">
        <f t="shared" ref="J315:J322" si="12">J314</f>
        <v>2.95</v>
      </c>
      <c r="K315" s="3583"/>
      <c r="L315" s="3583"/>
      <c r="M315" s="3583"/>
      <c r="N315" s="3583"/>
      <c r="O315" s="3583"/>
      <c r="P315" s="3583">
        <f t="shared" si="11"/>
        <v>44.987500000000004</v>
      </c>
      <c r="Q315" s="3584"/>
      <c r="R315" s="3585"/>
      <c r="U315" s="3605"/>
      <c r="V315" s="3606"/>
      <c r="W315" s="3607"/>
      <c r="X315" s="3606"/>
      <c r="Z315" s="3605"/>
      <c r="AA315" s="3607"/>
      <c r="AB315" s="3607"/>
      <c r="AC315" s="3606"/>
    </row>
    <row r="316" spans="2:29" x14ac:dyDescent="0.2">
      <c r="B316" s="3586"/>
      <c r="C316" s="3587"/>
      <c r="D316" s="3582"/>
      <c r="E316" s="3582"/>
      <c r="F316" s="3582"/>
      <c r="G316" s="3593" t="s">
        <v>2097</v>
      </c>
      <c r="H316" s="3583">
        <v>3</v>
      </c>
      <c r="I316" s="3583" t="s">
        <v>424</v>
      </c>
      <c r="J316" s="3583">
        <f t="shared" si="12"/>
        <v>2.95</v>
      </c>
      <c r="K316" s="3583"/>
      <c r="L316" s="3583"/>
      <c r="M316" s="3583"/>
      <c r="N316" s="3583"/>
      <c r="O316" s="3583"/>
      <c r="P316" s="3583">
        <f t="shared" si="11"/>
        <v>8.8500000000000014</v>
      </c>
      <c r="Q316" s="3584"/>
      <c r="R316" s="3585"/>
      <c r="U316" s="3605"/>
      <c r="V316" s="3606"/>
      <c r="W316" s="3607"/>
      <c r="X316" s="3606"/>
      <c r="Z316" s="3605"/>
      <c r="AA316" s="3607"/>
      <c r="AB316" s="3607"/>
      <c r="AC316" s="3606"/>
    </row>
    <row r="317" spans="2:29" x14ac:dyDescent="0.2">
      <c r="B317" s="3586"/>
      <c r="C317" s="3587"/>
      <c r="D317" s="3582"/>
      <c r="E317" s="3582"/>
      <c r="F317" s="3582"/>
      <c r="G317" s="3593" t="s">
        <v>2069</v>
      </c>
      <c r="H317" s="3583">
        <f>3*2</f>
        <v>6</v>
      </c>
      <c r="I317" s="3583" t="s">
        <v>424</v>
      </c>
      <c r="J317" s="3583">
        <f t="shared" si="12"/>
        <v>2.95</v>
      </c>
      <c r="K317" s="3583"/>
      <c r="L317" s="3583"/>
      <c r="M317" s="3583"/>
      <c r="N317" s="3583"/>
      <c r="O317" s="3583"/>
      <c r="P317" s="3583">
        <f t="shared" si="11"/>
        <v>17.700000000000003</v>
      </c>
      <c r="Q317" s="3584"/>
      <c r="R317" s="3585"/>
      <c r="U317" s="3605"/>
      <c r="V317" s="3606"/>
      <c r="W317" s="3607"/>
      <c r="X317" s="3606"/>
      <c r="Z317" s="3605"/>
      <c r="AA317" s="3607"/>
      <c r="AB317" s="3607"/>
      <c r="AC317" s="3606"/>
    </row>
    <row r="318" spans="2:29" x14ac:dyDescent="0.2">
      <c r="B318" s="3586"/>
      <c r="C318" s="3587"/>
      <c r="D318" s="3582"/>
      <c r="E318" s="3582"/>
      <c r="F318" s="3582"/>
      <c r="G318" s="3593" t="s">
        <v>2092</v>
      </c>
      <c r="H318" s="3583">
        <v>5.6</v>
      </c>
      <c r="I318" s="3583" t="s">
        <v>424</v>
      </c>
      <c r="J318" s="3583">
        <f t="shared" si="12"/>
        <v>2.95</v>
      </c>
      <c r="K318" s="3583"/>
      <c r="L318" s="3583"/>
      <c r="M318" s="3583"/>
      <c r="N318" s="3583"/>
      <c r="O318" s="3583"/>
      <c r="P318" s="3583">
        <f t="shared" si="11"/>
        <v>16.52</v>
      </c>
      <c r="Q318" s="3584"/>
      <c r="R318" s="3585"/>
      <c r="U318" s="3605"/>
      <c r="V318" s="3606"/>
      <c r="W318" s="3607"/>
      <c r="X318" s="3606"/>
      <c r="Z318" s="3605"/>
      <c r="AA318" s="3607"/>
      <c r="AB318" s="3607"/>
      <c r="AC318" s="3606"/>
    </row>
    <row r="319" spans="2:29" x14ac:dyDescent="0.2">
      <c r="B319" s="3586"/>
      <c r="C319" s="3587"/>
      <c r="D319" s="3582"/>
      <c r="E319" s="3582"/>
      <c r="F319" s="3582"/>
      <c r="G319" s="3593" t="s">
        <v>2074</v>
      </c>
      <c r="H319" s="3583">
        <f>5.1+11.7</f>
        <v>16.799999999999997</v>
      </c>
      <c r="I319" s="3583" t="s">
        <v>424</v>
      </c>
      <c r="J319" s="3583">
        <f t="shared" si="12"/>
        <v>2.95</v>
      </c>
      <c r="K319" s="3583"/>
      <c r="L319" s="3583"/>
      <c r="M319" s="3583"/>
      <c r="N319" s="3583"/>
      <c r="O319" s="3583"/>
      <c r="P319" s="3583">
        <f t="shared" si="11"/>
        <v>49.559999999999995</v>
      </c>
      <c r="Q319" s="3584"/>
      <c r="R319" s="3585"/>
      <c r="U319" s="3605"/>
      <c r="V319" s="3606"/>
      <c r="W319" s="3607"/>
      <c r="X319" s="3606"/>
      <c r="Z319" s="3605"/>
      <c r="AA319" s="3607"/>
      <c r="AB319" s="3607"/>
      <c r="AC319" s="3606"/>
    </row>
    <row r="320" spans="2:29" x14ac:dyDescent="0.2">
      <c r="B320" s="3586"/>
      <c r="C320" s="3587"/>
      <c r="D320" s="3582"/>
      <c r="E320" s="3582"/>
      <c r="F320" s="3582"/>
      <c r="G320" s="3593" t="s">
        <v>2078</v>
      </c>
      <c r="H320" s="3583">
        <f>7.1+7.2</f>
        <v>14.3</v>
      </c>
      <c r="I320" s="3583" t="s">
        <v>424</v>
      </c>
      <c r="J320" s="3583">
        <f t="shared" si="12"/>
        <v>2.95</v>
      </c>
      <c r="K320" s="3583"/>
      <c r="L320" s="3583"/>
      <c r="M320" s="3583"/>
      <c r="N320" s="3583"/>
      <c r="O320" s="3583"/>
      <c r="P320" s="3583">
        <f t="shared" si="11"/>
        <v>42.185000000000002</v>
      </c>
      <c r="Q320" s="3584"/>
      <c r="R320" s="3585"/>
      <c r="U320" s="3605"/>
      <c r="V320" s="3606"/>
      <c r="W320" s="3607"/>
      <c r="X320" s="3606"/>
      <c r="Z320" s="3605"/>
      <c r="AA320" s="3607"/>
      <c r="AB320" s="3607"/>
      <c r="AC320" s="3606"/>
    </row>
    <row r="321" spans="2:29" x14ac:dyDescent="0.2">
      <c r="B321" s="3586"/>
      <c r="C321" s="3587"/>
      <c r="D321" s="3582"/>
      <c r="E321" s="3582"/>
      <c r="F321" s="3582"/>
      <c r="G321" s="3593" t="s">
        <v>2080</v>
      </c>
      <c r="H321" s="3583">
        <f>7.1+7.2</f>
        <v>14.3</v>
      </c>
      <c r="I321" s="3583" t="s">
        <v>424</v>
      </c>
      <c r="J321" s="3583">
        <f t="shared" si="12"/>
        <v>2.95</v>
      </c>
      <c r="K321" s="3583"/>
      <c r="L321" s="3583"/>
      <c r="M321" s="3583"/>
      <c r="N321" s="3583"/>
      <c r="O321" s="3583"/>
      <c r="P321" s="3583">
        <f t="shared" si="11"/>
        <v>42.185000000000002</v>
      </c>
      <c r="Q321" s="3584"/>
      <c r="R321" s="3585"/>
      <c r="U321" s="3605"/>
      <c r="V321" s="3606"/>
      <c r="W321" s="3607"/>
      <c r="X321" s="3605"/>
      <c r="Y321" s="3606"/>
      <c r="Z321" s="3605"/>
      <c r="AA321" s="3606"/>
      <c r="AB321" s="3607"/>
      <c r="AC321" s="3606"/>
    </row>
    <row r="322" spans="2:29" x14ac:dyDescent="0.2">
      <c r="B322" s="3586"/>
      <c r="C322" s="3587"/>
      <c r="D322" s="3582"/>
      <c r="E322" s="3582"/>
      <c r="F322" s="3582"/>
      <c r="G322" s="3593" t="s">
        <v>2098</v>
      </c>
      <c r="H322" s="3583">
        <v>21</v>
      </c>
      <c r="I322" s="3583" t="s">
        <v>424</v>
      </c>
      <c r="J322" s="3583">
        <f t="shared" si="12"/>
        <v>2.95</v>
      </c>
      <c r="K322" s="3583"/>
      <c r="L322" s="3583"/>
      <c r="M322" s="3583"/>
      <c r="N322" s="3583"/>
      <c r="O322" s="3583"/>
      <c r="P322" s="3583"/>
      <c r="Q322" s="3584"/>
      <c r="R322" s="3585"/>
      <c r="U322" s="3605"/>
      <c r="V322" s="3606"/>
      <c r="W322" s="3607"/>
      <c r="X322" s="3605"/>
      <c r="Y322" s="3606"/>
      <c r="Z322" s="3605"/>
      <c r="AA322" s="3606"/>
      <c r="AB322" s="3607"/>
      <c r="AC322" s="3606"/>
    </row>
    <row r="323" spans="2:29" s="3615" customFormat="1" x14ac:dyDescent="0.2">
      <c r="B323" s="3608"/>
      <c r="C323" s="3609"/>
      <c r="D323" s="3610"/>
      <c r="E323" s="3610"/>
      <c r="F323" s="3610"/>
      <c r="G323" s="3611" t="s">
        <v>2084</v>
      </c>
      <c r="H323" s="3612"/>
      <c r="I323" s="3612"/>
      <c r="J323" s="3612"/>
      <c r="K323" s="3612"/>
      <c r="L323" s="3612"/>
      <c r="M323" s="3612"/>
      <c r="N323" s="3612"/>
      <c r="O323" s="3612"/>
      <c r="P323" s="3612"/>
      <c r="Q323" s="3613">
        <f>SUM(P324:P328)</f>
        <v>46.349999999999994</v>
      </c>
      <c r="R323" s="3614"/>
      <c r="U323" s="3616"/>
      <c r="V323" s="3617"/>
      <c r="W323" s="3618"/>
      <c r="X323" s="3616"/>
      <c r="Y323" s="3617"/>
      <c r="Z323" s="3616"/>
      <c r="AA323" s="3617"/>
      <c r="AB323" s="3618"/>
      <c r="AC323" s="3617"/>
    </row>
    <row r="324" spans="2:29" s="3615" customFormat="1" x14ac:dyDescent="0.2">
      <c r="B324" s="3608"/>
      <c r="C324" s="3609"/>
      <c r="D324" s="3610"/>
      <c r="E324" s="3610"/>
      <c r="F324" s="3610"/>
      <c r="G324" s="3611" t="s">
        <v>1658</v>
      </c>
      <c r="H324" s="3612">
        <v>8</v>
      </c>
      <c r="I324" s="3612" t="s">
        <v>424</v>
      </c>
      <c r="J324" s="3612">
        <v>1</v>
      </c>
      <c r="K324" s="3612" t="s">
        <v>424</v>
      </c>
      <c r="L324" s="3612">
        <v>2.7</v>
      </c>
      <c r="M324" s="3612"/>
      <c r="N324" s="3612"/>
      <c r="O324" s="3612"/>
      <c r="P324" s="3612">
        <f>H324*J324*L324</f>
        <v>21.6</v>
      </c>
      <c r="Q324" s="3613"/>
      <c r="R324" s="3614"/>
      <c r="U324" s="3616"/>
      <c r="V324" s="3617"/>
      <c r="W324" s="3618"/>
      <c r="X324" s="3616"/>
      <c r="Y324" s="3617"/>
      <c r="Z324" s="3616"/>
      <c r="AA324" s="3617"/>
      <c r="AB324" s="3618"/>
      <c r="AC324" s="3617"/>
    </row>
    <row r="325" spans="2:29" s="3615" customFormat="1" x14ac:dyDescent="0.2">
      <c r="B325" s="3608"/>
      <c r="C325" s="3609"/>
      <c r="D325" s="3610"/>
      <c r="E325" s="3610"/>
      <c r="F325" s="3610"/>
      <c r="G325" s="3611" t="s">
        <v>2086</v>
      </c>
      <c r="H325" s="3612">
        <v>5</v>
      </c>
      <c r="I325" s="3612" t="s">
        <v>424</v>
      </c>
      <c r="J325" s="3612">
        <v>0.9</v>
      </c>
      <c r="K325" s="3612" t="s">
        <v>424</v>
      </c>
      <c r="L325" s="3612">
        <v>2.7</v>
      </c>
      <c r="M325" s="3612"/>
      <c r="N325" s="3612"/>
      <c r="O325" s="3612"/>
      <c r="P325" s="3612">
        <f t="shared" ref="P325:P327" si="13">H325*J325*L325</f>
        <v>12.15</v>
      </c>
      <c r="Q325" s="3613"/>
      <c r="R325" s="3614"/>
      <c r="U325" s="3616"/>
      <c r="V325" s="3617"/>
      <c r="W325" s="3618"/>
      <c r="X325" s="3616"/>
      <c r="Y325" s="3617"/>
      <c r="Z325" s="3616"/>
      <c r="AA325" s="3617"/>
      <c r="AB325" s="3618"/>
      <c r="AC325" s="3617"/>
    </row>
    <row r="326" spans="2:29" s="3615" customFormat="1" x14ac:dyDescent="0.2">
      <c r="B326" s="3608"/>
      <c r="C326" s="3609"/>
      <c r="D326" s="3610"/>
      <c r="E326" s="3610"/>
      <c r="F326" s="3610"/>
      <c r="G326" s="3611" t="s">
        <v>2087</v>
      </c>
      <c r="H326" s="3612">
        <v>1</v>
      </c>
      <c r="I326" s="3612" t="s">
        <v>424</v>
      </c>
      <c r="J326" s="3612">
        <v>0.8</v>
      </c>
      <c r="K326" s="3612" t="s">
        <v>424</v>
      </c>
      <c r="L326" s="3612">
        <v>2.7</v>
      </c>
      <c r="M326" s="3612"/>
      <c r="N326" s="3612"/>
      <c r="O326" s="3612"/>
      <c r="P326" s="3612">
        <f t="shared" si="13"/>
        <v>2.16</v>
      </c>
      <c r="Q326" s="3613"/>
      <c r="R326" s="3614"/>
      <c r="U326" s="3616"/>
      <c r="V326" s="3617"/>
      <c r="W326" s="3618"/>
      <c r="X326" s="3616"/>
      <c r="Y326" s="3617"/>
      <c r="Z326" s="3616"/>
      <c r="AA326" s="3617"/>
      <c r="AB326" s="3618"/>
      <c r="AC326" s="3617"/>
    </row>
    <row r="327" spans="2:29" s="3615" customFormat="1" x14ac:dyDescent="0.2">
      <c r="B327" s="3608"/>
      <c r="C327" s="3609"/>
      <c r="D327" s="3610"/>
      <c r="E327" s="3610"/>
      <c r="F327" s="3610"/>
      <c r="G327" s="3611" t="s">
        <v>1659</v>
      </c>
      <c r="H327" s="3612">
        <v>2</v>
      </c>
      <c r="I327" s="3612" t="s">
        <v>424</v>
      </c>
      <c r="J327" s="3612">
        <v>1.8</v>
      </c>
      <c r="K327" s="3612" t="s">
        <v>424</v>
      </c>
      <c r="L327" s="3612">
        <v>2.9</v>
      </c>
      <c r="M327" s="3612"/>
      <c r="N327" s="3612"/>
      <c r="O327" s="3612"/>
      <c r="P327" s="3612">
        <f t="shared" si="13"/>
        <v>10.44</v>
      </c>
      <c r="Q327" s="3613"/>
      <c r="R327" s="3614"/>
      <c r="U327" s="3616"/>
      <c r="V327" s="3617"/>
      <c r="W327" s="3618"/>
      <c r="X327" s="3616"/>
      <c r="Y327" s="3617"/>
      <c r="Z327" s="3616"/>
      <c r="AA327" s="3617"/>
      <c r="AB327" s="3618"/>
      <c r="AC327" s="3617"/>
    </row>
    <row r="328" spans="2:29" x14ac:dyDescent="0.2">
      <c r="B328" s="3586"/>
      <c r="C328" s="3587"/>
      <c r="D328" s="3582"/>
      <c r="E328" s="3582"/>
      <c r="F328" s="3582"/>
      <c r="G328" s="3593"/>
      <c r="H328" s="3583"/>
      <c r="I328" s="3583"/>
      <c r="J328" s="3583"/>
      <c r="K328" s="3583"/>
      <c r="L328" s="3583"/>
      <c r="M328" s="3583"/>
      <c r="N328" s="3583"/>
      <c r="O328" s="3583"/>
      <c r="P328" s="3583"/>
      <c r="Q328" s="3597"/>
      <c r="R328" s="3585"/>
    </row>
    <row r="329" spans="2:29" x14ac:dyDescent="0.2">
      <c r="B329" s="3586">
        <f>[6]RAB!B148</f>
        <v>3</v>
      </c>
      <c r="C329" s="3587" t="str">
        <f>[6]RAB!D148</f>
        <v>Memasang plesteran 1 PC : 6 PP, tebal 15 mm</v>
      </c>
      <c r="D329" s="3582"/>
      <c r="E329" s="3582"/>
      <c r="F329" s="3582"/>
      <c r="G329" s="3593"/>
      <c r="H329" s="3583">
        <v>2</v>
      </c>
      <c r="I329" s="3583" t="s">
        <v>424</v>
      </c>
      <c r="J329" s="3583">
        <f>Q287</f>
        <v>407.23250000000002</v>
      </c>
      <c r="K329" s="3583"/>
      <c r="L329" s="3583"/>
      <c r="M329" s="3583"/>
      <c r="N329" s="3583"/>
      <c r="O329" s="3583"/>
      <c r="P329" s="3583">
        <f>H329*J329</f>
        <v>814.46500000000003</v>
      </c>
      <c r="Q329" s="3584">
        <f>P329</f>
        <v>814.46500000000003</v>
      </c>
      <c r="R329" s="3585" t="str">
        <f>[6]RAB!H148</f>
        <v>m2</v>
      </c>
    </row>
    <row r="330" spans="2:29" x14ac:dyDescent="0.2">
      <c r="B330" s="3586">
        <f>[6]RAB!B149</f>
        <v>4</v>
      </c>
      <c r="C330" s="3587" t="str">
        <f>[6]RAB!D149</f>
        <v>Sponengan</v>
      </c>
      <c r="D330" s="3582"/>
      <c r="E330" s="3582"/>
      <c r="F330" s="3582"/>
      <c r="G330" s="3593"/>
      <c r="H330" s="3583"/>
      <c r="I330" s="3583"/>
      <c r="J330" s="3583"/>
      <c r="K330" s="3583"/>
      <c r="L330" s="3583"/>
      <c r="M330" s="3583"/>
      <c r="N330" s="3583"/>
      <c r="O330" s="3583"/>
      <c r="P330" s="3583"/>
      <c r="Q330" s="3597">
        <f>SUM(P331:P332)</f>
        <v>1006.24</v>
      </c>
      <c r="R330" s="3585" t="str">
        <f>[6]RAB!H149</f>
        <v>m'</v>
      </c>
    </row>
    <row r="331" spans="2:29" x14ac:dyDescent="0.2">
      <c r="B331" s="3586"/>
      <c r="C331" s="3587"/>
      <c r="D331" s="3582"/>
      <c r="E331" s="3582"/>
      <c r="F331" s="3582"/>
      <c r="G331" s="3593"/>
      <c r="H331" s="3583">
        <f>Q306</f>
        <v>143.56</v>
      </c>
      <c r="I331" s="3583" t="s">
        <v>424</v>
      </c>
      <c r="J331" s="3583">
        <v>4</v>
      </c>
      <c r="K331" s="3583"/>
      <c r="L331" s="3591"/>
      <c r="M331" s="3583"/>
      <c r="N331" s="3583"/>
      <c r="O331" s="3583"/>
      <c r="P331" s="3596">
        <f>H331*J331</f>
        <v>574.24</v>
      </c>
      <c r="Q331" s="3597"/>
      <c r="R331" s="3585"/>
    </row>
    <row r="332" spans="2:29" x14ac:dyDescent="0.2">
      <c r="B332" s="3586"/>
      <c r="C332" s="3587"/>
      <c r="D332" s="3582"/>
      <c r="E332" s="3582"/>
      <c r="F332" s="3582"/>
      <c r="G332" s="3593"/>
      <c r="H332" s="3583">
        <f>4+32</f>
        <v>36</v>
      </c>
      <c r="I332" s="3583" t="s">
        <v>424</v>
      </c>
      <c r="J332" s="3583">
        <v>4</v>
      </c>
      <c r="K332" s="3583" t="s">
        <v>424</v>
      </c>
      <c r="L332" s="3591">
        <v>3</v>
      </c>
      <c r="M332" s="3583"/>
      <c r="N332" s="3583"/>
      <c r="O332" s="3583"/>
      <c r="P332" s="3596">
        <f>H332*J332*L332</f>
        <v>432</v>
      </c>
      <c r="Q332" s="3584"/>
      <c r="R332" s="3585"/>
      <c r="U332" s="3605"/>
      <c r="V332" s="3606"/>
      <c r="W332" s="3607"/>
      <c r="X332" s="3605"/>
      <c r="Y332" s="3606"/>
      <c r="Z332" s="3605"/>
      <c r="AA332" s="3606"/>
      <c r="AB332" s="3607"/>
      <c r="AC332" s="3606"/>
    </row>
    <row r="333" spans="2:29" x14ac:dyDescent="0.2">
      <c r="B333" s="3586"/>
      <c r="C333" s="3587" t="str">
        <f>[6]RAB!D150</f>
        <v>Memasang acian</v>
      </c>
      <c r="D333" s="3582"/>
      <c r="E333" s="3582"/>
      <c r="F333" s="3582"/>
      <c r="G333" s="3593"/>
      <c r="H333" s="3583"/>
      <c r="I333" s="3583"/>
      <c r="J333" s="3583"/>
      <c r="K333" s="3583"/>
      <c r="L333" s="3583"/>
      <c r="M333" s="3583"/>
      <c r="N333" s="3583"/>
      <c r="O333" s="3583"/>
      <c r="P333" s="3583"/>
      <c r="Q333" s="3597">
        <f>P334-P335</f>
        <v>754.95699999999999</v>
      </c>
      <c r="R333" s="3585" t="str">
        <f>[6]RAB!H150</f>
        <v>m2</v>
      </c>
    </row>
    <row r="334" spans="2:29" x14ac:dyDescent="0.2">
      <c r="B334" s="3586"/>
      <c r="C334" s="3587"/>
      <c r="D334" s="3582"/>
      <c r="E334" s="3582"/>
      <c r="F334" s="3582"/>
      <c r="G334" s="3593" t="s">
        <v>2095</v>
      </c>
      <c r="H334" s="3583"/>
      <c r="I334" s="3583"/>
      <c r="J334" s="3583"/>
      <c r="K334" s="3583"/>
      <c r="L334" s="3583"/>
      <c r="M334" s="3583"/>
      <c r="N334" s="3583"/>
      <c r="O334" s="3583"/>
      <c r="P334" s="3583">
        <f>Q329</f>
        <v>814.46500000000003</v>
      </c>
      <c r="Q334" s="3597"/>
      <c r="R334" s="3585"/>
    </row>
    <row r="335" spans="2:29" x14ac:dyDescent="0.2">
      <c r="B335" s="3586"/>
      <c r="C335" s="3587"/>
      <c r="D335" s="3582"/>
      <c r="E335" s="3582"/>
      <c r="F335" s="3590" t="s">
        <v>2099</v>
      </c>
      <c r="G335" s="3593" t="s">
        <v>2100</v>
      </c>
      <c r="H335" s="3583"/>
      <c r="I335" s="3583"/>
      <c r="J335" s="3583"/>
      <c r="K335" s="3583"/>
      <c r="L335" s="3583"/>
      <c r="M335" s="3583"/>
      <c r="N335" s="3583"/>
      <c r="O335" s="3583"/>
      <c r="P335" s="3583">
        <f>Q380</f>
        <v>59.508000000000017</v>
      </c>
      <c r="Q335" s="3597"/>
      <c r="R335" s="3585"/>
    </row>
    <row r="336" spans="2:29" x14ac:dyDescent="0.2">
      <c r="B336" s="3586"/>
      <c r="C336" s="3587"/>
      <c r="D336" s="3582"/>
      <c r="E336" s="3582"/>
      <c r="F336" s="3582"/>
      <c r="G336" s="3593"/>
      <c r="H336" s="3594"/>
      <c r="I336" s="3583"/>
      <c r="J336" s="3583"/>
      <c r="K336" s="3583"/>
      <c r="L336" s="3583"/>
      <c r="M336" s="3583"/>
      <c r="N336" s="3591"/>
      <c r="O336" s="3583"/>
      <c r="P336" s="3583"/>
      <c r="Q336" s="3597"/>
      <c r="R336" s="3585"/>
    </row>
    <row r="337" spans="2:18" x14ac:dyDescent="0.2">
      <c r="B337" s="3592" t="str">
        <f>[6]RAB!B152</f>
        <v>F.</v>
      </c>
      <c r="C337" s="3581" t="str">
        <f>[6]RAB!D152</f>
        <v>PEKERJAAN PENUTUP LANTAI DAN DINDING</v>
      </c>
      <c r="D337" s="3582"/>
      <c r="E337" s="3582"/>
      <c r="F337" s="3582"/>
      <c r="G337" s="3593"/>
      <c r="H337" s="3594"/>
      <c r="I337" s="3583"/>
      <c r="J337" s="3583"/>
      <c r="K337" s="3583"/>
      <c r="L337" s="3583"/>
      <c r="M337" s="3583"/>
      <c r="N337" s="3591"/>
      <c r="O337" s="3583"/>
      <c r="P337" s="3583"/>
      <c r="Q337" s="3584"/>
      <c r="R337" s="3585"/>
    </row>
    <row r="338" spans="2:18" x14ac:dyDescent="0.2">
      <c r="B338" s="3592"/>
      <c r="C338" s="3581" t="str">
        <f>[6]RAB!D153</f>
        <v>LANTAI 1</v>
      </c>
      <c r="D338" s="3582"/>
      <c r="E338" s="3582"/>
      <c r="F338" s="3582"/>
      <c r="G338" s="3593"/>
      <c r="H338" s="3594"/>
      <c r="I338" s="3583"/>
      <c r="J338" s="3583"/>
      <c r="K338" s="3583"/>
      <c r="L338" s="3583"/>
      <c r="M338" s="3583"/>
      <c r="N338" s="3591"/>
      <c r="O338" s="3583"/>
      <c r="P338" s="3583"/>
      <c r="Q338" s="3584"/>
      <c r="R338" s="3585"/>
    </row>
    <row r="339" spans="2:18" x14ac:dyDescent="0.2">
      <c r="B339" s="3586">
        <f>[6]RAB!B154</f>
        <v>1</v>
      </c>
      <c r="C339" s="3587" t="str">
        <f>[6]RAB!D154</f>
        <v>Membuat lantai kerja beton mutu f'c = 7,4 Mpa, T : 8 cm</v>
      </c>
      <c r="D339" s="3582"/>
      <c r="E339" s="3582"/>
      <c r="F339" s="3582"/>
      <c r="G339" s="3593"/>
      <c r="H339" s="3583">
        <v>35.700000000000003</v>
      </c>
      <c r="I339" s="3583" t="s">
        <v>424</v>
      </c>
      <c r="J339" s="3583">
        <v>23.5</v>
      </c>
      <c r="K339" s="3583" t="s">
        <v>424</v>
      </c>
      <c r="L339" s="3583">
        <v>0.08</v>
      </c>
      <c r="M339" s="3583"/>
      <c r="N339" s="3591"/>
      <c r="O339" s="3583"/>
      <c r="P339" s="3583">
        <f>H339*J339*L339</f>
        <v>67.116</v>
      </c>
      <c r="Q339" s="3584">
        <f>P339</f>
        <v>67.116</v>
      </c>
      <c r="R339" s="3585" t="str">
        <f>[6]RAB!H154</f>
        <v>m3</v>
      </c>
    </row>
    <row r="340" spans="2:18" x14ac:dyDescent="0.2">
      <c r="B340" s="3586">
        <f>[6]RAB!B155</f>
        <v>2</v>
      </c>
      <c r="C340" s="3587" t="str">
        <f>[6]RAB!D155</f>
        <v>Memasang lantai homogenius tile polished ( 60 x 60 ) cm</v>
      </c>
      <c r="D340" s="3582"/>
      <c r="E340" s="3582"/>
      <c r="F340" s="3582"/>
      <c r="G340" s="3593"/>
      <c r="H340" s="3594"/>
      <c r="I340" s="3583"/>
      <c r="J340" s="3583"/>
      <c r="K340" s="3583"/>
      <c r="L340" s="3583"/>
      <c r="M340" s="3583"/>
      <c r="N340" s="3591"/>
      <c r="O340" s="3583"/>
      <c r="P340" s="3583"/>
      <c r="Q340" s="3584">
        <f>(P341+Q344)-Q342</f>
        <v>742.51</v>
      </c>
      <c r="R340" s="3585" t="str">
        <f>[6]RAB!H155</f>
        <v>m2</v>
      </c>
    </row>
    <row r="341" spans="2:18" x14ac:dyDescent="0.2">
      <c r="B341" s="3586"/>
      <c r="C341" s="3587"/>
      <c r="D341" s="3582"/>
      <c r="E341" s="3582"/>
      <c r="F341" s="3582"/>
      <c r="G341" s="3593" t="s">
        <v>2101</v>
      </c>
      <c r="H341" s="3583">
        <v>35.5</v>
      </c>
      <c r="I341" s="3583" t="s">
        <v>424</v>
      </c>
      <c r="J341" s="3583">
        <v>21.5</v>
      </c>
      <c r="K341" s="3583"/>
      <c r="L341" s="3583"/>
      <c r="M341" s="3583"/>
      <c r="N341" s="3591"/>
      <c r="O341" s="3583"/>
      <c r="P341" s="3583">
        <f>H341*J341</f>
        <v>763.25</v>
      </c>
      <c r="Q341" s="3584"/>
      <c r="R341" s="3585"/>
    </row>
    <row r="342" spans="2:18" x14ac:dyDescent="0.2">
      <c r="B342" s="3586"/>
      <c r="C342" s="3587"/>
      <c r="D342" s="3582"/>
      <c r="E342" s="3582"/>
      <c r="F342" s="3582"/>
      <c r="G342" s="3593" t="s">
        <v>2099</v>
      </c>
      <c r="H342" s="3583">
        <f>0.65*6</f>
        <v>3.9000000000000004</v>
      </c>
      <c r="I342" s="3583"/>
      <c r="J342" s="3583"/>
      <c r="K342" s="3583"/>
      <c r="L342" s="3583"/>
      <c r="M342" s="3583"/>
      <c r="N342" s="3591"/>
      <c r="O342" s="3583"/>
      <c r="P342" s="3583">
        <f>SUM(H342:H343)</f>
        <v>22.740000000000002</v>
      </c>
      <c r="Q342" s="3584">
        <f>SUM(P342:P343)</f>
        <v>22.740000000000002</v>
      </c>
      <c r="R342" s="3585"/>
    </row>
    <row r="343" spans="2:18" x14ac:dyDescent="0.2">
      <c r="B343" s="3586"/>
      <c r="C343" s="3587"/>
      <c r="D343" s="3582"/>
      <c r="E343" s="3582"/>
      <c r="F343" s="3582"/>
      <c r="G343" s="3593"/>
      <c r="H343" s="3583">
        <f>Q360</f>
        <v>18.840000000000003</v>
      </c>
      <c r="I343" s="3583"/>
      <c r="J343" s="3583"/>
      <c r="K343" s="3583"/>
      <c r="L343" s="3583"/>
      <c r="M343" s="3583"/>
      <c r="N343" s="3591"/>
      <c r="O343" s="3583"/>
      <c r="P343" s="3583"/>
      <c r="Q343" s="3584"/>
      <c r="R343" s="3585"/>
    </row>
    <row r="344" spans="2:18" x14ac:dyDescent="0.2">
      <c r="B344" s="3586"/>
      <c r="C344" s="3587"/>
      <c r="D344" s="3582"/>
      <c r="E344" s="3582"/>
      <c r="F344" s="3582"/>
      <c r="G344" s="3593" t="s">
        <v>2102</v>
      </c>
      <c r="H344" s="3583"/>
      <c r="I344" s="3583"/>
      <c r="J344" s="3583"/>
      <c r="K344" s="3583"/>
      <c r="L344" s="3583"/>
      <c r="M344" s="3583"/>
      <c r="N344" s="3591"/>
      <c r="O344" s="3583"/>
      <c r="P344" s="3583"/>
      <c r="Q344" s="3584">
        <f>SUM(P345:P345)</f>
        <v>2</v>
      </c>
      <c r="R344" s="3585"/>
    </row>
    <row r="345" spans="2:18" x14ac:dyDescent="0.2">
      <c r="B345" s="3586"/>
      <c r="C345" s="3587"/>
      <c r="D345" s="3582"/>
      <c r="E345" s="3582"/>
      <c r="F345" s="3582"/>
      <c r="G345" s="3593" t="s">
        <v>2103</v>
      </c>
      <c r="H345" s="3583">
        <v>2</v>
      </c>
      <c r="I345" s="3583" t="s">
        <v>807</v>
      </c>
      <c r="J345" s="3583">
        <v>1</v>
      </c>
      <c r="K345" s="3583"/>
      <c r="L345" s="3583"/>
      <c r="M345" s="3583"/>
      <c r="N345" s="3591"/>
      <c r="O345" s="3583"/>
      <c r="P345" s="3588">
        <f>H345*J345</f>
        <v>2</v>
      </c>
      <c r="Q345" s="3597"/>
      <c r="R345" s="3585"/>
    </row>
    <row r="346" spans="2:18" x14ac:dyDescent="0.2">
      <c r="B346" s="3586"/>
      <c r="C346" s="3587"/>
      <c r="D346" s="3582"/>
      <c r="E346" s="3582"/>
      <c r="F346" s="3582"/>
      <c r="G346" s="3593"/>
      <c r="H346" s="3583"/>
      <c r="I346" s="3583"/>
      <c r="J346" s="3583"/>
      <c r="K346" s="3583"/>
      <c r="L346" s="3583"/>
      <c r="M346" s="3583"/>
      <c r="N346" s="3591"/>
      <c r="O346" s="3583"/>
      <c r="P346" s="3583"/>
      <c r="Q346" s="3584"/>
      <c r="R346" s="3585"/>
    </row>
    <row r="347" spans="2:18" x14ac:dyDescent="0.2">
      <c r="B347" s="3586">
        <f>[6]RAB!B156</f>
        <v>3</v>
      </c>
      <c r="C347" s="3587" t="str">
        <f>[6]RAB!D156</f>
        <v>Memasang lantai homogenius tile unpolished ( 60 x 60 ) cm</v>
      </c>
      <c r="D347" s="3582"/>
      <c r="E347" s="3582"/>
      <c r="F347" s="3582"/>
      <c r="G347" s="3593"/>
      <c r="H347" s="3583"/>
      <c r="I347" s="3583"/>
      <c r="J347" s="3583"/>
      <c r="K347" s="3583"/>
      <c r="L347" s="3583"/>
      <c r="M347" s="3583"/>
      <c r="N347" s="3591"/>
      <c r="O347" s="3583"/>
      <c r="P347" s="3583"/>
      <c r="Q347" s="3584">
        <f>SUM(P348:P351)</f>
        <v>80.600000000000009</v>
      </c>
      <c r="R347" s="3585" t="str">
        <f>[6]RAB!H156</f>
        <v>m2</v>
      </c>
    </row>
    <row r="348" spans="2:18" x14ac:dyDescent="0.2">
      <c r="B348" s="3586"/>
      <c r="C348" s="3587"/>
      <c r="D348" s="3582"/>
      <c r="E348" s="3582"/>
      <c r="F348" s="3582"/>
      <c r="G348" s="3593" t="s">
        <v>2104</v>
      </c>
      <c r="H348" s="3583">
        <v>22.1</v>
      </c>
      <c r="I348" s="3583" t="s">
        <v>424</v>
      </c>
      <c r="J348" s="3583">
        <v>2</v>
      </c>
      <c r="K348" s="3583"/>
      <c r="L348" s="3583"/>
      <c r="M348" s="3583"/>
      <c r="N348" s="3591"/>
      <c r="O348" s="3583"/>
      <c r="P348" s="3583">
        <f>H348*J348</f>
        <v>44.2</v>
      </c>
      <c r="Q348" s="3584"/>
      <c r="R348" s="3585"/>
    </row>
    <row r="349" spans="2:18" x14ac:dyDescent="0.2">
      <c r="B349" s="3586"/>
      <c r="C349" s="3587"/>
      <c r="D349" s="3582"/>
      <c r="E349" s="3582"/>
      <c r="F349" s="3582"/>
      <c r="G349" s="3593" t="s">
        <v>2105</v>
      </c>
      <c r="H349" s="3583">
        <v>6</v>
      </c>
      <c r="I349" s="3583" t="s">
        <v>424</v>
      </c>
      <c r="J349" s="3583">
        <v>0.9</v>
      </c>
      <c r="K349" s="3583" t="s">
        <v>424</v>
      </c>
      <c r="L349" s="3583">
        <v>2</v>
      </c>
      <c r="M349" s="3583"/>
      <c r="N349" s="3591"/>
      <c r="O349" s="3583"/>
      <c r="P349" s="3583">
        <f>H349*J349*L349</f>
        <v>10.8</v>
      </c>
      <c r="Q349" s="3584"/>
      <c r="R349" s="3585"/>
    </row>
    <row r="350" spans="2:18" x14ac:dyDescent="0.2">
      <c r="B350" s="3586"/>
      <c r="C350" s="3587"/>
      <c r="D350" s="3582"/>
      <c r="E350" s="3582"/>
      <c r="F350" s="3582"/>
      <c r="G350" s="3593" t="s">
        <v>2106</v>
      </c>
      <c r="H350" s="3583">
        <v>4.5999999999999996</v>
      </c>
      <c r="I350" s="3583" t="s">
        <v>424</v>
      </c>
      <c r="J350" s="3583">
        <v>2</v>
      </c>
      <c r="K350" s="3583" t="s">
        <v>424</v>
      </c>
      <c r="L350" s="3583">
        <v>2</v>
      </c>
      <c r="M350" s="3583"/>
      <c r="N350" s="3591"/>
      <c r="O350" s="3583"/>
      <c r="P350" s="3583">
        <f>H350*J350*L350</f>
        <v>18.399999999999999</v>
      </c>
      <c r="Q350" s="3584"/>
      <c r="R350" s="3585"/>
    </row>
    <row r="351" spans="2:18" x14ac:dyDescent="0.2">
      <c r="B351" s="3586"/>
      <c r="C351" s="3587"/>
      <c r="D351" s="3582"/>
      <c r="E351" s="3582"/>
      <c r="F351" s="3582"/>
      <c r="G351" s="3593" t="s">
        <v>2107</v>
      </c>
      <c r="H351" s="3583">
        <v>1.8</v>
      </c>
      <c r="I351" s="3583"/>
      <c r="J351" s="3583">
        <v>2</v>
      </c>
      <c r="K351" s="3583" t="s">
        <v>424</v>
      </c>
      <c r="L351" s="3583">
        <v>2</v>
      </c>
      <c r="M351" s="3583"/>
      <c r="N351" s="3591"/>
      <c r="O351" s="3583"/>
      <c r="P351" s="3583">
        <f>H351*J351*L351</f>
        <v>7.2</v>
      </c>
      <c r="Q351" s="3584"/>
      <c r="R351" s="3585"/>
    </row>
    <row r="352" spans="2:18" x14ac:dyDescent="0.2">
      <c r="B352" s="3586">
        <f>[6]RAB!B157</f>
        <v>4</v>
      </c>
      <c r="C352" s="3587" t="str">
        <f>[6]RAB!D157</f>
        <v>Memasang dinding Homogenius tile  uk. (30x60) cm</v>
      </c>
      <c r="D352" s="3582"/>
      <c r="E352" s="3582"/>
      <c r="F352" s="3582"/>
      <c r="G352" s="3593"/>
      <c r="H352" s="3594"/>
      <c r="I352" s="3583"/>
      <c r="J352" s="3583"/>
      <c r="K352" s="3583"/>
      <c r="L352" s="3583"/>
      <c r="M352" s="3583"/>
      <c r="N352" s="3591"/>
      <c r="O352" s="3583"/>
      <c r="P352" s="3583"/>
      <c r="Q352" s="3584">
        <f>SUM(P353:P355)</f>
        <v>67.824000000000012</v>
      </c>
      <c r="R352" s="3585" t="str">
        <f>[6]RAB!H157</f>
        <v>m2</v>
      </c>
    </row>
    <row r="353" spans="2:20" x14ac:dyDescent="0.2">
      <c r="B353" s="3586"/>
      <c r="C353" s="3587"/>
      <c r="D353" s="3582"/>
      <c r="E353" s="3582"/>
      <c r="F353" s="3582"/>
      <c r="G353" s="3593" t="s">
        <v>2108</v>
      </c>
      <c r="H353" s="3583">
        <v>1.1000000000000001</v>
      </c>
      <c r="I353" s="3583" t="s">
        <v>424</v>
      </c>
      <c r="J353" s="3583">
        <v>2.1</v>
      </c>
      <c r="K353" s="3583" t="s">
        <v>424</v>
      </c>
      <c r="L353" s="3624">
        <v>1.8</v>
      </c>
      <c r="M353" s="3583" t="s">
        <v>424</v>
      </c>
      <c r="N353" s="3591">
        <v>4</v>
      </c>
      <c r="O353" s="3583"/>
      <c r="P353" s="3583">
        <f>((H353*J353)*2)*L353*N353</f>
        <v>33.26400000000001</v>
      </c>
      <c r="Q353" s="3584"/>
      <c r="R353" s="3585"/>
    </row>
    <row r="354" spans="2:20" x14ac:dyDescent="0.2">
      <c r="B354" s="3586"/>
      <c r="C354" s="3587"/>
      <c r="D354" s="3582"/>
      <c r="E354" s="3582"/>
      <c r="F354" s="3582"/>
      <c r="G354" s="3593" t="s">
        <v>2109</v>
      </c>
      <c r="H354" s="3583">
        <v>1.6</v>
      </c>
      <c r="I354" s="3583" t="s">
        <v>424</v>
      </c>
      <c r="J354" s="3583">
        <v>1.5</v>
      </c>
      <c r="K354" s="3583" t="s">
        <v>424</v>
      </c>
      <c r="L354" s="3624">
        <f>L353</f>
        <v>1.8</v>
      </c>
      <c r="M354" s="3583" t="s">
        <v>424</v>
      </c>
      <c r="N354" s="3591">
        <v>4</v>
      </c>
      <c r="O354" s="3583"/>
      <c r="P354" s="3583">
        <f>((H354*J354)*2)*L354*N354</f>
        <v>34.560000000000009</v>
      </c>
      <c r="Q354" s="3584"/>
      <c r="R354" s="3585"/>
    </row>
    <row r="355" spans="2:20" x14ac:dyDescent="0.2">
      <c r="B355" s="3586"/>
      <c r="C355" s="3587"/>
      <c r="D355" s="3582"/>
      <c r="E355" s="3582"/>
      <c r="F355" s="3582"/>
      <c r="G355" s="3593"/>
      <c r="H355" s="3583"/>
      <c r="I355" s="3583"/>
      <c r="J355" s="3583"/>
      <c r="K355" s="3583"/>
      <c r="L355" s="3624"/>
      <c r="M355" s="3583"/>
      <c r="N355" s="3591"/>
      <c r="O355" s="3583"/>
      <c r="P355" s="3583"/>
      <c r="Q355" s="3584"/>
      <c r="R355" s="3585"/>
    </row>
    <row r="356" spans="2:20" x14ac:dyDescent="0.2">
      <c r="B356" s="3586">
        <f>[6]RAB!B158</f>
        <v>5</v>
      </c>
      <c r="C356" s="3587" t="str">
        <f>[6]RAB!D158</f>
        <v xml:space="preserve">Pasang batu andesit </v>
      </c>
      <c r="D356" s="3582"/>
      <c r="E356" s="3582"/>
      <c r="F356" s="3582"/>
      <c r="G356" s="3593"/>
      <c r="H356" s="3583">
        <v>110</v>
      </c>
      <c r="I356" s="3583" t="s">
        <v>424</v>
      </c>
      <c r="J356" s="3583">
        <v>1.8</v>
      </c>
      <c r="K356" s="3583"/>
      <c r="L356" s="3583"/>
      <c r="M356" s="3583"/>
      <c r="N356" s="3591"/>
      <c r="O356" s="3583"/>
      <c r="P356" s="3583">
        <f>H356*J356</f>
        <v>198</v>
      </c>
      <c r="Q356" s="3584">
        <f>SUM(P356)</f>
        <v>198</v>
      </c>
      <c r="R356" s="3585" t="str">
        <f>[6]RAB!H158</f>
        <v>m2</v>
      </c>
    </row>
    <row r="357" spans="2:20" x14ac:dyDescent="0.2">
      <c r="B357" s="3586"/>
      <c r="C357" s="3587"/>
      <c r="D357" s="3582"/>
      <c r="E357" s="3582"/>
      <c r="F357" s="3582"/>
      <c r="G357" s="3593"/>
      <c r="H357" s="3583"/>
      <c r="I357" s="3583"/>
      <c r="J357" s="3583"/>
      <c r="K357" s="3583"/>
      <c r="L357" s="3583"/>
      <c r="M357" s="3583"/>
      <c r="N357" s="3591"/>
      <c r="O357" s="3583"/>
      <c r="P357" s="3583"/>
      <c r="Q357" s="3584"/>
      <c r="R357" s="3585"/>
    </row>
    <row r="358" spans="2:20" x14ac:dyDescent="0.2">
      <c r="B358" s="3586">
        <f>[6]RAB!B159</f>
        <v>6</v>
      </c>
      <c r="C358" s="3587" t="str">
        <f>[6]RAB!D159</f>
        <v>Memasang paving tb. 8 cm, K.250, polos</v>
      </c>
      <c r="D358" s="3582"/>
      <c r="E358" s="3582"/>
      <c r="F358" s="3582"/>
      <c r="G358" s="3593"/>
      <c r="H358" s="3583">
        <v>971.85</v>
      </c>
      <c r="I358" s="3589" t="s">
        <v>805</v>
      </c>
      <c r="J358" s="3583">
        <v>788.32</v>
      </c>
      <c r="K358" s="3583"/>
      <c r="L358" s="3583"/>
      <c r="M358" s="3583"/>
      <c r="N358" s="3591"/>
      <c r="O358" s="3583"/>
      <c r="P358" s="3583">
        <f>H358-J358</f>
        <v>183.52999999999997</v>
      </c>
      <c r="Q358" s="3584">
        <f>SUM(P358:P359)</f>
        <v>183.52999999999997</v>
      </c>
      <c r="R358" s="3585" t="str">
        <f>[6]RAB!H159</f>
        <v>m2</v>
      </c>
    </row>
    <row r="359" spans="2:20" x14ac:dyDescent="0.2">
      <c r="B359" s="3586"/>
      <c r="C359" s="3587"/>
      <c r="D359" s="3582"/>
      <c r="E359" s="3582"/>
      <c r="F359" s="3582"/>
      <c r="G359" s="3593"/>
      <c r="H359" s="3594"/>
      <c r="I359" s="3583"/>
      <c r="J359" s="3583"/>
      <c r="K359" s="3583"/>
      <c r="L359" s="3583"/>
      <c r="M359" s="3583"/>
      <c r="N359" s="3591"/>
      <c r="O359" s="3583"/>
      <c r="P359" s="3583"/>
      <c r="Q359" s="3584"/>
      <c r="R359" s="3585"/>
    </row>
    <row r="360" spans="2:20" x14ac:dyDescent="0.2">
      <c r="B360" s="3586">
        <f>[6]RAB!B160</f>
        <v>7</v>
      </c>
      <c r="C360" s="3587" t="str">
        <f>[6]RAB!D160</f>
        <v xml:space="preserve">Memasang lantai keramik unpolish ukuran 30/30 cm </v>
      </c>
      <c r="D360" s="3582"/>
      <c r="E360" s="3582"/>
      <c r="F360" s="3582"/>
      <c r="G360" s="3593"/>
      <c r="H360" s="3583"/>
      <c r="I360" s="3583"/>
      <c r="J360" s="3583"/>
      <c r="K360" s="3583"/>
      <c r="L360" s="3583"/>
      <c r="M360" s="3583"/>
      <c r="N360" s="3591"/>
      <c r="O360" s="3583"/>
      <c r="P360" s="3583"/>
      <c r="Q360" s="3584">
        <f>SUM(P361:P362)</f>
        <v>18.840000000000003</v>
      </c>
      <c r="R360" s="3585" t="str">
        <f>[6]RAB!H160</f>
        <v>m2</v>
      </c>
      <c r="T360" s="3625"/>
    </row>
    <row r="361" spans="2:20" x14ac:dyDescent="0.2">
      <c r="B361" s="3586"/>
      <c r="C361" s="3587"/>
      <c r="D361" s="3582"/>
      <c r="E361" s="3582"/>
      <c r="F361" s="3582"/>
      <c r="G361" s="3593"/>
      <c r="H361" s="3583">
        <f>H353</f>
        <v>1.1000000000000001</v>
      </c>
      <c r="I361" s="3583" t="s">
        <v>424</v>
      </c>
      <c r="J361" s="3583">
        <f>J353</f>
        <v>2.1</v>
      </c>
      <c r="K361" s="3583" t="s">
        <v>424</v>
      </c>
      <c r="L361" s="3583">
        <f>N353</f>
        <v>4</v>
      </c>
      <c r="M361" s="3583"/>
      <c r="N361" s="3591"/>
      <c r="O361" s="3583"/>
      <c r="P361" s="3583">
        <f>H361*J361*L361</f>
        <v>9.240000000000002</v>
      </c>
      <c r="Q361" s="3584"/>
      <c r="R361" s="3585"/>
      <c r="T361" s="3625"/>
    </row>
    <row r="362" spans="2:20" x14ac:dyDescent="0.2">
      <c r="B362" s="3586"/>
      <c r="C362" s="3587"/>
      <c r="D362" s="3582"/>
      <c r="E362" s="3582"/>
      <c r="F362" s="3582"/>
      <c r="G362" s="3593"/>
      <c r="H362" s="3583">
        <f>H354</f>
        <v>1.6</v>
      </c>
      <c r="I362" s="3583" t="s">
        <v>424</v>
      </c>
      <c r="J362" s="3583">
        <f>J354</f>
        <v>1.5</v>
      </c>
      <c r="K362" s="3583" t="s">
        <v>424</v>
      </c>
      <c r="L362" s="3583">
        <f>N354</f>
        <v>4</v>
      </c>
      <c r="M362" s="3583"/>
      <c r="N362" s="3591"/>
      <c r="O362" s="3583"/>
      <c r="P362" s="3583">
        <f>H362*J362*L362</f>
        <v>9.6000000000000014</v>
      </c>
      <c r="Q362" s="3584"/>
      <c r="R362" s="3585"/>
      <c r="T362" s="3625"/>
    </row>
    <row r="363" spans="2:20" x14ac:dyDescent="0.2">
      <c r="B363" s="3586"/>
      <c r="C363" s="3587"/>
      <c r="D363" s="3582"/>
      <c r="E363" s="3582"/>
      <c r="F363" s="3582"/>
      <c r="G363" s="3593"/>
      <c r="H363" s="3594"/>
      <c r="I363" s="3583"/>
      <c r="J363" s="3583"/>
      <c r="K363" s="3583"/>
      <c r="L363" s="3583"/>
      <c r="M363" s="3583"/>
      <c r="N363" s="3591"/>
      <c r="O363" s="3583"/>
      <c r="P363" s="3583"/>
      <c r="Q363" s="3584"/>
      <c r="R363" s="3585"/>
    </row>
    <row r="364" spans="2:20" x14ac:dyDescent="0.2">
      <c r="B364" s="3586">
        <f>[6]RAB!B161</f>
        <v>8</v>
      </c>
      <c r="C364" s="3587" t="str">
        <f>[6]RAB!D161</f>
        <v>Memasang plint lantai Homogenius tile uk. (10 x 60) cm</v>
      </c>
      <c r="D364" s="3582"/>
      <c r="E364" s="3582"/>
      <c r="F364" s="3582"/>
      <c r="G364" s="3593"/>
      <c r="H364" s="3594"/>
      <c r="I364" s="3583"/>
      <c r="J364" s="3583"/>
      <c r="K364" s="3583"/>
      <c r="L364" s="3583"/>
      <c r="M364" s="3583"/>
      <c r="N364" s="3583"/>
      <c r="O364" s="3583"/>
      <c r="P364" s="3596"/>
      <c r="Q364" s="3597">
        <f>H365</f>
        <v>614.89999999999964</v>
      </c>
      <c r="R364" s="3585" t="str">
        <f>[6]RAB!H161</f>
        <v>m'</v>
      </c>
    </row>
    <row r="365" spans="2:20" x14ac:dyDescent="0.2">
      <c r="B365" s="3586"/>
      <c r="C365" s="3587"/>
      <c r="D365" s="3582"/>
      <c r="E365" s="3582"/>
      <c r="F365" s="3582"/>
      <c r="G365" s="3593"/>
      <c r="H365" s="3583">
        <f>14.4+10.4+9.55+20.35+29.4+17.7+8.4+9.4+7.9+27.4+82.4+9.2+8+14.4+8.7+15.4+15.4+24+21.4+17.4+16.2+11.4+11.4+17.7+11.4+11.4+28.4+29.4+11.4+17.4+23.4+17.4+17.4+19.4</f>
        <v>614.89999999999964</v>
      </c>
      <c r="I365" s="3583"/>
      <c r="J365" s="3583"/>
      <c r="K365" s="3583"/>
      <c r="L365" s="3583"/>
      <c r="M365" s="3583"/>
      <c r="N365" s="3583"/>
      <c r="O365" s="3583"/>
      <c r="P365" s="3596"/>
      <c r="Q365" s="3597"/>
      <c r="R365" s="3585"/>
    </row>
    <row r="366" spans="2:20" x14ac:dyDescent="0.2">
      <c r="B366" s="3586"/>
      <c r="C366" s="3587"/>
      <c r="D366" s="3582"/>
      <c r="E366" s="3582"/>
      <c r="F366" s="3582"/>
      <c r="G366" s="3593"/>
      <c r="H366" s="3583"/>
      <c r="I366" s="3583"/>
      <c r="J366" s="3583"/>
      <c r="K366" s="3583"/>
      <c r="L366" s="3583"/>
      <c r="M366" s="3583"/>
      <c r="N366" s="3591"/>
      <c r="O366" s="3583"/>
      <c r="P366" s="3583"/>
      <c r="Q366" s="3584"/>
      <c r="R366" s="3585"/>
    </row>
    <row r="367" spans="2:20" x14ac:dyDescent="0.2">
      <c r="B367" s="3586">
        <f>[6]RAB!B162</f>
        <v>9</v>
      </c>
      <c r="C367" s="3587" t="str">
        <f>[6]RAB!D162</f>
        <v>Memasang step nosing</v>
      </c>
      <c r="D367" s="3582"/>
      <c r="E367" s="3582"/>
      <c r="F367" s="3582"/>
      <c r="G367" s="3593"/>
      <c r="H367" s="3583"/>
      <c r="I367" s="3583"/>
      <c r="J367" s="3583"/>
      <c r="K367" s="3583"/>
      <c r="L367" s="3583"/>
      <c r="M367" s="3583"/>
      <c r="N367" s="3591"/>
      <c r="O367" s="3583"/>
      <c r="P367" s="3583">
        <f>SUM(P368:P370)</f>
        <v>175.4</v>
      </c>
      <c r="Q367" s="3584">
        <f>P367</f>
        <v>175.4</v>
      </c>
      <c r="R367" s="3585" t="str">
        <f>[6]RAB!H162</f>
        <v>m'</v>
      </c>
    </row>
    <row r="368" spans="2:20" x14ac:dyDescent="0.2">
      <c r="B368" s="3586"/>
      <c r="C368" s="3587"/>
      <c r="D368" s="3582"/>
      <c r="E368" s="3582"/>
      <c r="F368" s="3582"/>
      <c r="G368" s="3593" t="s">
        <v>2110</v>
      </c>
      <c r="H368" s="3583">
        <f>H348</f>
        <v>22.1</v>
      </c>
      <c r="I368" s="3583" t="s">
        <v>424</v>
      </c>
      <c r="J368" s="3583">
        <f>4</f>
        <v>4</v>
      </c>
      <c r="K368" s="3583"/>
      <c r="L368" s="3583"/>
      <c r="M368" s="3583"/>
      <c r="N368" s="3591"/>
      <c r="O368" s="3583"/>
      <c r="P368" s="3583">
        <f>H368*J368</f>
        <v>88.4</v>
      </c>
      <c r="Q368" s="3584"/>
      <c r="R368" s="3585"/>
    </row>
    <row r="369" spans="2:18" x14ac:dyDescent="0.2">
      <c r="B369" s="3586"/>
      <c r="C369" s="3587"/>
      <c r="D369" s="3582"/>
      <c r="E369" s="3582"/>
      <c r="F369" s="3582"/>
      <c r="G369" s="3593" t="s">
        <v>2111</v>
      </c>
      <c r="H369" s="3583">
        <f>J350*2</f>
        <v>4</v>
      </c>
      <c r="I369" s="3583" t="s">
        <v>424</v>
      </c>
      <c r="J369" s="3583">
        <f>6*2</f>
        <v>12</v>
      </c>
      <c r="K369" s="3583"/>
      <c r="L369" s="3583"/>
      <c r="M369" s="3583"/>
      <c r="N369" s="3591"/>
      <c r="O369" s="3583"/>
      <c r="P369" s="3583">
        <f>H369*J369</f>
        <v>48</v>
      </c>
      <c r="Q369" s="3584"/>
      <c r="R369" s="3585"/>
    </row>
    <row r="370" spans="2:18" x14ac:dyDescent="0.2">
      <c r="B370" s="3586"/>
      <c r="C370" s="3587"/>
      <c r="D370" s="3582"/>
      <c r="E370" s="3582"/>
      <c r="F370" s="3582"/>
      <c r="G370" s="3593" t="s">
        <v>2112</v>
      </c>
      <c r="H370" s="3583">
        <f>1.5</f>
        <v>1.5</v>
      </c>
      <c r="I370" s="3583" t="s">
        <v>424</v>
      </c>
      <c r="J370" s="3583">
        <f>26</f>
        <v>26</v>
      </c>
      <c r="K370" s="3583"/>
      <c r="L370" s="3583"/>
      <c r="M370" s="3583"/>
      <c r="N370" s="3591"/>
      <c r="O370" s="3583"/>
      <c r="P370" s="3583">
        <f>H370*J370</f>
        <v>39</v>
      </c>
      <c r="Q370" s="3584"/>
      <c r="R370" s="3585"/>
    </row>
    <row r="371" spans="2:18" x14ac:dyDescent="0.2">
      <c r="B371" s="3586"/>
      <c r="C371" s="3587"/>
      <c r="D371" s="3582"/>
      <c r="E371" s="3582"/>
      <c r="F371" s="3582"/>
      <c r="G371" s="3593"/>
      <c r="H371" s="3583"/>
      <c r="I371" s="3583"/>
      <c r="J371" s="3583"/>
      <c r="K371" s="3583"/>
      <c r="L371" s="3583"/>
      <c r="M371" s="3583"/>
      <c r="N371" s="3591"/>
      <c r="O371" s="3583"/>
      <c r="P371" s="3583"/>
      <c r="Q371" s="3584"/>
      <c r="R371" s="3585"/>
    </row>
    <row r="372" spans="2:18" x14ac:dyDescent="0.2">
      <c r="B372" s="3586"/>
      <c r="C372" s="3581" t="str">
        <f>[6]RAB!D163</f>
        <v>LANTAI 2</v>
      </c>
      <c r="D372" s="3582"/>
      <c r="E372" s="3582"/>
      <c r="F372" s="3582"/>
      <c r="G372" s="3593"/>
      <c r="H372" s="3583"/>
      <c r="I372" s="3583"/>
      <c r="J372" s="3583"/>
      <c r="K372" s="3583"/>
      <c r="L372" s="3583"/>
      <c r="M372" s="3583"/>
      <c r="N372" s="3591"/>
      <c r="O372" s="3583"/>
      <c r="P372" s="3583"/>
      <c r="Q372" s="3584"/>
      <c r="R372" s="3585"/>
    </row>
    <row r="373" spans="2:18" x14ac:dyDescent="0.2">
      <c r="B373" s="3586">
        <f>[6]RAB!B164</f>
        <v>1</v>
      </c>
      <c r="C373" s="3587" t="str">
        <f>[6]RAB!D164</f>
        <v>Membuat lantai kerja beton mutu f'c = 7,4 Mpa, T : 8 cm</v>
      </c>
      <c r="D373" s="3582"/>
      <c r="E373" s="3582"/>
      <c r="F373" s="3582"/>
      <c r="G373" s="3593"/>
      <c r="H373" s="3583">
        <v>35.5</v>
      </c>
      <c r="I373" s="3583" t="s">
        <v>424</v>
      </c>
      <c r="J373" s="3583">
        <v>21.5</v>
      </c>
      <c r="K373" s="3583" t="s">
        <v>424</v>
      </c>
      <c r="L373" s="3583">
        <v>0.08</v>
      </c>
      <c r="M373" s="3583"/>
      <c r="N373" s="3591"/>
      <c r="O373" s="3583"/>
      <c r="P373" s="3583">
        <f>H373*J373*L373</f>
        <v>61.06</v>
      </c>
      <c r="Q373" s="3584">
        <f>P373</f>
        <v>61.06</v>
      </c>
      <c r="R373" s="3585" t="str">
        <f>[6]RAB!H164</f>
        <v>m3</v>
      </c>
    </row>
    <row r="374" spans="2:18" x14ac:dyDescent="0.2">
      <c r="B374" s="3586">
        <f>[6]RAB!B165</f>
        <v>2</v>
      </c>
      <c r="C374" s="3587" t="str">
        <f>[6]RAB!D165</f>
        <v>Memasang lantai homogenius tile polished ( 60 x 60 ) cm</v>
      </c>
      <c r="D374" s="3582"/>
      <c r="E374" s="3582"/>
      <c r="F374" s="3582"/>
      <c r="G374" s="3593"/>
      <c r="H374" s="3583"/>
      <c r="I374" s="3583"/>
      <c r="J374" s="3583"/>
      <c r="K374" s="3583"/>
      <c r="L374" s="3583"/>
      <c r="M374" s="3583"/>
      <c r="N374" s="3591"/>
      <c r="O374" s="3583"/>
      <c r="P374" s="3583"/>
      <c r="Q374" s="3584">
        <f>P375-Q377</f>
        <v>724.55499999999995</v>
      </c>
      <c r="R374" s="3585" t="str">
        <f>[6]RAB!H165</f>
        <v>m2</v>
      </c>
    </row>
    <row r="375" spans="2:18" x14ac:dyDescent="0.2">
      <c r="B375" s="3586"/>
      <c r="C375" s="3587"/>
      <c r="D375" s="3582"/>
      <c r="E375" s="3582"/>
      <c r="F375" s="3582"/>
      <c r="G375" s="3593" t="s">
        <v>2101</v>
      </c>
      <c r="H375" s="3583">
        <f>H341</f>
        <v>35.5</v>
      </c>
      <c r="I375" s="3583" t="s">
        <v>424</v>
      </c>
      <c r="J375" s="3583">
        <f>J341</f>
        <v>21.5</v>
      </c>
      <c r="K375" s="3583"/>
      <c r="L375" s="3583"/>
      <c r="M375" s="3583"/>
      <c r="N375" s="3591"/>
      <c r="O375" s="3583"/>
      <c r="P375" s="3583">
        <f>H375*J375</f>
        <v>763.25</v>
      </c>
      <c r="Q375" s="3584"/>
      <c r="R375" s="3585"/>
    </row>
    <row r="376" spans="2:18" x14ac:dyDescent="0.2">
      <c r="B376" s="3586"/>
      <c r="C376" s="3587"/>
      <c r="D376" s="3582"/>
      <c r="E376" s="3582"/>
      <c r="F376" s="3582"/>
      <c r="G376" s="3593"/>
      <c r="H376" s="3583"/>
      <c r="I376" s="3583"/>
      <c r="J376" s="3583"/>
      <c r="K376" s="3583"/>
      <c r="L376" s="3583"/>
      <c r="M376" s="3583"/>
      <c r="N376" s="3591"/>
      <c r="O376" s="3583"/>
      <c r="P376" s="3583"/>
      <c r="Q376" s="3584"/>
      <c r="R376" s="3585"/>
    </row>
    <row r="377" spans="2:18" x14ac:dyDescent="0.2">
      <c r="B377" s="3586"/>
      <c r="C377" s="3587"/>
      <c r="D377" s="3582"/>
      <c r="E377" s="3582"/>
      <c r="F377" s="3582"/>
      <c r="G377" s="3593" t="s">
        <v>2099</v>
      </c>
      <c r="H377" s="3583">
        <f>Q385</f>
        <v>16.53</v>
      </c>
      <c r="I377" s="3583" t="s">
        <v>424</v>
      </c>
      <c r="J377" s="3583">
        <v>1.5</v>
      </c>
      <c r="K377" s="3583"/>
      <c r="L377" s="3583"/>
      <c r="M377" s="3583"/>
      <c r="N377" s="3591"/>
      <c r="O377" s="3583"/>
      <c r="P377" s="3583">
        <f>H377*J377</f>
        <v>24.795000000000002</v>
      </c>
      <c r="Q377" s="3584">
        <f>SUM(P377:P378)</f>
        <v>38.695</v>
      </c>
      <c r="R377" s="3585"/>
    </row>
    <row r="378" spans="2:18" x14ac:dyDescent="0.2">
      <c r="B378" s="3586"/>
      <c r="C378" s="3587"/>
      <c r="D378" s="3582"/>
      <c r="E378" s="3582"/>
      <c r="F378" s="3582"/>
      <c r="G378" s="3593"/>
      <c r="H378" s="3583">
        <v>13.9</v>
      </c>
      <c r="I378" s="3583"/>
      <c r="J378" s="3583"/>
      <c r="K378" s="3583"/>
      <c r="L378" s="3583"/>
      <c r="M378" s="3583"/>
      <c r="N378" s="3591"/>
      <c r="O378" s="3583"/>
      <c r="P378" s="3583">
        <f>H378</f>
        <v>13.9</v>
      </c>
      <c r="Q378" s="3584"/>
      <c r="R378" s="3585"/>
    </row>
    <row r="379" spans="2:18" x14ac:dyDescent="0.2">
      <c r="B379" s="3586"/>
      <c r="C379" s="3587"/>
      <c r="D379" s="3582"/>
      <c r="E379" s="3582"/>
      <c r="F379" s="3582"/>
      <c r="G379" s="3593"/>
      <c r="H379" s="3583"/>
      <c r="I379" s="3583"/>
      <c r="J379" s="3583"/>
      <c r="K379" s="3583"/>
      <c r="L379" s="3583"/>
      <c r="M379" s="3583"/>
      <c r="N379" s="3591"/>
      <c r="O379" s="3583"/>
      <c r="P379" s="3583"/>
      <c r="Q379" s="3584"/>
      <c r="R379" s="3585"/>
    </row>
    <row r="380" spans="2:18" x14ac:dyDescent="0.2">
      <c r="B380" s="3586">
        <f>[6]RAB!B166</f>
        <v>3</v>
      </c>
      <c r="C380" s="3587" t="str">
        <f>[6]RAB!D166</f>
        <v>Memasang dinding Homogenius tile  uk. (30x60) cm</v>
      </c>
      <c r="D380" s="3582"/>
      <c r="E380" s="3582"/>
      <c r="F380" s="3582"/>
      <c r="G380" s="3593"/>
      <c r="H380" s="3583"/>
      <c r="I380" s="3583"/>
      <c r="J380" s="3583"/>
      <c r="K380" s="3583"/>
      <c r="L380" s="3583"/>
      <c r="M380" s="3583"/>
      <c r="N380" s="3591"/>
      <c r="O380" s="3583"/>
      <c r="P380" s="3583"/>
      <c r="Q380" s="3584">
        <f>SUM(P381:P383)</f>
        <v>59.508000000000017</v>
      </c>
      <c r="R380" s="3585" t="str">
        <f>[6]RAB!H166</f>
        <v>m2</v>
      </c>
    </row>
    <row r="381" spans="2:18" x14ac:dyDescent="0.2">
      <c r="B381" s="3586"/>
      <c r="C381" s="3587"/>
      <c r="D381" s="3582"/>
      <c r="E381" s="3582"/>
      <c r="F381" s="3582"/>
      <c r="G381" s="3593" t="s">
        <v>2108</v>
      </c>
      <c r="H381" s="3583">
        <v>1.1000000000000001</v>
      </c>
      <c r="I381" s="3583" t="s">
        <v>424</v>
      </c>
      <c r="J381" s="3583">
        <v>2.1</v>
      </c>
      <c r="K381" s="3583" t="s">
        <v>424</v>
      </c>
      <c r="L381" s="3624">
        <v>1.8</v>
      </c>
      <c r="M381" s="3583" t="s">
        <v>424</v>
      </c>
      <c r="N381" s="3591">
        <v>3</v>
      </c>
      <c r="O381" s="3583"/>
      <c r="P381" s="3583">
        <f>((H381*J381)*2)*L381*N381</f>
        <v>24.948000000000008</v>
      </c>
      <c r="Q381" s="3584"/>
      <c r="R381" s="3585"/>
    </row>
    <row r="382" spans="2:18" x14ac:dyDescent="0.2">
      <c r="B382" s="3586"/>
      <c r="C382" s="3587"/>
      <c r="D382" s="3582"/>
      <c r="E382" s="3582"/>
      <c r="F382" s="3582"/>
      <c r="G382" s="3593" t="s">
        <v>2109</v>
      </c>
      <c r="H382" s="3583">
        <v>1.6</v>
      </c>
      <c r="I382" s="3583" t="s">
        <v>424</v>
      </c>
      <c r="J382" s="3583">
        <v>1.5</v>
      </c>
      <c r="K382" s="3583" t="s">
        <v>424</v>
      </c>
      <c r="L382" s="3624">
        <f>L381</f>
        <v>1.8</v>
      </c>
      <c r="M382" s="3583" t="s">
        <v>424</v>
      </c>
      <c r="N382" s="3591">
        <v>4</v>
      </c>
      <c r="O382" s="3583"/>
      <c r="P382" s="3583">
        <f>((H382*J382)*2)*L382*N382</f>
        <v>34.560000000000009</v>
      </c>
      <c r="Q382" s="3584"/>
      <c r="R382" s="3585"/>
    </row>
    <row r="383" spans="2:18" x14ac:dyDescent="0.2">
      <c r="B383" s="3586"/>
      <c r="C383" s="3587"/>
      <c r="D383" s="3582"/>
      <c r="E383" s="3582"/>
      <c r="F383" s="3582"/>
      <c r="G383" s="3593"/>
      <c r="H383" s="3583"/>
      <c r="I383" s="3583"/>
      <c r="J383" s="3583"/>
      <c r="K383" s="3583"/>
      <c r="L383" s="3624"/>
      <c r="M383" s="3583"/>
      <c r="N383" s="3591"/>
      <c r="O383" s="3583"/>
      <c r="P383" s="3583"/>
      <c r="Q383" s="3584"/>
      <c r="R383" s="3585"/>
    </row>
    <row r="384" spans="2:18" x14ac:dyDescent="0.2">
      <c r="B384" s="3586"/>
      <c r="C384" s="3587"/>
      <c r="D384" s="3582"/>
      <c r="E384" s="3582"/>
      <c r="F384" s="3582"/>
      <c r="G384" s="3593"/>
      <c r="H384" s="3583"/>
      <c r="I384" s="3583"/>
      <c r="J384" s="3583"/>
      <c r="K384" s="3583"/>
      <c r="L384" s="3583"/>
      <c r="M384" s="3583"/>
      <c r="N384" s="3591"/>
      <c r="O384" s="3583"/>
      <c r="P384" s="3583"/>
      <c r="Q384" s="3584"/>
      <c r="R384" s="3585"/>
    </row>
    <row r="385" spans="2:18" x14ac:dyDescent="0.2">
      <c r="B385" s="3586">
        <f>[6]RAB!B167</f>
        <v>4</v>
      </c>
      <c r="C385" s="3587" t="str">
        <f>[6]RAB!D167</f>
        <v xml:space="preserve">Memasang lantai keramik unpolish ukuran 30/30 cm </v>
      </c>
      <c r="D385" s="3582"/>
      <c r="E385" s="3582"/>
      <c r="F385" s="3582"/>
      <c r="G385" s="3593"/>
      <c r="H385" s="3583"/>
      <c r="I385" s="3583"/>
      <c r="J385" s="3583"/>
      <c r="K385" s="3583"/>
      <c r="L385" s="3583"/>
      <c r="M385" s="3583"/>
      <c r="N385" s="3591"/>
      <c r="O385" s="3583"/>
      <c r="P385" s="3583"/>
      <c r="Q385" s="3584">
        <f>SUM(P386:P387)</f>
        <v>16.53</v>
      </c>
      <c r="R385" s="3585" t="str">
        <f>[6]RAB!H167</f>
        <v>m2</v>
      </c>
    </row>
    <row r="386" spans="2:18" x14ac:dyDescent="0.2">
      <c r="B386" s="3586"/>
      <c r="C386" s="3587"/>
      <c r="D386" s="3582"/>
      <c r="E386" s="3582"/>
      <c r="F386" s="3582"/>
      <c r="G386" s="3593" t="s">
        <v>2108</v>
      </c>
      <c r="H386" s="3583">
        <v>1.1000000000000001</v>
      </c>
      <c r="I386" s="3583" t="s">
        <v>424</v>
      </c>
      <c r="J386" s="3583">
        <v>2.1</v>
      </c>
      <c r="K386" s="3583" t="s">
        <v>424</v>
      </c>
      <c r="L386" s="3583">
        <f>N381</f>
        <v>3</v>
      </c>
      <c r="M386" s="3583"/>
      <c r="N386" s="3591"/>
      <c r="O386" s="3583"/>
      <c r="P386" s="3583">
        <f>H386*J386*L386</f>
        <v>6.9300000000000015</v>
      </c>
      <c r="Q386" s="3584"/>
      <c r="R386" s="3585"/>
    </row>
    <row r="387" spans="2:18" x14ac:dyDescent="0.2">
      <c r="B387" s="3586"/>
      <c r="C387" s="3587"/>
      <c r="D387" s="3582"/>
      <c r="E387" s="3582"/>
      <c r="F387" s="3582"/>
      <c r="G387" s="3593" t="s">
        <v>2109</v>
      </c>
      <c r="H387" s="3583">
        <v>1.6</v>
      </c>
      <c r="I387" s="3583" t="s">
        <v>424</v>
      </c>
      <c r="J387" s="3583">
        <v>1.5</v>
      </c>
      <c r="K387" s="3583" t="s">
        <v>424</v>
      </c>
      <c r="L387" s="3583">
        <f>N382</f>
        <v>4</v>
      </c>
      <c r="M387" s="3583"/>
      <c r="N387" s="3591"/>
      <c r="O387" s="3583"/>
      <c r="P387" s="3583">
        <f>H387*J387*L387</f>
        <v>9.6000000000000014</v>
      </c>
      <c r="Q387" s="3584"/>
      <c r="R387" s="3585"/>
    </row>
    <row r="388" spans="2:18" x14ac:dyDescent="0.2">
      <c r="B388" s="3586"/>
      <c r="C388" s="3587"/>
      <c r="D388" s="3582"/>
      <c r="E388" s="3582"/>
      <c r="F388" s="3582"/>
      <c r="G388" s="3593"/>
      <c r="H388" s="3583"/>
      <c r="I388" s="3583"/>
      <c r="J388" s="3583"/>
      <c r="K388" s="3583"/>
      <c r="L388" s="3583"/>
      <c r="M388" s="3583"/>
      <c r="N388" s="3591"/>
      <c r="O388" s="3583"/>
      <c r="P388" s="3583"/>
      <c r="Q388" s="3584"/>
      <c r="R388" s="3585"/>
    </row>
    <row r="389" spans="2:18" x14ac:dyDescent="0.2">
      <c r="B389" s="3586">
        <f>[6]RAB!B168</f>
        <v>5</v>
      </c>
      <c r="C389" s="3587" t="str">
        <f>[6]RAB!D168</f>
        <v>Memasang plint lantai Homogenius tile uk. (10 x 60) cm</v>
      </c>
      <c r="D389" s="3582"/>
      <c r="E389" s="3582"/>
      <c r="F389" s="3582"/>
      <c r="G389" s="3593"/>
      <c r="H389" s="3583"/>
      <c r="I389" s="3583"/>
      <c r="J389" s="3583"/>
      <c r="K389" s="3583"/>
      <c r="L389" s="3583"/>
      <c r="M389" s="3583"/>
      <c r="N389" s="3591"/>
      <c r="O389" s="3583"/>
      <c r="P389" s="3583"/>
      <c r="Q389" s="3584">
        <f>H390</f>
        <v>643.69999999999959</v>
      </c>
      <c r="R389" s="3585" t="str">
        <f>[6]RAB!H168</f>
        <v>m'</v>
      </c>
    </row>
    <row r="390" spans="2:18" x14ac:dyDescent="0.2">
      <c r="B390" s="3586"/>
      <c r="C390" s="3587"/>
      <c r="D390" s="3582"/>
      <c r="E390" s="3582"/>
      <c r="F390" s="3582"/>
      <c r="G390" s="3593"/>
      <c r="H390" s="3583">
        <f>14.4+10.4+9.55+20.35+29.4+17.7+8.4+9.4+7.9+27.4+82.4+9.2+8+14.4+8.7+15.4+15.4+24+21.4+17.4+16.2+11.4+11.4+17.7+11.4+11.4+28.4+29.4+17.4+11.4+11.4+17.4+23.4+17.4+17.4+19.4</f>
        <v>643.69999999999959</v>
      </c>
      <c r="I390" s="3583"/>
      <c r="J390" s="3583"/>
      <c r="K390" s="3583"/>
      <c r="L390" s="3583"/>
      <c r="M390" s="3583"/>
      <c r="N390" s="3591"/>
      <c r="O390" s="3583"/>
      <c r="P390" s="3583"/>
      <c r="Q390" s="3584"/>
      <c r="R390" s="3585"/>
    </row>
    <row r="391" spans="2:18" x14ac:dyDescent="0.2">
      <c r="B391" s="3586"/>
      <c r="C391" s="3587"/>
      <c r="D391" s="3582"/>
      <c r="E391" s="3582"/>
      <c r="F391" s="3582"/>
      <c r="G391" s="3593"/>
      <c r="H391" s="3583"/>
      <c r="I391" s="3583"/>
      <c r="J391" s="3583"/>
      <c r="K391" s="3583"/>
      <c r="L391" s="3583"/>
      <c r="M391" s="3583"/>
      <c r="N391" s="3591"/>
      <c r="O391" s="3583"/>
      <c r="P391" s="3583"/>
      <c r="Q391" s="3584"/>
      <c r="R391" s="3585"/>
    </row>
    <row r="392" spans="2:18" x14ac:dyDescent="0.2">
      <c r="B392" s="3592" t="str">
        <f>[6]RAB!B170</f>
        <v>G.</v>
      </c>
      <c r="C392" s="3581" t="str">
        <f>[6]RAB!D170</f>
        <v>PEKERJAAN  LANGIT-LANGIT</v>
      </c>
      <c r="D392" s="3582"/>
      <c r="E392" s="3582"/>
      <c r="F392" s="3582"/>
      <c r="G392" s="3593"/>
      <c r="H392" s="3594"/>
      <c r="I392" s="3583"/>
      <c r="J392" s="3583"/>
      <c r="K392" s="3583"/>
      <c r="L392" s="3583"/>
      <c r="M392" s="3583"/>
      <c r="N392" s="3591"/>
      <c r="O392" s="3583"/>
      <c r="P392" s="3583"/>
      <c r="Q392" s="3584"/>
      <c r="R392" s="3585"/>
    </row>
    <row r="393" spans="2:18" x14ac:dyDescent="0.2">
      <c r="B393" s="3592"/>
      <c r="C393" s="3581" t="str">
        <f>[6]RAB!D171</f>
        <v>LANTAI 1</v>
      </c>
      <c r="D393" s="3582"/>
      <c r="E393" s="3582"/>
      <c r="F393" s="3582"/>
      <c r="G393" s="3593"/>
      <c r="H393" s="3594"/>
      <c r="I393" s="3583"/>
      <c r="J393" s="3583"/>
      <c r="K393" s="3583"/>
      <c r="L393" s="3583"/>
      <c r="M393" s="3583"/>
      <c r="N393" s="3591"/>
      <c r="O393" s="3583"/>
      <c r="P393" s="3583"/>
      <c r="Q393" s="3584"/>
      <c r="R393" s="3585"/>
    </row>
    <row r="394" spans="2:18" x14ac:dyDescent="0.2">
      <c r="B394" s="3586">
        <f>[6]RAB!B172</f>
        <v>1</v>
      </c>
      <c r="C394" s="3587" t="str">
        <f>[6]RAB!D172</f>
        <v>Memasang rk. plafond besi hollow uk. (60x80) cm</v>
      </c>
      <c r="D394" s="3582"/>
      <c r="E394" s="3582"/>
      <c r="F394" s="3582"/>
      <c r="G394" s="3593"/>
      <c r="H394" s="3583"/>
      <c r="I394" s="3583"/>
      <c r="J394" s="3583"/>
      <c r="K394" s="3583"/>
      <c r="L394" s="3583"/>
      <c r="M394" s="3583"/>
      <c r="N394" s="3591"/>
      <c r="O394" s="3583"/>
      <c r="P394" s="3583"/>
      <c r="Q394" s="3584">
        <f>SUM(P395:P396)-P397</f>
        <v>785.32499999999993</v>
      </c>
      <c r="R394" s="3585" t="str">
        <f>[6]RAB!H172</f>
        <v>m2</v>
      </c>
    </row>
    <row r="395" spans="2:18" x14ac:dyDescent="0.2">
      <c r="B395" s="3586"/>
      <c r="C395" s="3587"/>
      <c r="D395" s="3582"/>
      <c r="E395" s="3582"/>
      <c r="F395" s="3582"/>
      <c r="G395" s="3593" t="s">
        <v>2113</v>
      </c>
      <c r="H395" s="3583">
        <v>35.5</v>
      </c>
      <c r="I395" s="3583" t="s">
        <v>424</v>
      </c>
      <c r="J395" s="3583">
        <v>21.5</v>
      </c>
      <c r="K395" s="3583"/>
      <c r="L395" s="3583"/>
      <c r="M395" s="3583"/>
      <c r="N395" s="3591"/>
      <c r="O395" s="3583"/>
      <c r="P395" s="3583">
        <f>H395*J395</f>
        <v>763.25</v>
      </c>
      <c r="Q395" s="3584"/>
      <c r="R395" s="3585"/>
    </row>
    <row r="396" spans="2:18" x14ac:dyDescent="0.2">
      <c r="B396" s="3586"/>
      <c r="C396" s="3587"/>
      <c r="D396" s="3582"/>
      <c r="E396" s="3582"/>
      <c r="F396" s="3582"/>
      <c r="G396" s="3593" t="s">
        <v>2114</v>
      </c>
      <c r="H396" s="3583">
        <v>7</v>
      </c>
      <c r="I396" s="3583" t="s">
        <v>424</v>
      </c>
      <c r="J396" s="3583">
        <v>5.7</v>
      </c>
      <c r="K396" s="3583"/>
      <c r="L396" s="3583"/>
      <c r="M396" s="3583"/>
      <c r="N396" s="3591"/>
      <c r="O396" s="3583"/>
      <c r="P396" s="3583">
        <f>H396*J396</f>
        <v>39.9</v>
      </c>
      <c r="Q396" s="3584"/>
      <c r="R396" s="3585"/>
    </row>
    <row r="397" spans="2:18" x14ac:dyDescent="0.2">
      <c r="B397" s="3586"/>
      <c r="C397" s="3587"/>
      <c r="D397" s="3582"/>
      <c r="E397" s="3582"/>
      <c r="F397" s="3582"/>
      <c r="G397" s="3626" t="s">
        <v>2115</v>
      </c>
      <c r="H397" s="3583">
        <v>5.75</v>
      </c>
      <c r="I397" s="3583" t="s">
        <v>424</v>
      </c>
      <c r="J397" s="3583">
        <v>3.1</v>
      </c>
      <c r="K397" s="3583"/>
      <c r="L397" s="3583"/>
      <c r="M397" s="3583"/>
      <c r="N397" s="3591"/>
      <c r="O397" s="3583"/>
      <c r="P397" s="3583">
        <f>H397*J397</f>
        <v>17.824999999999999</v>
      </c>
      <c r="Q397" s="3584"/>
      <c r="R397" s="3585"/>
    </row>
    <row r="398" spans="2:18" x14ac:dyDescent="0.2">
      <c r="B398" s="3586">
        <f>[6]RAB!B173</f>
        <v>2</v>
      </c>
      <c r="C398" s="3587" t="str">
        <f>[6]RAB!D173</f>
        <v>Memasang langit-langit gypsum board uk. (120x240), tb. 9 mm.</v>
      </c>
      <c r="D398" s="3582"/>
      <c r="E398" s="3582"/>
      <c r="F398" s="3582"/>
      <c r="G398" s="3593"/>
      <c r="H398" s="3594"/>
      <c r="I398" s="3583"/>
      <c r="J398" s="3583"/>
      <c r="K398" s="3583"/>
      <c r="L398" s="3583"/>
      <c r="M398" s="3583"/>
      <c r="N398" s="3591"/>
      <c r="O398" s="3583"/>
      <c r="P398" s="3583"/>
      <c r="Q398" s="3584">
        <f>P399-P400</f>
        <v>753.75</v>
      </c>
      <c r="R398" s="3585" t="str">
        <f>[6]RAB!H173</f>
        <v>m2</v>
      </c>
    </row>
    <row r="399" spans="2:18" x14ac:dyDescent="0.2">
      <c r="B399" s="3586"/>
      <c r="C399" s="3587"/>
      <c r="D399" s="3582"/>
      <c r="E399" s="3582"/>
      <c r="F399" s="3582"/>
      <c r="G399" s="3593"/>
      <c r="H399" s="3583">
        <f>H395</f>
        <v>35.5</v>
      </c>
      <c r="I399" s="3583" t="s">
        <v>424</v>
      </c>
      <c r="J399" s="3583">
        <f>J395</f>
        <v>21.5</v>
      </c>
      <c r="K399" s="3583"/>
      <c r="L399" s="3583"/>
      <c r="M399" s="3583"/>
      <c r="N399" s="3591"/>
      <c r="O399" s="3583"/>
      <c r="P399" s="3583">
        <f>H399*J399</f>
        <v>763.25</v>
      </c>
      <c r="Q399" s="3584"/>
      <c r="R399" s="3585"/>
    </row>
    <row r="400" spans="2:18" x14ac:dyDescent="0.2">
      <c r="B400" s="3586"/>
      <c r="C400" s="3587"/>
      <c r="D400" s="3582"/>
      <c r="E400" s="3582"/>
      <c r="F400" s="3582"/>
      <c r="G400" s="3626" t="s">
        <v>2099</v>
      </c>
      <c r="H400" s="3583"/>
      <c r="I400" s="3583"/>
      <c r="J400" s="3583"/>
      <c r="K400" s="3583"/>
      <c r="L400" s="3583"/>
      <c r="M400" s="3583"/>
      <c r="N400" s="3591"/>
      <c r="O400" s="3583"/>
      <c r="P400" s="3583">
        <f>SUM(P401:P402)</f>
        <v>9.5</v>
      </c>
      <c r="Q400" s="3584"/>
      <c r="R400" s="3585"/>
    </row>
    <row r="401" spans="2:18" x14ac:dyDescent="0.2">
      <c r="B401" s="3586"/>
      <c r="C401" s="3587"/>
      <c r="D401" s="3582"/>
      <c r="E401" s="3582"/>
      <c r="F401" s="3582"/>
      <c r="G401" s="3593"/>
      <c r="H401" s="3583">
        <v>5</v>
      </c>
      <c r="I401" s="3583" t="s">
        <v>424</v>
      </c>
      <c r="J401" s="3583">
        <v>1.5</v>
      </c>
      <c r="K401" s="3583"/>
      <c r="L401" s="3583"/>
      <c r="M401" s="3583"/>
      <c r="N401" s="3591"/>
      <c r="O401" s="3583"/>
      <c r="P401" s="3583">
        <f>H401*J401</f>
        <v>7.5</v>
      </c>
      <c r="Q401" s="3584"/>
      <c r="R401" s="3585"/>
    </row>
    <row r="402" spans="2:18" x14ac:dyDescent="0.2">
      <c r="B402" s="3586"/>
      <c r="C402" s="3587"/>
      <c r="D402" s="3582"/>
      <c r="E402" s="3582"/>
      <c r="F402" s="3582"/>
      <c r="G402" s="3593"/>
      <c r="H402" s="3583">
        <v>1</v>
      </c>
      <c r="I402" s="3583" t="s">
        <v>424</v>
      </c>
      <c r="J402" s="3583">
        <v>0.5</v>
      </c>
      <c r="K402" s="3583" t="s">
        <v>424</v>
      </c>
      <c r="L402" s="3583">
        <v>4</v>
      </c>
      <c r="M402" s="3583"/>
      <c r="N402" s="3591"/>
      <c r="O402" s="3583"/>
      <c r="P402" s="3583">
        <f>H402*J402*L402</f>
        <v>2</v>
      </c>
      <c r="Q402" s="3584"/>
      <c r="R402" s="3585"/>
    </row>
    <row r="403" spans="2:18" x14ac:dyDescent="0.2">
      <c r="B403" s="3586"/>
      <c r="C403" s="3587"/>
      <c r="D403" s="3582"/>
      <c r="E403" s="3582"/>
      <c r="F403" s="3582"/>
      <c r="G403" s="3593"/>
      <c r="H403" s="3583"/>
      <c r="I403" s="3583"/>
      <c r="J403" s="3583"/>
      <c r="K403" s="3583"/>
      <c r="L403" s="3583"/>
      <c r="M403" s="3583"/>
      <c r="N403" s="3591"/>
      <c r="O403" s="3583"/>
      <c r="P403" s="3583"/>
      <c r="Q403" s="3584"/>
      <c r="R403" s="3585"/>
    </row>
    <row r="404" spans="2:18" x14ac:dyDescent="0.2">
      <c r="B404" s="3586">
        <f>[6]RAB!B174</f>
        <v>3</v>
      </c>
      <c r="C404" s="3587" t="str">
        <f>[6]RAB!D174</f>
        <v>Memasang plafond PVC</v>
      </c>
      <c r="D404" s="3582"/>
      <c r="E404" s="3582"/>
      <c r="F404" s="3582"/>
      <c r="G404" s="3593"/>
      <c r="H404" s="3583"/>
      <c r="I404" s="3583"/>
      <c r="J404" s="3583"/>
      <c r="K404" s="3583"/>
      <c r="L404" s="3583"/>
      <c r="M404" s="3583"/>
      <c r="N404" s="3591"/>
      <c r="O404" s="3583"/>
      <c r="P404" s="3583"/>
      <c r="Q404" s="3584">
        <f>SUM(P405:P405)</f>
        <v>39.9</v>
      </c>
      <c r="R404" s="3585" t="str">
        <f>[6]RAB!H174</f>
        <v>m2</v>
      </c>
    </row>
    <row r="405" spans="2:18" x14ac:dyDescent="0.2">
      <c r="B405" s="3586"/>
      <c r="C405" s="3587"/>
      <c r="D405" s="3582"/>
      <c r="E405" s="3582"/>
      <c r="F405" s="3582"/>
      <c r="G405" s="3593" t="s">
        <v>2114</v>
      </c>
      <c r="H405" s="3583">
        <f>H396</f>
        <v>7</v>
      </c>
      <c r="I405" s="3583" t="s">
        <v>424</v>
      </c>
      <c r="J405" s="3583">
        <f>J396</f>
        <v>5.7</v>
      </c>
      <c r="K405" s="3583"/>
      <c r="L405" s="3583"/>
      <c r="M405" s="3583"/>
      <c r="N405" s="3591"/>
      <c r="O405" s="3583"/>
      <c r="P405" s="3583">
        <f>H405*J405</f>
        <v>39.9</v>
      </c>
      <c r="Q405" s="3584"/>
      <c r="R405" s="3585"/>
    </row>
    <row r="406" spans="2:18" x14ac:dyDescent="0.2">
      <c r="B406" s="3586">
        <f>[6]RAB!B175</f>
        <v>4</v>
      </c>
      <c r="C406" s="3587" t="str">
        <f>[6]RAB!D175</f>
        <v>Memasang list plafond gypsum profil</v>
      </c>
      <c r="D406" s="3582"/>
      <c r="E406" s="3582"/>
      <c r="F406" s="3582"/>
      <c r="G406" s="3593"/>
      <c r="H406" s="3583"/>
      <c r="I406" s="3583"/>
      <c r="J406" s="3583"/>
      <c r="K406" s="3583"/>
      <c r="L406" s="3583"/>
      <c r="M406" s="3583"/>
      <c r="N406" s="3583"/>
      <c r="O406" s="3583"/>
      <c r="P406" s="3596">
        <f>H407</f>
        <v>459.6999999999997</v>
      </c>
      <c r="Q406" s="3597">
        <f>P406</f>
        <v>459.6999999999997</v>
      </c>
      <c r="R406" s="3585" t="str">
        <f>[6]RAB!H175</f>
        <v>m'</v>
      </c>
    </row>
    <row r="407" spans="2:18" x14ac:dyDescent="0.2">
      <c r="B407" s="3586"/>
      <c r="C407" s="3587"/>
      <c r="D407" s="3582"/>
      <c r="E407" s="3582"/>
      <c r="F407" s="3582"/>
      <c r="G407" s="3593"/>
      <c r="H407" s="3583">
        <f>14.4+10.4+9.55+20.35+29.4+17.7+8.4+9.4+7.9+27.4+82.4+9.2+8+14.4+8.7+15.4+15.4+24+21.4+17.4+16.2+11.4+11.4+17.7+11.4+11.4+28.4+29.4+11.4+17.4-(23.4+17.4+17.4+19.4)</f>
        <v>459.6999999999997</v>
      </c>
      <c r="I407" s="3583"/>
      <c r="J407" s="3583"/>
      <c r="K407" s="3583"/>
      <c r="L407" s="3583"/>
      <c r="M407" s="3583"/>
      <c r="N407" s="3591"/>
      <c r="O407" s="3583"/>
      <c r="P407" s="3583"/>
      <c r="Q407" s="3584"/>
      <c r="R407" s="3585"/>
    </row>
    <row r="408" spans="2:18" x14ac:dyDescent="0.2">
      <c r="B408" s="3586">
        <f>[6]RAB!B176</f>
        <v>5</v>
      </c>
      <c r="C408" s="3601" t="str">
        <f>[6]RAB!D176</f>
        <v>Memasang list plafond PVC</v>
      </c>
      <c r="D408" s="3582"/>
      <c r="E408" s="3582"/>
      <c r="F408" s="3582"/>
      <c r="G408" s="3593"/>
      <c r="H408" s="3583">
        <f>(H396+J396)*2</f>
        <v>25.4</v>
      </c>
      <c r="I408" s="3583"/>
      <c r="J408" s="3583"/>
      <c r="K408" s="3583"/>
      <c r="L408" s="3583"/>
      <c r="M408" s="3583"/>
      <c r="N408" s="3583"/>
      <c r="O408" s="3583"/>
      <c r="P408" s="3596">
        <f>H408</f>
        <v>25.4</v>
      </c>
      <c r="Q408" s="3597">
        <f>P408</f>
        <v>25.4</v>
      </c>
      <c r="R408" s="3585" t="str">
        <f>[6]RAB!H176</f>
        <v>m'</v>
      </c>
    </row>
    <row r="409" spans="2:18" x14ac:dyDescent="0.2">
      <c r="B409" s="3586"/>
      <c r="C409" s="3587"/>
      <c r="D409" s="3582"/>
      <c r="E409" s="3582"/>
      <c r="F409" s="3582"/>
      <c r="G409" s="3593"/>
      <c r="H409" s="3583"/>
      <c r="I409" s="3583"/>
      <c r="J409" s="3583"/>
      <c r="K409" s="3583"/>
      <c r="L409" s="3583"/>
      <c r="M409" s="3583"/>
      <c r="N409" s="3591"/>
      <c r="O409" s="3583"/>
      <c r="P409" s="3583"/>
      <c r="Q409" s="3584"/>
      <c r="R409" s="3585"/>
    </row>
    <row r="410" spans="2:18" x14ac:dyDescent="0.2">
      <c r="B410" s="3586"/>
      <c r="C410" s="3581" t="str">
        <f>[6]RAB!D177</f>
        <v>LANTAI 2</v>
      </c>
      <c r="D410" s="3582"/>
      <c r="E410" s="3582"/>
      <c r="F410" s="3582"/>
      <c r="G410" s="3593"/>
      <c r="H410" s="3583"/>
      <c r="I410" s="3583"/>
      <c r="J410" s="3583"/>
      <c r="K410" s="3583"/>
      <c r="L410" s="3583"/>
      <c r="M410" s="3583"/>
      <c r="N410" s="3591"/>
      <c r="O410" s="3583"/>
      <c r="P410" s="3583"/>
      <c r="Q410" s="3584"/>
      <c r="R410" s="3585"/>
    </row>
    <row r="411" spans="2:18" x14ac:dyDescent="0.2">
      <c r="B411" s="3586">
        <f>[6]RAB!B178</f>
        <v>1</v>
      </c>
      <c r="C411" s="3587" t="str">
        <f>[6]RAB!D178</f>
        <v>Memasang rk. plafond besi hollow uk. (60x80) cm</v>
      </c>
      <c r="D411" s="3582"/>
      <c r="E411" s="3582"/>
      <c r="F411" s="3582"/>
      <c r="G411" s="3593"/>
      <c r="H411" s="3583"/>
      <c r="I411" s="3583"/>
      <c r="J411" s="3583"/>
      <c r="K411" s="3583"/>
      <c r="L411" s="3583"/>
      <c r="M411" s="3583"/>
      <c r="N411" s="3591"/>
      <c r="O411" s="3583"/>
      <c r="P411" s="3583"/>
      <c r="Q411" s="3584">
        <f>SUM(P412:P413)</f>
        <v>831.65</v>
      </c>
      <c r="R411" s="3585" t="str">
        <f>[6]RAB!H178</f>
        <v>m2</v>
      </c>
    </row>
    <row r="412" spans="2:18" x14ac:dyDescent="0.2">
      <c r="B412" s="3586"/>
      <c r="C412" s="3587"/>
      <c r="D412" s="3582"/>
      <c r="E412" s="3582"/>
      <c r="F412" s="3582"/>
      <c r="G412" s="3593" t="s">
        <v>2116</v>
      </c>
      <c r="H412" s="3583">
        <f>H395</f>
        <v>35.5</v>
      </c>
      <c r="I412" s="3583" t="s">
        <v>424</v>
      </c>
      <c r="J412" s="3583">
        <f>J395</f>
        <v>21.5</v>
      </c>
      <c r="K412" s="3583"/>
      <c r="L412" s="3583"/>
      <c r="M412" s="3583"/>
      <c r="N412" s="3591"/>
      <c r="O412" s="3583"/>
      <c r="P412" s="3583">
        <f>H412*J412</f>
        <v>763.25</v>
      </c>
      <c r="Q412" s="3584"/>
      <c r="R412" s="3585"/>
    </row>
    <row r="413" spans="2:18" x14ac:dyDescent="0.2">
      <c r="B413" s="3586"/>
      <c r="C413" s="3587"/>
      <c r="D413" s="3582"/>
      <c r="E413" s="3582"/>
      <c r="F413" s="3582"/>
      <c r="G413" s="3593" t="s">
        <v>2117</v>
      </c>
      <c r="H413" s="3583">
        <f>(H412+J412)*2</f>
        <v>114</v>
      </c>
      <c r="I413" s="3583" t="s">
        <v>424</v>
      </c>
      <c r="J413" s="3583">
        <v>0.6</v>
      </c>
      <c r="K413" s="3583"/>
      <c r="L413" s="3583"/>
      <c r="M413" s="3583"/>
      <c r="N413" s="3591"/>
      <c r="O413" s="3583"/>
      <c r="P413" s="3583">
        <f>H413*J413</f>
        <v>68.399999999999991</v>
      </c>
      <c r="Q413" s="3584"/>
      <c r="R413" s="3585"/>
    </row>
    <row r="414" spans="2:18" x14ac:dyDescent="0.2">
      <c r="B414" s="3586">
        <f>[6]RAB!B179</f>
        <v>2</v>
      </c>
      <c r="C414" s="3587" t="str">
        <f>[6]RAB!D179</f>
        <v>Memasang langit-langit gypsum board uk. (120x240), tb. 9 mm.</v>
      </c>
      <c r="D414" s="3582"/>
      <c r="E414" s="3582"/>
      <c r="F414" s="3582"/>
      <c r="G414" s="3593"/>
      <c r="H414" s="3583"/>
      <c r="I414" s="3583"/>
      <c r="J414" s="3583"/>
      <c r="K414" s="3583"/>
      <c r="L414" s="3583"/>
      <c r="M414" s="3583"/>
      <c r="N414" s="3591"/>
      <c r="O414" s="3583"/>
      <c r="P414" s="3583"/>
      <c r="Q414" s="3584">
        <f>P415-P416</f>
        <v>829.65</v>
      </c>
      <c r="R414" s="3585" t="str">
        <f>[6]RAB!H179</f>
        <v>m2</v>
      </c>
    </row>
    <row r="415" spans="2:18" x14ac:dyDescent="0.2">
      <c r="B415" s="3586"/>
      <c r="C415" s="3587"/>
      <c r="D415" s="3582"/>
      <c r="E415" s="3582"/>
      <c r="F415" s="3582"/>
      <c r="G415" s="3593"/>
      <c r="H415" s="3583">
        <f>Q411</f>
        <v>831.65</v>
      </c>
      <c r="I415" s="3583"/>
      <c r="J415" s="3583"/>
      <c r="K415" s="3583"/>
      <c r="L415" s="3583"/>
      <c r="M415" s="3583"/>
      <c r="N415" s="3591"/>
      <c r="O415" s="3583"/>
      <c r="P415" s="3583">
        <f>H415</f>
        <v>831.65</v>
      </c>
      <c r="Q415" s="3584"/>
      <c r="R415" s="3585"/>
    </row>
    <row r="416" spans="2:18" x14ac:dyDescent="0.2">
      <c r="B416" s="3586"/>
      <c r="C416" s="3587"/>
      <c r="D416" s="3582"/>
      <c r="E416" s="3582"/>
      <c r="F416" s="3582"/>
      <c r="G416" s="3626" t="s">
        <v>2115</v>
      </c>
      <c r="H416" s="3583">
        <v>1</v>
      </c>
      <c r="I416" s="3583" t="s">
        <v>424</v>
      </c>
      <c r="J416" s="3583">
        <v>0.5</v>
      </c>
      <c r="K416" s="3583" t="s">
        <v>424</v>
      </c>
      <c r="L416" s="3583">
        <v>4</v>
      </c>
      <c r="M416" s="3594"/>
      <c r="N416" s="3627"/>
      <c r="O416" s="3594"/>
      <c r="P416" s="3583">
        <f>H416*J416*L416</f>
        <v>2</v>
      </c>
      <c r="Q416" s="3584"/>
      <c r="R416" s="3585"/>
    </row>
    <row r="417" spans="2:18" x14ac:dyDescent="0.2">
      <c r="B417" s="3586"/>
      <c r="C417" s="3587"/>
      <c r="D417" s="3582"/>
      <c r="E417" s="3582"/>
      <c r="F417" s="3582"/>
      <c r="G417" s="3593"/>
      <c r="H417" s="3583"/>
      <c r="I417" s="3583"/>
      <c r="J417" s="3583"/>
      <c r="K417" s="3583"/>
      <c r="L417" s="3583"/>
      <c r="M417" s="3583"/>
      <c r="N417" s="3591"/>
      <c r="O417" s="3583"/>
      <c r="P417" s="3583"/>
      <c r="Q417" s="3584"/>
      <c r="R417" s="3585"/>
    </row>
    <row r="418" spans="2:18" x14ac:dyDescent="0.2">
      <c r="B418" s="3586">
        <f>[6]RAB!B180</f>
        <v>3</v>
      </c>
      <c r="C418" s="3587" t="str">
        <f>[6]RAB!D180</f>
        <v>Memasang list plafond gypsum profil</v>
      </c>
      <c r="D418" s="3582"/>
      <c r="E418" s="3582"/>
      <c r="F418" s="3582"/>
      <c r="G418" s="3593"/>
      <c r="H418" s="3583">
        <f>14.4+10.4+9.55+20.35+29.4+17.7+8.4+9.4+7.9+27.4+82.4+9.2+8+14.4+8.7+15.4+15.4+24+21.4+17.4+16.2+11.4+11.4+17.7</f>
        <v>427.89999999999981</v>
      </c>
      <c r="I418" s="3583"/>
      <c r="J418" s="3583"/>
      <c r="K418" s="3583"/>
      <c r="L418" s="3583"/>
      <c r="M418" s="3583"/>
      <c r="N418" s="3591"/>
      <c r="O418" s="3583"/>
      <c r="P418" s="3583">
        <f>H418</f>
        <v>427.89999999999981</v>
      </c>
      <c r="Q418" s="3584">
        <f>P418</f>
        <v>427.89999999999981</v>
      </c>
      <c r="R418" s="3585" t="str">
        <f>[6]RAB!H180</f>
        <v>m'</v>
      </c>
    </row>
    <row r="419" spans="2:18" x14ac:dyDescent="0.2">
      <c r="B419" s="3586">
        <f>[6]RAB!B181</f>
        <v>4</v>
      </c>
      <c r="C419" s="3587" t="str">
        <f>[6]RAB!D181</f>
        <v>Memasang plafond PVC</v>
      </c>
      <c r="D419" s="3582"/>
      <c r="E419" s="3582"/>
      <c r="F419" s="3582"/>
      <c r="G419" s="3593"/>
      <c r="H419" s="3583">
        <f>H413*J413</f>
        <v>68.399999999999991</v>
      </c>
      <c r="I419" s="3583"/>
      <c r="J419" s="3583"/>
      <c r="K419" s="3583"/>
      <c r="L419" s="3583"/>
      <c r="M419" s="3583"/>
      <c r="N419" s="3591"/>
      <c r="O419" s="3583"/>
      <c r="P419" s="3583">
        <f>H419</f>
        <v>68.399999999999991</v>
      </c>
      <c r="Q419" s="3584">
        <f>P419</f>
        <v>68.399999999999991</v>
      </c>
      <c r="R419" s="3585" t="str">
        <f>[6]RAB!H181</f>
        <v>m2</v>
      </c>
    </row>
    <row r="420" spans="2:18" x14ac:dyDescent="0.2">
      <c r="B420" s="3586">
        <f>[6]RAB!B182</f>
        <v>5</v>
      </c>
      <c r="C420" s="3587" t="str">
        <f>[6]RAB!D182</f>
        <v>Memasang list plafond PVC</v>
      </c>
      <c r="D420" s="3582"/>
      <c r="E420" s="3582"/>
      <c r="F420" s="3582"/>
      <c r="G420" s="3593"/>
      <c r="H420" s="3583">
        <f>H413</f>
        <v>114</v>
      </c>
      <c r="I420" s="3583" t="s">
        <v>424</v>
      </c>
      <c r="J420" s="3583">
        <v>2</v>
      </c>
      <c r="K420" s="3583"/>
      <c r="L420" s="3583"/>
      <c r="M420" s="3583"/>
      <c r="N420" s="3591"/>
      <c r="O420" s="3583"/>
      <c r="P420" s="3583">
        <f>H420*J420</f>
        <v>228</v>
      </c>
      <c r="Q420" s="3584">
        <f>P420</f>
        <v>228</v>
      </c>
      <c r="R420" s="3585" t="str">
        <f>[6]RAB!H182</f>
        <v>m'</v>
      </c>
    </row>
    <row r="421" spans="2:18" x14ac:dyDescent="0.2">
      <c r="B421" s="3586"/>
      <c r="C421" s="3587"/>
      <c r="D421" s="3582"/>
      <c r="E421" s="3582"/>
      <c r="F421" s="3582"/>
      <c r="G421" s="3593"/>
      <c r="H421" s="3583"/>
      <c r="I421" s="3583"/>
      <c r="J421" s="3583"/>
      <c r="K421" s="3583"/>
      <c r="L421" s="3583"/>
      <c r="M421" s="3583"/>
      <c r="N421" s="3591"/>
      <c r="O421" s="3583"/>
      <c r="P421" s="3583"/>
      <c r="Q421" s="3584"/>
      <c r="R421" s="3585"/>
    </row>
    <row r="422" spans="2:18" x14ac:dyDescent="0.2">
      <c r="B422" s="3592" t="str">
        <f>[6]RAB!B184</f>
        <v>H.</v>
      </c>
      <c r="C422" s="3581" t="str">
        <f>[6]RAB!D184</f>
        <v>PEKERJAAN RANGKA DAN PENUTUP ATAP</v>
      </c>
      <c r="D422" s="3582"/>
      <c r="E422" s="3582"/>
      <c r="F422" s="3582"/>
      <c r="G422" s="3593"/>
      <c r="H422" s="3583"/>
      <c r="I422" s="3583"/>
      <c r="J422" s="3583"/>
      <c r="K422" s="3583"/>
      <c r="L422" s="3583"/>
      <c r="M422" s="3583"/>
      <c r="N422" s="3583"/>
      <c r="O422" s="3583"/>
      <c r="P422" s="3583"/>
      <c r="Q422" s="3584"/>
      <c r="R422" s="3585"/>
    </row>
    <row r="423" spans="2:18" x14ac:dyDescent="0.2">
      <c r="B423" s="3586">
        <f>[6]RAB!B185</f>
        <v>1</v>
      </c>
      <c r="C423" s="3587" t="str">
        <f>[6]RAB!D185</f>
        <v xml:space="preserve">Pas. rangka atap baja ringan </v>
      </c>
      <c r="D423" s="3582"/>
      <c r="E423" s="3582"/>
      <c r="F423" s="3582"/>
      <c r="G423" s="3593"/>
      <c r="H423" s="3583"/>
      <c r="I423" s="3583"/>
      <c r="J423" s="3583"/>
      <c r="K423" s="3583"/>
      <c r="L423" s="3583"/>
      <c r="M423" s="3583"/>
      <c r="N423" s="3583"/>
      <c r="O423" s="3583"/>
      <c r="P423" s="3583">
        <f>SUM(P424:P425)</f>
        <v>1030.425</v>
      </c>
      <c r="Q423" s="3584">
        <f>SUM(P423:P424)</f>
        <v>1301.05</v>
      </c>
      <c r="R423" s="3585" t="str">
        <f>[6]RAB!H185</f>
        <v>m2</v>
      </c>
    </row>
    <row r="424" spans="2:18" x14ac:dyDescent="0.2">
      <c r="B424" s="3586"/>
      <c r="C424" s="3587"/>
      <c r="D424" s="3582"/>
      <c r="E424" s="3582"/>
      <c r="F424" s="3582"/>
      <c r="G424" s="3593" t="s">
        <v>2094</v>
      </c>
      <c r="H424" s="3583">
        <v>21.65</v>
      </c>
      <c r="I424" s="3628"/>
      <c r="J424" s="3583">
        <v>12.5</v>
      </c>
      <c r="K424" s="3583"/>
      <c r="L424" s="3583"/>
      <c r="M424" s="3583"/>
      <c r="N424" s="3583">
        <v>2</v>
      </c>
      <c r="O424" s="3583"/>
      <c r="P424" s="3583">
        <f>((H424*J424)/2)*N424</f>
        <v>270.625</v>
      </c>
      <c r="Q424" s="3584"/>
      <c r="R424" s="3585"/>
    </row>
    <row r="425" spans="2:18" x14ac:dyDescent="0.2">
      <c r="B425" s="3586"/>
      <c r="C425" s="3587"/>
      <c r="D425" s="3582"/>
      <c r="E425" s="3582"/>
      <c r="F425" s="3582"/>
      <c r="G425" s="3593" t="s">
        <v>2118</v>
      </c>
      <c r="H425" s="3583">
        <v>36</v>
      </c>
      <c r="I425" s="3628"/>
      <c r="J425" s="3583">
        <v>22</v>
      </c>
      <c r="K425" s="3583"/>
      <c r="L425" s="3583">
        <v>13.1</v>
      </c>
      <c r="M425" s="3583"/>
      <c r="N425" s="3583">
        <v>2</v>
      </c>
      <c r="O425" s="3583"/>
      <c r="P425" s="3583">
        <f>(((H425+J425)/2)*L425)*N425</f>
        <v>759.8</v>
      </c>
      <c r="Q425" s="3584"/>
      <c r="R425" s="3585"/>
    </row>
    <row r="426" spans="2:18" x14ac:dyDescent="0.2">
      <c r="B426" s="3586">
        <f>[6]RAB!B186</f>
        <v>2</v>
      </c>
      <c r="C426" s="3587" t="str">
        <f>[6]RAB!D186</f>
        <v>Pasang penutup atap galvalum pasir</v>
      </c>
      <c r="D426" s="3582"/>
      <c r="E426" s="3582"/>
      <c r="F426" s="3582"/>
      <c r="G426" s="3593"/>
      <c r="H426" s="3583"/>
      <c r="I426" s="3629"/>
      <c r="J426" s="3583"/>
      <c r="K426" s="3583"/>
      <c r="L426" s="3583"/>
      <c r="M426" s="3583"/>
      <c r="N426" s="3583"/>
      <c r="O426" s="3583"/>
      <c r="P426" s="3583"/>
      <c r="Q426" s="3584">
        <f>Q423</f>
        <v>1301.05</v>
      </c>
      <c r="R426" s="3585" t="str">
        <f>[6]RAB!H186</f>
        <v>m2</v>
      </c>
    </row>
    <row r="427" spans="2:18" x14ac:dyDescent="0.2">
      <c r="B427" s="3586"/>
      <c r="C427" s="3587"/>
      <c r="D427" s="3582"/>
      <c r="E427" s="3582"/>
      <c r="F427" s="3582"/>
      <c r="G427" s="3593" t="s">
        <v>2094</v>
      </c>
      <c r="H427" s="3583">
        <v>21.65</v>
      </c>
      <c r="I427" s="3628"/>
      <c r="J427" s="3583">
        <v>12.5</v>
      </c>
      <c r="K427" s="3583"/>
      <c r="L427" s="3583"/>
      <c r="M427" s="3583"/>
      <c r="N427" s="3583">
        <v>2</v>
      </c>
      <c r="O427" s="3583"/>
      <c r="P427" s="3583"/>
      <c r="Q427" s="3584"/>
      <c r="R427" s="3585"/>
    </row>
    <row r="428" spans="2:18" x14ac:dyDescent="0.2">
      <c r="B428" s="3586"/>
      <c r="C428" s="3587"/>
      <c r="D428" s="3582"/>
      <c r="E428" s="3582"/>
      <c r="F428" s="3582"/>
      <c r="G428" s="3593" t="s">
        <v>2118</v>
      </c>
      <c r="H428" s="3583">
        <v>36</v>
      </c>
      <c r="I428" s="3628"/>
      <c r="J428" s="3583">
        <v>22</v>
      </c>
      <c r="K428" s="3583"/>
      <c r="L428" s="3583">
        <v>13.1</v>
      </c>
      <c r="M428" s="3583"/>
      <c r="N428" s="3583">
        <v>2</v>
      </c>
      <c r="O428" s="3583"/>
      <c r="P428" s="3583"/>
      <c r="Q428" s="3584"/>
      <c r="R428" s="3585"/>
    </row>
    <row r="429" spans="2:18" x14ac:dyDescent="0.2">
      <c r="B429" s="3586">
        <f>[6]RAB!B187</f>
        <v>3</v>
      </c>
      <c r="C429" s="3587" t="str">
        <f>[6]RAB!D187</f>
        <v>Pasang bubungan galvalum pasir</v>
      </c>
      <c r="D429" s="3582"/>
      <c r="E429" s="3582"/>
      <c r="F429" s="3582"/>
      <c r="G429" s="3593"/>
      <c r="H429" s="3583">
        <f>L428*4</f>
        <v>52.4</v>
      </c>
      <c r="I429" s="3589" t="s">
        <v>425</v>
      </c>
      <c r="J429" s="3583">
        <f>J428</f>
        <v>22</v>
      </c>
      <c r="K429" s="3583"/>
      <c r="L429" s="3583"/>
      <c r="M429" s="3583"/>
      <c r="N429" s="3583"/>
      <c r="O429" s="3583"/>
      <c r="P429" s="3596">
        <f>H429+J429</f>
        <v>74.400000000000006</v>
      </c>
      <c r="Q429" s="3597">
        <f>P429</f>
        <v>74.400000000000006</v>
      </c>
      <c r="R429" s="3585" t="str">
        <f>[6]RAB!H187</f>
        <v>m'</v>
      </c>
    </row>
    <row r="430" spans="2:18" x14ac:dyDescent="0.2">
      <c r="B430" s="3586">
        <f>[6]RAB!B188</f>
        <v>4</v>
      </c>
      <c r="C430" s="3587" t="str">
        <f>[6]RAB!D188</f>
        <v>Pasang aluminium foil/sisalation</v>
      </c>
      <c r="D430" s="3582"/>
      <c r="E430" s="3582"/>
      <c r="F430" s="3582"/>
      <c r="G430" s="3593"/>
      <c r="H430" s="3583">
        <f>Q426</f>
        <v>1301.05</v>
      </c>
      <c r="I430" s="3583"/>
      <c r="J430" s="3583"/>
      <c r="K430" s="3583"/>
      <c r="L430" s="3583"/>
      <c r="M430" s="3583"/>
      <c r="N430" s="3583"/>
      <c r="O430" s="3583"/>
      <c r="P430" s="3583">
        <f>H430</f>
        <v>1301.05</v>
      </c>
      <c r="Q430" s="3584">
        <f>P430</f>
        <v>1301.05</v>
      </c>
      <c r="R430" s="3585" t="str">
        <f>[6]RAB!H188</f>
        <v>m2</v>
      </c>
    </row>
    <row r="431" spans="2:18" x14ac:dyDescent="0.2">
      <c r="B431" s="3586">
        <f>[6]RAB!B189</f>
        <v>5</v>
      </c>
      <c r="C431" s="3587" t="str">
        <f>[6]RAB!D189</f>
        <v>Memasang lisplank woodplank</v>
      </c>
      <c r="D431" s="3582"/>
      <c r="E431" s="3582"/>
      <c r="F431" s="3582"/>
      <c r="G431" s="3593"/>
      <c r="H431" s="3583">
        <f>35.7</f>
        <v>35.700000000000003</v>
      </c>
      <c r="I431" s="3589" t="s">
        <v>425</v>
      </c>
      <c r="J431" s="3583">
        <v>23.2</v>
      </c>
      <c r="K431" s="3583" t="s">
        <v>424</v>
      </c>
      <c r="L431" s="3583">
        <v>2</v>
      </c>
      <c r="M431" s="3583"/>
      <c r="N431" s="3583"/>
      <c r="O431" s="3583"/>
      <c r="P431" s="3583">
        <f>(H431+J431)*L431</f>
        <v>117.80000000000001</v>
      </c>
      <c r="Q431" s="3584">
        <f>P431</f>
        <v>117.80000000000001</v>
      </c>
      <c r="R431" s="3585" t="str">
        <f>[6]RAB!H189</f>
        <v>m'</v>
      </c>
    </row>
    <row r="432" spans="2:18" x14ac:dyDescent="0.2">
      <c r="B432" s="3586"/>
      <c r="C432" s="3587"/>
      <c r="D432" s="3582"/>
      <c r="E432" s="3582"/>
      <c r="F432" s="3582"/>
      <c r="G432" s="3593"/>
      <c r="H432" s="3583"/>
      <c r="I432" s="3583"/>
      <c r="J432" s="3583"/>
      <c r="K432" s="3583"/>
      <c r="L432" s="3583"/>
      <c r="M432" s="3583"/>
      <c r="N432" s="3583"/>
      <c r="O432" s="3583"/>
      <c r="P432" s="3583"/>
      <c r="Q432" s="3584"/>
      <c r="R432" s="3585"/>
    </row>
    <row r="433" spans="2:18" x14ac:dyDescent="0.2">
      <c r="B433" s="3592" t="str">
        <f>[6]RAB!B191</f>
        <v>I.</v>
      </c>
      <c r="C433" s="3581" t="str">
        <f>[6]RAB!D191</f>
        <v>PEKERJAAN PINTU DAN JENDELA</v>
      </c>
      <c r="D433" s="3582"/>
      <c r="E433" s="3582"/>
      <c r="F433" s="3582"/>
      <c r="G433" s="3593"/>
      <c r="H433" s="3583"/>
      <c r="I433" s="3583"/>
      <c r="J433" s="3630"/>
      <c r="K433" s="3583"/>
      <c r="L433" s="3583"/>
      <c r="M433" s="3583"/>
      <c r="N433" s="3583"/>
      <c r="O433" s="3583"/>
      <c r="P433" s="3583"/>
      <c r="Q433" s="3584"/>
      <c r="R433" s="3585"/>
    </row>
    <row r="434" spans="2:18" x14ac:dyDescent="0.2">
      <c r="B434" s="3592"/>
      <c r="C434" s="3581" t="str">
        <f>[6]RAB!D192</f>
        <v>LANTAI 1</v>
      </c>
      <c r="D434" s="3582"/>
      <c r="E434" s="3582"/>
      <c r="F434" s="3582"/>
      <c r="G434" s="3593"/>
      <c r="H434" s="3583"/>
      <c r="I434" s="3583"/>
      <c r="J434" s="3630"/>
      <c r="K434" s="3583"/>
      <c r="L434" s="3583"/>
      <c r="M434" s="3583"/>
      <c r="N434" s="3583"/>
      <c r="O434" s="3583"/>
      <c r="P434" s="3583"/>
      <c r="Q434" s="3584"/>
      <c r="R434" s="3585"/>
    </row>
    <row r="435" spans="2:18" x14ac:dyDescent="0.2">
      <c r="B435" s="3586">
        <f>[6]RAB!B193</f>
        <v>0</v>
      </c>
      <c r="C435" s="3587" t="str">
        <f>[6]RAB!D193</f>
        <v>Pekerjaan Pintu &amp; Jendela alumunium lengkap accessories</v>
      </c>
      <c r="D435" s="3582"/>
      <c r="E435" s="3582"/>
      <c r="F435" s="3582"/>
      <c r="G435" s="3593"/>
      <c r="H435" s="3583"/>
      <c r="I435" s="3583"/>
      <c r="J435" s="3630"/>
      <c r="K435" s="3583"/>
      <c r="L435" s="3583"/>
      <c r="M435" s="3583"/>
      <c r="N435" s="3583"/>
      <c r="O435" s="3583"/>
      <c r="P435" s="3583"/>
      <c r="Q435" s="3584"/>
      <c r="R435" s="3585"/>
    </row>
    <row r="436" spans="2:18" x14ac:dyDescent="0.2">
      <c r="B436" s="3586">
        <f>[6]RAB!B196</f>
        <v>3</v>
      </c>
      <c r="C436" s="3587" t="str">
        <f>[6]RAB!D196</f>
        <v xml:space="preserve">Memasang kusen pintu/jendela alluminium </v>
      </c>
      <c r="D436" s="3582"/>
      <c r="E436" s="3582"/>
      <c r="F436" s="3582"/>
      <c r="G436" s="3631"/>
      <c r="H436" s="3583"/>
      <c r="I436" s="3583"/>
      <c r="J436" s="3630"/>
      <c r="K436" s="3583"/>
      <c r="L436" s="3583"/>
      <c r="M436" s="3583"/>
      <c r="N436" s="3583"/>
      <c r="O436" s="3583"/>
      <c r="P436" s="3583"/>
      <c r="Q436" s="3595">
        <f>'[6]back up kusen alumunium'!K17</f>
        <v>560.6</v>
      </c>
      <c r="R436" s="3585" t="str">
        <f>[6]RAB!H196</f>
        <v>m'</v>
      </c>
    </row>
    <row r="437" spans="2:18" x14ac:dyDescent="0.2">
      <c r="B437" s="3586">
        <f>[6]RAB!B197</f>
        <v>4</v>
      </c>
      <c r="C437" s="3587" t="str">
        <f>[6]RAB!D197</f>
        <v>Memasang pintu kaca rangka alluminium</v>
      </c>
      <c r="D437" s="3582"/>
      <c r="E437" s="3582"/>
      <c r="F437" s="3582"/>
      <c r="G437" s="3631"/>
      <c r="H437" s="3583"/>
      <c r="I437" s="3583"/>
      <c r="J437" s="3630"/>
      <c r="K437" s="3583"/>
      <c r="L437" s="3583"/>
      <c r="M437" s="3583"/>
      <c r="N437" s="3583"/>
      <c r="O437" s="3583"/>
      <c r="P437" s="3583"/>
      <c r="Q437" s="3595">
        <f>'[6]back up kusen alumunium'!M17</f>
        <v>21.84</v>
      </c>
      <c r="R437" s="3585" t="str">
        <f>[6]RAB!H197</f>
        <v>m2</v>
      </c>
    </row>
    <row r="438" spans="2:18" x14ac:dyDescent="0.2">
      <c r="B438" s="3586">
        <f>[6]RAB!B198</f>
        <v>5</v>
      </c>
      <c r="C438" s="3587" t="str">
        <f>[6]RAB!D198</f>
        <v>Memasang pintu alluminium strip</v>
      </c>
      <c r="D438" s="3582"/>
      <c r="E438" s="3582"/>
      <c r="F438" s="3582"/>
      <c r="G438" s="3631"/>
      <c r="H438" s="3583"/>
      <c r="I438" s="3583"/>
      <c r="J438" s="3630"/>
      <c r="K438" s="3583"/>
      <c r="L438" s="3583"/>
      <c r="M438" s="3583"/>
      <c r="N438" s="3583"/>
      <c r="O438" s="3583"/>
      <c r="P438" s="3583"/>
      <c r="Q438" s="3595">
        <f>'[6]back up kusen alumunium'!P17</f>
        <v>16.695000000000004</v>
      </c>
      <c r="R438" s="3585" t="str">
        <f>[6]RAB!H198</f>
        <v>m2</v>
      </c>
    </row>
    <row r="439" spans="2:18" x14ac:dyDescent="0.2">
      <c r="B439" s="3586">
        <f>[6]RAB!B199</f>
        <v>6</v>
      </c>
      <c r="C439" s="3587" t="str">
        <f>[6]RAB!D199</f>
        <v>Memasang jendela &amp; boven kaca rangka aluminium</v>
      </c>
      <c r="D439" s="3582"/>
      <c r="E439" s="3582"/>
      <c r="F439" s="3582"/>
      <c r="G439" s="3631"/>
      <c r="H439" s="3583"/>
      <c r="I439" s="3583"/>
      <c r="J439" s="3630"/>
      <c r="K439" s="3583"/>
      <c r="L439" s="3583"/>
      <c r="M439" s="3583"/>
      <c r="N439" s="3583"/>
      <c r="O439" s="3583"/>
      <c r="P439" s="3583"/>
      <c r="Q439" s="3595">
        <f>'[6]back up kusen alumunium'!N17</f>
        <v>112.04</v>
      </c>
      <c r="R439" s="3585" t="str">
        <f>[6]RAB!H199</f>
        <v>m2</v>
      </c>
    </row>
    <row r="440" spans="2:18" x14ac:dyDescent="0.2">
      <c r="B440" s="3586">
        <f>[6]RAB!B200</f>
        <v>7</v>
      </c>
      <c r="C440" s="3587" t="str">
        <f>[6]RAB!D200</f>
        <v>Pasang kaca mati tebal 5 mm</v>
      </c>
      <c r="D440" s="3582"/>
      <c r="E440" s="3582"/>
      <c r="F440" s="3582"/>
      <c r="G440" s="3631"/>
      <c r="H440" s="3583"/>
      <c r="I440" s="3583"/>
      <c r="J440" s="3630"/>
      <c r="K440" s="3583"/>
      <c r="L440" s="3583"/>
      <c r="M440" s="3583"/>
      <c r="N440" s="3583"/>
      <c r="O440" s="3583"/>
      <c r="P440" s="3583"/>
      <c r="Q440" s="3595">
        <f>'[6]back up kusen alumunium'!O17</f>
        <v>23.64</v>
      </c>
      <c r="R440" s="3585" t="str">
        <f>[6]RAB!H200</f>
        <v>m2</v>
      </c>
    </row>
    <row r="441" spans="2:18" s="3640" customFormat="1" x14ac:dyDescent="0.2">
      <c r="B441" s="3632">
        <v>2</v>
      </c>
      <c r="C441" s="3633" t="s">
        <v>2119</v>
      </c>
      <c r="D441" s="3634"/>
      <c r="E441" s="3634"/>
      <c r="F441" s="3634"/>
      <c r="G441" s="3635" t="s">
        <v>1658</v>
      </c>
      <c r="H441" s="3636"/>
      <c r="I441" s="3636"/>
      <c r="J441" s="3637"/>
      <c r="K441" s="3636"/>
      <c r="L441" s="3636"/>
      <c r="M441" s="3636"/>
      <c r="N441" s="3636"/>
      <c r="O441" s="3636"/>
      <c r="P441" s="3636"/>
      <c r="Q441" s="3638">
        <v>5</v>
      </c>
      <c r="R441" s="3639" t="s">
        <v>275</v>
      </c>
    </row>
    <row r="442" spans="2:18" s="3640" customFormat="1" x14ac:dyDescent="0.2">
      <c r="B442" s="3632">
        <v>3</v>
      </c>
      <c r="C442" s="3633" t="s">
        <v>2119</v>
      </c>
      <c r="D442" s="3634"/>
      <c r="E442" s="3634"/>
      <c r="F442" s="3634"/>
      <c r="G442" s="3635" t="s">
        <v>2086</v>
      </c>
      <c r="H442" s="3636"/>
      <c r="I442" s="3636"/>
      <c r="J442" s="3637"/>
      <c r="K442" s="3636"/>
      <c r="L442" s="3636"/>
      <c r="M442" s="3636"/>
      <c r="N442" s="3636"/>
      <c r="O442" s="3636"/>
      <c r="P442" s="3636"/>
      <c r="Q442" s="3638">
        <v>3</v>
      </c>
      <c r="R442" s="3639" t="s">
        <v>275</v>
      </c>
    </row>
    <row r="443" spans="2:18" s="3640" customFormat="1" x14ac:dyDescent="0.2">
      <c r="B443" s="3632">
        <v>4</v>
      </c>
      <c r="C443" s="3633" t="s">
        <v>2119</v>
      </c>
      <c r="D443" s="3634"/>
      <c r="E443" s="3634"/>
      <c r="F443" s="3634"/>
      <c r="G443" s="3635" t="s">
        <v>2087</v>
      </c>
      <c r="H443" s="3636"/>
      <c r="I443" s="3636"/>
      <c r="J443" s="3637"/>
      <c r="K443" s="3636"/>
      <c r="L443" s="3636"/>
      <c r="M443" s="3636"/>
      <c r="N443" s="3636"/>
      <c r="O443" s="3636"/>
      <c r="P443" s="3636"/>
      <c r="Q443" s="3638">
        <v>6</v>
      </c>
      <c r="R443" s="3639" t="s">
        <v>275</v>
      </c>
    </row>
    <row r="444" spans="2:18" s="3640" customFormat="1" x14ac:dyDescent="0.2">
      <c r="B444" s="3632">
        <v>5</v>
      </c>
      <c r="C444" s="3633" t="s">
        <v>2119</v>
      </c>
      <c r="D444" s="3634"/>
      <c r="E444" s="3634"/>
      <c r="F444" s="3634"/>
      <c r="G444" s="3635" t="s">
        <v>2120</v>
      </c>
      <c r="H444" s="3636"/>
      <c r="I444" s="3636"/>
      <c r="J444" s="3637"/>
      <c r="K444" s="3636"/>
      <c r="L444" s="3636"/>
      <c r="M444" s="3636"/>
      <c r="N444" s="3636"/>
      <c r="O444" s="3636"/>
      <c r="P444" s="3636"/>
      <c r="Q444" s="3638">
        <v>24</v>
      </c>
      <c r="R444" s="3639" t="s">
        <v>275</v>
      </c>
    </row>
    <row r="445" spans="2:18" s="3640" customFormat="1" x14ac:dyDescent="0.2">
      <c r="B445" s="3632">
        <v>6</v>
      </c>
      <c r="C445" s="3633" t="s">
        <v>2119</v>
      </c>
      <c r="D445" s="3634"/>
      <c r="E445" s="3634"/>
      <c r="F445" s="3634"/>
      <c r="G445" s="3635" t="s">
        <v>2121</v>
      </c>
      <c r="H445" s="3636"/>
      <c r="I445" s="3636"/>
      <c r="J445" s="3637"/>
      <c r="K445" s="3636"/>
      <c r="L445" s="3636"/>
      <c r="M445" s="3636"/>
      <c r="N445" s="3636"/>
      <c r="O445" s="3636"/>
      <c r="P445" s="3636"/>
      <c r="Q445" s="3638">
        <v>1</v>
      </c>
      <c r="R445" s="3639" t="s">
        <v>275</v>
      </c>
    </row>
    <row r="446" spans="2:18" s="3640" customFormat="1" x14ac:dyDescent="0.2">
      <c r="B446" s="3632">
        <v>7</v>
      </c>
      <c r="C446" s="3633" t="s">
        <v>2119</v>
      </c>
      <c r="D446" s="3634"/>
      <c r="E446" s="3634"/>
      <c r="F446" s="3634"/>
      <c r="G446" s="3635" t="s">
        <v>2122</v>
      </c>
      <c r="H446" s="3636"/>
      <c r="I446" s="3636"/>
      <c r="J446" s="3637"/>
      <c r="K446" s="3636"/>
      <c r="L446" s="3636"/>
      <c r="M446" s="3636"/>
      <c r="N446" s="3636"/>
      <c r="O446" s="3636"/>
      <c r="P446" s="3636"/>
      <c r="Q446" s="3638">
        <v>1</v>
      </c>
      <c r="R446" s="3639" t="s">
        <v>275</v>
      </c>
    </row>
    <row r="447" spans="2:18" s="3646" customFormat="1" x14ac:dyDescent="0.2">
      <c r="B447" s="3632">
        <v>8</v>
      </c>
      <c r="C447" s="3633" t="s">
        <v>2119</v>
      </c>
      <c r="D447" s="3641"/>
      <c r="E447" s="3641"/>
      <c r="F447" s="3641"/>
      <c r="G447" s="3642" t="s">
        <v>2123</v>
      </c>
      <c r="H447" s="3643"/>
      <c r="I447" s="3643"/>
      <c r="J447" s="3644"/>
      <c r="K447" s="3643"/>
      <c r="L447" s="3643"/>
      <c r="M447" s="3643"/>
      <c r="N447" s="3643"/>
      <c r="O447" s="3643"/>
      <c r="P447" s="3643"/>
      <c r="Q447" s="3644">
        <v>2</v>
      </c>
      <c r="R447" s="3645" t="s">
        <v>275</v>
      </c>
    </row>
    <row r="448" spans="2:18" s="3640" customFormat="1" x14ac:dyDescent="0.2">
      <c r="B448" s="3632">
        <v>9</v>
      </c>
      <c r="C448" s="3633" t="s">
        <v>2124</v>
      </c>
      <c r="D448" s="3634"/>
      <c r="E448" s="3634"/>
      <c r="F448" s="3634"/>
      <c r="G448" s="3635" t="s">
        <v>2125</v>
      </c>
      <c r="H448" s="3636"/>
      <c r="I448" s="3636"/>
      <c r="J448" s="3637"/>
      <c r="K448" s="3636"/>
      <c r="L448" s="3636"/>
      <c r="M448" s="3636"/>
      <c r="N448" s="3636"/>
      <c r="O448" s="3636"/>
      <c r="P448" s="3636"/>
      <c r="Q448" s="3638">
        <v>1</v>
      </c>
      <c r="R448" s="3639" t="s">
        <v>275</v>
      </c>
    </row>
    <row r="449" spans="2:18" s="3640" customFormat="1" x14ac:dyDescent="0.2">
      <c r="B449" s="3632">
        <v>10</v>
      </c>
      <c r="C449" s="3633" t="s">
        <v>2124</v>
      </c>
      <c r="D449" s="3634"/>
      <c r="E449" s="3634"/>
      <c r="F449" s="3634"/>
      <c r="G449" s="3635" t="s">
        <v>2126</v>
      </c>
      <c r="H449" s="3636"/>
      <c r="I449" s="3636"/>
      <c r="J449" s="3637"/>
      <c r="K449" s="3636"/>
      <c r="L449" s="3636"/>
      <c r="M449" s="3636"/>
      <c r="N449" s="3636"/>
      <c r="O449" s="3636"/>
      <c r="P449" s="3636"/>
      <c r="Q449" s="3638">
        <v>1</v>
      </c>
      <c r="R449" s="3639" t="s">
        <v>275</v>
      </c>
    </row>
    <row r="450" spans="2:18" s="3640" customFormat="1" x14ac:dyDescent="0.2">
      <c r="B450" s="3632">
        <v>11</v>
      </c>
      <c r="C450" s="3633" t="s">
        <v>2119</v>
      </c>
      <c r="D450" s="3634"/>
      <c r="E450" s="3634"/>
      <c r="F450" s="3634"/>
      <c r="G450" s="3635" t="s">
        <v>1659</v>
      </c>
      <c r="H450" s="3636"/>
      <c r="I450" s="3636"/>
      <c r="J450" s="3637"/>
      <c r="K450" s="3636"/>
      <c r="L450" s="3636"/>
      <c r="M450" s="3636"/>
      <c r="N450" s="3636"/>
      <c r="O450" s="3636"/>
      <c r="P450" s="3636"/>
      <c r="Q450" s="3638">
        <v>10</v>
      </c>
      <c r="R450" s="3639" t="s">
        <v>275</v>
      </c>
    </row>
    <row r="451" spans="2:18" s="3640" customFormat="1" x14ac:dyDescent="0.2">
      <c r="B451" s="3632">
        <v>12</v>
      </c>
      <c r="C451" s="3633" t="s">
        <v>2119</v>
      </c>
      <c r="D451" s="3634"/>
      <c r="E451" s="3634"/>
      <c r="F451" s="3634"/>
      <c r="G451" s="3635" t="s">
        <v>2127</v>
      </c>
      <c r="H451" s="3636"/>
      <c r="I451" s="3636"/>
      <c r="J451" s="3637"/>
      <c r="K451" s="3636"/>
      <c r="L451" s="3636"/>
      <c r="M451" s="3636"/>
      <c r="N451" s="3636"/>
      <c r="O451" s="3636"/>
      <c r="P451" s="3636"/>
      <c r="Q451" s="3638">
        <v>9</v>
      </c>
      <c r="R451" s="3639" t="s">
        <v>275</v>
      </c>
    </row>
    <row r="452" spans="2:18" s="3640" customFormat="1" x14ac:dyDescent="0.2">
      <c r="B452" s="3632">
        <v>13</v>
      </c>
      <c r="C452" s="3633" t="s">
        <v>2119</v>
      </c>
      <c r="D452" s="3634"/>
      <c r="E452" s="3634"/>
      <c r="F452" s="3634"/>
      <c r="G452" s="3635" t="s">
        <v>2128</v>
      </c>
      <c r="H452" s="3636"/>
      <c r="I452" s="3636"/>
      <c r="J452" s="3637"/>
      <c r="K452" s="3636"/>
      <c r="L452" s="3636"/>
      <c r="M452" s="3636"/>
      <c r="N452" s="3636"/>
      <c r="O452" s="3636"/>
      <c r="P452" s="3636"/>
      <c r="Q452" s="3638"/>
      <c r="R452" s="3639" t="s">
        <v>275</v>
      </c>
    </row>
    <row r="453" spans="2:18" s="3640" customFormat="1" x14ac:dyDescent="0.2">
      <c r="B453" s="3632">
        <v>13</v>
      </c>
      <c r="C453" s="3633" t="s">
        <v>2119</v>
      </c>
      <c r="D453" s="3634"/>
      <c r="E453" s="3634"/>
      <c r="F453" s="3634"/>
      <c r="G453" s="3635" t="s">
        <v>2129</v>
      </c>
      <c r="H453" s="3636"/>
      <c r="I453" s="3636"/>
      <c r="J453" s="3637"/>
      <c r="K453" s="3636"/>
      <c r="L453" s="3636"/>
      <c r="M453" s="3636"/>
      <c r="N453" s="3636"/>
      <c r="O453" s="3636"/>
      <c r="P453" s="3636"/>
      <c r="Q453" s="3638">
        <v>1</v>
      </c>
      <c r="R453" s="3639" t="s">
        <v>275</v>
      </c>
    </row>
    <row r="454" spans="2:18" s="3640" customFormat="1" x14ac:dyDescent="0.2">
      <c r="B454" s="3632">
        <v>14</v>
      </c>
      <c r="C454" s="3633" t="s">
        <v>2119</v>
      </c>
      <c r="D454" s="3634"/>
      <c r="E454" s="3634"/>
      <c r="F454" s="3634"/>
      <c r="G454" s="3635" t="s">
        <v>2130</v>
      </c>
      <c r="H454" s="3636"/>
      <c r="I454" s="3636"/>
      <c r="J454" s="3637"/>
      <c r="K454" s="3636"/>
      <c r="L454" s="3636"/>
      <c r="M454" s="3636"/>
      <c r="N454" s="3636"/>
      <c r="O454" s="3636"/>
      <c r="P454" s="3636"/>
      <c r="Q454" s="3638">
        <v>1</v>
      </c>
      <c r="R454" s="3639" t="s">
        <v>275</v>
      </c>
    </row>
    <row r="455" spans="2:18" s="3640" customFormat="1" x14ac:dyDescent="0.2">
      <c r="B455" s="3632">
        <v>15</v>
      </c>
      <c r="C455" s="3633" t="s">
        <v>2119</v>
      </c>
      <c r="D455" s="3634"/>
      <c r="E455" s="3634"/>
      <c r="F455" s="3634"/>
      <c r="G455" s="3635" t="s">
        <v>2131</v>
      </c>
      <c r="H455" s="3636"/>
      <c r="I455" s="3636"/>
      <c r="J455" s="3637"/>
      <c r="K455" s="3636"/>
      <c r="L455" s="3636"/>
      <c r="M455" s="3636"/>
      <c r="N455" s="3636"/>
      <c r="O455" s="3636"/>
      <c r="P455" s="3636"/>
      <c r="Q455" s="3638"/>
      <c r="R455" s="3639" t="s">
        <v>275</v>
      </c>
    </row>
    <row r="456" spans="2:18" s="3640" customFormat="1" x14ac:dyDescent="0.2">
      <c r="B456" s="3632">
        <v>15</v>
      </c>
      <c r="C456" s="3633" t="s">
        <v>2132</v>
      </c>
      <c r="D456" s="3634"/>
      <c r="E456" s="3634"/>
      <c r="F456" s="3634"/>
      <c r="G456" s="3635" t="s">
        <v>2133</v>
      </c>
      <c r="H456" s="3636"/>
      <c r="I456" s="3636"/>
      <c r="J456" s="3637"/>
      <c r="K456" s="3636"/>
      <c r="L456" s="3636"/>
      <c r="M456" s="3636"/>
      <c r="N456" s="3636"/>
      <c r="O456" s="3636"/>
      <c r="P456" s="3636"/>
      <c r="Q456" s="3638">
        <v>1</v>
      </c>
      <c r="R456" s="3639" t="s">
        <v>275</v>
      </c>
    </row>
    <row r="457" spans="2:18" s="3640" customFormat="1" x14ac:dyDescent="0.2">
      <c r="B457" s="3632">
        <v>16</v>
      </c>
      <c r="C457" s="3633" t="s">
        <v>2132</v>
      </c>
      <c r="D457" s="3634"/>
      <c r="E457" s="3634"/>
      <c r="F457" s="3634"/>
      <c r="G457" s="3635" t="s">
        <v>2134</v>
      </c>
      <c r="H457" s="3636"/>
      <c r="I457" s="3636"/>
      <c r="J457" s="3637"/>
      <c r="K457" s="3636"/>
      <c r="L457" s="3636"/>
      <c r="M457" s="3636"/>
      <c r="N457" s="3636"/>
      <c r="O457" s="3636"/>
      <c r="P457" s="3636"/>
      <c r="Q457" s="3638">
        <v>3</v>
      </c>
      <c r="R457" s="3639" t="s">
        <v>275</v>
      </c>
    </row>
    <row r="458" spans="2:18" s="3640" customFormat="1" x14ac:dyDescent="0.2">
      <c r="B458" s="3632">
        <v>17</v>
      </c>
      <c r="C458" s="3633" t="s">
        <v>2132</v>
      </c>
      <c r="D458" s="3634"/>
      <c r="E458" s="3634"/>
      <c r="F458" s="3634"/>
      <c r="G458" s="3635" t="s">
        <v>2135</v>
      </c>
      <c r="H458" s="3636"/>
      <c r="I458" s="3636"/>
      <c r="J458" s="3637"/>
      <c r="K458" s="3636"/>
      <c r="L458" s="3636"/>
      <c r="M458" s="3636"/>
      <c r="N458" s="3636"/>
      <c r="O458" s="3636"/>
      <c r="P458" s="3636"/>
      <c r="Q458" s="3638">
        <v>7</v>
      </c>
      <c r="R458" s="3639" t="s">
        <v>275</v>
      </c>
    </row>
    <row r="459" spans="2:18" s="3640" customFormat="1" x14ac:dyDescent="0.2">
      <c r="B459" s="3632">
        <v>18</v>
      </c>
      <c r="C459" s="3633" t="s">
        <v>2132</v>
      </c>
      <c r="D459" s="3634"/>
      <c r="E459" s="3634"/>
      <c r="F459" s="3634"/>
      <c r="G459" s="3635" t="s">
        <v>2136</v>
      </c>
      <c r="H459" s="3636"/>
      <c r="I459" s="3636"/>
      <c r="J459" s="3637"/>
      <c r="K459" s="3636"/>
      <c r="L459" s="3636"/>
      <c r="M459" s="3636"/>
      <c r="N459" s="3636"/>
      <c r="O459" s="3636"/>
      <c r="P459" s="3636"/>
      <c r="Q459" s="3647">
        <v>2</v>
      </c>
      <c r="R459" s="3639" t="s">
        <v>275</v>
      </c>
    </row>
    <row r="460" spans="2:18" s="3640" customFormat="1" x14ac:dyDescent="0.2">
      <c r="B460" s="3632">
        <v>19</v>
      </c>
      <c r="C460" s="3633" t="s">
        <v>2132</v>
      </c>
      <c r="D460" s="3634"/>
      <c r="E460" s="3634"/>
      <c r="F460" s="3634"/>
      <c r="G460" s="3635" t="s">
        <v>2137</v>
      </c>
      <c r="H460" s="3636"/>
      <c r="I460" s="3636"/>
      <c r="J460" s="3637"/>
      <c r="K460" s="3636"/>
      <c r="L460" s="3636"/>
      <c r="M460" s="3636"/>
      <c r="N460" s="3636"/>
      <c r="O460" s="3636"/>
      <c r="P460" s="3636"/>
      <c r="Q460" s="3647">
        <v>1</v>
      </c>
      <c r="R460" s="3639" t="s">
        <v>275</v>
      </c>
    </row>
    <row r="461" spans="2:18" s="3640" customFormat="1" x14ac:dyDescent="0.2">
      <c r="B461" s="3632">
        <v>0</v>
      </c>
      <c r="C461" s="3633" t="s">
        <v>2132</v>
      </c>
      <c r="D461" s="3634"/>
      <c r="E461" s="3634"/>
      <c r="F461" s="3634"/>
      <c r="G461" s="3635" t="s">
        <v>2138</v>
      </c>
      <c r="H461" s="3636"/>
      <c r="I461" s="3636"/>
      <c r="J461" s="3637"/>
      <c r="K461" s="3636"/>
      <c r="L461" s="3636"/>
      <c r="M461" s="3636"/>
      <c r="N461" s="3636"/>
      <c r="O461" s="3636"/>
      <c r="P461" s="3636"/>
      <c r="Q461" s="3647"/>
      <c r="R461" s="3639" t="s">
        <v>275</v>
      </c>
    </row>
    <row r="462" spans="2:18" s="3640" customFormat="1" x14ac:dyDescent="0.2">
      <c r="B462" s="3632">
        <v>20</v>
      </c>
      <c r="C462" s="3633" t="s">
        <v>2132</v>
      </c>
      <c r="D462" s="3634"/>
      <c r="E462" s="3634"/>
      <c r="F462" s="3634"/>
      <c r="G462" s="3635" t="s">
        <v>2139</v>
      </c>
      <c r="H462" s="3636"/>
      <c r="I462" s="3636"/>
      <c r="J462" s="3637"/>
      <c r="K462" s="3636"/>
      <c r="L462" s="3636"/>
      <c r="M462" s="3636"/>
      <c r="N462" s="3636"/>
      <c r="O462" s="3636"/>
      <c r="P462" s="3636"/>
      <c r="Q462" s="3647">
        <v>2</v>
      </c>
      <c r="R462" s="3639" t="s">
        <v>275</v>
      </c>
    </row>
    <row r="463" spans="2:18" s="3646" customFormat="1" x14ac:dyDescent="0.2">
      <c r="B463" s="3632">
        <v>21</v>
      </c>
      <c r="C463" s="3648"/>
      <c r="D463" s="3641"/>
      <c r="E463" s="3641"/>
      <c r="F463" s="3641"/>
      <c r="G463" s="3642" t="s">
        <v>2140</v>
      </c>
      <c r="H463" s="3643"/>
      <c r="I463" s="3643"/>
      <c r="J463" s="3644"/>
      <c r="K463" s="3643"/>
      <c r="L463" s="3643"/>
      <c r="M463" s="3643"/>
      <c r="N463" s="3643"/>
      <c r="O463" s="3643"/>
      <c r="P463" s="3643"/>
      <c r="Q463" s="3649">
        <v>2</v>
      </c>
      <c r="R463" s="3645" t="s">
        <v>275</v>
      </c>
    </row>
    <row r="464" spans="2:18" s="3640" customFormat="1" x14ac:dyDescent="0.2">
      <c r="B464" s="3632">
        <v>0</v>
      </c>
      <c r="C464" s="3633" t="s">
        <v>2132</v>
      </c>
      <c r="D464" s="3634"/>
      <c r="E464" s="3634"/>
      <c r="F464" s="3634"/>
      <c r="G464" s="3635" t="s">
        <v>2141</v>
      </c>
      <c r="H464" s="3636"/>
      <c r="I464" s="3636"/>
      <c r="J464" s="3637"/>
      <c r="K464" s="3636"/>
      <c r="L464" s="3636"/>
      <c r="M464" s="3636"/>
      <c r="N464" s="3636"/>
      <c r="O464" s="3636"/>
      <c r="P464" s="3636"/>
      <c r="Q464" s="3647"/>
      <c r="R464" s="3639" t="s">
        <v>275</v>
      </c>
    </row>
    <row r="465" spans="2:18" s="3640" customFormat="1" x14ac:dyDescent="0.2">
      <c r="B465" s="3632">
        <v>22</v>
      </c>
      <c r="C465" s="3633" t="s">
        <v>2142</v>
      </c>
      <c r="D465" s="3634"/>
      <c r="E465" s="3634"/>
      <c r="F465" s="3634"/>
      <c r="G465" s="3635" t="s">
        <v>2143</v>
      </c>
      <c r="H465" s="3636"/>
      <c r="I465" s="3636"/>
      <c r="J465" s="3637"/>
      <c r="K465" s="3636"/>
      <c r="L465" s="3636"/>
      <c r="M465" s="3636"/>
      <c r="N465" s="3636"/>
      <c r="O465" s="3636"/>
      <c r="P465" s="3636"/>
      <c r="Q465" s="3647">
        <v>6</v>
      </c>
      <c r="R465" s="3639" t="s">
        <v>275</v>
      </c>
    </row>
    <row r="466" spans="2:18" s="3640" customFormat="1" x14ac:dyDescent="0.2">
      <c r="B466" s="3632">
        <v>23</v>
      </c>
      <c r="C466" s="3633" t="s">
        <v>2142</v>
      </c>
      <c r="D466" s="3634"/>
      <c r="E466" s="3634"/>
      <c r="F466" s="3634"/>
      <c r="G466" s="3635" t="s">
        <v>2144</v>
      </c>
      <c r="H466" s="3636"/>
      <c r="I466" s="3636"/>
      <c r="J466" s="3637"/>
      <c r="K466" s="3636"/>
      <c r="L466" s="3636"/>
      <c r="M466" s="3636"/>
      <c r="N466" s="3636"/>
      <c r="O466" s="3636"/>
      <c r="P466" s="3636"/>
      <c r="Q466" s="3647">
        <v>2</v>
      </c>
      <c r="R466" s="3639" t="s">
        <v>275</v>
      </c>
    </row>
    <row r="467" spans="2:18" s="3640" customFormat="1" x14ac:dyDescent="0.2">
      <c r="B467" s="3632">
        <v>0</v>
      </c>
      <c r="C467" s="3633" t="s">
        <v>2142</v>
      </c>
      <c r="D467" s="3634"/>
      <c r="E467" s="3634"/>
      <c r="F467" s="3634"/>
      <c r="G467" s="3635" t="s">
        <v>2145</v>
      </c>
      <c r="H467" s="3636"/>
      <c r="I467" s="3636"/>
      <c r="J467" s="3637"/>
      <c r="K467" s="3636"/>
      <c r="L467" s="3636"/>
      <c r="M467" s="3636"/>
      <c r="N467" s="3636"/>
      <c r="O467" s="3636"/>
      <c r="P467" s="3636"/>
      <c r="Q467" s="3647"/>
      <c r="R467" s="3639" t="s">
        <v>275</v>
      </c>
    </row>
    <row r="468" spans="2:18" s="3640" customFormat="1" x14ac:dyDescent="0.2">
      <c r="B468" s="3632">
        <v>0</v>
      </c>
      <c r="C468" s="3633" t="s">
        <v>2142</v>
      </c>
      <c r="D468" s="3634"/>
      <c r="E468" s="3634"/>
      <c r="F468" s="3634"/>
      <c r="G468" s="3635" t="s">
        <v>2146</v>
      </c>
      <c r="H468" s="3636"/>
      <c r="I468" s="3636"/>
      <c r="J468" s="3637"/>
      <c r="K468" s="3636"/>
      <c r="L468" s="3636"/>
      <c r="M468" s="3636"/>
      <c r="N468" s="3636"/>
      <c r="O468" s="3636"/>
      <c r="P468" s="3636"/>
      <c r="Q468" s="3647"/>
      <c r="R468" s="3639" t="s">
        <v>275</v>
      </c>
    </row>
    <row r="469" spans="2:18" s="3640" customFormat="1" x14ac:dyDescent="0.2">
      <c r="B469" s="3632">
        <v>0</v>
      </c>
      <c r="C469" s="3633" t="s">
        <v>2142</v>
      </c>
      <c r="D469" s="3634"/>
      <c r="E469" s="3634"/>
      <c r="F469" s="3634"/>
      <c r="G469" s="3635" t="s">
        <v>2147</v>
      </c>
      <c r="H469" s="3636"/>
      <c r="I469" s="3636"/>
      <c r="J469" s="3637"/>
      <c r="K469" s="3636"/>
      <c r="L469" s="3636"/>
      <c r="M469" s="3636"/>
      <c r="N469" s="3636"/>
      <c r="O469" s="3636"/>
      <c r="P469" s="3636"/>
      <c r="Q469" s="3647"/>
      <c r="R469" s="3639" t="s">
        <v>275</v>
      </c>
    </row>
    <row r="470" spans="2:18" x14ac:dyDescent="0.2">
      <c r="B470" s="3586"/>
      <c r="C470" s="3587"/>
      <c r="D470" s="3582"/>
      <c r="E470" s="3582"/>
      <c r="F470" s="3582"/>
      <c r="G470" s="3631"/>
      <c r="H470" s="3583"/>
      <c r="I470" s="3583"/>
      <c r="J470" s="3630"/>
      <c r="K470" s="3583"/>
      <c r="L470" s="3583"/>
      <c r="M470" s="3583"/>
      <c r="N470" s="3583"/>
      <c r="O470" s="3583"/>
      <c r="P470" s="3583"/>
      <c r="Q470" s="3584"/>
      <c r="R470" s="3585"/>
    </row>
    <row r="471" spans="2:18" x14ac:dyDescent="0.2">
      <c r="B471" s="3586"/>
      <c r="C471" s="3581" t="str">
        <f>[6]RAB!D201</f>
        <v>LANTAI 2</v>
      </c>
      <c r="D471" s="3582"/>
      <c r="E471" s="3582"/>
      <c r="F471" s="3582"/>
      <c r="G471" s="3631"/>
      <c r="H471" s="3583"/>
      <c r="I471" s="3583"/>
      <c r="J471" s="3630"/>
      <c r="K471" s="3583"/>
      <c r="L471" s="3583"/>
      <c r="M471" s="3583"/>
      <c r="N471" s="3583"/>
      <c r="O471" s="3583"/>
      <c r="P471" s="3583"/>
      <c r="Q471" s="3584"/>
      <c r="R471" s="3585"/>
    </row>
    <row r="472" spans="2:18" x14ac:dyDescent="0.2">
      <c r="B472" s="3586"/>
      <c r="C472" s="3587" t="str">
        <f>[6]RAB!D202</f>
        <v>Pekerjaan Pintu &amp; Jendela alumunium lengkap accessories</v>
      </c>
      <c r="D472" s="3582"/>
      <c r="E472" s="3582"/>
      <c r="F472" s="3582"/>
      <c r="G472" s="3631"/>
      <c r="H472" s="3583"/>
      <c r="I472" s="3583"/>
      <c r="J472" s="3630"/>
      <c r="K472" s="3583"/>
      <c r="L472" s="3583"/>
      <c r="M472" s="3583"/>
      <c r="N472" s="3583"/>
      <c r="O472" s="3583"/>
      <c r="P472" s="3583"/>
      <c r="Q472" s="3584"/>
      <c r="R472" s="3585"/>
    </row>
    <row r="473" spans="2:18" x14ac:dyDescent="0.2">
      <c r="B473" s="3586">
        <f>[6]RAB!B203</f>
        <v>1</v>
      </c>
      <c r="C473" s="3587" t="str">
        <f>[6]RAB!D203</f>
        <v xml:space="preserve">Memasang kusen pintu/jendela alluminium </v>
      </c>
      <c r="D473" s="3582"/>
      <c r="E473" s="3582"/>
      <c r="F473" s="3582"/>
      <c r="G473" s="3631"/>
      <c r="H473" s="3583"/>
      <c r="I473" s="3583"/>
      <c r="J473" s="3630"/>
      <c r="K473" s="3583"/>
      <c r="L473" s="3583"/>
      <c r="M473" s="3583"/>
      <c r="N473" s="3583"/>
      <c r="O473" s="3583"/>
      <c r="P473" s="3583"/>
      <c r="Q473" s="3584">
        <f>'[6]back up kusen alumunium'!K29</f>
        <v>576.6</v>
      </c>
      <c r="R473" s="3585" t="str">
        <f>[6]RAB!H203</f>
        <v>m'</v>
      </c>
    </row>
    <row r="474" spans="2:18" x14ac:dyDescent="0.2">
      <c r="B474" s="3586">
        <f>[6]RAB!B204</f>
        <v>2</v>
      </c>
      <c r="C474" s="3587" t="str">
        <f>[6]RAB!D204</f>
        <v>Memasang pintu kaca rangka alluminium</v>
      </c>
      <c r="D474" s="3582"/>
      <c r="E474" s="3582"/>
      <c r="F474" s="3582"/>
      <c r="G474" s="3631"/>
      <c r="H474" s="3583"/>
      <c r="I474" s="3583"/>
      <c r="J474" s="3630"/>
      <c r="K474" s="3583"/>
      <c r="L474" s="3583"/>
      <c r="M474" s="3583"/>
      <c r="N474" s="3583"/>
      <c r="O474" s="3583"/>
      <c r="P474" s="3583"/>
      <c r="Q474" s="3584">
        <f>'[6]back up kusen alumunium'!M29</f>
        <v>48.1</v>
      </c>
      <c r="R474" s="3585" t="str">
        <f>[6]RAB!H204</f>
        <v>m2</v>
      </c>
    </row>
    <row r="475" spans="2:18" x14ac:dyDescent="0.2">
      <c r="B475" s="3586">
        <f>[6]RAB!B205</f>
        <v>3</v>
      </c>
      <c r="C475" s="3587" t="str">
        <f>[6]RAB!D205</f>
        <v>Memasang pintu alluminium strip</v>
      </c>
      <c r="D475" s="3582"/>
      <c r="E475" s="3582"/>
      <c r="F475" s="3582"/>
      <c r="G475" s="3631"/>
      <c r="H475" s="3583"/>
      <c r="I475" s="3583"/>
      <c r="J475" s="3630"/>
      <c r="K475" s="3583"/>
      <c r="L475" s="3583"/>
      <c r="M475" s="3583"/>
      <c r="N475" s="3583"/>
      <c r="O475" s="3583"/>
      <c r="P475" s="3583"/>
      <c r="Q475" s="3584">
        <f>'[6]back up kusen alumunium'!P29</f>
        <v>14.840000000000003</v>
      </c>
      <c r="R475" s="3585" t="str">
        <f>[6]RAB!H205</f>
        <v>m2</v>
      </c>
    </row>
    <row r="476" spans="2:18" x14ac:dyDescent="0.2">
      <c r="B476" s="3586">
        <f>[6]RAB!B206</f>
        <v>4</v>
      </c>
      <c r="C476" s="3587" t="str">
        <f>[6]RAB!D206</f>
        <v>Memasang jendela &amp; boven kaca rangka aluminium</v>
      </c>
      <c r="D476" s="3582"/>
      <c r="E476" s="3582"/>
      <c r="F476" s="3582"/>
      <c r="G476" s="3631"/>
      <c r="H476" s="3583"/>
      <c r="I476" s="3583"/>
      <c r="J476" s="3630"/>
      <c r="K476" s="3583"/>
      <c r="L476" s="3583"/>
      <c r="M476" s="3583"/>
      <c r="N476" s="3583"/>
      <c r="O476" s="3583"/>
      <c r="P476" s="3583"/>
      <c r="Q476" s="3584">
        <f>'[6]back up kusen alumunium'!N29</f>
        <v>104.04</v>
      </c>
      <c r="R476" s="3585" t="str">
        <f>[6]RAB!H206</f>
        <v>m2</v>
      </c>
    </row>
    <row r="477" spans="2:18" x14ac:dyDescent="0.2">
      <c r="B477" s="3586">
        <f>[6]RAB!B207</f>
        <v>5</v>
      </c>
      <c r="C477" s="3587" t="str">
        <f>[6]RAB!D207</f>
        <v>Pasang kaca mati tebal 5 mm</v>
      </c>
      <c r="D477" s="3582"/>
      <c r="E477" s="3582"/>
      <c r="F477" s="3582"/>
      <c r="G477" s="3631"/>
      <c r="H477" s="3583"/>
      <c r="I477" s="3583"/>
      <c r="J477" s="3630"/>
      <c r="K477" s="3583"/>
      <c r="L477" s="3583"/>
      <c r="M477" s="3583"/>
      <c r="N477" s="3583"/>
      <c r="O477" s="3583"/>
      <c r="P477" s="3583"/>
      <c r="Q477" s="3584">
        <f>'[6]back up kusen alumunium'!O29</f>
        <v>23.88</v>
      </c>
      <c r="R477" s="3585" t="str">
        <f>[6]RAB!H207</f>
        <v>m2</v>
      </c>
    </row>
    <row r="478" spans="2:18" s="3640" customFormat="1" x14ac:dyDescent="0.2">
      <c r="B478" s="3632" t="e">
        <f>[6]RAB!#REF!</f>
        <v>#REF!</v>
      </c>
      <c r="C478" s="3633" t="e">
        <f>[6]RAB!#REF!</f>
        <v>#REF!</v>
      </c>
      <c r="D478" s="3634"/>
      <c r="E478" s="3634"/>
      <c r="F478" s="3634"/>
      <c r="G478" s="3635"/>
      <c r="H478" s="3636"/>
      <c r="I478" s="3636"/>
      <c r="J478" s="3637"/>
      <c r="K478" s="3636"/>
      <c r="L478" s="3636"/>
      <c r="M478" s="3636"/>
      <c r="N478" s="3636"/>
      <c r="O478" s="3636"/>
      <c r="P478" s="3636"/>
      <c r="Q478" s="3647"/>
      <c r="R478" s="3639" t="e">
        <f>[6]RAB!#REF!</f>
        <v>#REF!</v>
      </c>
    </row>
    <row r="479" spans="2:18" s="3640" customFormat="1" x14ac:dyDescent="0.2">
      <c r="B479" s="3632" t="e">
        <f>[6]RAB!#REF!</f>
        <v>#REF!</v>
      </c>
      <c r="C479" s="3633" t="e">
        <f>[6]RAB!#REF!</f>
        <v>#REF!</v>
      </c>
      <c r="D479" s="3634"/>
      <c r="E479" s="3634"/>
      <c r="F479" s="3634"/>
      <c r="G479" s="3635"/>
      <c r="H479" s="3636"/>
      <c r="I479" s="3636"/>
      <c r="J479" s="3637"/>
      <c r="K479" s="3636"/>
      <c r="L479" s="3636"/>
      <c r="M479" s="3636"/>
      <c r="N479" s="3636"/>
      <c r="O479" s="3636"/>
      <c r="P479" s="3636"/>
      <c r="Q479" s="3647"/>
      <c r="R479" s="3639"/>
    </row>
    <row r="480" spans="2:18" s="3640" customFormat="1" x14ac:dyDescent="0.2">
      <c r="B480" s="3632" t="e">
        <f>[6]RAB!#REF!</f>
        <v>#REF!</v>
      </c>
      <c r="C480" s="3633" t="e">
        <f>[6]RAB!#REF!</f>
        <v>#REF!</v>
      </c>
      <c r="D480" s="3634"/>
      <c r="E480" s="3634"/>
      <c r="F480" s="3634"/>
      <c r="G480" s="3635"/>
      <c r="H480" s="3636"/>
      <c r="I480" s="3636"/>
      <c r="J480" s="3637"/>
      <c r="K480" s="3636"/>
      <c r="L480" s="3636"/>
      <c r="M480" s="3636"/>
      <c r="N480" s="3636"/>
      <c r="O480" s="3636"/>
      <c r="P480" s="3636"/>
      <c r="Q480" s="3647"/>
      <c r="R480" s="3639"/>
    </row>
    <row r="481" spans="2:18" s="3640" customFormat="1" x14ac:dyDescent="0.2">
      <c r="B481" s="3632" t="e">
        <f>[6]RAB!#REF!</f>
        <v>#REF!</v>
      </c>
      <c r="C481" s="3633" t="e">
        <f>[6]RAB!#REF!</f>
        <v>#REF!</v>
      </c>
      <c r="D481" s="3634"/>
      <c r="E481" s="3634"/>
      <c r="F481" s="3634"/>
      <c r="G481" s="3635"/>
      <c r="H481" s="3636"/>
      <c r="I481" s="3636"/>
      <c r="J481" s="3637"/>
      <c r="K481" s="3636"/>
      <c r="L481" s="3636"/>
      <c r="M481" s="3636"/>
      <c r="N481" s="3636"/>
      <c r="O481" s="3636"/>
      <c r="P481" s="3636"/>
      <c r="Q481" s="3647"/>
      <c r="R481" s="3639"/>
    </row>
    <row r="482" spans="2:18" s="3640" customFormat="1" x14ac:dyDescent="0.2">
      <c r="B482" s="3632"/>
      <c r="C482" s="3633"/>
      <c r="D482" s="3634"/>
      <c r="E482" s="3634"/>
      <c r="F482" s="3634"/>
      <c r="G482" s="3635"/>
      <c r="H482" s="3636"/>
      <c r="I482" s="3636"/>
      <c r="J482" s="3637"/>
      <c r="K482" s="3636"/>
      <c r="L482" s="3636"/>
      <c r="M482" s="3636"/>
      <c r="N482" s="3636"/>
      <c r="O482" s="3636"/>
      <c r="P482" s="3636"/>
      <c r="Q482" s="3647"/>
      <c r="R482" s="3639"/>
    </row>
    <row r="483" spans="2:18" s="3640" customFormat="1" x14ac:dyDescent="0.2">
      <c r="B483" s="3632">
        <v>1</v>
      </c>
      <c r="C483" s="3633" t="s">
        <v>2119</v>
      </c>
      <c r="D483" s="3634"/>
      <c r="E483" s="3634"/>
      <c r="F483" s="3634"/>
      <c r="G483" s="3635" t="s">
        <v>1658</v>
      </c>
      <c r="H483" s="3636"/>
      <c r="I483" s="3636"/>
      <c r="J483" s="3637"/>
      <c r="K483" s="3636"/>
      <c r="L483" s="3636"/>
      <c r="M483" s="3636"/>
      <c r="N483" s="3636"/>
      <c r="O483" s="3636"/>
      <c r="P483" s="3636"/>
      <c r="Q483" s="3647">
        <v>5</v>
      </c>
      <c r="R483" s="3639" t="s">
        <v>275</v>
      </c>
    </row>
    <row r="484" spans="2:18" s="3640" customFormat="1" x14ac:dyDescent="0.2">
      <c r="B484" s="3632">
        <v>2</v>
      </c>
      <c r="C484" s="3633" t="s">
        <v>2119</v>
      </c>
      <c r="D484" s="3634"/>
      <c r="E484" s="3634"/>
      <c r="F484" s="3634"/>
      <c r="G484" s="3635" t="s">
        <v>2086</v>
      </c>
      <c r="H484" s="3636"/>
      <c r="I484" s="3636"/>
      <c r="J484" s="3637"/>
      <c r="K484" s="3636"/>
      <c r="L484" s="3636"/>
      <c r="M484" s="3636"/>
      <c r="N484" s="3636"/>
      <c r="O484" s="3636"/>
      <c r="P484" s="3636"/>
      <c r="Q484" s="3647">
        <v>1</v>
      </c>
      <c r="R484" s="3639" t="s">
        <v>275</v>
      </c>
    </row>
    <row r="485" spans="2:18" s="3640" customFormat="1" x14ac:dyDescent="0.2">
      <c r="B485" s="3632">
        <v>3</v>
      </c>
      <c r="C485" s="3633" t="s">
        <v>2119</v>
      </c>
      <c r="D485" s="3634"/>
      <c r="E485" s="3634"/>
      <c r="F485" s="3634"/>
      <c r="G485" s="3635" t="s">
        <v>2087</v>
      </c>
      <c r="H485" s="3636"/>
      <c r="I485" s="3636"/>
      <c r="J485" s="3637"/>
      <c r="K485" s="3636"/>
      <c r="L485" s="3636"/>
      <c r="M485" s="3636"/>
      <c r="N485" s="3636"/>
      <c r="O485" s="3636"/>
      <c r="P485" s="3636"/>
      <c r="Q485" s="3647">
        <v>5</v>
      </c>
      <c r="R485" s="3639" t="s">
        <v>275</v>
      </c>
    </row>
    <row r="486" spans="2:18" s="3640" customFormat="1" x14ac:dyDescent="0.2">
      <c r="B486" s="3632">
        <v>4</v>
      </c>
      <c r="C486" s="3633" t="s">
        <v>2119</v>
      </c>
      <c r="D486" s="3634"/>
      <c r="E486" s="3634"/>
      <c r="F486" s="3634"/>
      <c r="G486" s="3635" t="s">
        <v>2120</v>
      </c>
      <c r="H486" s="3636"/>
      <c r="I486" s="3636"/>
      <c r="J486" s="3637"/>
      <c r="K486" s="3636"/>
      <c r="L486" s="3636"/>
      <c r="M486" s="3636"/>
      <c r="N486" s="3636"/>
      <c r="O486" s="3636"/>
      <c r="P486" s="3636"/>
      <c r="Q486" s="3647">
        <v>7</v>
      </c>
      <c r="R486" s="3639" t="s">
        <v>275</v>
      </c>
    </row>
    <row r="487" spans="2:18" s="3640" customFormat="1" x14ac:dyDescent="0.2">
      <c r="B487" s="3632">
        <v>5</v>
      </c>
      <c r="C487" s="3633" t="s">
        <v>2119</v>
      </c>
      <c r="D487" s="3634"/>
      <c r="E487" s="3634"/>
      <c r="F487" s="3634"/>
      <c r="G487" s="3635" t="s">
        <v>2148</v>
      </c>
      <c r="H487" s="3636"/>
      <c r="I487" s="3636"/>
      <c r="J487" s="3637"/>
      <c r="K487" s="3636"/>
      <c r="L487" s="3636"/>
      <c r="M487" s="3636"/>
      <c r="N487" s="3636"/>
      <c r="O487" s="3636"/>
      <c r="P487" s="3636"/>
      <c r="Q487" s="3647">
        <v>1</v>
      </c>
      <c r="R487" s="3639" t="s">
        <v>275</v>
      </c>
    </row>
    <row r="488" spans="2:18" s="3640" customFormat="1" x14ac:dyDescent="0.2">
      <c r="B488" s="3632">
        <v>6</v>
      </c>
      <c r="C488" s="3633" t="s">
        <v>2119</v>
      </c>
      <c r="D488" s="3634"/>
      <c r="E488" s="3634"/>
      <c r="F488" s="3634"/>
      <c r="G488" s="3635" t="s">
        <v>2149</v>
      </c>
      <c r="H488" s="3636"/>
      <c r="I488" s="3636"/>
      <c r="J488" s="3637"/>
      <c r="K488" s="3636"/>
      <c r="L488" s="3636"/>
      <c r="M488" s="3636"/>
      <c r="N488" s="3636"/>
      <c r="O488" s="3636"/>
      <c r="P488" s="3636"/>
      <c r="Q488" s="3647">
        <v>3</v>
      </c>
      <c r="R488" s="3639" t="s">
        <v>275</v>
      </c>
    </row>
    <row r="489" spans="2:18" s="3640" customFormat="1" x14ac:dyDescent="0.2">
      <c r="B489" s="3632">
        <v>7</v>
      </c>
      <c r="C489" s="3633" t="s">
        <v>2119</v>
      </c>
      <c r="D489" s="3634"/>
      <c r="E489" s="3634"/>
      <c r="F489" s="3634"/>
      <c r="G489" s="3635" t="s">
        <v>1659</v>
      </c>
      <c r="H489" s="3636"/>
      <c r="I489" s="3636"/>
      <c r="J489" s="3637"/>
      <c r="K489" s="3636"/>
      <c r="L489" s="3636"/>
      <c r="M489" s="3636"/>
      <c r="N489" s="3636"/>
      <c r="O489" s="3636"/>
      <c r="P489" s="3636"/>
      <c r="Q489" s="3647">
        <v>15</v>
      </c>
      <c r="R489" s="3639" t="s">
        <v>275</v>
      </c>
    </row>
    <row r="490" spans="2:18" s="3640" customFormat="1" x14ac:dyDescent="0.2">
      <c r="B490" s="3632">
        <v>8</v>
      </c>
      <c r="C490" s="3633" t="s">
        <v>2119</v>
      </c>
      <c r="D490" s="3634"/>
      <c r="E490" s="3634"/>
      <c r="F490" s="3634"/>
      <c r="G490" s="3635" t="s">
        <v>2127</v>
      </c>
      <c r="H490" s="3636"/>
      <c r="I490" s="3636"/>
      <c r="J490" s="3637"/>
      <c r="K490" s="3636"/>
      <c r="L490" s="3636"/>
      <c r="M490" s="3636"/>
      <c r="N490" s="3636"/>
      <c r="O490" s="3636"/>
      <c r="P490" s="3636"/>
      <c r="Q490" s="3647">
        <v>4</v>
      </c>
      <c r="R490" s="3639" t="s">
        <v>275</v>
      </c>
    </row>
    <row r="491" spans="2:18" s="3640" customFormat="1" x14ac:dyDescent="0.2">
      <c r="B491" s="3632">
        <v>9</v>
      </c>
      <c r="C491" s="3633" t="s">
        <v>2119</v>
      </c>
      <c r="D491" s="3634"/>
      <c r="E491" s="3634"/>
      <c r="F491" s="3634"/>
      <c r="G491" s="3635" t="s">
        <v>1661</v>
      </c>
      <c r="H491" s="3636"/>
      <c r="I491" s="3636"/>
      <c r="J491" s="3637"/>
      <c r="K491" s="3636"/>
      <c r="L491" s="3636"/>
      <c r="M491" s="3636"/>
      <c r="N491" s="3636"/>
      <c r="O491" s="3636"/>
      <c r="P491" s="3636"/>
      <c r="Q491" s="3647">
        <v>2</v>
      </c>
      <c r="R491" s="3639" t="s">
        <v>275</v>
      </c>
    </row>
    <row r="492" spans="2:18" s="3640" customFormat="1" x14ac:dyDescent="0.2">
      <c r="B492" s="3632">
        <v>10</v>
      </c>
      <c r="C492" s="3633" t="s">
        <v>2119</v>
      </c>
      <c r="D492" s="3634"/>
      <c r="E492" s="3634"/>
      <c r="F492" s="3634"/>
      <c r="G492" s="3635" t="s">
        <v>1662</v>
      </c>
      <c r="H492" s="3636"/>
      <c r="I492" s="3636"/>
      <c r="J492" s="3637"/>
      <c r="K492" s="3636"/>
      <c r="L492" s="3636"/>
      <c r="M492" s="3636"/>
      <c r="N492" s="3636"/>
      <c r="O492" s="3636"/>
      <c r="P492" s="3636"/>
      <c r="Q492" s="3647">
        <v>2</v>
      </c>
      <c r="R492" s="3639" t="s">
        <v>275</v>
      </c>
    </row>
    <row r="493" spans="2:18" s="3640" customFormat="1" x14ac:dyDescent="0.2">
      <c r="B493" s="3632">
        <v>11</v>
      </c>
      <c r="C493" s="3633" t="s">
        <v>2119</v>
      </c>
      <c r="D493" s="3634"/>
      <c r="E493" s="3634"/>
      <c r="F493" s="3634"/>
      <c r="G493" s="3635" t="s">
        <v>2150</v>
      </c>
      <c r="H493" s="3636"/>
      <c r="I493" s="3636"/>
      <c r="J493" s="3637"/>
      <c r="K493" s="3636"/>
      <c r="L493" s="3636"/>
      <c r="M493" s="3636"/>
      <c r="N493" s="3636"/>
      <c r="O493" s="3636"/>
      <c r="P493" s="3636"/>
      <c r="Q493" s="3647">
        <v>1</v>
      </c>
      <c r="R493" s="3639" t="s">
        <v>275</v>
      </c>
    </row>
    <row r="494" spans="2:18" s="3640" customFormat="1" x14ac:dyDescent="0.2">
      <c r="B494" s="3632">
        <v>12</v>
      </c>
      <c r="C494" s="3633" t="s">
        <v>2132</v>
      </c>
      <c r="D494" s="3634"/>
      <c r="E494" s="3634"/>
      <c r="F494" s="3634"/>
      <c r="G494" s="3635" t="s">
        <v>2134</v>
      </c>
      <c r="H494" s="3636"/>
      <c r="I494" s="3636"/>
      <c r="J494" s="3637"/>
      <c r="K494" s="3636"/>
      <c r="L494" s="3636"/>
      <c r="M494" s="3636"/>
      <c r="N494" s="3636"/>
      <c r="O494" s="3636"/>
      <c r="P494" s="3636"/>
      <c r="Q494" s="3647">
        <v>1</v>
      </c>
      <c r="R494" s="3639" t="s">
        <v>275</v>
      </c>
    </row>
    <row r="495" spans="2:18" s="3640" customFormat="1" x14ac:dyDescent="0.2">
      <c r="B495" s="3632">
        <v>13</v>
      </c>
      <c r="C495" s="3633" t="s">
        <v>2132</v>
      </c>
      <c r="D495" s="3634"/>
      <c r="E495" s="3634"/>
      <c r="F495" s="3634"/>
      <c r="G495" s="3635" t="s">
        <v>2135</v>
      </c>
      <c r="H495" s="3636"/>
      <c r="I495" s="3636"/>
      <c r="J495" s="3637"/>
      <c r="K495" s="3636"/>
      <c r="L495" s="3636"/>
      <c r="M495" s="3636"/>
      <c r="N495" s="3636"/>
      <c r="O495" s="3636"/>
      <c r="P495" s="3636"/>
      <c r="Q495" s="3647">
        <v>6</v>
      </c>
      <c r="R495" s="3639" t="s">
        <v>275</v>
      </c>
    </row>
    <row r="496" spans="2:18" s="3640" customFormat="1" x14ac:dyDescent="0.2">
      <c r="B496" s="3632">
        <v>14</v>
      </c>
      <c r="C496" s="3633" t="s">
        <v>2132</v>
      </c>
      <c r="D496" s="3634"/>
      <c r="E496" s="3634"/>
      <c r="F496" s="3634"/>
      <c r="G496" s="3635" t="s">
        <v>2136</v>
      </c>
      <c r="H496" s="3636"/>
      <c r="I496" s="3636"/>
      <c r="J496" s="3637"/>
      <c r="K496" s="3636"/>
      <c r="L496" s="3636"/>
      <c r="M496" s="3636"/>
      <c r="N496" s="3636"/>
      <c r="O496" s="3636"/>
      <c r="P496" s="3636"/>
      <c r="Q496" s="3647">
        <v>2</v>
      </c>
      <c r="R496" s="3639" t="s">
        <v>275</v>
      </c>
    </row>
    <row r="497" spans="2:29" s="3640" customFormat="1" hidden="1" x14ac:dyDescent="0.2">
      <c r="B497" s="3632">
        <v>15</v>
      </c>
      <c r="C497" s="3633" t="s">
        <v>2132</v>
      </c>
      <c r="D497" s="3634"/>
      <c r="E497" s="3634"/>
      <c r="F497" s="3634"/>
      <c r="G497" s="3635" t="s">
        <v>2137</v>
      </c>
      <c r="H497" s="3636"/>
      <c r="I497" s="3636"/>
      <c r="J497" s="3637"/>
      <c r="K497" s="3636"/>
      <c r="L497" s="3636"/>
      <c r="M497" s="3636"/>
      <c r="N497" s="3636"/>
      <c r="O497" s="3636"/>
      <c r="P497" s="3636"/>
      <c r="Q497" s="3647">
        <v>2</v>
      </c>
      <c r="R497" s="3639" t="s">
        <v>275</v>
      </c>
    </row>
    <row r="498" spans="2:29" s="3640" customFormat="1" hidden="1" x14ac:dyDescent="0.2">
      <c r="B498" s="3632">
        <v>16</v>
      </c>
      <c r="C498" s="3633" t="s">
        <v>2132</v>
      </c>
      <c r="D498" s="3634"/>
      <c r="E498" s="3634"/>
      <c r="F498" s="3634"/>
      <c r="G498" s="3642" t="s">
        <v>2151</v>
      </c>
      <c r="H498" s="3643"/>
      <c r="I498" s="3643"/>
      <c r="J498" s="3644"/>
      <c r="K498" s="3643"/>
      <c r="L498" s="3643"/>
      <c r="M498" s="3643"/>
      <c r="N498" s="3643"/>
      <c r="O498" s="3643"/>
      <c r="P498" s="3643"/>
      <c r="Q498" s="3649">
        <v>1</v>
      </c>
      <c r="R498" s="3645" t="s">
        <v>275</v>
      </c>
    </row>
    <row r="499" spans="2:29" s="3640" customFormat="1" hidden="1" x14ac:dyDescent="0.2">
      <c r="B499" s="3632">
        <v>17</v>
      </c>
      <c r="C499" s="3633" t="s">
        <v>2132</v>
      </c>
      <c r="D499" s="3634"/>
      <c r="E499" s="3634"/>
      <c r="F499" s="3634"/>
      <c r="G499" s="3635" t="s">
        <v>2139</v>
      </c>
      <c r="H499" s="3636"/>
      <c r="I499" s="3636"/>
      <c r="J499" s="3637"/>
      <c r="K499" s="3636"/>
      <c r="L499" s="3636"/>
      <c r="M499" s="3636"/>
      <c r="N499" s="3636"/>
      <c r="O499" s="3636"/>
      <c r="P499" s="3636"/>
      <c r="Q499" s="3647">
        <v>10</v>
      </c>
      <c r="R499" s="3639" t="s">
        <v>275</v>
      </c>
    </row>
    <row r="500" spans="2:29" s="3640" customFormat="1" hidden="1" x14ac:dyDescent="0.2">
      <c r="B500" s="3632">
        <v>18</v>
      </c>
      <c r="C500" s="3633" t="s">
        <v>2132</v>
      </c>
      <c r="D500" s="3634"/>
      <c r="E500" s="3634"/>
      <c r="F500" s="3634"/>
      <c r="G500" s="3635" t="s">
        <v>2140</v>
      </c>
      <c r="H500" s="3636"/>
      <c r="I500" s="3636"/>
      <c r="J500" s="3637"/>
      <c r="K500" s="3636"/>
      <c r="L500" s="3636"/>
      <c r="M500" s="3636"/>
      <c r="N500" s="3636"/>
      <c r="O500" s="3636"/>
      <c r="P500" s="3636"/>
      <c r="Q500" s="3647">
        <v>5</v>
      </c>
      <c r="R500" s="3639" t="s">
        <v>275</v>
      </c>
    </row>
    <row r="501" spans="2:29" s="3640" customFormat="1" hidden="1" x14ac:dyDescent="0.2">
      <c r="B501" s="3632">
        <v>0</v>
      </c>
      <c r="C501" s="3633" t="s">
        <v>2142</v>
      </c>
      <c r="D501" s="3634"/>
      <c r="E501" s="3634"/>
      <c r="F501" s="3634"/>
      <c r="G501" s="3635" t="s">
        <v>2141</v>
      </c>
      <c r="H501" s="3636"/>
      <c r="I501" s="3636"/>
      <c r="J501" s="3637"/>
      <c r="K501" s="3636"/>
      <c r="L501" s="3636"/>
      <c r="M501" s="3636"/>
      <c r="N501" s="3636"/>
      <c r="O501" s="3636"/>
      <c r="P501" s="3636"/>
      <c r="Q501" s="3647"/>
      <c r="R501" s="3639" t="s">
        <v>275</v>
      </c>
    </row>
    <row r="502" spans="2:29" s="3640" customFormat="1" hidden="1" x14ac:dyDescent="0.2">
      <c r="B502" s="3632">
        <v>19</v>
      </c>
      <c r="C502" s="3633" t="s">
        <v>2142</v>
      </c>
      <c r="D502" s="3634"/>
      <c r="E502" s="3634"/>
      <c r="F502" s="3634"/>
      <c r="G502" s="3635" t="s">
        <v>2143</v>
      </c>
      <c r="H502" s="3636"/>
      <c r="I502" s="3636"/>
      <c r="J502" s="3637"/>
      <c r="K502" s="3636"/>
      <c r="L502" s="3636"/>
      <c r="M502" s="3636"/>
      <c r="N502" s="3636"/>
      <c r="O502" s="3636"/>
      <c r="P502" s="3636"/>
      <c r="Q502" s="3647">
        <v>4</v>
      </c>
      <c r="R502" s="3639" t="s">
        <v>275</v>
      </c>
    </row>
    <row r="503" spans="2:29" s="3640" customFormat="1" hidden="1" x14ac:dyDescent="0.2">
      <c r="B503" s="3632">
        <v>20</v>
      </c>
      <c r="C503" s="3633" t="s">
        <v>2142</v>
      </c>
      <c r="D503" s="3634"/>
      <c r="E503" s="3634"/>
      <c r="F503" s="3634"/>
      <c r="G503" s="3635" t="s">
        <v>2144</v>
      </c>
      <c r="H503" s="3636"/>
      <c r="I503" s="3636"/>
      <c r="J503" s="3637"/>
      <c r="K503" s="3636"/>
      <c r="L503" s="3636"/>
      <c r="M503" s="3636"/>
      <c r="N503" s="3636"/>
      <c r="O503" s="3636"/>
      <c r="P503" s="3636"/>
      <c r="Q503" s="3647">
        <v>2</v>
      </c>
      <c r="R503" s="3639" t="s">
        <v>275</v>
      </c>
    </row>
    <row r="504" spans="2:29" s="3640" customFormat="1" hidden="1" x14ac:dyDescent="0.2">
      <c r="B504" s="3632">
        <v>21</v>
      </c>
      <c r="C504" s="3633" t="s">
        <v>2142</v>
      </c>
      <c r="D504" s="3634"/>
      <c r="E504" s="3634"/>
      <c r="F504" s="3634"/>
      <c r="G504" s="3635" t="s">
        <v>2145</v>
      </c>
      <c r="H504" s="3636"/>
      <c r="I504" s="3636"/>
      <c r="J504" s="3637"/>
      <c r="K504" s="3636"/>
      <c r="L504" s="3636"/>
      <c r="M504" s="3636"/>
      <c r="N504" s="3636"/>
      <c r="O504" s="3636"/>
      <c r="P504" s="3636"/>
      <c r="Q504" s="3647"/>
      <c r="R504" s="3639" t="s">
        <v>275</v>
      </c>
    </row>
    <row r="505" spans="2:29" x14ac:dyDescent="0.2">
      <c r="B505" s="3586"/>
      <c r="C505" s="3587"/>
      <c r="D505" s="3582"/>
      <c r="E505" s="3582"/>
      <c r="F505" s="3582"/>
      <c r="G505" s="3631"/>
      <c r="H505" s="3583"/>
      <c r="I505" s="3583"/>
      <c r="J505" s="3630"/>
      <c r="K505" s="3583"/>
      <c r="L505" s="3583"/>
      <c r="M505" s="3583"/>
      <c r="N505" s="3583"/>
      <c r="O505" s="3583"/>
      <c r="P505" s="3583"/>
      <c r="Q505" s="3584"/>
      <c r="R505" s="3585"/>
    </row>
    <row r="506" spans="2:29" x14ac:dyDescent="0.2">
      <c r="B506" s="3592" t="str">
        <f>[6]RAB!B209</f>
        <v>J.</v>
      </c>
      <c r="C506" s="3581" t="str">
        <f>[6]RAB!D209</f>
        <v>PEKERJAAN PENGECATAN</v>
      </c>
      <c r="D506" s="3582"/>
      <c r="E506" s="3582"/>
      <c r="F506" s="3582"/>
      <c r="G506" s="3593"/>
      <c r="H506" s="3650"/>
      <c r="I506" s="3583"/>
      <c r="J506" s="3583"/>
      <c r="K506" s="3583"/>
      <c r="L506" s="3591"/>
      <c r="M506" s="3583"/>
      <c r="N506" s="3583"/>
      <c r="O506" s="3583"/>
      <c r="P506" s="3583"/>
      <c r="Q506" s="3584"/>
      <c r="R506" s="3585">
        <f>[6]RAB!H209</f>
        <v>0</v>
      </c>
    </row>
    <row r="507" spans="2:29" x14ac:dyDescent="0.2">
      <c r="B507" s="3592"/>
      <c r="C507" s="3581" t="str">
        <f>[6]RAB!D210</f>
        <v>LANTAI 1</v>
      </c>
      <c r="D507" s="3582"/>
      <c r="E507" s="3582"/>
      <c r="F507" s="3582"/>
      <c r="G507" s="3593"/>
      <c r="H507" s="3650"/>
      <c r="I507" s="3583"/>
      <c r="J507" s="3583"/>
      <c r="K507" s="3583"/>
      <c r="L507" s="3591"/>
      <c r="M507" s="3583"/>
      <c r="N507" s="3583"/>
      <c r="O507" s="3583"/>
      <c r="P507" s="3583"/>
      <c r="Q507" s="3584"/>
      <c r="R507" s="3585"/>
    </row>
    <row r="508" spans="2:29" x14ac:dyDescent="0.2">
      <c r="B508" s="3586">
        <f>[6]RAB!B211</f>
        <v>1</v>
      </c>
      <c r="C508" s="3587" t="str">
        <f>[6]RAB!D211</f>
        <v>Pengecatan dinding dalam (cat interior)</v>
      </c>
      <c r="D508" s="3582"/>
      <c r="E508" s="3582"/>
      <c r="F508" s="3582"/>
      <c r="G508" s="3593"/>
      <c r="H508" s="3650">
        <f>((SUM(H233:H250)*3)+Q262)*2</f>
        <v>1820.8520000000001</v>
      </c>
      <c r="I508" s="3589" t="s">
        <v>805</v>
      </c>
      <c r="J508" s="3583">
        <f>P509</f>
        <v>171.10000000000002</v>
      </c>
      <c r="K508" s="3589" t="s">
        <v>805</v>
      </c>
      <c r="L508" s="3591">
        <f>Q518</f>
        <v>353.28000000000003</v>
      </c>
      <c r="M508" s="3583"/>
      <c r="N508" s="3583"/>
      <c r="O508" s="3583"/>
      <c r="P508" s="3595">
        <f>H508-(Q518+L508)</f>
        <v>1114.2919999999999</v>
      </c>
      <c r="Q508" s="3584">
        <f>P508</f>
        <v>1114.2919999999999</v>
      </c>
      <c r="R508" s="3585" t="str">
        <f>[6]RAB!H211</f>
        <v>m2</v>
      </c>
      <c r="T508" s="3558" t="s">
        <v>1571</v>
      </c>
    </row>
    <row r="509" spans="2:29" x14ac:dyDescent="0.2">
      <c r="B509" s="3586"/>
      <c r="C509" s="3587"/>
      <c r="D509" s="3582"/>
      <c r="E509" s="3582"/>
      <c r="F509" s="3582"/>
      <c r="G509" s="3593" t="s">
        <v>2084</v>
      </c>
      <c r="H509" s="3583"/>
      <c r="I509" s="3583"/>
      <c r="J509" s="3583"/>
      <c r="K509" s="3583"/>
      <c r="L509" s="3583"/>
      <c r="M509" s="3583"/>
      <c r="N509" s="3583"/>
      <c r="O509" s="3583"/>
      <c r="P509" s="3583">
        <f>SUM(P510:P515)</f>
        <v>171.10000000000002</v>
      </c>
      <c r="Q509" s="3584"/>
      <c r="R509" s="3585"/>
      <c r="U509" s="3605"/>
      <c r="V509" s="3606"/>
      <c r="W509" s="3607"/>
      <c r="X509" s="3605"/>
      <c r="Y509" s="3606"/>
      <c r="Z509" s="3605"/>
      <c r="AA509" s="3606"/>
      <c r="AB509" s="3607"/>
      <c r="AC509" s="3606"/>
    </row>
    <row r="510" spans="2:29" s="3615" customFormat="1" x14ac:dyDescent="0.2">
      <c r="B510" s="3608"/>
      <c r="C510" s="3609"/>
      <c r="D510" s="3610"/>
      <c r="E510" s="3610"/>
      <c r="F510" s="3610"/>
      <c r="G510" s="3611" t="s">
        <v>1132</v>
      </c>
      <c r="H510" s="3612">
        <v>24</v>
      </c>
      <c r="I510" s="3612" t="s">
        <v>424</v>
      </c>
      <c r="J510" s="3612">
        <v>2.2999999999999998</v>
      </c>
      <c r="K510" s="3612" t="s">
        <v>424</v>
      </c>
      <c r="L510" s="3612">
        <v>2.1</v>
      </c>
      <c r="M510" s="3612"/>
      <c r="N510" s="3612"/>
      <c r="O510" s="3612"/>
      <c r="P510" s="3612">
        <f>H510*J510*L510</f>
        <v>115.92</v>
      </c>
      <c r="Q510" s="3613"/>
      <c r="R510" s="3614"/>
      <c r="U510" s="3616"/>
      <c r="V510" s="3617"/>
      <c r="W510" s="3618"/>
      <c r="X510" s="3616"/>
      <c r="Y510" s="3617"/>
      <c r="Z510" s="3616"/>
      <c r="AA510" s="3617"/>
      <c r="AB510" s="3618"/>
      <c r="AC510" s="3617"/>
    </row>
    <row r="511" spans="2:29" s="3615" customFormat="1" x14ac:dyDescent="0.2">
      <c r="B511" s="3608"/>
      <c r="C511" s="3609"/>
      <c r="D511" s="3610"/>
      <c r="E511" s="3610"/>
      <c r="F511" s="3610"/>
      <c r="G511" s="3611" t="s">
        <v>2085</v>
      </c>
      <c r="H511" s="3612">
        <v>1</v>
      </c>
      <c r="I511" s="3612" t="s">
        <v>424</v>
      </c>
      <c r="J511" s="3612">
        <v>1</v>
      </c>
      <c r="K511" s="3612" t="s">
        <v>424</v>
      </c>
      <c r="L511" s="3612">
        <v>2.7</v>
      </c>
      <c r="M511" s="3612"/>
      <c r="N511" s="3612"/>
      <c r="O511" s="3612"/>
      <c r="P511" s="3612">
        <f t="shared" ref="P511:P515" si="14">H511*J511*L511</f>
        <v>2.7</v>
      </c>
      <c r="Q511" s="3613"/>
      <c r="R511" s="3614"/>
      <c r="U511" s="3616"/>
      <c r="V511" s="3617"/>
      <c r="W511" s="3618"/>
      <c r="X511" s="3616"/>
      <c r="Y511" s="3617"/>
      <c r="Z511" s="3616"/>
      <c r="AA511" s="3617"/>
      <c r="AB511" s="3618"/>
      <c r="AC511" s="3617"/>
    </row>
    <row r="512" spans="2:29" s="3615" customFormat="1" x14ac:dyDescent="0.2">
      <c r="B512" s="3608"/>
      <c r="C512" s="3609"/>
      <c r="D512" s="3610"/>
      <c r="E512" s="3610"/>
      <c r="F512" s="3610"/>
      <c r="G512" s="3611" t="s">
        <v>2086</v>
      </c>
      <c r="H512" s="3612">
        <v>6</v>
      </c>
      <c r="I512" s="3612" t="s">
        <v>424</v>
      </c>
      <c r="J512" s="3612">
        <v>0.9</v>
      </c>
      <c r="K512" s="3612" t="s">
        <v>424</v>
      </c>
      <c r="L512" s="3612">
        <v>2.7</v>
      </c>
      <c r="M512" s="3612"/>
      <c r="N512" s="3612"/>
      <c r="O512" s="3612"/>
      <c r="P512" s="3612">
        <f t="shared" si="14"/>
        <v>14.580000000000002</v>
      </c>
      <c r="Q512" s="3613"/>
      <c r="R512" s="3614"/>
      <c r="U512" s="3616"/>
      <c r="V512" s="3617"/>
      <c r="W512" s="3618"/>
      <c r="X512" s="3616"/>
      <c r="Y512" s="3617"/>
      <c r="Z512" s="3616"/>
      <c r="AA512" s="3617"/>
      <c r="AB512" s="3618"/>
      <c r="AC512" s="3617"/>
    </row>
    <row r="513" spans="2:29" s="3615" customFormat="1" x14ac:dyDescent="0.2">
      <c r="B513" s="3608"/>
      <c r="C513" s="3609"/>
      <c r="D513" s="3610"/>
      <c r="E513" s="3610"/>
      <c r="F513" s="3610"/>
      <c r="G513" s="3611" t="s">
        <v>2087</v>
      </c>
      <c r="H513" s="3612">
        <v>9</v>
      </c>
      <c r="I513" s="3612" t="s">
        <v>424</v>
      </c>
      <c r="J513" s="3612">
        <v>0.8</v>
      </c>
      <c r="K513" s="3612" t="s">
        <v>424</v>
      </c>
      <c r="L513" s="3612">
        <v>2.7</v>
      </c>
      <c r="M513" s="3612"/>
      <c r="N513" s="3612"/>
      <c r="O513" s="3612"/>
      <c r="P513" s="3612">
        <f t="shared" si="14"/>
        <v>19.440000000000001</v>
      </c>
      <c r="Q513" s="3613"/>
      <c r="R513" s="3614"/>
      <c r="U513" s="3616"/>
      <c r="V513" s="3617"/>
      <c r="W513" s="3618"/>
      <c r="X513" s="3616"/>
      <c r="Y513" s="3617"/>
      <c r="Z513" s="3616"/>
      <c r="AA513" s="3617"/>
      <c r="AB513" s="3618"/>
      <c r="AC513" s="3617"/>
    </row>
    <row r="514" spans="2:29" s="3615" customFormat="1" x14ac:dyDescent="0.2">
      <c r="B514" s="3608"/>
      <c r="C514" s="3609"/>
      <c r="D514" s="3610"/>
      <c r="E514" s="3610"/>
      <c r="F514" s="3610"/>
      <c r="G514" s="3611" t="s">
        <v>2088</v>
      </c>
      <c r="H514" s="3612">
        <v>8</v>
      </c>
      <c r="I514" s="3612" t="s">
        <v>424</v>
      </c>
      <c r="J514" s="3612">
        <v>0.7</v>
      </c>
      <c r="K514" s="3612" t="s">
        <v>424</v>
      </c>
      <c r="L514" s="3612">
        <v>0.5</v>
      </c>
      <c r="M514" s="3612"/>
      <c r="N514" s="3612"/>
      <c r="O514" s="3612"/>
      <c r="P514" s="3612">
        <f t="shared" si="14"/>
        <v>2.8</v>
      </c>
      <c r="Q514" s="3613"/>
      <c r="R514" s="3614"/>
      <c r="U514" s="3616"/>
      <c r="V514" s="3617"/>
      <c r="W514" s="3618"/>
      <c r="X514" s="3616"/>
      <c r="Y514" s="3617"/>
      <c r="Z514" s="3616"/>
      <c r="AA514" s="3617"/>
      <c r="AB514" s="3618"/>
      <c r="AC514" s="3617"/>
    </row>
    <row r="515" spans="2:29" s="3615" customFormat="1" x14ac:dyDescent="0.2">
      <c r="B515" s="3608"/>
      <c r="C515" s="3609"/>
      <c r="D515" s="3610"/>
      <c r="E515" s="3610"/>
      <c r="F515" s="3610"/>
      <c r="G515" s="3611" t="s">
        <v>1659</v>
      </c>
      <c r="H515" s="3612">
        <v>3</v>
      </c>
      <c r="I515" s="3612" t="s">
        <v>424</v>
      </c>
      <c r="J515" s="3612">
        <v>1.8</v>
      </c>
      <c r="K515" s="3612" t="s">
        <v>424</v>
      </c>
      <c r="L515" s="3612">
        <v>2.9</v>
      </c>
      <c r="M515" s="3612"/>
      <c r="N515" s="3612"/>
      <c r="O515" s="3612"/>
      <c r="P515" s="3612">
        <f t="shared" si="14"/>
        <v>15.66</v>
      </c>
      <c r="Q515" s="3613"/>
      <c r="R515" s="3614"/>
      <c r="U515" s="3616"/>
      <c r="V515" s="3617"/>
      <c r="W515" s="3618"/>
      <c r="X515" s="3616"/>
      <c r="Y515" s="3617"/>
      <c r="Z515" s="3616"/>
      <c r="AA515" s="3617"/>
      <c r="AB515" s="3618"/>
      <c r="AC515" s="3617"/>
    </row>
    <row r="516" spans="2:29" x14ac:dyDescent="0.2">
      <c r="B516" s="3586"/>
      <c r="C516" s="3587"/>
      <c r="D516" s="3582"/>
      <c r="E516" s="3582"/>
      <c r="F516" s="3582"/>
      <c r="G516" s="3593"/>
      <c r="H516" s="3650"/>
      <c r="I516" s="3583"/>
      <c r="J516" s="3583"/>
      <c r="K516" s="3583"/>
      <c r="L516" s="3591"/>
      <c r="M516" s="3583"/>
      <c r="N516" s="3583"/>
      <c r="O516" s="3583"/>
      <c r="P516" s="3583"/>
      <c r="Q516" s="3584"/>
      <c r="R516" s="3585"/>
    </row>
    <row r="517" spans="2:29" x14ac:dyDescent="0.2">
      <c r="B517" s="3586"/>
      <c r="C517" s="3587"/>
      <c r="D517" s="3582"/>
      <c r="E517" s="3582"/>
      <c r="F517" s="3582"/>
      <c r="G517" s="3593"/>
      <c r="H517" s="3650"/>
      <c r="I517" s="3583"/>
      <c r="J517" s="3583"/>
      <c r="K517" s="3583"/>
      <c r="L517" s="3591"/>
      <c r="M517" s="3583"/>
      <c r="N517" s="3583"/>
      <c r="O517" s="3583"/>
      <c r="P517" s="3583"/>
      <c r="Q517" s="3584"/>
      <c r="R517" s="3585"/>
    </row>
    <row r="518" spans="2:29" x14ac:dyDescent="0.2">
      <c r="B518" s="3586">
        <f>[6]RAB!B212</f>
        <v>2</v>
      </c>
      <c r="C518" s="3587" t="str">
        <f>[6]RAB!D212</f>
        <v>Pengecatan dinding luar (cat exterior)</v>
      </c>
      <c r="D518" s="3582"/>
      <c r="E518" s="3582"/>
      <c r="F518" s="3582"/>
      <c r="G518" s="3593"/>
      <c r="H518" s="3583">
        <f>(35.7+21.5)*2</f>
        <v>114.4</v>
      </c>
      <c r="I518" s="3583"/>
      <c r="J518" s="3583"/>
      <c r="K518" s="3583" t="s">
        <v>424</v>
      </c>
      <c r="L518" s="3624">
        <v>4</v>
      </c>
      <c r="M518" s="3583"/>
      <c r="N518" s="3583"/>
      <c r="O518" s="3583"/>
      <c r="P518" s="3595">
        <f>H518*L518</f>
        <v>457.6</v>
      </c>
      <c r="Q518" s="3584">
        <f>P518-P519</f>
        <v>353.28000000000003</v>
      </c>
      <c r="R518" s="3585" t="str">
        <f>[6]RAB!H212</f>
        <v>m2</v>
      </c>
      <c r="T518" s="3558" t="s">
        <v>1571</v>
      </c>
    </row>
    <row r="519" spans="2:29" x14ac:dyDescent="0.2">
      <c r="B519" s="3586"/>
      <c r="C519" s="3587"/>
      <c r="D519" s="3582"/>
      <c r="E519" s="3582"/>
      <c r="F519" s="3582"/>
      <c r="G519" s="3593" t="s">
        <v>2084</v>
      </c>
      <c r="H519" s="3583"/>
      <c r="I519" s="3583"/>
      <c r="J519" s="3583"/>
      <c r="K519" s="3583"/>
      <c r="L519" s="3583"/>
      <c r="M519" s="3583"/>
      <c r="N519" s="3583"/>
      <c r="O519" s="3583"/>
      <c r="P519" s="3583">
        <f>SUM(P520:P522)</f>
        <v>104.32</v>
      </c>
      <c r="Q519" s="3584"/>
      <c r="R519" s="3585"/>
      <c r="U519" s="3605"/>
      <c r="V519" s="3606"/>
      <c r="W519" s="3607"/>
      <c r="X519" s="3605"/>
      <c r="Y519" s="3606"/>
      <c r="Z519" s="3605"/>
      <c r="AA519" s="3606"/>
      <c r="AB519" s="3607"/>
      <c r="AC519" s="3606"/>
    </row>
    <row r="520" spans="2:29" s="3615" customFormat="1" x14ac:dyDescent="0.2">
      <c r="B520" s="3608"/>
      <c r="C520" s="3609"/>
      <c r="D520" s="3610"/>
      <c r="E520" s="3610"/>
      <c r="F520" s="3610"/>
      <c r="G520" s="3611" t="s">
        <v>1132</v>
      </c>
      <c r="H520" s="3612">
        <v>18</v>
      </c>
      <c r="I520" s="3612" t="s">
        <v>424</v>
      </c>
      <c r="J520" s="3612">
        <v>2.2999999999999998</v>
      </c>
      <c r="K520" s="3612" t="s">
        <v>424</v>
      </c>
      <c r="L520" s="3612">
        <v>2.1</v>
      </c>
      <c r="M520" s="3612"/>
      <c r="N520" s="3612"/>
      <c r="O520" s="3612"/>
      <c r="P520" s="3612">
        <f>H520*J520*L520</f>
        <v>86.94</v>
      </c>
      <c r="Q520" s="3613"/>
      <c r="R520" s="3614"/>
      <c r="U520" s="3616"/>
      <c r="V520" s="3617"/>
      <c r="W520" s="3618"/>
      <c r="X520" s="3616"/>
      <c r="Y520" s="3617"/>
      <c r="Z520" s="3616"/>
      <c r="AA520" s="3617"/>
      <c r="AB520" s="3618"/>
      <c r="AC520" s="3617"/>
    </row>
    <row r="521" spans="2:29" s="3615" customFormat="1" x14ac:dyDescent="0.2">
      <c r="B521" s="3608"/>
      <c r="C521" s="3609"/>
      <c r="D521" s="3610"/>
      <c r="E521" s="3610"/>
      <c r="F521" s="3610"/>
      <c r="G521" s="3611" t="s">
        <v>2086</v>
      </c>
      <c r="H521" s="3612">
        <v>6</v>
      </c>
      <c r="I521" s="3612" t="s">
        <v>424</v>
      </c>
      <c r="J521" s="3612">
        <v>0.9</v>
      </c>
      <c r="K521" s="3612" t="s">
        <v>424</v>
      </c>
      <c r="L521" s="3612">
        <v>2.7</v>
      </c>
      <c r="M521" s="3612"/>
      <c r="N521" s="3612"/>
      <c r="O521" s="3612"/>
      <c r="P521" s="3612">
        <f t="shared" ref="P521:P522" si="15">H521*J521*L521</f>
        <v>14.580000000000002</v>
      </c>
      <c r="Q521" s="3613"/>
      <c r="R521" s="3614"/>
      <c r="U521" s="3616"/>
      <c r="V521" s="3617"/>
      <c r="W521" s="3618"/>
      <c r="X521" s="3616"/>
      <c r="Y521" s="3617"/>
      <c r="Z521" s="3616"/>
      <c r="AA521" s="3617"/>
      <c r="AB521" s="3618"/>
      <c r="AC521" s="3617"/>
    </row>
    <row r="522" spans="2:29" s="3615" customFormat="1" x14ac:dyDescent="0.2">
      <c r="B522" s="3608"/>
      <c r="C522" s="3609"/>
      <c r="D522" s="3610"/>
      <c r="E522" s="3610"/>
      <c r="F522" s="3610"/>
      <c r="G522" s="3611" t="s">
        <v>2088</v>
      </c>
      <c r="H522" s="3612">
        <v>8</v>
      </c>
      <c r="I522" s="3612" t="s">
        <v>424</v>
      </c>
      <c r="J522" s="3612">
        <v>0.7</v>
      </c>
      <c r="K522" s="3612" t="s">
        <v>424</v>
      </c>
      <c r="L522" s="3612">
        <v>0.5</v>
      </c>
      <c r="M522" s="3612"/>
      <c r="N522" s="3612"/>
      <c r="O522" s="3612"/>
      <c r="P522" s="3612">
        <f t="shared" si="15"/>
        <v>2.8</v>
      </c>
      <c r="Q522" s="3613"/>
      <c r="R522" s="3614"/>
      <c r="U522" s="3616"/>
      <c r="V522" s="3617"/>
      <c r="W522" s="3618"/>
      <c r="X522" s="3616"/>
      <c r="Y522" s="3617"/>
      <c r="Z522" s="3616"/>
      <c r="AA522" s="3617"/>
      <c r="AB522" s="3618"/>
      <c r="AC522" s="3617"/>
    </row>
    <row r="523" spans="2:29" x14ac:dyDescent="0.2">
      <c r="B523" s="3586"/>
      <c r="C523" s="3587"/>
      <c r="D523" s="3582"/>
      <c r="E523" s="3582"/>
      <c r="F523" s="3582"/>
      <c r="G523" s="3593"/>
      <c r="H523" s="3583"/>
      <c r="I523" s="3583"/>
      <c r="J523" s="3583"/>
      <c r="K523" s="3583"/>
      <c r="L523" s="3624"/>
      <c r="M523" s="3583"/>
      <c r="N523" s="3583"/>
      <c r="O523" s="3583"/>
      <c r="P523" s="3583"/>
      <c r="Q523" s="3584"/>
      <c r="R523" s="3585"/>
    </row>
    <row r="524" spans="2:29" x14ac:dyDescent="0.2">
      <c r="B524" s="3586">
        <f>[6]RAB!B213</f>
        <v>3</v>
      </c>
      <c r="C524" s="3587" t="str">
        <f>[6]RAB!D213</f>
        <v>Pengecatan plafond</v>
      </c>
      <c r="D524" s="3582"/>
      <c r="E524" s="3582"/>
      <c r="F524" s="3582"/>
      <c r="G524" s="3593"/>
      <c r="H524" s="3583"/>
      <c r="I524" s="3583"/>
      <c r="J524" s="3583"/>
      <c r="K524" s="3583"/>
      <c r="L524" s="3583"/>
      <c r="M524" s="3583"/>
      <c r="N524" s="3591"/>
      <c r="O524" s="3583"/>
      <c r="P524" s="3583">
        <f>Q398</f>
        <v>753.75</v>
      </c>
      <c r="Q524" s="3584">
        <f>Q398</f>
        <v>753.75</v>
      </c>
      <c r="R524" s="3585" t="str">
        <f>[6]RAB!H213</f>
        <v>m2</v>
      </c>
    </row>
    <row r="525" spans="2:29" x14ac:dyDescent="0.2">
      <c r="B525" s="3586" t="e">
        <f>[6]RAB!#REF!</f>
        <v>#REF!</v>
      </c>
      <c r="C525" s="3587" t="e">
        <f>[6]RAB!#REF!</f>
        <v>#REF!</v>
      </c>
      <c r="D525" s="3582"/>
      <c r="E525" s="3582"/>
      <c r="F525" s="3582"/>
      <c r="G525" s="3593"/>
      <c r="H525" s="3583"/>
      <c r="I525" s="3583"/>
      <c r="J525" s="3583"/>
      <c r="K525" s="3583"/>
      <c r="L525" s="3591"/>
      <c r="M525" s="3583"/>
      <c r="N525" s="3583"/>
      <c r="O525" s="3583"/>
      <c r="P525" s="3583"/>
      <c r="Q525" s="3584">
        <f>SUM(P526:P528)</f>
        <v>28.260000000000005</v>
      </c>
      <c r="R525" s="3585" t="e">
        <f>[6]RAB!#REF!</f>
        <v>#REF!</v>
      </c>
    </row>
    <row r="526" spans="2:29" x14ac:dyDescent="0.2">
      <c r="B526" s="3586"/>
      <c r="C526" s="3587"/>
      <c r="D526" s="3582"/>
      <c r="E526" s="3582"/>
      <c r="F526" s="3582"/>
      <c r="G526" s="3593" t="s">
        <v>2108</v>
      </c>
      <c r="H526" s="3583">
        <v>1.1000000000000001</v>
      </c>
      <c r="I526" s="3583" t="s">
        <v>424</v>
      </c>
      <c r="J526" s="3583">
        <v>2.1</v>
      </c>
      <c r="K526" s="3583" t="s">
        <v>424</v>
      </c>
      <c r="L526" s="3583">
        <v>4</v>
      </c>
      <c r="M526" s="3583"/>
      <c r="N526" s="3591"/>
      <c r="O526" s="3583"/>
      <c r="P526" s="3583">
        <f>(H526*J526*L526)*150%</f>
        <v>13.860000000000003</v>
      </c>
      <c r="Q526" s="3584"/>
      <c r="R526" s="3585"/>
    </row>
    <row r="527" spans="2:29" x14ac:dyDescent="0.2">
      <c r="B527" s="3586"/>
      <c r="C527" s="3587"/>
      <c r="D527" s="3582"/>
      <c r="E527" s="3582"/>
      <c r="F527" s="3582"/>
      <c r="G527" s="3593" t="s">
        <v>2109</v>
      </c>
      <c r="H527" s="3583">
        <v>1.6</v>
      </c>
      <c r="I527" s="3583" t="s">
        <v>424</v>
      </c>
      <c r="J527" s="3583">
        <v>1.5</v>
      </c>
      <c r="K527" s="3583" t="s">
        <v>424</v>
      </c>
      <c r="L527" s="3583">
        <v>4</v>
      </c>
      <c r="M527" s="3583"/>
      <c r="N527" s="3591"/>
      <c r="O527" s="3583"/>
      <c r="P527" s="3583">
        <f>(H527*J527*L527)*150%</f>
        <v>14.400000000000002</v>
      </c>
      <c r="Q527" s="3584"/>
      <c r="R527" s="3585"/>
    </row>
    <row r="528" spans="2:29" x14ac:dyDescent="0.2">
      <c r="B528" s="3586"/>
      <c r="C528" s="3587"/>
      <c r="D528" s="3582"/>
      <c r="E528" s="3582"/>
      <c r="F528" s="3582"/>
      <c r="G528" s="3593"/>
      <c r="H528" s="3583"/>
      <c r="I528" s="3583"/>
      <c r="J528" s="3583"/>
      <c r="K528" s="3583"/>
      <c r="L528" s="3624"/>
      <c r="M528" s="3583"/>
      <c r="N528" s="3583"/>
      <c r="O528" s="3583"/>
      <c r="P528" s="3583"/>
      <c r="Q528" s="3584"/>
      <c r="R528" s="3585"/>
    </row>
    <row r="529" spans="2:29" x14ac:dyDescent="0.2">
      <c r="B529" s="3586"/>
      <c r="C529" s="3581" t="str">
        <f>[6]RAB!D214</f>
        <v>LANTAI 2</v>
      </c>
      <c r="D529" s="3582"/>
      <c r="E529" s="3582"/>
      <c r="F529" s="3582"/>
      <c r="G529" s="3593"/>
      <c r="H529" s="3583"/>
      <c r="I529" s="3583"/>
      <c r="J529" s="3583"/>
      <c r="K529" s="3583"/>
      <c r="L529" s="3591"/>
      <c r="M529" s="3583"/>
      <c r="N529" s="3583"/>
      <c r="O529" s="3583"/>
      <c r="P529" s="3583"/>
      <c r="Q529" s="3584"/>
      <c r="R529" s="3585"/>
    </row>
    <row r="530" spans="2:29" x14ac:dyDescent="0.2">
      <c r="B530" s="3586">
        <f>[6]RAB!B215</f>
        <v>1</v>
      </c>
      <c r="C530" s="3587" t="str">
        <f>[6]RAB!D215</f>
        <v>Pengecatan dinding dalam (cat interior)</v>
      </c>
      <c r="D530" s="3582"/>
      <c r="E530" s="3582"/>
      <c r="F530" s="3582"/>
      <c r="G530" s="3593"/>
      <c r="H530" s="3650">
        <f>((SUM(H288:H305)*3)+Q313)*2</f>
        <v>1524.5950000000003</v>
      </c>
      <c r="I530" s="3589" t="s">
        <v>805</v>
      </c>
      <c r="J530" s="3583">
        <f>Q531</f>
        <v>143.56</v>
      </c>
      <c r="K530" s="3589" t="s">
        <v>805</v>
      </c>
      <c r="L530" s="3583">
        <f>Q541</f>
        <v>564.16000000000008</v>
      </c>
      <c r="M530" s="3583"/>
      <c r="N530" s="3583"/>
      <c r="O530" s="3583"/>
      <c r="P530" s="3595">
        <f>H530-(J530+L530)</f>
        <v>816.87500000000023</v>
      </c>
      <c r="Q530" s="3584">
        <f>P530</f>
        <v>816.87500000000023</v>
      </c>
      <c r="R530" s="3585" t="str">
        <f>[6]RAB!H215</f>
        <v>m2</v>
      </c>
    </row>
    <row r="531" spans="2:29" s="3615" customFormat="1" x14ac:dyDescent="0.2">
      <c r="B531" s="3608"/>
      <c r="C531" s="3609"/>
      <c r="D531" s="3610"/>
      <c r="E531" s="3610"/>
      <c r="F531" s="3610"/>
      <c r="G531" s="3611" t="s">
        <v>2084</v>
      </c>
      <c r="H531" s="3612"/>
      <c r="I531" s="3612"/>
      <c r="J531" s="3612"/>
      <c r="K531" s="3612"/>
      <c r="L531" s="3612"/>
      <c r="M531" s="3612"/>
      <c r="N531" s="3612"/>
      <c r="O531" s="3612"/>
      <c r="P531" s="3612"/>
      <c r="Q531" s="3613">
        <f>SUM(P532:P535)</f>
        <v>143.56</v>
      </c>
      <c r="R531" s="3614"/>
      <c r="U531" s="3616"/>
      <c r="V531" s="3617"/>
      <c r="W531" s="3618"/>
      <c r="X531" s="3616"/>
      <c r="Y531" s="3617"/>
      <c r="Z531" s="3616"/>
      <c r="AA531" s="3617"/>
      <c r="AB531" s="3618"/>
      <c r="AC531" s="3617"/>
    </row>
    <row r="532" spans="2:29" s="3615" customFormat="1" x14ac:dyDescent="0.2">
      <c r="B532" s="3608"/>
      <c r="C532" s="3609"/>
      <c r="D532" s="3610"/>
      <c r="E532" s="3610"/>
      <c r="F532" s="3610"/>
      <c r="G532" s="3611" t="s">
        <v>1132</v>
      </c>
      <c r="H532" s="3612">
        <v>24</v>
      </c>
      <c r="I532" s="3612" t="s">
        <v>424</v>
      </c>
      <c r="J532" s="3612">
        <v>2.2999999999999998</v>
      </c>
      <c r="K532" s="3612" t="s">
        <v>424</v>
      </c>
      <c r="L532" s="3612">
        <v>2.1</v>
      </c>
      <c r="M532" s="3612"/>
      <c r="N532" s="3612"/>
      <c r="O532" s="3612"/>
      <c r="P532" s="3612">
        <f>H532*J532*L532</f>
        <v>115.92</v>
      </c>
      <c r="Q532" s="3613"/>
      <c r="R532" s="3614"/>
      <c r="U532" s="3616"/>
      <c r="V532" s="3617"/>
      <c r="W532" s="3618"/>
      <c r="X532" s="3616"/>
      <c r="Y532" s="3617"/>
      <c r="Z532" s="3616"/>
      <c r="AA532" s="3617"/>
      <c r="AB532" s="3618"/>
      <c r="AC532" s="3617"/>
    </row>
    <row r="533" spans="2:29" s="3615" customFormat="1" x14ac:dyDescent="0.2">
      <c r="B533" s="3608"/>
      <c r="C533" s="3609"/>
      <c r="D533" s="3610"/>
      <c r="E533" s="3610"/>
      <c r="F533" s="3610"/>
      <c r="G533" s="3611" t="s">
        <v>2086</v>
      </c>
      <c r="H533" s="3612">
        <v>4</v>
      </c>
      <c r="I533" s="3612" t="s">
        <v>424</v>
      </c>
      <c r="J533" s="3612">
        <v>0.9</v>
      </c>
      <c r="K533" s="3612" t="s">
        <v>424</v>
      </c>
      <c r="L533" s="3612">
        <v>2.7</v>
      </c>
      <c r="M533" s="3612"/>
      <c r="N533" s="3612"/>
      <c r="O533" s="3612"/>
      <c r="P533" s="3612">
        <f t="shared" ref="P533:P535" si="16">H533*J533*L533</f>
        <v>9.7200000000000006</v>
      </c>
      <c r="Q533" s="3613"/>
      <c r="R533" s="3614"/>
      <c r="U533" s="3616"/>
      <c r="V533" s="3617"/>
      <c r="W533" s="3618"/>
      <c r="X533" s="3616"/>
      <c r="Y533" s="3617"/>
      <c r="Z533" s="3616"/>
      <c r="AA533" s="3617"/>
      <c r="AB533" s="3618"/>
      <c r="AC533" s="3617"/>
    </row>
    <row r="534" spans="2:29" s="3615" customFormat="1" x14ac:dyDescent="0.2">
      <c r="B534" s="3608"/>
      <c r="C534" s="3609"/>
      <c r="D534" s="3610"/>
      <c r="E534" s="3610"/>
      <c r="F534" s="3610"/>
      <c r="G534" s="3611" t="s">
        <v>2087</v>
      </c>
      <c r="H534" s="3612">
        <v>7</v>
      </c>
      <c r="I534" s="3612" t="s">
        <v>424</v>
      </c>
      <c r="J534" s="3612">
        <v>0.8</v>
      </c>
      <c r="K534" s="3612" t="s">
        <v>424</v>
      </c>
      <c r="L534" s="3612">
        <v>2.7</v>
      </c>
      <c r="M534" s="3612"/>
      <c r="N534" s="3612"/>
      <c r="O534" s="3612"/>
      <c r="P534" s="3612">
        <f t="shared" si="16"/>
        <v>15.120000000000003</v>
      </c>
      <c r="Q534" s="3613"/>
      <c r="R534" s="3614"/>
      <c r="U534" s="3616"/>
      <c r="V534" s="3617"/>
      <c r="W534" s="3618"/>
      <c r="X534" s="3616"/>
      <c r="Y534" s="3617"/>
      <c r="Z534" s="3616"/>
      <c r="AA534" s="3617"/>
      <c r="AB534" s="3618"/>
      <c r="AC534" s="3617"/>
    </row>
    <row r="535" spans="2:29" s="3615" customFormat="1" x14ac:dyDescent="0.2">
      <c r="B535" s="3608"/>
      <c r="C535" s="3609"/>
      <c r="D535" s="3610"/>
      <c r="E535" s="3610"/>
      <c r="F535" s="3610"/>
      <c r="G535" s="3611" t="s">
        <v>2088</v>
      </c>
      <c r="H535" s="3612">
        <v>8</v>
      </c>
      <c r="I535" s="3612" t="s">
        <v>424</v>
      </c>
      <c r="J535" s="3612">
        <v>0.7</v>
      </c>
      <c r="K535" s="3612" t="s">
        <v>424</v>
      </c>
      <c r="L535" s="3612">
        <v>0.5</v>
      </c>
      <c r="M535" s="3612"/>
      <c r="N535" s="3612"/>
      <c r="O535" s="3612"/>
      <c r="P535" s="3612">
        <f t="shared" si="16"/>
        <v>2.8</v>
      </c>
      <c r="Q535" s="3613"/>
      <c r="R535" s="3614"/>
      <c r="U535" s="3616"/>
      <c r="V535" s="3617"/>
      <c r="W535" s="3618"/>
      <c r="X535" s="3616"/>
      <c r="Y535" s="3617"/>
      <c r="Z535" s="3616"/>
      <c r="AA535" s="3617"/>
      <c r="AB535" s="3618"/>
      <c r="AC535" s="3617"/>
    </row>
    <row r="536" spans="2:29" s="3615" customFormat="1" x14ac:dyDescent="0.2">
      <c r="B536" s="3608"/>
      <c r="C536" s="3609"/>
      <c r="D536" s="3610"/>
      <c r="E536" s="3610"/>
      <c r="F536" s="3610"/>
      <c r="G536" s="3611" t="s">
        <v>1658</v>
      </c>
      <c r="H536" s="3612">
        <v>8</v>
      </c>
      <c r="I536" s="3612" t="s">
        <v>424</v>
      </c>
      <c r="J536" s="3612">
        <v>1</v>
      </c>
      <c r="K536" s="3612" t="s">
        <v>424</v>
      </c>
      <c r="L536" s="3612">
        <v>2.7</v>
      </c>
      <c r="M536" s="3612"/>
      <c r="N536" s="3612"/>
      <c r="O536" s="3612"/>
      <c r="P536" s="3612">
        <f>H536*J536*L536</f>
        <v>21.6</v>
      </c>
      <c r="Q536" s="3613"/>
      <c r="R536" s="3614"/>
      <c r="U536" s="3616"/>
      <c r="V536" s="3617"/>
      <c r="W536" s="3618"/>
      <c r="X536" s="3616"/>
      <c r="Y536" s="3617"/>
      <c r="Z536" s="3616"/>
      <c r="AA536" s="3617"/>
      <c r="AB536" s="3618"/>
      <c r="AC536" s="3617"/>
    </row>
    <row r="537" spans="2:29" s="3615" customFormat="1" x14ac:dyDescent="0.2">
      <c r="B537" s="3608"/>
      <c r="C537" s="3609"/>
      <c r="D537" s="3610"/>
      <c r="E537" s="3610"/>
      <c r="F537" s="3610"/>
      <c r="G537" s="3611" t="s">
        <v>2086</v>
      </c>
      <c r="H537" s="3612">
        <v>5</v>
      </c>
      <c r="I537" s="3612" t="s">
        <v>424</v>
      </c>
      <c r="J537" s="3612">
        <v>0.9</v>
      </c>
      <c r="K537" s="3612" t="s">
        <v>424</v>
      </c>
      <c r="L537" s="3612">
        <v>2.7</v>
      </c>
      <c r="M537" s="3612"/>
      <c r="N537" s="3612"/>
      <c r="O537" s="3612"/>
      <c r="P537" s="3612">
        <f t="shared" ref="P537:P539" si="17">H537*J537*L537</f>
        <v>12.15</v>
      </c>
      <c r="Q537" s="3613"/>
      <c r="R537" s="3614"/>
      <c r="U537" s="3616"/>
      <c r="V537" s="3617"/>
      <c r="W537" s="3618"/>
      <c r="X537" s="3616"/>
      <c r="Y537" s="3617"/>
      <c r="Z537" s="3616"/>
      <c r="AA537" s="3617"/>
      <c r="AB537" s="3618"/>
      <c r="AC537" s="3617"/>
    </row>
    <row r="538" spans="2:29" s="3615" customFormat="1" x14ac:dyDescent="0.2">
      <c r="B538" s="3608"/>
      <c r="C538" s="3609"/>
      <c r="D538" s="3610"/>
      <c r="E538" s="3610"/>
      <c r="F538" s="3610"/>
      <c r="G538" s="3611" t="s">
        <v>2087</v>
      </c>
      <c r="H538" s="3612">
        <v>1</v>
      </c>
      <c r="I538" s="3612" t="s">
        <v>424</v>
      </c>
      <c r="J538" s="3612">
        <v>0.8</v>
      </c>
      <c r="K538" s="3612" t="s">
        <v>424</v>
      </c>
      <c r="L538" s="3612">
        <v>2.7</v>
      </c>
      <c r="M538" s="3612"/>
      <c r="N538" s="3612"/>
      <c r="O538" s="3612"/>
      <c r="P538" s="3612">
        <f t="shared" si="17"/>
        <v>2.16</v>
      </c>
      <c r="Q538" s="3613"/>
      <c r="R538" s="3614"/>
      <c r="U538" s="3616"/>
      <c r="V538" s="3617"/>
      <c r="W538" s="3618"/>
      <c r="X538" s="3616"/>
      <c r="Y538" s="3617"/>
      <c r="Z538" s="3616"/>
      <c r="AA538" s="3617"/>
      <c r="AB538" s="3618"/>
      <c r="AC538" s="3617"/>
    </row>
    <row r="539" spans="2:29" s="3615" customFormat="1" x14ac:dyDescent="0.2">
      <c r="B539" s="3608"/>
      <c r="C539" s="3609"/>
      <c r="D539" s="3610"/>
      <c r="E539" s="3610"/>
      <c r="F539" s="3610"/>
      <c r="G539" s="3611" t="s">
        <v>1659</v>
      </c>
      <c r="H539" s="3612">
        <v>2</v>
      </c>
      <c r="I539" s="3612" t="s">
        <v>424</v>
      </c>
      <c r="J539" s="3612">
        <v>1.8</v>
      </c>
      <c r="K539" s="3612" t="s">
        <v>424</v>
      </c>
      <c r="L539" s="3612">
        <v>2.9</v>
      </c>
      <c r="M539" s="3612"/>
      <c r="N539" s="3612"/>
      <c r="O539" s="3612"/>
      <c r="P539" s="3612">
        <f t="shared" si="17"/>
        <v>10.44</v>
      </c>
      <c r="Q539" s="3613"/>
      <c r="R539" s="3614"/>
      <c r="U539" s="3616"/>
      <c r="V539" s="3617"/>
      <c r="W539" s="3618"/>
      <c r="X539" s="3616"/>
      <c r="Y539" s="3617"/>
      <c r="Z539" s="3616"/>
      <c r="AA539" s="3617"/>
      <c r="AB539" s="3618"/>
      <c r="AC539" s="3617"/>
    </row>
    <row r="540" spans="2:29" x14ac:dyDescent="0.2">
      <c r="B540" s="3586"/>
      <c r="C540" s="3587"/>
      <c r="D540" s="3582"/>
      <c r="E540" s="3582"/>
      <c r="F540" s="3582"/>
      <c r="G540" s="3593"/>
      <c r="H540" s="3650"/>
      <c r="I540" s="3583"/>
      <c r="J540" s="3583"/>
      <c r="K540" s="3589"/>
      <c r="L540" s="3583"/>
      <c r="M540" s="3583"/>
      <c r="N540" s="3583"/>
      <c r="O540" s="3583"/>
      <c r="P540" s="3583"/>
      <c r="Q540" s="3584"/>
      <c r="R540" s="3585"/>
    </row>
    <row r="541" spans="2:29" x14ac:dyDescent="0.2">
      <c r="B541" s="3586">
        <f>[6]RAB!B216</f>
        <v>2</v>
      </c>
      <c r="C541" s="3587" t="str">
        <f>[6]RAB!D216</f>
        <v>Pengecatan dinding luar (cat exterior)</v>
      </c>
      <c r="D541" s="3582"/>
      <c r="E541" s="3582"/>
      <c r="F541" s="3582"/>
      <c r="G541" s="3593"/>
      <c r="H541" s="3583"/>
      <c r="I541" s="3583"/>
      <c r="J541" s="3583"/>
      <c r="K541" s="3583"/>
      <c r="L541" s="3583"/>
      <c r="M541" s="3583"/>
      <c r="N541" s="3583"/>
      <c r="O541" s="3583"/>
      <c r="P541" s="3595">
        <f>SUM(P542:P543)</f>
        <v>653.90000000000009</v>
      </c>
      <c r="Q541" s="3584">
        <f>P541-Q544</f>
        <v>564.16000000000008</v>
      </c>
      <c r="R541" s="3585" t="str">
        <f>[6]RAB!H216</f>
        <v>m2</v>
      </c>
    </row>
    <row r="542" spans="2:29" x14ac:dyDescent="0.2">
      <c r="B542" s="3586"/>
      <c r="C542" s="3587"/>
      <c r="D542" s="3582"/>
      <c r="E542" s="3582"/>
      <c r="F542" s="3582"/>
      <c r="G542" s="3593"/>
      <c r="H542" s="3583">
        <f>(35.7+21.5)*2</f>
        <v>114.4</v>
      </c>
      <c r="I542" s="3583" t="s">
        <v>424</v>
      </c>
      <c r="J542" s="3583">
        <v>4</v>
      </c>
      <c r="K542" s="3583"/>
      <c r="L542" s="3624"/>
      <c r="M542" s="3583"/>
      <c r="N542" s="3583"/>
      <c r="O542" s="3583"/>
      <c r="P542" s="3583">
        <f>H542*J542</f>
        <v>457.6</v>
      </c>
      <c r="Q542" s="3584"/>
      <c r="R542" s="3585"/>
    </row>
    <row r="543" spans="2:29" x14ac:dyDescent="0.2">
      <c r="B543" s="3586"/>
      <c r="C543" s="3587"/>
      <c r="D543" s="3582"/>
      <c r="E543" s="3582"/>
      <c r="F543" s="3582"/>
      <c r="G543" s="3593"/>
      <c r="H543" s="3583">
        <v>151</v>
      </c>
      <c r="I543" s="3583" t="s">
        <v>424</v>
      </c>
      <c r="J543" s="3583">
        <v>1.3</v>
      </c>
      <c r="K543" s="3583"/>
      <c r="L543" s="3583"/>
      <c r="M543" s="3583"/>
      <c r="N543" s="3583"/>
      <c r="O543" s="3583"/>
      <c r="P543" s="3583">
        <f>H543*J543</f>
        <v>196.3</v>
      </c>
      <c r="Q543" s="3584"/>
      <c r="R543" s="3585"/>
    </row>
    <row r="544" spans="2:29" x14ac:dyDescent="0.2">
      <c r="B544" s="3586"/>
      <c r="C544" s="3587"/>
      <c r="D544" s="3582"/>
      <c r="E544" s="3582"/>
      <c r="F544" s="3582"/>
      <c r="G544" s="3593" t="s">
        <v>2084</v>
      </c>
      <c r="H544" s="3583"/>
      <c r="I544" s="3583"/>
      <c r="J544" s="3583"/>
      <c r="K544" s="3583"/>
      <c r="L544" s="3583"/>
      <c r="M544" s="3583"/>
      <c r="N544" s="3583"/>
      <c r="O544" s="3583"/>
      <c r="P544" s="3583"/>
      <c r="Q544" s="3584">
        <f>SUM(P545:P546)</f>
        <v>89.74</v>
      </c>
      <c r="R544" s="3585"/>
      <c r="U544" s="3605"/>
      <c r="V544" s="3606"/>
      <c r="W544" s="3607"/>
      <c r="X544" s="3605"/>
      <c r="Y544" s="3606"/>
      <c r="Z544" s="3605"/>
      <c r="AA544" s="3606"/>
      <c r="AB544" s="3607"/>
      <c r="AC544" s="3606"/>
    </row>
    <row r="545" spans="2:29" s="3615" customFormat="1" x14ac:dyDescent="0.2">
      <c r="B545" s="3608"/>
      <c r="C545" s="3609"/>
      <c r="D545" s="3610"/>
      <c r="E545" s="3610"/>
      <c r="F545" s="3610"/>
      <c r="G545" s="3611" t="s">
        <v>1132</v>
      </c>
      <c r="H545" s="3612">
        <v>18</v>
      </c>
      <c r="I545" s="3612" t="s">
        <v>424</v>
      </c>
      <c r="J545" s="3612">
        <v>2.2999999999999998</v>
      </c>
      <c r="K545" s="3612" t="s">
        <v>424</v>
      </c>
      <c r="L545" s="3612">
        <v>2.1</v>
      </c>
      <c r="M545" s="3612"/>
      <c r="N545" s="3612"/>
      <c r="O545" s="3612"/>
      <c r="P545" s="3612">
        <f>H545*J545*L545</f>
        <v>86.94</v>
      </c>
      <c r="Q545" s="3613"/>
      <c r="R545" s="3614"/>
      <c r="U545" s="3616"/>
      <c r="V545" s="3617"/>
      <c r="W545" s="3618"/>
      <c r="X545" s="3616"/>
      <c r="Y545" s="3617"/>
      <c r="Z545" s="3616"/>
      <c r="AA545" s="3617"/>
      <c r="AB545" s="3618"/>
      <c r="AC545" s="3617"/>
    </row>
    <row r="546" spans="2:29" s="3615" customFormat="1" x14ac:dyDescent="0.2">
      <c r="B546" s="3608"/>
      <c r="C546" s="3609"/>
      <c r="D546" s="3610"/>
      <c r="E546" s="3610"/>
      <c r="F546" s="3610"/>
      <c r="G546" s="3611" t="s">
        <v>2088</v>
      </c>
      <c r="H546" s="3612">
        <v>8</v>
      </c>
      <c r="I546" s="3612" t="s">
        <v>424</v>
      </c>
      <c r="J546" s="3612">
        <v>0.7</v>
      </c>
      <c r="K546" s="3612" t="s">
        <v>424</v>
      </c>
      <c r="L546" s="3612">
        <v>0.5</v>
      </c>
      <c r="M546" s="3612"/>
      <c r="N546" s="3612"/>
      <c r="O546" s="3612"/>
      <c r="P546" s="3612">
        <f t="shared" ref="P546" si="18">H546*J546*L546</f>
        <v>2.8</v>
      </c>
      <c r="Q546" s="3613"/>
      <c r="R546" s="3614"/>
      <c r="U546" s="3616"/>
      <c r="V546" s="3617"/>
      <c r="W546" s="3618"/>
      <c r="X546" s="3616"/>
      <c r="Y546" s="3617"/>
      <c r="Z546" s="3616"/>
      <c r="AA546" s="3617"/>
      <c r="AB546" s="3618"/>
      <c r="AC546" s="3617"/>
    </row>
    <row r="547" spans="2:29" x14ac:dyDescent="0.2">
      <c r="B547" s="3586"/>
      <c r="C547" s="3587"/>
      <c r="D547" s="3582"/>
      <c r="E547" s="3582"/>
      <c r="F547" s="3582"/>
      <c r="G547" s="3593"/>
      <c r="H547" s="3583"/>
      <c r="I547" s="3583"/>
      <c r="J547" s="3583"/>
      <c r="K547" s="3583"/>
      <c r="L547" s="3583"/>
      <c r="M547" s="3583"/>
      <c r="N547" s="3583"/>
      <c r="O547" s="3583"/>
      <c r="P547" s="3583"/>
      <c r="Q547" s="3584"/>
      <c r="R547" s="3585"/>
    </row>
    <row r="548" spans="2:29" x14ac:dyDescent="0.2">
      <c r="B548" s="3586">
        <f>[6]RAB!B217</f>
        <v>3</v>
      </c>
      <c r="C548" s="3587" t="str">
        <f>[6]RAB!D217</f>
        <v>Pengecatan plafond</v>
      </c>
      <c r="D548" s="3582"/>
      <c r="E548" s="3582"/>
      <c r="F548" s="3582"/>
      <c r="G548" s="3593"/>
      <c r="H548" s="3583"/>
      <c r="I548" s="3583"/>
      <c r="J548" s="3583"/>
      <c r="K548" s="3583"/>
      <c r="L548" s="3591"/>
      <c r="M548" s="3583"/>
      <c r="N548" s="3583"/>
      <c r="O548" s="3583"/>
      <c r="P548" s="3583">
        <f>Q414</f>
        <v>829.65</v>
      </c>
      <c r="Q548" s="3584">
        <f>Q414</f>
        <v>829.65</v>
      </c>
      <c r="R548" s="3585" t="str">
        <f>[6]RAB!H217</f>
        <v>m2</v>
      </c>
    </row>
    <row r="549" spans="2:29" x14ac:dyDescent="0.2">
      <c r="B549" s="3586">
        <f>[6]RAB!B218</f>
        <v>4</v>
      </c>
      <c r="C549" s="3587" t="str">
        <f>[6]RAB!D218</f>
        <v>Waterproofing area toilet dan atap dak beton</v>
      </c>
      <c r="D549" s="3582"/>
      <c r="E549" s="3582"/>
      <c r="F549" s="3582"/>
      <c r="G549" s="3593"/>
      <c r="H549" s="3583"/>
      <c r="I549" s="3583"/>
      <c r="J549" s="3583"/>
      <c r="K549" s="3583"/>
      <c r="L549" s="3591"/>
      <c r="M549" s="3583"/>
      <c r="N549" s="3583"/>
      <c r="O549" s="3583"/>
      <c r="P549" s="3583"/>
      <c r="Q549" s="3584">
        <f>SUM(P550:P551)</f>
        <v>153.20949999999999</v>
      </c>
      <c r="R549" s="3585" t="str">
        <f>[6]RAB!H218</f>
        <v>m2</v>
      </c>
    </row>
    <row r="550" spans="2:29" x14ac:dyDescent="0.2">
      <c r="B550" s="3586"/>
      <c r="C550" s="3587"/>
      <c r="D550" s="3582"/>
      <c r="E550" s="3582"/>
      <c r="F550" s="3582"/>
      <c r="G550" s="3593" t="s">
        <v>2152</v>
      </c>
      <c r="H550" s="3583">
        <f>Q385</f>
        <v>16.53</v>
      </c>
      <c r="I550" s="3589" t="s">
        <v>425</v>
      </c>
      <c r="J550" s="3583">
        <f>H550*15%</f>
        <v>2.4795000000000003</v>
      </c>
      <c r="K550" s="3583"/>
      <c r="L550" s="3624"/>
      <c r="M550" s="3583"/>
      <c r="N550" s="3583"/>
      <c r="O550" s="3583"/>
      <c r="P550" s="3583">
        <f>H550+J550</f>
        <v>19.009500000000003</v>
      </c>
      <c r="Q550" s="3584"/>
      <c r="R550" s="3585"/>
    </row>
    <row r="551" spans="2:29" x14ac:dyDescent="0.2">
      <c r="B551" s="3586"/>
      <c r="C551" s="3587"/>
      <c r="D551" s="3582"/>
      <c r="E551" s="3582"/>
      <c r="F551" s="3582"/>
      <c r="G551" s="3593" t="s">
        <v>2153</v>
      </c>
      <c r="H551" s="3583">
        <v>122</v>
      </c>
      <c r="I551" s="3583" t="s">
        <v>424</v>
      </c>
      <c r="J551" s="3583">
        <f>0.2+0.7+0.2</f>
        <v>1.0999999999999999</v>
      </c>
      <c r="K551" s="3583"/>
      <c r="L551" s="3624"/>
      <c r="M551" s="3583"/>
      <c r="N551" s="3583"/>
      <c r="O551" s="3583"/>
      <c r="P551" s="3583">
        <f>H551*J551</f>
        <v>134.19999999999999</v>
      </c>
      <c r="Q551" s="3584"/>
      <c r="R551" s="3585"/>
    </row>
    <row r="552" spans="2:29" x14ac:dyDescent="0.2">
      <c r="B552" s="3592"/>
      <c r="C552" s="3581"/>
      <c r="D552" s="3582"/>
      <c r="E552" s="3582"/>
      <c r="F552" s="3582"/>
      <c r="G552" s="3593"/>
      <c r="H552" s="3583"/>
      <c r="I552" s="3583"/>
      <c r="J552" s="3583"/>
      <c r="K552" s="3583"/>
      <c r="L552" s="3583"/>
      <c r="M552" s="3583"/>
      <c r="N552" s="3591"/>
      <c r="O552" s="3583"/>
      <c r="P552" s="3583"/>
      <c r="Q552" s="3595"/>
      <c r="R552" s="3585"/>
    </row>
    <row r="553" spans="2:29" x14ac:dyDescent="0.2">
      <c r="B553" s="3592" t="str">
        <f>[6]RAB!B220</f>
        <v>K.</v>
      </c>
      <c r="C553" s="3581" t="str">
        <f>[6]RAB!D220</f>
        <v>PEKERJAAN ORNAMEN FASADE</v>
      </c>
      <c r="D553" s="3582"/>
      <c r="E553" s="3582"/>
      <c r="F553" s="3582"/>
      <c r="G553" s="3593"/>
      <c r="H553" s="3583"/>
      <c r="I553" s="3583"/>
      <c r="J553" s="3583"/>
      <c r="K553" s="3583"/>
      <c r="L553" s="3583"/>
      <c r="M553" s="3583"/>
      <c r="N553" s="3591"/>
      <c r="O553" s="3583"/>
      <c r="P553" s="3583"/>
      <c r="Q553" s="3595"/>
      <c r="R553" s="3585"/>
    </row>
    <row r="554" spans="2:29" x14ac:dyDescent="0.2">
      <c r="B554" s="3586">
        <f>[6]RAB!B221</f>
        <v>1</v>
      </c>
      <c r="C554" s="3587" t="str">
        <f>[6]RAB!D221</f>
        <v xml:space="preserve">Pek. GRC Lisplang </v>
      </c>
      <c r="D554" s="3582"/>
      <c r="E554" s="3582"/>
      <c r="F554" s="3582"/>
      <c r="G554" s="3593"/>
      <c r="H554" s="3583">
        <f>(50.2+25.8)*2</f>
        <v>152</v>
      </c>
      <c r="I554" s="3589" t="s">
        <v>425</v>
      </c>
      <c r="J554" s="3583">
        <f>8+8+8.3</f>
        <v>24.3</v>
      </c>
      <c r="K554" s="3583"/>
      <c r="L554" s="3583"/>
      <c r="M554" s="3583"/>
      <c r="N554" s="3591"/>
      <c r="O554" s="3583"/>
      <c r="P554" s="3583">
        <f>H554+J554</f>
        <v>176.3</v>
      </c>
      <c r="Q554" s="3583">
        <f t="shared" ref="Q554" si="19">P554</f>
        <v>176.3</v>
      </c>
      <c r="R554" s="3585" t="str">
        <f>[6]RAB!H221</f>
        <v>m2</v>
      </c>
    </row>
    <row r="555" spans="2:29" x14ac:dyDescent="0.2">
      <c r="B555" s="3592"/>
      <c r="C555" s="3581"/>
      <c r="D555" s="3582"/>
      <c r="E555" s="3582"/>
      <c r="F555" s="3582"/>
      <c r="G555" s="3593"/>
      <c r="H555" s="3583"/>
      <c r="I555" s="3583"/>
      <c r="J555" s="3583"/>
      <c r="K555" s="3583"/>
      <c r="L555" s="3583"/>
      <c r="M555" s="3583"/>
      <c r="N555" s="3591"/>
      <c r="O555" s="3583"/>
      <c r="P555" s="3583"/>
      <c r="Q555" s="3595"/>
      <c r="R555" s="3585"/>
    </row>
    <row r="556" spans="2:29" x14ac:dyDescent="0.2">
      <c r="B556" s="3592" t="str">
        <f>[6]RAB!B223</f>
        <v>L.</v>
      </c>
      <c r="C556" s="3581" t="str">
        <f>[6]RAB!D223</f>
        <v>PEKERJAAN PLUMBING</v>
      </c>
      <c r="D556" s="3582"/>
      <c r="E556" s="3582"/>
      <c r="F556" s="3582"/>
      <c r="G556" s="3593"/>
      <c r="H556" s="3583"/>
      <c r="I556" s="3583"/>
      <c r="J556" s="3583"/>
      <c r="K556" s="3583"/>
      <c r="L556" s="3583"/>
      <c r="M556" s="3583"/>
      <c r="N556" s="3591"/>
      <c r="O556" s="3583"/>
      <c r="P556" s="3583"/>
      <c r="Q556" s="3595"/>
      <c r="R556" s="3585"/>
    </row>
    <row r="557" spans="2:29" x14ac:dyDescent="0.2">
      <c r="B557" s="3592"/>
      <c r="C557" s="3581" t="str">
        <f>[6]RAB!D224</f>
        <v>LANTAI 1</v>
      </c>
      <c r="D557" s="3582"/>
      <c r="E557" s="3582"/>
      <c r="F557" s="3582"/>
      <c r="G557" s="3593"/>
      <c r="H557" s="3583"/>
      <c r="I557" s="3583"/>
      <c r="J557" s="3583"/>
      <c r="K557" s="3583"/>
      <c r="L557" s="3583"/>
      <c r="M557" s="3583"/>
      <c r="N557" s="3591"/>
      <c r="O557" s="3583"/>
      <c r="P557" s="3583"/>
      <c r="Q557" s="3595"/>
      <c r="R557" s="3585"/>
    </row>
    <row r="558" spans="2:29" x14ac:dyDescent="0.2">
      <c r="B558" s="3592">
        <f>[6]RAB!B225</f>
        <v>1</v>
      </c>
      <c r="C558" s="3581" t="str">
        <f>[6]RAB!D225</f>
        <v>AIR BERSIH LT.1</v>
      </c>
      <c r="D558" s="3582"/>
      <c r="E558" s="3582"/>
      <c r="F558" s="3582"/>
      <c r="G558" s="3593"/>
      <c r="H558" s="3583"/>
      <c r="I558" s="3583"/>
      <c r="J558" s="3583"/>
      <c r="K558" s="3583"/>
      <c r="L558" s="3583"/>
      <c r="M558" s="3583"/>
      <c r="N558" s="3591"/>
      <c r="O558" s="3583"/>
      <c r="P558" s="3583"/>
      <c r="Q558" s="3595"/>
      <c r="R558" s="3585"/>
    </row>
    <row r="559" spans="2:29" x14ac:dyDescent="0.2">
      <c r="B559" s="3586">
        <f>[6]RAB!B226</f>
        <v>1</v>
      </c>
      <c r="C559" s="3587" t="str">
        <f>[6]RAB!D226</f>
        <v>Memasang pipa PVC tipe AW diameter 3/4"</v>
      </c>
      <c r="D559" s="3582"/>
      <c r="E559" s="3582"/>
      <c r="F559" s="3582"/>
      <c r="G559" s="3593"/>
      <c r="H559" s="3583"/>
      <c r="I559" s="3583"/>
      <c r="J559" s="3583"/>
      <c r="K559" s="3583"/>
      <c r="L559" s="3583"/>
      <c r="M559" s="3583"/>
      <c r="N559" s="3591"/>
      <c r="O559" s="3583"/>
      <c r="P559" s="3583">
        <f>$P$570+$P$571+$P$573+$P$574*2</f>
        <v>29</v>
      </c>
      <c r="Q559" s="3595">
        <f>P559</f>
        <v>29</v>
      </c>
      <c r="R559" s="3585" t="str">
        <f>[6]RAB!H226</f>
        <v>m'</v>
      </c>
    </row>
    <row r="560" spans="2:29" x14ac:dyDescent="0.2">
      <c r="B560" s="3586">
        <f>[6]RAB!B227</f>
        <v>2</v>
      </c>
      <c r="C560" s="3587" t="str">
        <f>[6]RAB!D227</f>
        <v>Memasang pipa PVC tipe AW diameter 1"</v>
      </c>
      <c r="D560" s="3582"/>
      <c r="E560" s="3582"/>
      <c r="F560" s="3582"/>
      <c r="G560" s="3593"/>
      <c r="H560" s="3583"/>
      <c r="I560" s="3583"/>
      <c r="J560" s="3583"/>
      <c r="K560" s="3583"/>
      <c r="L560" s="3583"/>
      <c r="M560" s="3583"/>
      <c r="N560" s="3591"/>
      <c r="O560" s="3583"/>
      <c r="P560" s="3583">
        <f>$P$570+$P$571+$P$573+$P$574*3</f>
        <v>37</v>
      </c>
      <c r="Q560" s="3595">
        <f t="shared" ref="Q560:Q576" si="20">P560</f>
        <v>37</v>
      </c>
      <c r="R560" s="3585" t="str">
        <f>[6]RAB!H227</f>
        <v>m'</v>
      </c>
    </row>
    <row r="561" spans="2:18" x14ac:dyDescent="0.2">
      <c r="B561" s="3586">
        <f>[6]RAB!B228</f>
        <v>3</v>
      </c>
      <c r="C561" s="3587" t="str">
        <f>[6]RAB!D228</f>
        <v>Memasang pipa PVC tipe AW diameter 1 1/2"</v>
      </c>
      <c r="D561" s="3582"/>
      <c r="E561" s="3582"/>
      <c r="F561" s="3582"/>
      <c r="G561" s="3593"/>
      <c r="H561" s="3583"/>
      <c r="I561" s="3583"/>
      <c r="J561" s="3583"/>
      <c r="K561" s="3583"/>
      <c r="L561" s="3583"/>
      <c r="M561" s="3583"/>
      <c r="N561" s="3591"/>
      <c r="O561" s="3583"/>
      <c r="P561" s="3583">
        <f>$P$570+$P$571+$P$573+$P$574*5</f>
        <v>53</v>
      </c>
      <c r="Q561" s="3595">
        <f t="shared" si="20"/>
        <v>53</v>
      </c>
      <c r="R561" s="3585" t="str">
        <f>[6]RAB!H228</f>
        <v>m'</v>
      </c>
    </row>
    <row r="562" spans="2:18" x14ac:dyDescent="0.2">
      <c r="B562" s="3586">
        <f>[6]RAB!B229</f>
        <v>4</v>
      </c>
      <c r="C562" s="3587" t="str">
        <f>[6]RAB!D229</f>
        <v>Stop kran PVC 1 1/2"</v>
      </c>
      <c r="D562" s="3582"/>
      <c r="E562" s="3582"/>
      <c r="F562" s="3582"/>
      <c r="G562" s="3593"/>
      <c r="H562" s="3583"/>
      <c r="I562" s="3583"/>
      <c r="J562" s="3583"/>
      <c r="K562" s="3583"/>
      <c r="L562" s="3583"/>
      <c r="M562" s="3583"/>
      <c r="N562" s="3591"/>
      <c r="O562" s="3583"/>
      <c r="P562" s="3583">
        <v>4</v>
      </c>
      <c r="Q562" s="3595">
        <f t="shared" si="20"/>
        <v>4</v>
      </c>
      <c r="R562" s="3585" t="str">
        <f>[6]RAB!H229</f>
        <v>bh</v>
      </c>
    </row>
    <row r="563" spans="2:18" x14ac:dyDescent="0.2">
      <c r="B563" s="3586">
        <f>[6]RAB!B230</f>
        <v>2</v>
      </c>
      <c r="C563" s="3581" t="str">
        <f>[6]RAB!D230</f>
        <v>AIR BEKAS LT. 1</v>
      </c>
      <c r="D563" s="3582"/>
      <c r="E563" s="3582"/>
      <c r="F563" s="3582"/>
      <c r="G563" s="3593"/>
      <c r="H563" s="3583"/>
      <c r="I563" s="3583"/>
      <c r="J563" s="3583"/>
      <c r="K563" s="3583"/>
      <c r="L563" s="3583"/>
      <c r="M563" s="3583"/>
      <c r="N563" s="3591"/>
      <c r="O563" s="3583"/>
      <c r="P563" s="3583"/>
      <c r="Q563" s="3595"/>
      <c r="R563" s="3585"/>
    </row>
    <row r="564" spans="2:18" x14ac:dyDescent="0.2">
      <c r="B564" s="3586">
        <f>[6]RAB!B231</f>
        <v>1</v>
      </c>
      <c r="C564" s="3587" t="str">
        <f>[6]RAB!D231</f>
        <v>Memasang pipa PVC tipe AW diameter 1 1/2"</v>
      </c>
      <c r="D564" s="3582"/>
      <c r="E564" s="3582"/>
      <c r="F564" s="3582"/>
      <c r="G564" s="3593"/>
      <c r="H564" s="3583"/>
      <c r="I564" s="3583"/>
      <c r="J564" s="3583"/>
      <c r="K564" s="3583"/>
      <c r="L564" s="3583"/>
      <c r="M564" s="3583"/>
      <c r="N564" s="3591"/>
      <c r="O564" s="3583"/>
      <c r="P564" s="3583">
        <f>$P$571+$P$572+$P$573*0.8</f>
        <v>14.8</v>
      </c>
      <c r="Q564" s="3595">
        <f t="shared" si="20"/>
        <v>14.8</v>
      </c>
      <c r="R564" s="3585" t="str">
        <f>[6]RAB!H231</f>
        <v>m'</v>
      </c>
    </row>
    <row r="565" spans="2:18" x14ac:dyDescent="0.2">
      <c r="B565" s="3586">
        <f>[6]RAB!B232</f>
        <v>2</v>
      </c>
      <c r="C565" s="3587" t="str">
        <f>[6]RAB!D232</f>
        <v>Memasang pipa PVC tipe AW diameter 2"</v>
      </c>
      <c r="D565" s="3582"/>
      <c r="E565" s="3582"/>
      <c r="F565" s="3582"/>
      <c r="G565" s="3593"/>
      <c r="H565" s="3583"/>
      <c r="I565" s="3583"/>
      <c r="J565" s="3583"/>
      <c r="K565" s="3583"/>
      <c r="L565" s="3583"/>
      <c r="M565" s="3583"/>
      <c r="N565" s="3591"/>
      <c r="O565" s="3583"/>
      <c r="P565" s="3583">
        <f>$P$571+$P$572+$P$573*1.8</f>
        <v>15.8</v>
      </c>
      <c r="Q565" s="3595">
        <f t="shared" si="20"/>
        <v>15.8</v>
      </c>
      <c r="R565" s="3585" t="str">
        <f>[6]RAB!H232</f>
        <v>m'</v>
      </c>
    </row>
    <row r="566" spans="2:18" x14ac:dyDescent="0.2">
      <c r="B566" s="3586">
        <f>[6]RAB!B233</f>
        <v>3</v>
      </c>
      <c r="C566" s="3587" t="str">
        <f>[6]RAB!D233</f>
        <v>Memasang pipa PVC tipe AW diameter 3"</v>
      </c>
      <c r="D566" s="3582"/>
      <c r="E566" s="3582"/>
      <c r="F566" s="3582"/>
      <c r="G566" s="3593"/>
      <c r="H566" s="3583"/>
      <c r="I566" s="3583"/>
      <c r="J566" s="3583"/>
      <c r="K566" s="3583"/>
      <c r="L566" s="3583"/>
      <c r="M566" s="3583"/>
      <c r="N566" s="3591"/>
      <c r="O566" s="3583"/>
      <c r="P566" s="3583">
        <f>$P$571+$P$572+$P$573*3.8</f>
        <v>17.8</v>
      </c>
      <c r="Q566" s="3595">
        <f t="shared" si="20"/>
        <v>17.8</v>
      </c>
      <c r="R566" s="3585" t="str">
        <f>[6]RAB!H233</f>
        <v>m'</v>
      </c>
    </row>
    <row r="567" spans="2:18" x14ac:dyDescent="0.2">
      <c r="B567" s="3586">
        <f>[6]RAB!B234</f>
        <v>3</v>
      </c>
      <c r="C567" s="3581" t="str">
        <f>[6]RAB!D234</f>
        <v>AIR KOTOR LT. 1</v>
      </c>
      <c r="D567" s="3582"/>
      <c r="E567" s="3582"/>
      <c r="F567" s="3582"/>
      <c r="G567" s="3593"/>
      <c r="H567" s="3583"/>
      <c r="I567" s="3583"/>
      <c r="J567" s="3583"/>
      <c r="K567" s="3583"/>
      <c r="L567" s="3583"/>
      <c r="M567" s="3583"/>
      <c r="N567" s="3591"/>
      <c r="O567" s="3583"/>
      <c r="P567" s="3583"/>
      <c r="Q567" s="3595"/>
      <c r="R567" s="3585"/>
    </row>
    <row r="568" spans="2:18" x14ac:dyDescent="0.2">
      <c r="B568" s="3586">
        <f>[6]RAB!B235</f>
        <v>1</v>
      </c>
      <c r="C568" s="3587" t="str">
        <f>[6]RAB!D235</f>
        <v>Memasang pipa PVC tipe AW diameter 4"</v>
      </c>
      <c r="D568" s="3582"/>
      <c r="E568" s="3582"/>
      <c r="F568" s="3582"/>
      <c r="G568" s="3593"/>
      <c r="H568" s="3583"/>
      <c r="I568" s="3583"/>
      <c r="J568" s="3583"/>
      <c r="K568" s="3583"/>
      <c r="L568" s="3583"/>
      <c r="M568" s="3583"/>
      <c r="N568" s="3591"/>
      <c r="O568" s="3583"/>
      <c r="P568" s="3583">
        <f>P570*4</f>
        <v>32</v>
      </c>
      <c r="Q568" s="3595">
        <f t="shared" si="20"/>
        <v>32</v>
      </c>
      <c r="R568" s="3585" t="str">
        <f>[6]RAB!H235</f>
        <v>m'</v>
      </c>
    </row>
    <row r="569" spans="2:18" x14ac:dyDescent="0.2">
      <c r="B569" s="3586">
        <f>[6]RAB!B236</f>
        <v>4</v>
      </c>
      <c r="C569" s="3581" t="str">
        <f>[6]RAB!D236</f>
        <v>SANITAIR LT. 1</v>
      </c>
      <c r="D569" s="3582"/>
      <c r="E569" s="3582"/>
      <c r="F569" s="3582"/>
      <c r="G569" s="3593"/>
      <c r="H569" s="3583"/>
      <c r="I569" s="3583"/>
      <c r="J569" s="3583"/>
      <c r="K569" s="3583"/>
      <c r="L569" s="3583"/>
      <c r="M569" s="3583"/>
      <c r="N569" s="3591"/>
      <c r="O569" s="3583"/>
      <c r="P569" s="3583"/>
      <c r="Q569" s="3595"/>
      <c r="R569" s="3585"/>
    </row>
    <row r="570" spans="2:18" x14ac:dyDescent="0.2">
      <c r="B570" s="3586">
        <f>[6]RAB!B237</f>
        <v>1</v>
      </c>
      <c r="C570" s="3587" t="str">
        <f>[6]RAB!D237</f>
        <v>Memasang kloset duduk/monoblok dan aksesoris</v>
      </c>
      <c r="D570" s="3582"/>
      <c r="E570" s="3582"/>
      <c r="F570" s="3582"/>
      <c r="G570" s="3593"/>
      <c r="H570" s="3583"/>
      <c r="I570" s="3583"/>
      <c r="J570" s="3583"/>
      <c r="K570" s="3583"/>
      <c r="L570" s="3583"/>
      <c r="M570" s="3583"/>
      <c r="N570" s="3591"/>
      <c r="O570" s="3583"/>
      <c r="P570" s="3583">
        <v>8</v>
      </c>
      <c r="Q570" s="3595">
        <f t="shared" si="20"/>
        <v>8</v>
      </c>
      <c r="R570" s="3585" t="str">
        <f>[6]RAB!H237</f>
        <v>bh</v>
      </c>
    </row>
    <row r="571" spans="2:18" x14ac:dyDescent="0.2">
      <c r="B571" s="3586">
        <f>[6]RAB!B238</f>
        <v>2</v>
      </c>
      <c r="C571" s="3587" t="str">
        <f>[6]RAB!D238</f>
        <v>Memasang wastafel  &amp; aksesoris</v>
      </c>
      <c r="D571" s="3582"/>
      <c r="E571" s="3582"/>
      <c r="F571" s="3582"/>
      <c r="G571" s="3593"/>
      <c r="H571" s="3583"/>
      <c r="I571" s="3583"/>
      <c r="J571" s="3583"/>
      <c r="K571" s="3583"/>
      <c r="L571" s="3583"/>
      <c r="M571" s="3583"/>
      <c r="N571" s="3591"/>
      <c r="O571" s="3583"/>
      <c r="P571" s="3583">
        <v>4</v>
      </c>
      <c r="Q571" s="3595">
        <f t="shared" si="20"/>
        <v>4</v>
      </c>
      <c r="R571" s="3585" t="str">
        <f>[6]RAB!H238</f>
        <v>bh</v>
      </c>
    </row>
    <row r="572" spans="2:18" x14ac:dyDescent="0.2">
      <c r="B572" s="3586">
        <f>[6]RAB!B239</f>
        <v>3</v>
      </c>
      <c r="C572" s="3587" t="str">
        <f>[6]RAB!D239</f>
        <v>Memasang floor drain</v>
      </c>
      <c r="D572" s="3582"/>
      <c r="E572" s="3582"/>
      <c r="F572" s="3582"/>
      <c r="G572" s="3593"/>
      <c r="H572" s="3583"/>
      <c r="I572" s="3583"/>
      <c r="J572" s="3583"/>
      <c r="K572" s="3583"/>
      <c r="L572" s="3583"/>
      <c r="M572" s="3583"/>
      <c r="N572" s="3591"/>
      <c r="O572" s="3583"/>
      <c r="P572" s="3583">
        <v>10</v>
      </c>
      <c r="Q572" s="3595">
        <f t="shared" si="20"/>
        <v>10</v>
      </c>
      <c r="R572" s="3585" t="str">
        <f>[6]RAB!H239</f>
        <v>bh</v>
      </c>
    </row>
    <row r="573" spans="2:18" x14ac:dyDescent="0.2">
      <c r="B573" s="3586">
        <f>[6]RAB!B240</f>
        <v>4</v>
      </c>
      <c r="C573" s="3587" t="str">
        <f>[6]RAB!D240</f>
        <v>Memasang bak cuci piring stainlessteel dan aksesoris</v>
      </c>
      <c r="D573" s="3582"/>
      <c r="E573" s="3582"/>
      <c r="F573" s="3582"/>
      <c r="G573" s="3593"/>
      <c r="H573" s="3583"/>
      <c r="I573" s="3583"/>
      <c r="J573" s="3583"/>
      <c r="K573" s="3583"/>
      <c r="L573" s="3583"/>
      <c r="M573" s="3583"/>
      <c r="N573" s="3591"/>
      <c r="O573" s="3583"/>
      <c r="P573" s="3583">
        <v>1</v>
      </c>
      <c r="Q573" s="3595">
        <f t="shared" si="20"/>
        <v>1</v>
      </c>
      <c r="R573" s="3585" t="str">
        <f>[6]RAB!H240</f>
        <v>bh</v>
      </c>
    </row>
    <row r="574" spans="2:18" x14ac:dyDescent="0.2">
      <c r="B574" s="3586">
        <f>[6]RAB!B241</f>
        <v>5</v>
      </c>
      <c r="C574" s="3587" t="str">
        <f>[6]RAB!D241</f>
        <v>Memasang kran diameter 1/2" atau 3/4"</v>
      </c>
      <c r="D574" s="3582"/>
      <c r="E574" s="3582"/>
      <c r="F574" s="3582"/>
      <c r="G574" s="3593"/>
      <c r="H574" s="3583"/>
      <c r="I574" s="3583"/>
      <c r="J574" s="3583"/>
      <c r="K574" s="3583"/>
      <c r="L574" s="3583"/>
      <c r="M574" s="3583"/>
      <c r="N574" s="3591"/>
      <c r="O574" s="3583"/>
      <c r="P574" s="3583">
        <f>P570</f>
        <v>8</v>
      </c>
      <c r="Q574" s="3595">
        <f t="shared" si="20"/>
        <v>8</v>
      </c>
      <c r="R574" s="3585" t="str">
        <f>[6]RAB!H241</f>
        <v>bh</v>
      </c>
    </row>
    <row r="575" spans="2:18" x14ac:dyDescent="0.2">
      <c r="B575" s="3586">
        <f>[6]RAB!B242</f>
        <v>6</v>
      </c>
      <c r="C575" s="3587" t="str">
        <f>[6]RAB!D242</f>
        <v>Membuat sumur bor lengkap pompa dan aksesories</v>
      </c>
      <c r="D575" s="3582"/>
      <c r="E575" s="3582"/>
      <c r="F575" s="3582"/>
      <c r="G575" s="3593"/>
      <c r="H575" s="3583"/>
      <c r="I575" s="3583"/>
      <c r="J575" s="3583"/>
      <c r="K575" s="3583"/>
      <c r="L575" s="3583"/>
      <c r="M575" s="3583"/>
      <c r="N575" s="3591"/>
      <c r="O575" s="3583"/>
      <c r="P575" s="3583">
        <v>1</v>
      </c>
      <c r="Q575" s="3595">
        <f t="shared" si="20"/>
        <v>1</v>
      </c>
      <c r="R575" s="3585" t="str">
        <f>[6]RAB!H242</f>
        <v>ls</v>
      </c>
    </row>
    <row r="576" spans="2:18" x14ac:dyDescent="0.2">
      <c r="B576" s="3586">
        <f>[6]RAB!B243</f>
        <v>7</v>
      </c>
      <c r="C576" s="3587" t="str">
        <f>[6]RAB!D243</f>
        <v>Pengadaan dan pemasangan septic tank komunal kap 2000 ltr</v>
      </c>
      <c r="D576" s="3582"/>
      <c r="E576" s="3582"/>
      <c r="F576" s="3582"/>
      <c r="G576" s="3593"/>
      <c r="H576" s="3583"/>
      <c r="I576" s="3583"/>
      <c r="J576" s="3583"/>
      <c r="K576" s="3583"/>
      <c r="L576" s="3583"/>
      <c r="M576" s="3583"/>
      <c r="N576" s="3591"/>
      <c r="O576" s="3583"/>
      <c r="P576" s="3583">
        <v>2</v>
      </c>
      <c r="Q576" s="3595">
        <f t="shared" si="20"/>
        <v>2</v>
      </c>
      <c r="R576" s="3585" t="str">
        <f>[6]RAB!H243</f>
        <v>unit</v>
      </c>
    </row>
    <row r="577" spans="2:18" x14ac:dyDescent="0.2">
      <c r="B577" s="3586"/>
      <c r="C577" s="3587" t="str">
        <f>[6]RAB!D244</f>
        <v xml:space="preserve"> - galian dan pengurukan kembali</v>
      </c>
      <c r="D577" s="3582"/>
      <c r="E577" s="3582"/>
      <c r="F577" s="3582"/>
      <c r="G577" s="3593"/>
      <c r="H577" s="3583"/>
      <c r="I577" s="3583"/>
      <c r="J577" s="3583"/>
      <c r="K577" s="3583"/>
      <c r="L577" s="3583"/>
      <c r="M577" s="3583"/>
      <c r="N577" s="3591"/>
      <c r="O577" s="3583"/>
      <c r="P577" s="3583"/>
      <c r="Q577" s="3595"/>
      <c r="R577" s="3585"/>
    </row>
    <row r="578" spans="2:18" x14ac:dyDescent="0.2">
      <c r="B578" s="3586"/>
      <c r="C578" s="3587" t="str">
        <f>[6]RAB!D245</f>
        <v xml:space="preserve"> - lantai kerja, tali / seling pengikat</v>
      </c>
      <c r="D578" s="3582"/>
      <c r="E578" s="3582"/>
      <c r="F578" s="3582"/>
      <c r="G578" s="3593"/>
      <c r="H578" s="3583"/>
      <c r="I578" s="3583"/>
      <c r="J578" s="3583"/>
      <c r="K578" s="3583"/>
      <c r="L578" s="3583"/>
      <c r="M578" s="3583"/>
      <c r="N578" s="3591"/>
      <c r="O578" s="3583"/>
      <c r="P578" s="3583"/>
      <c r="Q578" s="3595"/>
      <c r="R578" s="3585"/>
    </row>
    <row r="579" spans="2:18" x14ac:dyDescent="0.2">
      <c r="B579" s="3586"/>
      <c r="C579" s="3587"/>
      <c r="D579" s="3582"/>
      <c r="E579" s="3582"/>
      <c r="F579" s="3582"/>
      <c r="G579" s="3593"/>
      <c r="H579" s="3583"/>
      <c r="I579" s="3583"/>
      <c r="J579" s="3583"/>
      <c r="K579" s="3583"/>
      <c r="L579" s="3583"/>
      <c r="M579" s="3583"/>
      <c r="N579" s="3591"/>
      <c r="O579" s="3583"/>
      <c r="P579" s="3583"/>
      <c r="Q579" s="3595"/>
      <c r="R579" s="3585"/>
    </row>
    <row r="580" spans="2:18" x14ac:dyDescent="0.2">
      <c r="B580" s="3586"/>
      <c r="C580" s="3581" t="str">
        <f>[6]RAB!D247</f>
        <v>LANTAI 2</v>
      </c>
      <c r="D580" s="3582"/>
      <c r="E580" s="3582"/>
      <c r="F580" s="3582"/>
      <c r="G580" s="3593"/>
      <c r="H580" s="3583"/>
      <c r="I580" s="3583"/>
      <c r="J580" s="3583"/>
      <c r="K580" s="3583"/>
      <c r="L580" s="3583"/>
      <c r="M580" s="3583"/>
      <c r="N580" s="3591"/>
      <c r="O580" s="3583"/>
      <c r="P580" s="3583"/>
      <c r="Q580" s="3595"/>
      <c r="R580" s="3585"/>
    </row>
    <row r="581" spans="2:18" x14ac:dyDescent="0.2">
      <c r="B581" s="3586">
        <f>[6]RAB!B248</f>
        <v>1</v>
      </c>
      <c r="C581" s="3581" t="str">
        <f>[6]RAB!D248</f>
        <v>AIR BERSIH LT.2</v>
      </c>
      <c r="D581" s="3582"/>
      <c r="E581" s="3582"/>
      <c r="F581" s="3582"/>
      <c r="G581" s="3593"/>
      <c r="H581" s="3583"/>
      <c r="I581" s="3583"/>
      <c r="J581" s="3583"/>
      <c r="K581" s="3583"/>
      <c r="L581" s="3583"/>
      <c r="M581" s="3583"/>
      <c r="N581" s="3591"/>
      <c r="O581" s="3583"/>
      <c r="P581" s="3583"/>
      <c r="Q581" s="3595"/>
      <c r="R581" s="3585"/>
    </row>
    <row r="582" spans="2:18" x14ac:dyDescent="0.2">
      <c r="B582" s="3586">
        <f>[6]RAB!B249</f>
        <v>1</v>
      </c>
      <c r="C582" s="3587" t="str">
        <f>[6]RAB!D249</f>
        <v>Memasang pipa PVC tipe AW diameter 3/4"</v>
      </c>
      <c r="D582" s="3582"/>
      <c r="E582" s="3582"/>
      <c r="F582" s="3582"/>
      <c r="G582" s="3593"/>
      <c r="H582" s="3583"/>
      <c r="I582" s="3583"/>
      <c r="J582" s="3583"/>
      <c r="K582" s="3583"/>
      <c r="L582" s="3583"/>
      <c r="M582" s="3583"/>
      <c r="N582" s="3591"/>
      <c r="O582" s="3583"/>
      <c r="P582" s="3583">
        <f>$P$595+$P$596+$P$598</f>
        <v>18</v>
      </c>
      <c r="Q582" s="3595">
        <f>P582</f>
        <v>18</v>
      </c>
      <c r="R582" s="3585" t="str">
        <f>[6]RAB!H249</f>
        <v>m'</v>
      </c>
    </row>
    <row r="583" spans="2:18" x14ac:dyDescent="0.2">
      <c r="B583" s="3586">
        <f>[6]RAB!B250</f>
        <v>2</v>
      </c>
      <c r="C583" s="3587" t="str">
        <f>[6]RAB!D250</f>
        <v>Memasang pipa PVC tipe AW diameter 1"</v>
      </c>
      <c r="D583" s="3582"/>
      <c r="E583" s="3582"/>
      <c r="F583" s="3582"/>
      <c r="G583" s="3593"/>
      <c r="H583" s="3583"/>
      <c r="I583" s="3583"/>
      <c r="J583" s="3583"/>
      <c r="K583" s="3583"/>
      <c r="L583" s="3583"/>
      <c r="M583" s="3583"/>
      <c r="N583" s="3591"/>
      <c r="O583" s="3583"/>
      <c r="P583" s="3583">
        <f>$P$595+$P$596+$P$598*2.4</f>
        <v>27.8</v>
      </c>
      <c r="Q583" s="3595">
        <f t="shared" ref="Q583:Q599" si="21">P583</f>
        <v>27.8</v>
      </c>
      <c r="R583" s="3585" t="str">
        <f>[6]RAB!H250</f>
        <v>m'</v>
      </c>
    </row>
    <row r="584" spans="2:18" x14ac:dyDescent="0.2">
      <c r="B584" s="3586">
        <f>[6]RAB!B251</f>
        <v>3</v>
      </c>
      <c r="C584" s="3587" t="str">
        <f>[6]RAB!D251</f>
        <v>Memasang pipa PVC tipe AW diameter 1 1/2"</v>
      </c>
      <c r="D584" s="3582"/>
      <c r="E584" s="3582"/>
      <c r="F584" s="3582"/>
      <c r="G584" s="3593"/>
      <c r="H584" s="3583"/>
      <c r="I584" s="3583"/>
      <c r="J584" s="3583"/>
      <c r="K584" s="3583"/>
      <c r="L584" s="3583"/>
      <c r="M584" s="3583"/>
      <c r="N584" s="3591"/>
      <c r="O584" s="3583"/>
      <c r="P584" s="3583">
        <f>$P$595+$P$596+$P$598*6</f>
        <v>53</v>
      </c>
      <c r="Q584" s="3595">
        <f t="shared" si="21"/>
        <v>53</v>
      </c>
      <c r="R584" s="3585" t="str">
        <f>[6]RAB!H251</f>
        <v>m'</v>
      </c>
    </row>
    <row r="585" spans="2:18" x14ac:dyDescent="0.2">
      <c r="B585" s="3586">
        <f>[6]RAB!B252</f>
        <v>4</v>
      </c>
      <c r="C585" s="3587" t="str">
        <f>[6]RAB!D252</f>
        <v>Stop kran PCV 1 1/2"</v>
      </c>
      <c r="D585" s="3582"/>
      <c r="E585" s="3582"/>
      <c r="F585" s="3582"/>
      <c r="G585" s="3593"/>
      <c r="H585" s="3583"/>
      <c r="I585" s="3583"/>
      <c r="J585" s="3583"/>
      <c r="K585" s="3583"/>
      <c r="L585" s="3583"/>
      <c r="M585" s="3583"/>
      <c r="N585" s="3591"/>
      <c r="O585" s="3583"/>
      <c r="P585" s="3583">
        <v>4</v>
      </c>
      <c r="Q585" s="3595">
        <f t="shared" si="21"/>
        <v>4</v>
      </c>
      <c r="R585" s="3585" t="str">
        <f>[6]RAB!H252</f>
        <v>bh</v>
      </c>
    </row>
    <row r="586" spans="2:18" x14ac:dyDescent="0.2">
      <c r="B586" s="3586">
        <f>[6]RAB!B253</f>
        <v>2</v>
      </c>
      <c r="C586" s="3581" t="str">
        <f>[6]RAB!D253</f>
        <v>AIR BEKAS LT. 2</v>
      </c>
      <c r="D586" s="3582"/>
      <c r="E586" s="3582"/>
      <c r="F586" s="3582"/>
      <c r="G586" s="3593"/>
      <c r="H586" s="3583"/>
      <c r="I586" s="3583"/>
      <c r="J586" s="3583"/>
      <c r="K586" s="3583"/>
      <c r="L586" s="3583"/>
      <c r="M586" s="3583"/>
      <c r="N586" s="3591"/>
      <c r="O586" s="3583"/>
      <c r="P586" s="3583"/>
      <c r="Q586" s="3595"/>
      <c r="R586" s="3585"/>
    </row>
    <row r="587" spans="2:18" x14ac:dyDescent="0.2">
      <c r="B587" s="3586">
        <f>[6]RAB!B254</f>
        <v>1</v>
      </c>
      <c r="C587" s="3587" t="str">
        <f>[6]RAB!D254</f>
        <v>Memasang pipa PVC tipe AW diameter 1 1/2"</v>
      </c>
      <c r="D587" s="3582"/>
      <c r="E587" s="3582"/>
      <c r="F587" s="3582"/>
      <c r="G587" s="3593"/>
      <c r="H587" s="3583"/>
      <c r="I587" s="3583"/>
      <c r="J587" s="3583"/>
      <c r="K587" s="3583"/>
      <c r="L587" s="3583"/>
      <c r="M587" s="3583"/>
      <c r="N587" s="3591"/>
      <c r="O587" s="3583"/>
      <c r="P587" s="3583">
        <f>$P$596</f>
        <v>4</v>
      </c>
      <c r="Q587" s="3595">
        <f t="shared" si="21"/>
        <v>4</v>
      </c>
      <c r="R587" s="3585" t="str">
        <f>[6]RAB!H254</f>
        <v>m'</v>
      </c>
    </row>
    <row r="588" spans="2:18" x14ac:dyDescent="0.2">
      <c r="B588" s="3586">
        <f>[6]RAB!B255</f>
        <v>2</v>
      </c>
      <c r="C588" s="3587" t="str">
        <f>[6]RAB!D255</f>
        <v>Memasang pipa PVC tipe AW diameter 2"</v>
      </c>
      <c r="D588" s="3582"/>
      <c r="E588" s="3582"/>
      <c r="F588" s="3582"/>
      <c r="G588" s="3593"/>
      <c r="H588" s="3583"/>
      <c r="I588" s="3583"/>
      <c r="J588" s="3583"/>
      <c r="K588" s="3583"/>
      <c r="L588" s="3583"/>
      <c r="M588" s="3583"/>
      <c r="N588" s="3591"/>
      <c r="O588" s="3583"/>
      <c r="P588" s="3583">
        <f>$P$596*3</f>
        <v>12</v>
      </c>
      <c r="Q588" s="3595">
        <f t="shared" si="21"/>
        <v>12</v>
      </c>
      <c r="R588" s="3585" t="str">
        <f>[6]RAB!H255</f>
        <v>m'</v>
      </c>
    </row>
    <row r="589" spans="2:18" x14ac:dyDescent="0.2">
      <c r="B589" s="3586">
        <f>[6]RAB!B256</f>
        <v>3</v>
      </c>
      <c r="C589" s="3587" t="str">
        <f>[6]RAB!D256</f>
        <v>Memasang pipa PVC tipe AW diameter 3"</v>
      </c>
      <c r="D589" s="3582"/>
      <c r="E589" s="3582"/>
      <c r="F589" s="3582"/>
      <c r="G589" s="3593"/>
      <c r="H589" s="3583"/>
      <c r="I589" s="3583"/>
      <c r="J589" s="3583"/>
      <c r="K589" s="3583"/>
      <c r="L589" s="3583"/>
      <c r="M589" s="3583"/>
      <c r="N589" s="3591"/>
      <c r="O589" s="3583"/>
      <c r="P589" s="3583">
        <f>$P$596*6</f>
        <v>24</v>
      </c>
      <c r="Q589" s="3595">
        <f t="shared" si="21"/>
        <v>24</v>
      </c>
      <c r="R589" s="3585" t="str">
        <f>[6]RAB!H256</f>
        <v>m'</v>
      </c>
    </row>
    <row r="590" spans="2:18" x14ac:dyDescent="0.2">
      <c r="B590" s="3586">
        <f>[6]RAB!B257</f>
        <v>3</v>
      </c>
      <c r="C590" s="3581" t="str">
        <f>[6]RAB!D257</f>
        <v>AIR KOTOR LT. 2</v>
      </c>
      <c r="D590" s="3582"/>
      <c r="E590" s="3582"/>
      <c r="F590" s="3582"/>
      <c r="G590" s="3593"/>
      <c r="H590" s="3583"/>
      <c r="I590" s="3583"/>
      <c r="J590" s="3583"/>
      <c r="K590" s="3583"/>
      <c r="L590" s="3583"/>
      <c r="M590" s="3583"/>
      <c r="N590" s="3591"/>
      <c r="O590" s="3583"/>
      <c r="P590" s="3583"/>
      <c r="Q590" s="3595"/>
      <c r="R590" s="3585"/>
    </row>
    <row r="591" spans="2:18" x14ac:dyDescent="0.2">
      <c r="B591" s="3586">
        <f>[6]RAB!B258</f>
        <v>1</v>
      </c>
      <c r="C591" s="3587" t="str">
        <f>[6]RAB!D258</f>
        <v>Memasang pipa PVC tipe AW diameter 4"</v>
      </c>
      <c r="D591" s="3582"/>
      <c r="E591" s="3582"/>
      <c r="F591" s="3582"/>
      <c r="G591" s="3593"/>
      <c r="H591" s="3583"/>
      <c r="I591" s="3583"/>
      <c r="J591" s="3583"/>
      <c r="K591" s="3583"/>
      <c r="L591" s="3583"/>
      <c r="M591" s="3583"/>
      <c r="N591" s="3591"/>
      <c r="O591" s="3583"/>
      <c r="P591" s="3583">
        <f>P596*6</f>
        <v>24</v>
      </c>
      <c r="Q591" s="3595">
        <f t="shared" si="21"/>
        <v>24</v>
      </c>
      <c r="R591" s="3585" t="str">
        <f>[6]RAB!H258</f>
        <v>m'</v>
      </c>
    </row>
    <row r="592" spans="2:18" x14ac:dyDescent="0.2">
      <c r="B592" s="3586">
        <f>[6]RAB!B259</f>
        <v>4</v>
      </c>
      <c r="C592" s="3581" t="str">
        <f>[6]RAB!D259</f>
        <v>AIR HUJAN</v>
      </c>
      <c r="D592" s="3582"/>
      <c r="E592" s="3582"/>
      <c r="F592" s="3582"/>
      <c r="G592" s="3593"/>
      <c r="H592" s="3583"/>
      <c r="I592" s="3583"/>
      <c r="J592" s="3583"/>
      <c r="K592" s="3583"/>
      <c r="L592" s="3583"/>
      <c r="M592" s="3583"/>
      <c r="N592" s="3591"/>
      <c r="O592" s="3583"/>
      <c r="P592" s="3583"/>
      <c r="Q592" s="3595"/>
      <c r="R592" s="3585"/>
    </row>
    <row r="593" spans="2:23" x14ac:dyDescent="0.2">
      <c r="B593" s="3586">
        <f>[6]RAB!B260</f>
        <v>1</v>
      </c>
      <c r="C593" s="3587" t="str">
        <f>[6]RAB!D260</f>
        <v>Memasang pipa PVC tipe AW diameter 4"</v>
      </c>
      <c r="D593" s="3582"/>
      <c r="E593" s="3582"/>
      <c r="F593" s="3582"/>
      <c r="G593" s="3593"/>
      <c r="H593" s="3583"/>
      <c r="I593" s="3583"/>
      <c r="J593" s="3583"/>
      <c r="K593" s="3583"/>
      <c r="L593" s="3583"/>
      <c r="M593" s="3583"/>
      <c r="N593" s="3591"/>
      <c r="O593" s="3583"/>
      <c r="P593" s="3583">
        <f>P600*8.5</f>
        <v>102</v>
      </c>
      <c r="Q593" s="3595">
        <f t="shared" si="21"/>
        <v>102</v>
      </c>
      <c r="R593" s="3585" t="str">
        <f>[6]RAB!H260</f>
        <v>m'</v>
      </c>
    </row>
    <row r="594" spans="2:23" x14ac:dyDescent="0.2">
      <c r="B594" s="3586">
        <f>[6]RAB!B261</f>
        <v>5</v>
      </c>
      <c r="C594" s="3581" t="str">
        <f>[6]RAB!D261</f>
        <v>SANITAIR LT. 2</v>
      </c>
      <c r="D594" s="3582"/>
      <c r="E594" s="3582"/>
      <c r="F594" s="3582"/>
      <c r="G594" s="3593"/>
      <c r="H594" s="3583"/>
      <c r="I594" s="3583"/>
      <c r="J594" s="3583"/>
      <c r="K594" s="3583"/>
      <c r="L594" s="3583"/>
      <c r="M594" s="3583"/>
      <c r="N594" s="3591"/>
      <c r="O594" s="3583"/>
      <c r="P594" s="3583"/>
      <c r="Q594" s="3595"/>
      <c r="R594" s="3585"/>
    </row>
    <row r="595" spans="2:23" x14ac:dyDescent="0.2">
      <c r="B595" s="3586">
        <f>[6]RAB!B262</f>
        <v>1</v>
      </c>
      <c r="C595" s="3587" t="str">
        <f>[6]RAB!D262</f>
        <v>Memasang kloset duduk/monoblok dan aksesoris</v>
      </c>
      <c r="D595" s="3582"/>
      <c r="E595" s="3582"/>
      <c r="F595" s="3582"/>
      <c r="G595" s="3593"/>
      <c r="H595" s="3583"/>
      <c r="I595" s="3583"/>
      <c r="J595" s="3583"/>
      <c r="K595" s="3583"/>
      <c r="L595" s="3583"/>
      <c r="M595" s="3583"/>
      <c r="N595" s="3591"/>
      <c r="O595" s="3583"/>
      <c r="P595" s="3583">
        <v>7</v>
      </c>
      <c r="Q595" s="3595">
        <f t="shared" si="21"/>
        <v>7</v>
      </c>
      <c r="R595" s="3585" t="str">
        <f>[6]RAB!H262</f>
        <v>bh</v>
      </c>
    </row>
    <row r="596" spans="2:23" x14ac:dyDescent="0.2">
      <c r="B596" s="3586">
        <f>[6]RAB!B263</f>
        <v>2</v>
      </c>
      <c r="C596" s="3587" t="str">
        <f>[6]RAB!D263</f>
        <v>Memasang wastafel  &amp; aksesoris</v>
      </c>
      <c r="D596" s="3582"/>
      <c r="E596" s="3582"/>
      <c r="F596" s="3582"/>
      <c r="G596" s="3593"/>
      <c r="H596" s="3583"/>
      <c r="I596" s="3583"/>
      <c r="J596" s="3583"/>
      <c r="K596" s="3583"/>
      <c r="L596" s="3583"/>
      <c r="M596" s="3583"/>
      <c r="N596" s="3591"/>
      <c r="O596" s="3583"/>
      <c r="P596" s="3583">
        <v>4</v>
      </c>
      <c r="Q596" s="3595">
        <f t="shared" si="21"/>
        <v>4</v>
      </c>
      <c r="R596" s="3585" t="str">
        <f>[6]RAB!H263</f>
        <v>bh</v>
      </c>
    </row>
    <row r="597" spans="2:23" x14ac:dyDescent="0.2">
      <c r="B597" s="3586">
        <f>[6]RAB!B264</f>
        <v>3</v>
      </c>
      <c r="C597" s="3587" t="str">
        <f>[6]RAB!D264</f>
        <v>Memasang floor drain</v>
      </c>
      <c r="D597" s="3582"/>
      <c r="E597" s="3582"/>
      <c r="F597" s="3582"/>
      <c r="G597" s="3593"/>
      <c r="H597" s="3583"/>
      <c r="I597" s="3583"/>
      <c r="J597" s="3583"/>
      <c r="K597" s="3583"/>
      <c r="L597" s="3583"/>
      <c r="M597" s="3583"/>
      <c r="N597" s="3591"/>
      <c r="O597" s="3583"/>
      <c r="P597" s="3583">
        <v>9</v>
      </c>
      <c r="Q597" s="3595">
        <f t="shared" si="21"/>
        <v>9</v>
      </c>
      <c r="R597" s="3585" t="str">
        <f>[6]RAB!H264</f>
        <v>bh</v>
      </c>
    </row>
    <row r="598" spans="2:23" x14ac:dyDescent="0.2">
      <c r="B598" s="3586">
        <f>[6]RAB!B265</f>
        <v>4</v>
      </c>
      <c r="C598" s="3587" t="str">
        <f>[6]RAB!D265</f>
        <v>Memasang kran diameter 1/2" atau 3/4"</v>
      </c>
      <c r="D598" s="3582"/>
      <c r="E598" s="3582"/>
      <c r="F598" s="3582"/>
      <c r="G598" s="3593"/>
      <c r="H598" s="3583"/>
      <c r="I598" s="3583"/>
      <c r="J598" s="3583"/>
      <c r="K598" s="3583"/>
      <c r="L598" s="3583"/>
      <c r="M598" s="3583"/>
      <c r="N598" s="3591"/>
      <c r="O598" s="3583"/>
      <c r="P598" s="3583">
        <f>P595</f>
        <v>7</v>
      </c>
      <c r="Q598" s="3595">
        <f t="shared" si="21"/>
        <v>7</v>
      </c>
      <c r="R598" s="3585" t="str">
        <f>[6]RAB!H265</f>
        <v>bh</v>
      </c>
    </row>
    <row r="599" spans="2:23" x14ac:dyDescent="0.2">
      <c r="B599" s="3586">
        <f>[6]RAB!B266</f>
        <v>5</v>
      </c>
      <c r="C599" s="3587" t="str">
        <f>[6]RAB!D266</f>
        <v>Torn kapasitas 1000ltr+radar otomatis</v>
      </c>
      <c r="D599" s="3582"/>
      <c r="E599" s="3582"/>
      <c r="F599" s="3582"/>
      <c r="G599" s="3593"/>
      <c r="H599" s="3583"/>
      <c r="I599" s="3583"/>
      <c r="J599" s="3583"/>
      <c r="K599" s="3583"/>
      <c r="L599" s="3583"/>
      <c r="M599" s="3583"/>
      <c r="N599" s="3591"/>
      <c r="O599" s="3583"/>
      <c r="P599" s="3583">
        <v>2</v>
      </c>
      <c r="Q599" s="3595">
        <f t="shared" si="21"/>
        <v>2</v>
      </c>
      <c r="R599" s="3585" t="str">
        <f>[6]RAB!H266</f>
        <v>unit</v>
      </c>
    </row>
    <row r="600" spans="2:23" x14ac:dyDescent="0.2">
      <c r="B600" s="3586">
        <f>[6]RAB!B267</f>
        <v>6</v>
      </c>
      <c r="C600" s="3587" t="str">
        <f>[6]RAB!D267</f>
        <v xml:space="preserve">Roofdrain PVC </v>
      </c>
      <c r="D600" s="3582"/>
      <c r="E600" s="3582"/>
      <c r="F600" s="3582"/>
      <c r="G600" s="3593"/>
      <c r="H600" s="3583"/>
      <c r="I600" s="3583"/>
      <c r="J600" s="3583"/>
      <c r="K600" s="3583"/>
      <c r="L600" s="3583"/>
      <c r="M600" s="3583"/>
      <c r="N600" s="3591"/>
      <c r="O600" s="3583"/>
      <c r="P600" s="3583">
        <v>12</v>
      </c>
      <c r="Q600" s="3595">
        <f>P600</f>
        <v>12</v>
      </c>
      <c r="R600" s="3585" t="str">
        <f>[6]RAB!H267</f>
        <v>bh</v>
      </c>
    </row>
    <row r="601" spans="2:23" x14ac:dyDescent="0.2">
      <c r="B601" s="3592"/>
      <c r="C601" s="3587"/>
      <c r="D601" s="3582"/>
      <c r="E601" s="3582"/>
      <c r="F601" s="3582"/>
      <c r="G601" s="3593"/>
      <c r="H601" s="3583"/>
      <c r="I601" s="3583"/>
      <c r="J601" s="3583"/>
      <c r="K601" s="3583"/>
      <c r="L601" s="3583"/>
      <c r="M601" s="3583"/>
      <c r="N601" s="3591"/>
      <c r="O601" s="3583"/>
      <c r="P601" s="3583"/>
      <c r="Q601" s="3595"/>
      <c r="R601" s="3585"/>
    </row>
    <row r="602" spans="2:23" x14ac:dyDescent="0.2">
      <c r="B602" s="3592"/>
      <c r="C602" s="3587"/>
      <c r="D602" s="3582"/>
      <c r="E602" s="3582"/>
      <c r="F602" s="3582"/>
      <c r="G602" s="3593"/>
      <c r="H602" s="3583"/>
      <c r="I602" s="3583"/>
      <c r="J602" s="3583"/>
      <c r="K602" s="3583"/>
      <c r="L602" s="3583"/>
      <c r="M602" s="3583"/>
      <c r="N602" s="3591"/>
      <c r="O602" s="3583"/>
      <c r="P602" s="3583"/>
      <c r="Q602" s="3595"/>
      <c r="R602" s="3585"/>
    </row>
    <row r="603" spans="2:23" x14ac:dyDescent="0.2">
      <c r="B603" s="3592" t="str">
        <f>[6]RAB!B269</f>
        <v>M.</v>
      </c>
      <c r="C603" s="3602" t="str">
        <f>[6]RAB!D269</f>
        <v>PEKERJAAN ELEKTRIKAL</v>
      </c>
      <c r="D603" s="3582"/>
      <c r="E603" s="3582"/>
      <c r="F603" s="3582"/>
      <c r="G603" s="3593"/>
      <c r="H603" s="3583"/>
      <c r="I603" s="3583"/>
      <c r="J603" s="3591"/>
      <c r="K603" s="3583"/>
      <c r="L603" s="3591"/>
      <c r="M603" s="3583"/>
      <c r="N603" s="3583"/>
      <c r="O603" s="3583"/>
      <c r="P603" s="3583"/>
      <c r="Q603" s="3595"/>
      <c r="R603" s="3585"/>
    </row>
    <row r="604" spans="2:23" x14ac:dyDescent="0.2">
      <c r="B604" s="3592"/>
      <c r="C604" s="3602" t="str">
        <f>[6]RAB!D270</f>
        <v>LANTAI 1</v>
      </c>
      <c r="D604" s="3582"/>
      <c r="E604" s="3582"/>
      <c r="F604" s="3582"/>
      <c r="G604" s="3593"/>
      <c r="H604" s="3583"/>
      <c r="I604" s="3583"/>
      <c r="J604" s="3591"/>
      <c r="K604" s="3583"/>
      <c r="L604" s="3591"/>
      <c r="M604" s="3583"/>
      <c r="N604" s="3583"/>
      <c r="O604" s="3583"/>
      <c r="P604" s="3583"/>
      <c r="Q604" s="3595"/>
      <c r="R604" s="3585"/>
    </row>
    <row r="605" spans="2:23" x14ac:dyDescent="0.2">
      <c r="B605" s="3586">
        <f>[6]RAB!B271</f>
        <v>1</v>
      </c>
      <c r="C605" s="3601" t="str">
        <f>[6]RAB!D271</f>
        <v>Penyambungan Daya PLN Tegangan Rendah (TR) 3 phase 44 KVA</v>
      </c>
      <c r="D605" s="3582"/>
      <c r="E605" s="3582"/>
      <c r="F605" s="3582"/>
      <c r="G605" s="3593"/>
      <c r="H605" s="3583"/>
      <c r="I605" s="3583"/>
      <c r="J605" s="3591"/>
      <c r="K605" s="3583"/>
      <c r="L605" s="3591"/>
      <c r="M605" s="3583"/>
      <c r="N605" s="3583"/>
      <c r="O605" s="3583"/>
      <c r="P605" s="3583"/>
      <c r="Q605" s="3595">
        <v>44000</v>
      </c>
      <c r="R605" s="3585" t="s">
        <v>1867</v>
      </c>
    </row>
    <row r="606" spans="2:23" x14ac:dyDescent="0.2">
      <c r="B606" s="3586">
        <f>[6]RAB!B276</f>
        <v>2</v>
      </c>
      <c r="C606" s="3601" t="str">
        <f>[6]RAB!D276</f>
        <v>Kabel power NYY 4 x 70 mm2 (KWH PLN-Panel)</v>
      </c>
      <c r="D606" s="3582"/>
      <c r="E606" s="3582"/>
      <c r="F606" s="3582"/>
      <c r="G606" s="3593"/>
      <c r="H606" s="3583"/>
      <c r="I606" s="3583"/>
      <c r="J606" s="3591"/>
      <c r="K606" s="3583"/>
      <c r="L606" s="3591"/>
      <c r="M606" s="3583"/>
      <c r="N606" s="3583"/>
      <c r="O606" s="3583"/>
      <c r="P606" s="3583">
        <v>61.3</v>
      </c>
      <c r="Q606" s="3595">
        <f>P606</f>
        <v>61.3</v>
      </c>
      <c r="R606" s="3585" t="str">
        <f>[6]RAB!H276</f>
        <v>m'</v>
      </c>
    </row>
    <row r="607" spans="2:23" x14ac:dyDescent="0.2">
      <c r="B607" s="3586">
        <f>[6]RAB!B277</f>
        <v>3</v>
      </c>
      <c r="C607" s="3601" t="str">
        <f>[6]RAB!D277</f>
        <v>Kabel power NYY 4 x 16 mm2 (Panel - P.LT 1)</v>
      </c>
      <c r="D607" s="3582"/>
      <c r="E607" s="3582"/>
      <c r="F607" s="3582"/>
      <c r="G607" s="3593"/>
      <c r="H607" s="3583"/>
      <c r="I607" s="3583"/>
      <c r="J607" s="3591"/>
      <c r="K607" s="3583"/>
      <c r="L607" s="3591"/>
      <c r="M607" s="3583"/>
      <c r="N607" s="3583"/>
      <c r="O607" s="3583"/>
      <c r="P607" s="3583">
        <v>3.2</v>
      </c>
      <c r="Q607" s="3595">
        <f>P607</f>
        <v>3.2</v>
      </c>
      <c r="R607" s="3585" t="str">
        <f>[6]RAB!H277</f>
        <v>m'</v>
      </c>
    </row>
    <row r="608" spans="2:23" x14ac:dyDescent="0.2">
      <c r="B608" s="3586">
        <f>[6]RAB!B278</f>
        <v>4</v>
      </c>
      <c r="C608" s="3601" t="str">
        <f>[6]RAB!D278</f>
        <v>Instalasi titik lampu (kabel 2x1,5 mm)</v>
      </c>
      <c r="D608" s="3582"/>
      <c r="E608" s="3582"/>
      <c r="F608" s="3582"/>
      <c r="G608" s="3593"/>
      <c r="H608" s="3583"/>
      <c r="I608" s="3583"/>
      <c r="J608" s="3591"/>
      <c r="K608" s="3583"/>
      <c r="L608" s="3591"/>
      <c r="M608" s="3583"/>
      <c r="N608" s="3583"/>
      <c r="O608" s="3583"/>
      <c r="P608" s="3583">
        <f>P620+P621+P622</f>
        <v>142</v>
      </c>
      <c r="Q608" s="3595">
        <f t="shared" ref="Q608:Q626" si="22">P608</f>
        <v>142</v>
      </c>
      <c r="R608" s="3585" t="str">
        <f>[6]RAB!H278</f>
        <v>ttk</v>
      </c>
      <c r="U608" s="3558" t="s">
        <v>2154</v>
      </c>
      <c r="W608" s="3558">
        <v>56</v>
      </c>
    </row>
    <row r="609" spans="2:23" x14ac:dyDescent="0.2">
      <c r="B609" s="3586">
        <f>[6]RAB!B279</f>
        <v>5</v>
      </c>
      <c r="C609" s="3601" t="str">
        <f>[6]RAB!D279</f>
        <v>Instalasi titik stop kontak (kabel 3x2,5 mm)</v>
      </c>
      <c r="D609" s="3582"/>
      <c r="E609" s="3582"/>
      <c r="F609" s="3582"/>
      <c r="G609" s="3593"/>
      <c r="H609" s="3583"/>
      <c r="I609" s="3583"/>
      <c r="J609" s="3591"/>
      <c r="K609" s="3583"/>
      <c r="L609" s="3591"/>
      <c r="M609" s="3583"/>
      <c r="N609" s="3583"/>
      <c r="O609" s="3583"/>
      <c r="P609" s="3583">
        <f>P616</f>
        <v>42</v>
      </c>
      <c r="Q609" s="3595">
        <f t="shared" si="22"/>
        <v>42</v>
      </c>
      <c r="R609" s="3585" t="str">
        <f>[6]RAB!H279</f>
        <v>ttk</v>
      </c>
      <c r="U609" s="3558" t="s">
        <v>2155</v>
      </c>
      <c r="W609" s="3558">
        <v>39</v>
      </c>
    </row>
    <row r="610" spans="2:23" x14ac:dyDescent="0.2">
      <c r="B610" s="3586">
        <f>[6]RAB!B280</f>
        <v>6</v>
      </c>
      <c r="C610" s="3601" t="str">
        <f>[6]RAB!D280</f>
        <v>Instalasi titik stop kontak AC (kabel 3x2,5 mm)</v>
      </c>
      <c r="D610" s="3582"/>
      <c r="E610" s="3582"/>
      <c r="F610" s="3582"/>
      <c r="G610" s="3593"/>
      <c r="H610" s="3583"/>
      <c r="I610" s="3583"/>
      <c r="J610" s="3591"/>
      <c r="K610" s="3583"/>
      <c r="L610" s="3591"/>
      <c r="M610" s="3583"/>
      <c r="N610" s="3583"/>
      <c r="O610" s="3583"/>
      <c r="P610" s="3583">
        <f>P617</f>
        <v>13</v>
      </c>
      <c r="Q610" s="3595">
        <f t="shared" si="22"/>
        <v>13</v>
      </c>
      <c r="R610" s="3585" t="str">
        <f>[6]RAB!H280</f>
        <v>ttk</v>
      </c>
    </row>
    <row r="611" spans="2:23" x14ac:dyDescent="0.2">
      <c r="B611" s="3586">
        <f>[6]RAB!B281</f>
        <v>7</v>
      </c>
      <c r="C611" s="3601" t="str">
        <f>[6]RAB!D281</f>
        <v>Instalasi titik Telephone 2 pair</v>
      </c>
      <c r="D611" s="3582"/>
      <c r="E611" s="3582"/>
      <c r="F611" s="3582"/>
      <c r="G611" s="3593"/>
      <c r="H611" s="3583"/>
      <c r="I611" s="3583"/>
      <c r="J611" s="3591"/>
      <c r="K611" s="3583"/>
      <c r="L611" s="3591"/>
      <c r="M611" s="3583"/>
      <c r="N611" s="3583"/>
      <c r="O611" s="3583"/>
      <c r="P611" s="3583">
        <f t="shared" ref="P611:P612" si="23">P618</f>
        <v>6</v>
      </c>
      <c r="Q611" s="3595">
        <f t="shared" si="22"/>
        <v>6</v>
      </c>
      <c r="R611" s="3585" t="str">
        <f>[6]RAB!H281</f>
        <v>ttk</v>
      </c>
    </row>
    <row r="612" spans="2:23" x14ac:dyDescent="0.2">
      <c r="B612" s="3586">
        <f>[6]RAB!B282</f>
        <v>8</v>
      </c>
      <c r="C612" s="3601" t="str">
        <f>[6]RAB!D282</f>
        <v>Instalasi titik Data CAT6</v>
      </c>
      <c r="D612" s="3582"/>
      <c r="E612" s="3582"/>
      <c r="F612" s="3582"/>
      <c r="G612" s="3593"/>
      <c r="H612" s="3583"/>
      <c r="I612" s="3583"/>
      <c r="J612" s="3591"/>
      <c r="K612" s="3583"/>
      <c r="L612" s="3591"/>
      <c r="M612" s="3583"/>
      <c r="N612" s="3583"/>
      <c r="O612" s="3583"/>
      <c r="P612" s="3583">
        <f t="shared" si="23"/>
        <v>12</v>
      </c>
      <c r="Q612" s="3595">
        <f t="shared" si="22"/>
        <v>12</v>
      </c>
      <c r="R612" s="3585" t="str">
        <f>[6]RAB!H282</f>
        <v>ttk</v>
      </c>
    </row>
    <row r="613" spans="2:23" x14ac:dyDescent="0.2">
      <c r="B613" s="3586" t="e">
        <f>[6]RAB!#REF!</f>
        <v>#REF!</v>
      </c>
      <c r="C613" s="3601" t="e">
        <f>[6]RAB!#REF!</f>
        <v>#REF!</v>
      </c>
      <c r="D613" s="3582"/>
      <c r="E613" s="3582"/>
      <c r="F613" s="3582"/>
      <c r="G613" s="3593"/>
      <c r="H613" s="3583"/>
      <c r="I613" s="3583"/>
      <c r="J613" s="3591"/>
      <c r="K613" s="3583"/>
      <c r="L613" s="3591"/>
      <c r="M613" s="3583"/>
      <c r="N613" s="3583"/>
      <c r="O613" s="3583"/>
      <c r="P613" s="3583"/>
      <c r="Q613" s="3595">
        <f t="shared" si="22"/>
        <v>0</v>
      </c>
      <c r="R613" s="3585" t="e">
        <f>[6]RAB!#REF!</f>
        <v>#REF!</v>
      </c>
    </row>
    <row r="614" spans="2:23" x14ac:dyDescent="0.2">
      <c r="B614" s="3586">
        <f>[6]RAB!B283</f>
        <v>9</v>
      </c>
      <c r="C614" s="3601" t="str">
        <f>[6]RAB!D283</f>
        <v>Memasang saklar ganda</v>
      </c>
      <c r="D614" s="3582"/>
      <c r="E614" s="3582"/>
      <c r="F614" s="3582"/>
      <c r="G614" s="3593"/>
      <c r="H614" s="3583"/>
      <c r="I614" s="3583"/>
      <c r="J614" s="3583"/>
      <c r="K614" s="3583"/>
      <c r="L614" s="3583"/>
      <c r="M614" s="3583"/>
      <c r="N614" s="3583"/>
      <c r="O614" s="3583"/>
      <c r="P614" s="3596">
        <v>28</v>
      </c>
      <c r="Q614" s="3595">
        <f t="shared" si="22"/>
        <v>28</v>
      </c>
      <c r="R614" s="3585" t="str">
        <f>[6]RAB!H283</f>
        <v>bh</v>
      </c>
      <c r="U614" s="3558" t="s">
        <v>2156</v>
      </c>
      <c r="W614" s="3558">
        <v>14</v>
      </c>
    </row>
    <row r="615" spans="2:23" x14ac:dyDescent="0.2">
      <c r="B615" s="3586">
        <f>[6]RAB!B284</f>
        <v>10</v>
      </c>
      <c r="C615" s="3601" t="str">
        <f>[6]RAB!D284</f>
        <v>Memasang saklar tunggal</v>
      </c>
      <c r="D615" s="3582"/>
      <c r="E615" s="3582"/>
      <c r="F615" s="3582"/>
      <c r="G615" s="3593"/>
      <c r="H615" s="3583"/>
      <c r="I615" s="3583"/>
      <c r="J615" s="3583"/>
      <c r="K615" s="3583"/>
      <c r="L615" s="3583"/>
      <c r="M615" s="3583"/>
      <c r="N615" s="3583"/>
      <c r="O615" s="3583"/>
      <c r="P615" s="3583">
        <v>11</v>
      </c>
      <c r="Q615" s="3595">
        <f t="shared" si="22"/>
        <v>11</v>
      </c>
      <c r="R615" s="3585" t="str">
        <f>[6]RAB!H284</f>
        <v>bh</v>
      </c>
      <c r="U615" s="3558" t="s">
        <v>2157</v>
      </c>
    </row>
    <row r="616" spans="2:23" x14ac:dyDescent="0.2">
      <c r="B616" s="3586">
        <f>[6]RAB!B285</f>
        <v>11</v>
      </c>
      <c r="C616" s="3601" t="str">
        <f>[6]RAB!D285</f>
        <v>Memasang stop kontak</v>
      </c>
      <c r="D616" s="3582"/>
      <c r="E616" s="3582"/>
      <c r="F616" s="3582"/>
      <c r="G616" s="3593"/>
      <c r="H616" s="3583"/>
      <c r="I616" s="3583"/>
      <c r="J616" s="3583"/>
      <c r="K616" s="3583"/>
      <c r="L616" s="3583"/>
      <c r="M616" s="3583"/>
      <c r="N616" s="3583"/>
      <c r="O616" s="3583"/>
      <c r="P616" s="3583">
        <v>42</v>
      </c>
      <c r="Q616" s="3595">
        <f t="shared" si="22"/>
        <v>42</v>
      </c>
      <c r="R616" s="3585" t="str">
        <f>[6]RAB!H285</f>
        <v>bh</v>
      </c>
      <c r="U616" s="3558" t="s">
        <v>2158</v>
      </c>
      <c r="W616" s="3558">
        <v>7</v>
      </c>
    </row>
    <row r="617" spans="2:23" x14ac:dyDescent="0.2">
      <c r="B617" s="3586">
        <f>[6]RAB!B286</f>
        <v>12</v>
      </c>
      <c r="C617" s="3601" t="str">
        <f>[6]RAB!D286</f>
        <v>Memasang stop kontak AC</v>
      </c>
      <c r="D617" s="3582"/>
      <c r="E617" s="3582"/>
      <c r="F617" s="3582"/>
      <c r="G617" s="3593"/>
      <c r="H617" s="3583"/>
      <c r="I617" s="3583"/>
      <c r="J617" s="3583"/>
      <c r="K617" s="3583"/>
      <c r="L617" s="3583"/>
      <c r="M617" s="3583"/>
      <c r="N617" s="3583"/>
      <c r="O617" s="3583"/>
      <c r="P617" s="3583">
        <v>13</v>
      </c>
      <c r="Q617" s="3595">
        <f t="shared" si="22"/>
        <v>13</v>
      </c>
      <c r="R617" s="3585" t="str">
        <f>[6]RAB!H286</f>
        <v>bh</v>
      </c>
    </row>
    <row r="618" spans="2:23" x14ac:dyDescent="0.2">
      <c r="B618" s="3586">
        <f>[6]RAB!B287</f>
        <v>13</v>
      </c>
      <c r="C618" s="3601" t="str">
        <f>[6]RAB!D287</f>
        <v>Memasang stop kontak outlet Telephone</v>
      </c>
      <c r="D618" s="3582"/>
      <c r="E618" s="3582"/>
      <c r="F618" s="3582"/>
      <c r="G618" s="3593"/>
      <c r="H618" s="3583"/>
      <c r="I618" s="3583"/>
      <c r="J618" s="3583"/>
      <c r="K618" s="3583"/>
      <c r="L618" s="3583"/>
      <c r="M618" s="3583"/>
      <c r="N618" s="3583"/>
      <c r="O618" s="3583"/>
      <c r="P618" s="3583">
        <v>6</v>
      </c>
      <c r="Q618" s="3595">
        <f t="shared" si="22"/>
        <v>6</v>
      </c>
      <c r="R618" s="3585" t="str">
        <f>[6]RAB!H287</f>
        <v>bh</v>
      </c>
    </row>
    <row r="619" spans="2:23" x14ac:dyDescent="0.2">
      <c r="B619" s="3586">
        <f>[6]RAB!B288</f>
        <v>14</v>
      </c>
      <c r="C619" s="3601" t="str">
        <f>[6]RAB!D288</f>
        <v>Memasang stop kontak outlet Data</v>
      </c>
      <c r="D619" s="3582"/>
      <c r="E619" s="3582"/>
      <c r="F619" s="3582"/>
      <c r="G619" s="3593"/>
      <c r="H619" s="3583"/>
      <c r="I619" s="3583"/>
      <c r="J619" s="3583"/>
      <c r="K619" s="3583"/>
      <c r="L619" s="3583"/>
      <c r="M619" s="3583"/>
      <c r="N619" s="3583"/>
      <c r="O619" s="3583"/>
      <c r="P619" s="3583">
        <v>12</v>
      </c>
      <c r="Q619" s="3595">
        <f t="shared" si="22"/>
        <v>12</v>
      </c>
      <c r="R619" s="3585" t="str">
        <f>[6]RAB!H288</f>
        <v>bh</v>
      </c>
    </row>
    <row r="620" spans="2:23" x14ac:dyDescent="0.2">
      <c r="B620" s="3586">
        <f>[6]RAB!B289</f>
        <v>15</v>
      </c>
      <c r="C620" s="3601" t="str">
        <f>[6]RAB!D289</f>
        <v>Memasang downlight LED 10 watt tipe inbow</v>
      </c>
      <c r="D620" s="3582"/>
      <c r="E620" s="3582"/>
      <c r="F620" s="3582"/>
      <c r="G620" s="3593"/>
      <c r="H620" s="3583"/>
      <c r="I620" s="3583"/>
      <c r="J620" s="3583"/>
      <c r="K620" s="3583"/>
      <c r="L620" s="3583"/>
      <c r="M620" s="3583"/>
      <c r="N620" s="3583"/>
      <c r="O620" s="3583"/>
      <c r="P620" s="3583">
        <v>12</v>
      </c>
      <c r="Q620" s="3595">
        <f t="shared" si="22"/>
        <v>12</v>
      </c>
      <c r="R620" s="3585" t="str">
        <f>[6]RAB!H289</f>
        <v>bh</v>
      </c>
    </row>
    <row r="621" spans="2:23" x14ac:dyDescent="0.2">
      <c r="B621" s="3586">
        <f>[6]RAB!B290</f>
        <v>16</v>
      </c>
      <c r="C621" s="3601" t="str">
        <f>[6]RAB!D290</f>
        <v>Memasang downlight LED 17 watt tipe inbow</v>
      </c>
      <c r="D621" s="3582"/>
      <c r="E621" s="3582"/>
      <c r="F621" s="3582"/>
      <c r="G621" s="3593"/>
      <c r="H621" s="3583"/>
      <c r="I621" s="3583"/>
      <c r="J621" s="3583"/>
      <c r="K621" s="3583"/>
      <c r="L621" s="3583"/>
      <c r="M621" s="3583"/>
      <c r="N621" s="3583"/>
      <c r="O621" s="3583"/>
      <c r="P621" s="3583">
        <v>122</v>
      </c>
      <c r="Q621" s="3595">
        <f t="shared" si="22"/>
        <v>122</v>
      </c>
      <c r="R621" s="3585" t="str">
        <f>[6]RAB!H290</f>
        <v>bh</v>
      </c>
    </row>
    <row r="622" spans="2:23" x14ac:dyDescent="0.2">
      <c r="B622" s="3586">
        <f>[6]RAB!B291</f>
        <v>17</v>
      </c>
      <c r="C622" s="3601" t="str">
        <f>[6]RAB!D291</f>
        <v>Memasang downlight LED 17 watt tipe outbow</v>
      </c>
      <c r="D622" s="3582"/>
      <c r="E622" s="3582"/>
      <c r="F622" s="3582"/>
      <c r="G622" s="3593"/>
      <c r="H622" s="3583"/>
      <c r="I622" s="3583"/>
      <c r="J622" s="3583"/>
      <c r="K622" s="3583"/>
      <c r="L622" s="3583"/>
      <c r="M622" s="3583"/>
      <c r="N622" s="3583"/>
      <c r="O622" s="3583"/>
      <c r="P622" s="3583">
        <v>8</v>
      </c>
      <c r="Q622" s="3595">
        <f t="shared" si="22"/>
        <v>8</v>
      </c>
      <c r="R622" s="3585" t="str">
        <f>[6]RAB!H291</f>
        <v>bh</v>
      </c>
    </row>
    <row r="623" spans="2:23" x14ac:dyDescent="0.2">
      <c r="B623" s="3586">
        <f>[6]RAB!B292</f>
        <v>18</v>
      </c>
      <c r="C623" s="3601" t="str">
        <f>[6]RAB!D292</f>
        <v>Memasang kabel tray galvanis</v>
      </c>
      <c r="D623" s="3582"/>
      <c r="E623" s="3582"/>
      <c r="F623" s="3582"/>
      <c r="G623" s="3593"/>
      <c r="H623" s="3583"/>
      <c r="I623" s="3583"/>
      <c r="J623" s="3583"/>
      <c r="K623" s="3583"/>
      <c r="L623" s="3583"/>
      <c r="M623" s="3583"/>
      <c r="N623" s="3583"/>
      <c r="O623" s="3583"/>
      <c r="P623" s="3583">
        <f>15+20+20</f>
        <v>55</v>
      </c>
      <c r="Q623" s="3595">
        <f t="shared" si="22"/>
        <v>55</v>
      </c>
      <c r="R623" s="3585" t="str">
        <f>[6]RAB!H292</f>
        <v>m'</v>
      </c>
    </row>
    <row r="624" spans="2:23" x14ac:dyDescent="0.2">
      <c r="B624" s="3586">
        <f>[6]RAB!B293</f>
        <v>19</v>
      </c>
      <c r="C624" s="3601" t="str">
        <f>[6]RAB!D293</f>
        <v>Memasang Unit AC 1 PK</v>
      </c>
      <c r="D624" s="3582"/>
      <c r="E624" s="3582"/>
      <c r="F624" s="3582"/>
      <c r="G624" s="3593"/>
      <c r="H624" s="3583"/>
      <c r="I624" s="3583"/>
      <c r="J624" s="3583"/>
      <c r="K624" s="3583"/>
      <c r="L624" s="3583"/>
      <c r="M624" s="3583"/>
      <c r="N624" s="3583"/>
      <c r="O624" s="3583"/>
      <c r="P624" s="3583">
        <f>P617</f>
        <v>13</v>
      </c>
      <c r="Q624" s="3595">
        <f t="shared" si="22"/>
        <v>13</v>
      </c>
      <c r="R624" s="3585" t="str">
        <f>[6]RAB!H293</f>
        <v>bh</v>
      </c>
    </row>
    <row r="625" spans="2:18" x14ac:dyDescent="0.2">
      <c r="B625" s="3586">
        <f>[6]RAB!B294</f>
        <v>20</v>
      </c>
      <c r="C625" s="3601" t="s">
        <v>1885</v>
      </c>
      <c r="D625" s="3582"/>
      <c r="E625" s="3582"/>
      <c r="F625" s="3582"/>
      <c r="G625" s="3593"/>
      <c r="H625" s="3583"/>
      <c r="I625" s="3583"/>
      <c r="J625" s="3583"/>
      <c r="K625" s="3583"/>
      <c r="L625" s="3583"/>
      <c r="M625" s="3583"/>
      <c r="N625" s="3583"/>
      <c r="O625" s="3583"/>
      <c r="P625" s="3583">
        <v>1</v>
      </c>
      <c r="Q625" s="3595">
        <f t="shared" si="22"/>
        <v>1</v>
      </c>
      <c r="R625" s="3585" t="str">
        <f>[6]RAB!H294</f>
        <v>bh</v>
      </c>
    </row>
    <row r="626" spans="2:18" x14ac:dyDescent="0.2">
      <c r="B626" s="3586">
        <f>[6]RAB!B295</f>
        <v>21</v>
      </c>
      <c r="C626" s="3601" t="s">
        <v>1886</v>
      </c>
      <c r="D626" s="3582"/>
      <c r="E626" s="3582"/>
      <c r="F626" s="3582"/>
      <c r="G626" s="3593"/>
      <c r="H626" s="3583"/>
      <c r="I626" s="3583"/>
      <c r="J626" s="3583"/>
      <c r="K626" s="3583"/>
      <c r="L626" s="3583"/>
      <c r="M626" s="3583"/>
      <c r="N626" s="3583"/>
      <c r="O626" s="3583"/>
      <c r="P626" s="3583">
        <v>10</v>
      </c>
      <c r="Q626" s="3595">
        <f t="shared" si="22"/>
        <v>10</v>
      </c>
      <c r="R626" s="3585" t="str">
        <f>[6]RAB!H295</f>
        <v>bh</v>
      </c>
    </row>
    <row r="627" spans="2:18" x14ac:dyDescent="0.2">
      <c r="B627" s="3586"/>
      <c r="C627" s="3601"/>
      <c r="D627" s="3582"/>
      <c r="E627" s="3582"/>
      <c r="F627" s="3582"/>
      <c r="G627" s="3593"/>
      <c r="H627" s="3583"/>
      <c r="I627" s="3583"/>
      <c r="J627" s="3583"/>
      <c r="K627" s="3583"/>
      <c r="L627" s="3583"/>
      <c r="M627" s="3583"/>
      <c r="N627" s="3591"/>
      <c r="O627" s="3583"/>
      <c r="P627" s="3583"/>
      <c r="Q627" s="3595"/>
      <c r="R627" s="3585"/>
    </row>
    <row r="628" spans="2:18" x14ac:dyDescent="0.2">
      <c r="B628" s="3586"/>
      <c r="C628" s="3601"/>
      <c r="D628" s="3582"/>
      <c r="E628" s="3582"/>
      <c r="F628" s="3582"/>
      <c r="G628" s="3593"/>
      <c r="H628" s="3583"/>
      <c r="I628" s="3583"/>
      <c r="J628" s="3583"/>
      <c r="K628" s="3583"/>
      <c r="L628" s="3583"/>
      <c r="M628" s="3583"/>
      <c r="N628" s="3591"/>
      <c r="O628" s="3583"/>
      <c r="P628" s="3583"/>
      <c r="Q628" s="3595"/>
      <c r="R628" s="3585"/>
    </row>
    <row r="629" spans="2:18" x14ac:dyDescent="0.2">
      <c r="B629" s="3651"/>
      <c r="C629" s="3602" t="str">
        <f>[6]RAB!D297</f>
        <v>LANTAI 2</v>
      </c>
      <c r="D629" s="3652"/>
      <c r="E629" s="3652"/>
      <c r="F629" s="3652"/>
      <c r="G629" s="3626"/>
      <c r="H629" s="3594"/>
      <c r="I629" s="3594"/>
      <c r="J629" s="3594"/>
      <c r="K629" s="3594"/>
      <c r="L629" s="3594"/>
      <c r="M629" s="3594"/>
      <c r="N629" s="3594"/>
      <c r="O629" s="3594"/>
      <c r="P629" s="3653"/>
      <c r="Q629" s="3654"/>
      <c r="R629" s="3655"/>
    </row>
    <row r="630" spans="2:18" x14ac:dyDescent="0.2">
      <c r="B630" s="3656">
        <f>[6]RAB!B298</f>
        <v>1</v>
      </c>
      <c r="C630" s="3601" t="str">
        <f>[6]RAB!D298</f>
        <v>Kabel power NYY 4 x 16 mm2 (P.LT 1 - P.LT 2)</v>
      </c>
      <c r="D630" s="3652"/>
      <c r="E630" s="3652"/>
      <c r="F630" s="3652"/>
      <c r="G630" s="3626"/>
      <c r="H630" s="3594"/>
      <c r="I630" s="3594"/>
      <c r="J630" s="3594"/>
      <c r="K630" s="3594"/>
      <c r="L630" s="3594"/>
      <c r="M630" s="3594"/>
      <c r="N630" s="3594"/>
      <c r="O630" s="3594"/>
      <c r="P630" s="3596">
        <v>7.6</v>
      </c>
      <c r="Q630" s="3657">
        <f>P630</f>
        <v>7.6</v>
      </c>
      <c r="R630" s="3585" t="str">
        <f>[6]RAB!H298</f>
        <v>m'</v>
      </c>
    </row>
    <row r="631" spans="2:18" x14ac:dyDescent="0.2">
      <c r="B631" s="3656">
        <f>[6]RAB!B299</f>
        <v>2</v>
      </c>
      <c r="C631" s="3601" t="str">
        <f>[6]RAB!D299</f>
        <v>Instalasi titik lampu (kabel 2x1,5 mm)</v>
      </c>
      <c r="D631" s="3652"/>
      <c r="E631" s="3652"/>
      <c r="F631" s="3652"/>
      <c r="G631" s="3626"/>
      <c r="H631" s="3594"/>
      <c r="I631" s="3594"/>
      <c r="J631" s="3594"/>
      <c r="K631" s="3594"/>
      <c r="L631" s="3594"/>
      <c r="M631" s="3594"/>
      <c r="N631" s="3594"/>
      <c r="O631" s="3594"/>
      <c r="P631" s="3583">
        <f>P642+P62</f>
        <v>12</v>
      </c>
      <c r="Q631" s="3657">
        <f t="shared" ref="Q631:Q649" si="24">P631</f>
        <v>12</v>
      </c>
      <c r="R631" s="3585" t="str">
        <f>[6]RAB!H299</f>
        <v>ttk</v>
      </c>
    </row>
    <row r="632" spans="2:18" x14ac:dyDescent="0.2">
      <c r="B632" s="3656">
        <f>[6]RAB!B300</f>
        <v>3</v>
      </c>
      <c r="C632" s="3601" t="str">
        <f>[6]RAB!D300</f>
        <v>Instalasi titik stop kontak (kabel 3x2,5 mm)</v>
      </c>
      <c r="D632" s="3652"/>
      <c r="E632" s="3652"/>
      <c r="F632" s="3652"/>
      <c r="G632" s="3626"/>
      <c r="H632" s="3594"/>
      <c r="I632" s="3594"/>
      <c r="J632" s="3594"/>
      <c r="K632" s="3594"/>
      <c r="L632" s="3594"/>
      <c r="M632" s="3594"/>
      <c r="N632" s="3594"/>
      <c r="O632" s="3594"/>
      <c r="P632" s="3583">
        <f>P638</f>
        <v>42</v>
      </c>
      <c r="Q632" s="3657">
        <f t="shared" si="24"/>
        <v>42</v>
      </c>
      <c r="R632" s="3585" t="str">
        <f>[6]RAB!H300</f>
        <v>ttk</v>
      </c>
    </row>
    <row r="633" spans="2:18" x14ac:dyDescent="0.2">
      <c r="B633" s="3656">
        <f>[6]RAB!B301</f>
        <v>4</v>
      </c>
      <c r="C633" s="3601" t="str">
        <f>[6]RAB!D301</f>
        <v>Instalasi titik stop kontak AC (kabel 3x2,5 mm)</v>
      </c>
      <c r="D633" s="3652"/>
      <c r="E633" s="3652"/>
      <c r="F633" s="3652"/>
      <c r="G633" s="3626"/>
      <c r="H633" s="3594"/>
      <c r="I633" s="3594"/>
      <c r="J633" s="3594"/>
      <c r="K633" s="3594"/>
      <c r="L633" s="3594"/>
      <c r="M633" s="3594"/>
      <c r="N633" s="3594"/>
      <c r="O633" s="3594"/>
      <c r="P633" s="3583">
        <f>P639</f>
        <v>12</v>
      </c>
      <c r="Q633" s="3657">
        <f t="shared" si="24"/>
        <v>12</v>
      </c>
      <c r="R633" s="3585" t="str">
        <f>[6]RAB!H301</f>
        <v>ttk</v>
      </c>
    </row>
    <row r="634" spans="2:18" x14ac:dyDescent="0.2">
      <c r="B634" s="3656">
        <f>[6]RAB!B302</f>
        <v>5</v>
      </c>
      <c r="C634" s="3601" t="str">
        <f>[6]RAB!D302</f>
        <v>Instalasi titik Telephone 2 pair</v>
      </c>
      <c r="D634" s="3652"/>
      <c r="E634" s="3652"/>
      <c r="F634" s="3652"/>
      <c r="G634" s="3626"/>
      <c r="H634" s="3594"/>
      <c r="I634" s="3594"/>
      <c r="J634" s="3594"/>
      <c r="K634" s="3594"/>
      <c r="L634" s="3594"/>
      <c r="M634" s="3594"/>
      <c r="N634" s="3594"/>
      <c r="O634" s="3594"/>
      <c r="P634" s="3583">
        <f t="shared" ref="P634:P635" si="25">P640</f>
        <v>4</v>
      </c>
      <c r="Q634" s="3657">
        <f t="shared" si="24"/>
        <v>4</v>
      </c>
      <c r="R634" s="3585" t="str">
        <f>[6]RAB!H302</f>
        <v>ttk</v>
      </c>
    </row>
    <row r="635" spans="2:18" x14ac:dyDescent="0.2">
      <c r="B635" s="3656">
        <f>[6]RAB!B303</f>
        <v>6</v>
      </c>
      <c r="C635" s="3601" t="str">
        <f>[6]RAB!D303</f>
        <v>Instalasi titik Data CAT6</v>
      </c>
      <c r="D635" s="3652"/>
      <c r="E635" s="3652"/>
      <c r="F635" s="3652"/>
      <c r="G635" s="3626"/>
      <c r="H635" s="3594"/>
      <c r="I635" s="3594"/>
      <c r="J635" s="3594"/>
      <c r="K635" s="3594"/>
      <c r="L635" s="3594"/>
      <c r="M635" s="3594"/>
      <c r="N635" s="3594"/>
      <c r="O635" s="3594"/>
      <c r="P635" s="3583">
        <f t="shared" si="25"/>
        <v>8</v>
      </c>
      <c r="Q635" s="3657">
        <f t="shared" si="24"/>
        <v>8</v>
      </c>
      <c r="R635" s="3585" t="str">
        <f>[6]RAB!H303</f>
        <v>ttk</v>
      </c>
    </row>
    <row r="636" spans="2:18" x14ac:dyDescent="0.2">
      <c r="B636" s="3656">
        <f>[6]RAB!B304</f>
        <v>7</v>
      </c>
      <c r="C636" s="3601" t="str">
        <f>[6]RAB!D304</f>
        <v>Memasang saklar ganda</v>
      </c>
      <c r="D636" s="3652"/>
      <c r="E636" s="3652"/>
      <c r="F636" s="3652"/>
      <c r="G636" s="3626"/>
      <c r="H636" s="3594"/>
      <c r="I636" s="3594"/>
      <c r="J636" s="3594"/>
      <c r="K636" s="3594"/>
      <c r="L636" s="3594"/>
      <c r="M636" s="3594"/>
      <c r="N636" s="3594"/>
      <c r="O636" s="3594"/>
      <c r="P636" s="3596">
        <v>28</v>
      </c>
      <c r="Q636" s="3657">
        <f t="shared" si="24"/>
        <v>28</v>
      </c>
      <c r="R636" s="3585" t="str">
        <f>[6]RAB!H304</f>
        <v>bh</v>
      </c>
    </row>
    <row r="637" spans="2:18" x14ac:dyDescent="0.2">
      <c r="B637" s="3656">
        <f>[6]RAB!B305</f>
        <v>8</v>
      </c>
      <c r="C637" s="3601" t="str">
        <f>[6]RAB!D305</f>
        <v>Memasang saklar tunggal</v>
      </c>
      <c r="D637" s="3652"/>
      <c r="E637" s="3652"/>
      <c r="F637" s="3652"/>
      <c r="G637" s="3626"/>
      <c r="H637" s="3594"/>
      <c r="I637" s="3594"/>
      <c r="J637" s="3594"/>
      <c r="K637" s="3594"/>
      <c r="L637" s="3594"/>
      <c r="M637" s="3594"/>
      <c r="N637" s="3594"/>
      <c r="O637" s="3594"/>
      <c r="P637" s="3583">
        <v>12</v>
      </c>
      <c r="Q637" s="3657">
        <f t="shared" si="24"/>
        <v>12</v>
      </c>
      <c r="R637" s="3585" t="str">
        <f>[6]RAB!H305</f>
        <v>bh</v>
      </c>
    </row>
    <row r="638" spans="2:18" x14ac:dyDescent="0.2">
      <c r="B638" s="3656">
        <f>[6]RAB!B306</f>
        <v>9</v>
      </c>
      <c r="C638" s="3601" t="str">
        <f>[6]RAB!D306</f>
        <v>Memasang stop kontak</v>
      </c>
      <c r="D638" s="3652"/>
      <c r="E638" s="3652"/>
      <c r="F638" s="3652"/>
      <c r="G638" s="3626"/>
      <c r="H638" s="3594"/>
      <c r="I638" s="3594"/>
      <c r="J638" s="3594"/>
      <c r="K638" s="3594"/>
      <c r="L638" s="3594"/>
      <c r="M638" s="3594"/>
      <c r="N638" s="3594"/>
      <c r="O638" s="3594"/>
      <c r="P638" s="3583">
        <v>42</v>
      </c>
      <c r="Q638" s="3657">
        <f t="shared" si="24"/>
        <v>42</v>
      </c>
      <c r="R638" s="3585" t="str">
        <f>[6]RAB!H306</f>
        <v>bh</v>
      </c>
    </row>
    <row r="639" spans="2:18" x14ac:dyDescent="0.2">
      <c r="B639" s="3656">
        <f>[6]RAB!B307</f>
        <v>10</v>
      </c>
      <c r="C639" s="3601" t="str">
        <f>[6]RAB!D307</f>
        <v>Memasang stop kontak AC</v>
      </c>
      <c r="D639" s="3652"/>
      <c r="E639" s="3652"/>
      <c r="F639" s="3652"/>
      <c r="G639" s="3626"/>
      <c r="H639" s="3594"/>
      <c r="I639" s="3594"/>
      <c r="J639" s="3594"/>
      <c r="K639" s="3594"/>
      <c r="L639" s="3594"/>
      <c r="M639" s="3594"/>
      <c r="N639" s="3594"/>
      <c r="O639" s="3594"/>
      <c r="P639" s="3583">
        <v>12</v>
      </c>
      <c r="Q639" s="3657">
        <f t="shared" si="24"/>
        <v>12</v>
      </c>
      <c r="R639" s="3585" t="str">
        <f>[6]RAB!H307</f>
        <v>bh</v>
      </c>
    </row>
    <row r="640" spans="2:18" x14ac:dyDescent="0.2">
      <c r="B640" s="3656">
        <f>[6]RAB!B308</f>
        <v>11</v>
      </c>
      <c r="C640" s="3601" t="str">
        <f>[6]RAB!D308</f>
        <v>Memasang stop kontak outlet Telephone</v>
      </c>
      <c r="D640" s="3652"/>
      <c r="E640" s="3652"/>
      <c r="F640" s="3652"/>
      <c r="G640" s="3626"/>
      <c r="H640" s="3594"/>
      <c r="I640" s="3594"/>
      <c r="J640" s="3594"/>
      <c r="K640" s="3594"/>
      <c r="L640" s="3594"/>
      <c r="M640" s="3594"/>
      <c r="N640" s="3594"/>
      <c r="O640" s="3594"/>
      <c r="P640" s="3583">
        <v>4</v>
      </c>
      <c r="Q640" s="3657">
        <f t="shared" si="24"/>
        <v>4</v>
      </c>
      <c r="R640" s="3585" t="str">
        <f>[6]RAB!H308</f>
        <v>bh</v>
      </c>
    </row>
    <row r="641" spans="2:18" x14ac:dyDescent="0.2">
      <c r="B641" s="3656">
        <f>[6]RAB!B309</f>
        <v>12</v>
      </c>
      <c r="C641" s="3601" t="str">
        <f>[6]RAB!D309</f>
        <v>Memasang stop kontak outlet Data</v>
      </c>
      <c r="D641" s="3652"/>
      <c r="E641" s="3652"/>
      <c r="F641" s="3652"/>
      <c r="G641" s="3626"/>
      <c r="H641" s="3594"/>
      <c r="I641" s="3594"/>
      <c r="J641" s="3594"/>
      <c r="K641" s="3594"/>
      <c r="L641" s="3594"/>
      <c r="M641" s="3594"/>
      <c r="N641" s="3594"/>
      <c r="O641" s="3594"/>
      <c r="P641" s="3583">
        <v>8</v>
      </c>
      <c r="Q641" s="3657">
        <f t="shared" si="24"/>
        <v>8</v>
      </c>
      <c r="R641" s="3585" t="str">
        <f>[6]RAB!H309</f>
        <v>bh</v>
      </c>
    </row>
    <row r="642" spans="2:18" x14ac:dyDescent="0.2">
      <c r="B642" s="3656">
        <f>[6]RAB!B310</f>
        <v>13</v>
      </c>
      <c r="C642" s="3601" t="str">
        <f>[6]RAB!D310</f>
        <v>Memasang downlight LED 10 watt tipe inbow</v>
      </c>
      <c r="D642" s="3652"/>
      <c r="E642" s="3652"/>
      <c r="F642" s="3652"/>
      <c r="G642" s="3626"/>
      <c r="H642" s="3594"/>
      <c r="I642" s="3594"/>
      <c r="J642" s="3594"/>
      <c r="K642" s="3594"/>
      <c r="L642" s="3594"/>
      <c r="M642" s="3594"/>
      <c r="N642" s="3594"/>
      <c r="O642" s="3594"/>
      <c r="P642" s="3583">
        <v>12</v>
      </c>
      <c r="Q642" s="3657">
        <f t="shared" si="24"/>
        <v>12</v>
      </c>
      <c r="R642" s="3585" t="str">
        <f>[6]RAB!H310</f>
        <v>bh</v>
      </c>
    </row>
    <row r="643" spans="2:18" x14ac:dyDescent="0.2">
      <c r="B643" s="3656">
        <f>[6]RAB!B311</f>
        <v>14</v>
      </c>
      <c r="C643" s="3601" t="str">
        <f>[6]RAB!D311</f>
        <v>Memasang downlight LED 17 watt tipe inbow</v>
      </c>
      <c r="D643" s="3652"/>
      <c r="E643" s="3652"/>
      <c r="F643" s="3652"/>
      <c r="G643" s="3626"/>
      <c r="H643" s="3594"/>
      <c r="I643" s="3594"/>
      <c r="J643" s="3594"/>
      <c r="K643" s="3594"/>
      <c r="L643" s="3594"/>
      <c r="M643" s="3594"/>
      <c r="N643" s="3594"/>
      <c r="O643" s="3594"/>
      <c r="P643" s="3583">
        <v>116</v>
      </c>
      <c r="Q643" s="3657">
        <f t="shared" si="24"/>
        <v>116</v>
      </c>
      <c r="R643" s="3585" t="str">
        <f>[6]RAB!H311</f>
        <v>bh</v>
      </c>
    </row>
    <row r="644" spans="2:18" x14ac:dyDescent="0.2">
      <c r="B644" s="3656">
        <f>[6]RAB!B312</f>
        <v>15</v>
      </c>
      <c r="C644" s="3601" t="str">
        <f>[6]RAB!D312</f>
        <v>Memasang kabel tray galvanis</v>
      </c>
      <c r="D644" s="3652"/>
      <c r="E644" s="3652"/>
      <c r="F644" s="3652"/>
      <c r="G644" s="3626"/>
      <c r="H644" s="3583"/>
      <c r="I644" s="3594"/>
      <c r="J644" s="3594"/>
      <c r="K644" s="3594"/>
      <c r="L644" s="3594"/>
      <c r="M644" s="3594"/>
      <c r="N644" s="3594"/>
      <c r="O644" s="3594"/>
      <c r="P644" s="3583">
        <f>15+20+20</f>
        <v>55</v>
      </c>
      <c r="Q644" s="3657">
        <f t="shared" si="24"/>
        <v>55</v>
      </c>
      <c r="R644" s="3585" t="str">
        <f>[6]RAB!H312</f>
        <v>m'</v>
      </c>
    </row>
    <row r="645" spans="2:18" x14ac:dyDescent="0.2">
      <c r="B645" s="3656">
        <f>[6]RAB!B313</f>
        <v>16</v>
      </c>
      <c r="C645" s="3601" t="str">
        <f>[6]RAB!D313</f>
        <v xml:space="preserve">Exhaust fan </v>
      </c>
      <c r="D645" s="3652"/>
      <c r="E645" s="3652"/>
      <c r="F645" s="3652"/>
      <c r="G645" s="3626"/>
      <c r="H645" s="3594"/>
      <c r="I645" s="3594"/>
      <c r="J645" s="3594"/>
      <c r="K645" s="3594"/>
      <c r="L645" s="3594"/>
      <c r="M645" s="3594"/>
      <c r="N645" s="3594"/>
      <c r="O645" s="3594"/>
      <c r="P645" s="3596">
        <v>9</v>
      </c>
      <c r="Q645" s="3657">
        <f t="shared" si="24"/>
        <v>9</v>
      </c>
      <c r="R645" s="3585" t="str">
        <f>[6]RAB!H313</f>
        <v>bh</v>
      </c>
    </row>
    <row r="646" spans="2:18" x14ac:dyDescent="0.2">
      <c r="B646" s="3656">
        <f>[6]RAB!B314</f>
        <v>17</v>
      </c>
      <c r="C646" s="3601" t="str">
        <f>[6]RAB!D314</f>
        <v>Memasang Unit AC 1 PK</v>
      </c>
      <c r="D646" s="3652"/>
      <c r="E646" s="3652"/>
      <c r="F646" s="3652"/>
      <c r="G646" s="3626"/>
      <c r="H646" s="3594"/>
      <c r="I646" s="3594"/>
      <c r="J646" s="3594"/>
      <c r="K646" s="3594"/>
      <c r="L646" s="3594"/>
      <c r="M646" s="3594"/>
      <c r="N646" s="3594"/>
      <c r="O646" s="3594"/>
      <c r="P646" s="3596">
        <f>P639</f>
        <v>12</v>
      </c>
      <c r="Q646" s="3657">
        <f t="shared" si="24"/>
        <v>12</v>
      </c>
      <c r="R646" s="3585" t="str">
        <f>[6]RAB!H314</f>
        <v>bh</v>
      </c>
    </row>
    <row r="647" spans="2:18" x14ac:dyDescent="0.2">
      <c r="B647" s="3656">
        <f>[6]RAB!B315</f>
        <v>18</v>
      </c>
      <c r="C647" s="3601" t="str">
        <f>[6]RAB!D315</f>
        <v>Panel uk 40x60x25 lengkap dengan asesoris 3 phase</v>
      </c>
      <c r="D647" s="3652"/>
      <c r="E647" s="3652"/>
      <c r="F647" s="3652"/>
      <c r="G647" s="3626"/>
      <c r="H647" s="3594"/>
      <c r="I647" s="3594"/>
      <c r="J647" s="3594"/>
      <c r="K647" s="3594"/>
      <c r="L647" s="3594"/>
      <c r="M647" s="3594"/>
      <c r="N647" s="3594"/>
      <c r="O647" s="3594"/>
      <c r="P647" s="3596">
        <v>1</v>
      </c>
      <c r="Q647" s="3657">
        <f t="shared" si="24"/>
        <v>1</v>
      </c>
      <c r="R647" s="3585" t="str">
        <f>[6]RAB!H315</f>
        <v>unit</v>
      </c>
    </row>
    <row r="648" spans="2:18" x14ac:dyDescent="0.2">
      <c r="B648" s="3656">
        <f>[6]RAB!B316</f>
        <v>19</v>
      </c>
      <c r="C648" s="3601" t="str">
        <f>[6]RAB!D316</f>
        <v>Pasang instalasi penangkal petir 1 split lengkap</v>
      </c>
      <c r="D648" s="3652"/>
      <c r="E648" s="3652"/>
      <c r="F648" s="3652"/>
      <c r="G648" s="3626"/>
      <c r="H648" s="3594"/>
      <c r="I648" s="3594"/>
      <c r="J648" s="3594"/>
      <c r="K648" s="3594"/>
      <c r="L648" s="3594"/>
      <c r="M648" s="3594"/>
      <c r="N648" s="3594"/>
      <c r="O648" s="3594"/>
      <c r="P648" s="3596">
        <v>1</v>
      </c>
      <c r="Q648" s="3657">
        <f t="shared" si="24"/>
        <v>1</v>
      </c>
      <c r="R648" s="3585" t="str">
        <f>[6]RAB!H316</f>
        <v>unit</v>
      </c>
    </row>
    <row r="649" spans="2:18" x14ac:dyDescent="0.2">
      <c r="B649" s="3656">
        <f>[6]RAB!B317</f>
        <v>20</v>
      </c>
      <c r="C649" s="3601" t="str">
        <f>[6]RAB!D317</f>
        <v>Testing &amp; Comissioning Instalasi Litrik</v>
      </c>
      <c r="D649" s="3652"/>
      <c r="E649" s="3652"/>
      <c r="F649" s="3652"/>
      <c r="G649" s="3626"/>
      <c r="H649" s="3594"/>
      <c r="I649" s="3594"/>
      <c r="J649" s="3594"/>
      <c r="K649" s="3594"/>
      <c r="L649" s="3594"/>
      <c r="M649" s="3594"/>
      <c r="N649" s="3594"/>
      <c r="O649" s="3594"/>
      <c r="P649" s="3583">
        <v>1</v>
      </c>
      <c r="Q649" s="3657">
        <f t="shared" si="24"/>
        <v>1</v>
      </c>
      <c r="R649" s="3585" t="str">
        <f>[6]RAB!H317</f>
        <v>lot</v>
      </c>
    </row>
    <row r="650" spans="2:18" x14ac:dyDescent="0.2">
      <c r="B650" s="3656"/>
      <c r="C650" s="3601"/>
      <c r="D650" s="3652"/>
      <c r="E650" s="3652"/>
      <c r="F650" s="3652"/>
      <c r="G650" s="3626"/>
      <c r="H650" s="3594"/>
      <c r="I650" s="3594"/>
      <c r="J650" s="3594"/>
      <c r="K650" s="3594"/>
      <c r="L650" s="3594"/>
      <c r="M650" s="3594"/>
      <c r="N650" s="3594"/>
      <c r="O650" s="3594"/>
      <c r="P650" s="3594"/>
      <c r="Q650" s="3657"/>
      <c r="R650" s="3585"/>
    </row>
    <row r="651" spans="2:18" x14ac:dyDescent="0.2">
      <c r="B651" s="3656"/>
      <c r="C651" s="3601"/>
      <c r="D651" s="3652"/>
      <c r="E651" s="3652"/>
      <c r="F651" s="3652"/>
      <c r="G651" s="3626"/>
      <c r="H651" s="3583"/>
      <c r="I651" s="3583"/>
      <c r="J651" s="3583"/>
      <c r="K651" s="3583"/>
      <c r="L651" s="3583"/>
      <c r="M651" s="3583"/>
      <c r="N651" s="3583"/>
      <c r="O651" s="3583"/>
      <c r="P651" s="3583"/>
      <c r="Q651" s="3657"/>
      <c r="R651" s="3585"/>
    </row>
    <row r="652" spans="2:18" ht="15.75" x14ac:dyDescent="0.2">
      <c r="B652" s="3658" t="str">
        <f>[6]RAB!B330</f>
        <v>II.</v>
      </c>
      <c r="C652" s="3659" t="str">
        <f>[6]RAB!D330</f>
        <v>MUSHOLA</v>
      </c>
      <c r="D652" s="3660"/>
      <c r="E652" s="3661"/>
      <c r="F652" s="3661"/>
      <c r="G652" s="3662"/>
      <c r="H652" s="3663"/>
      <c r="I652" s="3663"/>
      <c r="J652" s="3663"/>
      <c r="K652" s="3663"/>
      <c r="L652" s="3663"/>
      <c r="M652" s="3663"/>
      <c r="N652" s="3663"/>
      <c r="O652" s="3663"/>
      <c r="P652" s="3663"/>
      <c r="Q652" s="3664"/>
      <c r="R652" s="3665"/>
    </row>
    <row r="653" spans="2:18" x14ac:dyDescent="0.2">
      <c r="B653" s="3656" t="str">
        <f>[6]RAB!B331</f>
        <v>A.</v>
      </c>
      <c r="C653" s="3601" t="str">
        <f>[6]RAB!D331</f>
        <v>PEKERJAAN PERSIAPAN</v>
      </c>
      <c r="D653" s="3652"/>
      <c r="E653" s="3652"/>
      <c r="F653" s="3652"/>
      <c r="G653" s="3626"/>
      <c r="H653" s="3583"/>
      <c r="I653" s="3583"/>
      <c r="J653" s="3583"/>
      <c r="K653" s="3583"/>
      <c r="L653" s="3583"/>
      <c r="M653" s="3583"/>
      <c r="N653" s="3583"/>
      <c r="O653" s="3583"/>
      <c r="P653" s="3583"/>
      <c r="Q653" s="3657"/>
      <c r="R653" s="3585"/>
    </row>
    <row r="654" spans="2:18" x14ac:dyDescent="0.2">
      <c r="B654" s="3656">
        <f>[6]RAB!B332</f>
        <v>1</v>
      </c>
      <c r="C654" s="3601" t="str">
        <f>[6]RAB!D332</f>
        <v xml:space="preserve">Pengukuran dan pemasangan bouwplank  </v>
      </c>
      <c r="D654" s="3652"/>
      <c r="E654" s="3652"/>
      <c r="F654" s="3652"/>
      <c r="G654" s="3626"/>
      <c r="H654" s="3583">
        <v>8</v>
      </c>
      <c r="I654" s="3589" t="s">
        <v>425</v>
      </c>
      <c r="J654" s="3583">
        <v>8</v>
      </c>
      <c r="K654" s="3583" t="s">
        <v>424</v>
      </c>
      <c r="L654" s="3583">
        <v>2</v>
      </c>
      <c r="M654" s="3583"/>
      <c r="N654" s="3583"/>
      <c r="O654" s="3583"/>
      <c r="P654" s="3583">
        <f>(H654+J654)*L654</f>
        <v>32</v>
      </c>
      <c r="Q654" s="3657">
        <f t="shared" ref="Q654:Q712" si="26">P654</f>
        <v>32</v>
      </c>
      <c r="R654" s="3585" t="str">
        <f>[6]RAB!H332</f>
        <v>m'</v>
      </c>
    </row>
    <row r="655" spans="2:18" x14ac:dyDescent="0.2">
      <c r="B655" s="3656">
        <f>[6]RAB!B333</f>
        <v>2</v>
      </c>
      <c r="C655" s="3601" t="str">
        <f>[6]RAB!D333</f>
        <v>Pembersihan lapangan dan perataan</v>
      </c>
      <c r="D655" s="3652"/>
      <c r="E655" s="3652"/>
      <c r="F655" s="3652"/>
      <c r="G655" s="3626"/>
      <c r="H655" s="3583">
        <f>H654</f>
        <v>8</v>
      </c>
      <c r="I655" s="3583" t="s">
        <v>424</v>
      </c>
      <c r="J655" s="3583">
        <f>J654</f>
        <v>8</v>
      </c>
      <c r="K655" s="3583"/>
      <c r="L655" s="3583"/>
      <c r="M655" s="3583"/>
      <c r="N655" s="3583"/>
      <c r="O655" s="3583"/>
      <c r="P655" s="3583">
        <f>H655*J655</f>
        <v>64</v>
      </c>
      <c r="Q655" s="3657">
        <f t="shared" si="26"/>
        <v>64</v>
      </c>
      <c r="R655" s="3585" t="str">
        <f>[6]RAB!H333</f>
        <v>m2</v>
      </c>
    </row>
    <row r="656" spans="2:18" x14ac:dyDescent="0.2">
      <c r="B656" s="3656"/>
      <c r="C656" s="3601"/>
      <c r="D656" s="3652"/>
      <c r="E656" s="3652"/>
      <c r="F656" s="3652"/>
      <c r="G656" s="3626"/>
      <c r="H656" s="3583"/>
      <c r="I656" s="3583"/>
      <c r="J656" s="3583"/>
      <c r="K656" s="3583"/>
      <c r="L656" s="3583"/>
      <c r="M656" s="3583"/>
      <c r="N656" s="3583"/>
      <c r="O656" s="3583"/>
      <c r="P656" s="3583"/>
      <c r="Q656" s="3657"/>
      <c r="R656" s="3585"/>
    </row>
    <row r="657" spans="2:18" x14ac:dyDescent="0.2">
      <c r="B657" s="3656" t="str">
        <f>[6]RAB!B335</f>
        <v>B.</v>
      </c>
      <c r="C657" s="3601" t="str">
        <f>[6]RAB!D335</f>
        <v>PEKERJAAN TANAH</v>
      </c>
      <c r="D657" s="3652"/>
      <c r="E657" s="3652"/>
      <c r="F657" s="3652"/>
      <c r="G657" s="3626"/>
      <c r="H657" s="3583"/>
      <c r="I657" s="3583"/>
      <c r="J657" s="3583"/>
      <c r="K657" s="3583"/>
      <c r="L657" s="3583"/>
      <c r="M657" s="3583"/>
      <c r="N657" s="3583"/>
      <c r="O657" s="3583"/>
      <c r="P657" s="3583"/>
      <c r="Q657" s="3657"/>
      <c r="R657" s="3585"/>
    </row>
    <row r="658" spans="2:18" x14ac:dyDescent="0.2">
      <c r="B658" s="3656">
        <f>[6]RAB!B336</f>
        <v>1</v>
      </c>
      <c r="C658" s="3601" t="str">
        <f>[6]RAB!D336</f>
        <v xml:space="preserve">Menggali tanah biasa sedalam 1 m' </v>
      </c>
      <c r="D658" s="3652"/>
      <c r="E658" s="3652"/>
      <c r="F658" s="3652"/>
      <c r="G658" s="3626"/>
      <c r="H658" s="3583">
        <v>4</v>
      </c>
      <c r="I658" s="3583" t="s">
        <v>424</v>
      </c>
      <c r="J658" s="3583">
        <v>1</v>
      </c>
      <c r="K658" s="3583" t="s">
        <v>424</v>
      </c>
      <c r="L658" s="3583">
        <v>1.5</v>
      </c>
      <c r="M658" s="3583"/>
      <c r="N658" s="3583"/>
      <c r="O658" s="3583"/>
      <c r="P658" s="3583">
        <f>H658*J658*L658</f>
        <v>6</v>
      </c>
      <c r="Q658" s="3657">
        <f t="shared" si="26"/>
        <v>6</v>
      </c>
      <c r="R658" s="3585" t="str">
        <f>[6]RAB!H336</f>
        <v>m3</v>
      </c>
    </row>
    <row r="659" spans="2:18" x14ac:dyDescent="0.2">
      <c r="B659" s="3656">
        <f>[6]RAB!B337</f>
        <v>2</v>
      </c>
      <c r="C659" s="3601" t="str">
        <f>[6]RAB!D337</f>
        <v>Pengurugan kembali galian tanah</v>
      </c>
      <c r="D659" s="3652"/>
      <c r="E659" s="3652"/>
      <c r="F659" s="3652"/>
      <c r="G659" s="3626"/>
      <c r="H659" s="3583">
        <f>P658</f>
        <v>6</v>
      </c>
      <c r="I659" s="3583" t="s">
        <v>424</v>
      </c>
      <c r="J659" s="3583">
        <v>0.35</v>
      </c>
      <c r="K659" s="3583"/>
      <c r="L659" s="3583"/>
      <c r="M659" s="3583"/>
      <c r="N659" s="3583"/>
      <c r="O659" s="3583"/>
      <c r="P659" s="3583">
        <f>H659*J659</f>
        <v>2.0999999999999996</v>
      </c>
      <c r="Q659" s="3657">
        <f t="shared" si="26"/>
        <v>2.0999999999999996</v>
      </c>
      <c r="R659" s="3585" t="str">
        <f>[6]RAB!H337</f>
        <v>m3</v>
      </c>
    </row>
    <row r="660" spans="2:18" x14ac:dyDescent="0.2">
      <c r="B660" s="3656">
        <f>[6]RAB!B338</f>
        <v>3</v>
      </c>
      <c r="C660" s="3601" t="str">
        <f>[6]RAB!D338</f>
        <v>Mengurug pasir urug</v>
      </c>
      <c r="D660" s="3652"/>
      <c r="E660" s="3652"/>
      <c r="F660" s="3652"/>
      <c r="G660" s="3626"/>
      <c r="H660" s="3583">
        <f>H658*J658</f>
        <v>4</v>
      </c>
      <c r="I660" s="3583" t="s">
        <v>424</v>
      </c>
      <c r="J660" s="3583">
        <v>0.05</v>
      </c>
      <c r="K660" s="3583"/>
      <c r="L660" s="3583"/>
      <c r="M660" s="3583"/>
      <c r="N660" s="3583"/>
      <c r="O660" s="3583"/>
      <c r="P660" s="3583">
        <f>H660*J660</f>
        <v>0.2</v>
      </c>
      <c r="Q660" s="3657">
        <f t="shared" si="26"/>
        <v>0.2</v>
      </c>
      <c r="R660" s="3585" t="str">
        <f>[6]RAB!H338</f>
        <v>m3</v>
      </c>
    </row>
    <row r="661" spans="2:18" x14ac:dyDescent="0.2">
      <c r="B661" s="3656"/>
      <c r="C661" s="3601"/>
      <c r="D661" s="3652"/>
      <c r="E661" s="3652"/>
      <c r="F661" s="3652"/>
      <c r="G661" s="3626"/>
      <c r="H661" s="3583"/>
      <c r="I661" s="3583"/>
      <c r="J661" s="3583"/>
      <c r="K661" s="3583"/>
      <c r="L661" s="3583"/>
      <c r="M661" s="3583"/>
      <c r="N661" s="3583"/>
      <c r="O661" s="3583"/>
      <c r="P661" s="3583"/>
      <c r="Q661" s="3657"/>
      <c r="R661" s="3585"/>
    </row>
    <row r="662" spans="2:18" x14ac:dyDescent="0.2">
      <c r="B662" s="3656" t="str">
        <f>[6]RAB!B340</f>
        <v>C.</v>
      </c>
      <c r="C662" s="3601" t="str">
        <f>[6]RAB!D340</f>
        <v>PEKERJAAN BETON</v>
      </c>
      <c r="D662" s="3652"/>
      <c r="E662" s="3652"/>
      <c r="F662" s="3652"/>
      <c r="G662" s="3626"/>
      <c r="H662" s="3583"/>
      <c r="I662" s="3583"/>
      <c r="J662" s="3583"/>
      <c r="K662" s="3583"/>
      <c r="L662" s="3583"/>
      <c r="M662" s="3583"/>
      <c r="N662" s="3583"/>
      <c r="O662" s="3583"/>
      <c r="P662" s="3583"/>
      <c r="Q662" s="3657"/>
      <c r="R662" s="3585"/>
    </row>
    <row r="663" spans="2:18" x14ac:dyDescent="0.2">
      <c r="B663" s="3656">
        <f>[6]RAB!B341</f>
        <v>1</v>
      </c>
      <c r="C663" s="3601" t="str">
        <f>[6]RAB!D341</f>
        <v>Membuat lantai kerja beton mutu f'c = 7,4 Mpa slump (3-6) cm, w/c = 0,87</v>
      </c>
      <c r="D663" s="3652"/>
      <c r="E663" s="3652"/>
      <c r="F663" s="3652"/>
      <c r="G663" s="3626"/>
      <c r="H663" s="3583">
        <f>J658</f>
        <v>1</v>
      </c>
      <c r="I663" s="3583" t="s">
        <v>424</v>
      </c>
      <c r="J663" s="3583">
        <f>J658</f>
        <v>1</v>
      </c>
      <c r="K663" s="3583" t="s">
        <v>424</v>
      </c>
      <c r="L663" s="3583">
        <v>0.1</v>
      </c>
      <c r="M663" s="3583" t="s">
        <v>424</v>
      </c>
      <c r="N663" s="3583">
        <v>4</v>
      </c>
      <c r="O663" s="3583"/>
      <c r="P663" s="3583">
        <f>H663*J663*L663*N663</f>
        <v>0.4</v>
      </c>
      <c r="Q663" s="3657">
        <f t="shared" si="26"/>
        <v>0.4</v>
      </c>
      <c r="R663" s="3585" t="str">
        <f>[6]RAB!H341</f>
        <v>m3</v>
      </c>
    </row>
    <row r="664" spans="2:18" x14ac:dyDescent="0.2">
      <c r="B664" s="3656">
        <f>[6]RAB!B342</f>
        <v>0</v>
      </c>
      <c r="C664" s="3601" t="str">
        <f>[6]RAB!D342</f>
        <v>A. BETON FOOTPLAT</v>
      </c>
      <c r="D664" s="3652"/>
      <c r="E664" s="3652"/>
      <c r="F664" s="3652"/>
      <c r="G664" s="3626"/>
      <c r="H664" s="3583"/>
      <c r="I664" s="3583"/>
      <c r="J664" s="3583"/>
      <c r="K664" s="3583"/>
      <c r="L664" s="3583"/>
      <c r="M664" s="3583"/>
      <c r="N664" s="3583"/>
      <c r="O664" s="3583"/>
      <c r="P664" s="3583"/>
      <c r="Q664" s="3657"/>
      <c r="R664" s="3585"/>
    </row>
    <row r="665" spans="2:18" x14ac:dyDescent="0.2">
      <c r="B665" s="3656">
        <f>[6]RAB!B343</f>
        <v>0</v>
      </c>
      <c r="C665" s="3601" t="str">
        <f>[6]RAB!D343</f>
        <v>FOOTPLAT TIPE FP1 (60 X 60 )</v>
      </c>
      <c r="D665" s="3652"/>
      <c r="E665" s="3652"/>
      <c r="F665" s="3652"/>
      <c r="G665" s="3626"/>
      <c r="H665" s="3583"/>
      <c r="I665" s="3583"/>
      <c r="J665" s="3583"/>
      <c r="K665" s="3583"/>
      <c r="L665" s="3583"/>
      <c r="M665" s="3583"/>
      <c r="N665" s="3583"/>
      <c r="O665" s="3583"/>
      <c r="P665" s="3583"/>
      <c r="Q665" s="3657"/>
      <c r="R665" s="3585"/>
    </row>
    <row r="666" spans="2:18" x14ac:dyDescent="0.2">
      <c r="B666" s="3656">
        <f>[6]RAB!B344</f>
        <v>1</v>
      </c>
      <c r="C666" s="3601" t="str">
        <f>[6]RAB!D344</f>
        <v xml:space="preserve">Membuat beton mutu f'c = 21,7 Mpa </v>
      </c>
      <c r="D666" s="3652"/>
      <c r="E666" s="3652"/>
      <c r="F666" s="3652"/>
      <c r="G666" s="3626"/>
      <c r="H666" s="3583"/>
      <c r="I666" s="3583"/>
      <c r="J666" s="3583"/>
      <c r="K666" s="3583"/>
      <c r="L666" s="3583"/>
      <c r="M666" s="3583"/>
      <c r="N666" s="3583"/>
      <c r="O666" s="3583"/>
      <c r="P666" s="3583">
        <f>'[6]TABEL HITUNG BESI 1'!G86</f>
        <v>0.64000000000000012</v>
      </c>
      <c r="Q666" s="3657">
        <f t="shared" si="26"/>
        <v>0.64000000000000012</v>
      </c>
      <c r="R666" s="3585" t="str">
        <f>[6]RAB!H344</f>
        <v>m3</v>
      </c>
    </row>
    <row r="667" spans="2:18" x14ac:dyDescent="0.2">
      <c r="B667" s="3656">
        <f>[6]RAB!B345</f>
        <v>2</v>
      </c>
      <c r="C667" s="3601" t="str">
        <f>[6]RAB!D345</f>
        <v>Pembesian 1 kg dengan besi polos atau besi ulir</v>
      </c>
      <c r="D667" s="3652"/>
      <c r="E667" s="3652"/>
      <c r="F667" s="3652"/>
      <c r="G667" s="3626"/>
      <c r="H667" s="3583"/>
      <c r="I667" s="3583"/>
      <c r="J667" s="3583"/>
      <c r="K667" s="3583"/>
      <c r="L667" s="3583"/>
      <c r="M667" s="3583"/>
      <c r="N667" s="3583"/>
      <c r="O667" s="3583"/>
      <c r="P667" s="3583">
        <f>'[6]TABEL HITUNG BESI 1'!M86+'[6]TABEL HITUNG BESI 1'!R86</f>
        <v>79.548141917841022</v>
      </c>
      <c r="Q667" s="3657">
        <f t="shared" si="26"/>
        <v>79.548141917841022</v>
      </c>
      <c r="R667" s="3585" t="str">
        <f>[6]RAB!H345</f>
        <v>kg</v>
      </c>
    </row>
    <row r="668" spans="2:18" x14ac:dyDescent="0.2">
      <c r="B668" s="3656">
        <f>[6]RAB!B346</f>
        <v>3</v>
      </c>
      <c r="C668" s="3601" t="str">
        <f>[6]RAB!D346</f>
        <v>(K3) Memasang bekisting untuk pondasi ( 2x pakai )</v>
      </c>
      <c r="D668" s="3652"/>
      <c r="E668" s="3652"/>
      <c r="F668" s="3652"/>
      <c r="G668" s="3626"/>
      <c r="H668" s="3583"/>
      <c r="I668" s="3583"/>
      <c r="J668" s="3583"/>
      <c r="K668" s="3583"/>
      <c r="L668" s="3583"/>
      <c r="M668" s="3583"/>
      <c r="N668" s="3583"/>
      <c r="O668" s="3583"/>
      <c r="P668" s="3583">
        <f>'[6]TABEL HITUNG BESI 1'!H86</f>
        <v>3.2</v>
      </c>
      <c r="Q668" s="3657">
        <f t="shared" si="26"/>
        <v>3.2</v>
      </c>
      <c r="R668" s="3585" t="str">
        <f>[6]RAB!H346</f>
        <v>m2</v>
      </c>
    </row>
    <row r="669" spans="2:18" x14ac:dyDescent="0.2">
      <c r="B669" s="3656">
        <f>[6]RAB!B347</f>
        <v>0</v>
      </c>
      <c r="C669" s="3601" t="str">
        <f>[6]RAB!D347</f>
        <v>B. BETON SLOOF</v>
      </c>
      <c r="D669" s="3652"/>
      <c r="E669" s="3652"/>
      <c r="F669" s="3652"/>
      <c r="G669" s="3626"/>
      <c r="H669" s="3583"/>
      <c r="I669" s="3583"/>
      <c r="J669" s="3583"/>
      <c r="K669" s="3583"/>
      <c r="L669" s="3583"/>
      <c r="M669" s="3583"/>
      <c r="N669" s="3583"/>
      <c r="O669" s="3583"/>
      <c r="P669" s="3583"/>
      <c r="Q669" s="3657"/>
      <c r="R669" s="3585"/>
    </row>
    <row r="670" spans="2:18" x14ac:dyDescent="0.2">
      <c r="B670" s="3656">
        <f>[6]RAB!B348</f>
        <v>0</v>
      </c>
      <c r="C670" s="3601" t="str">
        <f>[6]RAB!D348</f>
        <v>PEKERJAAN SLOOF (15 X 20)</v>
      </c>
      <c r="D670" s="3652"/>
      <c r="E670" s="3652"/>
      <c r="F670" s="3652"/>
      <c r="G670" s="3626"/>
      <c r="H670" s="3583"/>
      <c r="I670" s="3583"/>
      <c r="J670" s="3583"/>
      <c r="K670" s="3583"/>
      <c r="L670" s="3583"/>
      <c r="M670" s="3583"/>
      <c r="N670" s="3583"/>
      <c r="O670" s="3583"/>
      <c r="P670" s="3583"/>
      <c r="Q670" s="3657"/>
      <c r="R670" s="3585"/>
    </row>
    <row r="671" spans="2:18" x14ac:dyDescent="0.2">
      <c r="B671" s="3656">
        <f>[6]RAB!B349</f>
        <v>1</v>
      </c>
      <c r="C671" s="3601" t="str">
        <f>[6]RAB!D349</f>
        <v xml:space="preserve">Membuat beton mutu f'c = 21,7 Mpa </v>
      </c>
      <c r="D671" s="3652"/>
      <c r="E671" s="3652"/>
      <c r="F671" s="3652"/>
      <c r="G671" s="3626"/>
      <c r="H671" s="3583"/>
      <c r="I671" s="3583"/>
      <c r="J671" s="3583"/>
      <c r="K671" s="3583"/>
      <c r="L671" s="3583"/>
      <c r="M671" s="3583"/>
      <c r="N671" s="3583"/>
      <c r="O671" s="3583"/>
      <c r="P671" s="3583">
        <f>'[6]TABEL HITUNG BESI 2'!G215</f>
        <v>1.2</v>
      </c>
      <c r="Q671" s="3657">
        <f t="shared" si="26"/>
        <v>1.2</v>
      </c>
      <c r="R671" s="3585" t="str">
        <f>[6]RAB!H349</f>
        <v>m3</v>
      </c>
    </row>
    <row r="672" spans="2:18" x14ac:dyDescent="0.2">
      <c r="B672" s="3656">
        <f>[6]RAB!B350</f>
        <v>2</v>
      </c>
      <c r="C672" s="3601" t="str">
        <f>[6]RAB!D350</f>
        <v>Pembesian 1 kg dengan besi polos atau besi ulir</v>
      </c>
      <c r="D672" s="3652"/>
      <c r="E672" s="3652"/>
      <c r="F672" s="3652"/>
      <c r="G672" s="3626"/>
      <c r="H672" s="3583"/>
      <c r="I672" s="3583"/>
      <c r="J672" s="3583"/>
      <c r="K672" s="3583"/>
      <c r="L672" s="3583"/>
      <c r="M672" s="3583"/>
      <c r="N672" s="3583"/>
      <c r="O672" s="3583"/>
      <c r="P672" s="3583">
        <f>'[6]TABEL HITUNG BESI 2'!N215+'[6]TABEL HITUNG BESI 2'!S215</f>
        <v>234.6722797781282</v>
      </c>
      <c r="Q672" s="3657">
        <f t="shared" si="26"/>
        <v>234.6722797781282</v>
      </c>
      <c r="R672" s="3585" t="str">
        <f>[6]RAB!H350</f>
        <v>kg</v>
      </c>
    </row>
    <row r="673" spans="2:18" x14ac:dyDescent="0.2">
      <c r="B673" s="3656">
        <f>[6]RAB!B351</f>
        <v>3</v>
      </c>
      <c r="C673" s="3601" t="str">
        <f>[6]RAB!D351</f>
        <v>(K3) Memasang bekisting untuk sloof ( 2x pakai )</v>
      </c>
      <c r="D673" s="3652"/>
      <c r="E673" s="3652"/>
      <c r="F673" s="3652"/>
      <c r="G673" s="3626"/>
      <c r="H673" s="3583"/>
      <c r="I673" s="3583"/>
      <c r="J673" s="3583"/>
      <c r="K673" s="3583"/>
      <c r="L673" s="3583"/>
      <c r="M673" s="3583"/>
      <c r="N673" s="3583"/>
      <c r="O673" s="3583"/>
      <c r="P673" s="3583">
        <f>'[6]TABEL HITUNG BESI 2'!H215</f>
        <v>22</v>
      </c>
      <c r="Q673" s="3657">
        <f t="shared" si="26"/>
        <v>22</v>
      </c>
      <c r="R673" s="3585" t="str">
        <f>[6]RAB!H351</f>
        <v>m2</v>
      </c>
    </row>
    <row r="674" spans="2:18" x14ac:dyDescent="0.2">
      <c r="B674" s="3656">
        <f>[6]RAB!B352</f>
        <v>0</v>
      </c>
      <c r="C674" s="3601" t="str">
        <f>[6]RAB!D352</f>
        <v>C. BETON KOLOM</v>
      </c>
      <c r="D674" s="3652"/>
      <c r="E674" s="3652"/>
      <c r="F674" s="3652"/>
      <c r="G674" s="3626"/>
      <c r="H674" s="3583"/>
      <c r="I674" s="3583"/>
      <c r="J674" s="3583"/>
      <c r="K674" s="3583"/>
      <c r="L674" s="3583"/>
      <c r="M674" s="3583"/>
      <c r="N674" s="3583"/>
      <c r="O674" s="3583"/>
      <c r="P674" s="3583"/>
      <c r="Q674" s="3657"/>
      <c r="R674" s="3585"/>
    </row>
    <row r="675" spans="2:18" x14ac:dyDescent="0.2">
      <c r="B675" s="3656">
        <f>[6]RAB!B353</f>
        <v>0</v>
      </c>
      <c r="C675" s="3601" t="str">
        <f>[6]RAB!D353</f>
        <v>PEKERJAAN KOLOM (15x15)</v>
      </c>
      <c r="D675" s="3652"/>
      <c r="E675" s="3652"/>
      <c r="F675" s="3652"/>
      <c r="G675" s="3626"/>
      <c r="H675" s="3583"/>
      <c r="I675" s="3583"/>
      <c r="J675" s="3583"/>
      <c r="K675" s="3583"/>
      <c r="L675" s="3583"/>
      <c r="M675" s="3583"/>
      <c r="N675" s="3583"/>
      <c r="O675" s="3583"/>
      <c r="P675" s="3583"/>
      <c r="Q675" s="3657"/>
      <c r="R675" s="3585"/>
    </row>
    <row r="676" spans="2:18" x14ac:dyDescent="0.2">
      <c r="B676" s="3656">
        <f>[6]RAB!B354</f>
        <v>1</v>
      </c>
      <c r="C676" s="3601" t="str">
        <f>[6]RAB!D354</f>
        <v xml:space="preserve">Membuat beton mutu f'c = 21,7 Mpa </v>
      </c>
      <c r="D676" s="3652"/>
      <c r="E676" s="3652"/>
      <c r="F676" s="3652"/>
      <c r="G676" s="3626"/>
      <c r="H676" s="3583"/>
      <c r="I676" s="3583"/>
      <c r="J676" s="3583"/>
      <c r="K676" s="3583"/>
      <c r="L676" s="3583"/>
      <c r="M676" s="3583"/>
      <c r="N676" s="3583"/>
      <c r="O676" s="3583"/>
      <c r="P676" s="3583">
        <f>'[6]TABEL HITUNG BESI 2'!G224</f>
        <v>0.36</v>
      </c>
      <c r="Q676" s="3657">
        <f t="shared" si="26"/>
        <v>0.36</v>
      </c>
      <c r="R676" s="3585" t="str">
        <f>[6]RAB!H354</f>
        <v>m3</v>
      </c>
    </row>
    <row r="677" spans="2:18" x14ac:dyDescent="0.2">
      <c r="B677" s="3656">
        <f>[6]RAB!B355</f>
        <v>2</v>
      </c>
      <c r="C677" s="3601" t="str">
        <f>[6]RAB!D355</f>
        <v>Pembesian 1 kg dengan besi polos atau besi ulir</v>
      </c>
      <c r="D677" s="3652"/>
      <c r="E677" s="3652"/>
      <c r="F677" s="3652"/>
      <c r="G677" s="3626"/>
      <c r="H677" s="3583"/>
      <c r="I677" s="3583"/>
      <c r="J677" s="3583"/>
      <c r="K677" s="3583"/>
      <c r="L677" s="3583"/>
      <c r="M677" s="3583"/>
      <c r="N677" s="3583"/>
      <c r="O677" s="3583"/>
      <c r="P677" s="3583">
        <f>'[6]TABEL HITUNG BESI 2'!N224+'[6]TABEL HITUNG BESI 2'!S224</f>
        <v>65.185282960453037</v>
      </c>
      <c r="Q677" s="3657">
        <f t="shared" si="26"/>
        <v>65.185282960453037</v>
      </c>
      <c r="R677" s="3585" t="str">
        <f>[6]RAB!H355</f>
        <v>kg</v>
      </c>
    </row>
    <row r="678" spans="2:18" x14ac:dyDescent="0.2">
      <c r="B678" s="3656">
        <f>[6]RAB!B356</f>
        <v>3</v>
      </c>
      <c r="C678" s="3601" t="str">
        <f>[6]RAB!D356</f>
        <v>(K3) Memasang bekisting untuk kolom ( 2x pakai )</v>
      </c>
      <c r="D678" s="3652"/>
      <c r="E678" s="3652"/>
      <c r="F678" s="3652"/>
      <c r="G678" s="3626"/>
      <c r="H678" s="3583"/>
      <c r="I678" s="3583"/>
      <c r="J678" s="3583"/>
      <c r="K678" s="3583"/>
      <c r="L678" s="3583"/>
      <c r="M678" s="3583"/>
      <c r="N678" s="3583"/>
      <c r="O678" s="3583"/>
      <c r="P678" s="3583">
        <f>'[6]TABEL HITUNG BESI 2'!H224</f>
        <v>1.7999999999999998</v>
      </c>
      <c r="Q678" s="3657">
        <f t="shared" si="26"/>
        <v>1.7999999999999998</v>
      </c>
      <c r="R678" s="3585" t="str">
        <f>[6]RAB!H356</f>
        <v>m2</v>
      </c>
    </row>
    <row r="679" spans="2:18" x14ac:dyDescent="0.2">
      <c r="B679" s="3656">
        <f>[6]RAB!B357</f>
        <v>0</v>
      </c>
      <c r="C679" s="3601" t="str">
        <f>[6]RAB!D357</f>
        <v>D. BETON BALOK</v>
      </c>
      <c r="D679" s="3652"/>
      <c r="E679" s="3652"/>
      <c r="F679" s="3652"/>
      <c r="G679" s="3626"/>
      <c r="H679" s="3583"/>
      <c r="I679" s="3583"/>
      <c r="J679" s="3583"/>
      <c r="K679" s="3583"/>
      <c r="L679" s="3583"/>
      <c r="M679" s="3583"/>
      <c r="N679" s="3583"/>
      <c r="O679" s="3583"/>
      <c r="P679" s="3583"/>
      <c r="Q679" s="3657"/>
      <c r="R679" s="3585"/>
    </row>
    <row r="680" spans="2:18" x14ac:dyDescent="0.2">
      <c r="B680" s="3656">
        <f>[6]RAB!B358</f>
        <v>0</v>
      </c>
      <c r="C680" s="3601" t="str">
        <f>[6]RAB!D358</f>
        <v>Balok (15x20)</v>
      </c>
      <c r="D680" s="3652"/>
      <c r="E680" s="3652"/>
      <c r="F680" s="3652"/>
      <c r="G680" s="3626"/>
      <c r="H680" s="3583"/>
      <c r="I680" s="3583"/>
      <c r="J680" s="3583"/>
      <c r="K680" s="3583"/>
      <c r="L680" s="3583"/>
      <c r="M680" s="3583"/>
      <c r="N680" s="3583"/>
      <c r="O680" s="3583"/>
      <c r="P680" s="3583"/>
      <c r="Q680" s="3657"/>
      <c r="R680" s="3585"/>
    </row>
    <row r="681" spans="2:18" x14ac:dyDescent="0.2">
      <c r="B681" s="3656">
        <f>[6]RAB!B359</f>
        <v>1</v>
      </c>
      <c r="C681" s="3601" t="str">
        <f>[6]RAB!D359</f>
        <v xml:space="preserve">Membuat beton mutu f'c = 21,7 Mpa </v>
      </c>
      <c r="D681" s="3652"/>
      <c r="E681" s="3652"/>
      <c r="F681" s="3652"/>
      <c r="G681" s="3626"/>
      <c r="H681" s="3583"/>
      <c r="I681" s="3583"/>
      <c r="J681" s="3583"/>
      <c r="K681" s="3583"/>
      <c r="L681" s="3583"/>
      <c r="M681" s="3583"/>
      <c r="N681" s="3583"/>
      <c r="O681" s="3583"/>
      <c r="P681" s="3583">
        <f>'[6]TABEL HITUNG BESI 2'!G233</f>
        <v>1.2</v>
      </c>
      <c r="Q681" s="3657">
        <f t="shared" si="26"/>
        <v>1.2</v>
      </c>
      <c r="R681" s="3585" t="str">
        <f>[6]RAB!H359</f>
        <v>m3</v>
      </c>
    </row>
    <row r="682" spans="2:18" x14ac:dyDescent="0.2">
      <c r="B682" s="3656">
        <f>[6]RAB!B360</f>
        <v>2</v>
      </c>
      <c r="C682" s="3601" t="str">
        <f>[6]RAB!D360</f>
        <v>Pembesian 1 kg dengan besi polos atau besi ulir</v>
      </c>
      <c r="D682" s="3652"/>
      <c r="E682" s="3652"/>
      <c r="F682" s="3652"/>
      <c r="G682" s="3626"/>
      <c r="H682" s="3583"/>
      <c r="I682" s="3583"/>
      <c r="J682" s="3583"/>
      <c r="K682" s="3583"/>
      <c r="L682" s="3583"/>
      <c r="M682" s="3583"/>
      <c r="N682" s="3583"/>
      <c r="O682" s="3583"/>
      <c r="P682" s="3583">
        <f>'[6]TABEL HITUNG BESI 2'!N233+'[6]TABEL HITUNG BESI 2'!S233</f>
        <v>234.6722797781282</v>
      </c>
      <c r="Q682" s="3657">
        <f t="shared" si="26"/>
        <v>234.6722797781282</v>
      </c>
      <c r="R682" s="3585" t="str">
        <f>[6]RAB!H360</f>
        <v>kg</v>
      </c>
    </row>
    <row r="683" spans="2:18" x14ac:dyDescent="0.2">
      <c r="B683" s="3656">
        <f>[6]RAB!B361</f>
        <v>3</v>
      </c>
      <c r="C683" s="3601" t="str">
        <f>[6]RAB!D361</f>
        <v>(K3) Memasang bekisting untuk balok ( 2x Pakai )</v>
      </c>
      <c r="D683" s="3652"/>
      <c r="E683" s="3652"/>
      <c r="F683" s="3652"/>
      <c r="G683" s="3626"/>
      <c r="H683" s="3583"/>
      <c r="I683" s="3583"/>
      <c r="J683" s="3583"/>
      <c r="K683" s="3583"/>
      <c r="L683" s="3583"/>
      <c r="M683" s="3583"/>
      <c r="N683" s="3583"/>
      <c r="O683" s="3583"/>
      <c r="P683" s="3583">
        <f>'[6]TABEL HITUNG BESI 2'!H233</f>
        <v>22</v>
      </c>
      <c r="Q683" s="3657">
        <f t="shared" si="26"/>
        <v>22</v>
      </c>
      <c r="R683" s="3585" t="str">
        <f>[6]RAB!H361</f>
        <v>m2</v>
      </c>
    </row>
    <row r="684" spans="2:18" x14ac:dyDescent="0.2">
      <c r="B684" s="3656">
        <f>[6]RAB!B362</f>
        <v>0</v>
      </c>
      <c r="C684" s="3601" t="str">
        <f>[6]RAB!D362</f>
        <v>D. BETON PRAKTIS</v>
      </c>
      <c r="D684" s="3652"/>
      <c r="E684" s="3652"/>
      <c r="F684" s="3652"/>
      <c r="G684" s="3626"/>
      <c r="H684" s="3583"/>
      <c r="I684" s="3583"/>
      <c r="J684" s="3583"/>
      <c r="K684" s="3583"/>
      <c r="L684" s="3583"/>
      <c r="M684" s="3583"/>
      <c r="N684" s="3583"/>
      <c r="O684" s="3583"/>
      <c r="P684" s="3583"/>
      <c r="Q684" s="3657"/>
      <c r="R684" s="3585"/>
    </row>
    <row r="685" spans="2:18" x14ac:dyDescent="0.2">
      <c r="B685" s="3656">
        <f>[6]RAB!B363</f>
        <v>1</v>
      </c>
      <c r="C685" s="3601" t="str">
        <f>[6]RAB!D363</f>
        <v>Membuat kolom praktis beton bertulang 11/11 cm</v>
      </c>
      <c r="D685" s="3652"/>
      <c r="E685" s="3652"/>
      <c r="F685" s="3652"/>
      <c r="G685" s="3626"/>
      <c r="H685" s="3583">
        <v>3</v>
      </c>
      <c r="I685" s="3583" t="s">
        <v>424</v>
      </c>
      <c r="J685" s="3583">
        <v>10</v>
      </c>
      <c r="K685" s="3583"/>
      <c r="L685" s="3583"/>
      <c r="M685" s="3583"/>
      <c r="N685" s="3583"/>
      <c r="O685" s="3583"/>
      <c r="P685" s="3583">
        <f>H685*J685</f>
        <v>30</v>
      </c>
      <c r="Q685" s="3657">
        <f t="shared" ref="Q685:Q686" si="27">P685</f>
        <v>30</v>
      </c>
      <c r="R685" s="3585" t="str">
        <f>[6]RAB!H363</f>
        <v>m'</v>
      </c>
    </row>
    <row r="686" spans="2:18" x14ac:dyDescent="0.2">
      <c r="B686" s="3656">
        <f>[6]RAB!B364</f>
        <v>2</v>
      </c>
      <c r="C686" s="3601" t="str">
        <f>[6]RAB!D364</f>
        <v>Membuat balok latei ( 10 x 15 ) cm</v>
      </c>
      <c r="D686" s="3652"/>
      <c r="E686" s="3652"/>
      <c r="F686" s="3652"/>
      <c r="G686" s="3626"/>
      <c r="H686" s="3583">
        <f>SUM(H692:H694)</f>
        <v>5.0999999999999996</v>
      </c>
      <c r="I686" s="3583" t="s">
        <v>424</v>
      </c>
      <c r="J686" s="3583">
        <v>3</v>
      </c>
      <c r="K686" s="3583"/>
      <c r="L686" s="3583"/>
      <c r="M686" s="3583"/>
      <c r="N686" s="3583"/>
      <c r="O686" s="3583"/>
      <c r="P686" s="3583">
        <f>H686*J686</f>
        <v>15.299999999999999</v>
      </c>
      <c r="Q686" s="3657">
        <f t="shared" si="27"/>
        <v>15.299999999999999</v>
      </c>
      <c r="R686" s="3585" t="str">
        <f>[6]RAB!H364</f>
        <v>m'</v>
      </c>
    </row>
    <row r="687" spans="2:18" x14ac:dyDescent="0.2">
      <c r="B687" s="3656"/>
      <c r="C687" s="3601"/>
      <c r="D687" s="3652"/>
      <c r="E687" s="3652"/>
      <c r="F687" s="3652"/>
      <c r="G687" s="3626"/>
      <c r="H687" s="3583"/>
      <c r="I687" s="3583"/>
      <c r="J687" s="3583"/>
      <c r="K687" s="3583"/>
      <c r="L687" s="3583"/>
      <c r="M687" s="3583"/>
      <c r="N687" s="3583"/>
      <c r="O687" s="3583"/>
      <c r="P687" s="3583"/>
      <c r="Q687" s="3657"/>
      <c r="R687" s="3585"/>
    </row>
    <row r="688" spans="2:18" x14ac:dyDescent="0.2">
      <c r="B688" s="3656"/>
      <c r="C688" s="3601"/>
      <c r="D688" s="3652"/>
      <c r="E688" s="3652"/>
      <c r="F688" s="3652"/>
      <c r="G688" s="3626"/>
      <c r="H688" s="3583"/>
      <c r="I688" s="3583"/>
      <c r="J688" s="3583"/>
      <c r="K688" s="3583"/>
      <c r="L688" s="3583"/>
      <c r="M688" s="3583"/>
      <c r="N688" s="3583"/>
      <c r="O688" s="3583"/>
      <c r="P688" s="3583"/>
      <c r="Q688" s="3657"/>
      <c r="R688" s="3585"/>
    </row>
    <row r="689" spans="2:18" x14ac:dyDescent="0.2">
      <c r="B689" s="3656" t="str">
        <f>[6]RAB!B366</f>
        <v>D.</v>
      </c>
      <c r="C689" s="3601" t="str">
        <f>[6]RAB!D366</f>
        <v>PEKERJAAN PASANGAN DINDING DAN PLASTERAN</v>
      </c>
      <c r="D689" s="3652"/>
      <c r="E689" s="3652"/>
      <c r="F689" s="3652"/>
      <c r="G689" s="3626"/>
      <c r="H689" s="3583"/>
      <c r="I689" s="3583"/>
      <c r="J689" s="3583"/>
      <c r="K689" s="3583"/>
      <c r="L689" s="3583"/>
      <c r="M689" s="3583"/>
      <c r="N689" s="3583"/>
      <c r="O689" s="3583"/>
      <c r="P689" s="3583"/>
      <c r="Q689" s="3657"/>
      <c r="R689" s="3585"/>
    </row>
    <row r="690" spans="2:18" x14ac:dyDescent="0.2">
      <c r="B690" s="3656">
        <f>[6]RAB!B367</f>
        <v>1</v>
      </c>
      <c r="C690" s="3601" t="str">
        <f>[6]RAB!D367</f>
        <v>Membuat dinding bata merah tebal 1/2 bata , camp 1 PC : 6 PP</v>
      </c>
      <c r="D690" s="3652"/>
      <c r="E690" s="3652"/>
      <c r="F690" s="3652"/>
      <c r="G690" s="3626"/>
      <c r="H690" s="3583">
        <v>40</v>
      </c>
      <c r="I690" s="3583" t="s">
        <v>424</v>
      </c>
      <c r="J690" s="3583">
        <v>4</v>
      </c>
      <c r="K690" s="3583"/>
      <c r="L690" s="3583"/>
      <c r="M690" s="3583"/>
      <c r="N690" s="3583"/>
      <c r="O690" s="3583"/>
      <c r="P690" s="3583">
        <f>H690*J690</f>
        <v>160</v>
      </c>
      <c r="Q690" s="3657">
        <f>P690-P691</f>
        <v>130.35999999999999</v>
      </c>
      <c r="R690" s="3585" t="str">
        <f>[6]RAB!H367</f>
        <v>m2</v>
      </c>
    </row>
    <row r="691" spans="2:18" x14ac:dyDescent="0.2">
      <c r="B691" s="3656"/>
      <c r="C691" s="3601"/>
      <c r="D691" s="3652"/>
      <c r="E691" s="3652"/>
      <c r="F691" s="3652"/>
      <c r="G691" s="3626" t="s">
        <v>2115</v>
      </c>
      <c r="H691" s="3583"/>
      <c r="I691" s="3583"/>
      <c r="J691" s="3583"/>
      <c r="K691" s="3583"/>
      <c r="L691" s="3583"/>
      <c r="M691" s="3583"/>
      <c r="N691" s="3583"/>
      <c r="O691" s="3583"/>
      <c r="P691" s="3583">
        <f>SUM(P692:P694)</f>
        <v>29.640000000000004</v>
      </c>
      <c r="Q691" s="3657"/>
      <c r="R691" s="3585"/>
    </row>
    <row r="692" spans="2:18" x14ac:dyDescent="0.2">
      <c r="B692" s="3656"/>
      <c r="C692" s="3601"/>
      <c r="D692" s="3652"/>
      <c r="E692" s="3652"/>
      <c r="F692" s="3652"/>
      <c r="G692" s="3626" t="s">
        <v>1658</v>
      </c>
      <c r="H692" s="3583">
        <v>1.8</v>
      </c>
      <c r="I692" s="3583" t="s">
        <v>424</v>
      </c>
      <c r="J692" s="3583">
        <v>2.7</v>
      </c>
      <c r="K692" s="3583" t="s">
        <v>424</v>
      </c>
      <c r="L692" s="3583">
        <v>3</v>
      </c>
      <c r="M692" s="3583"/>
      <c r="N692" s="3583"/>
      <c r="O692" s="3583"/>
      <c r="P692" s="3583">
        <f>H692*J692*L692</f>
        <v>14.580000000000002</v>
      </c>
      <c r="Q692" s="3657"/>
      <c r="R692" s="3585"/>
    </row>
    <row r="693" spans="2:18" x14ac:dyDescent="0.2">
      <c r="B693" s="3656"/>
      <c r="C693" s="3601"/>
      <c r="D693" s="3652"/>
      <c r="E693" s="3652"/>
      <c r="F693" s="3652"/>
      <c r="G693" s="3626" t="s">
        <v>1659</v>
      </c>
      <c r="H693" s="3583">
        <v>1</v>
      </c>
      <c r="I693" s="3583" t="s">
        <v>424</v>
      </c>
      <c r="J693" s="3583">
        <v>2.7</v>
      </c>
      <c r="K693" s="3583" t="s">
        <v>424</v>
      </c>
      <c r="L693" s="3583">
        <v>2</v>
      </c>
      <c r="M693" s="3583"/>
      <c r="N693" s="3583"/>
      <c r="O693" s="3583"/>
      <c r="P693" s="3583">
        <f>H693*J693*L693</f>
        <v>5.4</v>
      </c>
      <c r="Q693" s="3657"/>
      <c r="R693" s="3585"/>
    </row>
    <row r="694" spans="2:18" x14ac:dyDescent="0.2">
      <c r="B694" s="3656"/>
      <c r="C694" s="3601"/>
      <c r="D694" s="3652"/>
      <c r="E694" s="3652"/>
      <c r="F694" s="3652"/>
      <c r="G694" s="3626" t="s">
        <v>1660</v>
      </c>
      <c r="H694" s="3583">
        <v>2.2999999999999998</v>
      </c>
      <c r="I694" s="3583" t="s">
        <v>424</v>
      </c>
      <c r="J694" s="3583">
        <v>2.1</v>
      </c>
      <c r="K694" s="3583" t="s">
        <v>424</v>
      </c>
      <c r="L694" s="3583">
        <v>2</v>
      </c>
      <c r="M694" s="3583"/>
      <c r="N694" s="3583"/>
      <c r="O694" s="3583"/>
      <c r="P694" s="3583">
        <f>H694*J694*L694</f>
        <v>9.66</v>
      </c>
      <c r="Q694" s="3657"/>
      <c r="R694" s="3585"/>
    </row>
    <row r="695" spans="2:18" x14ac:dyDescent="0.2">
      <c r="B695" s="3656">
        <f>[6]RAB!B368</f>
        <v>2</v>
      </c>
      <c r="C695" s="3601" t="str">
        <f>[6]RAB!D368</f>
        <v>Memasang plesteran 1 PC : 6 PP, tebal 15 mm</v>
      </c>
      <c r="D695" s="3652"/>
      <c r="E695" s="3652"/>
      <c r="F695" s="3652"/>
      <c r="G695" s="3626"/>
      <c r="H695" s="3583">
        <f>Q690</f>
        <v>130.35999999999999</v>
      </c>
      <c r="I695" s="3583" t="s">
        <v>424</v>
      </c>
      <c r="J695" s="3583">
        <v>2</v>
      </c>
      <c r="K695" s="3583"/>
      <c r="L695" s="3583"/>
      <c r="M695" s="3583"/>
      <c r="N695" s="3583"/>
      <c r="O695" s="3583"/>
      <c r="P695" s="3583">
        <f>H695*J695</f>
        <v>260.71999999999997</v>
      </c>
      <c r="Q695" s="3657">
        <f t="shared" si="26"/>
        <v>260.71999999999997</v>
      </c>
      <c r="R695" s="3585" t="str">
        <f>[6]RAB!H368</f>
        <v>m2</v>
      </c>
    </row>
    <row r="696" spans="2:18" x14ac:dyDescent="0.2">
      <c r="B696" s="3656">
        <f>[6]RAB!B369</f>
        <v>3</v>
      </c>
      <c r="C696" s="3601" t="str">
        <f>[6]RAB!D369</f>
        <v>Sponengan</v>
      </c>
      <c r="D696" s="3652"/>
      <c r="E696" s="3652"/>
      <c r="F696" s="3652"/>
      <c r="G696" s="3626"/>
      <c r="H696" s="3583">
        <v>3</v>
      </c>
      <c r="I696" s="3583" t="s">
        <v>424</v>
      </c>
      <c r="J696" s="3583">
        <f>28+SUM(J692:J694)</f>
        <v>35.5</v>
      </c>
      <c r="K696" s="3583"/>
      <c r="L696" s="3583"/>
      <c r="M696" s="3583"/>
      <c r="N696" s="3583"/>
      <c r="O696" s="3583"/>
      <c r="P696" s="3583">
        <f t="shared" ref="P696" si="28">H696*J696</f>
        <v>106.5</v>
      </c>
      <c r="Q696" s="3657">
        <f t="shared" si="26"/>
        <v>106.5</v>
      </c>
      <c r="R696" s="3585" t="str">
        <f>[6]RAB!H369</f>
        <v>m'</v>
      </c>
    </row>
    <row r="697" spans="2:18" x14ac:dyDescent="0.2">
      <c r="B697" s="3656">
        <f>[6]RAB!B370</f>
        <v>4</v>
      </c>
      <c r="C697" s="3601" t="str">
        <f>[6]RAB!D370</f>
        <v>Memasang acian</v>
      </c>
      <c r="D697" s="3652"/>
      <c r="E697" s="3652"/>
      <c r="F697" s="3652"/>
      <c r="G697" s="3626"/>
      <c r="H697" s="3583">
        <f>P695</f>
        <v>260.71999999999997</v>
      </c>
      <c r="I697" s="3583"/>
      <c r="J697" s="3583"/>
      <c r="K697" s="3583"/>
      <c r="L697" s="3583"/>
      <c r="M697" s="3583"/>
      <c r="N697" s="3583"/>
      <c r="O697" s="3583"/>
      <c r="P697" s="3583">
        <f>H697</f>
        <v>260.71999999999997</v>
      </c>
      <c r="Q697" s="3657">
        <f t="shared" si="26"/>
        <v>260.71999999999997</v>
      </c>
      <c r="R697" s="3585" t="str">
        <f>[6]RAB!H370</f>
        <v>m2</v>
      </c>
    </row>
    <row r="698" spans="2:18" x14ac:dyDescent="0.2">
      <c r="B698" s="3656"/>
      <c r="C698" s="3601"/>
      <c r="D698" s="3652"/>
      <c r="E698" s="3652"/>
      <c r="F698" s="3652"/>
      <c r="G698" s="3626"/>
      <c r="H698" s="3583"/>
      <c r="I698" s="3583"/>
      <c r="J698" s="3583"/>
      <c r="K698" s="3583"/>
      <c r="L698" s="3583"/>
      <c r="M698" s="3583"/>
      <c r="N698" s="3583"/>
      <c r="O698" s="3583"/>
      <c r="P698" s="3583"/>
      <c r="Q698" s="3657"/>
      <c r="R698" s="3585"/>
    </row>
    <row r="699" spans="2:18" x14ac:dyDescent="0.2">
      <c r="B699" s="3656" t="str">
        <f>[6]RAB!B372</f>
        <v>E.</v>
      </c>
      <c r="C699" s="3601" t="str">
        <f>[6]RAB!D372</f>
        <v>PEKERJAAN PENUTUP LANTAI DAN DINDING</v>
      </c>
      <c r="D699" s="3652"/>
      <c r="E699" s="3652"/>
      <c r="F699" s="3652"/>
      <c r="G699" s="3626"/>
      <c r="H699" s="3583"/>
      <c r="I699" s="3583"/>
      <c r="J699" s="3583"/>
      <c r="K699" s="3583"/>
      <c r="L699" s="3583"/>
      <c r="M699" s="3583"/>
      <c r="N699" s="3583"/>
      <c r="O699" s="3583"/>
      <c r="P699" s="3583"/>
      <c r="Q699" s="3657"/>
      <c r="R699" s="3585"/>
    </row>
    <row r="700" spans="2:18" x14ac:dyDescent="0.2">
      <c r="B700" s="3656">
        <f>[6]RAB!B373</f>
        <v>1</v>
      </c>
      <c r="C700" s="3601" t="str">
        <f>[6]RAB!D373</f>
        <v>Memasang lantai homogenius tile polished ( 60 x 60 ) cm</v>
      </c>
      <c r="D700" s="3652"/>
      <c r="E700" s="3652"/>
      <c r="F700" s="3652"/>
      <c r="G700" s="3626"/>
      <c r="H700" s="3583">
        <v>8</v>
      </c>
      <c r="I700" s="3583" t="s">
        <v>424</v>
      </c>
      <c r="J700" s="3583">
        <v>8</v>
      </c>
      <c r="K700" s="3583"/>
      <c r="L700" s="3583"/>
      <c r="M700" s="3583"/>
      <c r="N700" s="3583"/>
      <c r="O700" s="3583"/>
      <c r="P700" s="3583">
        <f>H700*J700</f>
        <v>64</v>
      </c>
      <c r="Q700" s="3657">
        <f t="shared" si="26"/>
        <v>64</v>
      </c>
      <c r="R700" s="3585" t="str">
        <f>[6]RAB!H373</f>
        <v>m2</v>
      </c>
    </row>
    <row r="701" spans="2:18" x14ac:dyDescent="0.2">
      <c r="B701" s="3656">
        <f>[6]RAB!B374</f>
        <v>2</v>
      </c>
      <c r="C701" s="3601" t="str">
        <f>[6]RAB!D374</f>
        <v>Memasang plint lantai Homogenius tile uk. (10 x 60) cm</v>
      </c>
      <c r="D701" s="3652"/>
      <c r="E701" s="3652"/>
      <c r="F701" s="3652"/>
      <c r="G701" s="3626"/>
      <c r="H701" s="3583">
        <f>H700+J700*4</f>
        <v>40</v>
      </c>
      <c r="I701" s="3583"/>
      <c r="J701" s="3583"/>
      <c r="K701" s="3583"/>
      <c r="L701" s="3583"/>
      <c r="M701" s="3583"/>
      <c r="N701" s="3583"/>
      <c r="O701" s="3583"/>
      <c r="P701" s="3583">
        <f>H701</f>
        <v>40</v>
      </c>
      <c r="Q701" s="3657">
        <f t="shared" si="26"/>
        <v>40</v>
      </c>
      <c r="R701" s="3585" t="str">
        <f>[6]RAB!H374</f>
        <v>m'</v>
      </c>
    </row>
    <row r="702" spans="2:18" x14ac:dyDescent="0.2">
      <c r="B702" s="3656"/>
      <c r="C702" s="3601"/>
      <c r="D702" s="3652"/>
      <c r="E702" s="3652"/>
      <c r="F702" s="3652"/>
      <c r="G702" s="3626"/>
      <c r="H702" s="3583"/>
      <c r="I702" s="3583"/>
      <c r="J702" s="3583"/>
      <c r="K702" s="3583"/>
      <c r="L702" s="3583"/>
      <c r="M702" s="3583"/>
      <c r="N702" s="3583"/>
      <c r="O702" s="3583"/>
      <c r="P702" s="3583"/>
      <c r="Q702" s="3657"/>
      <c r="R702" s="3585"/>
    </row>
    <row r="703" spans="2:18" x14ac:dyDescent="0.2">
      <c r="B703" s="3656" t="str">
        <f>[6]RAB!B376</f>
        <v>F.</v>
      </c>
      <c r="C703" s="3601" t="str">
        <f>[6]RAB!D376</f>
        <v>PEKERJAAN  LANGIT-LANGIT</v>
      </c>
      <c r="D703" s="3652"/>
      <c r="E703" s="3652"/>
      <c r="F703" s="3652"/>
      <c r="G703" s="3626"/>
      <c r="H703" s="3583"/>
      <c r="I703" s="3583"/>
      <c r="J703" s="3583"/>
      <c r="K703" s="3583"/>
      <c r="L703" s="3583"/>
      <c r="M703" s="3583"/>
      <c r="N703" s="3583"/>
      <c r="O703" s="3583"/>
      <c r="P703" s="3583"/>
      <c r="Q703" s="3657"/>
      <c r="R703" s="3585"/>
    </row>
    <row r="704" spans="2:18" x14ac:dyDescent="0.2">
      <c r="B704" s="3656">
        <f>[6]RAB!B377</f>
        <v>1</v>
      </c>
      <c r="C704" s="3601" t="str">
        <f>[6]RAB!D377</f>
        <v>Memasang rk. plafond besi hollow uk. (60x80) cm</v>
      </c>
      <c r="D704" s="3652"/>
      <c r="E704" s="3652"/>
      <c r="F704" s="3652"/>
      <c r="G704" s="3626"/>
      <c r="H704" s="3583">
        <f>H700</f>
        <v>8</v>
      </c>
      <c r="I704" s="3589" t="s">
        <v>425</v>
      </c>
      <c r="J704" s="3583">
        <f>J700</f>
        <v>8</v>
      </c>
      <c r="K704" s="3583"/>
      <c r="L704" s="3583"/>
      <c r="M704" s="3583"/>
      <c r="N704" s="3583"/>
      <c r="O704" s="3583"/>
      <c r="P704" s="3583">
        <f>H704+J704</f>
        <v>16</v>
      </c>
      <c r="Q704" s="3657">
        <f t="shared" si="26"/>
        <v>16</v>
      </c>
      <c r="R704" s="3585" t="str">
        <f>[6]RAB!H377</f>
        <v>m2</v>
      </c>
    </row>
    <row r="705" spans="2:18" x14ac:dyDescent="0.2">
      <c r="B705" s="3656">
        <f>[6]RAB!B378</f>
        <v>2</v>
      </c>
      <c r="C705" s="3601" t="str">
        <f>[6]RAB!D378</f>
        <v>Memasang langit-langit gypsum board uk. (120x240), tb. 9 mm.</v>
      </c>
      <c r="D705" s="3652"/>
      <c r="E705" s="3652"/>
      <c r="F705" s="3652"/>
      <c r="G705" s="3626"/>
      <c r="H705" s="3583">
        <f>P704</f>
        <v>16</v>
      </c>
      <c r="I705" s="3583"/>
      <c r="J705" s="3583"/>
      <c r="K705" s="3583"/>
      <c r="L705" s="3583"/>
      <c r="M705" s="3583"/>
      <c r="N705" s="3583"/>
      <c r="O705" s="3583"/>
      <c r="P705" s="3583">
        <f>H705</f>
        <v>16</v>
      </c>
      <c r="Q705" s="3657">
        <f t="shared" si="26"/>
        <v>16</v>
      </c>
      <c r="R705" s="3585" t="str">
        <f>[6]RAB!H378</f>
        <v>m2</v>
      </c>
    </row>
    <row r="706" spans="2:18" x14ac:dyDescent="0.2">
      <c r="B706" s="3656">
        <f>[6]RAB!B379</f>
        <v>3</v>
      </c>
      <c r="C706" s="3601" t="str">
        <f>[6]RAB!D379</f>
        <v>Memasang list plafond pvc</v>
      </c>
      <c r="D706" s="3652"/>
      <c r="E706" s="3652"/>
      <c r="F706" s="3652"/>
      <c r="G706" s="3626"/>
      <c r="H706" s="3583">
        <f>P704*3</f>
        <v>48</v>
      </c>
      <c r="I706" s="3583"/>
      <c r="J706" s="3583"/>
      <c r="K706" s="3583"/>
      <c r="L706" s="3583"/>
      <c r="M706" s="3583"/>
      <c r="N706" s="3583"/>
      <c r="O706" s="3583"/>
      <c r="P706" s="3583">
        <f>H706</f>
        <v>48</v>
      </c>
      <c r="Q706" s="3657">
        <f t="shared" si="26"/>
        <v>48</v>
      </c>
      <c r="R706" s="3585" t="str">
        <f>[6]RAB!H379</f>
        <v>m'</v>
      </c>
    </row>
    <row r="707" spans="2:18" x14ac:dyDescent="0.2">
      <c r="B707" s="3656"/>
      <c r="C707" s="3601"/>
      <c r="D707" s="3652"/>
      <c r="E707" s="3652"/>
      <c r="F707" s="3652"/>
      <c r="G707" s="3626"/>
      <c r="H707" s="3583"/>
      <c r="I707" s="3583"/>
      <c r="J707" s="3583"/>
      <c r="K707" s="3583"/>
      <c r="L707" s="3583"/>
      <c r="M707" s="3583"/>
      <c r="N707" s="3583"/>
      <c r="O707" s="3583"/>
      <c r="P707" s="3583"/>
      <c r="Q707" s="3657"/>
      <c r="R707" s="3585"/>
    </row>
    <row r="708" spans="2:18" x14ac:dyDescent="0.2">
      <c r="B708" s="3656" t="str">
        <f>[6]RAB!B381</f>
        <v>G.</v>
      </c>
      <c r="C708" s="3601" t="str">
        <f>[6]RAB!D381</f>
        <v>PEKERJAAN RANGKA DAN PENUTUP ATAP</v>
      </c>
      <c r="D708" s="3652"/>
      <c r="E708" s="3652"/>
      <c r="F708" s="3652"/>
      <c r="G708" s="3626"/>
      <c r="H708" s="3583"/>
      <c r="I708" s="3583"/>
      <c r="J708" s="3583"/>
      <c r="K708" s="3583"/>
      <c r="L708" s="3583"/>
      <c r="M708" s="3583"/>
      <c r="N708" s="3583"/>
      <c r="O708" s="3583"/>
      <c r="P708" s="3583"/>
      <c r="Q708" s="3657"/>
      <c r="R708" s="3585"/>
    </row>
    <row r="709" spans="2:18" x14ac:dyDescent="0.2">
      <c r="B709" s="3656">
        <f>[6]RAB!B382</f>
        <v>1</v>
      </c>
      <c r="C709" s="3601" t="str">
        <f>[6]RAB!D382</f>
        <v xml:space="preserve">Pas. rangka atap baja ringan </v>
      </c>
      <c r="D709" s="3652"/>
      <c r="E709" s="3652"/>
      <c r="F709" s="3652"/>
      <c r="G709" s="3626"/>
      <c r="H709" s="3583">
        <v>9</v>
      </c>
      <c r="I709" s="3583" t="s">
        <v>424</v>
      </c>
      <c r="J709" s="3583">
        <v>9</v>
      </c>
      <c r="K709" s="3583"/>
      <c r="L709" s="3583"/>
      <c r="M709" s="3583"/>
      <c r="N709" s="3583"/>
      <c r="O709" s="3583"/>
      <c r="P709" s="3583">
        <f>H709*J709</f>
        <v>81</v>
      </c>
      <c r="Q709" s="3657">
        <f t="shared" si="26"/>
        <v>81</v>
      </c>
      <c r="R709" s="3585" t="str">
        <f>[6]RAB!H382</f>
        <v>m2</v>
      </c>
    </row>
    <row r="710" spans="2:18" x14ac:dyDescent="0.2">
      <c r="B710" s="3656">
        <f>[6]RAB!B383</f>
        <v>2</v>
      </c>
      <c r="C710" s="3601" t="str">
        <f>[6]RAB!D383</f>
        <v>Pasang penutup atap galvalum pasir</v>
      </c>
      <c r="D710" s="3652"/>
      <c r="E710" s="3652"/>
      <c r="F710" s="3652"/>
      <c r="G710" s="3626"/>
      <c r="H710" s="3583">
        <f>H709</f>
        <v>9</v>
      </c>
      <c r="I710" s="3583" t="s">
        <v>424</v>
      </c>
      <c r="J710" s="3583">
        <f>J709</f>
        <v>9</v>
      </c>
      <c r="K710" s="3583"/>
      <c r="L710" s="3583"/>
      <c r="M710" s="3583"/>
      <c r="N710" s="3583"/>
      <c r="O710" s="3583"/>
      <c r="P710" s="3583">
        <f>H710*J710</f>
        <v>81</v>
      </c>
      <c r="Q710" s="3657">
        <f t="shared" si="26"/>
        <v>81</v>
      </c>
      <c r="R710" s="3585" t="str">
        <f>[6]RAB!H383</f>
        <v>m2</v>
      </c>
    </row>
    <row r="711" spans="2:18" x14ac:dyDescent="0.2">
      <c r="B711" s="3656">
        <f>[6]RAB!B384</f>
        <v>3</v>
      </c>
      <c r="C711" s="3601" t="str">
        <f>[6]RAB!D384</f>
        <v>Pasang bubungan galvalum pasir</v>
      </c>
      <c r="D711" s="3652"/>
      <c r="E711" s="3652"/>
      <c r="F711" s="3652"/>
      <c r="G711" s="3626"/>
      <c r="H711" s="3583">
        <f>7</f>
        <v>7</v>
      </c>
      <c r="I711" s="3583" t="s">
        <v>424</v>
      </c>
      <c r="J711" s="3583">
        <v>4</v>
      </c>
      <c r="K711" s="3583"/>
      <c r="L711" s="3583"/>
      <c r="M711" s="3583"/>
      <c r="N711" s="3583"/>
      <c r="O711" s="3583"/>
      <c r="P711" s="3583">
        <f>H711*J711</f>
        <v>28</v>
      </c>
      <c r="Q711" s="3657">
        <f t="shared" si="26"/>
        <v>28</v>
      </c>
      <c r="R711" s="3585" t="str">
        <f>[6]RAB!H384</f>
        <v>m'</v>
      </c>
    </row>
    <row r="712" spans="2:18" x14ac:dyDescent="0.2">
      <c r="B712" s="3656">
        <f>[6]RAB!B385</f>
        <v>4</v>
      </c>
      <c r="C712" s="3601" t="str">
        <f>[6]RAB!D385</f>
        <v>Memasang lisplank</v>
      </c>
      <c r="D712" s="3652"/>
      <c r="E712" s="3652"/>
      <c r="F712" s="3652"/>
      <c r="G712" s="3626"/>
      <c r="H712" s="3583">
        <f>9.8</f>
        <v>9.8000000000000007</v>
      </c>
      <c r="I712" s="3583" t="s">
        <v>424</v>
      </c>
      <c r="J712" s="3583">
        <v>4</v>
      </c>
      <c r="K712" s="3583"/>
      <c r="L712" s="3583"/>
      <c r="M712" s="3583"/>
      <c r="N712" s="3583"/>
      <c r="O712" s="3583"/>
      <c r="P712" s="3583">
        <f>H712*J712</f>
        <v>39.200000000000003</v>
      </c>
      <c r="Q712" s="3657">
        <f t="shared" si="26"/>
        <v>39.200000000000003</v>
      </c>
      <c r="R712" s="3585" t="str">
        <f>[6]RAB!H385</f>
        <v>m'</v>
      </c>
    </row>
    <row r="713" spans="2:18" x14ac:dyDescent="0.2">
      <c r="B713" s="3656"/>
      <c r="C713" s="3601"/>
      <c r="D713" s="3652"/>
      <c r="E713" s="3652"/>
      <c r="F713" s="3652"/>
      <c r="G713" s="3626"/>
      <c r="H713" s="3583"/>
      <c r="I713" s="3583"/>
      <c r="J713" s="3583"/>
      <c r="K713" s="3583"/>
      <c r="L713" s="3583"/>
      <c r="M713" s="3583"/>
      <c r="N713" s="3583"/>
      <c r="O713" s="3583"/>
      <c r="P713" s="3583"/>
      <c r="Q713" s="3657"/>
      <c r="R713" s="3585"/>
    </row>
    <row r="714" spans="2:18" x14ac:dyDescent="0.2">
      <c r="B714" s="3656" t="str">
        <f>[6]RAB!B387</f>
        <v>H.</v>
      </c>
      <c r="C714" s="3601" t="str">
        <f>[6]RAB!D387</f>
        <v>PEKERJAAN PINTU DAN JENDELA</v>
      </c>
      <c r="D714" s="3652"/>
      <c r="E714" s="3652"/>
      <c r="F714" s="3652"/>
      <c r="G714" s="3626"/>
      <c r="H714" s="3583"/>
      <c r="I714" s="3583"/>
      <c r="J714" s="3583"/>
      <c r="K714" s="3583"/>
      <c r="L714" s="3583"/>
      <c r="M714" s="3583"/>
      <c r="N714" s="3583"/>
      <c r="O714" s="3583"/>
      <c r="P714" s="3583"/>
      <c r="Q714" s="3657"/>
      <c r="R714" s="3585"/>
    </row>
    <row r="715" spans="2:18" x14ac:dyDescent="0.2">
      <c r="B715" s="3656">
        <f>[6]RAB!B388</f>
        <v>1</v>
      </c>
      <c r="C715" s="3601" t="str">
        <f>[6]RAB!D388</f>
        <v xml:space="preserve">Memasang kusen pintu/jendela alluminium </v>
      </c>
      <c r="D715" s="3652"/>
      <c r="E715" s="3652"/>
      <c r="F715" s="3652"/>
      <c r="G715" s="3626"/>
      <c r="H715" s="3583"/>
      <c r="I715" s="3583"/>
      <c r="J715" s="3583"/>
      <c r="K715" s="3583"/>
      <c r="L715" s="3583"/>
      <c r="M715" s="3583"/>
      <c r="N715" s="3583"/>
      <c r="O715" s="3583"/>
      <c r="P715" s="3583">
        <f>'[6]back up kusen alumunium'!K35</f>
        <v>36.799999999999997</v>
      </c>
      <c r="Q715" s="3657">
        <f t="shared" ref="Q715:Q723" si="29">P715</f>
        <v>36.799999999999997</v>
      </c>
      <c r="R715" s="3585" t="str">
        <f>[6]RAB!H388</f>
        <v>m'</v>
      </c>
    </row>
    <row r="716" spans="2:18" x14ac:dyDescent="0.2">
      <c r="B716" s="3656">
        <f>[6]RAB!B389</f>
        <v>2</v>
      </c>
      <c r="C716" s="3601" t="str">
        <f>[6]RAB!D389</f>
        <v>Memasang pintu kaca rangka alluminium</v>
      </c>
      <c r="D716" s="3652"/>
      <c r="E716" s="3652"/>
      <c r="F716" s="3652"/>
      <c r="G716" s="3626"/>
      <c r="H716" s="3583"/>
      <c r="I716" s="3583"/>
      <c r="J716" s="3583"/>
      <c r="K716" s="3583"/>
      <c r="L716" s="3583"/>
      <c r="M716" s="3583"/>
      <c r="N716" s="3583"/>
      <c r="O716" s="3583"/>
      <c r="P716" s="3583">
        <f>'[6]back up kusen alumunium'!M35</f>
        <v>2.3400000000000003</v>
      </c>
      <c r="Q716" s="3657">
        <f t="shared" si="29"/>
        <v>2.3400000000000003</v>
      </c>
      <c r="R716" s="3585" t="str">
        <f>[6]RAB!H389</f>
        <v>m2</v>
      </c>
    </row>
    <row r="717" spans="2:18" x14ac:dyDescent="0.2">
      <c r="B717" s="3656">
        <f>[6]RAB!B390</f>
        <v>3</v>
      </c>
      <c r="C717" s="3601" t="str">
        <f>[6]RAB!D390</f>
        <v>Memasang jendela &amp; boven kaca rangka aluminium</v>
      </c>
      <c r="D717" s="3652"/>
      <c r="E717" s="3652"/>
      <c r="F717" s="3652"/>
      <c r="G717" s="3626"/>
      <c r="H717" s="3583"/>
      <c r="I717" s="3583"/>
      <c r="J717" s="3583"/>
      <c r="K717" s="3583"/>
      <c r="L717" s="3583"/>
      <c r="M717" s="3583"/>
      <c r="N717" s="3583"/>
      <c r="O717" s="3583"/>
      <c r="P717" s="3583">
        <f>'[6]back up kusen alumunium'!N35</f>
        <v>8.51</v>
      </c>
      <c r="Q717" s="3657">
        <f t="shared" si="29"/>
        <v>8.51</v>
      </c>
      <c r="R717" s="3585" t="str">
        <f>[6]RAB!H390</f>
        <v>m2</v>
      </c>
    </row>
    <row r="718" spans="2:18" x14ac:dyDescent="0.2">
      <c r="B718" s="3656">
        <f>[6]RAB!B391</f>
        <v>4</v>
      </c>
      <c r="C718" s="3601" t="str">
        <f>[6]RAB!D391</f>
        <v>Pasang kaca mati tebal 5 mm</v>
      </c>
      <c r="D718" s="3652"/>
      <c r="E718" s="3652"/>
      <c r="F718" s="3652"/>
      <c r="G718" s="3626"/>
      <c r="H718" s="3583"/>
      <c r="I718" s="3583"/>
      <c r="J718" s="3583"/>
      <c r="K718" s="3583"/>
      <c r="L718" s="3583"/>
      <c r="M718" s="3583"/>
      <c r="N718" s="3583"/>
      <c r="O718" s="3583"/>
      <c r="P718" s="3583">
        <f>'[6]back up kusen alumunium'!O35</f>
        <v>1.68</v>
      </c>
      <c r="Q718" s="3657">
        <f t="shared" si="29"/>
        <v>1.68</v>
      </c>
      <c r="R718" s="3585" t="str">
        <f>[6]RAB!H391</f>
        <v>m2</v>
      </c>
    </row>
    <row r="719" spans="2:18" x14ac:dyDescent="0.2">
      <c r="B719" s="3656"/>
      <c r="C719" s="3601"/>
      <c r="D719" s="3652"/>
      <c r="E719" s="3652"/>
      <c r="F719" s="3652"/>
      <c r="G719" s="3626"/>
      <c r="H719" s="3583"/>
      <c r="I719" s="3583"/>
      <c r="J719" s="3583"/>
      <c r="K719" s="3583"/>
      <c r="L719" s="3583"/>
      <c r="M719" s="3583"/>
      <c r="N719" s="3583"/>
      <c r="O719" s="3583"/>
      <c r="P719" s="3583"/>
      <c r="Q719" s="3657"/>
      <c r="R719" s="3585"/>
    </row>
    <row r="720" spans="2:18" x14ac:dyDescent="0.2">
      <c r="B720" s="3656" t="str">
        <f>[6]RAB!B393</f>
        <v>I.</v>
      </c>
      <c r="C720" s="3601" t="str">
        <f>[6]RAB!D393</f>
        <v>PEKERJAAN PENGECATAN</v>
      </c>
      <c r="D720" s="3652"/>
      <c r="E720" s="3652"/>
      <c r="F720" s="3652"/>
      <c r="G720" s="3626"/>
      <c r="H720" s="3583"/>
      <c r="I720" s="3583"/>
      <c r="J720" s="3583"/>
      <c r="K720" s="3583"/>
      <c r="L720" s="3583"/>
      <c r="M720" s="3583"/>
      <c r="N720" s="3583"/>
      <c r="O720" s="3583"/>
      <c r="P720" s="3583"/>
      <c r="Q720" s="3657"/>
      <c r="R720" s="3585"/>
    </row>
    <row r="721" spans="2:18" x14ac:dyDescent="0.2">
      <c r="B721" s="3656">
        <f>[6]RAB!B394</f>
        <v>1</v>
      </c>
      <c r="C721" s="3601" t="str">
        <f>[6]RAB!D394</f>
        <v>Pengecatan dinding dalam (cat interior)</v>
      </c>
      <c r="D721" s="3652"/>
      <c r="E721" s="3652"/>
      <c r="F721" s="3652"/>
      <c r="G721" s="3626"/>
      <c r="H721" s="3583">
        <f>Q697</f>
        <v>260.71999999999997</v>
      </c>
      <c r="I721" s="3589" t="s">
        <v>805</v>
      </c>
      <c r="J721" s="3583">
        <f>P722</f>
        <v>3.84</v>
      </c>
      <c r="K721" s="3583"/>
      <c r="L721" s="3583"/>
      <c r="M721" s="3583"/>
      <c r="N721" s="3583"/>
      <c r="O721" s="3583"/>
      <c r="P721" s="3583">
        <f>H721-J721</f>
        <v>256.88</v>
      </c>
      <c r="Q721" s="3657">
        <f t="shared" si="29"/>
        <v>256.88</v>
      </c>
      <c r="R721" s="3585" t="str">
        <f>[6]RAB!H394</f>
        <v>m2</v>
      </c>
    </row>
    <row r="722" spans="2:18" x14ac:dyDescent="0.2">
      <c r="B722" s="3656">
        <f>[6]RAB!B395</f>
        <v>2</v>
      </c>
      <c r="C722" s="3601" t="str">
        <f>[6]RAB!D395</f>
        <v>Pengecatan dinding luar (cat exterior)</v>
      </c>
      <c r="D722" s="3652"/>
      <c r="E722" s="3652"/>
      <c r="F722" s="3652"/>
      <c r="G722" s="3626"/>
      <c r="H722" s="3583">
        <f>3.1*2.7*4</f>
        <v>33.480000000000004</v>
      </c>
      <c r="I722" s="3589" t="s">
        <v>805</v>
      </c>
      <c r="J722" s="3583">
        <f>P691</f>
        <v>29.640000000000004</v>
      </c>
      <c r="K722" s="3583"/>
      <c r="L722" s="3583"/>
      <c r="M722" s="3583"/>
      <c r="N722" s="3583"/>
      <c r="O722" s="3583"/>
      <c r="P722" s="3583">
        <f>H722-J722</f>
        <v>3.84</v>
      </c>
      <c r="Q722" s="3657">
        <f t="shared" si="29"/>
        <v>3.84</v>
      </c>
      <c r="R722" s="3585" t="str">
        <f>[6]RAB!H395</f>
        <v>m2</v>
      </c>
    </row>
    <row r="723" spans="2:18" x14ac:dyDescent="0.2">
      <c r="B723" s="3656">
        <f>[6]RAB!B396</f>
        <v>3</v>
      </c>
      <c r="C723" s="3601" t="str">
        <f>[6]RAB!D396</f>
        <v>Pengecatan plafond</v>
      </c>
      <c r="D723" s="3652"/>
      <c r="E723" s="3652"/>
      <c r="F723" s="3652"/>
      <c r="G723" s="3626"/>
      <c r="H723" s="3583">
        <f>P704</f>
        <v>16</v>
      </c>
      <c r="I723" s="3583"/>
      <c r="J723" s="3583"/>
      <c r="K723" s="3583"/>
      <c r="L723" s="3583"/>
      <c r="M723" s="3583"/>
      <c r="N723" s="3583"/>
      <c r="O723" s="3583"/>
      <c r="P723" s="3583">
        <f>H723</f>
        <v>16</v>
      </c>
      <c r="Q723" s="3657">
        <f t="shared" si="29"/>
        <v>16</v>
      </c>
      <c r="R723" s="3585" t="str">
        <f>[6]RAB!H396</f>
        <v>m2</v>
      </c>
    </row>
    <row r="724" spans="2:18" x14ac:dyDescent="0.2">
      <c r="B724" s="3656"/>
      <c r="C724" s="3601"/>
      <c r="D724" s="3652"/>
      <c r="E724" s="3652"/>
      <c r="F724" s="3652"/>
      <c r="G724" s="3626"/>
      <c r="H724" s="3583"/>
      <c r="I724" s="3583"/>
      <c r="J724" s="3583"/>
      <c r="K724" s="3583"/>
      <c r="L724" s="3583"/>
      <c r="M724" s="3583"/>
      <c r="N724" s="3583"/>
      <c r="O724" s="3583"/>
      <c r="P724" s="3583"/>
      <c r="Q724" s="3657"/>
      <c r="R724" s="3585"/>
    </row>
    <row r="725" spans="2:18" x14ac:dyDescent="0.2">
      <c r="B725" s="3656" t="str">
        <f>[6]RAB!B398</f>
        <v>J.</v>
      </c>
      <c r="C725" s="3601" t="str">
        <f>[6]RAB!D398</f>
        <v>PEKERJAAN ELEKTRIKAL</v>
      </c>
      <c r="D725" s="3652"/>
      <c r="E725" s="3652"/>
      <c r="F725" s="3652"/>
      <c r="G725" s="3626"/>
      <c r="H725" s="3583"/>
      <c r="I725" s="3583"/>
      <c r="J725" s="3583"/>
      <c r="K725" s="3583"/>
      <c r="L725" s="3583"/>
      <c r="M725" s="3583"/>
      <c r="N725" s="3583"/>
      <c r="O725" s="3583"/>
      <c r="P725" s="3583"/>
      <c r="Q725" s="3657"/>
      <c r="R725" s="3585"/>
    </row>
    <row r="726" spans="2:18" x14ac:dyDescent="0.2">
      <c r="B726" s="3656">
        <f>[6]RAB!B399</f>
        <v>1</v>
      </c>
      <c r="C726" s="3601" t="str">
        <f>[6]RAB!D399</f>
        <v>Kabel power NYY 4 x 6 mm2</v>
      </c>
      <c r="D726" s="3652"/>
      <c r="E726" s="3652"/>
      <c r="F726" s="3652"/>
      <c r="G726" s="3626"/>
      <c r="H726" s="3583"/>
      <c r="I726" s="3583"/>
      <c r="J726" s="3583"/>
      <c r="K726" s="3583"/>
      <c r="L726" s="3583"/>
      <c r="M726" s="3583"/>
      <c r="N726" s="3583"/>
      <c r="O726" s="3583"/>
      <c r="P726" s="3583">
        <v>36.4</v>
      </c>
      <c r="Q726" s="3657">
        <f t="shared" ref="Q726:Q732" si="30">P726</f>
        <v>36.4</v>
      </c>
      <c r="R726" s="3585" t="str">
        <f>[6]RAB!H399</f>
        <v>m'</v>
      </c>
    </row>
    <row r="727" spans="2:18" x14ac:dyDescent="0.2">
      <c r="B727" s="3656">
        <f>[6]RAB!B400</f>
        <v>2</v>
      </c>
      <c r="C727" s="3601" t="str">
        <f>[6]RAB!D400</f>
        <v>Instalasi titik lampu (kabel 2x1,5 mm)</v>
      </c>
      <c r="D727" s="3652"/>
      <c r="E727" s="3652"/>
      <c r="F727" s="3652"/>
      <c r="G727" s="3626"/>
      <c r="H727" s="3583"/>
      <c r="I727" s="3583"/>
      <c r="J727" s="3583"/>
      <c r="K727" s="3583"/>
      <c r="L727" s="3583"/>
      <c r="M727" s="3583"/>
      <c r="N727" s="3583"/>
      <c r="O727" s="3583"/>
      <c r="P727" s="3583">
        <f>P732</f>
        <v>16</v>
      </c>
      <c r="Q727" s="3657">
        <f t="shared" si="30"/>
        <v>16</v>
      </c>
      <c r="R727" s="3585" t="str">
        <f>[6]RAB!H400</f>
        <v>ttk</v>
      </c>
    </row>
    <row r="728" spans="2:18" x14ac:dyDescent="0.2">
      <c r="B728" s="3656">
        <f>[6]RAB!B401</f>
        <v>3</v>
      </c>
      <c r="C728" s="3601" t="str">
        <f>[6]RAB!D401</f>
        <v>Instalasi titik stop kontak (kabel 3x2,5 mm)</v>
      </c>
      <c r="D728" s="3652"/>
      <c r="E728" s="3652"/>
      <c r="F728" s="3652"/>
      <c r="G728" s="3626"/>
      <c r="H728" s="3583"/>
      <c r="I728" s="3583"/>
      <c r="J728" s="3583"/>
      <c r="K728" s="3583"/>
      <c r="L728" s="3583"/>
      <c r="M728" s="3583"/>
      <c r="N728" s="3583"/>
      <c r="O728" s="3583"/>
      <c r="P728" s="3583">
        <f>P731</f>
        <v>4</v>
      </c>
      <c r="Q728" s="3657">
        <f t="shared" si="30"/>
        <v>4</v>
      </c>
      <c r="R728" s="3585" t="str">
        <f>[6]RAB!H401</f>
        <v>ttk</v>
      </c>
    </row>
    <row r="729" spans="2:18" x14ac:dyDescent="0.2">
      <c r="B729" s="3656">
        <f>[6]RAB!B402</f>
        <v>4</v>
      </c>
      <c r="C729" s="3601" t="str">
        <f>[6]RAB!D402</f>
        <v>Memasang saklar ganda</v>
      </c>
      <c r="D729" s="3652"/>
      <c r="E729" s="3652"/>
      <c r="F729" s="3652"/>
      <c r="G729" s="3626"/>
      <c r="H729" s="3583"/>
      <c r="I729" s="3583"/>
      <c r="J729" s="3583"/>
      <c r="K729" s="3583"/>
      <c r="L729" s="3583"/>
      <c r="M729" s="3583"/>
      <c r="N729" s="3583"/>
      <c r="O729" s="3583"/>
      <c r="P729" s="3583">
        <v>2</v>
      </c>
      <c r="Q729" s="3657">
        <f t="shared" si="30"/>
        <v>2</v>
      </c>
      <c r="R729" s="3585" t="str">
        <f>[6]RAB!H402</f>
        <v>bh</v>
      </c>
    </row>
    <row r="730" spans="2:18" x14ac:dyDescent="0.2">
      <c r="B730" s="3656">
        <f>[6]RAB!B403</f>
        <v>5</v>
      </c>
      <c r="C730" s="3601" t="str">
        <f>[6]RAB!D403</f>
        <v>Memasang saklar tunggal</v>
      </c>
      <c r="D730" s="3652"/>
      <c r="E730" s="3652"/>
      <c r="F730" s="3652"/>
      <c r="G730" s="3626"/>
      <c r="H730" s="3583"/>
      <c r="I730" s="3583"/>
      <c r="J730" s="3583"/>
      <c r="K730" s="3583"/>
      <c r="L730" s="3583"/>
      <c r="M730" s="3583"/>
      <c r="N730" s="3583"/>
      <c r="O730" s="3583"/>
      <c r="P730" s="3583">
        <v>5</v>
      </c>
      <c r="Q730" s="3657">
        <f t="shared" si="30"/>
        <v>5</v>
      </c>
      <c r="R730" s="3585" t="str">
        <f>[6]RAB!H403</f>
        <v>bh</v>
      </c>
    </row>
    <row r="731" spans="2:18" x14ac:dyDescent="0.2">
      <c r="B731" s="3656">
        <f>[6]RAB!B404</f>
        <v>6</v>
      </c>
      <c r="C731" s="3601" t="str">
        <f>[6]RAB!D404</f>
        <v>Memasang stop kontak</v>
      </c>
      <c r="D731" s="3652"/>
      <c r="E731" s="3652"/>
      <c r="F731" s="3652"/>
      <c r="G731" s="3626"/>
      <c r="H731" s="3583"/>
      <c r="I731" s="3583"/>
      <c r="J731" s="3583"/>
      <c r="K731" s="3583"/>
      <c r="L731" s="3583"/>
      <c r="M731" s="3583"/>
      <c r="N731" s="3583"/>
      <c r="O731" s="3583"/>
      <c r="P731" s="3583">
        <v>4</v>
      </c>
      <c r="Q731" s="3657">
        <f t="shared" si="30"/>
        <v>4</v>
      </c>
      <c r="R731" s="3585" t="str">
        <f>[6]RAB!H404</f>
        <v>bh</v>
      </c>
    </row>
    <row r="732" spans="2:18" x14ac:dyDescent="0.2">
      <c r="B732" s="3656">
        <f>[6]RAB!B405</f>
        <v>7</v>
      </c>
      <c r="C732" s="3601" t="str">
        <f>[6]RAB!D405</f>
        <v>Memasang Downlight LED 17 watt</v>
      </c>
      <c r="D732" s="3652"/>
      <c r="E732" s="3652"/>
      <c r="F732" s="3652"/>
      <c r="G732" s="3626"/>
      <c r="H732" s="3583"/>
      <c r="I732" s="3583"/>
      <c r="J732" s="3583"/>
      <c r="K732" s="3583"/>
      <c r="L732" s="3583"/>
      <c r="M732" s="3583"/>
      <c r="N732" s="3583"/>
      <c r="O732" s="3583"/>
      <c r="P732" s="3583">
        <v>16</v>
      </c>
      <c r="Q732" s="3657">
        <f t="shared" si="30"/>
        <v>16</v>
      </c>
      <c r="R732" s="3585" t="str">
        <f>[6]RAB!H405</f>
        <v>bh</v>
      </c>
    </row>
    <row r="733" spans="2:18" x14ac:dyDescent="0.2">
      <c r="B733" s="3656"/>
      <c r="C733" s="3601"/>
      <c r="D733" s="3652"/>
      <c r="E733" s="3652"/>
      <c r="F733" s="3652"/>
      <c r="G733" s="3626"/>
      <c r="H733" s="3583"/>
      <c r="I733" s="3583"/>
      <c r="J733" s="3583"/>
      <c r="K733" s="3583"/>
      <c r="L733" s="3583"/>
      <c r="M733" s="3583"/>
      <c r="N733" s="3583"/>
      <c r="O733" s="3583"/>
      <c r="P733" s="3583"/>
      <c r="Q733" s="3657"/>
      <c r="R733" s="3585"/>
    </row>
    <row r="734" spans="2:18" x14ac:dyDescent="0.2">
      <c r="B734" s="3656"/>
      <c r="C734" s="3601"/>
      <c r="D734" s="3652"/>
      <c r="E734" s="3652"/>
      <c r="F734" s="3652"/>
      <c r="G734" s="3626"/>
      <c r="H734" s="3583"/>
      <c r="I734" s="3583"/>
      <c r="J734" s="3583"/>
      <c r="K734" s="3583"/>
      <c r="L734" s="3583"/>
      <c r="M734" s="3583"/>
      <c r="N734" s="3583"/>
      <c r="O734" s="3583"/>
      <c r="P734" s="3583"/>
      <c r="Q734" s="3657"/>
      <c r="R734" s="3585"/>
    </row>
    <row r="735" spans="2:18" x14ac:dyDescent="0.2">
      <c r="B735" s="3656"/>
      <c r="C735" s="3601"/>
      <c r="D735" s="3652"/>
      <c r="E735" s="3652"/>
      <c r="F735" s="3652"/>
      <c r="G735" s="3626"/>
      <c r="H735" s="3583"/>
      <c r="I735" s="3583"/>
      <c r="J735" s="3583"/>
      <c r="K735" s="3583"/>
      <c r="L735" s="3583"/>
      <c r="M735" s="3583"/>
      <c r="N735" s="3583"/>
      <c r="O735" s="3583"/>
      <c r="P735" s="3583"/>
      <c r="Q735" s="3657"/>
      <c r="R735" s="3585"/>
    </row>
    <row r="736" spans="2:18" x14ac:dyDescent="0.2">
      <c r="B736" s="3656"/>
      <c r="C736" s="3601"/>
      <c r="D736" s="3652"/>
      <c r="E736" s="3652"/>
      <c r="F736" s="3652"/>
      <c r="G736" s="3626"/>
      <c r="H736" s="3583"/>
      <c r="I736" s="3583"/>
      <c r="J736" s="3583"/>
      <c r="K736" s="3583"/>
      <c r="L736" s="3583"/>
      <c r="M736" s="3583"/>
      <c r="N736" s="3583"/>
      <c r="O736" s="3583"/>
      <c r="P736" s="3583"/>
      <c r="Q736" s="3657"/>
      <c r="R736" s="3585"/>
    </row>
    <row r="737" spans="2:18" ht="13.5" thickBot="1" x14ac:dyDescent="0.25">
      <c r="B737" s="3666"/>
      <c r="C737" s="3667"/>
      <c r="D737" s="3668"/>
      <c r="E737" s="3668"/>
      <c r="F737" s="3668"/>
      <c r="G737" s="3668"/>
      <c r="H737" s="3669"/>
      <c r="I737" s="3669"/>
      <c r="J737" s="3669"/>
      <c r="K737" s="3669"/>
      <c r="L737" s="3669"/>
      <c r="M737" s="3669"/>
      <c r="N737" s="3669"/>
      <c r="O737" s="3669"/>
      <c r="P737" s="3669"/>
      <c r="Q737" s="3670"/>
      <c r="R737" s="3671"/>
    </row>
    <row r="738" spans="2:18" ht="13.5" thickTop="1" x14ac:dyDescent="0.2">
      <c r="B738" s="3672"/>
      <c r="C738" s="3673"/>
      <c r="D738" s="3673"/>
      <c r="E738" s="3673"/>
      <c r="F738" s="3673"/>
      <c r="G738" s="3673"/>
      <c r="H738" s="3672"/>
      <c r="I738" s="3672"/>
      <c r="J738" s="3672"/>
      <c r="K738" s="3672"/>
      <c r="L738" s="3672"/>
      <c r="M738" s="3672"/>
      <c r="N738" s="3672"/>
      <c r="O738" s="3672"/>
      <c r="P738" s="3672"/>
      <c r="Q738" s="3674"/>
      <c r="R738" s="3674"/>
    </row>
  </sheetData>
  <mergeCells count="2">
    <mergeCell ref="B2:R2"/>
    <mergeCell ref="C11:F1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AC87"/>
  <sheetViews>
    <sheetView workbookViewId="0">
      <selection sqref="A1:XFD1048576"/>
    </sheetView>
  </sheetViews>
  <sheetFormatPr defaultColWidth="9.140625" defaultRowHeight="12.75" x14ac:dyDescent="0.2"/>
  <cols>
    <col min="1" max="1" width="9.140625" style="3676"/>
    <col min="2" max="2" width="10.85546875" style="3675" customWidth="1"/>
    <col min="3" max="4" width="6.42578125" style="3675" customWidth="1"/>
    <col min="5" max="5" width="6.42578125" style="3606" customWidth="1"/>
    <col min="6" max="6" width="7.28515625" style="3675" customWidth="1"/>
    <col min="7" max="7" width="8" style="3676" customWidth="1"/>
    <col min="8" max="8" width="11" style="3606" customWidth="1"/>
    <col min="9" max="9" width="3.7109375" style="3677" customWidth="1"/>
    <col min="10" max="10" width="1.7109375" style="3675" customWidth="1"/>
    <col min="11" max="11" width="4" style="3678" customWidth="1"/>
    <col min="12" max="12" width="4.7109375" style="3675" customWidth="1"/>
    <col min="13" max="13" width="8.28515625" style="3676" customWidth="1"/>
    <col min="14" max="14" width="3" style="3676" customWidth="1"/>
    <col min="15" max="15" width="1.7109375" style="3676" customWidth="1"/>
    <col min="16" max="16" width="4" style="3676" customWidth="1"/>
    <col min="17" max="17" width="4.7109375" style="3676" customWidth="1"/>
    <col min="18" max="18" width="8.28515625" style="3676" customWidth="1"/>
    <col min="19" max="19" width="9.140625" style="3676"/>
    <col min="20" max="20" width="11.7109375" style="3676" customWidth="1"/>
    <col min="21" max="16384" width="9.140625" style="3676"/>
  </cols>
  <sheetData>
    <row r="1" spans="2:29" ht="15" customHeight="1" thickBot="1" x14ac:dyDescent="0.25"/>
    <row r="2" spans="2:29" ht="24" customHeight="1" thickBot="1" x14ac:dyDescent="0.25">
      <c r="B2" s="3679" t="str">
        <f>'[6]REKAPITULASI RAB'!D18</f>
        <v>GEDUNG KANTOR</v>
      </c>
      <c r="C2" s="3680"/>
      <c r="D2" s="3680"/>
      <c r="E2" s="3680"/>
      <c r="F2" s="3680"/>
      <c r="G2" s="3680"/>
      <c r="H2" s="3680"/>
      <c r="I2" s="3680"/>
      <c r="J2" s="3680"/>
      <c r="K2" s="3680"/>
      <c r="L2" s="3680"/>
      <c r="M2" s="3680"/>
      <c r="N2" s="3680"/>
      <c r="O2" s="3680"/>
      <c r="P2" s="3680"/>
      <c r="Q2" s="3680"/>
      <c r="R2" s="3681"/>
    </row>
    <row r="3" spans="2:29" ht="18.75" thickBot="1" x14ac:dyDescent="0.3">
      <c r="B3" s="3682" t="s">
        <v>2159</v>
      </c>
      <c r="C3" s="3683"/>
      <c r="D3" s="3683"/>
      <c r="E3" s="3683"/>
      <c r="F3" s="3683"/>
      <c r="G3" s="3683"/>
      <c r="H3" s="3683"/>
      <c r="I3" s="3683"/>
      <c r="J3" s="3683"/>
      <c r="K3" s="3683"/>
      <c r="L3" s="3683"/>
      <c r="M3" s="3683"/>
      <c r="N3" s="3683"/>
      <c r="O3" s="3683"/>
      <c r="P3" s="3683"/>
      <c r="Q3" s="3683"/>
      <c r="R3" s="3684"/>
    </row>
    <row r="4" spans="2:29" ht="24.95" customHeight="1" thickTop="1" thickBot="1" x14ac:dyDescent="0.25">
      <c r="B4" s="3685" t="s">
        <v>2160</v>
      </c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7"/>
      <c r="S4" s="3688"/>
      <c r="T4" s="3688"/>
      <c r="U4" s="3688"/>
      <c r="V4" s="3688"/>
      <c r="W4" s="3688"/>
      <c r="X4" s="3688"/>
      <c r="Y4" s="3688"/>
      <c r="Z4" s="3688"/>
    </row>
    <row r="5" spans="2:29" s="3697" customFormat="1" ht="30" customHeight="1" thickTop="1" x14ac:dyDescent="0.2">
      <c r="B5" s="3689" t="s">
        <v>2161</v>
      </c>
      <c r="C5" s="3690" t="s">
        <v>2162</v>
      </c>
      <c r="D5" s="3690"/>
      <c r="E5" s="3690"/>
      <c r="F5" s="3690"/>
      <c r="G5" s="3691" t="s">
        <v>2163</v>
      </c>
      <c r="H5" s="3692" t="s">
        <v>2164</v>
      </c>
      <c r="I5" s="3693" t="s">
        <v>2165</v>
      </c>
      <c r="J5" s="3693"/>
      <c r="K5" s="3693"/>
      <c r="L5" s="3693"/>
      <c r="M5" s="3693"/>
      <c r="N5" s="3693"/>
      <c r="O5" s="3693"/>
      <c r="P5" s="3693"/>
      <c r="Q5" s="3693"/>
      <c r="R5" s="3694"/>
      <c r="S5" s="3695"/>
      <c r="T5" s="3695"/>
      <c r="U5" s="3695"/>
      <c r="V5" s="3695"/>
      <c r="W5" s="3695"/>
      <c r="X5" s="3695"/>
      <c r="Y5" s="3696"/>
    </row>
    <row r="6" spans="2:29" ht="30" customHeight="1" x14ac:dyDescent="0.2">
      <c r="B6" s="3698"/>
      <c r="C6" s="3699" t="s">
        <v>807</v>
      </c>
      <c r="D6" s="3699" t="s">
        <v>1135</v>
      </c>
      <c r="E6" s="3700" t="s">
        <v>1136</v>
      </c>
      <c r="F6" s="3699" t="s">
        <v>284</v>
      </c>
      <c r="G6" s="3699" t="s">
        <v>1755</v>
      </c>
      <c r="H6" s="3700" t="s">
        <v>2166</v>
      </c>
      <c r="I6" s="3701" t="s">
        <v>610</v>
      </c>
      <c r="J6" s="3701"/>
      <c r="K6" s="3701"/>
      <c r="L6" s="3702" t="s">
        <v>2167</v>
      </c>
      <c r="M6" s="3699" t="s">
        <v>2168</v>
      </c>
      <c r="N6" s="3701" t="s">
        <v>610</v>
      </c>
      <c r="O6" s="3701"/>
      <c r="P6" s="3701"/>
      <c r="Q6" s="3702" t="s">
        <v>2169</v>
      </c>
      <c r="R6" s="3703" t="s">
        <v>2170</v>
      </c>
      <c r="S6" s="3704"/>
      <c r="T6" s="3704"/>
      <c r="U6" s="3704"/>
      <c r="V6" s="3704"/>
      <c r="W6" s="3704"/>
      <c r="X6" s="3704"/>
      <c r="Y6" s="3705"/>
    </row>
    <row r="7" spans="2:29" ht="15" customHeight="1" x14ac:dyDescent="0.2">
      <c r="B7" s="3706" t="s">
        <v>2171</v>
      </c>
      <c r="C7" s="3707">
        <v>1.2</v>
      </c>
      <c r="D7" s="3707">
        <v>1.2</v>
      </c>
      <c r="E7" s="3708">
        <v>0.4</v>
      </c>
      <c r="F7" s="3709">
        <f>'[6]B.VOL RAB'!N31</f>
        <v>72</v>
      </c>
      <c r="G7" s="3708">
        <f>(C7*D7*E7*F7)</f>
        <v>41.471999999999994</v>
      </c>
      <c r="H7" s="3708">
        <f>(2*C7+2*D7)*E7*F7</f>
        <v>138.24</v>
      </c>
      <c r="I7" s="3710">
        <v>16</v>
      </c>
      <c r="J7" s="3711" t="s">
        <v>805</v>
      </c>
      <c r="K7" s="3712">
        <v>200</v>
      </c>
      <c r="L7" s="3713">
        <f>1+($C7*$F7)/(K7/1000)-1</f>
        <v>431.99999999999994</v>
      </c>
      <c r="M7" s="3708">
        <f>(0.25*PI()*(I7/1000)^2)*(2*($D7+$E7))*L7*7850</f>
        <v>2181.891892603639</v>
      </c>
      <c r="N7" s="3710">
        <v>13</v>
      </c>
      <c r="O7" s="3711" t="s">
        <v>805</v>
      </c>
      <c r="P7" s="3712">
        <f>K7</f>
        <v>200</v>
      </c>
      <c r="Q7" s="3713">
        <f>1+($D7*$F7)/(P7/1000)-1</f>
        <v>431.99999999999994</v>
      </c>
      <c r="R7" s="3714">
        <f>(0.25*PI()*(N7/1000)^2)*(2*($C7+$E7))*Q7*7850</f>
        <v>1440.3895697266209</v>
      </c>
      <c r="S7" s="3606"/>
      <c r="T7" s="3606"/>
      <c r="V7" s="3606"/>
      <c r="X7" s="3606"/>
    </row>
    <row r="8" spans="2:29" ht="15" customHeight="1" x14ac:dyDescent="0.2">
      <c r="B8" s="3706"/>
      <c r="C8" s="3707"/>
      <c r="D8" s="3707"/>
      <c r="E8" s="3708"/>
      <c r="F8" s="3711"/>
      <c r="G8" s="3708"/>
      <c r="H8" s="3708"/>
      <c r="I8" s="3710"/>
      <c r="J8" s="3711"/>
      <c r="K8" s="3712"/>
      <c r="L8" s="3713"/>
      <c r="M8" s="3708"/>
      <c r="N8" s="3710"/>
      <c r="O8" s="3711"/>
      <c r="P8" s="3712"/>
      <c r="Q8" s="3713"/>
      <c r="R8" s="3714"/>
      <c r="S8" s="3606"/>
      <c r="T8" s="3606"/>
      <c r="V8" s="3606"/>
      <c r="X8" s="3606"/>
      <c r="Y8" s="3606"/>
      <c r="AC8" s="3606"/>
    </row>
    <row r="9" spans="2:29" s="3719" customFormat="1" ht="20.100000000000001" customHeight="1" x14ac:dyDescent="0.2">
      <c r="B9" s="3715" t="s">
        <v>284</v>
      </c>
      <c r="C9" s="3716"/>
      <c r="D9" s="3716"/>
      <c r="E9" s="3716"/>
      <c r="F9" s="3717"/>
      <c r="G9" s="3717">
        <f>SUM(G7:G8)</f>
        <v>41.471999999999994</v>
      </c>
      <c r="H9" s="3717">
        <f>SUM(H7:H8)</f>
        <v>138.24</v>
      </c>
      <c r="I9" s="3716"/>
      <c r="J9" s="3716"/>
      <c r="K9" s="3716"/>
      <c r="L9" s="3716"/>
      <c r="M9" s="3717">
        <f>SUM(M7:M8)</f>
        <v>2181.891892603639</v>
      </c>
      <c r="N9" s="3716"/>
      <c r="O9" s="3716"/>
      <c r="P9" s="3716"/>
      <c r="Q9" s="3716"/>
      <c r="R9" s="3718">
        <f>SUM(R7:R8)</f>
        <v>1440.3895697266209</v>
      </c>
      <c r="T9" s="3720"/>
      <c r="V9" s="3720"/>
      <c r="X9" s="3720"/>
      <c r="Y9" s="3720"/>
    </row>
    <row r="10" spans="2:29" s="3719" customFormat="1" ht="20.100000000000001" customHeight="1" thickBot="1" x14ac:dyDescent="0.25">
      <c r="B10" s="3721"/>
      <c r="C10" s="3705"/>
      <c r="D10" s="3705"/>
      <c r="E10" s="3705"/>
      <c r="F10" s="3720"/>
      <c r="G10" s="3720"/>
      <c r="H10" s="3720"/>
      <c r="I10" s="3705"/>
      <c r="J10" s="3705"/>
      <c r="K10" s="3705"/>
      <c r="L10" s="3705"/>
      <c r="M10" s="3720"/>
      <c r="N10" s="3705"/>
      <c r="O10" s="3705"/>
      <c r="P10" s="3705"/>
      <c r="Q10" s="3705"/>
      <c r="R10" s="3722"/>
      <c r="T10" s="3720"/>
      <c r="V10" s="3720"/>
      <c r="X10" s="3720"/>
      <c r="Y10" s="3720"/>
    </row>
    <row r="11" spans="2:29" ht="18.75" thickBot="1" x14ac:dyDescent="0.3">
      <c r="B11" s="3682" t="s">
        <v>2159</v>
      </c>
      <c r="C11" s="3683"/>
      <c r="D11" s="3683"/>
      <c r="E11" s="3683"/>
      <c r="F11" s="3683"/>
      <c r="G11" s="3683"/>
      <c r="H11" s="3683"/>
      <c r="I11" s="3683"/>
      <c r="J11" s="3683"/>
      <c r="K11" s="3683"/>
      <c r="L11" s="3683"/>
      <c r="M11" s="3683"/>
      <c r="N11" s="3683"/>
      <c r="O11" s="3683"/>
      <c r="P11" s="3683"/>
      <c r="Q11" s="3683"/>
      <c r="R11" s="3684"/>
    </row>
    <row r="12" spans="2:29" ht="24.95" customHeight="1" thickTop="1" thickBot="1" x14ac:dyDescent="0.25">
      <c r="B12" s="3723" t="s">
        <v>2172</v>
      </c>
      <c r="C12" s="3724"/>
      <c r="D12" s="3724"/>
      <c r="E12" s="3724"/>
      <c r="F12" s="3724"/>
      <c r="G12" s="3724"/>
      <c r="H12" s="3724"/>
      <c r="I12" s="3724"/>
      <c r="J12" s="3724"/>
      <c r="K12" s="3724"/>
      <c r="L12" s="3724"/>
      <c r="M12" s="3724"/>
      <c r="N12" s="3724"/>
      <c r="O12" s="3724"/>
      <c r="P12" s="3724"/>
      <c r="Q12" s="3724"/>
      <c r="R12" s="3725"/>
      <c r="S12" s="3688"/>
      <c r="T12" s="3688"/>
      <c r="U12" s="3688"/>
      <c r="V12" s="3688"/>
      <c r="W12" s="3688"/>
      <c r="X12" s="3688"/>
      <c r="Y12" s="3688"/>
      <c r="Z12" s="3688"/>
    </row>
    <row r="13" spans="2:29" s="3697" customFormat="1" ht="30" customHeight="1" thickTop="1" x14ac:dyDescent="0.2">
      <c r="B13" s="3689" t="s">
        <v>2161</v>
      </c>
      <c r="C13" s="3690" t="s">
        <v>2162</v>
      </c>
      <c r="D13" s="3690"/>
      <c r="E13" s="3690"/>
      <c r="F13" s="3690"/>
      <c r="G13" s="3691" t="s">
        <v>2163</v>
      </c>
      <c r="H13" s="3692" t="s">
        <v>2164</v>
      </c>
      <c r="I13" s="3693" t="s">
        <v>2165</v>
      </c>
      <c r="J13" s="3693"/>
      <c r="K13" s="3693"/>
      <c r="L13" s="3693"/>
      <c r="M13" s="3693"/>
      <c r="N13" s="3693"/>
      <c r="O13" s="3693"/>
      <c r="P13" s="3693"/>
      <c r="Q13" s="3693"/>
      <c r="R13" s="3694"/>
      <c r="S13" s="3695"/>
      <c r="T13" s="3695"/>
      <c r="U13" s="3695"/>
      <c r="V13" s="3695"/>
      <c r="W13" s="3695"/>
      <c r="X13" s="3695"/>
      <c r="Y13" s="3696"/>
    </row>
    <row r="14" spans="2:29" ht="30" customHeight="1" x14ac:dyDescent="0.2">
      <c r="B14" s="3698"/>
      <c r="C14" s="3699" t="s">
        <v>807</v>
      </c>
      <c r="D14" s="3699" t="s">
        <v>1135</v>
      </c>
      <c r="E14" s="3700" t="s">
        <v>1136</v>
      </c>
      <c r="F14" s="3699" t="s">
        <v>284</v>
      </c>
      <c r="G14" s="3699" t="s">
        <v>1755</v>
      </c>
      <c r="H14" s="3700" t="s">
        <v>2166</v>
      </c>
      <c r="I14" s="3701" t="s">
        <v>610</v>
      </c>
      <c r="J14" s="3701"/>
      <c r="K14" s="3701"/>
      <c r="L14" s="3702" t="s">
        <v>2167</v>
      </c>
      <c r="M14" s="3699" t="s">
        <v>2168</v>
      </c>
      <c r="N14" s="3701" t="s">
        <v>610</v>
      </c>
      <c r="O14" s="3701"/>
      <c r="P14" s="3701"/>
      <c r="Q14" s="3702" t="s">
        <v>2169</v>
      </c>
      <c r="R14" s="3703" t="s">
        <v>2170</v>
      </c>
      <c r="S14" s="3704"/>
      <c r="T14" s="3704"/>
      <c r="U14" s="3704"/>
      <c r="V14" s="3704"/>
      <c r="W14" s="3704"/>
      <c r="X14" s="3704"/>
      <c r="Y14" s="3705"/>
    </row>
    <row r="15" spans="2:29" ht="15" customHeight="1" x14ac:dyDescent="0.2">
      <c r="B15" s="3706" t="s">
        <v>2173</v>
      </c>
      <c r="C15" s="3707">
        <v>0.8</v>
      </c>
      <c r="D15" s="3707">
        <v>0.8</v>
      </c>
      <c r="E15" s="3708">
        <v>0.3</v>
      </c>
      <c r="F15" s="3709">
        <f>'[6]B.VOL RAB'!N32</f>
        <v>4</v>
      </c>
      <c r="G15" s="3708">
        <f>(C15*D15*E15*F15)</f>
        <v>0.76800000000000013</v>
      </c>
      <c r="H15" s="3708">
        <f>(2*C15+2*D15)*E15*F15</f>
        <v>3.84</v>
      </c>
      <c r="I15" s="3710">
        <v>13</v>
      </c>
      <c r="J15" s="3711" t="s">
        <v>805</v>
      </c>
      <c r="K15" s="3712">
        <v>200</v>
      </c>
      <c r="L15" s="3713">
        <f>1+($C15*$F15)/(K15/1000)-1</f>
        <v>16</v>
      </c>
      <c r="M15" s="3708">
        <f>(0.25*PI()*(I15/1000)^2)*(2*($D15+$E15))*L15*7850</f>
        <v>36.676586266187108</v>
      </c>
      <c r="N15" s="3710">
        <f>I15</f>
        <v>13</v>
      </c>
      <c r="O15" s="3711" t="s">
        <v>805</v>
      </c>
      <c r="P15" s="3712">
        <f>K15</f>
        <v>200</v>
      </c>
      <c r="Q15" s="3713">
        <f>1+($D15*$F15)/(P15/1000)-1</f>
        <v>16</v>
      </c>
      <c r="R15" s="3714">
        <f>(0.25*PI()*(N15/1000)^2)*(2*($C15+$E15))*Q15*7850</f>
        <v>36.676586266187108</v>
      </c>
      <c r="S15" s="3606"/>
      <c r="T15" s="3606"/>
      <c r="V15" s="3606"/>
      <c r="X15" s="3606"/>
    </row>
    <row r="16" spans="2:29" ht="15" customHeight="1" x14ac:dyDescent="0.2">
      <c r="B16" s="3706"/>
      <c r="C16" s="3707"/>
      <c r="D16" s="3707"/>
      <c r="E16" s="3708"/>
      <c r="F16" s="3711"/>
      <c r="G16" s="3708"/>
      <c r="H16" s="3708"/>
      <c r="I16" s="3710"/>
      <c r="J16" s="3711"/>
      <c r="K16" s="3712"/>
      <c r="L16" s="3713"/>
      <c r="M16" s="3708"/>
      <c r="N16" s="3710"/>
      <c r="O16" s="3711"/>
      <c r="P16" s="3712"/>
      <c r="Q16" s="3713"/>
      <c r="R16" s="3714"/>
      <c r="S16" s="3606"/>
      <c r="T16" s="3606"/>
      <c r="V16" s="3606"/>
      <c r="X16" s="3606"/>
      <c r="Y16" s="3606"/>
      <c r="AC16" s="3606"/>
    </row>
    <row r="17" spans="2:26" s="3719" customFormat="1" ht="15" x14ac:dyDescent="0.2">
      <c r="B17" s="3715" t="s">
        <v>284</v>
      </c>
      <c r="C17" s="3716"/>
      <c r="D17" s="3716"/>
      <c r="E17" s="3716"/>
      <c r="F17" s="3717"/>
      <c r="G17" s="3717">
        <f>SUM(G15:G16)</f>
        <v>0.76800000000000013</v>
      </c>
      <c r="H17" s="3717">
        <f>SUM(H15:H16)</f>
        <v>3.84</v>
      </c>
      <c r="I17" s="3716"/>
      <c r="J17" s="3716"/>
      <c r="K17" s="3716"/>
      <c r="L17" s="3716"/>
      <c r="M17" s="3717">
        <f>SUM(M15:M16)</f>
        <v>36.676586266187108</v>
      </c>
      <c r="N17" s="3716"/>
      <c r="O17" s="3716"/>
      <c r="P17" s="3716"/>
      <c r="Q17" s="3716"/>
      <c r="R17" s="3718">
        <f>SUM(R15:R16)</f>
        <v>36.676586266187108</v>
      </c>
      <c r="T17" s="3720"/>
      <c r="V17" s="3720"/>
      <c r="X17" s="3720"/>
      <c r="Y17" s="3720"/>
    </row>
    <row r="18" spans="2:26" s="3719" customFormat="1" ht="15.75" thickBot="1" x14ac:dyDescent="0.25">
      <c r="B18" s="3721"/>
      <c r="C18" s="3705"/>
      <c r="D18" s="3705"/>
      <c r="E18" s="3705"/>
      <c r="F18" s="3720"/>
      <c r="G18" s="3720"/>
      <c r="H18" s="3720"/>
      <c r="I18" s="3705"/>
      <c r="J18" s="3705"/>
      <c r="K18" s="3705"/>
      <c r="L18" s="3705"/>
      <c r="M18" s="3720"/>
      <c r="N18" s="3705"/>
      <c r="O18" s="3705"/>
      <c r="P18" s="3705"/>
      <c r="Q18" s="3705"/>
      <c r="R18" s="3722"/>
      <c r="T18" s="3720"/>
      <c r="V18" s="3720"/>
      <c r="X18" s="3720"/>
      <c r="Y18" s="3720"/>
    </row>
    <row r="19" spans="2:26" ht="18.75" thickBot="1" x14ac:dyDescent="0.3">
      <c r="B19" s="3682" t="s">
        <v>2174</v>
      </c>
      <c r="C19" s="3683"/>
      <c r="D19" s="3683"/>
      <c r="E19" s="3683"/>
      <c r="F19" s="3683"/>
      <c r="G19" s="3683"/>
      <c r="H19" s="3683"/>
      <c r="I19" s="3683"/>
      <c r="J19" s="3683"/>
      <c r="K19" s="3683"/>
      <c r="L19" s="3683"/>
      <c r="M19" s="3683"/>
      <c r="N19" s="3683"/>
      <c r="O19" s="3683"/>
      <c r="P19" s="3683"/>
      <c r="Q19" s="3683"/>
      <c r="R19" s="3684"/>
    </row>
    <row r="20" spans="2:26" ht="27.75" thickTop="1" thickBot="1" x14ac:dyDescent="0.25">
      <c r="B20" s="3723" t="s">
        <v>2175</v>
      </c>
      <c r="C20" s="3724"/>
      <c r="D20" s="3724"/>
      <c r="E20" s="3724"/>
      <c r="F20" s="3724"/>
      <c r="G20" s="3724"/>
      <c r="H20" s="3724"/>
      <c r="I20" s="3724"/>
      <c r="J20" s="3724"/>
      <c r="K20" s="3724"/>
      <c r="L20" s="3724"/>
      <c r="M20" s="3724"/>
      <c r="N20" s="3724"/>
      <c r="O20" s="3724"/>
      <c r="P20" s="3724"/>
      <c r="Q20" s="3724"/>
      <c r="R20" s="3725"/>
      <c r="S20" s="3688"/>
      <c r="T20" s="3688"/>
      <c r="U20" s="3688"/>
      <c r="V20" s="3688"/>
      <c r="W20" s="3688"/>
      <c r="X20" s="3688"/>
      <c r="Y20" s="3688"/>
      <c r="Z20" s="3688"/>
    </row>
    <row r="21" spans="2:26" s="3697" customFormat="1" ht="21.75" thickTop="1" x14ac:dyDescent="0.2">
      <c r="B21" s="3689" t="s">
        <v>2161</v>
      </c>
      <c r="C21" s="3690" t="s">
        <v>2176</v>
      </c>
      <c r="D21" s="3690"/>
      <c r="E21" s="3690"/>
      <c r="F21" s="3690"/>
      <c r="G21" s="3691" t="s">
        <v>2163</v>
      </c>
      <c r="H21" s="3692" t="s">
        <v>2164</v>
      </c>
      <c r="I21" s="3693" t="s">
        <v>2165</v>
      </c>
      <c r="J21" s="3693"/>
      <c r="K21" s="3693"/>
      <c r="L21" s="3693"/>
      <c r="M21" s="3693"/>
      <c r="N21" s="3693"/>
      <c r="O21" s="3693"/>
      <c r="P21" s="3693"/>
      <c r="Q21" s="3693"/>
      <c r="R21" s="3694"/>
    </row>
    <row r="22" spans="2:26" ht="15" x14ac:dyDescent="0.2">
      <c r="B22" s="3698"/>
      <c r="C22" s="3699" t="s">
        <v>807</v>
      </c>
      <c r="D22" s="3699" t="s">
        <v>1135</v>
      </c>
      <c r="E22" s="3700" t="s">
        <v>1136</v>
      </c>
      <c r="F22" s="3699" t="s">
        <v>284</v>
      </c>
      <c r="G22" s="3699" t="s">
        <v>1755</v>
      </c>
      <c r="H22" s="3700" t="s">
        <v>2166</v>
      </c>
      <c r="I22" s="3701" t="s">
        <v>610</v>
      </c>
      <c r="J22" s="3701"/>
      <c r="K22" s="3701"/>
      <c r="L22" s="3702" t="s">
        <v>2167</v>
      </c>
      <c r="M22" s="3699" t="s">
        <v>2168</v>
      </c>
      <c r="N22" s="3701" t="s">
        <v>610</v>
      </c>
      <c r="O22" s="3701"/>
      <c r="P22" s="3701"/>
      <c r="Q22" s="3702" t="s">
        <v>2169</v>
      </c>
      <c r="R22" s="3703" t="s">
        <v>2170</v>
      </c>
    </row>
    <row r="23" spans="2:26" x14ac:dyDescent="0.2">
      <c r="B23" s="3706" t="s">
        <v>2177</v>
      </c>
      <c r="C23" s="3707">
        <v>35.4</v>
      </c>
      <c r="D23" s="3707">
        <v>21.2</v>
      </c>
      <c r="E23" s="3708">
        <v>0.12</v>
      </c>
      <c r="F23" s="3711">
        <v>1</v>
      </c>
      <c r="G23" s="3708">
        <f>C23*D23*E23*F23</f>
        <v>90.057599999999979</v>
      </c>
      <c r="H23" s="3708">
        <f>(2*C23+2*D23)*E23*F23+C23*D23</f>
        <v>764.06399999999985</v>
      </c>
      <c r="I23" s="3710">
        <v>10</v>
      </c>
      <c r="J23" s="3711" t="s">
        <v>805</v>
      </c>
      <c r="K23" s="3712">
        <v>150</v>
      </c>
      <c r="L23" s="3713">
        <f>1+($C23*$F23)/(K23/1000)</f>
        <v>237</v>
      </c>
      <c r="M23" s="3708">
        <f>(0.25*PI()*(I23/1000)^2)*($D23+$E23)*L23*7850</f>
        <v>3115.2656359138127</v>
      </c>
      <c r="N23" s="3710">
        <f>I23</f>
        <v>10</v>
      </c>
      <c r="O23" s="3711" t="s">
        <v>805</v>
      </c>
      <c r="P23" s="3712">
        <f>K23</f>
        <v>150</v>
      </c>
      <c r="Q23" s="3713">
        <f>1+($D23*$F23)/(P23/1000)</f>
        <v>142.33333333333334</v>
      </c>
      <c r="R23" s="3714">
        <f>(0.25*PI()*(N23/1000)^2)*($C23+$E23)*Q23*7850</f>
        <v>3117.0166025792905</v>
      </c>
    </row>
    <row r="24" spans="2:26" x14ac:dyDescent="0.2">
      <c r="B24" s="3706"/>
      <c r="C24" s="3707"/>
      <c r="D24" s="3707"/>
      <c r="E24" s="3708"/>
      <c r="F24" s="3711"/>
      <c r="G24" s="3708"/>
      <c r="H24" s="3708"/>
      <c r="I24" s="3710"/>
      <c r="J24" s="3711"/>
      <c r="K24" s="3712"/>
      <c r="L24" s="3713"/>
      <c r="M24" s="3708"/>
      <c r="N24" s="3710"/>
      <c r="O24" s="3711"/>
      <c r="P24" s="3712"/>
      <c r="Q24" s="3713"/>
      <c r="R24" s="3714"/>
    </row>
    <row r="25" spans="2:26" x14ac:dyDescent="0.2">
      <c r="B25" s="3706" t="s">
        <v>1647</v>
      </c>
      <c r="C25" s="3707"/>
      <c r="D25" s="3707">
        <f>13.02+0.54+0.54+0.32+0.7+0.7</f>
        <v>15.819999999999997</v>
      </c>
      <c r="E25" s="3708">
        <v>0.12</v>
      </c>
      <c r="F25" s="3711">
        <v>1</v>
      </c>
      <c r="G25" s="3708">
        <f>D25*E25*F25</f>
        <v>1.8983999999999996</v>
      </c>
      <c r="H25" s="3708">
        <f>(2*C25+2*D25)*E25*F25+C25*D25</f>
        <v>3.7967999999999993</v>
      </c>
      <c r="I25" s="3710">
        <v>10</v>
      </c>
      <c r="J25" s="3711" t="s">
        <v>805</v>
      </c>
      <c r="K25" s="3712">
        <v>150</v>
      </c>
      <c r="L25" s="3713">
        <f>1+($C25*$F25)/(K25/1000)</f>
        <v>1</v>
      </c>
      <c r="M25" s="3708">
        <f>(0.25*PI()*(I25/1000)^2)*($D25+$E25)*L25*7850</f>
        <v>9.8276086787759276</v>
      </c>
      <c r="N25" s="3710">
        <f>I25</f>
        <v>10</v>
      </c>
      <c r="O25" s="3711" t="s">
        <v>805</v>
      </c>
      <c r="P25" s="3712">
        <f>K25</f>
        <v>150</v>
      </c>
      <c r="Q25" s="3713">
        <f>1+($D25*$F25)/(P25/1000)</f>
        <v>106.46666666666665</v>
      </c>
      <c r="R25" s="3714">
        <f>(0.25*PI()*(N25/1000)^2)*($C25+$E25)*Q25*7850</f>
        <v>7.8768838444191509</v>
      </c>
    </row>
    <row r="26" spans="2:26" x14ac:dyDescent="0.2">
      <c r="B26" s="3706"/>
      <c r="C26" s="3707"/>
      <c r="D26" s="3707">
        <v>0.3</v>
      </c>
      <c r="E26" s="3708">
        <v>0.12</v>
      </c>
      <c r="F26" s="3711">
        <v>380.5</v>
      </c>
      <c r="G26" s="3708">
        <f>D26*E26*F26</f>
        <v>13.697999999999999</v>
      </c>
      <c r="H26" s="3708">
        <f>(2*C26+2*D26)*E26*F26+C26*D26</f>
        <v>27.395999999999997</v>
      </c>
      <c r="I26" s="3710">
        <v>10</v>
      </c>
      <c r="J26" s="3711" t="s">
        <v>805</v>
      </c>
      <c r="K26" s="3712">
        <v>151</v>
      </c>
      <c r="L26" s="3713">
        <f>1+($C26*$F26)/(K26/1000)</f>
        <v>1</v>
      </c>
      <c r="M26" s="3708">
        <f>(0.25*PI()*(I26/1000)^2)*($D26+$E26)*L26*7850</f>
        <v>0.25894577447213868</v>
      </c>
      <c r="N26" s="3710">
        <f>I26</f>
        <v>10</v>
      </c>
      <c r="O26" s="3711" t="s">
        <v>805</v>
      </c>
      <c r="P26" s="3712">
        <f>K26</f>
        <v>151</v>
      </c>
      <c r="Q26" s="3713">
        <f>1+($D26*$F26)/(P26/1000)</f>
        <v>756.9602649006622</v>
      </c>
      <c r="R26" s="3714">
        <f>(0.25*PI()*(N26/1000)^2)*($C26+$E26)*Q26*7850</f>
        <v>56.003332011239209</v>
      </c>
    </row>
    <row r="27" spans="2:26" x14ac:dyDescent="0.2">
      <c r="B27" s="3706"/>
      <c r="C27" s="3707"/>
      <c r="D27" s="3707"/>
      <c r="E27" s="3708"/>
      <c r="F27" s="3711"/>
      <c r="G27" s="3708"/>
      <c r="H27" s="3708"/>
      <c r="I27" s="3710"/>
      <c r="J27" s="3711"/>
      <c r="K27" s="3712"/>
      <c r="L27" s="3713"/>
      <c r="M27" s="3708"/>
      <c r="N27" s="3710"/>
      <c r="O27" s="3711"/>
      <c r="P27" s="3712"/>
      <c r="Q27" s="3713"/>
      <c r="R27" s="3714"/>
    </row>
    <row r="28" spans="2:26" x14ac:dyDescent="0.2">
      <c r="B28" s="3706"/>
      <c r="C28" s="3707"/>
      <c r="D28" s="3707"/>
      <c r="E28" s="3708"/>
      <c r="F28" s="3711"/>
      <c r="G28" s="3708"/>
      <c r="H28" s="3708"/>
      <c r="I28" s="3710"/>
      <c r="J28" s="3711"/>
      <c r="K28" s="3712"/>
      <c r="L28" s="3713"/>
      <c r="M28" s="3708"/>
      <c r="N28" s="3710"/>
      <c r="O28" s="3711"/>
      <c r="P28" s="3712"/>
      <c r="Q28" s="3713"/>
      <c r="R28" s="3714"/>
    </row>
    <row r="29" spans="2:26" s="3719" customFormat="1" ht="15" x14ac:dyDescent="0.2">
      <c r="B29" s="3715" t="s">
        <v>284</v>
      </c>
      <c r="C29" s="3716"/>
      <c r="D29" s="3716"/>
      <c r="E29" s="3716"/>
      <c r="F29" s="3717"/>
      <c r="G29" s="3717">
        <f>G23-SUM(G25:G26)</f>
        <v>74.461199999999977</v>
      </c>
      <c r="H29" s="3717">
        <f>H23-SUM(H25:H26)</f>
        <v>732.87119999999982</v>
      </c>
      <c r="I29" s="3716"/>
      <c r="J29" s="3716"/>
      <c r="K29" s="3716"/>
      <c r="L29" s="3716"/>
      <c r="M29" s="3717">
        <f>M23-SUM(M25:M26)</f>
        <v>3105.1790814605647</v>
      </c>
      <c r="N29" s="3716"/>
      <c r="O29" s="3716"/>
      <c r="P29" s="3716"/>
      <c r="Q29" s="3716"/>
      <c r="R29" s="3717">
        <f>R23-SUM(R25:R26)</f>
        <v>3053.1363867236323</v>
      </c>
    </row>
    <row r="30" spans="2:26" ht="13.5" thickBot="1" x14ac:dyDescent="0.25">
      <c r="B30" s="3726"/>
      <c r="R30" s="3727"/>
    </row>
    <row r="31" spans="2:26" ht="27.75" thickTop="1" thickBot="1" x14ac:dyDescent="0.25">
      <c r="B31" s="3723" t="s">
        <v>2178</v>
      </c>
      <c r="C31" s="3724"/>
      <c r="D31" s="3724"/>
      <c r="E31" s="3724"/>
      <c r="F31" s="3724"/>
      <c r="G31" s="3724"/>
      <c r="H31" s="3724"/>
      <c r="I31" s="3724"/>
      <c r="J31" s="3724"/>
      <c r="K31" s="3724"/>
      <c r="L31" s="3724"/>
      <c r="M31" s="3724"/>
      <c r="N31" s="3724"/>
      <c r="O31" s="3724"/>
      <c r="P31" s="3724"/>
      <c r="Q31" s="3724"/>
      <c r="R31" s="3725"/>
      <c r="S31" s="3688"/>
      <c r="T31" s="3688"/>
      <c r="U31" s="3688"/>
      <c r="V31" s="3688"/>
      <c r="W31" s="3688"/>
      <c r="X31" s="3688"/>
      <c r="Y31" s="3688"/>
      <c r="Z31" s="3688"/>
    </row>
    <row r="32" spans="2:26" ht="16.5" thickTop="1" x14ac:dyDescent="0.2">
      <c r="B32" s="3689" t="s">
        <v>2161</v>
      </c>
      <c r="C32" s="3690" t="s">
        <v>2162</v>
      </c>
      <c r="D32" s="3690"/>
      <c r="E32" s="3690"/>
      <c r="F32" s="3690"/>
      <c r="G32" s="3691" t="s">
        <v>2163</v>
      </c>
      <c r="H32" s="3692" t="s">
        <v>2164</v>
      </c>
      <c r="I32" s="3693" t="s">
        <v>2165</v>
      </c>
      <c r="J32" s="3693"/>
      <c r="K32" s="3693"/>
      <c r="L32" s="3693"/>
      <c r="M32" s="3693"/>
      <c r="N32" s="3693"/>
      <c r="O32" s="3693"/>
      <c r="P32" s="3693"/>
      <c r="Q32" s="3693"/>
      <c r="R32" s="3694"/>
    </row>
    <row r="33" spans="2:26" ht="15" x14ac:dyDescent="0.2">
      <c r="B33" s="3698"/>
      <c r="C33" s="3699" t="s">
        <v>807</v>
      </c>
      <c r="D33" s="3699" t="s">
        <v>1135</v>
      </c>
      <c r="E33" s="3700" t="s">
        <v>1136</v>
      </c>
      <c r="F33" s="3699" t="s">
        <v>284</v>
      </c>
      <c r="G33" s="3699" t="s">
        <v>1755</v>
      </c>
      <c r="H33" s="3700" t="s">
        <v>2166</v>
      </c>
      <c r="I33" s="3701" t="s">
        <v>610</v>
      </c>
      <c r="J33" s="3701"/>
      <c r="K33" s="3701"/>
      <c r="L33" s="3702" t="s">
        <v>2167</v>
      </c>
      <c r="M33" s="3699" t="s">
        <v>2168</v>
      </c>
      <c r="N33" s="3701" t="s">
        <v>610</v>
      </c>
      <c r="O33" s="3701"/>
      <c r="P33" s="3701"/>
      <c r="Q33" s="3702" t="s">
        <v>2169</v>
      </c>
      <c r="R33" s="3703" t="s">
        <v>2170</v>
      </c>
    </row>
    <row r="34" spans="2:26" x14ac:dyDescent="0.2">
      <c r="B34" s="3706" t="s">
        <v>2103</v>
      </c>
      <c r="C34" s="3707">
        <v>2</v>
      </c>
      <c r="D34" s="3707">
        <v>0.8</v>
      </c>
      <c r="E34" s="3708">
        <v>0.08</v>
      </c>
      <c r="F34" s="3711">
        <v>1</v>
      </c>
      <c r="G34" s="3708">
        <f>C34*D34*E34*F34</f>
        <v>0.128</v>
      </c>
      <c r="H34" s="3708">
        <f>(2*C34+2*D34)*E34*F34+C34*D34</f>
        <v>2.048</v>
      </c>
      <c r="I34" s="3710">
        <v>8</v>
      </c>
      <c r="J34" s="3711" t="s">
        <v>805</v>
      </c>
      <c r="K34" s="3712">
        <v>200</v>
      </c>
      <c r="L34" s="3713">
        <f>1+($C34*$F34)/(K34/1000)</f>
        <v>11</v>
      </c>
      <c r="M34" s="3708">
        <f>(0.25*PI()*(I34/1000)^2)*(1.5*$D34+1*$E34)*L34*7850</f>
        <v>5.5557432450555639</v>
      </c>
      <c r="N34" s="3710">
        <f>I34</f>
        <v>8</v>
      </c>
      <c r="O34" s="3711" t="s">
        <v>805</v>
      </c>
      <c r="P34" s="3712">
        <f>K34</f>
        <v>200</v>
      </c>
      <c r="Q34" s="3713">
        <f>1+($D34*$F34)/(P34/1000)</f>
        <v>5</v>
      </c>
      <c r="R34" s="3714">
        <f>(0.25*PI()*(N34/1000)^2)*(1.5*$C34+1*$E34)*Q34*7850</f>
        <v>6.0765941742795206</v>
      </c>
    </row>
    <row r="35" spans="2:26" x14ac:dyDescent="0.2">
      <c r="B35" s="3706"/>
      <c r="C35" s="3707"/>
      <c r="D35" s="3707"/>
      <c r="E35" s="3708"/>
      <c r="F35" s="3711"/>
      <c r="G35" s="3708"/>
      <c r="H35" s="3708"/>
      <c r="I35" s="3710"/>
      <c r="J35" s="3711"/>
      <c r="K35" s="3712"/>
      <c r="L35" s="3713"/>
      <c r="M35" s="3708"/>
      <c r="N35" s="3710"/>
      <c r="O35" s="3711"/>
      <c r="P35" s="3712"/>
      <c r="Q35" s="3713"/>
      <c r="R35" s="3714"/>
    </row>
    <row r="36" spans="2:26" x14ac:dyDescent="0.2">
      <c r="B36" s="3706"/>
      <c r="C36" s="3707"/>
      <c r="D36" s="3707"/>
      <c r="E36" s="3708"/>
      <c r="F36" s="3711"/>
      <c r="G36" s="3708"/>
      <c r="H36" s="3708"/>
      <c r="I36" s="3710"/>
      <c r="J36" s="3711"/>
      <c r="K36" s="3712"/>
      <c r="L36" s="3713"/>
      <c r="M36" s="3708"/>
      <c r="N36" s="3710"/>
      <c r="O36" s="3711"/>
      <c r="P36" s="3712"/>
      <c r="Q36" s="3713"/>
      <c r="R36" s="3714"/>
    </row>
    <row r="37" spans="2:26" ht="15" x14ac:dyDescent="0.2">
      <c r="B37" s="3715" t="s">
        <v>284</v>
      </c>
      <c r="C37" s="3716"/>
      <c r="D37" s="3716"/>
      <c r="E37" s="3716"/>
      <c r="F37" s="3717"/>
      <c r="G37" s="3717">
        <f>SUM(G34:G36)</f>
        <v>0.128</v>
      </c>
      <c r="H37" s="3717">
        <f>SUM(H34:H36)</f>
        <v>2.048</v>
      </c>
      <c r="I37" s="3716"/>
      <c r="J37" s="3716"/>
      <c r="K37" s="3716"/>
      <c r="L37" s="3716"/>
      <c r="M37" s="3717">
        <f>SUM(M34:M36)</f>
        <v>5.5557432450555639</v>
      </c>
      <c r="N37" s="3716"/>
      <c r="O37" s="3716"/>
      <c r="P37" s="3716"/>
      <c r="Q37" s="3716"/>
      <c r="R37" s="3718">
        <f>SUM(R34:R36)</f>
        <v>6.0765941742795206</v>
      </c>
    </row>
    <row r="38" spans="2:26" ht="13.5" thickBot="1" x14ac:dyDescent="0.25">
      <c r="B38" s="3728"/>
      <c r="C38" s="3729"/>
      <c r="D38" s="3729"/>
      <c r="E38" s="3730"/>
      <c r="F38" s="3729"/>
      <c r="G38" s="3731"/>
      <c r="H38" s="3730"/>
      <c r="I38" s="3732"/>
      <c r="J38" s="3729"/>
      <c r="K38" s="3733"/>
      <c r="L38" s="3729"/>
      <c r="M38" s="3731"/>
      <c r="N38" s="3731"/>
      <c r="O38" s="3731"/>
      <c r="P38" s="3731"/>
      <c r="Q38" s="3731"/>
      <c r="R38" s="3734"/>
    </row>
    <row r="39" spans="2:26" ht="27.75" thickTop="1" thickBot="1" x14ac:dyDescent="0.25">
      <c r="B39" s="3723" t="s">
        <v>2179</v>
      </c>
      <c r="C39" s="3724"/>
      <c r="D39" s="3724"/>
      <c r="E39" s="3724"/>
      <c r="F39" s="3724"/>
      <c r="G39" s="3724"/>
      <c r="H39" s="3724"/>
      <c r="I39" s="3724"/>
      <c r="J39" s="3724"/>
      <c r="K39" s="3724"/>
      <c r="L39" s="3724"/>
      <c r="M39" s="3724"/>
      <c r="N39" s="3724"/>
      <c r="O39" s="3724"/>
      <c r="P39" s="3724"/>
      <c r="Q39" s="3724"/>
      <c r="R39" s="3725"/>
      <c r="S39" s="3688"/>
      <c r="T39" s="3688"/>
      <c r="U39" s="3688"/>
      <c r="V39" s="3688"/>
      <c r="W39" s="3688"/>
      <c r="X39" s="3688"/>
      <c r="Y39" s="3688"/>
      <c r="Z39" s="3688"/>
    </row>
    <row r="40" spans="2:26" ht="16.5" thickTop="1" x14ac:dyDescent="0.2">
      <c r="B40" s="3689" t="s">
        <v>2161</v>
      </c>
      <c r="C40" s="3690" t="s">
        <v>2162</v>
      </c>
      <c r="D40" s="3690"/>
      <c r="E40" s="3690"/>
      <c r="F40" s="3690"/>
      <c r="G40" s="3691" t="s">
        <v>2163</v>
      </c>
      <c r="H40" s="3692" t="s">
        <v>2164</v>
      </c>
      <c r="I40" s="3693" t="s">
        <v>2165</v>
      </c>
      <c r="J40" s="3693"/>
      <c r="K40" s="3693"/>
      <c r="L40" s="3693"/>
      <c r="M40" s="3693"/>
      <c r="N40" s="3693"/>
      <c r="O40" s="3693"/>
      <c r="P40" s="3693"/>
      <c r="Q40" s="3693"/>
      <c r="R40" s="3694"/>
    </row>
    <row r="41" spans="2:26" ht="15" x14ac:dyDescent="0.2">
      <c r="B41" s="3698"/>
      <c r="C41" s="3699" t="s">
        <v>807</v>
      </c>
      <c r="D41" s="3699" t="s">
        <v>1135</v>
      </c>
      <c r="E41" s="3700" t="s">
        <v>1136</v>
      </c>
      <c r="F41" s="3699" t="s">
        <v>284</v>
      </c>
      <c r="G41" s="3699" t="s">
        <v>1755</v>
      </c>
      <c r="H41" s="3700" t="s">
        <v>2166</v>
      </c>
      <c r="I41" s="3701" t="s">
        <v>610</v>
      </c>
      <c r="J41" s="3701"/>
      <c r="K41" s="3701"/>
      <c r="L41" s="3702" t="s">
        <v>2167</v>
      </c>
      <c r="M41" s="3699" t="s">
        <v>2168</v>
      </c>
      <c r="N41" s="3701" t="s">
        <v>610</v>
      </c>
      <c r="O41" s="3701"/>
      <c r="P41" s="3701"/>
      <c r="Q41" s="3702" t="s">
        <v>2169</v>
      </c>
      <c r="R41" s="3703" t="s">
        <v>2170</v>
      </c>
    </row>
    <row r="42" spans="2:26" x14ac:dyDescent="0.2">
      <c r="B42" s="3706" t="s">
        <v>2180</v>
      </c>
      <c r="C42" s="3707">
        <v>2.5</v>
      </c>
      <c r="D42" s="3707">
        <v>1.4</v>
      </c>
      <c r="E42" s="3708">
        <v>0.08</v>
      </c>
      <c r="F42" s="3711">
        <v>1</v>
      </c>
      <c r="G42" s="3708">
        <f>C42*D42*E42*F42</f>
        <v>0.28000000000000003</v>
      </c>
      <c r="H42" s="3708">
        <f>(2*C42+2*D42)*E42*F42+C42*D42</f>
        <v>4.1239999999999997</v>
      </c>
      <c r="I42" s="3710">
        <v>8</v>
      </c>
      <c r="J42" s="3711" t="s">
        <v>805</v>
      </c>
      <c r="K42" s="3712">
        <v>200</v>
      </c>
      <c r="L42" s="3713">
        <f t="shared" ref="L42:L52" si="0">1+($C42*$F42)/(K42/1000)</f>
        <v>13.5</v>
      </c>
      <c r="M42" s="3708">
        <f t="shared" ref="M42:M52" si="1">(0.25*PI()*(I42/1000)^2)*(1.5*$D42+1*$E42)*L42*7850</f>
        <v>11.612608217470539</v>
      </c>
      <c r="N42" s="3710">
        <f t="shared" ref="N42:N52" si="2">I42</f>
        <v>8</v>
      </c>
      <c r="O42" s="3711" t="s">
        <v>805</v>
      </c>
      <c r="P42" s="3712">
        <f t="shared" ref="P42:P52" si="3">K42</f>
        <v>200</v>
      </c>
      <c r="Q42" s="3713">
        <f t="shared" ref="Q42:Q52" si="4">1+($D42*$F42)/(P42/1000)</f>
        <v>7.9999999999999991</v>
      </c>
      <c r="R42" s="3714">
        <f t="shared" ref="R42:R52" si="5">(0.25*PI()*(N42/1000)^2)*(1.5*$C42+1*$E42)*Q42*7850</f>
        <v>12.090054902592501</v>
      </c>
    </row>
    <row r="43" spans="2:26" x14ac:dyDescent="0.2">
      <c r="B43" s="3706" t="s">
        <v>2181</v>
      </c>
      <c r="C43" s="3707">
        <v>2.85</v>
      </c>
      <c r="D43" s="3707">
        <v>0.8</v>
      </c>
      <c r="E43" s="3708">
        <f>E42</f>
        <v>0.08</v>
      </c>
      <c r="F43" s="3711">
        <f>F42</f>
        <v>1</v>
      </c>
      <c r="G43" s="3708">
        <f t="shared" ref="G43:G52" si="6">C43*D43*E43*F43</f>
        <v>0.18240000000000003</v>
      </c>
      <c r="H43" s="3708">
        <f t="shared" ref="H43:H52" si="7">(2*C43+2*D43)*E43*F43+C43*D43</f>
        <v>2.8640000000000003</v>
      </c>
      <c r="I43" s="3710">
        <v>8</v>
      </c>
      <c r="J43" s="3711" t="s">
        <v>805</v>
      </c>
      <c r="K43" s="3712">
        <v>200</v>
      </c>
      <c r="L43" s="3713">
        <f t="shared" si="0"/>
        <v>15.25</v>
      </c>
      <c r="M43" s="3708">
        <f t="shared" si="1"/>
        <v>7.7022804079179412</v>
      </c>
      <c r="N43" s="3710">
        <f t="shared" si="2"/>
        <v>8</v>
      </c>
      <c r="O43" s="3711" t="s">
        <v>805</v>
      </c>
      <c r="P43" s="3712">
        <f t="shared" si="3"/>
        <v>200</v>
      </c>
      <c r="Q43" s="3713">
        <f t="shared" si="4"/>
        <v>5</v>
      </c>
      <c r="R43" s="3714">
        <f t="shared" si="5"/>
        <v>8.592067412008868</v>
      </c>
    </row>
    <row r="44" spans="2:26" x14ac:dyDescent="0.2">
      <c r="B44" s="3706" t="s">
        <v>2182</v>
      </c>
      <c r="C44" s="3707">
        <v>2</v>
      </c>
      <c r="D44" s="3707">
        <v>0.8</v>
      </c>
      <c r="E44" s="3708">
        <f t="shared" ref="E44:F52" si="8">E43</f>
        <v>0.08</v>
      </c>
      <c r="F44" s="3711">
        <f t="shared" si="8"/>
        <v>1</v>
      </c>
      <c r="G44" s="3708">
        <f t="shared" si="6"/>
        <v>0.128</v>
      </c>
      <c r="H44" s="3708">
        <f t="shared" si="7"/>
        <v>2.048</v>
      </c>
      <c r="I44" s="3710">
        <v>8</v>
      </c>
      <c r="J44" s="3711" t="s">
        <v>805</v>
      </c>
      <c r="K44" s="3712">
        <v>200</v>
      </c>
      <c r="L44" s="3713">
        <f t="shared" si="0"/>
        <v>11</v>
      </c>
      <c r="M44" s="3708">
        <f t="shared" si="1"/>
        <v>5.5557432450555639</v>
      </c>
      <c r="N44" s="3710">
        <f t="shared" si="2"/>
        <v>8</v>
      </c>
      <c r="O44" s="3711" t="s">
        <v>805</v>
      </c>
      <c r="P44" s="3712">
        <f t="shared" si="3"/>
        <v>200</v>
      </c>
      <c r="Q44" s="3713">
        <f t="shared" si="4"/>
        <v>5</v>
      </c>
      <c r="R44" s="3714">
        <f t="shared" si="5"/>
        <v>6.0765941742795206</v>
      </c>
    </row>
    <row r="45" spans="2:26" x14ac:dyDescent="0.2">
      <c r="B45" s="3706" t="s">
        <v>2183</v>
      </c>
      <c r="C45" s="3707">
        <v>1.5</v>
      </c>
      <c r="D45" s="3707">
        <v>0.8</v>
      </c>
      <c r="E45" s="3708">
        <f t="shared" si="8"/>
        <v>0.08</v>
      </c>
      <c r="F45" s="3711">
        <f t="shared" si="8"/>
        <v>1</v>
      </c>
      <c r="G45" s="3708">
        <f t="shared" si="6"/>
        <v>9.6000000000000016E-2</v>
      </c>
      <c r="H45" s="3708">
        <f t="shared" si="7"/>
        <v>1.5680000000000001</v>
      </c>
      <c r="I45" s="3710">
        <v>8</v>
      </c>
      <c r="J45" s="3711" t="s">
        <v>805</v>
      </c>
      <c r="K45" s="3712">
        <v>200</v>
      </c>
      <c r="L45" s="3713">
        <f t="shared" si="0"/>
        <v>8.5</v>
      </c>
      <c r="M45" s="3708">
        <f t="shared" si="1"/>
        <v>4.2930743257247537</v>
      </c>
      <c r="N45" s="3710">
        <f t="shared" si="2"/>
        <v>8</v>
      </c>
      <c r="O45" s="3711" t="s">
        <v>805</v>
      </c>
      <c r="P45" s="3712">
        <f t="shared" si="3"/>
        <v>200</v>
      </c>
      <c r="Q45" s="3713">
        <f t="shared" si="4"/>
        <v>5</v>
      </c>
      <c r="R45" s="3714">
        <f t="shared" si="5"/>
        <v>4.5969040344387286</v>
      </c>
    </row>
    <row r="46" spans="2:26" x14ac:dyDescent="0.2">
      <c r="B46" s="3706" t="s">
        <v>2184</v>
      </c>
      <c r="C46" s="3707">
        <v>1.5</v>
      </c>
      <c r="D46" s="3707">
        <v>1.5</v>
      </c>
      <c r="E46" s="3708">
        <f t="shared" si="8"/>
        <v>0.08</v>
      </c>
      <c r="F46" s="3711">
        <f t="shared" si="8"/>
        <v>1</v>
      </c>
      <c r="G46" s="3708">
        <f t="shared" si="6"/>
        <v>0.18</v>
      </c>
      <c r="H46" s="3708">
        <f t="shared" si="7"/>
        <v>2.73</v>
      </c>
      <c r="I46" s="3710">
        <v>8</v>
      </c>
      <c r="J46" s="3711" t="s">
        <v>805</v>
      </c>
      <c r="K46" s="3712">
        <v>200</v>
      </c>
      <c r="L46" s="3713">
        <f t="shared" si="0"/>
        <v>8.5</v>
      </c>
      <c r="M46" s="3708">
        <f t="shared" si="1"/>
        <v>7.8147368585458388</v>
      </c>
      <c r="N46" s="3710">
        <f t="shared" si="2"/>
        <v>8</v>
      </c>
      <c r="O46" s="3711" t="s">
        <v>805</v>
      </c>
      <c r="P46" s="3712">
        <f t="shared" si="3"/>
        <v>200</v>
      </c>
      <c r="Q46" s="3713">
        <f t="shared" si="4"/>
        <v>8.5</v>
      </c>
      <c r="R46" s="3714">
        <f t="shared" si="5"/>
        <v>7.8147368585458388</v>
      </c>
    </row>
    <row r="47" spans="2:26" x14ac:dyDescent="0.2">
      <c r="B47" s="3706" t="s">
        <v>2185</v>
      </c>
      <c r="C47" s="3707">
        <v>1.75</v>
      </c>
      <c r="D47" s="3707">
        <v>0.8</v>
      </c>
      <c r="E47" s="3708">
        <f t="shared" si="8"/>
        <v>0.08</v>
      </c>
      <c r="F47" s="3711">
        <f t="shared" si="8"/>
        <v>1</v>
      </c>
      <c r="G47" s="3708">
        <f t="shared" si="6"/>
        <v>0.11200000000000002</v>
      </c>
      <c r="H47" s="3708">
        <f t="shared" si="7"/>
        <v>1.8080000000000001</v>
      </c>
      <c r="I47" s="3710">
        <v>8</v>
      </c>
      <c r="J47" s="3711" t="s">
        <v>805</v>
      </c>
      <c r="K47" s="3712">
        <v>200</v>
      </c>
      <c r="L47" s="3713">
        <f t="shared" si="0"/>
        <v>9.75</v>
      </c>
      <c r="M47" s="3708">
        <f t="shared" si="1"/>
        <v>4.9244087853901579</v>
      </c>
      <c r="N47" s="3710">
        <f t="shared" si="2"/>
        <v>8</v>
      </c>
      <c r="O47" s="3711" t="s">
        <v>805</v>
      </c>
      <c r="P47" s="3712">
        <f t="shared" si="3"/>
        <v>200</v>
      </c>
      <c r="Q47" s="3713">
        <f t="shared" si="4"/>
        <v>5</v>
      </c>
      <c r="R47" s="3714">
        <f t="shared" si="5"/>
        <v>5.336749104359126</v>
      </c>
    </row>
    <row r="48" spans="2:26" x14ac:dyDescent="0.2">
      <c r="B48" s="3706" t="s">
        <v>2186</v>
      </c>
      <c r="C48" s="3707">
        <v>1</v>
      </c>
      <c r="D48" s="3707">
        <v>0.8</v>
      </c>
      <c r="E48" s="3708">
        <f t="shared" si="8"/>
        <v>0.08</v>
      </c>
      <c r="F48" s="3711">
        <f t="shared" si="8"/>
        <v>1</v>
      </c>
      <c r="G48" s="3708">
        <f t="shared" si="6"/>
        <v>6.4000000000000001E-2</v>
      </c>
      <c r="H48" s="3708">
        <f t="shared" si="7"/>
        <v>1.0880000000000001</v>
      </c>
      <c r="I48" s="3710">
        <v>8</v>
      </c>
      <c r="J48" s="3711" t="s">
        <v>805</v>
      </c>
      <c r="K48" s="3712">
        <v>200</v>
      </c>
      <c r="L48" s="3713">
        <f t="shared" si="0"/>
        <v>6</v>
      </c>
      <c r="M48" s="3708">
        <f t="shared" si="1"/>
        <v>3.0304054063939438</v>
      </c>
      <c r="N48" s="3710">
        <f t="shared" si="2"/>
        <v>8</v>
      </c>
      <c r="O48" s="3711" t="s">
        <v>805</v>
      </c>
      <c r="P48" s="3712">
        <f t="shared" si="3"/>
        <v>200</v>
      </c>
      <c r="Q48" s="3713">
        <f t="shared" si="4"/>
        <v>5</v>
      </c>
      <c r="R48" s="3714">
        <f t="shared" si="5"/>
        <v>3.1172138945979362</v>
      </c>
    </row>
    <row r="49" spans="2:26" x14ac:dyDescent="0.2">
      <c r="B49" s="3706" t="s">
        <v>2187</v>
      </c>
      <c r="C49" s="3707">
        <v>1.8</v>
      </c>
      <c r="D49" s="3707">
        <v>0.8</v>
      </c>
      <c r="E49" s="3708">
        <f t="shared" si="8"/>
        <v>0.08</v>
      </c>
      <c r="F49" s="3711">
        <f t="shared" si="8"/>
        <v>1</v>
      </c>
      <c r="G49" s="3708">
        <f t="shared" si="6"/>
        <v>0.11520000000000001</v>
      </c>
      <c r="H49" s="3708">
        <f t="shared" si="7"/>
        <v>1.8560000000000003</v>
      </c>
      <c r="I49" s="3710">
        <v>8</v>
      </c>
      <c r="J49" s="3711" t="s">
        <v>805</v>
      </c>
      <c r="K49" s="3712">
        <v>200</v>
      </c>
      <c r="L49" s="3713">
        <f t="shared" si="0"/>
        <v>10</v>
      </c>
      <c r="M49" s="3708">
        <f t="shared" si="1"/>
        <v>5.0506756773232393</v>
      </c>
      <c r="N49" s="3710">
        <f t="shared" si="2"/>
        <v>8</v>
      </c>
      <c r="O49" s="3711" t="s">
        <v>805</v>
      </c>
      <c r="P49" s="3712">
        <f t="shared" si="3"/>
        <v>200</v>
      </c>
      <c r="Q49" s="3713">
        <f t="shared" si="4"/>
        <v>5</v>
      </c>
      <c r="R49" s="3714">
        <f t="shared" si="5"/>
        <v>5.4847181183432054</v>
      </c>
    </row>
    <row r="50" spans="2:26" x14ac:dyDescent="0.2">
      <c r="B50" s="3706" t="s">
        <v>2188</v>
      </c>
      <c r="C50" s="3707">
        <v>5</v>
      </c>
      <c r="D50" s="3707">
        <v>0.8</v>
      </c>
      <c r="E50" s="3708">
        <f t="shared" si="8"/>
        <v>0.08</v>
      </c>
      <c r="F50" s="3711">
        <f t="shared" si="8"/>
        <v>1</v>
      </c>
      <c r="G50" s="3708">
        <f t="shared" si="6"/>
        <v>0.32</v>
      </c>
      <c r="H50" s="3708">
        <f t="shared" si="7"/>
        <v>4.9279999999999999</v>
      </c>
      <c r="I50" s="3710">
        <v>8</v>
      </c>
      <c r="J50" s="3711" t="s">
        <v>805</v>
      </c>
      <c r="K50" s="3712">
        <v>200</v>
      </c>
      <c r="L50" s="3713">
        <f t="shared" si="0"/>
        <v>26</v>
      </c>
      <c r="M50" s="3708">
        <f t="shared" si="1"/>
        <v>13.131756761040423</v>
      </c>
      <c r="N50" s="3710">
        <f t="shared" si="2"/>
        <v>8</v>
      </c>
      <c r="O50" s="3711" t="s">
        <v>805</v>
      </c>
      <c r="P50" s="3712">
        <f t="shared" si="3"/>
        <v>200</v>
      </c>
      <c r="Q50" s="3713">
        <f t="shared" si="4"/>
        <v>5</v>
      </c>
      <c r="R50" s="3714">
        <f t="shared" si="5"/>
        <v>14.954735013324276</v>
      </c>
    </row>
    <row r="51" spans="2:26" x14ac:dyDescent="0.2">
      <c r="B51" s="3706" t="s">
        <v>2189</v>
      </c>
      <c r="C51" s="3707">
        <v>2</v>
      </c>
      <c r="D51" s="3707">
        <v>0.8</v>
      </c>
      <c r="E51" s="3708">
        <f t="shared" si="8"/>
        <v>0.08</v>
      </c>
      <c r="F51" s="3711">
        <f t="shared" si="8"/>
        <v>1</v>
      </c>
      <c r="G51" s="3708">
        <f t="shared" si="6"/>
        <v>0.128</v>
      </c>
      <c r="H51" s="3708">
        <f t="shared" si="7"/>
        <v>2.048</v>
      </c>
      <c r="I51" s="3710">
        <v>8</v>
      </c>
      <c r="J51" s="3711" t="s">
        <v>805</v>
      </c>
      <c r="K51" s="3712">
        <v>200</v>
      </c>
      <c r="L51" s="3713">
        <f t="shared" si="0"/>
        <v>11</v>
      </c>
      <c r="M51" s="3708">
        <f t="shared" si="1"/>
        <v>5.5557432450555639</v>
      </c>
      <c r="N51" s="3710">
        <f t="shared" si="2"/>
        <v>8</v>
      </c>
      <c r="O51" s="3711" t="s">
        <v>805</v>
      </c>
      <c r="P51" s="3712">
        <f t="shared" si="3"/>
        <v>200</v>
      </c>
      <c r="Q51" s="3713">
        <f t="shared" si="4"/>
        <v>5</v>
      </c>
      <c r="R51" s="3714">
        <f t="shared" si="5"/>
        <v>6.0765941742795206</v>
      </c>
    </row>
    <row r="52" spans="2:26" x14ac:dyDescent="0.2">
      <c r="B52" s="3706" t="s">
        <v>2190</v>
      </c>
      <c r="C52" s="3707">
        <v>4</v>
      </c>
      <c r="D52" s="3707">
        <v>0.8</v>
      </c>
      <c r="E52" s="3708">
        <f t="shared" si="8"/>
        <v>0.08</v>
      </c>
      <c r="F52" s="3711">
        <f t="shared" si="8"/>
        <v>1</v>
      </c>
      <c r="G52" s="3708">
        <f t="shared" si="6"/>
        <v>0.25600000000000001</v>
      </c>
      <c r="H52" s="3708">
        <f t="shared" si="7"/>
        <v>3.968</v>
      </c>
      <c r="I52" s="3710">
        <v>8</v>
      </c>
      <c r="J52" s="3711" t="s">
        <v>805</v>
      </c>
      <c r="K52" s="3712">
        <v>200</v>
      </c>
      <c r="L52" s="3713">
        <f t="shared" si="0"/>
        <v>21</v>
      </c>
      <c r="M52" s="3708">
        <f t="shared" si="1"/>
        <v>10.606418922378802</v>
      </c>
      <c r="N52" s="3710">
        <f t="shared" si="2"/>
        <v>8</v>
      </c>
      <c r="O52" s="3711" t="s">
        <v>805</v>
      </c>
      <c r="P52" s="3712">
        <f t="shared" si="3"/>
        <v>200</v>
      </c>
      <c r="Q52" s="3713">
        <f t="shared" si="4"/>
        <v>5</v>
      </c>
      <c r="R52" s="3714">
        <f t="shared" si="5"/>
        <v>11.995354733642692</v>
      </c>
    </row>
    <row r="53" spans="2:26" x14ac:dyDescent="0.2">
      <c r="B53" s="3706"/>
      <c r="C53" s="3707"/>
      <c r="D53" s="3707"/>
      <c r="E53" s="3708"/>
      <c r="F53" s="3711"/>
      <c r="G53" s="3708"/>
      <c r="H53" s="3708"/>
      <c r="I53" s="3710"/>
      <c r="J53" s="3711"/>
      <c r="K53" s="3712"/>
      <c r="L53" s="3713"/>
      <c r="M53" s="3708"/>
      <c r="N53" s="3710"/>
      <c r="O53" s="3711"/>
      <c r="P53" s="3712"/>
      <c r="Q53" s="3713"/>
      <c r="R53" s="3714"/>
    </row>
    <row r="54" spans="2:26" ht="15" x14ac:dyDescent="0.2">
      <c r="B54" s="3715" t="s">
        <v>284</v>
      </c>
      <c r="C54" s="3716"/>
      <c r="D54" s="3716"/>
      <c r="E54" s="3716"/>
      <c r="F54" s="3717"/>
      <c r="G54" s="3717">
        <f>SUM(G42:G52)</f>
        <v>1.8615999999999999</v>
      </c>
      <c r="H54" s="3717">
        <f>SUM(H42:H52)</f>
        <v>29.030000000000005</v>
      </c>
      <c r="I54" s="3716"/>
      <c r="J54" s="3716"/>
      <c r="K54" s="3716"/>
      <c r="L54" s="3716"/>
      <c r="M54" s="3717">
        <f>SUM(M42:M52)</f>
        <v>79.277851852296763</v>
      </c>
      <c r="N54" s="3716"/>
      <c r="O54" s="3716"/>
      <c r="P54" s="3716"/>
      <c r="Q54" s="3716"/>
      <c r="R54" s="3718">
        <f>SUM(R42:R52)</f>
        <v>86.135722420412208</v>
      </c>
    </row>
    <row r="55" spans="2:26" ht="13.5" thickBot="1" x14ac:dyDescent="0.25">
      <c r="B55" s="3728"/>
      <c r="C55" s="3729"/>
      <c r="D55" s="3729"/>
      <c r="E55" s="3730"/>
      <c r="F55" s="3729"/>
      <c r="G55" s="3731"/>
      <c r="H55" s="3730"/>
      <c r="I55" s="3732"/>
      <c r="J55" s="3729"/>
      <c r="K55" s="3733"/>
      <c r="L55" s="3729"/>
      <c r="M55" s="3731"/>
      <c r="N55" s="3731"/>
      <c r="O55" s="3731"/>
      <c r="P55" s="3731"/>
      <c r="Q55" s="3731"/>
      <c r="R55" s="3734"/>
    </row>
    <row r="56" spans="2:26" ht="27.75" thickTop="1" thickBot="1" x14ac:dyDescent="0.25">
      <c r="B56" s="3723" t="s">
        <v>2191</v>
      </c>
      <c r="C56" s="3724"/>
      <c r="D56" s="3724"/>
      <c r="E56" s="3724"/>
      <c r="F56" s="3724"/>
      <c r="G56" s="3724"/>
      <c r="H56" s="3724"/>
      <c r="I56" s="3724"/>
      <c r="J56" s="3724"/>
      <c r="K56" s="3724"/>
      <c r="L56" s="3724"/>
      <c r="M56" s="3724"/>
      <c r="N56" s="3724"/>
      <c r="O56" s="3724"/>
      <c r="P56" s="3724"/>
      <c r="Q56" s="3724"/>
      <c r="R56" s="3725"/>
      <c r="S56" s="3688"/>
      <c r="T56" s="3688"/>
      <c r="U56" s="3688"/>
      <c r="V56" s="3688"/>
      <c r="W56" s="3688"/>
      <c r="X56" s="3688"/>
      <c r="Y56" s="3688"/>
      <c r="Z56" s="3688"/>
    </row>
    <row r="57" spans="2:26" s="3697" customFormat="1" ht="21.75" thickTop="1" x14ac:dyDescent="0.2">
      <c r="B57" s="3689" t="s">
        <v>2161</v>
      </c>
      <c r="C57" s="3690" t="s">
        <v>2162</v>
      </c>
      <c r="D57" s="3690"/>
      <c r="E57" s="3690"/>
      <c r="F57" s="3690"/>
      <c r="G57" s="3691" t="s">
        <v>2163</v>
      </c>
      <c r="H57" s="3692" t="s">
        <v>2164</v>
      </c>
      <c r="I57" s="3693" t="s">
        <v>2165</v>
      </c>
      <c r="J57" s="3693"/>
      <c r="K57" s="3693"/>
      <c r="L57" s="3693"/>
      <c r="M57" s="3693"/>
      <c r="N57" s="3693"/>
      <c r="O57" s="3693"/>
      <c r="P57" s="3693"/>
      <c r="Q57" s="3693"/>
      <c r="R57" s="3694"/>
    </row>
    <row r="58" spans="2:26" ht="15" x14ac:dyDescent="0.2">
      <c r="B58" s="3698"/>
      <c r="C58" s="3699" t="s">
        <v>1133</v>
      </c>
      <c r="D58" s="3699" t="s">
        <v>1135</v>
      </c>
      <c r="E58" s="3700" t="s">
        <v>1136</v>
      </c>
      <c r="F58" s="3699" t="s">
        <v>284</v>
      </c>
      <c r="G58" s="3699" t="s">
        <v>1755</v>
      </c>
      <c r="H58" s="3700" t="s">
        <v>2166</v>
      </c>
      <c r="I58" s="3701" t="s">
        <v>610</v>
      </c>
      <c r="J58" s="3701"/>
      <c r="K58" s="3701"/>
      <c r="L58" s="3702" t="s">
        <v>2167</v>
      </c>
      <c r="M58" s="3699" t="s">
        <v>2168</v>
      </c>
      <c r="N58" s="3701" t="s">
        <v>610</v>
      </c>
      <c r="O58" s="3701"/>
      <c r="P58" s="3701"/>
      <c r="Q58" s="3702" t="s">
        <v>2169</v>
      </c>
      <c r="R58" s="3703" t="s">
        <v>2170</v>
      </c>
    </row>
    <row r="59" spans="2:26" x14ac:dyDescent="0.2">
      <c r="B59" s="3706" t="s">
        <v>608</v>
      </c>
      <c r="C59" s="3707">
        <v>1.2</v>
      </c>
      <c r="D59" s="3707">
        <v>3.1</v>
      </c>
      <c r="E59" s="3708">
        <v>0.12</v>
      </c>
      <c r="F59" s="3711">
        <v>1</v>
      </c>
      <c r="G59" s="3708">
        <f>C59*D59*E59*F59</f>
        <v>0.44639999999999996</v>
      </c>
      <c r="H59" s="3708">
        <f>(2*C59+2*D59)*E59*F59+C59*D59</f>
        <v>4.7519999999999998</v>
      </c>
      <c r="I59" s="3710">
        <v>10</v>
      </c>
      <c r="J59" s="3711" t="s">
        <v>805</v>
      </c>
      <c r="K59" s="3712">
        <v>150</v>
      </c>
      <c r="L59" s="3713">
        <f>1+($C59*$F59)/(K59/1000)</f>
        <v>9</v>
      </c>
      <c r="M59" s="3708">
        <f>(0.25*PI()*(I59/1000)^2)*(1.5*$D59+2*$E59)*L59*7850</f>
        <v>27.133817939330537</v>
      </c>
      <c r="N59" s="3710">
        <f>I59</f>
        <v>10</v>
      </c>
      <c r="O59" s="3711" t="s">
        <v>805</v>
      </c>
      <c r="P59" s="3712">
        <f>K59</f>
        <v>150</v>
      </c>
      <c r="Q59" s="3713">
        <f>1+($D59*$F59)/(P59/1000)</f>
        <v>21.666666666666668</v>
      </c>
      <c r="R59" s="3714">
        <f>(0.25*PI()*(N59/1000)^2)*(1.5*$C59+2*$E59)*Q59*7850</f>
        <v>27.250960075401267</v>
      </c>
    </row>
    <row r="60" spans="2:26" x14ac:dyDescent="0.2">
      <c r="B60" s="3706" t="s">
        <v>2192</v>
      </c>
      <c r="C60" s="3707">
        <v>1.6</v>
      </c>
      <c r="D60" s="3707">
        <v>3.6</v>
      </c>
      <c r="E60" s="3708">
        <v>0.12</v>
      </c>
      <c r="F60" s="3711">
        <v>1</v>
      </c>
      <c r="G60" s="3708">
        <f>C60*D60*E60*F60</f>
        <v>0.69120000000000004</v>
      </c>
      <c r="H60" s="3708">
        <f>(2*C60+2*D60)*E60*F60+C60*D60</f>
        <v>7.0080000000000009</v>
      </c>
      <c r="I60" s="3710">
        <v>10</v>
      </c>
      <c r="J60" s="3711" t="s">
        <v>805</v>
      </c>
      <c r="K60" s="3712">
        <v>150</v>
      </c>
      <c r="L60" s="3713">
        <f>1+($C60*$F60)/(K60/1000)</f>
        <v>11.666666666666668</v>
      </c>
      <c r="M60" s="3708">
        <f>(0.25*PI()*(I60/1000)^2)*(1.5*$D60+2*$E60)*L60*7850</f>
        <v>40.568171333968401</v>
      </c>
      <c r="N60" s="3710">
        <f>I60</f>
        <v>10</v>
      </c>
      <c r="O60" s="3711" t="s">
        <v>805</v>
      </c>
      <c r="P60" s="3712">
        <f>K60</f>
        <v>150</v>
      </c>
      <c r="Q60" s="3713">
        <f>1+($D60*$F60)/(P60/1000)</f>
        <v>25</v>
      </c>
      <c r="R60" s="3714">
        <f>(0.25*PI()*(N60/1000)^2)*(1.5*$C60+2*$E60)*Q60*7850</f>
        <v>40.691478845621802</v>
      </c>
    </row>
    <row r="61" spans="2:26" x14ac:dyDescent="0.2">
      <c r="B61" s="3706" t="s">
        <v>2193</v>
      </c>
      <c r="C61" s="3707">
        <v>1.6</v>
      </c>
      <c r="D61" s="3707">
        <v>3.3</v>
      </c>
      <c r="E61" s="3708">
        <v>0.12</v>
      </c>
      <c r="F61" s="3711">
        <v>1</v>
      </c>
      <c r="G61" s="3708">
        <f>C61*D61*E61*F61</f>
        <v>0.63360000000000005</v>
      </c>
      <c r="H61" s="3708">
        <f>(2*C61+2*D61)*E61*F61+C61*D61</f>
        <v>6.4560000000000004</v>
      </c>
      <c r="I61" s="3710">
        <v>10</v>
      </c>
      <c r="J61" s="3711" t="s">
        <v>805</v>
      </c>
      <c r="K61" s="3712">
        <v>150</v>
      </c>
      <c r="L61" s="3713">
        <f>1+($C61*$F61)/(K61/1000)</f>
        <v>11.666666666666668</v>
      </c>
      <c r="M61" s="3708">
        <f>(0.25*PI()*(I61/1000)^2)*(1.5*$D61+2*$E61)*L61*7850</f>
        <v>37.331349153066661</v>
      </c>
      <c r="N61" s="3710">
        <f>I61</f>
        <v>10</v>
      </c>
      <c r="O61" s="3711" t="s">
        <v>805</v>
      </c>
      <c r="P61" s="3712">
        <f>K61</f>
        <v>150</v>
      </c>
      <c r="Q61" s="3713">
        <f>1+($D61*$F61)/(P61/1000)</f>
        <v>23</v>
      </c>
      <c r="R61" s="3714">
        <f>(0.25*PI()*(N61/1000)^2)*(1.5*$C61+2*$E61)*Q61*7850</f>
        <v>37.436160537972057</v>
      </c>
    </row>
    <row r="62" spans="2:26" s="3719" customFormat="1" ht="15" x14ac:dyDescent="0.2">
      <c r="B62" s="3715" t="s">
        <v>284</v>
      </c>
      <c r="C62" s="3716"/>
      <c r="D62" s="3716"/>
      <c r="E62" s="3716"/>
      <c r="F62" s="3717"/>
      <c r="G62" s="3717">
        <f>SUM(G59:G61)</f>
        <v>1.7711999999999999</v>
      </c>
      <c r="H62" s="3717">
        <f>SUM(H59:H61)</f>
        <v>18.216000000000001</v>
      </c>
      <c r="I62" s="3716"/>
      <c r="J62" s="3716"/>
      <c r="K62" s="3716"/>
      <c r="L62" s="3716"/>
      <c r="M62" s="3717">
        <f>SUM(M59:M61)</f>
        <v>105.03333842636559</v>
      </c>
      <c r="N62" s="3716"/>
      <c r="O62" s="3716"/>
      <c r="P62" s="3716"/>
      <c r="Q62" s="3716"/>
      <c r="R62" s="3718">
        <f>SUM(R59:R61)</f>
        <v>105.37859945899513</v>
      </c>
    </row>
    <row r="63" spans="2:26" ht="13.5" thickBot="1" x14ac:dyDescent="0.25">
      <c r="B63" s="3728"/>
      <c r="C63" s="3729"/>
      <c r="D63" s="3729"/>
      <c r="E63" s="3730"/>
      <c r="F63" s="3729"/>
      <c r="G63" s="3731"/>
      <c r="H63" s="3730"/>
      <c r="I63" s="3732"/>
      <c r="J63" s="3729"/>
      <c r="K63" s="3733"/>
      <c r="L63" s="3729"/>
      <c r="M63" s="3731"/>
      <c r="N63" s="3731"/>
      <c r="O63" s="3731"/>
      <c r="P63" s="3731"/>
      <c r="Q63" s="3731"/>
      <c r="R63" s="3734"/>
    </row>
    <row r="64" spans="2:26" ht="27.75" thickTop="1" thickBot="1" x14ac:dyDescent="0.25">
      <c r="B64" s="3723" t="s">
        <v>2194</v>
      </c>
      <c r="C64" s="3724"/>
      <c r="D64" s="3724"/>
      <c r="E64" s="3724"/>
      <c r="F64" s="3724"/>
      <c r="G64" s="3724"/>
      <c r="H64" s="3724"/>
      <c r="I64" s="3724"/>
      <c r="J64" s="3724"/>
      <c r="K64" s="3724"/>
      <c r="L64" s="3724"/>
      <c r="M64" s="3724"/>
      <c r="N64" s="3724"/>
      <c r="O64" s="3724"/>
      <c r="P64" s="3724"/>
      <c r="Q64" s="3724"/>
      <c r="R64" s="3725"/>
      <c r="S64" s="3688"/>
      <c r="T64" s="3688"/>
      <c r="U64" s="3688"/>
      <c r="V64" s="3688"/>
      <c r="W64" s="3688"/>
      <c r="X64" s="3688"/>
      <c r="Y64" s="3688"/>
      <c r="Z64" s="3688"/>
    </row>
    <row r="65" spans="2:26" ht="16.5" thickTop="1" x14ac:dyDescent="0.2">
      <c r="B65" s="3689" t="s">
        <v>2161</v>
      </c>
      <c r="C65" s="3690" t="s">
        <v>2162</v>
      </c>
      <c r="D65" s="3690"/>
      <c r="E65" s="3690"/>
      <c r="F65" s="3690"/>
      <c r="G65" s="3691" t="s">
        <v>2163</v>
      </c>
      <c r="H65" s="3692" t="s">
        <v>2164</v>
      </c>
      <c r="I65" s="3693" t="s">
        <v>2165</v>
      </c>
      <c r="J65" s="3693"/>
      <c r="K65" s="3693"/>
      <c r="L65" s="3693"/>
      <c r="M65" s="3693"/>
      <c r="N65" s="3693"/>
      <c r="O65" s="3693"/>
      <c r="P65" s="3693"/>
      <c r="Q65" s="3693"/>
      <c r="R65" s="3694"/>
    </row>
    <row r="66" spans="2:26" ht="15" x14ac:dyDescent="0.2">
      <c r="B66" s="3698"/>
      <c r="C66" s="3699" t="s">
        <v>1133</v>
      </c>
      <c r="D66" s="3699" t="s">
        <v>1135</v>
      </c>
      <c r="E66" s="3700" t="s">
        <v>1136</v>
      </c>
      <c r="F66" s="3699" t="s">
        <v>284</v>
      </c>
      <c r="G66" s="3699" t="s">
        <v>1755</v>
      </c>
      <c r="H66" s="3700" t="s">
        <v>2166</v>
      </c>
      <c r="I66" s="3701" t="s">
        <v>610</v>
      </c>
      <c r="J66" s="3701"/>
      <c r="K66" s="3701"/>
      <c r="L66" s="3702" t="s">
        <v>2167</v>
      </c>
      <c r="M66" s="3699" t="s">
        <v>2168</v>
      </c>
      <c r="N66" s="3701" t="s">
        <v>610</v>
      </c>
      <c r="O66" s="3701"/>
      <c r="P66" s="3701"/>
      <c r="Q66" s="3702" t="s">
        <v>2169</v>
      </c>
      <c r="R66" s="3703" t="s">
        <v>2170</v>
      </c>
    </row>
    <row r="67" spans="2:26" x14ac:dyDescent="0.2">
      <c r="B67" s="3706" t="s">
        <v>2195</v>
      </c>
      <c r="C67" s="3707">
        <f>(23.5+37.5)*2</f>
        <v>122</v>
      </c>
      <c r="D67" s="3707">
        <f>0.95+0.15</f>
        <v>1.0999999999999999</v>
      </c>
      <c r="E67" s="3708">
        <v>7.0000000000000007E-2</v>
      </c>
      <c r="F67" s="3711">
        <v>1</v>
      </c>
      <c r="G67" s="3708">
        <f>C67*D67*E67*F67</f>
        <v>9.3940000000000001</v>
      </c>
      <c r="H67" s="3708">
        <f>(2*C67+2*D67)*E67*F67+C67*D67*2</f>
        <v>285.63399999999996</v>
      </c>
      <c r="I67" s="3710">
        <v>8</v>
      </c>
      <c r="J67" s="3711" t="s">
        <v>805</v>
      </c>
      <c r="K67" s="3712">
        <v>200</v>
      </c>
      <c r="L67" s="3713">
        <f>1+($C67*$F67)/(K67/1000)</f>
        <v>611</v>
      </c>
      <c r="M67" s="3708">
        <f>(0.25*PI()*(I67/1000)^2)*($D67+$E67)*L67*7850</f>
        <v>282.07629073812996</v>
      </c>
      <c r="N67" s="3710">
        <f>I67</f>
        <v>8</v>
      </c>
      <c r="O67" s="3711" t="s">
        <v>805</v>
      </c>
      <c r="P67" s="3712">
        <v>200</v>
      </c>
      <c r="Q67" s="3713">
        <f>1+($D67*$F67)/(P67/1000)</f>
        <v>6.4999999999999991</v>
      </c>
      <c r="R67" s="3714">
        <f>(0.25*PI()*(N67/1000)^2)*($C67+$E67)*Q67*7850</f>
        <v>313.08467730863356</v>
      </c>
      <c r="T67" s="3606"/>
    </row>
    <row r="68" spans="2:26" x14ac:dyDescent="0.2">
      <c r="B68" s="3706"/>
      <c r="C68" s="3707"/>
      <c r="D68" s="3707"/>
      <c r="E68" s="3708"/>
      <c r="F68" s="3711"/>
      <c r="G68" s="3708"/>
      <c r="H68" s="3708"/>
      <c r="I68" s="3710"/>
      <c r="J68" s="3711"/>
      <c r="K68" s="3712"/>
      <c r="L68" s="3713"/>
      <c r="M68" s="3708"/>
      <c r="N68" s="3710"/>
      <c r="O68" s="3711"/>
      <c r="P68" s="3712"/>
      <c r="Q68" s="3713"/>
      <c r="R68" s="3714"/>
    </row>
    <row r="69" spans="2:26" ht="15" x14ac:dyDescent="0.2">
      <c r="B69" s="3715" t="s">
        <v>284</v>
      </c>
      <c r="C69" s="3716"/>
      <c r="D69" s="3716"/>
      <c r="E69" s="3716"/>
      <c r="F69" s="3717"/>
      <c r="G69" s="3717">
        <f>SUM(G67:G68)</f>
        <v>9.3940000000000001</v>
      </c>
      <c r="H69" s="3717">
        <f>SUM(H67:H68)</f>
        <v>285.63399999999996</v>
      </c>
      <c r="I69" s="3716"/>
      <c r="J69" s="3716"/>
      <c r="K69" s="3716"/>
      <c r="L69" s="3716"/>
      <c r="M69" s="3717">
        <f>SUM(M67:M68)</f>
        <v>282.07629073812996</v>
      </c>
      <c r="N69" s="3716"/>
      <c r="O69" s="3716"/>
      <c r="P69" s="3716"/>
      <c r="Q69" s="3716"/>
      <c r="R69" s="3718">
        <f>SUM(R67:R68)</f>
        <v>313.08467730863356</v>
      </c>
    </row>
    <row r="70" spans="2:26" ht="13.5" thickBot="1" x14ac:dyDescent="0.25">
      <c r="B70" s="3728"/>
      <c r="C70" s="3729"/>
      <c r="D70" s="3729"/>
      <c r="E70" s="3730"/>
      <c r="F70" s="3729"/>
      <c r="G70" s="3731"/>
      <c r="H70" s="3730"/>
      <c r="I70" s="3732"/>
      <c r="J70" s="3729"/>
      <c r="K70" s="3733"/>
      <c r="L70" s="3729"/>
      <c r="M70" s="3731"/>
      <c r="N70" s="3731"/>
      <c r="O70" s="3731"/>
      <c r="P70" s="3731"/>
      <c r="Q70" s="3731"/>
      <c r="R70" s="3734"/>
    </row>
    <row r="71" spans="2:26" ht="13.5" thickBot="1" x14ac:dyDescent="0.25">
      <c r="B71" s="3726"/>
      <c r="R71" s="3727"/>
    </row>
    <row r="72" spans="2:26" ht="27.75" thickTop="1" thickBot="1" x14ac:dyDescent="0.25">
      <c r="B72" s="3723" t="s">
        <v>2196</v>
      </c>
      <c r="C72" s="3724"/>
      <c r="D72" s="3724"/>
      <c r="E72" s="3724"/>
      <c r="F72" s="3724"/>
      <c r="G72" s="3724"/>
      <c r="H72" s="3724"/>
      <c r="I72" s="3724"/>
      <c r="J72" s="3724"/>
      <c r="K72" s="3724"/>
      <c r="L72" s="3724"/>
      <c r="M72" s="3724"/>
      <c r="N72" s="3724"/>
      <c r="O72" s="3724"/>
      <c r="P72" s="3724"/>
      <c r="Q72" s="3724"/>
      <c r="R72" s="3725"/>
      <c r="S72" s="3688"/>
      <c r="T72" s="3688"/>
      <c r="U72" s="3688"/>
      <c r="V72" s="3688"/>
      <c r="W72" s="3688"/>
      <c r="X72" s="3688"/>
      <c r="Y72" s="3688"/>
      <c r="Z72" s="3688"/>
    </row>
    <row r="73" spans="2:26" s="3697" customFormat="1" ht="21.75" thickTop="1" x14ac:dyDescent="0.2">
      <c r="B73" s="3689" t="s">
        <v>2161</v>
      </c>
      <c r="C73" s="3690" t="s">
        <v>2176</v>
      </c>
      <c r="D73" s="3690"/>
      <c r="E73" s="3690"/>
      <c r="F73" s="3690"/>
      <c r="G73" s="3691" t="s">
        <v>2163</v>
      </c>
      <c r="H73" s="3692" t="s">
        <v>2164</v>
      </c>
      <c r="I73" s="3693" t="s">
        <v>2165</v>
      </c>
      <c r="J73" s="3693"/>
      <c r="K73" s="3693"/>
      <c r="L73" s="3693"/>
      <c r="M73" s="3693"/>
      <c r="N73" s="3693"/>
      <c r="O73" s="3693"/>
      <c r="P73" s="3693"/>
      <c r="Q73" s="3693"/>
      <c r="R73" s="3694"/>
    </row>
    <row r="74" spans="2:26" ht="15" x14ac:dyDescent="0.2">
      <c r="B74" s="3698"/>
      <c r="C74" s="3699" t="s">
        <v>807</v>
      </c>
      <c r="D74" s="3699" t="s">
        <v>1135</v>
      </c>
      <c r="E74" s="3700" t="s">
        <v>1136</v>
      </c>
      <c r="F74" s="3699" t="s">
        <v>284</v>
      </c>
      <c r="G74" s="3699" t="s">
        <v>1755</v>
      </c>
      <c r="H74" s="3700" t="s">
        <v>2166</v>
      </c>
      <c r="I74" s="3701" t="s">
        <v>610</v>
      </c>
      <c r="J74" s="3701"/>
      <c r="K74" s="3701"/>
      <c r="L74" s="3702" t="s">
        <v>2167</v>
      </c>
      <c r="M74" s="3699" t="s">
        <v>2168</v>
      </c>
      <c r="N74" s="3701" t="s">
        <v>610</v>
      </c>
      <c r="O74" s="3701"/>
      <c r="P74" s="3701"/>
      <c r="Q74" s="3702" t="s">
        <v>2169</v>
      </c>
      <c r="R74" s="3703" t="s">
        <v>2170</v>
      </c>
    </row>
    <row r="75" spans="2:26" x14ac:dyDescent="0.2">
      <c r="B75" s="3706" t="s">
        <v>2094</v>
      </c>
      <c r="C75" s="3707">
        <f>(23.5+37.5)*2</f>
        <v>122</v>
      </c>
      <c r="D75" s="3707">
        <v>0.65</v>
      </c>
      <c r="E75" s="3708">
        <v>0.12</v>
      </c>
      <c r="F75" s="3711">
        <v>1</v>
      </c>
      <c r="G75" s="3708">
        <f>C75*D75*E75*F75</f>
        <v>9.516</v>
      </c>
      <c r="H75" s="3708">
        <f>(2*C75+2*D75)*E75*F75+C75*D75</f>
        <v>108.73599999999999</v>
      </c>
      <c r="I75" s="3710">
        <v>10</v>
      </c>
      <c r="J75" s="3711" t="s">
        <v>805</v>
      </c>
      <c r="K75" s="3712">
        <v>150</v>
      </c>
      <c r="L75" s="3713">
        <f>1+($C75*$F75)/(K75/1000)</f>
        <v>814.33333333333337</v>
      </c>
      <c r="M75" s="3708">
        <f>(0.25*PI()*(I75/1000)^2)*(1.5*$D75+2*$E75)*L75*7850</f>
        <v>610.01150821274086</v>
      </c>
      <c r="N75" s="3710">
        <f>I75</f>
        <v>10</v>
      </c>
      <c r="O75" s="3711" t="s">
        <v>805</v>
      </c>
      <c r="P75" s="3712">
        <f>K75</f>
        <v>150</v>
      </c>
      <c r="Q75" s="3713">
        <f>1+($D75*$F75)/(P75/1000)</f>
        <v>5.3333333333333339</v>
      </c>
      <c r="R75" s="3714">
        <f>(0.25*PI()*(N75/1000)^2)*(1.5*$C75+2*$E75)*Q75*7850</f>
        <v>602.52982494317087</v>
      </c>
    </row>
    <row r="76" spans="2:26" x14ac:dyDescent="0.2">
      <c r="B76" s="3706"/>
      <c r="C76" s="3707"/>
      <c r="D76" s="3707"/>
      <c r="E76" s="3708"/>
      <c r="F76" s="3711"/>
      <c r="G76" s="3708"/>
      <c r="H76" s="3708"/>
      <c r="I76" s="3710"/>
      <c r="J76" s="3711"/>
      <c r="K76" s="3712"/>
      <c r="L76" s="3713"/>
      <c r="M76" s="3708"/>
      <c r="N76" s="3710"/>
      <c r="O76" s="3711"/>
      <c r="P76" s="3712"/>
      <c r="Q76" s="3713"/>
      <c r="R76" s="3714"/>
    </row>
    <row r="77" spans="2:26" s="3719" customFormat="1" ht="15" x14ac:dyDescent="0.2">
      <c r="B77" s="3715" t="s">
        <v>284</v>
      </c>
      <c r="C77" s="3716"/>
      <c r="D77" s="3716"/>
      <c r="E77" s="3716"/>
      <c r="F77" s="3717"/>
      <c r="G77" s="3717">
        <f>SUM(G75:G76)</f>
        <v>9.516</v>
      </c>
      <c r="H77" s="3717">
        <f>SUM(H75:H76)</f>
        <v>108.73599999999999</v>
      </c>
      <c r="I77" s="3716"/>
      <c r="J77" s="3716"/>
      <c r="K77" s="3716"/>
      <c r="L77" s="3716"/>
      <c r="M77" s="3717">
        <f>SUM(M75:M76)</f>
        <v>610.01150821274086</v>
      </c>
      <c r="N77" s="3716"/>
      <c r="O77" s="3716"/>
      <c r="P77" s="3716"/>
      <c r="Q77" s="3716"/>
      <c r="R77" s="3718">
        <f>SUM(R75:R76)</f>
        <v>602.52982494317087</v>
      </c>
    </row>
    <row r="78" spans="2:26" ht="13.5" thickBot="1" x14ac:dyDescent="0.25"/>
    <row r="79" spans="2:26" ht="18.75" thickBot="1" x14ac:dyDescent="0.25">
      <c r="B79" s="3735" t="str">
        <f>'[6]B.VOL RAB'!C652</f>
        <v>MUSHOLA</v>
      </c>
      <c r="C79" s="3680"/>
      <c r="D79" s="3680"/>
      <c r="E79" s="3680"/>
      <c r="F79" s="3680"/>
      <c r="G79" s="3680"/>
      <c r="H79" s="3680"/>
      <c r="I79" s="3680"/>
      <c r="J79" s="3680"/>
      <c r="K79" s="3680"/>
      <c r="L79" s="3680"/>
      <c r="M79" s="3680"/>
      <c r="N79" s="3680"/>
      <c r="O79" s="3680"/>
      <c r="P79" s="3680"/>
      <c r="Q79" s="3680"/>
      <c r="R79" s="3681"/>
    </row>
    <row r="80" spans="2:26" ht="18.75" thickBot="1" x14ac:dyDescent="0.3">
      <c r="B80" s="3682" t="s">
        <v>2159</v>
      </c>
      <c r="C80" s="3683"/>
      <c r="D80" s="3683"/>
      <c r="E80" s="3683"/>
      <c r="F80" s="3683"/>
      <c r="G80" s="3683"/>
      <c r="H80" s="3683"/>
      <c r="I80" s="3683"/>
      <c r="J80" s="3683"/>
      <c r="K80" s="3683"/>
      <c r="L80" s="3683"/>
      <c r="M80" s="3683"/>
      <c r="N80" s="3683"/>
      <c r="O80" s="3683"/>
      <c r="P80" s="3683"/>
      <c r="Q80" s="3683"/>
      <c r="R80" s="3684"/>
    </row>
    <row r="81" spans="2:29" ht="24.95" customHeight="1" thickTop="1" thickBot="1" x14ac:dyDescent="0.25">
      <c r="B81" s="3723" t="s">
        <v>2160</v>
      </c>
      <c r="C81" s="3724"/>
      <c r="D81" s="3724"/>
      <c r="E81" s="3724"/>
      <c r="F81" s="3724"/>
      <c r="G81" s="3724"/>
      <c r="H81" s="3724"/>
      <c r="I81" s="3724"/>
      <c r="J81" s="3724"/>
      <c r="K81" s="3724"/>
      <c r="L81" s="3724"/>
      <c r="M81" s="3724"/>
      <c r="N81" s="3724"/>
      <c r="O81" s="3724"/>
      <c r="P81" s="3724"/>
      <c r="Q81" s="3724"/>
      <c r="R81" s="3725"/>
      <c r="S81" s="3688"/>
      <c r="T81" s="3688"/>
      <c r="U81" s="3688"/>
      <c r="V81" s="3688"/>
      <c r="W81" s="3688"/>
      <c r="X81" s="3688"/>
      <c r="Y81" s="3688"/>
      <c r="Z81" s="3688"/>
    </row>
    <row r="82" spans="2:29" s="3697" customFormat="1" ht="30" customHeight="1" thickTop="1" x14ac:dyDescent="0.2">
      <c r="B82" s="3689" t="s">
        <v>2161</v>
      </c>
      <c r="C82" s="3690" t="s">
        <v>2162</v>
      </c>
      <c r="D82" s="3690"/>
      <c r="E82" s="3690"/>
      <c r="F82" s="3690"/>
      <c r="G82" s="3691" t="s">
        <v>2163</v>
      </c>
      <c r="H82" s="3692" t="s">
        <v>2164</v>
      </c>
      <c r="I82" s="3693" t="s">
        <v>2165</v>
      </c>
      <c r="J82" s="3693"/>
      <c r="K82" s="3693"/>
      <c r="L82" s="3693"/>
      <c r="M82" s="3693"/>
      <c r="N82" s="3693"/>
      <c r="O82" s="3693"/>
      <c r="P82" s="3693"/>
      <c r="Q82" s="3693"/>
      <c r="R82" s="3694"/>
      <c r="S82" s="3695"/>
      <c r="T82" s="3695"/>
      <c r="U82" s="3695"/>
      <c r="V82" s="3695"/>
      <c r="W82" s="3695"/>
      <c r="X82" s="3695"/>
      <c r="Y82" s="3696"/>
    </row>
    <row r="83" spans="2:29" ht="30" customHeight="1" x14ac:dyDescent="0.2">
      <c r="B83" s="3698"/>
      <c r="C83" s="3699" t="s">
        <v>807</v>
      </c>
      <c r="D83" s="3699" t="s">
        <v>1135</v>
      </c>
      <c r="E83" s="3700" t="s">
        <v>1136</v>
      </c>
      <c r="F83" s="3699" t="s">
        <v>284</v>
      </c>
      <c r="G83" s="3699" t="s">
        <v>1755</v>
      </c>
      <c r="H83" s="3700" t="s">
        <v>2166</v>
      </c>
      <c r="I83" s="3701" t="s">
        <v>610</v>
      </c>
      <c r="J83" s="3701"/>
      <c r="K83" s="3701"/>
      <c r="L83" s="3702" t="s">
        <v>2167</v>
      </c>
      <c r="M83" s="3699" t="s">
        <v>2168</v>
      </c>
      <c r="N83" s="3701" t="s">
        <v>610</v>
      </c>
      <c r="O83" s="3701"/>
      <c r="P83" s="3701"/>
      <c r="Q83" s="3702" t="s">
        <v>2169</v>
      </c>
      <c r="R83" s="3703" t="s">
        <v>2170</v>
      </c>
      <c r="S83" s="3704"/>
      <c r="T83" s="3704"/>
      <c r="U83" s="3704"/>
      <c r="V83" s="3704"/>
      <c r="W83" s="3704"/>
      <c r="X83" s="3704"/>
      <c r="Y83" s="3705"/>
    </row>
    <row r="84" spans="2:29" ht="15" customHeight="1" x14ac:dyDescent="0.2">
      <c r="B84" s="3706" t="s">
        <v>2171</v>
      </c>
      <c r="C84" s="3707">
        <v>0.8</v>
      </c>
      <c r="D84" s="3707">
        <v>0.8</v>
      </c>
      <c r="E84" s="3708">
        <v>0.25</v>
      </c>
      <c r="F84" s="3709">
        <v>4</v>
      </c>
      <c r="G84" s="3708">
        <f>(C84*D84*E84*F84)</f>
        <v>0.64000000000000012</v>
      </c>
      <c r="H84" s="3708">
        <f>(2*C84+2*D84)*E84*F84</f>
        <v>3.2</v>
      </c>
      <c r="I84" s="3710">
        <v>12</v>
      </c>
      <c r="J84" s="3711" t="s">
        <v>805</v>
      </c>
      <c r="K84" s="3712">
        <v>150</v>
      </c>
      <c r="L84" s="3713">
        <f>1+($C84*$F84)/(K84/1000)-1</f>
        <v>21.333333333333336</v>
      </c>
      <c r="M84" s="3708">
        <f>(0.25*PI()*(I84/1000)^2)*(2*($D84+$E84))*L84*7850</f>
        <v>39.774070958920511</v>
      </c>
      <c r="N84" s="3710">
        <f>I84</f>
        <v>12</v>
      </c>
      <c r="O84" s="3711" t="s">
        <v>805</v>
      </c>
      <c r="P84" s="3712">
        <f>K84</f>
        <v>150</v>
      </c>
      <c r="Q84" s="3713">
        <f>1+($D84*$F84)/(P84/1000)-1</f>
        <v>21.333333333333336</v>
      </c>
      <c r="R84" s="3714">
        <f>(0.25*PI()*(N84/1000)^2)*(2*($C84+$E84))*Q84*7850</f>
        <v>39.774070958920511</v>
      </c>
      <c r="S84" s="3606"/>
      <c r="T84" s="3606"/>
      <c r="V84" s="3606"/>
      <c r="X84" s="3606"/>
    </row>
    <row r="85" spans="2:29" ht="15" customHeight="1" x14ac:dyDescent="0.2">
      <c r="B85" s="3706"/>
      <c r="C85" s="3707"/>
      <c r="D85" s="3707"/>
      <c r="E85" s="3708"/>
      <c r="F85" s="3711"/>
      <c r="G85" s="3708"/>
      <c r="H85" s="3708"/>
      <c r="I85" s="3710"/>
      <c r="J85" s="3711"/>
      <c r="K85" s="3712"/>
      <c r="L85" s="3713"/>
      <c r="M85" s="3708"/>
      <c r="N85" s="3710"/>
      <c r="O85" s="3711"/>
      <c r="P85" s="3712"/>
      <c r="Q85" s="3713"/>
      <c r="R85" s="3714"/>
      <c r="S85" s="3606"/>
      <c r="T85" s="3606"/>
      <c r="V85" s="3606"/>
      <c r="X85" s="3606"/>
      <c r="Y85" s="3606"/>
      <c r="AC85" s="3606"/>
    </row>
    <row r="86" spans="2:29" s="3719" customFormat="1" ht="20.100000000000001" customHeight="1" x14ac:dyDescent="0.2">
      <c r="B86" s="3715" t="s">
        <v>284</v>
      </c>
      <c r="C86" s="3716"/>
      <c r="D86" s="3716"/>
      <c r="E86" s="3716"/>
      <c r="F86" s="3717"/>
      <c r="G86" s="3717">
        <f>SUM(G84:G85)</f>
        <v>0.64000000000000012</v>
      </c>
      <c r="H86" s="3717">
        <f>SUM(H84:H85)</f>
        <v>3.2</v>
      </c>
      <c r="I86" s="3716"/>
      <c r="J86" s="3716"/>
      <c r="K86" s="3716"/>
      <c r="L86" s="3716"/>
      <c r="M86" s="3717">
        <f>SUM(M84:M85)</f>
        <v>39.774070958920511</v>
      </c>
      <c r="N86" s="3716"/>
      <c r="O86" s="3716"/>
      <c r="P86" s="3716"/>
      <c r="Q86" s="3716"/>
      <c r="R86" s="3718">
        <f>SUM(R84:R85)</f>
        <v>39.774070958920511</v>
      </c>
      <c r="T86" s="3720"/>
      <c r="V86" s="3720"/>
      <c r="X86" s="3720"/>
      <c r="Y86" s="3720"/>
    </row>
    <row r="87" spans="2:29" s="3719" customFormat="1" ht="20.100000000000001" customHeight="1" x14ac:dyDescent="0.2">
      <c r="B87" s="3721"/>
      <c r="C87" s="3705"/>
      <c r="D87" s="3705"/>
      <c r="E87" s="3705"/>
      <c r="F87" s="3720"/>
      <c r="G87" s="3720"/>
      <c r="H87" s="3720"/>
      <c r="I87" s="3705"/>
      <c r="J87" s="3705"/>
      <c r="K87" s="3705"/>
      <c r="L87" s="3705"/>
      <c r="M87" s="3720"/>
      <c r="N87" s="3705"/>
      <c r="O87" s="3705"/>
      <c r="P87" s="3705"/>
      <c r="Q87" s="3705"/>
      <c r="R87" s="3722"/>
      <c r="T87" s="3720"/>
      <c r="V87" s="3720"/>
      <c r="X87" s="3720"/>
      <c r="Y87" s="3720"/>
    </row>
  </sheetData>
  <mergeCells count="96">
    <mergeCell ref="B86:E86"/>
    <mergeCell ref="I86:L86"/>
    <mergeCell ref="N86:Q86"/>
    <mergeCell ref="B82:B83"/>
    <mergeCell ref="C82:F82"/>
    <mergeCell ref="I82:R82"/>
    <mergeCell ref="S82:T82"/>
    <mergeCell ref="U82:V82"/>
    <mergeCell ref="W82:X82"/>
    <mergeCell ref="I83:K83"/>
    <mergeCell ref="N83:P83"/>
    <mergeCell ref="B77:E77"/>
    <mergeCell ref="I77:L77"/>
    <mergeCell ref="N77:Q77"/>
    <mergeCell ref="B79:R79"/>
    <mergeCell ref="B80:R80"/>
    <mergeCell ref="B81:R81"/>
    <mergeCell ref="B69:E69"/>
    <mergeCell ref="I69:L69"/>
    <mergeCell ref="N69:Q69"/>
    <mergeCell ref="B72:R72"/>
    <mergeCell ref="B73:B74"/>
    <mergeCell ref="C73:F73"/>
    <mergeCell ref="I73:R73"/>
    <mergeCell ref="I74:K74"/>
    <mergeCell ref="N74:P74"/>
    <mergeCell ref="B62:E62"/>
    <mergeCell ref="I62:L62"/>
    <mergeCell ref="N62:Q62"/>
    <mergeCell ref="B64:R64"/>
    <mergeCell ref="B65:B66"/>
    <mergeCell ref="C65:F65"/>
    <mergeCell ref="I65:R65"/>
    <mergeCell ref="I66:K66"/>
    <mergeCell ref="N66:P66"/>
    <mergeCell ref="B54:E54"/>
    <mergeCell ref="I54:L54"/>
    <mergeCell ref="N54:Q54"/>
    <mergeCell ref="B56:R56"/>
    <mergeCell ref="B57:B58"/>
    <mergeCell ref="C57:F57"/>
    <mergeCell ref="I57:R57"/>
    <mergeCell ref="I58:K58"/>
    <mergeCell ref="N58:P58"/>
    <mergeCell ref="B37:E37"/>
    <mergeCell ref="I37:L37"/>
    <mergeCell ref="N37:Q37"/>
    <mergeCell ref="B39:R39"/>
    <mergeCell ref="B40:B41"/>
    <mergeCell ref="C40:F40"/>
    <mergeCell ref="I40:R40"/>
    <mergeCell ref="I41:K41"/>
    <mergeCell ref="N41:P41"/>
    <mergeCell ref="B29:E29"/>
    <mergeCell ref="I29:L29"/>
    <mergeCell ref="N29:Q29"/>
    <mergeCell ref="B31:R31"/>
    <mergeCell ref="B32:B33"/>
    <mergeCell ref="C32:F32"/>
    <mergeCell ref="I32:R32"/>
    <mergeCell ref="I33:K33"/>
    <mergeCell ref="N33:P33"/>
    <mergeCell ref="B19:R19"/>
    <mergeCell ref="B20:R20"/>
    <mergeCell ref="B21:B22"/>
    <mergeCell ref="C21:F21"/>
    <mergeCell ref="I21:R21"/>
    <mergeCell ref="I22:K22"/>
    <mergeCell ref="N22:P22"/>
    <mergeCell ref="U13:V13"/>
    <mergeCell ref="W13:X13"/>
    <mergeCell ref="I14:K14"/>
    <mergeCell ref="N14:P14"/>
    <mergeCell ref="B17:E17"/>
    <mergeCell ref="I17:L17"/>
    <mergeCell ref="N17:Q17"/>
    <mergeCell ref="B11:R11"/>
    <mergeCell ref="B12:R12"/>
    <mergeCell ref="B13:B14"/>
    <mergeCell ref="C13:F13"/>
    <mergeCell ref="I13:R13"/>
    <mergeCell ref="S13:T13"/>
    <mergeCell ref="S5:T5"/>
    <mergeCell ref="U5:V5"/>
    <mergeCell ref="W5:X5"/>
    <mergeCell ref="I6:K6"/>
    <mergeCell ref="N6:P6"/>
    <mergeCell ref="B9:E9"/>
    <mergeCell ref="I9:L9"/>
    <mergeCell ref="N9:Q9"/>
    <mergeCell ref="B2:R2"/>
    <mergeCell ref="B3:R3"/>
    <mergeCell ref="B4:R4"/>
    <mergeCell ref="B5:B6"/>
    <mergeCell ref="C5:F5"/>
    <mergeCell ref="I5:R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234"/>
  <sheetViews>
    <sheetView topLeftCell="A220" workbookViewId="0">
      <selection sqref="A1:XFD1048576"/>
    </sheetView>
  </sheetViews>
  <sheetFormatPr defaultColWidth="9.140625" defaultRowHeight="12.75" x14ac:dyDescent="0.2"/>
  <cols>
    <col min="1" max="1" width="6" style="3737" customWidth="1"/>
    <col min="2" max="2" width="10.7109375" style="3737" customWidth="1"/>
    <col min="3" max="4" width="4.42578125" style="3737" customWidth="1"/>
    <col min="5" max="5" width="8" style="3737" customWidth="1"/>
    <col min="6" max="6" width="7.85546875" style="3737" customWidth="1"/>
    <col min="7" max="7" width="8" style="3737" customWidth="1"/>
    <col min="8" max="8" width="9.85546875" style="3737" customWidth="1"/>
    <col min="9" max="10" width="6.5703125" style="3737" customWidth="1"/>
    <col min="11" max="11" width="8.7109375" style="3737" customWidth="1"/>
    <col min="12" max="13" width="6.5703125" style="3737" customWidth="1"/>
    <col min="14" max="14" width="7.5703125" style="3737" customWidth="1"/>
    <col min="15" max="15" width="3" style="3737" customWidth="1"/>
    <col min="16" max="16" width="1.5703125" style="3737" customWidth="1"/>
    <col min="17" max="17" width="5" style="3737" customWidth="1"/>
    <col min="18" max="18" width="5.85546875" style="3737" customWidth="1"/>
    <col min="19" max="19" width="8.7109375" style="3737" customWidth="1"/>
    <col min="20" max="16384" width="9.140625" style="3737"/>
  </cols>
  <sheetData>
    <row r="1" spans="1:22" ht="18.75" thickBot="1" x14ac:dyDescent="0.3">
      <c r="A1" s="3736"/>
      <c r="B1" s="3682" t="s">
        <v>2197</v>
      </c>
      <c r="C1" s="3683"/>
      <c r="D1" s="3683"/>
      <c r="E1" s="3683"/>
      <c r="F1" s="3683"/>
      <c r="G1" s="3683"/>
      <c r="H1" s="3683"/>
      <c r="I1" s="3683"/>
      <c r="J1" s="3683"/>
      <c r="K1" s="3683"/>
      <c r="L1" s="3683"/>
      <c r="M1" s="3683"/>
      <c r="N1" s="3683"/>
      <c r="O1" s="3683"/>
      <c r="P1" s="3683"/>
      <c r="Q1" s="3683"/>
      <c r="R1" s="3683"/>
      <c r="S1" s="3684"/>
    </row>
    <row r="2" spans="1:22" s="3676" customFormat="1" ht="24.95" customHeight="1" thickTop="1" thickBot="1" x14ac:dyDescent="0.25">
      <c r="B2" s="3738" t="s">
        <v>2198</v>
      </c>
      <c r="C2" s="3724"/>
      <c r="D2" s="3724"/>
      <c r="E2" s="3724"/>
      <c r="F2" s="3724"/>
      <c r="G2" s="3724"/>
      <c r="H2" s="3724"/>
      <c r="I2" s="3724"/>
      <c r="J2" s="3724"/>
      <c r="K2" s="3724"/>
      <c r="L2" s="3724"/>
      <c r="M2" s="3724"/>
      <c r="N2" s="3724"/>
      <c r="O2" s="3724"/>
      <c r="P2" s="3724"/>
      <c r="Q2" s="3724"/>
      <c r="R2" s="3724"/>
      <c r="S2" s="3725"/>
    </row>
    <row r="3" spans="1:22" s="3697" customFormat="1" ht="32.25" customHeight="1" thickTop="1" x14ac:dyDescent="0.2">
      <c r="A3" s="3739"/>
      <c r="B3" s="3740" t="s">
        <v>2176</v>
      </c>
      <c r="C3" s="3741"/>
      <c r="D3" s="3741"/>
      <c r="E3" s="3741"/>
      <c r="F3" s="3742"/>
      <c r="G3" s="3691" t="s">
        <v>2163</v>
      </c>
      <c r="H3" s="3692" t="s">
        <v>2164</v>
      </c>
      <c r="I3" s="3743" t="s">
        <v>2199</v>
      </c>
      <c r="J3" s="3744"/>
      <c r="K3" s="3745"/>
      <c r="L3" s="3743" t="s">
        <v>2200</v>
      </c>
      <c r="M3" s="3744"/>
      <c r="N3" s="3744"/>
      <c r="O3" s="3744"/>
      <c r="P3" s="3744"/>
      <c r="Q3" s="3744"/>
      <c r="R3" s="3744"/>
      <c r="S3" s="3746"/>
    </row>
    <row r="4" spans="1:22" s="3676" customFormat="1" ht="30" customHeight="1" x14ac:dyDescent="0.2">
      <c r="A4" s="3747"/>
      <c r="B4" s="3748" t="s">
        <v>2161</v>
      </c>
      <c r="C4" s="3699" t="s">
        <v>608</v>
      </c>
      <c r="D4" s="3699" t="s">
        <v>699</v>
      </c>
      <c r="E4" s="3700" t="s">
        <v>2201</v>
      </c>
      <c r="F4" s="3699" t="s">
        <v>284</v>
      </c>
      <c r="G4" s="3699" t="s">
        <v>1755</v>
      </c>
      <c r="H4" s="3700" t="s">
        <v>2166</v>
      </c>
      <c r="I4" s="3699" t="s">
        <v>2202</v>
      </c>
      <c r="J4" s="3699" t="s">
        <v>2203</v>
      </c>
      <c r="K4" s="3699" t="s">
        <v>2204</v>
      </c>
      <c r="L4" s="3699" t="s">
        <v>2202</v>
      </c>
      <c r="M4" s="3699" t="s">
        <v>2203</v>
      </c>
      <c r="N4" s="3699" t="s">
        <v>2204</v>
      </c>
      <c r="O4" s="3749" t="s">
        <v>2205</v>
      </c>
      <c r="P4" s="3750"/>
      <c r="Q4" s="3751"/>
      <c r="R4" s="3699" t="s">
        <v>2206</v>
      </c>
      <c r="S4" s="3703" t="s">
        <v>2207</v>
      </c>
    </row>
    <row r="5" spans="1:22" s="3676" customFormat="1" ht="15" customHeight="1" x14ac:dyDescent="0.2">
      <c r="B5" s="3752" t="s">
        <v>2208</v>
      </c>
      <c r="C5" s="3707">
        <v>0.2</v>
      </c>
      <c r="D5" s="3707">
        <v>0.4</v>
      </c>
      <c r="E5" s="3708">
        <f>SUM(E6:E22)</f>
        <v>309.20000000000005</v>
      </c>
      <c r="F5" s="3711"/>
      <c r="G5" s="3708">
        <f>C5*D5*E5</f>
        <v>24.736000000000008</v>
      </c>
      <c r="H5" s="3708">
        <f>(2*D5)*E5</f>
        <v>247.36000000000004</v>
      </c>
      <c r="I5" s="3711">
        <v>16</v>
      </c>
      <c r="J5" s="3711">
        <v>4</v>
      </c>
      <c r="K5" s="3708">
        <f>(0.25*PI()*(I5/1000)^2)*J5*$E5*7850</f>
        <v>1952.0861492854319</v>
      </c>
      <c r="L5" s="3711">
        <v>13</v>
      </c>
      <c r="M5" s="3711">
        <v>2</v>
      </c>
      <c r="N5" s="3708">
        <f>(0.25*PI()*(L5/1000)^2)*M5*$E5*7850</f>
        <v>644.34093599460527</v>
      </c>
      <c r="O5" s="3710">
        <v>10</v>
      </c>
      <c r="P5" s="3711" t="s">
        <v>805</v>
      </c>
      <c r="Q5" s="3712">
        <v>100</v>
      </c>
      <c r="R5" s="3713">
        <f>1+(E5*2/4)/(Q5/1000)</f>
        <v>1547.0000000000002</v>
      </c>
      <c r="S5" s="3714">
        <f>(0.25*PI()*(O5/1000)^2)*(2*(C5+D5))*R5*7850</f>
        <v>1144.5403231668533</v>
      </c>
    </row>
    <row r="6" spans="1:22" s="3719" customFormat="1" ht="15" x14ac:dyDescent="0.2">
      <c r="A6" s="3676"/>
      <c r="B6" s="3753"/>
      <c r="C6" s="3754"/>
      <c r="D6" s="3754"/>
      <c r="E6" s="3755"/>
      <c r="F6" s="3756"/>
      <c r="G6" s="3754"/>
      <c r="H6" s="3754"/>
      <c r="I6" s="3754"/>
      <c r="J6" s="3754"/>
      <c r="K6" s="3754"/>
      <c r="L6" s="3754"/>
      <c r="M6" s="3754"/>
      <c r="N6" s="3754"/>
      <c r="O6" s="3710">
        <v>10</v>
      </c>
      <c r="P6" s="3711" t="s">
        <v>805</v>
      </c>
      <c r="Q6" s="3712">
        <v>150</v>
      </c>
      <c r="R6" s="3713">
        <f>1+(E5*3/6)/(Q6/1000)</f>
        <v>1031.666666666667</v>
      </c>
      <c r="S6" s="3714">
        <f>(0.25*PI()*(O6/1000)^2)*(2*(C5+D5))*R6*7850</f>
        <v>763.27349713454248</v>
      </c>
      <c r="V6" s="3757"/>
    </row>
    <row r="7" spans="1:22" x14ac:dyDescent="0.2">
      <c r="A7" s="3676"/>
      <c r="B7" s="3753"/>
      <c r="C7" s="3754"/>
      <c r="D7" s="3754"/>
      <c r="E7" s="3708"/>
      <c r="F7" s="3754"/>
      <c r="G7" s="3754"/>
      <c r="H7" s="3754"/>
      <c r="I7" s="3754"/>
      <c r="J7" s="3754"/>
      <c r="K7" s="3754"/>
      <c r="L7" s="3754"/>
      <c r="M7" s="3754"/>
      <c r="N7" s="3754"/>
      <c r="O7" s="3710"/>
      <c r="P7" s="3711"/>
      <c r="Q7" s="3712"/>
      <c r="R7" s="3713"/>
      <c r="S7" s="3714">
        <f>(0.25*PI()*(O7/1000)^2)*(3*(C5))*R7*7850</f>
        <v>0</v>
      </c>
    </row>
    <row r="8" spans="1:22" s="3607" customFormat="1" x14ac:dyDescent="0.2">
      <c r="A8" s="3676"/>
      <c r="B8" s="3752" t="s">
        <v>2073</v>
      </c>
      <c r="C8" s="3758"/>
      <c r="D8" s="3758"/>
      <c r="E8" s="3708">
        <v>21.1</v>
      </c>
      <c r="F8" s="3758"/>
      <c r="G8" s="3758"/>
      <c r="H8" s="3758"/>
      <c r="I8" s="3758"/>
      <c r="J8" s="3758"/>
      <c r="K8" s="3758"/>
      <c r="L8" s="3758"/>
      <c r="M8" s="3758"/>
      <c r="N8" s="3758"/>
      <c r="O8" s="3710"/>
      <c r="P8" s="3711"/>
      <c r="Q8" s="3712"/>
      <c r="R8" s="3713"/>
      <c r="S8" s="3714"/>
    </row>
    <row r="9" spans="1:22" s="3607" customFormat="1" x14ac:dyDescent="0.2">
      <c r="A9" s="3676"/>
      <c r="B9" s="3752" t="s">
        <v>2209</v>
      </c>
      <c r="C9" s="3758"/>
      <c r="D9" s="3758"/>
      <c r="E9" s="3708">
        <v>21.1</v>
      </c>
      <c r="F9" s="3758"/>
      <c r="G9" s="3758"/>
      <c r="H9" s="3758"/>
      <c r="I9" s="3758"/>
      <c r="J9" s="3758"/>
      <c r="K9" s="3758"/>
      <c r="L9" s="3758"/>
      <c r="M9" s="3758"/>
      <c r="N9" s="3758"/>
      <c r="O9" s="3710"/>
      <c r="P9" s="3711"/>
      <c r="Q9" s="3712"/>
      <c r="R9" s="3713"/>
      <c r="S9" s="3714"/>
    </row>
    <row r="10" spans="1:22" s="3607" customFormat="1" x14ac:dyDescent="0.2">
      <c r="A10" s="3676"/>
      <c r="B10" s="3752" t="s">
        <v>2092</v>
      </c>
      <c r="C10" s="3758"/>
      <c r="D10" s="3758"/>
      <c r="E10" s="3708">
        <v>21.1</v>
      </c>
      <c r="F10" s="3758"/>
      <c r="G10" s="3758"/>
      <c r="H10" s="3758"/>
      <c r="I10" s="3758"/>
      <c r="J10" s="3758"/>
      <c r="K10" s="3758"/>
      <c r="L10" s="3758"/>
      <c r="M10" s="3758"/>
      <c r="N10" s="3758"/>
      <c r="O10" s="3710"/>
      <c r="P10" s="3711"/>
      <c r="Q10" s="3712"/>
      <c r="R10" s="3713"/>
      <c r="S10" s="3714"/>
    </row>
    <row r="11" spans="1:22" s="3607" customFormat="1" x14ac:dyDescent="0.2">
      <c r="A11" s="3676"/>
      <c r="B11" s="3752" t="s">
        <v>2074</v>
      </c>
      <c r="C11" s="3758"/>
      <c r="D11" s="3758"/>
      <c r="E11" s="3708">
        <v>21.1</v>
      </c>
      <c r="F11" s="3758"/>
      <c r="G11" s="3758"/>
      <c r="H11" s="3758"/>
      <c r="I11" s="3758"/>
      <c r="J11" s="3758"/>
      <c r="K11" s="3758"/>
      <c r="L11" s="3758"/>
      <c r="M11" s="3758"/>
      <c r="N11" s="3758"/>
      <c r="O11" s="3710"/>
      <c r="P11" s="3711"/>
      <c r="Q11" s="3712"/>
      <c r="R11" s="3713"/>
      <c r="S11" s="3714"/>
    </row>
    <row r="12" spans="1:22" s="3607" customFormat="1" x14ac:dyDescent="0.2">
      <c r="A12" s="3676"/>
      <c r="B12" s="3752" t="s">
        <v>2076</v>
      </c>
      <c r="C12" s="3758"/>
      <c r="D12" s="3758"/>
      <c r="E12" s="3708">
        <v>21.1</v>
      </c>
      <c r="F12" s="3758"/>
      <c r="G12" s="3758"/>
      <c r="H12" s="3758"/>
      <c r="I12" s="3758"/>
      <c r="J12" s="3758"/>
      <c r="K12" s="3758"/>
      <c r="L12" s="3758"/>
      <c r="M12" s="3758"/>
      <c r="N12" s="3758"/>
      <c r="O12" s="3710"/>
      <c r="P12" s="3711"/>
      <c r="Q12" s="3712"/>
      <c r="R12" s="3713"/>
      <c r="S12" s="3714"/>
    </row>
    <row r="13" spans="1:22" s="3607" customFormat="1" x14ac:dyDescent="0.2">
      <c r="A13" s="3676"/>
      <c r="B13" s="3752" t="s">
        <v>2078</v>
      </c>
      <c r="C13" s="3758"/>
      <c r="D13" s="3758"/>
      <c r="E13" s="3759">
        <v>28</v>
      </c>
      <c r="F13" s="3758"/>
      <c r="G13" s="3758"/>
      <c r="H13" s="3758"/>
      <c r="I13" s="3758"/>
      <c r="J13" s="3758"/>
      <c r="K13" s="3758"/>
      <c r="L13" s="3758"/>
      <c r="M13" s="3758"/>
      <c r="N13" s="3758"/>
      <c r="O13" s="3710"/>
      <c r="P13" s="3711"/>
      <c r="Q13" s="3712"/>
      <c r="R13" s="3713"/>
      <c r="S13" s="3714"/>
    </row>
    <row r="14" spans="1:22" s="3607" customFormat="1" x14ac:dyDescent="0.2">
      <c r="A14" s="3676"/>
      <c r="B14" s="3752" t="s">
        <v>2093</v>
      </c>
      <c r="C14" s="3758"/>
      <c r="D14" s="3758"/>
      <c r="E14" s="3708">
        <v>21.1</v>
      </c>
      <c r="F14" s="3758"/>
      <c r="G14" s="3758"/>
      <c r="H14" s="3758"/>
      <c r="I14" s="3758"/>
      <c r="J14" s="3758"/>
      <c r="K14" s="3758"/>
      <c r="L14" s="3758"/>
      <c r="M14" s="3758"/>
      <c r="N14" s="3758"/>
      <c r="O14" s="3710"/>
      <c r="P14" s="3711"/>
      <c r="Q14" s="3712"/>
      <c r="R14" s="3713"/>
      <c r="S14" s="3714"/>
    </row>
    <row r="15" spans="1:22" s="3607" customFormat="1" x14ac:dyDescent="0.2">
      <c r="A15" s="3676"/>
      <c r="B15" s="3752" t="s">
        <v>2079</v>
      </c>
      <c r="C15" s="3758"/>
      <c r="D15" s="3758"/>
      <c r="E15" s="3708">
        <v>21.1</v>
      </c>
      <c r="F15" s="3758"/>
      <c r="G15" s="3758"/>
      <c r="H15" s="3758"/>
      <c r="I15" s="3758"/>
      <c r="J15" s="3758"/>
      <c r="K15" s="3758"/>
      <c r="L15" s="3758"/>
      <c r="M15" s="3758"/>
      <c r="N15" s="3758"/>
      <c r="O15" s="3710"/>
      <c r="P15" s="3711"/>
      <c r="Q15" s="3712"/>
      <c r="R15" s="3713"/>
      <c r="S15" s="3714"/>
    </row>
    <row r="16" spans="1:22" s="3607" customFormat="1" x14ac:dyDescent="0.2">
      <c r="A16" s="3676"/>
      <c r="B16" s="3752" t="s">
        <v>2080</v>
      </c>
      <c r="C16" s="3758"/>
      <c r="D16" s="3758"/>
      <c r="E16" s="3759">
        <v>28</v>
      </c>
      <c r="F16" s="3758"/>
      <c r="G16" s="3758"/>
      <c r="H16" s="3758"/>
      <c r="I16" s="3758"/>
      <c r="J16" s="3758"/>
      <c r="K16" s="3758"/>
      <c r="L16" s="3758"/>
      <c r="M16" s="3758"/>
      <c r="N16" s="3758"/>
      <c r="O16" s="3710"/>
      <c r="P16" s="3711"/>
      <c r="Q16" s="3712"/>
      <c r="R16" s="3713"/>
      <c r="S16" s="3714"/>
    </row>
    <row r="17" spans="1:19" s="3607" customFormat="1" x14ac:dyDescent="0.2">
      <c r="A17" s="3676"/>
      <c r="B17" s="3752" t="s">
        <v>2081</v>
      </c>
      <c r="C17" s="3758"/>
      <c r="D17" s="3758"/>
      <c r="E17" s="3708">
        <v>21.1</v>
      </c>
      <c r="F17" s="3758"/>
      <c r="G17" s="3758"/>
      <c r="H17" s="3758"/>
      <c r="I17" s="3758"/>
      <c r="J17" s="3758"/>
      <c r="K17" s="3758"/>
      <c r="L17" s="3758"/>
      <c r="M17" s="3758"/>
      <c r="N17" s="3758"/>
      <c r="O17" s="3710"/>
      <c r="P17" s="3711"/>
      <c r="Q17" s="3712"/>
      <c r="R17" s="3713"/>
      <c r="S17" s="3714"/>
    </row>
    <row r="18" spans="1:19" s="3607" customFormat="1" x14ac:dyDescent="0.2">
      <c r="A18" s="3676"/>
      <c r="B18" s="3752" t="s">
        <v>2098</v>
      </c>
      <c r="C18" s="3758"/>
      <c r="D18" s="3758"/>
      <c r="E18" s="3708">
        <v>21.1</v>
      </c>
      <c r="F18" s="3758"/>
      <c r="G18" s="3758"/>
      <c r="H18" s="3758"/>
      <c r="I18" s="3758"/>
      <c r="J18" s="3758"/>
      <c r="K18" s="3758"/>
      <c r="L18" s="3758"/>
      <c r="M18" s="3758"/>
      <c r="N18" s="3758"/>
      <c r="O18" s="3710"/>
      <c r="P18" s="3711"/>
      <c r="Q18" s="3712"/>
      <c r="R18" s="3713"/>
      <c r="S18" s="3714"/>
    </row>
    <row r="19" spans="1:19" s="3607" customFormat="1" x14ac:dyDescent="0.2">
      <c r="A19" s="3676"/>
      <c r="B19" s="3752" t="s">
        <v>2083</v>
      </c>
      <c r="C19" s="3758"/>
      <c r="D19" s="3758"/>
      <c r="E19" s="3708">
        <v>21.1</v>
      </c>
      <c r="F19" s="3758"/>
      <c r="G19" s="3758"/>
      <c r="H19" s="3758"/>
      <c r="I19" s="3758"/>
      <c r="J19" s="3758"/>
      <c r="K19" s="3758"/>
      <c r="L19" s="3758"/>
      <c r="M19" s="3758"/>
      <c r="N19" s="3758"/>
      <c r="O19" s="3710"/>
      <c r="P19" s="3711"/>
      <c r="Q19" s="3712"/>
      <c r="R19" s="3713"/>
      <c r="S19" s="3714"/>
    </row>
    <row r="20" spans="1:19" s="3607" customFormat="1" x14ac:dyDescent="0.2">
      <c r="A20" s="3676"/>
      <c r="B20" s="3752" t="s">
        <v>2210</v>
      </c>
      <c r="C20" s="3758"/>
      <c r="D20" s="3758"/>
      <c r="E20" s="3708">
        <v>21.1</v>
      </c>
      <c r="F20" s="3758"/>
      <c r="G20" s="3758"/>
      <c r="H20" s="3758"/>
      <c r="I20" s="3758"/>
      <c r="J20" s="3758"/>
      <c r="K20" s="3758"/>
      <c r="L20" s="3758"/>
      <c r="M20" s="3758"/>
      <c r="N20" s="3758"/>
      <c r="O20" s="3710"/>
      <c r="P20" s="3711"/>
      <c r="Q20" s="3712"/>
      <c r="R20" s="3713"/>
      <c r="S20" s="3714"/>
    </row>
    <row r="21" spans="1:19" s="3607" customFormat="1" x14ac:dyDescent="0.2">
      <c r="A21" s="3676"/>
      <c r="B21" s="3752" t="s">
        <v>2211</v>
      </c>
      <c r="C21" s="3758"/>
      <c r="D21" s="3758"/>
      <c r="E21" s="3708">
        <v>21.1</v>
      </c>
      <c r="F21" s="3758"/>
      <c r="G21" s="3758"/>
      <c r="H21" s="3758"/>
      <c r="I21" s="3758"/>
      <c r="J21" s="3758"/>
      <c r="K21" s="3758"/>
      <c r="L21" s="3758"/>
      <c r="M21" s="3758"/>
      <c r="N21" s="3758"/>
      <c r="O21" s="3710"/>
      <c r="P21" s="3711"/>
      <c r="Q21" s="3712"/>
      <c r="R21" s="3713"/>
      <c r="S21" s="3714"/>
    </row>
    <row r="22" spans="1:19" s="3607" customFormat="1" x14ac:dyDescent="0.2">
      <c r="A22" s="3676"/>
      <c r="B22" s="3752"/>
      <c r="C22" s="3758"/>
      <c r="D22" s="3758"/>
      <c r="E22" s="3760"/>
      <c r="F22" s="3758"/>
      <c r="G22" s="3758"/>
      <c r="H22" s="3758"/>
      <c r="I22" s="3758"/>
      <c r="J22" s="3758"/>
      <c r="K22" s="3758"/>
      <c r="L22" s="3758"/>
      <c r="M22" s="3758"/>
      <c r="N22" s="3758"/>
      <c r="O22" s="3710"/>
      <c r="P22" s="3711"/>
      <c r="Q22" s="3712"/>
      <c r="R22" s="3713"/>
      <c r="S22" s="3714"/>
    </row>
    <row r="23" spans="1:19" ht="15" x14ac:dyDescent="0.2">
      <c r="A23" s="3676"/>
      <c r="B23" s="3761" t="s">
        <v>284</v>
      </c>
      <c r="C23" s="3762"/>
      <c r="D23" s="3762"/>
      <c r="E23" s="3763"/>
      <c r="F23" s="3754"/>
      <c r="G23" s="3764">
        <f>SUM(G5:G5)</f>
        <v>24.736000000000008</v>
      </c>
      <c r="H23" s="3764">
        <f>SUM(H5:H5)</f>
        <v>247.36000000000004</v>
      </c>
      <c r="I23" s="3765"/>
      <c r="J23" s="3763"/>
      <c r="K23" s="3764">
        <f>SUM(K5:K5)</f>
        <v>1952.0861492854319</v>
      </c>
      <c r="L23" s="3765"/>
      <c r="M23" s="3763"/>
      <c r="N23" s="3717">
        <f>SUM(N5:N5)</f>
        <v>644.34093599460527</v>
      </c>
      <c r="O23" s="3765"/>
      <c r="P23" s="3762"/>
      <c r="Q23" s="3762"/>
      <c r="R23" s="3763"/>
      <c r="S23" s="3766">
        <f>SUM(S5:S7)</f>
        <v>1907.8138203013959</v>
      </c>
    </row>
    <row r="24" spans="1:19" x14ac:dyDescent="0.2">
      <c r="A24" s="3676"/>
      <c r="B24" s="3767"/>
      <c r="C24" s="3754"/>
      <c r="D24" s="3754"/>
      <c r="E24" s="3754"/>
      <c r="F24" s="3754"/>
      <c r="G24" s="3754"/>
      <c r="H24" s="3754"/>
      <c r="I24" s="3754"/>
      <c r="J24" s="3754"/>
      <c r="K24" s="3754"/>
      <c r="L24" s="3754"/>
      <c r="M24" s="3754"/>
      <c r="N24" s="3754"/>
      <c r="O24" s="3754"/>
      <c r="P24" s="3754"/>
      <c r="Q24" s="3754"/>
      <c r="R24" s="3754"/>
      <c r="S24" s="3768"/>
    </row>
    <row r="25" spans="1:19" ht="13.5" thickBot="1" x14ac:dyDescent="0.25">
      <c r="B25" s="3767"/>
      <c r="C25" s="3754"/>
      <c r="D25" s="3754"/>
      <c r="E25" s="3754"/>
      <c r="F25" s="3754"/>
      <c r="G25" s="3754"/>
      <c r="H25" s="3754"/>
      <c r="I25" s="3754"/>
      <c r="J25" s="3754"/>
      <c r="K25" s="3754"/>
      <c r="L25" s="3754"/>
      <c r="M25" s="3754"/>
      <c r="N25" s="3754"/>
      <c r="O25" s="3754"/>
      <c r="P25" s="3754"/>
      <c r="Q25" s="3754"/>
      <c r="R25" s="3754"/>
      <c r="S25" s="3768"/>
    </row>
    <row r="26" spans="1:19" s="3676" customFormat="1" ht="24.75" thickTop="1" thickBot="1" x14ac:dyDescent="0.25">
      <c r="B26" s="3738" t="s">
        <v>2212</v>
      </c>
      <c r="C26" s="3724"/>
      <c r="D26" s="3724"/>
      <c r="E26" s="3724"/>
      <c r="F26" s="3724"/>
      <c r="G26" s="3724"/>
      <c r="H26" s="3724"/>
      <c r="I26" s="3724"/>
      <c r="J26" s="3724"/>
      <c r="K26" s="3724"/>
      <c r="L26" s="3724"/>
      <c r="M26" s="3724"/>
      <c r="N26" s="3724"/>
      <c r="O26" s="3724"/>
      <c r="P26" s="3724"/>
      <c r="Q26" s="3724"/>
      <c r="R26" s="3724"/>
      <c r="S26" s="3725"/>
    </row>
    <row r="27" spans="1:19" s="3697" customFormat="1" ht="21.75" thickTop="1" x14ac:dyDescent="0.2">
      <c r="A27" s="3739"/>
      <c r="B27" s="3740" t="s">
        <v>2176</v>
      </c>
      <c r="C27" s="3741"/>
      <c r="D27" s="3741"/>
      <c r="E27" s="3741"/>
      <c r="F27" s="3742"/>
      <c r="G27" s="3691" t="s">
        <v>2163</v>
      </c>
      <c r="H27" s="3692" t="s">
        <v>2164</v>
      </c>
      <c r="I27" s="3743" t="s">
        <v>2199</v>
      </c>
      <c r="J27" s="3744"/>
      <c r="K27" s="3745"/>
      <c r="L27" s="3743" t="s">
        <v>2200</v>
      </c>
      <c r="M27" s="3744"/>
      <c r="N27" s="3744"/>
      <c r="O27" s="3744"/>
      <c r="P27" s="3744"/>
      <c r="Q27" s="3744"/>
      <c r="R27" s="3744"/>
      <c r="S27" s="3746"/>
    </row>
    <row r="28" spans="1:19" s="3676" customFormat="1" ht="30" x14ac:dyDescent="0.2">
      <c r="A28" s="3747"/>
      <c r="B28" s="3748" t="s">
        <v>2161</v>
      </c>
      <c r="C28" s="3699" t="s">
        <v>608</v>
      </c>
      <c r="D28" s="3699" t="s">
        <v>699</v>
      </c>
      <c r="E28" s="3700" t="s">
        <v>2201</v>
      </c>
      <c r="F28" s="3699" t="s">
        <v>284</v>
      </c>
      <c r="G28" s="3699" t="s">
        <v>1755</v>
      </c>
      <c r="H28" s="3700" t="s">
        <v>2166</v>
      </c>
      <c r="I28" s="3699" t="s">
        <v>2202</v>
      </c>
      <c r="J28" s="3699" t="s">
        <v>2203</v>
      </c>
      <c r="K28" s="3699" t="s">
        <v>2204</v>
      </c>
      <c r="L28" s="3699" t="s">
        <v>2202</v>
      </c>
      <c r="M28" s="3699" t="s">
        <v>2203</v>
      </c>
      <c r="N28" s="3699" t="s">
        <v>2204</v>
      </c>
      <c r="O28" s="3749" t="s">
        <v>2205</v>
      </c>
      <c r="P28" s="3750"/>
      <c r="Q28" s="3751"/>
      <c r="R28" s="3699" t="s">
        <v>2206</v>
      </c>
      <c r="S28" s="3703" t="s">
        <v>2207</v>
      </c>
    </row>
    <row r="29" spans="1:19" s="3676" customFormat="1" x14ac:dyDescent="0.2">
      <c r="B29" s="3752" t="s">
        <v>2213</v>
      </c>
      <c r="C29" s="3707">
        <v>0.2</v>
      </c>
      <c r="D29" s="3707">
        <v>0.3</v>
      </c>
      <c r="E29" s="3708">
        <f>SUM(E31:E39)</f>
        <v>222.39999999999998</v>
      </c>
      <c r="F29" s="3711"/>
      <c r="G29" s="3708">
        <f>C29*D29*E29</f>
        <v>13.343999999999998</v>
      </c>
      <c r="H29" s="3708">
        <f>(2*D29)*E29</f>
        <v>133.43999999999997</v>
      </c>
      <c r="I29" s="3711">
        <v>13</v>
      </c>
      <c r="J29" s="3711">
        <v>4</v>
      </c>
      <c r="K29" s="3708">
        <f>(0.25*PI()*(I29/1000)^2)*J29*$E29*7850</f>
        <v>926.91736200000128</v>
      </c>
      <c r="L29" s="3711">
        <v>10</v>
      </c>
      <c r="M29" s="3711">
        <v>2</v>
      </c>
      <c r="N29" s="3708">
        <f>(0.25*PI()*(L29/1000)^2)*M29*$E29*7850</f>
        <v>274.23590591716021</v>
      </c>
      <c r="O29" s="3710">
        <v>10</v>
      </c>
      <c r="P29" s="3711" t="s">
        <v>805</v>
      </c>
      <c r="Q29" s="3712">
        <v>100</v>
      </c>
      <c r="R29" s="3713">
        <f>1+(E29*2/4)/(Q29/1000)</f>
        <v>1112.9999999999998</v>
      </c>
      <c r="S29" s="3714">
        <f>(0.25*PI()*(O29/1000)^2)*(2*(C29+D29))*R29*7850</f>
        <v>686.20630235116744</v>
      </c>
    </row>
    <row r="30" spans="1:19" s="3719" customFormat="1" ht="15" x14ac:dyDescent="0.2">
      <c r="A30" s="3676"/>
      <c r="B30" s="3767"/>
      <c r="C30" s="3754"/>
      <c r="D30" s="3754"/>
      <c r="E30" s="3754"/>
      <c r="F30" s="3756"/>
      <c r="G30" s="3754"/>
      <c r="H30" s="3754"/>
      <c r="I30" s="3754"/>
      <c r="J30" s="3754"/>
      <c r="K30" s="3754"/>
      <c r="L30" s="3754"/>
      <c r="M30" s="3754"/>
      <c r="N30" s="3754"/>
      <c r="O30" s="3710">
        <v>10</v>
      </c>
      <c r="P30" s="3711" t="s">
        <v>805</v>
      </c>
      <c r="Q30" s="3712">
        <v>150</v>
      </c>
      <c r="R30" s="3713">
        <f>1+(E29*3/6)/(Q30/1000)</f>
        <v>742.33333333333326</v>
      </c>
      <c r="S30" s="3714">
        <f>(0.25*PI()*(O30/1000)^2)*(2*(C29+D29))*R30*7850</f>
        <v>457.67638075353398</v>
      </c>
    </row>
    <row r="31" spans="1:19" x14ac:dyDescent="0.2">
      <c r="A31" s="3676"/>
      <c r="B31" s="3767"/>
      <c r="C31" s="3754"/>
      <c r="D31" s="3754"/>
      <c r="E31" s="3754"/>
      <c r="F31" s="3754"/>
      <c r="G31" s="3754"/>
      <c r="H31" s="3754"/>
      <c r="I31" s="3754"/>
      <c r="J31" s="3754"/>
      <c r="K31" s="3754"/>
      <c r="L31" s="3754"/>
      <c r="M31" s="3754"/>
      <c r="N31" s="3754"/>
      <c r="O31" s="3710">
        <v>0</v>
      </c>
      <c r="P31" s="3711" t="s">
        <v>805</v>
      </c>
      <c r="Q31" s="3712">
        <v>1000</v>
      </c>
      <c r="R31" s="3713">
        <f>1+(E29*5/5)/(Q31/1000)</f>
        <v>223.4</v>
      </c>
      <c r="S31" s="3714">
        <f>(0.25*PI()*(O31/1000)^2)*(3*(C29))*R31*7850</f>
        <v>0</v>
      </c>
    </row>
    <row r="32" spans="1:19" s="3607" customFormat="1" x14ac:dyDescent="0.2">
      <c r="A32" s="3676"/>
      <c r="B32" s="3752" t="s">
        <v>2214</v>
      </c>
      <c r="C32" s="3758"/>
      <c r="D32" s="3758"/>
      <c r="E32" s="3708">
        <v>5.3</v>
      </c>
      <c r="F32" s="3758"/>
      <c r="G32" s="3758"/>
      <c r="H32" s="3758"/>
      <c r="I32" s="3758"/>
      <c r="J32" s="3758"/>
      <c r="K32" s="3758"/>
      <c r="L32" s="3758"/>
      <c r="M32" s="3758"/>
      <c r="N32" s="3758"/>
      <c r="O32" s="3710"/>
      <c r="P32" s="3711"/>
      <c r="Q32" s="3712"/>
      <c r="R32" s="3713"/>
      <c r="S32" s="3714"/>
    </row>
    <row r="33" spans="1:19" s="3607" customFormat="1" x14ac:dyDescent="0.2">
      <c r="A33" s="3676"/>
      <c r="B33" s="3752" t="s">
        <v>2215</v>
      </c>
      <c r="C33" s="3758"/>
      <c r="D33" s="3758"/>
      <c r="E33" s="3708">
        <v>5.3</v>
      </c>
      <c r="F33" s="3758"/>
      <c r="G33" s="3758"/>
      <c r="H33" s="3758"/>
      <c r="I33" s="3758"/>
      <c r="J33" s="3758"/>
      <c r="K33" s="3758"/>
      <c r="L33" s="3758"/>
      <c r="M33" s="3758"/>
      <c r="N33" s="3758"/>
      <c r="O33" s="3710"/>
      <c r="P33" s="3711"/>
      <c r="Q33" s="3712"/>
      <c r="R33" s="3713"/>
      <c r="S33" s="3714"/>
    </row>
    <row r="34" spans="1:19" s="3607" customFormat="1" x14ac:dyDescent="0.2">
      <c r="A34" s="3676"/>
      <c r="B34" s="3752" t="s">
        <v>2066</v>
      </c>
      <c r="C34" s="3758"/>
      <c r="D34" s="3758"/>
      <c r="E34" s="3708">
        <v>35.299999999999997</v>
      </c>
      <c r="F34" s="3758"/>
      <c r="G34" s="3758"/>
      <c r="H34" s="3758"/>
      <c r="I34" s="3758"/>
      <c r="J34" s="3758"/>
      <c r="K34" s="3758"/>
      <c r="L34" s="3758"/>
      <c r="M34" s="3758"/>
      <c r="N34" s="3758"/>
      <c r="O34" s="3710"/>
      <c r="P34" s="3711"/>
      <c r="Q34" s="3712"/>
      <c r="R34" s="3713"/>
      <c r="S34" s="3714"/>
    </row>
    <row r="35" spans="1:19" s="3607" customFormat="1" x14ac:dyDescent="0.2">
      <c r="A35" s="3676"/>
      <c r="B35" s="3752" t="s">
        <v>2068</v>
      </c>
      <c r="C35" s="3758"/>
      <c r="D35" s="3758"/>
      <c r="E35" s="3708">
        <v>35.299999999999997</v>
      </c>
      <c r="F35" s="3758"/>
      <c r="G35" s="3758"/>
      <c r="H35" s="3758"/>
      <c r="I35" s="3758"/>
      <c r="J35" s="3758"/>
      <c r="K35" s="3758"/>
      <c r="L35" s="3758"/>
      <c r="M35" s="3758"/>
      <c r="N35" s="3758"/>
      <c r="O35" s="3710"/>
      <c r="P35" s="3711"/>
      <c r="Q35" s="3712"/>
      <c r="R35" s="3713"/>
      <c r="S35" s="3714"/>
    </row>
    <row r="36" spans="1:19" s="3607" customFormat="1" x14ac:dyDescent="0.2">
      <c r="A36" s="3676"/>
      <c r="B36" s="3752" t="s">
        <v>2090</v>
      </c>
      <c r="C36" s="3758"/>
      <c r="D36" s="3758"/>
      <c r="E36" s="3708">
        <v>35.299999999999997</v>
      </c>
      <c r="F36" s="3758"/>
      <c r="G36" s="3758"/>
      <c r="H36" s="3758"/>
      <c r="I36" s="3758"/>
      <c r="J36" s="3758"/>
      <c r="K36" s="3758"/>
      <c r="L36" s="3758"/>
      <c r="M36" s="3758"/>
      <c r="N36" s="3758"/>
      <c r="O36" s="3710"/>
      <c r="P36" s="3711"/>
      <c r="Q36" s="3712"/>
      <c r="R36" s="3713"/>
      <c r="S36" s="3714"/>
    </row>
    <row r="37" spans="1:19" s="3607" customFormat="1" x14ac:dyDescent="0.2">
      <c r="A37" s="3676"/>
      <c r="B37" s="3752" t="s">
        <v>2091</v>
      </c>
      <c r="C37" s="3758"/>
      <c r="D37" s="3758"/>
      <c r="E37" s="3708">
        <v>35.299999999999997</v>
      </c>
      <c r="F37" s="3758"/>
      <c r="G37" s="3758"/>
      <c r="H37" s="3758"/>
      <c r="I37" s="3758"/>
      <c r="J37" s="3758"/>
      <c r="K37" s="3758"/>
      <c r="L37" s="3758"/>
      <c r="M37" s="3758"/>
      <c r="N37" s="3758"/>
      <c r="O37" s="3710"/>
      <c r="P37" s="3711"/>
      <c r="Q37" s="3712"/>
      <c r="R37" s="3713"/>
      <c r="S37" s="3714"/>
    </row>
    <row r="38" spans="1:19" s="3607" customFormat="1" x14ac:dyDescent="0.2">
      <c r="A38" s="3676"/>
      <c r="B38" s="3752" t="s">
        <v>2069</v>
      </c>
      <c r="C38" s="3758"/>
      <c r="D38" s="3758"/>
      <c r="E38" s="3708">
        <v>35.299999999999997</v>
      </c>
      <c r="F38" s="3758"/>
      <c r="G38" s="3758"/>
      <c r="H38" s="3758"/>
      <c r="I38" s="3758"/>
      <c r="J38" s="3758"/>
      <c r="K38" s="3758"/>
      <c r="L38" s="3758"/>
      <c r="M38" s="3758"/>
      <c r="N38" s="3758"/>
      <c r="O38" s="3710"/>
      <c r="P38" s="3711"/>
      <c r="Q38" s="3712"/>
      <c r="R38" s="3713"/>
      <c r="S38" s="3714"/>
    </row>
    <row r="39" spans="1:19" s="3607" customFormat="1" x14ac:dyDescent="0.2">
      <c r="A39" s="3676"/>
      <c r="B39" s="3752" t="s">
        <v>2072</v>
      </c>
      <c r="C39" s="3758"/>
      <c r="D39" s="3758"/>
      <c r="E39" s="3708">
        <v>35.299999999999997</v>
      </c>
      <c r="F39" s="3758"/>
      <c r="G39" s="3758"/>
      <c r="H39" s="3758"/>
      <c r="I39" s="3758"/>
      <c r="J39" s="3758"/>
      <c r="K39" s="3758"/>
      <c r="L39" s="3758"/>
      <c r="M39" s="3758"/>
      <c r="N39" s="3758"/>
      <c r="O39" s="3710"/>
      <c r="P39" s="3711"/>
      <c r="Q39" s="3712"/>
      <c r="R39" s="3713"/>
      <c r="S39" s="3714"/>
    </row>
    <row r="40" spans="1:19" s="3607" customFormat="1" x14ac:dyDescent="0.2">
      <c r="A40" s="3676"/>
      <c r="B40" s="3752"/>
      <c r="C40" s="3758"/>
      <c r="D40" s="3758"/>
      <c r="E40" s="3708"/>
      <c r="F40" s="3758"/>
      <c r="G40" s="3758"/>
      <c r="H40" s="3758"/>
      <c r="I40" s="3758"/>
      <c r="J40" s="3758"/>
      <c r="K40" s="3758"/>
      <c r="L40" s="3758"/>
      <c r="M40" s="3758"/>
      <c r="N40" s="3758"/>
      <c r="O40" s="3710"/>
      <c r="P40" s="3711"/>
      <c r="Q40" s="3712"/>
      <c r="R40" s="3713"/>
      <c r="S40" s="3714"/>
    </row>
    <row r="41" spans="1:19" x14ac:dyDescent="0.2">
      <c r="A41" s="3676"/>
      <c r="B41" s="3769"/>
      <c r="C41" s="3770"/>
      <c r="D41" s="3770"/>
      <c r="E41" s="3771"/>
      <c r="F41" s="3754"/>
      <c r="G41" s="3754"/>
      <c r="H41" s="3754"/>
      <c r="I41" s="3772"/>
      <c r="J41" s="3771"/>
      <c r="K41" s="3754"/>
      <c r="L41" s="3772"/>
      <c r="M41" s="3771"/>
      <c r="N41" s="3754"/>
      <c r="O41" s="3773"/>
      <c r="P41" s="3774"/>
      <c r="Q41" s="3775"/>
      <c r="R41" s="3776"/>
      <c r="S41" s="3714"/>
    </row>
    <row r="42" spans="1:19" ht="15" x14ac:dyDescent="0.2">
      <c r="A42" s="3676"/>
      <c r="B42" s="3761" t="s">
        <v>284</v>
      </c>
      <c r="C42" s="3762"/>
      <c r="D42" s="3762"/>
      <c r="E42" s="3763"/>
      <c r="F42" s="3754"/>
      <c r="G42" s="3764">
        <f>SUM(G29:G29)</f>
        <v>13.343999999999998</v>
      </c>
      <c r="H42" s="3764">
        <f>SUM(H29:H29)</f>
        <v>133.43999999999997</v>
      </c>
      <c r="I42" s="3765"/>
      <c r="J42" s="3763"/>
      <c r="K42" s="3764">
        <f>SUM(K29:K29)</f>
        <v>926.91736200000128</v>
      </c>
      <c r="L42" s="3765"/>
      <c r="M42" s="3763"/>
      <c r="N42" s="3717">
        <f>SUM(N29:N29)</f>
        <v>274.23590591716021</v>
      </c>
      <c r="O42" s="3765"/>
      <c r="P42" s="3762"/>
      <c r="Q42" s="3762"/>
      <c r="R42" s="3763"/>
      <c r="S42" s="3766">
        <f>SUM(S29:S31)</f>
        <v>1143.8826831047013</v>
      </c>
    </row>
    <row r="43" spans="1:19" x14ac:dyDescent="0.2">
      <c r="A43" s="3676"/>
      <c r="B43" s="3767"/>
      <c r="C43" s="3754"/>
      <c r="D43" s="3754"/>
      <c r="E43" s="3754"/>
      <c r="F43" s="3754"/>
      <c r="G43" s="3754"/>
      <c r="H43" s="3754"/>
      <c r="I43" s="3754"/>
      <c r="J43" s="3754"/>
      <c r="K43" s="3754"/>
      <c r="L43" s="3754"/>
      <c r="M43" s="3754"/>
      <c r="N43" s="3754"/>
      <c r="O43" s="3754"/>
      <c r="P43" s="3754"/>
      <c r="Q43" s="3754"/>
      <c r="R43" s="3754"/>
      <c r="S43" s="3768"/>
    </row>
    <row r="44" spans="1:19" ht="13.5" thickBot="1" x14ac:dyDescent="0.25">
      <c r="B44" s="3767"/>
      <c r="C44" s="3754"/>
      <c r="D44" s="3754"/>
      <c r="E44" s="3754"/>
      <c r="F44" s="3754"/>
      <c r="G44" s="3754"/>
      <c r="H44" s="3754"/>
      <c r="I44" s="3754"/>
      <c r="J44" s="3754"/>
      <c r="K44" s="3754"/>
      <c r="L44" s="3754"/>
      <c r="M44" s="3754"/>
      <c r="N44" s="3754"/>
      <c r="O44" s="3754"/>
      <c r="P44" s="3754"/>
      <c r="Q44" s="3754"/>
      <c r="R44" s="3754"/>
      <c r="S44" s="3768"/>
    </row>
    <row r="45" spans="1:19" s="3676" customFormat="1" ht="24.75" thickTop="1" thickBot="1" x14ac:dyDescent="0.25">
      <c r="B45" s="3738" t="s">
        <v>2216</v>
      </c>
      <c r="C45" s="3724"/>
      <c r="D45" s="3724"/>
      <c r="E45" s="3724"/>
      <c r="F45" s="3724"/>
      <c r="G45" s="3724"/>
      <c r="H45" s="3724"/>
      <c r="I45" s="3724"/>
      <c r="J45" s="3724"/>
      <c r="K45" s="3724"/>
      <c r="L45" s="3724"/>
      <c r="M45" s="3724"/>
      <c r="N45" s="3724"/>
      <c r="O45" s="3724"/>
      <c r="P45" s="3724"/>
      <c r="Q45" s="3724"/>
      <c r="R45" s="3724"/>
      <c r="S45" s="3725"/>
    </row>
    <row r="46" spans="1:19" s="3697" customFormat="1" ht="21.75" thickTop="1" x14ac:dyDescent="0.2">
      <c r="A46" s="3739"/>
      <c r="B46" s="3740" t="s">
        <v>2176</v>
      </c>
      <c r="C46" s="3741"/>
      <c r="D46" s="3741"/>
      <c r="E46" s="3741"/>
      <c r="F46" s="3742"/>
      <c r="G46" s="3691" t="s">
        <v>2163</v>
      </c>
      <c r="H46" s="3692" t="s">
        <v>2164</v>
      </c>
      <c r="I46" s="3743" t="s">
        <v>2199</v>
      </c>
      <c r="J46" s="3744"/>
      <c r="K46" s="3745"/>
      <c r="L46" s="3743" t="s">
        <v>2200</v>
      </c>
      <c r="M46" s="3744"/>
      <c r="N46" s="3744"/>
      <c r="O46" s="3744"/>
      <c r="P46" s="3744"/>
      <c r="Q46" s="3744"/>
      <c r="R46" s="3744"/>
      <c r="S46" s="3746"/>
    </row>
    <row r="47" spans="1:19" s="3676" customFormat="1" ht="30" x14ac:dyDescent="0.2">
      <c r="A47" s="3747"/>
      <c r="B47" s="3748" t="s">
        <v>2161</v>
      </c>
      <c r="C47" s="3699" t="s">
        <v>608</v>
      </c>
      <c r="D47" s="3699" t="s">
        <v>699</v>
      </c>
      <c r="E47" s="3700" t="s">
        <v>2201</v>
      </c>
      <c r="F47" s="3699" t="s">
        <v>284</v>
      </c>
      <c r="G47" s="3699" t="s">
        <v>1755</v>
      </c>
      <c r="H47" s="3700" t="s">
        <v>2166</v>
      </c>
      <c r="I47" s="3699" t="s">
        <v>2202</v>
      </c>
      <c r="J47" s="3699" t="s">
        <v>2203</v>
      </c>
      <c r="K47" s="3699" t="s">
        <v>2204</v>
      </c>
      <c r="L47" s="3699" t="s">
        <v>2202</v>
      </c>
      <c r="M47" s="3699" t="s">
        <v>2203</v>
      </c>
      <c r="N47" s="3699" t="s">
        <v>2204</v>
      </c>
      <c r="O47" s="3749" t="s">
        <v>2205</v>
      </c>
      <c r="P47" s="3750"/>
      <c r="Q47" s="3751"/>
      <c r="R47" s="3699" t="s">
        <v>2206</v>
      </c>
      <c r="S47" s="3703" t="s">
        <v>2207</v>
      </c>
    </row>
    <row r="48" spans="1:19" s="3676" customFormat="1" x14ac:dyDescent="0.2">
      <c r="B48" s="3752" t="s">
        <v>2213</v>
      </c>
      <c r="C48" s="3707">
        <v>0.15</v>
      </c>
      <c r="D48" s="3707">
        <v>0.25</v>
      </c>
      <c r="E48" s="3708">
        <f>SUM(E50:E59)</f>
        <v>66</v>
      </c>
      <c r="F48" s="3711"/>
      <c r="G48" s="3708">
        <f>C48*D48*E48</f>
        <v>2.4750000000000001</v>
      </c>
      <c r="H48" s="3708">
        <f>(2*D48)*E48</f>
        <v>33</v>
      </c>
      <c r="I48" s="3711">
        <v>13</v>
      </c>
      <c r="J48" s="3711">
        <v>4</v>
      </c>
      <c r="K48" s="3708">
        <f>(0.25*PI()*(I48/1000)^2)*J48*$E48*7850</f>
        <v>275.07439699640327</v>
      </c>
      <c r="L48" s="3711">
        <v>10</v>
      </c>
      <c r="M48" s="3711">
        <v>2</v>
      </c>
      <c r="N48" s="3708">
        <f>(0.25*PI()*(L48/1000)^2)*M48*$E48*7850</f>
        <v>81.38295769124359</v>
      </c>
      <c r="O48" s="3710">
        <v>10</v>
      </c>
      <c r="P48" s="3711" t="s">
        <v>805</v>
      </c>
      <c r="Q48" s="3712">
        <v>100</v>
      </c>
      <c r="R48" s="3713">
        <f>1+(E48*2/4)/(Q48/1000)</f>
        <v>331</v>
      </c>
      <c r="S48" s="3714">
        <f>(0.25*PI()*(O48/1000)^2)*(2*(C48+D48))*R48*7850</f>
        <v>163.25914542910081</v>
      </c>
    </row>
    <row r="49" spans="1:19" s="3719" customFormat="1" ht="15" x14ac:dyDescent="0.2">
      <c r="A49" s="3676"/>
      <c r="B49" s="3767"/>
      <c r="C49" s="3754"/>
      <c r="D49" s="3754"/>
      <c r="E49" s="3754"/>
      <c r="F49" s="3756"/>
      <c r="G49" s="3754"/>
      <c r="H49" s="3754"/>
      <c r="I49" s="3754"/>
      <c r="J49" s="3754"/>
      <c r="K49" s="3754"/>
      <c r="L49" s="3754"/>
      <c r="M49" s="3754"/>
      <c r="N49" s="3754"/>
      <c r="O49" s="3710">
        <v>10</v>
      </c>
      <c r="P49" s="3711" t="s">
        <v>805</v>
      </c>
      <c r="Q49" s="3712">
        <v>150</v>
      </c>
      <c r="R49" s="3713">
        <f>1+(E48*3/6)/(Q49/1000)</f>
        <v>221</v>
      </c>
      <c r="S49" s="3714">
        <f>(0.25*PI()*(O49/1000)^2)*(2*(C48+D48))*R49*7850</f>
        <v>109.00384030160507</v>
      </c>
    </row>
    <row r="50" spans="1:19" x14ac:dyDescent="0.2">
      <c r="A50" s="3676"/>
      <c r="B50" s="3767"/>
      <c r="C50" s="3754"/>
      <c r="D50" s="3754"/>
      <c r="E50" s="3754"/>
      <c r="F50" s="3754"/>
      <c r="G50" s="3754"/>
      <c r="H50" s="3754"/>
      <c r="I50" s="3754"/>
      <c r="J50" s="3754"/>
      <c r="K50" s="3754"/>
      <c r="L50" s="3754"/>
      <c r="M50" s="3754"/>
      <c r="N50" s="3754"/>
      <c r="O50" s="3710">
        <v>0</v>
      </c>
      <c r="P50" s="3711" t="s">
        <v>805</v>
      </c>
      <c r="Q50" s="3712">
        <v>1000</v>
      </c>
      <c r="R50" s="3713">
        <f>1+(E48*5/5)/(Q50/1000)</f>
        <v>67</v>
      </c>
      <c r="S50" s="3714">
        <f>(0.25*PI()*(O50/1000)^2)*(3*(C48))*R50*7850</f>
        <v>0</v>
      </c>
    </row>
    <row r="51" spans="1:19" s="3607" customFormat="1" x14ac:dyDescent="0.2">
      <c r="A51" s="3676"/>
      <c r="B51" s="3752" t="s">
        <v>2075</v>
      </c>
      <c r="C51" s="3758"/>
      <c r="D51" s="3758"/>
      <c r="E51" s="3708">
        <v>2</v>
      </c>
      <c r="F51" s="3758"/>
      <c r="G51" s="3758"/>
      <c r="H51" s="3758"/>
      <c r="I51" s="3758"/>
      <c r="J51" s="3758"/>
      <c r="K51" s="3758"/>
      <c r="L51" s="3758"/>
      <c r="M51" s="3758"/>
      <c r="N51" s="3758"/>
      <c r="O51" s="3710"/>
      <c r="P51" s="3711"/>
      <c r="Q51" s="3712"/>
      <c r="R51" s="3713"/>
      <c r="S51" s="3714"/>
    </row>
    <row r="52" spans="1:19" s="3607" customFormat="1" x14ac:dyDescent="0.2">
      <c r="A52" s="3676"/>
      <c r="B52" s="3752" t="s">
        <v>2077</v>
      </c>
      <c r="C52" s="3758"/>
      <c r="D52" s="3758"/>
      <c r="E52" s="3708">
        <v>2.8</v>
      </c>
      <c r="F52" s="3758"/>
      <c r="G52" s="3758"/>
      <c r="H52" s="3758"/>
      <c r="I52" s="3758"/>
      <c r="J52" s="3758"/>
      <c r="K52" s="3758"/>
      <c r="L52" s="3758"/>
      <c r="M52" s="3758"/>
      <c r="N52" s="3758"/>
      <c r="O52" s="3710"/>
      <c r="P52" s="3711"/>
      <c r="Q52" s="3712"/>
      <c r="R52" s="3713"/>
      <c r="S52" s="3714"/>
    </row>
    <row r="53" spans="1:19" s="3607" customFormat="1" x14ac:dyDescent="0.2">
      <c r="A53" s="3676"/>
      <c r="B53" s="3752" t="s">
        <v>2217</v>
      </c>
      <c r="C53" s="3758"/>
      <c r="D53" s="3758"/>
      <c r="E53" s="3708">
        <v>28.2</v>
      </c>
      <c r="F53" s="3758"/>
      <c r="G53" s="3758"/>
      <c r="H53" s="3758"/>
      <c r="I53" s="3758"/>
      <c r="J53" s="3758"/>
      <c r="K53" s="3758"/>
      <c r="L53" s="3758"/>
      <c r="M53" s="3758"/>
      <c r="N53" s="3758"/>
      <c r="O53" s="3710"/>
      <c r="P53" s="3711"/>
      <c r="Q53" s="3712"/>
      <c r="R53" s="3713"/>
      <c r="S53" s="3714"/>
    </row>
    <row r="54" spans="1:19" s="3607" customFormat="1" x14ac:dyDescent="0.2">
      <c r="A54" s="3676"/>
      <c r="B54" s="3752" t="s">
        <v>2218</v>
      </c>
      <c r="C54" s="3758"/>
      <c r="D54" s="3758"/>
      <c r="E54" s="3708">
        <v>2.8</v>
      </c>
      <c r="F54" s="3758"/>
      <c r="G54" s="3758"/>
      <c r="H54" s="3758"/>
      <c r="I54" s="3758"/>
      <c r="J54" s="3758"/>
      <c r="K54" s="3758"/>
      <c r="L54" s="3758"/>
      <c r="M54" s="3758"/>
      <c r="N54" s="3758"/>
      <c r="O54" s="3710"/>
      <c r="P54" s="3711"/>
      <c r="Q54" s="3712"/>
      <c r="R54" s="3713"/>
      <c r="S54" s="3714"/>
    </row>
    <row r="55" spans="1:19" s="3607" customFormat="1" x14ac:dyDescent="0.2">
      <c r="A55" s="3676"/>
      <c r="B55" s="3752" t="s">
        <v>2082</v>
      </c>
      <c r="C55" s="3758"/>
      <c r="D55" s="3758"/>
      <c r="E55" s="3708">
        <v>2</v>
      </c>
      <c r="F55" s="3758"/>
      <c r="G55" s="3758"/>
      <c r="H55" s="3758"/>
      <c r="I55" s="3758"/>
      <c r="J55" s="3758"/>
      <c r="K55" s="3758"/>
      <c r="L55" s="3758"/>
      <c r="M55" s="3758"/>
      <c r="N55" s="3758"/>
      <c r="O55" s="3710"/>
      <c r="P55" s="3711"/>
      <c r="Q55" s="3712"/>
      <c r="R55" s="3713"/>
      <c r="S55" s="3714"/>
    </row>
    <row r="56" spans="1:19" s="3607" customFormat="1" x14ac:dyDescent="0.2">
      <c r="A56" s="3676"/>
      <c r="B56" s="3752" t="s">
        <v>2067</v>
      </c>
      <c r="C56" s="3758"/>
      <c r="D56" s="3758"/>
      <c r="E56" s="3708">
        <f>2.6*2</f>
        <v>5.2</v>
      </c>
      <c r="F56" s="3758"/>
      <c r="G56" s="3758"/>
      <c r="H56" s="3758"/>
      <c r="I56" s="3758"/>
      <c r="J56" s="3758"/>
      <c r="K56" s="3758"/>
      <c r="L56" s="3758"/>
      <c r="M56" s="3758"/>
      <c r="N56" s="3758"/>
      <c r="O56" s="3710"/>
      <c r="P56" s="3711"/>
      <c r="Q56" s="3712"/>
      <c r="R56" s="3713"/>
      <c r="S56" s="3714"/>
    </row>
    <row r="57" spans="1:19" s="3607" customFormat="1" x14ac:dyDescent="0.2">
      <c r="A57" s="3676"/>
      <c r="B57" s="3752" t="s">
        <v>2219</v>
      </c>
      <c r="C57" s="3758"/>
      <c r="D57" s="3758"/>
      <c r="E57" s="3708">
        <v>6</v>
      </c>
      <c r="F57" s="3758"/>
      <c r="G57" s="3758"/>
      <c r="H57" s="3758"/>
      <c r="I57" s="3758"/>
      <c r="J57" s="3758"/>
      <c r="K57" s="3758"/>
      <c r="L57" s="3758"/>
      <c r="M57" s="3758"/>
      <c r="N57" s="3758"/>
      <c r="O57" s="3710"/>
      <c r="P57" s="3711"/>
      <c r="Q57" s="3712"/>
      <c r="R57" s="3713"/>
      <c r="S57" s="3714"/>
    </row>
    <row r="58" spans="1:19" s="3607" customFormat="1" x14ac:dyDescent="0.2">
      <c r="A58" s="3676"/>
      <c r="B58" s="3752" t="s">
        <v>2070</v>
      </c>
      <c r="C58" s="3758"/>
      <c r="D58" s="3758"/>
      <c r="E58" s="3708">
        <f>11.4+(2.8*2)</f>
        <v>17</v>
      </c>
      <c r="F58" s="3758"/>
      <c r="G58" s="3758"/>
      <c r="H58" s="3758"/>
      <c r="I58" s="3758"/>
      <c r="J58" s="3758"/>
      <c r="K58" s="3758"/>
      <c r="L58" s="3758"/>
      <c r="M58" s="3758"/>
      <c r="N58" s="3758"/>
      <c r="O58" s="3710"/>
      <c r="P58" s="3711"/>
      <c r="Q58" s="3712"/>
      <c r="R58" s="3713"/>
      <c r="S58" s="3714"/>
    </row>
    <row r="59" spans="1:19" x14ac:dyDescent="0.2">
      <c r="A59" s="3676"/>
      <c r="B59" s="3769"/>
      <c r="C59" s="3770"/>
      <c r="D59" s="3770"/>
      <c r="E59" s="3771"/>
      <c r="F59" s="3754"/>
      <c r="G59" s="3754"/>
      <c r="H59" s="3754"/>
      <c r="I59" s="3772"/>
      <c r="J59" s="3771"/>
      <c r="K59" s="3754"/>
      <c r="L59" s="3772"/>
      <c r="M59" s="3771"/>
      <c r="N59" s="3754"/>
      <c r="O59" s="3773"/>
      <c r="P59" s="3774"/>
      <c r="Q59" s="3775"/>
      <c r="R59" s="3776"/>
      <c r="S59" s="3714"/>
    </row>
    <row r="60" spans="1:19" ht="15" x14ac:dyDescent="0.2">
      <c r="A60" s="3676"/>
      <c r="B60" s="3761" t="s">
        <v>284</v>
      </c>
      <c r="C60" s="3762"/>
      <c r="D60" s="3762"/>
      <c r="E60" s="3763"/>
      <c r="F60" s="3754"/>
      <c r="G60" s="3764">
        <f>SUM(G48:G48)</f>
        <v>2.4750000000000001</v>
      </c>
      <c r="H60" s="3764">
        <f>SUM(H48:H48)</f>
        <v>33</v>
      </c>
      <c r="I60" s="3765"/>
      <c r="J60" s="3763"/>
      <c r="K60" s="3764">
        <f>SUM(K48:K48)</f>
        <v>275.07439699640327</v>
      </c>
      <c r="L60" s="3765"/>
      <c r="M60" s="3763"/>
      <c r="N60" s="3717">
        <f>SUM(N48:N48)</f>
        <v>81.38295769124359</v>
      </c>
      <c r="O60" s="3765"/>
      <c r="P60" s="3762"/>
      <c r="Q60" s="3762"/>
      <c r="R60" s="3763"/>
      <c r="S60" s="3766">
        <f>SUM(S48:S50)</f>
        <v>272.26298573070585</v>
      </c>
    </row>
    <row r="61" spans="1:19" x14ac:dyDescent="0.2">
      <c r="A61" s="3676"/>
      <c r="B61" s="3767"/>
      <c r="C61" s="3754"/>
      <c r="D61" s="3754"/>
      <c r="E61" s="3754"/>
      <c r="F61" s="3754"/>
      <c r="G61" s="3754"/>
      <c r="H61" s="3754"/>
      <c r="I61" s="3754"/>
      <c r="J61" s="3754"/>
      <c r="K61" s="3754"/>
      <c r="L61" s="3754"/>
      <c r="M61" s="3754"/>
      <c r="N61" s="3754"/>
      <c r="O61" s="3754"/>
      <c r="P61" s="3754"/>
      <c r="Q61" s="3754"/>
      <c r="R61" s="3754"/>
      <c r="S61" s="3768"/>
    </row>
    <row r="62" spans="1:19" x14ac:dyDescent="0.2">
      <c r="B62" s="3767"/>
      <c r="C62" s="3754"/>
      <c r="D62" s="3754"/>
      <c r="E62" s="3754"/>
      <c r="F62" s="3754"/>
      <c r="G62" s="3754"/>
      <c r="H62" s="3754"/>
      <c r="I62" s="3754"/>
      <c r="J62" s="3754"/>
      <c r="K62" s="3754"/>
      <c r="L62" s="3754"/>
      <c r="M62" s="3754"/>
      <c r="N62" s="3754"/>
      <c r="O62" s="3754"/>
      <c r="P62" s="3754"/>
      <c r="Q62" s="3754"/>
      <c r="R62" s="3754"/>
      <c r="S62" s="3768"/>
    </row>
    <row r="63" spans="1:19" ht="13.5" thickBot="1" x14ac:dyDescent="0.25"/>
    <row r="64" spans="1:19" s="3719" customFormat="1" ht="18.75" thickBot="1" x14ac:dyDescent="0.3">
      <c r="B64" s="3682" t="s">
        <v>2220</v>
      </c>
      <c r="C64" s="3683"/>
      <c r="D64" s="3683"/>
      <c r="E64" s="3683"/>
      <c r="F64" s="3683"/>
      <c r="G64" s="3683"/>
      <c r="H64" s="3683"/>
      <c r="I64" s="3683"/>
      <c r="J64" s="3683"/>
      <c r="K64" s="3683"/>
      <c r="L64" s="3683"/>
      <c r="M64" s="3683"/>
      <c r="N64" s="3683"/>
      <c r="O64" s="3683"/>
      <c r="P64" s="3683"/>
      <c r="Q64" s="3683"/>
      <c r="R64" s="3683"/>
      <c r="S64" s="3684"/>
    </row>
    <row r="65" spans="2:21" s="3676" customFormat="1" ht="24.75" thickTop="1" thickBot="1" x14ac:dyDescent="0.25">
      <c r="B65" s="3738" t="s">
        <v>2221</v>
      </c>
      <c r="C65" s="3724"/>
      <c r="D65" s="3724"/>
      <c r="E65" s="3724"/>
      <c r="F65" s="3724"/>
      <c r="G65" s="3724"/>
      <c r="H65" s="3724"/>
      <c r="I65" s="3724"/>
      <c r="J65" s="3724"/>
      <c r="K65" s="3724"/>
      <c r="L65" s="3724"/>
      <c r="M65" s="3724"/>
      <c r="N65" s="3724"/>
      <c r="O65" s="3724"/>
      <c r="P65" s="3724"/>
      <c r="Q65" s="3724"/>
      <c r="R65" s="3724"/>
      <c r="S65" s="3725"/>
    </row>
    <row r="66" spans="2:21" s="3697" customFormat="1" ht="21.75" thickTop="1" x14ac:dyDescent="0.2">
      <c r="B66" s="3689" t="s">
        <v>2222</v>
      </c>
      <c r="C66" s="3690" t="s">
        <v>2176</v>
      </c>
      <c r="D66" s="3690"/>
      <c r="E66" s="3690"/>
      <c r="F66" s="3777" t="s">
        <v>284</v>
      </c>
      <c r="G66" s="3691" t="s">
        <v>2163</v>
      </c>
      <c r="H66" s="3692" t="s">
        <v>2164</v>
      </c>
      <c r="I66" s="3693" t="s">
        <v>2199</v>
      </c>
      <c r="J66" s="3693"/>
      <c r="K66" s="3693"/>
      <c r="L66" s="3693" t="s">
        <v>2200</v>
      </c>
      <c r="M66" s="3693"/>
      <c r="N66" s="3693"/>
      <c r="O66" s="3693"/>
      <c r="P66" s="3693"/>
      <c r="Q66" s="3693"/>
      <c r="R66" s="3693"/>
      <c r="S66" s="3694"/>
    </row>
    <row r="67" spans="2:21" s="3676" customFormat="1" ht="30" x14ac:dyDescent="0.2">
      <c r="B67" s="3698"/>
      <c r="C67" s="3699" t="s">
        <v>608</v>
      </c>
      <c r="D67" s="3699" t="s">
        <v>699</v>
      </c>
      <c r="E67" s="3700" t="s">
        <v>2223</v>
      </c>
      <c r="F67" s="3701"/>
      <c r="G67" s="3699" t="s">
        <v>1755</v>
      </c>
      <c r="H67" s="3700" t="s">
        <v>2166</v>
      </c>
      <c r="I67" s="3699" t="s">
        <v>2202</v>
      </c>
      <c r="J67" s="3699" t="s">
        <v>2203</v>
      </c>
      <c r="K67" s="3699" t="s">
        <v>2204</v>
      </c>
      <c r="L67" s="3699" t="s">
        <v>2202</v>
      </c>
      <c r="M67" s="3699" t="s">
        <v>2203</v>
      </c>
      <c r="N67" s="3699" t="s">
        <v>2204</v>
      </c>
      <c r="O67" s="3701" t="s">
        <v>2205</v>
      </c>
      <c r="P67" s="3701"/>
      <c r="Q67" s="3701"/>
      <c r="R67" s="3699" t="s">
        <v>2206</v>
      </c>
      <c r="S67" s="3703" t="s">
        <v>2207</v>
      </c>
    </row>
    <row r="68" spans="2:21" s="3676" customFormat="1" x14ac:dyDescent="0.2">
      <c r="B68" s="3706" t="s">
        <v>2224</v>
      </c>
      <c r="C68" s="3707">
        <v>0.3</v>
      </c>
      <c r="D68" s="3707">
        <v>0.5</v>
      </c>
      <c r="E68" s="3708">
        <v>1.5</v>
      </c>
      <c r="F68" s="3709">
        <v>72</v>
      </c>
      <c r="G68" s="3708">
        <f>C68*D68*E68*F68</f>
        <v>16.2</v>
      </c>
      <c r="H68" s="3708">
        <f>(2*C68)*E68*F68</f>
        <v>64.8</v>
      </c>
      <c r="I68" s="3711">
        <v>16</v>
      </c>
      <c r="J68" s="3711">
        <v>10</v>
      </c>
      <c r="K68" s="3708">
        <f>(0.25*PI()*(I68/1000)^2)*J68*$E68*F68*7850</f>
        <v>1704.603041096593</v>
      </c>
      <c r="L68" s="3711"/>
      <c r="M68" s="3711"/>
      <c r="N68" s="3708">
        <f>(0.25*PI()*(L68/1000)^2)*M68*$E68*F68*7850</f>
        <v>0</v>
      </c>
      <c r="O68" s="3710">
        <v>8</v>
      </c>
      <c r="P68" s="3711" t="s">
        <v>805</v>
      </c>
      <c r="Q68" s="3712">
        <v>100</v>
      </c>
      <c r="R68" s="3713">
        <f>1+(E68*0.5*F68)/(Q68/1000)</f>
        <v>541</v>
      </c>
      <c r="S68" s="3714">
        <f>(0.25*PI()*(O68/1000)^2)*(2*(C68+D68))*R68*7850</f>
        <v>341.55194267898401</v>
      </c>
      <c r="U68" s="3711">
        <v>96</v>
      </c>
    </row>
    <row r="69" spans="2:21" s="3676" customFormat="1" x14ac:dyDescent="0.2">
      <c r="B69" s="3706"/>
      <c r="C69" s="3707"/>
      <c r="D69" s="3707"/>
      <c r="E69" s="3708"/>
      <c r="F69" s="3709"/>
      <c r="G69" s="3708"/>
      <c r="H69" s="3708"/>
      <c r="I69" s="3711"/>
      <c r="J69" s="3711"/>
      <c r="K69" s="3708"/>
      <c r="L69" s="3711"/>
      <c r="M69" s="3711"/>
      <c r="N69" s="3708"/>
      <c r="O69" s="3710"/>
      <c r="P69" s="3711"/>
      <c r="Q69" s="3712"/>
      <c r="R69" s="3713"/>
      <c r="S69" s="3714"/>
    </row>
    <row r="70" spans="2:21" s="3676" customFormat="1" x14ac:dyDescent="0.2">
      <c r="B70" s="3706"/>
      <c r="C70" s="3707"/>
      <c r="D70" s="3707"/>
      <c r="E70" s="3708"/>
      <c r="F70" s="3711"/>
      <c r="G70" s="3778">
        <f>G68-G69</f>
        <v>16.2</v>
      </c>
      <c r="H70" s="3778">
        <f>H68-H69</f>
        <v>64.8</v>
      </c>
      <c r="I70" s="3779"/>
      <c r="J70" s="3779"/>
      <c r="K70" s="3780">
        <f>K68</f>
        <v>1704.603041096593</v>
      </c>
      <c r="L70" s="3779"/>
      <c r="M70" s="3779"/>
      <c r="N70" s="3778">
        <f>N68</f>
        <v>0</v>
      </c>
      <c r="O70" s="3781"/>
      <c r="P70" s="3779"/>
      <c r="Q70" s="3782"/>
      <c r="R70" s="3783"/>
      <c r="S70" s="3784">
        <f>S68+S69</f>
        <v>341.55194267898401</v>
      </c>
    </row>
    <row r="71" spans="2:21" s="3676" customFormat="1" x14ac:dyDescent="0.2">
      <c r="B71" s="3706"/>
      <c r="C71" s="3707"/>
      <c r="D71" s="3707"/>
      <c r="E71" s="3708"/>
      <c r="F71" s="3709"/>
      <c r="G71" s="3708"/>
      <c r="H71" s="3708"/>
      <c r="I71" s="3711"/>
      <c r="J71" s="3711"/>
      <c r="K71" s="3708"/>
      <c r="L71" s="3711"/>
      <c r="M71" s="3711"/>
      <c r="N71" s="3708"/>
      <c r="O71" s="3710"/>
      <c r="P71" s="3711"/>
      <c r="Q71" s="3712"/>
      <c r="R71" s="3713"/>
      <c r="S71" s="3714"/>
    </row>
    <row r="72" spans="2:21" s="3676" customFormat="1" x14ac:dyDescent="0.2">
      <c r="B72" s="3785"/>
      <c r="C72" s="3786"/>
      <c r="D72" s="3786"/>
      <c r="E72" s="3787"/>
      <c r="F72" s="3788"/>
      <c r="G72" s="3787"/>
      <c r="H72" s="3708"/>
      <c r="I72" s="3788"/>
      <c r="J72" s="3788"/>
      <c r="K72" s="3787"/>
      <c r="L72" s="3788"/>
      <c r="M72" s="3788"/>
      <c r="N72" s="3787"/>
      <c r="O72" s="3789"/>
      <c r="P72" s="3711"/>
      <c r="Q72" s="3790"/>
      <c r="R72" s="3791"/>
      <c r="S72" s="3792"/>
    </row>
    <row r="73" spans="2:21" s="3719" customFormat="1" ht="15.75" thickBot="1" x14ac:dyDescent="0.25">
      <c r="B73" s="3793"/>
      <c r="C73" s="3794"/>
      <c r="D73" s="3794"/>
      <c r="E73" s="3794"/>
      <c r="F73" s="3795"/>
      <c r="G73" s="3796"/>
      <c r="H73" s="3796"/>
      <c r="I73" s="3794"/>
      <c r="J73" s="3794"/>
      <c r="K73" s="3796"/>
      <c r="L73" s="3794"/>
      <c r="M73" s="3794"/>
      <c r="N73" s="3796"/>
      <c r="O73" s="3794"/>
      <c r="P73" s="3794"/>
      <c r="Q73" s="3794"/>
      <c r="R73" s="3794"/>
      <c r="S73" s="3797"/>
    </row>
    <row r="74" spans="2:21" s="3676" customFormat="1" ht="24.75" thickTop="1" thickBot="1" x14ac:dyDescent="0.25">
      <c r="B74" s="3738" t="s">
        <v>2225</v>
      </c>
      <c r="C74" s="3724"/>
      <c r="D74" s="3724"/>
      <c r="E74" s="3724"/>
      <c r="F74" s="3724"/>
      <c r="G74" s="3724"/>
      <c r="H74" s="3724"/>
      <c r="I74" s="3724"/>
      <c r="J74" s="3724"/>
      <c r="K74" s="3724"/>
      <c r="L74" s="3724"/>
      <c r="M74" s="3724"/>
      <c r="N74" s="3724"/>
      <c r="O74" s="3724"/>
      <c r="P74" s="3724"/>
      <c r="Q74" s="3724"/>
      <c r="R74" s="3724"/>
      <c r="S74" s="3725"/>
    </row>
    <row r="75" spans="2:21" s="3697" customFormat="1" ht="21.75" thickTop="1" x14ac:dyDescent="0.2">
      <c r="B75" s="3689" t="s">
        <v>2222</v>
      </c>
      <c r="C75" s="3690" t="s">
        <v>2176</v>
      </c>
      <c r="D75" s="3690"/>
      <c r="E75" s="3690"/>
      <c r="F75" s="3777" t="s">
        <v>284</v>
      </c>
      <c r="G75" s="3691" t="s">
        <v>2163</v>
      </c>
      <c r="H75" s="3692" t="s">
        <v>2164</v>
      </c>
      <c r="I75" s="3693" t="s">
        <v>2199</v>
      </c>
      <c r="J75" s="3693"/>
      <c r="K75" s="3693"/>
      <c r="L75" s="3693" t="s">
        <v>2200</v>
      </c>
      <c r="M75" s="3693"/>
      <c r="N75" s="3693"/>
      <c r="O75" s="3693"/>
      <c r="P75" s="3693"/>
      <c r="Q75" s="3693"/>
      <c r="R75" s="3693"/>
      <c r="S75" s="3694"/>
    </row>
    <row r="76" spans="2:21" s="3676" customFormat="1" ht="30" x14ac:dyDescent="0.2">
      <c r="B76" s="3698"/>
      <c r="C76" s="3699" t="s">
        <v>608</v>
      </c>
      <c r="D76" s="3699" t="s">
        <v>699</v>
      </c>
      <c r="E76" s="3700" t="s">
        <v>2223</v>
      </c>
      <c r="F76" s="3701"/>
      <c r="G76" s="3699" t="s">
        <v>1755</v>
      </c>
      <c r="H76" s="3700" t="s">
        <v>2166</v>
      </c>
      <c r="I76" s="3699" t="s">
        <v>2202</v>
      </c>
      <c r="J76" s="3699" t="s">
        <v>2203</v>
      </c>
      <c r="K76" s="3699" t="s">
        <v>2204</v>
      </c>
      <c r="L76" s="3699" t="s">
        <v>2202</v>
      </c>
      <c r="M76" s="3699" t="s">
        <v>2203</v>
      </c>
      <c r="N76" s="3699" t="s">
        <v>2204</v>
      </c>
      <c r="O76" s="3701" t="s">
        <v>2205</v>
      </c>
      <c r="P76" s="3701"/>
      <c r="Q76" s="3701"/>
      <c r="R76" s="3699" t="s">
        <v>2206</v>
      </c>
      <c r="S76" s="3703" t="s">
        <v>2207</v>
      </c>
    </row>
    <row r="77" spans="2:21" s="3676" customFormat="1" x14ac:dyDescent="0.2">
      <c r="B77" s="3706" t="s">
        <v>2226</v>
      </c>
      <c r="C77" s="3707">
        <v>0.3</v>
      </c>
      <c r="D77" s="3707">
        <v>0.5</v>
      </c>
      <c r="E77" s="3708">
        <v>3.8</v>
      </c>
      <c r="F77" s="3709">
        <f>'[6]B.VOL RAB'!N51</f>
        <v>72</v>
      </c>
      <c r="G77" s="3708">
        <f>C77*D77*E77*F77</f>
        <v>41.04</v>
      </c>
      <c r="H77" s="3708">
        <f>(2*C77)*E77*F77</f>
        <v>164.16</v>
      </c>
      <c r="I77" s="3711">
        <v>16</v>
      </c>
      <c r="J77" s="3711">
        <v>10</v>
      </c>
      <c r="K77" s="3708">
        <f>(0.25*PI()*(I77/1000)^2)*J77*$E77*F77*7850</f>
        <v>4318.3277041113679</v>
      </c>
      <c r="L77" s="3711"/>
      <c r="M77" s="3711"/>
      <c r="N77" s="3708">
        <f>(0.25*PI()*(L77/1000)^2)*M77*$E77*F77*7850</f>
        <v>0</v>
      </c>
      <c r="O77" s="3710">
        <v>10</v>
      </c>
      <c r="P77" s="3711" t="s">
        <v>805</v>
      </c>
      <c r="Q77" s="3712">
        <v>100</v>
      </c>
      <c r="R77" s="3713">
        <f>1+(E77*0.5*F77)/(Q77/1000)</f>
        <v>1368.9999999999998</v>
      </c>
      <c r="S77" s="3714">
        <f>(0.25*PI()*(O77/1000)^2)*(2*(C77+D77))*R77*7850</f>
        <v>1350.4638676280299</v>
      </c>
      <c r="U77" s="3711">
        <v>96</v>
      </c>
    </row>
    <row r="78" spans="2:21" s="3676" customFormat="1" x14ac:dyDescent="0.2">
      <c r="B78" s="3706"/>
      <c r="C78" s="3707"/>
      <c r="D78" s="3707"/>
      <c r="E78" s="3708"/>
      <c r="F78" s="3709"/>
      <c r="G78" s="3708"/>
      <c r="H78" s="3708"/>
      <c r="I78" s="3711"/>
      <c r="J78" s="3711"/>
      <c r="K78" s="3708"/>
      <c r="L78" s="3711"/>
      <c r="M78" s="3711"/>
      <c r="N78" s="3708"/>
      <c r="O78" s="3710"/>
      <c r="P78" s="3711"/>
      <c r="Q78" s="3712"/>
      <c r="R78" s="3713"/>
      <c r="S78" s="3714"/>
    </row>
    <row r="79" spans="2:21" s="3676" customFormat="1" x14ac:dyDescent="0.2">
      <c r="B79" s="3706"/>
      <c r="C79" s="3707"/>
      <c r="D79" s="3707"/>
      <c r="E79" s="3708"/>
      <c r="F79" s="3711"/>
      <c r="G79" s="3778">
        <f>G77-G78</f>
        <v>41.04</v>
      </c>
      <c r="H79" s="3778">
        <f>H77-H78</f>
        <v>164.16</v>
      </c>
      <c r="I79" s="3779"/>
      <c r="J79" s="3779"/>
      <c r="K79" s="3780">
        <f>K77</f>
        <v>4318.3277041113679</v>
      </c>
      <c r="L79" s="3779"/>
      <c r="M79" s="3779"/>
      <c r="N79" s="3778">
        <f>N77</f>
        <v>0</v>
      </c>
      <c r="O79" s="3781"/>
      <c r="P79" s="3779"/>
      <c r="Q79" s="3782"/>
      <c r="R79" s="3783"/>
      <c r="S79" s="3784">
        <f>S77+S78</f>
        <v>1350.4638676280299</v>
      </c>
    </row>
    <row r="80" spans="2:21" s="3676" customFormat="1" x14ac:dyDescent="0.2">
      <c r="B80" s="3706"/>
      <c r="C80" s="3707"/>
      <c r="D80" s="3707"/>
      <c r="E80" s="3708"/>
      <c r="F80" s="3709"/>
      <c r="G80" s="3708"/>
      <c r="H80" s="3708"/>
      <c r="I80" s="3711"/>
      <c r="J80" s="3711"/>
      <c r="K80" s="3708"/>
      <c r="L80" s="3711"/>
      <c r="M80" s="3711"/>
      <c r="N80" s="3708"/>
      <c r="O80" s="3710"/>
      <c r="P80" s="3711"/>
      <c r="Q80" s="3712"/>
      <c r="R80" s="3713"/>
      <c r="S80" s="3714"/>
    </row>
    <row r="81" spans="2:21" s="3719" customFormat="1" ht="15.75" thickBot="1" x14ac:dyDescent="0.25">
      <c r="B81" s="3793"/>
      <c r="C81" s="3794"/>
      <c r="D81" s="3794"/>
      <c r="E81" s="3794"/>
      <c r="F81" s="3795"/>
      <c r="G81" s="3796"/>
      <c r="H81" s="3796"/>
      <c r="I81" s="3794"/>
      <c r="J81" s="3794"/>
      <c r="K81" s="3796"/>
      <c r="L81" s="3794"/>
      <c r="M81" s="3794"/>
      <c r="N81" s="3796"/>
      <c r="O81" s="3794"/>
      <c r="P81" s="3794"/>
      <c r="Q81" s="3794"/>
      <c r="R81" s="3794"/>
      <c r="S81" s="3797"/>
    </row>
    <row r="82" spans="2:21" s="3676" customFormat="1" ht="24.75" thickTop="1" thickBot="1" x14ac:dyDescent="0.25">
      <c r="B82" s="3738" t="str">
        <f>'[6]B.VOL RAB'!C116</f>
        <v>PEKERJAAN KOLOM K3 (30 X 30)</v>
      </c>
      <c r="C82" s="3724"/>
      <c r="D82" s="3724"/>
      <c r="E82" s="3724"/>
      <c r="F82" s="3724"/>
      <c r="G82" s="3724"/>
      <c r="H82" s="3724"/>
      <c r="I82" s="3724"/>
      <c r="J82" s="3724"/>
      <c r="K82" s="3724"/>
      <c r="L82" s="3724"/>
      <c r="M82" s="3724"/>
      <c r="N82" s="3724"/>
      <c r="O82" s="3724"/>
      <c r="P82" s="3724"/>
      <c r="Q82" s="3724"/>
      <c r="R82" s="3724"/>
      <c r="S82" s="3725"/>
    </row>
    <row r="83" spans="2:21" s="3697" customFormat="1" ht="21.75" thickTop="1" x14ac:dyDescent="0.2">
      <c r="B83" s="3689" t="s">
        <v>2222</v>
      </c>
      <c r="C83" s="3690" t="s">
        <v>2176</v>
      </c>
      <c r="D83" s="3690"/>
      <c r="E83" s="3690"/>
      <c r="F83" s="3777" t="s">
        <v>284</v>
      </c>
      <c r="G83" s="3691" t="s">
        <v>2163</v>
      </c>
      <c r="H83" s="3692" t="s">
        <v>2164</v>
      </c>
      <c r="I83" s="3693" t="s">
        <v>2199</v>
      </c>
      <c r="J83" s="3693"/>
      <c r="K83" s="3693"/>
      <c r="L83" s="3693" t="s">
        <v>2200</v>
      </c>
      <c r="M83" s="3693"/>
      <c r="N83" s="3693"/>
      <c r="O83" s="3693"/>
      <c r="P83" s="3693"/>
      <c r="Q83" s="3693"/>
      <c r="R83" s="3693"/>
      <c r="S83" s="3694"/>
    </row>
    <row r="84" spans="2:21" s="3676" customFormat="1" ht="30" x14ac:dyDescent="0.2">
      <c r="B84" s="3698"/>
      <c r="C84" s="3699" t="s">
        <v>608</v>
      </c>
      <c r="D84" s="3699" t="s">
        <v>699</v>
      </c>
      <c r="E84" s="3700" t="s">
        <v>2223</v>
      </c>
      <c r="F84" s="3701"/>
      <c r="G84" s="3699" t="s">
        <v>1755</v>
      </c>
      <c r="H84" s="3700" t="s">
        <v>2166</v>
      </c>
      <c r="I84" s="3699" t="s">
        <v>2202</v>
      </c>
      <c r="J84" s="3699" t="s">
        <v>2203</v>
      </c>
      <c r="K84" s="3699" t="s">
        <v>2204</v>
      </c>
      <c r="L84" s="3699" t="s">
        <v>2202</v>
      </c>
      <c r="M84" s="3699" t="s">
        <v>2203</v>
      </c>
      <c r="N84" s="3699" t="s">
        <v>2204</v>
      </c>
      <c r="O84" s="3701" t="s">
        <v>2205</v>
      </c>
      <c r="P84" s="3701"/>
      <c r="Q84" s="3701"/>
      <c r="R84" s="3699" t="s">
        <v>2206</v>
      </c>
      <c r="S84" s="3703" t="s">
        <v>2207</v>
      </c>
    </row>
    <row r="85" spans="2:21" s="3676" customFormat="1" x14ac:dyDescent="0.2">
      <c r="B85" s="3706" t="s">
        <v>2226</v>
      </c>
      <c r="C85" s="3707">
        <v>0.3</v>
      </c>
      <c r="D85" s="3707">
        <v>0.3</v>
      </c>
      <c r="E85" s="3708">
        <f>E77</f>
        <v>3.8</v>
      </c>
      <c r="F85" s="3709">
        <v>4</v>
      </c>
      <c r="G85" s="3708">
        <f>C85*D85*E85*F85</f>
        <v>1.3679999999999999</v>
      </c>
      <c r="H85" s="3708">
        <f>(2*C85)*E85*F85</f>
        <v>9.1199999999999992</v>
      </c>
      <c r="I85" s="3711">
        <v>12</v>
      </c>
      <c r="J85" s="3711">
        <v>8</v>
      </c>
      <c r="K85" s="3708">
        <f>(0.25*PI()*(I85/1000)^2)*J85*$E85*F85*7850</f>
        <v>107.95819260278421</v>
      </c>
      <c r="L85" s="3711"/>
      <c r="M85" s="3711"/>
      <c r="N85" s="3708">
        <f>(0.25*PI()*(L85/1000)^2)*M85*$E85*F85*7850</f>
        <v>0</v>
      </c>
      <c r="O85" s="3710">
        <v>10</v>
      </c>
      <c r="P85" s="3711" t="s">
        <v>805</v>
      </c>
      <c r="Q85" s="3712">
        <v>100</v>
      </c>
      <c r="R85" s="3713">
        <f>1+(E85*0.5*F85)/(Q85/1000)</f>
        <v>76.999999999999986</v>
      </c>
      <c r="S85" s="3714">
        <f>(0.25*PI()*(O85/1000)^2)*(2*(C85+D85))*R85*7850</f>
        <v>56.968070383870497</v>
      </c>
      <c r="U85" s="3711">
        <v>96</v>
      </c>
    </row>
    <row r="86" spans="2:21" s="3676" customFormat="1" x14ac:dyDescent="0.2">
      <c r="B86" s="3706"/>
      <c r="C86" s="3707"/>
      <c r="D86" s="3707"/>
      <c r="E86" s="3708"/>
      <c r="F86" s="3709"/>
      <c r="G86" s="3708"/>
      <c r="H86" s="3708"/>
      <c r="I86" s="3711"/>
      <c r="J86" s="3711"/>
      <c r="K86" s="3708"/>
      <c r="L86" s="3711"/>
      <c r="M86" s="3711"/>
      <c r="N86" s="3708"/>
      <c r="O86" s="3710"/>
      <c r="P86" s="3711"/>
      <c r="Q86" s="3712"/>
      <c r="R86" s="3713"/>
      <c r="S86" s="3714"/>
    </row>
    <row r="87" spans="2:21" s="3676" customFormat="1" x14ac:dyDescent="0.2">
      <c r="B87" s="3706"/>
      <c r="C87" s="3707"/>
      <c r="D87" s="3707"/>
      <c r="E87" s="3708"/>
      <c r="F87" s="3711"/>
      <c r="G87" s="3778">
        <f>G85-G86</f>
        <v>1.3679999999999999</v>
      </c>
      <c r="H87" s="3778">
        <f>H85-H86</f>
        <v>9.1199999999999992</v>
      </c>
      <c r="I87" s="3779"/>
      <c r="J87" s="3779"/>
      <c r="K87" s="3780">
        <f>K85</f>
        <v>107.95819260278421</v>
      </c>
      <c r="L87" s="3779"/>
      <c r="M87" s="3779"/>
      <c r="N87" s="3778">
        <f>N85</f>
        <v>0</v>
      </c>
      <c r="O87" s="3781"/>
      <c r="P87" s="3779"/>
      <c r="Q87" s="3782"/>
      <c r="R87" s="3783"/>
      <c r="S87" s="3784">
        <f>S85+S86</f>
        <v>56.968070383870497</v>
      </c>
    </row>
    <row r="88" spans="2:21" s="3676" customFormat="1" x14ac:dyDescent="0.2">
      <c r="B88" s="3706"/>
      <c r="C88" s="3707"/>
      <c r="D88" s="3707"/>
      <c r="E88" s="3708"/>
      <c r="F88" s="3709"/>
      <c r="G88" s="3708"/>
      <c r="H88" s="3708"/>
      <c r="I88" s="3711"/>
      <c r="J88" s="3711"/>
      <c r="K88" s="3708"/>
      <c r="L88" s="3711"/>
      <c r="M88" s="3711"/>
      <c r="N88" s="3708"/>
      <c r="O88" s="3710"/>
      <c r="P88" s="3711"/>
      <c r="Q88" s="3712"/>
      <c r="R88" s="3713"/>
      <c r="S88" s="3714"/>
    </row>
    <row r="89" spans="2:21" s="3719" customFormat="1" ht="15.75" thickBot="1" x14ac:dyDescent="0.25">
      <c r="B89" s="3793"/>
      <c r="C89" s="3794"/>
      <c r="D89" s="3794"/>
      <c r="E89" s="3794"/>
      <c r="F89" s="3795"/>
      <c r="G89" s="3796"/>
      <c r="H89" s="3796"/>
      <c r="I89" s="3794"/>
      <c r="J89" s="3794"/>
      <c r="K89" s="3796"/>
      <c r="L89" s="3794"/>
      <c r="M89" s="3794"/>
      <c r="N89" s="3796"/>
      <c r="O89" s="3794"/>
      <c r="P89" s="3794"/>
      <c r="Q89" s="3794"/>
      <c r="R89" s="3794"/>
      <c r="S89" s="3797"/>
    </row>
    <row r="90" spans="2:21" s="3676" customFormat="1" ht="24.75" thickTop="1" thickBot="1" x14ac:dyDescent="0.25">
      <c r="B90" s="3738" t="str">
        <f>'[6]B.VOL RAB'!C217</f>
        <v>PEKERJAAN KOLOM K2 (30 X 40)  Elv. + 4.00</v>
      </c>
      <c r="C90" s="3724"/>
      <c r="D90" s="3724"/>
      <c r="E90" s="3724"/>
      <c r="F90" s="3724"/>
      <c r="G90" s="3724"/>
      <c r="H90" s="3724"/>
      <c r="I90" s="3724"/>
      <c r="J90" s="3724"/>
      <c r="K90" s="3724"/>
      <c r="L90" s="3724"/>
      <c r="M90" s="3724"/>
      <c r="N90" s="3724"/>
      <c r="O90" s="3724"/>
      <c r="P90" s="3724"/>
      <c r="Q90" s="3724"/>
      <c r="R90" s="3724"/>
      <c r="S90" s="3725"/>
    </row>
    <row r="91" spans="2:21" s="3697" customFormat="1" ht="21.75" thickTop="1" x14ac:dyDescent="0.2">
      <c r="B91" s="3689" t="s">
        <v>2222</v>
      </c>
      <c r="C91" s="3690" t="s">
        <v>2176</v>
      </c>
      <c r="D91" s="3690"/>
      <c r="E91" s="3690"/>
      <c r="F91" s="3777" t="s">
        <v>284</v>
      </c>
      <c r="G91" s="3691" t="s">
        <v>2163</v>
      </c>
      <c r="H91" s="3692" t="s">
        <v>2164</v>
      </c>
      <c r="I91" s="3693" t="s">
        <v>2199</v>
      </c>
      <c r="J91" s="3693"/>
      <c r="K91" s="3693"/>
      <c r="L91" s="3693" t="s">
        <v>2200</v>
      </c>
      <c r="M91" s="3693"/>
      <c r="N91" s="3693"/>
      <c r="O91" s="3693"/>
      <c r="P91" s="3693"/>
      <c r="Q91" s="3693"/>
      <c r="R91" s="3693"/>
      <c r="S91" s="3694"/>
    </row>
    <row r="92" spans="2:21" s="3676" customFormat="1" ht="30" x14ac:dyDescent="0.2">
      <c r="B92" s="3698"/>
      <c r="C92" s="3699" t="s">
        <v>608</v>
      </c>
      <c r="D92" s="3699" t="s">
        <v>699</v>
      </c>
      <c r="E92" s="3700" t="s">
        <v>2223</v>
      </c>
      <c r="F92" s="3701"/>
      <c r="G92" s="3699" t="s">
        <v>1755</v>
      </c>
      <c r="H92" s="3700" t="s">
        <v>2166</v>
      </c>
      <c r="I92" s="3699" t="s">
        <v>2202</v>
      </c>
      <c r="J92" s="3699" t="s">
        <v>2203</v>
      </c>
      <c r="K92" s="3699" t="s">
        <v>2204</v>
      </c>
      <c r="L92" s="3699" t="s">
        <v>2202</v>
      </c>
      <c r="M92" s="3699" t="s">
        <v>2203</v>
      </c>
      <c r="N92" s="3699" t="s">
        <v>2204</v>
      </c>
      <c r="O92" s="3701" t="s">
        <v>2205</v>
      </c>
      <c r="P92" s="3701"/>
      <c r="Q92" s="3701"/>
      <c r="R92" s="3699" t="s">
        <v>2206</v>
      </c>
      <c r="S92" s="3703" t="s">
        <v>2207</v>
      </c>
    </row>
    <row r="93" spans="2:21" s="3676" customFormat="1" x14ac:dyDescent="0.2">
      <c r="B93" s="3706" t="s">
        <v>2226</v>
      </c>
      <c r="C93" s="3707">
        <v>0.3</v>
      </c>
      <c r="D93" s="3707">
        <v>0.4</v>
      </c>
      <c r="E93" s="3708">
        <f>E77</f>
        <v>3.8</v>
      </c>
      <c r="F93" s="3709">
        <v>32</v>
      </c>
      <c r="G93" s="3708">
        <f>C93*D93*E93*F93</f>
        <v>14.591999999999999</v>
      </c>
      <c r="H93" s="3708">
        <f>(2*C93)*E93*F93</f>
        <v>72.959999999999994</v>
      </c>
      <c r="I93" s="3711">
        <v>16</v>
      </c>
      <c r="J93" s="3711">
        <v>10</v>
      </c>
      <c r="K93" s="3708">
        <f>(0.25*PI()*(I93/1000)^2)*J93*$E93*F93*7850</f>
        <v>1919.2567573828305</v>
      </c>
      <c r="L93" s="3711"/>
      <c r="M93" s="3711"/>
      <c r="N93" s="3708">
        <f>(0.25*PI()*(L93/1000)^2)*M93*$E93*F93*7850</f>
        <v>0</v>
      </c>
      <c r="O93" s="3710">
        <v>10</v>
      </c>
      <c r="P93" s="3711" t="s">
        <v>805</v>
      </c>
      <c r="Q93" s="3712">
        <v>100</v>
      </c>
      <c r="R93" s="3713">
        <f>1+(E93*0.5*F93)/(Q93/1000)</f>
        <v>608.99999999999989</v>
      </c>
      <c r="S93" s="3714">
        <f>(0.25*PI()*(O93/1000)^2)*(2*(C93+D93))*R93*7850</f>
        <v>525.65992217844143</v>
      </c>
      <c r="U93" s="3711">
        <v>96</v>
      </c>
    </row>
    <row r="94" spans="2:21" s="3676" customFormat="1" x14ac:dyDescent="0.2">
      <c r="B94" s="3706"/>
      <c r="C94" s="3707"/>
      <c r="D94" s="3707"/>
      <c r="E94" s="3708"/>
      <c r="F94" s="3709"/>
      <c r="G94" s="3708"/>
      <c r="H94" s="3708"/>
      <c r="I94" s="3711"/>
      <c r="J94" s="3711"/>
      <c r="K94" s="3708"/>
      <c r="L94" s="3711"/>
      <c r="M94" s="3711"/>
      <c r="N94" s="3708"/>
      <c r="O94" s="3710"/>
      <c r="P94" s="3711"/>
      <c r="Q94" s="3712"/>
      <c r="R94" s="3713"/>
      <c r="S94" s="3714"/>
    </row>
    <row r="95" spans="2:21" s="3676" customFormat="1" x14ac:dyDescent="0.2">
      <c r="B95" s="3706"/>
      <c r="C95" s="3707"/>
      <c r="D95" s="3707"/>
      <c r="E95" s="3708"/>
      <c r="F95" s="3711"/>
      <c r="G95" s="3778">
        <f>G93-G94</f>
        <v>14.591999999999999</v>
      </c>
      <c r="H95" s="3778">
        <f>H93-H94</f>
        <v>72.959999999999994</v>
      </c>
      <c r="I95" s="3779"/>
      <c r="J95" s="3779"/>
      <c r="K95" s="3780">
        <f>K93</f>
        <v>1919.2567573828305</v>
      </c>
      <c r="L95" s="3779"/>
      <c r="M95" s="3779"/>
      <c r="N95" s="3778">
        <f>N93</f>
        <v>0</v>
      </c>
      <c r="O95" s="3781"/>
      <c r="P95" s="3779"/>
      <c r="Q95" s="3782"/>
      <c r="R95" s="3783"/>
      <c r="S95" s="3784">
        <f>S93+S94</f>
        <v>525.65992217844143</v>
      </c>
    </row>
    <row r="96" spans="2:21" s="3676" customFormat="1" x14ac:dyDescent="0.2">
      <c r="B96" s="3706"/>
      <c r="C96" s="3707"/>
      <c r="D96" s="3707"/>
      <c r="E96" s="3708"/>
      <c r="F96" s="3709"/>
      <c r="G96" s="3708"/>
      <c r="H96" s="3708"/>
      <c r="I96" s="3711"/>
      <c r="J96" s="3711"/>
      <c r="K96" s="3708"/>
      <c r="L96" s="3711"/>
      <c r="M96" s="3711"/>
      <c r="N96" s="3708"/>
      <c r="O96" s="3710"/>
      <c r="P96" s="3711"/>
      <c r="Q96" s="3712"/>
      <c r="R96" s="3713"/>
      <c r="S96" s="3714"/>
    </row>
    <row r="97" spans="1:19" s="3719" customFormat="1" ht="15.75" thickBot="1" x14ac:dyDescent="0.25">
      <c r="B97" s="3793"/>
      <c r="C97" s="3794"/>
      <c r="D97" s="3794"/>
      <c r="E97" s="3794"/>
      <c r="F97" s="3795"/>
      <c r="G97" s="3796"/>
      <c r="H97" s="3796"/>
      <c r="I97" s="3794"/>
      <c r="J97" s="3794"/>
      <c r="K97" s="3796"/>
      <c r="L97" s="3794"/>
      <c r="M97" s="3794"/>
      <c r="N97" s="3796"/>
      <c r="O97" s="3794"/>
      <c r="P97" s="3794"/>
      <c r="Q97" s="3794"/>
      <c r="R97" s="3794"/>
      <c r="S97" s="3797"/>
    </row>
    <row r="98" spans="1:19" s="3676" customFormat="1" ht="14.25" thickTop="1" thickBot="1" x14ac:dyDescent="0.25">
      <c r="B98" s="3675"/>
      <c r="C98" s="3675"/>
      <c r="D98" s="3675"/>
      <c r="E98" s="3606"/>
      <c r="F98" s="3675"/>
      <c r="H98" s="3606"/>
      <c r="I98" s="3675"/>
      <c r="J98" s="3675"/>
      <c r="L98" s="3675"/>
      <c r="M98" s="3675"/>
      <c r="O98" s="3677"/>
      <c r="P98" s="3675"/>
      <c r="Q98" s="3678"/>
      <c r="R98" s="3675"/>
    </row>
    <row r="99" spans="1:19" ht="18.75" thickBot="1" x14ac:dyDescent="0.3">
      <c r="A99" s="3798"/>
      <c r="B99" s="3682" t="s">
        <v>2227</v>
      </c>
      <c r="C99" s="3683"/>
      <c r="D99" s="3683"/>
      <c r="E99" s="3683"/>
      <c r="F99" s="3683"/>
      <c r="G99" s="3683"/>
      <c r="H99" s="3683"/>
      <c r="I99" s="3683"/>
      <c r="J99" s="3683"/>
      <c r="K99" s="3683"/>
      <c r="L99" s="3683"/>
      <c r="M99" s="3683"/>
      <c r="N99" s="3683"/>
      <c r="O99" s="3683"/>
      <c r="P99" s="3683"/>
      <c r="Q99" s="3683"/>
      <c r="R99" s="3683"/>
      <c r="S99" s="3684"/>
    </row>
    <row r="100" spans="1:19" s="3676" customFormat="1" ht="24.75" thickTop="1" thickBot="1" x14ac:dyDescent="0.25">
      <c r="B100" s="3738" t="str">
        <f>'[6]B.VOL RAB'!C138</f>
        <v>Balok B1 (15 X 30) Elv. + 4.00</v>
      </c>
      <c r="C100" s="3724"/>
      <c r="D100" s="3724"/>
      <c r="E100" s="3724"/>
      <c r="F100" s="3724"/>
      <c r="G100" s="3724"/>
      <c r="H100" s="3724"/>
      <c r="I100" s="3724"/>
      <c r="J100" s="3724"/>
      <c r="K100" s="3724"/>
      <c r="L100" s="3724"/>
      <c r="M100" s="3724"/>
      <c r="N100" s="3724"/>
      <c r="O100" s="3724"/>
      <c r="P100" s="3724"/>
      <c r="Q100" s="3724"/>
      <c r="R100" s="3724"/>
      <c r="S100" s="3725"/>
    </row>
    <row r="101" spans="1:19" s="3697" customFormat="1" ht="21.75" thickTop="1" x14ac:dyDescent="0.2">
      <c r="A101" s="3799"/>
      <c r="B101" s="3800" t="s">
        <v>2222</v>
      </c>
      <c r="C101" s="3801" t="s">
        <v>2176</v>
      </c>
      <c r="D101" s="3741"/>
      <c r="E101" s="3742"/>
      <c r="F101" s="3802"/>
      <c r="G101" s="3691" t="s">
        <v>2163</v>
      </c>
      <c r="H101" s="3692" t="s">
        <v>2164</v>
      </c>
      <c r="I101" s="3693" t="s">
        <v>2199</v>
      </c>
      <c r="J101" s="3693"/>
      <c r="K101" s="3693"/>
      <c r="L101" s="3693" t="s">
        <v>2200</v>
      </c>
      <c r="M101" s="3693"/>
      <c r="N101" s="3693"/>
      <c r="O101" s="3693"/>
      <c r="P101" s="3693"/>
      <c r="Q101" s="3693"/>
      <c r="R101" s="3693"/>
      <c r="S101" s="3694"/>
    </row>
    <row r="102" spans="1:19" s="3676" customFormat="1" ht="30" x14ac:dyDescent="0.2">
      <c r="A102" s="3726"/>
      <c r="B102" s="3803"/>
      <c r="C102" s="3699" t="s">
        <v>608</v>
      </c>
      <c r="D102" s="3699" t="s">
        <v>699</v>
      </c>
      <c r="E102" s="3700" t="s">
        <v>2201</v>
      </c>
      <c r="F102" s="3699" t="s">
        <v>284</v>
      </c>
      <c r="G102" s="3699" t="s">
        <v>1755</v>
      </c>
      <c r="H102" s="3700" t="s">
        <v>2166</v>
      </c>
      <c r="I102" s="3699" t="s">
        <v>2202</v>
      </c>
      <c r="J102" s="3699" t="s">
        <v>2203</v>
      </c>
      <c r="K102" s="3699" t="s">
        <v>2204</v>
      </c>
      <c r="L102" s="3699" t="s">
        <v>2202</v>
      </c>
      <c r="M102" s="3699" t="s">
        <v>2203</v>
      </c>
      <c r="N102" s="3699" t="s">
        <v>2204</v>
      </c>
      <c r="O102" s="3701" t="s">
        <v>2205</v>
      </c>
      <c r="P102" s="3701"/>
      <c r="Q102" s="3701"/>
      <c r="R102" s="3699" t="s">
        <v>2206</v>
      </c>
      <c r="S102" s="3703" t="s">
        <v>2207</v>
      </c>
    </row>
    <row r="103" spans="1:19" s="3676" customFormat="1" x14ac:dyDescent="0.2">
      <c r="A103" s="3804"/>
      <c r="B103" s="3706" t="s">
        <v>2228</v>
      </c>
      <c r="C103" s="3707">
        <v>0.25</v>
      </c>
      <c r="D103" s="3707">
        <v>0.5</v>
      </c>
      <c r="E103" s="3708">
        <f>SUM(E105:E119)</f>
        <v>377.09999999999991</v>
      </c>
      <c r="F103" s="3711"/>
      <c r="G103" s="3708">
        <f>C103*D103*E103</f>
        <v>47.137499999999989</v>
      </c>
      <c r="H103" s="3708">
        <f>(2*D103)*E103</f>
        <v>377.09999999999991</v>
      </c>
      <c r="I103" s="3711">
        <v>16</v>
      </c>
      <c r="J103" s="3711">
        <v>6</v>
      </c>
      <c r="K103" s="3708">
        <f>(0.25*PI()*(I103/1000)^2)*J103*$E103*7850</f>
        <v>3571.1433710973615</v>
      </c>
      <c r="L103" s="3711">
        <v>13</v>
      </c>
      <c r="M103" s="3711">
        <v>2</v>
      </c>
      <c r="N103" s="3708">
        <f>(0.25*PI()*(L103/1000)^2)*M103*$E103*7850</f>
        <v>785.83753869199734</v>
      </c>
      <c r="O103" s="3710">
        <v>10</v>
      </c>
      <c r="P103" s="3711" t="s">
        <v>805</v>
      </c>
      <c r="Q103" s="3712">
        <v>100</v>
      </c>
      <c r="R103" s="3713">
        <f>1+(E103*0.5)/(Q103/1000)</f>
        <v>1886.4999999999995</v>
      </c>
      <c r="S103" s="3714">
        <f>(0.25*PI()*(O103/1000)^2)*(2*(C103+D103))*R103*7850</f>
        <v>1744.6471555060341</v>
      </c>
    </row>
    <row r="104" spans="1:19" s="3719" customFormat="1" ht="15" x14ac:dyDescent="0.2">
      <c r="A104" s="3804"/>
      <c r="B104" s="3767"/>
      <c r="C104" s="3754"/>
      <c r="D104" s="3754"/>
      <c r="E104" s="3754"/>
      <c r="F104" s="3754"/>
      <c r="G104" s="3754"/>
      <c r="H104" s="3708">
        <f>C103*E103</f>
        <v>94.274999999999977</v>
      </c>
      <c r="I104" s="3754"/>
      <c r="J104" s="3754"/>
      <c r="K104" s="3754"/>
      <c r="L104" s="3754"/>
      <c r="M104" s="3754"/>
      <c r="N104" s="3754"/>
      <c r="O104" s="3710">
        <v>10</v>
      </c>
      <c r="P104" s="3711" t="s">
        <v>805</v>
      </c>
      <c r="Q104" s="3712">
        <v>100</v>
      </c>
      <c r="R104" s="3713">
        <f>1+(E103*0.5)/(Q104/1000)</f>
        <v>1886.4999999999995</v>
      </c>
      <c r="S104" s="3714">
        <f>(0.25*PI()*(O104/1000)^2)*(2*(C103+D103))*R104*7850</f>
        <v>1744.6471555060341</v>
      </c>
    </row>
    <row r="105" spans="1:19" s="3719" customFormat="1" ht="15" x14ac:dyDescent="0.2">
      <c r="A105" s="3804"/>
      <c r="B105" s="3767"/>
      <c r="C105" s="3754"/>
      <c r="D105" s="3754"/>
      <c r="E105" s="3754"/>
      <c r="F105" s="3754"/>
      <c r="G105" s="3754"/>
      <c r="H105" s="3708"/>
      <c r="I105" s="3754"/>
      <c r="J105" s="3754"/>
      <c r="K105" s="3754"/>
      <c r="L105" s="3754"/>
      <c r="M105" s="3754"/>
      <c r="N105" s="3754"/>
      <c r="O105" s="3710"/>
      <c r="P105" s="3711"/>
      <c r="Q105" s="3712"/>
      <c r="R105" s="3713"/>
      <c r="S105" s="3714"/>
    </row>
    <row r="106" spans="1:19" s="3607" customFormat="1" x14ac:dyDescent="0.2">
      <c r="A106" s="3676"/>
      <c r="B106" s="3752" t="s">
        <v>2066</v>
      </c>
      <c r="C106" s="3758"/>
      <c r="D106" s="3758"/>
      <c r="E106" s="3708">
        <v>35.5</v>
      </c>
      <c r="F106" s="3758"/>
      <c r="G106" s="3758"/>
      <c r="H106" s="3758"/>
      <c r="I106" s="3758"/>
      <c r="J106" s="3758"/>
      <c r="K106" s="3758"/>
      <c r="L106" s="3758"/>
      <c r="M106" s="3758"/>
      <c r="N106" s="3758"/>
      <c r="O106" s="3710"/>
      <c r="P106" s="3711"/>
      <c r="Q106" s="3712"/>
      <c r="R106" s="3713"/>
      <c r="S106" s="3714"/>
    </row>
    <row r="107" spans="1:19" s="3607" customFormat="1" x14ac:dyDescent="0.2">
      <c r="A107" s="3676"/>
      <c r="B107" s="3752" t="s">
        <v>2068</v>
      </c>
      <c r="C107" s="3758"/>
      <c r="D107" s="3758"/>
      <c r="E107" s="3708">
        <v>35.5</v>
      </c>
      <c r="F107" s="3758"/>
      <c r="G107" s="3758"/>
      <c r="H107" s="3758"/>
      <c r="I107" s="3758"/>
      <c r="J107" s="3758"/>
      <c r="K107" s="3758"/>
      <c r="L107" s="3758"/>
      <c r="M107" s="3758"/>
      <c r="N107" s="3758"/>
      <c r="O107" s="3710"/>
      <c r="P107" s="3711"/>
      <c r="Q107" s="3712"/>
      <c r="R107" s="3713"/>
      <c r="S107" s="3714"/>
    </row>
    <row r="108" spans="1:19" s="3607" customFormat="1" x14ac:dyDescent="0.2">
      <c r="A108" s="3676"/>
      <c r="B108" s="3752" t="s">
        <v>2090</v>
      </c>
      <c r="C108" s="3758"/>
      <c r="D108" s="3758"/>
      <c r="E108" s="3708">
        <v>35.5</v>
      </c>
      <c r="F108" s="3758"/>
      <c r="G108" s="3758"/>
      <c r="H108" s="3758"/>
      <c r="I108" s="3758"/>
      <c r="J108" s="3758"/>
      <c r="K108" s="3758"/>
      <c r="L108" s="3758"/>
      <c r="M108" s="3758"/>
      <c r="N108" s="3758"/>
      <c r="O108" s="3710"/>
      <c r="P108" s="3711"/>
      <c r="Q108" s="3712"/>
      <c r="R108" s="3713"/>
      <c r="S108" s="3714"/>
    </row>
    <row r="109" spans="1:19" s="3607" customFormat="1" x14ac:dyDescent="0.2">
      <c r="A109" s="3676"/>
      <c r="B109" s="3752" t="s">
        <v>2091</v>
      </c>
      <c r="C109" s="3758"/>
      <c r="D109" s="3758"/>
      <c r="E109" s="3708">
        <v>35.5</v>
      </c>
      <c r="F109" s="3758"/>
      <c r="G109" s="3758"/>
      <c r="H109" s="3758"/>
      <c r="I109" s="3758"/>
      <c r="J109" s="3758"/>
      <c r="K109" s="3758"/>
      <c r="L109" s="3758"/>
      <c r="M109" s="3758"/>
      <c r="N109" s="3758"/>
      <c r="O109" s="3710"/>
      <c r="P109" s="3711"/>
      <c r="Q109" s="3712"/>
      <c r="R109" s="3713"/>
      <c r="S109" s="3714"/>
    </row>
    <row r="110" spans="1:19" s="3607" customFormat="1" x14ac:dyDescent="0.2">
      <c r="A110" s="3676"/>
      <c r="B110" s="3752" t="s">
        <v>2069</v>
      </c>
      <c r="C110" s="3758"/>
      <c r="D110" s="3758"/>
      <c r="E110" s="3708">
        <f>35.7-5.7</f>
        <v>30.000000000000004</v>
      </c>
      <c r="F110" s="3758"/>
      <c r="G110" s="3758"/>
      <c r="H110" s="3758"/>
      <c r="I110" s="3758"/>
      <c r="J110" s="3758"/>
      <c r="K110" s="3758"/>
      <c r="L110" s="3758"/>
      <c r="M110" s="3758"/>
      <c r="N110" s="3758"/>
      <c r="O110" s="3710"/>
      <c r="P110" s="3711"/>
      <c r="Q110" s="3712"/>
      <c r="R110" s="3713"/>
      <c r="S110" s="3714"/>
    </row>
    <row r="111" spans="1:19" s="3607" customFormat="1" x14ac:dyDescent="0.2">
      <c r="A111" s="3676"/>
      <c r="B111" s="3752" t="s">
        <v>2072</v>
      </c>
      <c r="C111" s="3758"/>
      <c r="D111" s="3758"/>
      <c r="E111" s="3708">
        <v>35.5</v>
      </c>
      <c r="F111" s="3758"/>
      <c r="G111" s="3758"/>
      <c r="H111" s="3758"/>
      <c r="I111" s="3758"/>
      <c r="J111" s="3758"/>
      <c r="K111" s="3758"/>
      <c r="L111" s="3758"/>
      <c r="M111" s="3758"/>
      <c r="N111" s="3758"/>
      <c r="O111" s="3710"/>
      <c r="P111" s="3711"/>
      <c r="Q111" s="3712"/>
      <c r="R111" s="3713"/>
      <c r="S111" s="3714"/>
    </row>
    <row r="112" spans="1:19" s="3607" customFormat="1" x14ac:dyDescent="0.2">
      <c r="A112" s="3676"/>
      <c r="B112" s="3752" t="s">
        <v>2073</v>
      </c>
      <c r="C112" s="3758"/>
      <c r="D112" s="3758"/>
      <c r="E112" s="3708">
        <v>21.2</v>
      </c>
      <c r="F112" s="3758"/>
      <c r="G112" s="3758"/>
      <c r="H112" s="3758"/>
      <c r="I112" s="3758"/>
      <c r="J112" s="3758"/>
      <c r="K112" s="3758"/>
      <c r="L112" s="3758"/>
      <c r="M112" s="3758"/>
      <c r="N112" s="3758"/>
      <c r="O112" s="3710"/>
      <c r="P112" s="3711"/>
      <c r="Q112" s="3712"/>
      <c r="R112" s="3713"/>
      <c r="S112" s="3714"/>
    </row>
    <row r="113" spans="1:19" s="3607" customFormat="1" x14ac:dyDescent="0.2">
      <c r="A113" s="3676"/>
      <c r="B113" s="3752" t="s">
        <v>2092</v>
      </c>
      <c r="C113" s="3758"/>
      <c r="D113" s="3758"/>
      <c r="E113" s="3708">
        <v>21.2</v>
      </c>
      <c r="F113" s="3758"/>
      <c r="G113" s="3758"/>
      <c r="H113" s="3758"/>
      <c r="I113" s="3758"/>
      <c r="J113" s="3758"/>
      <c r="K113" s="3758"/>
      <c r="L113" s="3758"/>
      <c r="M113" s="3758"/>
      <c r="N113" s="3758"/>
      <c r="O113" s="3710"/>
      <c r="P113" s="3711"/>
      <c r="Q113" s="3712"/>
      <c r="R113" s="3713"/>
      <c r="S113" s="3714"/>
    </row>
    <row r="114" spans="1:19" s="3607" customFormat="1" x14ac:dyDescent="0.2">
      <c r="A114" s="3676"/>
      <c r="B114" s="3752" t="s">
        <v>2076</v>
      </c>
      <c r="C114" s="3758"/>
      <c r="D114" s="3758"/>
      <c r="E114" s="3708">
        <v>21.2</v>
      </c>
      <c r="F114" s="3758"/>
      <c r="G114" s="3758"/>
      <c r="H114" s="3758"/>
      <c r="I114" s="3758"/>
      <c r="J114" s="3758"/>
      <c r="K114" s="3758"/>
      <c r="L114" s="3758"/>
      <c r="M114" s="3758"/>
      <c r="N114" s="3758"/>
      <c r="O114" s="3710"/>
      <c r="P114" s="3711"/>
      <c r="Q114" s="3712"/>
      <c r="R114" s="3713"/>
      <c r="S114" s="3714"/>
    </row>
    <row r="115" spans="1:19" s="3607" customFormat="1" x14ac:dyDescent="0.2">
      <c r="A115" s="3676"/>
      <c r="B115" s="3752" t="s">
        <v>2078</v>
      </c>
      <c r="C115" s="3758"/>
      <c r="D115" s="3758"/>
      <c r="E115" s="3708">
        <v>21.2</v>
      </c>
      <c r="F115" s="3758"/>
      <c r="G115" s="3758"/>
      <c r="H115" s="3758"/>
      <c r="I115" s="3758"/>
      <c r="J115" s="3758"/>
      <c r="K115" s="3758"/>
      <c r="L115" s="3758"/>
      <c r="M115" s="3758"/>
      <c r="N115" s="3758"/>
      <c r="O115" s="3710"/>
      <c r="P115" s="3711"/>
      <c r="Q115" s="3712"/>
      <c r="R115" s="3713"/>
      <c r="S115" s="3714"/>
    </row>
    <row r="116" spans="1:19" s="3607" customFormat="1" x14ac:dyDescent="0.2">
      <c r="A116" s="3676"/>
      <c r="B116" s="3752" t="s">
        <v>2080</v>
      </c>
      <c r="C116" s="3758"/>
      <c r="D116" s="3758"/>
      <c r="E116" s="3708">
        <v>21.2</v>
      </c>
      <c r="F116" s="3758"/>
      <c r="G116" s="3758"/>
      <c r="H116" s="3758"/>
      <c r="I116" s="3758"/>
      <c r="J116" s="3758"/>
      <c r="K116" s="3758"/>
      <c r="L116" s="3758"/>
      <c r="M116" s="3758"/>
      <c r="N116" s="3758"/>
      <c r="O116" s="3710"/>
      <c r="P116" s="3711"/>
      <c r="Q116" s="3712"/>
      <c r="R116" s="3713"/>
      <c r="S116" s="3714"/>
    </row>
    <row r="117" spans="1:19" s="3607" customFormat="1" x14ac:dyDescent="0.2">
      <c r="A117" s="3676"/>
      <c r="B117" s="3752" t="s">
        <v>2081</v>
      </c>
      <c r="C117" s="3758"/>
      <c r="D117" s="3758"/>
      <c r="E117" s="3708">
        <v>21.2</v>
      </c>
      <c r="F117" s="3758"/>
      <c r="G117" s="3758"/>
      <c r="H117" s="3758"/>
      <c r="I117" s="3758"/>
      <c r="J117" s="3758"/>
      <c r="K117" s="3758"/>
      <c r="L117" s="3758"/>
      <c r="M117" s="3758"/>
      <c r="N117" s="3758"/>
      <c r="O117" s="3710"/>
      <c r="P117" s="3711"/>
      <c r="Q117" s="3712"/>
      <c r="R117" s="3713"/>
      <c r="S117" s="3714"/>
    </row>
    <row r="118" spans="1:19" s="3607" customFormat="1" x14ac:dyDescent="0.2">
      <c r="A118" s="3676"/>
      <c r="B118" s="3752" t="s">
        <v>2083</v>
      </c>
      <c r="C118" s="3758"/>
      <c r="D118" s="3758"/>
      <c r="E118" s="3708">
        <v>21.2</v>
      </c>
      <c r="F118" s="3758"/>
      <c r="G118" s="3758"/>
      <c r="H118" s="3758"/>
      <c r="I118" s="3758"/>
      <c r="J118" s="3758"/>
      <c r="K118" s="3758"/>
      <c r="L118" s="3758"/>
      <c r="M118" s="3758"/>
      <c r="N118" s="3758"/>
      <c r="O118" s="3710"/>
      <c r="P118" s="3711"/>
      <c r="Q118" s="3712"/>
      <c r="R118" s="3713"/>
      <c r="S118" s="3714"/>
    </row>
    <row r="119" spans="1:19" s="3607" customFormat="1" x14ac:dyDescent="0.2">
      <c r="A119" s="3676"/>
      <c r="B119" s="3752" t="s">
        <v>2211</v>
      </c>
      <c r="C119" s="3758"/>
      <c r="D119" s="3758"/>
      <c r="E119" s="3708">
        <v>21.2</v>
      </c>
      <c r="F119" s="3758"/>
      <c r="G119" s="3758"/>
      <c r="H119" s="3758"/>
      <c r="I119" s="3758"/>
      <c r="J119" s="3758"/>
      <c r="K119" s="3758"/>
      <c r="L119" s="3758"/>
      <c r="M119" s="3758"/>
      <c r="N119" s="3758"/>
      <c r="O119" s="3710"/>
      <c r="P119" s="3711"/>
      <c r="Q119" s="3712"/>
      <c r="R119" s="3713"/>
      <c r="S119" s="3714"/>
    </row>
    <row r="120" spans="1:19" s="3607" customFormat="1" x14ac:dyDescent="0.2">
      <c r="A120" s="3676"/>
      <c r="B120" s="3752"/>
      <c r="C120" s="3758"/>
      <c r="D120" s="3758"/>
      <c r="E120" s="3708"/>
      <c r="F120" s="3758"/>
      <c r="G120" s="3758"/>
      <c r="H120" s="3758"/>
      <c r="I120" s="3758"/>
      <c r="J120" s="3758"/>
      <c r="K120" s="3758"/>
      <c r="L120" s="3758"/>
      <c r="M120" s="3758"/>
      <c r="N120" s="3758"/>
      <c r="O120" s="3710"/>
      <c r="P120" s="3711"/>
      <c r="Q120" s="3712"/>
      <c r="R120" s="3713"/>
      <c r="S120" s="3714"/>
    </row>
    <row r="121" spans="1:19" s="3607" customFormat="1" x14ac:dyDescent="0.2">
      <c r="A121" s="3676"/>
      <c r="B121" s="3805" t="s">
        <v>2229</v>
      </c>
      <c r="C121" s="3758"/>
      <c r="D121" s="3758"/>
      <c r="E121" s="3708"/>
      <c r="F121" s="3758"/>
      <c r="G121" s="3758"/>
      <c r="H121" s="3758"/>
      <c r="I121" s="3758"/>
      <c r="J121" s="3758"/>
      <c r="K121" s="3758"/>
      <c r="L121" s="3758"/>
      <c r="M121" s="3758"/>
      <c r="N121" s="3758"/>
      <c r="O121" s="3710"/>
      <c r="P121" s="3711"/>
      <c r="Q121" s="3712"/>
      <c r="R121" s="3713"/>
      <c r="S121" s="3714"/>
    </row>
    <row r="122" spans="1:19" s="3607" customFormat="1" x14ac:dyDescent="0.2">
      <c r="A122" s="3676"/>
      <c r="B122" s="3805"/>
      <c r="C122" s="3707">
        <v>0.25</v>
      </c>
      <c r="D122" s="3707">
        <v>0.12</v>
      </c>
      <c r="E122" s="3708">
        <f>E103</f>
        <v>377.09999999999991</v>
      </c>
      <c r="F122" s="3711"/>
      <c r="G122" s="3708">
        <f>C122*D122*E122</f>
        <v>11.312999999999997</v>
      </c>
      <c r="H122" s="3708"/>
      <c r="I122" s="3758"/>
      <c r="J122" s="3758"/>
      <c r="K122" s="3758"/>
      <c r="L122" s="3758"/>
      <c r="M122" s="3758"/>
      <c r="N122" s="3758"/>
      <c r="O122" s="3710"/>
      <c r="P122" s="3711"/>
      <c r="Q122" s="3712"/>
      <c r="R122" s="3713"/>
      <c r="S122" s="3714"/>
    </row>
    <row r="123" spans="1:19" s="3719" customFormat="1" ht="15" x14ac:dyDescent="0.2">
      <c r="A123" s="3804"/>
      <c r="B123" s="3767"/>
      <c r="C123" s="3754"/>
      <c r="D123" s="3754"/>
      <c r="E123" s="3806"/>
      <c r="F123" s="3754"/>
      <c r="G123" s="3754"/>
      <c r="H123" s="3708"/>
      <c r="I123" s="3754"/>
      <c r="J123" s="3754"/>
      <c r="K123" s="3754"/>
      <c r="L123" s="3754"/>
      <c r="M123" s="3754"/>
      <c r="N123" s="3754"/>
      <c r="O123" s="3710"/>
      <c r="P123" s="3711"/>
      <c r="Q123" s="3712"/>
      <c r="R123" s="3713"/>
      <c r="S123" s="3714"/>
    </row>
    <row r="124" spans="1:19" ht="15" x14ac:dyDescent="0.2">
      <c r="A124" s="3804"/>
      <c r="B124" s="3715" t="s">
        <v>284</v>
      </c>
      <c r="C124" s="3716"/>
      <c r="D124" s="3716"/>
      <c r="E124" s="3716"/>
      <c r="F124" s="3756"/>
      <c r="G124" s="3764">
        <f>SUM(G103:G103)-G122</f>
        <v>35.824499999999993</v>
      </c>
      <c r="H124" s="3764">
        <f>SUM(H103:H104)-H122</f>
        <v>471.37499999999989</v>
      </c>
      <c r="I124" s="3716"/>
      <c r="J124" s="3716"/>
      <c r="K124" s="3717">
        <f>SUM(K103:K104)</f>
        <v>3571.1433710973615</v>
      </c>
      <c r="L124" s="3716"/>
      <c r="M124" s="3716"/>
      <c r="N124" s="3764">
        <f>SUM(N103:N103)</f>
        <v>785.83753869199734</v>
      </c>
      <c r="O124" s="3716"/>
      <c r="P124" s="3716"/>
      <c r="Q124" s="3716"/>
      <c r="R124" s="3716"/>
      <c r="S124" s="3766">
        <f>SUM(S103:S104)</f>
        <v>3489.2943110120682</v>
      </c>
    </row>
    <row r="125" spans="1:19" ht="13.5" thickBot="1" x14ac:dyDescent="0.25">
      <c r="A125" s="3804"/>
      <c r="B125" s="3767"/>
      <c r="C125" s="3754"/>
      <c r="D125" s="3754"/>
      <c r="E125" s="3754"/>
      <c r="F125" s="3754"/>
      <c r="G125" s="3754"/>
      <c r="H125" s="3754"/>
      <c r="I125" s="3754"/>
      <c r="J125" s="3754"/>
      <c r="K125" s="3754"/>
      <c r="L125" s="3754"/>
      <c r="M125" s="3754"/>
      <c r="N125" s="3754"/>
      <c r="O125" s="3754"/>
      <c r="P125" s="3754"/>
      <c r="Q125" s="3754"/>
      <c r="R125" s="3754"/>
      <c r="S125" s="3768"/>
    </row>
    <row r="126" spans="1:19" s="3676" customFormat="1" ht="24.75" thickTop="1" thickBot="1" x14ac:dyDescent="0.25">
      <c r="B126" s="3738" t="s">
        <v>2230</v>
      </c>
      <c r="C126" s="3724"/>
      <c r="D126" s="3724"/>
      <c r="E126" s="3724"/>
      <c r="F126" s="3724"/>
      <c r="G126" s="3724"/>
      <c r="H126" s="3724"/>
      <c r="I126" s="3724"/>
      <c r="J126" s="3724"/>
      <c r="K126" s="3724"/>
      <c r="L126" s="3724"/>
      <c r="M126" s="3724"/>
      <c r="N126" s="3724"/>
      <c r="O126" s="3724"/>
      <c r="P126" s="3724"/>
      <c r="Q126" s="3724"/>
      <c r="R126" s="3724"/>
      <c r="S126" s="3725"/>
    </row>
    <row r="127" spans="1:19" s="3697" customFormat="1" ht="21.75" thickTop="1" x14ac:dyDescent="0.2">
      <c r="A127" s="3799"/>
      <c r="B127" s="3740" t="s">
        <v>2176</v>
      </c>
      <c r="C127" s="3741"/>
      <c r="D127" s="3741"/>
      <c r="E127" s="3741"/>
      <c r="F127" s="3742"/>
      <c r="G127" s="3691" t="s">
        <v>2163</v>
      </c>
      <c r="H127" s="3692" t="s">
        <v>2164</v>
      </c>
      <c r="I127" s="3693" t="s">
        <v>2199</v>
      </c>
      <c r="J127" s="3693"/>
      <c r="K127" s="3693"/>
      <c r="L127" s="3693" t="s">
        <v>2200</v>
      </c>
      <c r="M127" s="3693"/>
      <c r="N127" s="3693"/>
      <c r="O127" s="3693"/>
      <c r="P127" s="3693"/>
      <c r="Q127" s="3693"/>
      <c r="R127" s="3693"/>
      <c r="S127" s="3694"/>
    </row>
    <row r="128" spans="1:19" s="3676" customFormat="1" ht="30" x14ac:dyDescent="0.2">
      <c r="A128" s="3726"/>
      <c r="B128" s="3807"/>
      <c r="C128" s="3699" t="s">
        <v>608</v>
      </c>
      <c r="D128" s="3699" t="s">
        <v>699</v>
      </c>
      <c r="E128" s="3700" t="s">
        <v>2201</v>
      </c>
      <c r="F128" s="3699" t="s">
        <v>284</v>
      </c>
      <c r="G128" s="3699" t="s">
        <v>1755</v>
      </c>
      <c r="H128" s="3700" t="s">
        <v>2166</v>
      </c>
      <c r="I128" s="3699" t="s">
        <v>2202</v>
      </c>
      <c r="J128" s="3699" t="s">
        <v>2203</v>
      </c>
      <c r="K128" s="3699" t="s">
        <v>2204</v>
      </c>
      <c r="L128" s="3699" t="s">
        <v>2202</v>
      </c>
      <c r="M128" s="3699" t="s">
        <v>2203</v>
      </c>
      <c r="N128" s="3699" t="s">
        <v>2204</v>
      </c>
      <c r="O128" s="3701" t="s">
        <v>2205</v>
      </c>
      <c r="P128" s="3701"/>
      <c r="Q128" s="3701"/>
      <c r="R128" s="3699" t="s">
        <v>2206</v>
      </c>
      <c r="S128" s="3703" t="s">
        <v>2207</v>
      </c>
    </row>
    <row r="129" spans="1:19" s="3676" customFormat="1" x14ac:dyDescent="0.2">
      <c r="A129" s="3804"/>
      <c r="B129" s="3706"/>
      <c r="C129" s="3707">
        <v>0.2</v>
      </c>
      <c r="D129" s="3707">
        <v>0.3</v>
      </c>
      <c r="E129" s="3708"/>
      <c r="F129" s="3711"/>
      <c r="G129" s="3708">
        <f>C129*D129*E129</f>
        <v>0</v>
      </c>
      <c r="H129" s="3708">
        <f>(2*D129)*E129</f>
        <v>0</v>
      </c>
      <c r="I129" s="3711">
        <v>13</v>
      </c>
      <c r="J129" s="3711">
        <v>4</v>
      </c>
      <c r="K129" s="3708">
        <f>(0.25*PI()*(I129/1000)^2)*J129*$E129*7850</f>
        <v>0</v>
      </c>
      <c r="L129" s="3711">
        <v>10</v>
      </c>
      <c r="M129" s="3711">
        <v>2</v>
      </c>
      <c r="N129" s="3708">
        <f>(0.25*PI()*(L129/1000)^2)*M129*$E129*7850</f>
        <v>0</v>
      </c>
      <c r="O129" s="3710">
        <v>10</v>
      </c>
      <c r="P129" s="3711" t="s">
        <v>805</v>
      </c>
      <c r="Q129" s="3712">
        <v>100</v>
      </c>
      <c r="R129" s="3713">
        <f>1+(E129*0.5)/(Q129/1000)</f>
        <v>1</v>
      </c>
      <c r="S129" s="3714">
        <f>(0.25*PI()*(O129/1000)^2)*(2*(C129+D129))*R129*7850</f>
        <v>0.61653755826699685</v>
      </c>
    </row>
    <row r="130" spans="1:19" s="3719" customFormat="1" ht="15" x14ac:dyDescent="0.2">
      <c r="A130" s="3804"/>
      <c r="B130" s="3767"/>
      <c r="C130" s="3754"/>
      <c r="D130" s="3754"/>
      <c r="E130" s="3754"/>
      <c r="F130" s="3754"/>
      <c r="G130" s="3754"/>
      <c r="H130" s="3708">
        <f>C129*E129</f>
        <v>0</v>
      </c>
      <c r="I130" s="3754"/>
      <c r="J130" s="3754"/>
      <c r="K130" s="3754"/>
      <c r="L130" s="3754"/>
      <c r="M130" s="3754"/>
      <c r="N130" s="3754"/>
      <c r="O130" s="3710">
        <v>10</v>
      </c>
      <c r="P130" s="3711" t="s">
        <v>805</v>
      </c>
      <c r="Q130" s="3712">
        <v>150</v>
      </c>
      <c r="R130" s="3713">
        <f>1+(E129*0.5)/(Q130/1000)</f>
        <v>1</v>
      </c>
      <c r="S130" s="3714">
        <f>(0.25*PI()*(O130/1000)^2)*(2*(C129+D129))*R130*7850</f>
        <v>0.61653755826699685</v>
      </c>
    </row>
    <row r="131" spans="1:19" ht="15" x14ac:dyDescent="0.2">
      <c r="A131" s="3804"/>
      <c r="B131" s="3715" t="s">
        <v>284</v>
      </c>
      <c r="C131" s="3716"/>
      <c r="D131" s="3716"/>
      <c r="E131" s="3716"/>
      <c r="F131" s="3756"/>
      <c r="G131" s="3764">
        <f>SUM(G129:G129)</f>
        <v>0</v>
      </c>
      <c r="H131" s="3764">
        <f>SUM(H129:H130)</f>
        <v>0</v>
      </c>
      <c r="I131" s="3716"/>
      <c r="J131" s="3716"/>
      <c r="K131" s="3717">
        <f>SUM(K129:K130)</f>
        <v>0</v>
      </c>
      <c r="L131" s="3716"/>
      <c r="M131" s="3716"/>
      <c r="N131" s="3764">
        <f>SUM(N129:N129)</f>
        <v>0</v>
      </c>
      <c r="O131" s="3716"/>
      <c r="P131" s="3716"/>
      <c r="Q131" s="3716"/>
      <c r="R131" s="3716"/>
      <c r="S131" s="3766">
        <f>SUM(S129:S130)</f>
        <v>1.2330751165339937</v>
      </c>
    </row>
    <row r="132" spans="1:19" ht="13.5" thickBot="1" x14ac:dyDescent="0.25">
      <c r="A132" s="3804"/>
      <c r="B132" s="3767"/>
      <c r="C132" s="3754"/>
      <c r="D132" s="3754"/>
      <c r="E132" s="3754"/>
      <c r="F132" s="3754"/>
      <c r="G132" s="3754"/>
      <c r="H132" s="3754"/>
      <c r="I132" s="3754"/>
      <c r="J132" s="3754"/>
      <c r="K132" s="3754"/>
      <c r="L132" s="3754"/>
      <c r="M132" s="3754"/>
      <c r="N132" s="3754"/>
      <c r="O132" s="3754"/>
      <c r="P132" s="3754"/>
      <c r="Q132" s="3754"/>
      <c r="R132" s="3754"/>
      <c r="S132" s="3768"/>
    </row>
    <row r="133" spans="1:19" s="3676" customFormat="1" ht="24.75" thickTop="1" thickBot="1" x14ac:dyDescent="0.25">
      <c r="B133" s="3738" t="str">
        <f>'[6]B.VOL RAB'!C146</f>
        <v>Balok B2 (15 X 25) Elv. + 4.00</v>
      </c>
      <c r="C133" s="3724"/>
      <c r="D133" s="3724"/>
      <c r="E133" s="3724"/>
      <c r="F133" s="3724"/>
      <c r="G133" s="3724"/>
      <c r="H133" s="3724"/>
      <c r="I133" s="3724"/>
      <c r="J133" s="3724"/>
      <c r="K133" s="3724"/>
      <c r="L133" s="3724"/>
      <c r="M133" s="3724"/>
      <c r="N133" s="3724"/>
      <c r="O133" s="3724"/>
      <c r="P133" s="3724"/>
      <c r="Q133" s="3724"/>
      <c r="R133" s="3724"/>
      <c r="S133" s="3725"/>
    </row>
    <row r="134" spans="1:19" s="3697" customFormat="1" ht="21.75" thickTop="1" x14ac:dyDescent="0.2">
      <c r="A134" s="3799"/>
      <c r="B134" s="3800" t="s">
        <v>2222</v>
      </c>
      <c r="C134" s="3801" t="s">
        <v>2176</v>
      </c>
      <c r="D134" s="3741"/>
      <c r="E134" s="3742"/>
      <c r="F134" s="3808"/>
      <c r="G134" s="3691" t="s">
        <v>2163</v>
      </c>
      <c r="H134" s="3692" t="s">
        <v>2164</v>
      </c>
      <c r="I134" s="3693" t="s">
        <v>2199</v>
      </c>
      <c r="J134" s="3693"/>
      <c r="K134" s="3693"/>
      <c r="L134" s="3693" t="s">
        <v>2200</v>
      </c>
      <c r="M134" s="3693"/>
      <c r="N134" s="3693"/>
      <c r="O134" s="3693"/>
      <c r="P134" s="3693"/>
      <c r="Q134" s="3693"/>
      <c r="R134" s="3693"/>
      <c r="S134" s="3694"/>
    </row>
    <row r="135" spans="1:19" s="3676" customFormat="1" ht="30" x14ac:dyDescent="0.2">
      <c r="A135" s="3726"/>
      <c r="B135" s="3803"/>
      <c r="C135" s="3699" t="s">
        <v>608</v>
      </c>
      <c r="D135" s="3699" t="s">
        <v>699</v>
      </c>
      <c r="E135" s="3700" t="s">
        <v>2201</v>
      </c>
      <c r="F135" s="3699" t="s">
        <v>284</v>
      </c>
      <c r="G135" s="3699" t="s">
        <v>1755</v>
      </c>
      <c r="H135" s="3700" t="s">
        <v>2166</v>
      </c>
      <c r="I135" s="3699" t="s">
        <v>2202</v>
      </c>
      <c r="J135" s="3699" t="s">
        <v>2203</v>
      </c>
      <c r="K135" s="3699" t="s">
        <v>2204</v>
      </c>
      <c r="L135" s="3699" t="s">
        <v>2202</v>
      </c>
      <c r="M135" s="3699" t="s">
        <v>2203</v>
      </c>
      <c r="N135" s="3699" t="s">
        <v>2204</v>
      </c>
      <c r="O135" s="3701" t="s">
        <v>2205</v>
      </c>
      <c r="P135" s="3701"/>
      <c r="Q135" s="3701"/>
      <c r="R135" s="3699" t="s">
        <v>2206</v>
      </c>
      <c r="S135" s="3703" t="s">
        <v>2207</v>
      </c>
    </row>
    <row r="136" spans="1:19" s="3676" customFormat="1" x14ac:dyDescent="0.2">
      <c r="A136" s="3804"/>
      <c r="B136" s="3706" t="s">
        <v>2231</v>
      </c>
      <c r="C136" s="3707">
        <v>0.2</v>
      </c>
      <c r="D136" s="3707">
        <v>0.4</v>
      </c>
      <c r="E136" s="3708">
        <f>SUM(E139:E155)</f>
        <v>181.4</v>
      </c>
      <c r="F136" s="3711"/>
      <c r="G136" s="3708">
        <f>C136*D136*E136</f>
        <v>14.512000000000004</v>
      </c>
      <c r="H136" s="3708">
        <f>(2*D136)*E136</f>
        <v>145.12</v>
      </c>
      <c r="I136" s="3711">
        <v>13</v>
      </c>
      <c r="J136" s="3711">
        <v>4</v>
      </c>
      <c r="K136" s="3708">
        <f>(0.25*PI()*(I136/1000)^2)*J136*$E136*7850</f>
        <v>756.03781235072051</v>
      </c>
      <c r="L136" s="3711">
        <v>10</v>
      </c>
      <c r="M136" s="3711">
        <v>2</v>
      </c>
      <c r="N136" s="3708">
        <f>(0.25*PI()*(L136/1000)^2)*M136*$E136*7850</f>
        <v>223.67982613926648</v>
      </c>
      <c r="O136" s="3710">
        <v>8</v>
      </c>
      <c r="P136" s="3711" t="s">
        <v>805</v>
      </c>
      <c r="Q136" s="3712">
        <v>100</v>
      </c>
      <c r="R136" s="3713">
        <f>1+(E136*0.5)/(Q136/1000)</f>
        <v>908</v>
      </c>
      <c r="S136" s="3714">
        <f>(0.25*PI()*(O136/1000)^2)*(2*(C136+D136))*R136*7850</f>
        <v>429.93876703214067</v>
      </c>
    </row>
    <row r="137" spans="1:19" s="3719" customFormat="1" ht="15" x14ac:dyDescent="0.2">
      <c r="A137" s="3804"/>
      <c r="B137" s="3767"/>
      <c r="C137" s="3754"/>
      <c r="D137" s="3754"/>
      <c r="E137" s="3754"/>
      <c r="F137" s="3754"/>
      <c r="G137" s="3754"/>
      <c r="H137" s="3708">
        <f>C136*E136</f>
        <v>36.28</v>
      </c>
      <c r="I137" s="3754"/>
      <c r="J137" s="3754"/>
      <c r="K137" s="3754"/>
      <c r="L137" s="3754"/>
      <c r="M137" s="3754"/>
      <c r="N137" s="3754"/>
      <c r="O137" s="3710">
        <v>8</v>
      </c>
      <c r="P137" s="3711" t="s">
        <v>805</v>
      </c>
      <c r="Q137" s="3712">
        <v>150</v>
      </c>
      <c r="R137" s="3713">
        <f>1+(E136*0.5)/(Q137/1000)</f>
        <v>605.66666666666674</v>
      </c>
      <c r="S137" s="3714">
        <f>(0.25*PI()*(O137/1000)^2)*(2*(C136+D136))*R137*7850</f>
        <v>286.78367830301022</v>
      </c>
    </row>
    <row r="138" spans="1:19" s="3719" customFormat="1" ht="15" x14ac:dyDescent="0.2">
      <c r="A138" s="3804"/>
      <c r="B138" s="3767"/>
      <c r="C138" s="3754"/>
      <c r="D138" s="3754"/>
      <c r="E138" s="3754"/>
      <c r="F138" s="3754"/>
      <c r="G138" s="3754"/>
      <c r="H138" s="3708"/>
      <c r="I138" s="3754"/>
      <c r="J138" s="3754"/>
      <c r="K138" s="3754"/>
      <c r="L138" s="3754"/>
      <c r="M138" s="3754"/>
      <c r="N138" s="3754"/>
      <c r="O138" s="3710"/>
      <c r="P138" s="3711"/>
      <c r="Q138" s="3712"/>
      <c r="R138" s="3713"/>
      <c r="S138" s="3714"/>
    </row>
    <row r="139" spans="1:19" s="3607" customFormat="1" x14ac:dyDescent="0.2">
      <c r="A139" s="3676"/>
      <c r="B139" s="3752" t="s">
        <v>2067</v>
      </c>
      <c r="C139" s="3758"/>
      <c r="D139" s="3758"/>
      <c r="E139" s="3708">
        <f>2.8*2</f>
        <v>5.6</v>
      </c>
      <c r="F139" s="3758"/>
      <c r="G139" s="3758"/>
      <c r="H139" s="3758"/>
      <c r="I139" s="3758"/>
      <c r="J139" s="3758"/>
      <c r="K139" s="3758"/>
      <c r="L139" s="3758"/>
      <c r="M139" s="3758"/>
      <c r="N139" s="3758"/>
      <c r="O139" s="3710"/>
      <c r="P139" s="3711"/>
      <c r="Q139" s="3712"/>
      <c r="R139" s="3713"/>
      <c r="S139" s="3714"/>
    </row>
    <row r="140" spans="1:19" s="3607" customFormat="1" x14ac:dyDescent="0.2">
      <c r="A140" s="3676"/>
      <c r="B140" s="3752" t="s">
        <v>2219</v>
      </c>
      <c r="C140" s="3758"/>
      <c r="D140" s="3758"/>
      <c r="E140" s="3708">
        <v>5.4</v>
      </c>
      <c r="F140" s="3758"/>
      <c r="G140" s="3758"/>
      <c r="H140" s="3758"/>
      <c r="I140" s="3758"/>
      <c r="J140" s="3758"/>
      <c r="K140" s="3758"/>
      <c r="L140" s="3758"/>
      <c r="M140" s="3758"/>
      <c r="N140" s="3758"/>
      <c r="O140" s="3710"/>
      <c r="P140" s="3711"/>
      <c r="Q140" s="3712"/>
      <c r="R140" s="3713"/>
      <c r="S140" s="3714"/>
    </row>
    <row r="141" spans="1:19" s="3607" customFormat="1" x14ac:dyDescent="0.2">
      <c r="A141" s="3676"/>
      <c r="B141" s="3752" t="s">
        <v>2070</v>
      </c>
      <c r="C141" s="3758"/>
      <c r="D141" s="3758"/>
      <c r="E141" s="3708">
        <f>(4.2+1.4)*2</f>
        <v>11.2</v>
      </c>
      <c r="F141" s="3758"/>
      <c r="G141" s="3758"/>
      <c r="H141" s="3758"/>
      <c r="I141" s="3758"/>
      <c r="J141" s="3758"/>
      <c r="K141" s="3758"/>
      <c r="L141" s="3758"/>
      <c r="M141" s="3758"/>
      <c r="N141" s="3758"/>
      <c r="O141" s="3710"/>
      <c r="P141" s="3711"/>
      <c r="Q141" s="3712"/>
      <c r="R141" s="3713"/>
      <c r="S141" s="3714"/>
    </row>
    <row r="142" spans="1:19" s="3607" customFormat="1" x14ac:dyDescent="0.2">
      <c r="A142" s="3676"/>
      <c r="B142" s="3752" t="s">
        <v>2232</v>
      </c>
      <c r="C142" s="3758"/>
      <c r="D142" s="3758"/>
      <c r="E142" s="3708">
        <f>(2.8+2.8+2.8)</f>
        <v>8.3999999999999986</v>
      </c>
      <c r="F142" s="3758"/>
      <c r="G142" s="3758"/>
      <c r="H142" s="3758"/>
      <c r="I142" s="3758"/>
      <c r="J142" s="3758"/>
      <c r="K142" s="3758"/>
      <c r="L142" s="3758"/>
      <c r="M142" s="3758"/>
      <c r="N142" s="3758"/>
      <c r="O142" s="3710"/>
      <c r="P142" s="3711"/>
      <c r="Q142" s="3712"/>
      <c r="R142" s="3713"/>
      <c r="S142" s="3714"/>
    </row>
    <row r="143" spans="1:19" s="3607" customFormat="1" x14ac:dyDescent="0.2">
      <c r="A143" s="3676"/>
      <c r="B143" s="3752" t="s">
        <v>2209</v>
      </c>
      <c r="C143" s="3758"/>
      <c r="D143" s="3758"/>
      <c r="E143" s="3708">
        <f>(9.2*2)</f>
        <v>18.399999999999999</v>
      </c>
      <c r="F143" s="3758"/>
      <c r="G143" s="3758"/>
      <c r="H143" s="3758"/>
      <c r="I143" s="3758"/>
      <c r="J143" s="3758"/>
      <c r="K143" s="3758"/>
      <c r="L143" s="3758"/>
      <c r="M143" s="3758"/>
      <c r="N143" s="3758"/>
      <c r="O143" s="3710"/>
      <c r="P143" s="3711"/>
      <c r="Q143" s="3712"/>
      <c r="R143" s="3713"/>
      <c r="S143" s="3714"/>
    </row>
    <row r="144" spans="1:19" s="3607" customFormat="1" x14ac:dyDescent="0.2">
      <c r="A144" s="3676"/>
      <c r="B144" s="3752" t="s">
        <v>2074</v>
      </c>
      <c r="C144" s="3758"/>
      <c r="D144" s="3758"/>
      <c r="E144" s="3708">
        <f>(9.2*2)</f>
        <v>18.399999999999999</v>
      </c>
      <c r="F144" s="3758"/>
      <c r="G144" s="3758"/>
      <c r="H144" s="3758"/>
      <c r="I144" s="3758"/>
      <c r="J144" s="3758"/>
      <c r="K144" s="3758"/>
      <c r="L144" s="3758"/>
      <c r="M144" s="3758"/>
      <c r="N144" s="3758"/>
      <c r="O144" s="3710"/>
      <c r="P144" s="3711"/>
      <c r="Q144" s="3712"/>
      <c r="R144" s="3713"/>
      <c r="S144" s="3714"/>
    </row>
    <row r="145" spans="1:19" s="3607" customFormat="1" x14ac:dyDescent="0.2">
      <c r="A145" s="3676"/>
      <c r="B145" s="3752" t="s">
        <v>2075</v>
      </c>
      <c r="C145" s="3758"/>
      <c r="D145" s="3758"/>
      <c r="E145" s="3708">
        <v>4</v>
      </c>
      <c r="F145" s="3758"/>
      <c r="G145" s="3758"/>
      <c r="H145" s="3758"/>
      <c r="I145" s="3758"/>
      <c r="J145" s="3758"/>
      <c r="K145" s="3758"/>
      <c r="L145" s="3758"/>
      <c r="M145" s="3758"/>
      <c r="N145" s="3758"/>
      <c r="O145" s="3710"/>
      <c r="P145" s="3711"/>
      <c r="Q145" s="3712"/>
      <c r="R145" s="3713"/>
      <c r="S145" s="3714"/>
    </row>
    <row r="146" spans="1:19" s="3607" customFormat="1" x14ac:dyDescent="0.2">
      <c r="A146" s="3676"/>
      <c r="B146" s="3752" t="s">
        <v>2077</v>
      </c>
      <c r="C146" s="3758"/>
      <c r="D146" s="3758"/>
      <c r="E146" s="3708">
        <f>1.6*2</f>
        <v>3.2</v>
      </c>
      <c r="F146" s="3758"/>
      <c r="G146" s="3758"/>
      <c r="H146" s="3758"/>
      <c r="I146" s="3758"/>
      <c r="J146" s="3758"/>
      <c r="K146" s="3758"/>
      <c r="L146" s="3758"/>
      <c r="M146" s="3758"/>
      <c r="N146" s="3758"/>
      <c r="O146" s="3710"/>
      <c r="P146" s="3711"/>
      <c r="Q146" s="3712"/>
      <c r="R146" s="3713"/>
      <c r="S146" s="3714"/>
    </row>
    <row r="147" spans="1:19" s="3607" customFormat="1" x14ac:dyDescent="0.2">
      <c r="A147" s="3676"/>
      <c r="B147" s="3752" t="s">
        <v>2078</v>
      </c>
      <c r="C147" s="3758"/>
      <c r="D147" s="3758"/>
      <c r="E147" s="3708">
        <v>6.5</v>
      </c>
      <c r="F147" s="3758"/>
      <c r="G147" s="3758"/>
      <c r="H147" s="3758"/>
      <c r="I147" s="3758"/>
      <c r="J147" s="3758"/>
      <c r="K147" s="3758"/>
      <c r="L147" s="3758"/>
      <c r="M147" s="3758"/>
      <c r="N147" s="3758"/>
      <c r="O147" s="3710"/>
      <c r="P147" s="3711"/>
      <c r="Q147" s="3712"/>
      <c r="R147" s="3713"/>
      <c r="S147" s="3714"/>
    </row>
    <row r="148" spans="1:19" s="3607" customFormat="1" x14ac:dyDescent="0.2">
      <c r="A148" s="3676"/>
      <c r="B148" s="3752" t="s">
        <v>2233</v>
      </c>
      <c r="C148" s="3758"/>
      <c r="D148" s="3758"/>
      <c r="E148" s="3708">
        <v>5.8</v>
      </c>
      <c r="F148" s="3758"/>
      <c r="G148" s="3758"/>
      <c r="H148" s="3758"/>
      <c r="I148" s="3758"/>
      <c r="J148" s="3758"/>
      <c r="K148" s="3758"/>
      <c r="L148" s="3758"/>
      <c r="M148" s="3758"/>
      <c r="N148" s="3758"/>
      <c r="O148" s="3710"/>
      <c r="P148" s="3711"/>
      <c r="Q148" s="3712"/>
      <c r="R148" s="3713"/>
      <c r="S148" s="3714"/>
    </row>
    <row r="149" spans="1:19" s="3607" customFormat="1" x14ac:dyDescent="0.2">
      <c r="A149" s="3676"/>
      <c r="B149" s="3752" t="s">
        <v>2217</v>
      </c>
      <c r="C149" s="3758"/>
      <c r="D149" s="3758"/>
      <c r="E149" s="3708">
        <v>22.3</v>
      </c>
      <c r="F149" s="3758"/>
      <c r="G149" s="3758"/>
      <c r="H149" s="3758"/>
      <c r="I149" s="3758"/>
      <c r="J149" s="3758"/>
      <c r="K149" s="3758"/>
      <c r="L149" s="3758"/>
      <c r="M149" s="3758"/>
      <c r="N149" s="3758"/>
      <c r="O149" s="3710"/>
      <c r="P149" s="3711"/>
      <c r="Q149" s="3712"/>
      <c r="R149" s="3713"/>
      <c r="S149" s="3714"/>
    </row>
    <row r="150" spans="1:19" s="3607" customFormat="1" x14ac:dyDescent="0.2">
      <c r="A150" s="3676"/>
      <c r="B150" s="3752" t="s">
        <v>2234</v>
      </c>
      <c r="C150" s="3758"/>
      <c r="D150" s="3758"/>
      <c r="E150" s="3708">
        <v>5.8</v>
      </c>
      <c r="F150" s="3758"/>
      <c r="G150" s="3758"/>
      <c r="H150" s="3758"/>
      <c r="I150" s="3758"/>
      <c r="J150" s="3758"/>
      <c r="K150" s="3758"/>
      <c r="L150" s="3758"/>
      <c r="M150" s="3758"/>
      <c r="N150" s="3758"/>
      <c r="O150" s="3710"/>
      <c r="P150" s="3711"/>
      <c r="Q150" s="3712"/>
      <c r="R150" s="3713"/>
      <c r="S150" s="3714"/>
    </row>
    <row r="151" spans="1:19" s="3607" customFormat="1" x14ac:dyDescent="0.2">
      <c r="A151" s="3676"/>
      <c r="B151" s="3752" t="s">
        <v>2080</v>
      </c>
      <c r="C151" s="3758"/>
      <c r="D151" s="3758"/>
      <c r="E151" s="3708">
        <v>22.4</v>
      </c>
      <c r="F151" s="3758"/>
      <c r="G151" s="3758"/>
      <c r="H151" s="3758"/>
      <c r="I151" s="3758"/>
      <c r="J151" s="3758"/>
      <c r="K151" s="3758"/>
      <c r="L151" s="3758"/>
      <c r="M151" s="3758"/>
      <c r="N151" s="3758"/>
      <c r="O151" s="3710"/>
      <c r="P151" s="3711"/>
      <c r="Q151" s="3712"/>
      <c r="R151" s="3713"/>
      <c r="S151" s="3714"/>
    </row>
    <row r="152" spans="1:19" s="3607" customFormat="1" x14ac:dyDescent="0.2">
      <c r="A152" s="3676"/>
      <c r="B152" s="3752" t="s">
        <v>2218</v>
      </c>
      <c r="C152" s="3758"/>
      <c r="D152" s="3758"/>
      <c r="E152" s="3708">
        <f>1.6*2</f>
        <v>3.2</v>
      </c>
      <c r="F152" s="3758"/>
      <c r="G152" s="3758"/>
      <c r="H152" s="3758"/>
      <c r="I152" s="3758"/>
      <c r="J152" s="3758"/>
      <c r="K152" s="3758"/>
      <c r="L152" s="3758"/>
      <c r="M152" s="3758"/>
      <c r="N152" s="3758"/>
      <c r="O152" s="3710"/>
      <c r="P152" s="3711"/>
      <c r="Q152" s="3712"/>
      <c r="R152" s="3713"/>
      <c r="S152" s="3714"/>
    </row>
    <row r="153" spans="1:19" s="3607" customFormat="1" x14ac:dyDescent="0.2">
      <c r="A153" s="3676"/>
      <c r="B153" s="3752" t="s">
        <v>2082</v>
      </c>
      <c r="C153" s="3758"/>
      <c r="D153" s="3758"/>
      <c r="E153" s="3708">
        <v>4</v>
      </c>
      <c r="F153" s="3758"/>
      <c r="G153" s="3758"/>
      <c r="H153" s="3758"/>
      <c r="I153" s="3758"/>
      <c r="J153" s="3758"/>
      <c r="K153" s="3758"/>
      <c r="L153" s="3758"/>
      <c r="M153" s="3758"/>
      <c r="N153" s="3758"/>
      <c r="O153" s="3710"/>
      <c r="P153" s="3711"/>
      <c r="Q153" s="3712"/>
      <c r="R153" s="3713"/>
      <c r="S153" s="3714"/>
    </row>
    <row r="154" spans="1:19" s="3607" customFormat="1" x14ac:dyDescent="0.2">
      <c r="A154" s="3676"/>
      <c r="B154" s="3752" t="s">
        <v>2098</v>
      </c>
      <c r="C154" s="3758"/>
      <c r="D154" s="3758"/>
      <c r="E154" s="3708">
        <f>(9.2*2)</f>
        <v>18.399999999999999</v>
      </c>
      <c r="F154" s="3758"/>
      <c r="G154" s="3758"/>
      <c r="H154" s="3758"/>
      <c r="I154" s="3758"/>
      <c r="J154" s="3758"/>
      <c r="K154" s="3758"/>
      <c r="L154" s="3758"/>
      <c r="M154" s="3758"/>
      <c r="N154" s="3758"/>
      <c r="O154" s="3710"/>
      <c r="P154" s="3711"/>
      <c r="Q154" s="3712"/>
      <c r="R154" s="3713"/>
      <c r="S154" s="3714"/>
    </row>
    <row r="155" spans="1:19" s="3607" customFormat="1" x14ac:dyDescent="0.2">
      <c r="A155" s="3676"/>
      <c r="B155" s="3752" t="s">
        <v>2210</v>
      </c>
      <c r="C155" s="3758"/>
      <c r="D155" s="3758"/>
      <c r="E155" s="3708">
        <f>(9.2*2)</f>
        <v>18.399999999999999</v>
      </c>
      <c r="F155" s="3758"/>
      <c r="G155" s="3758"/>
      <c r="H155" s="3758"/>
      <c r="I155" s="3758"/>
      <c r="J155" s="3758"/>
      <c r="K155" s="3758"/>
      <c r="L155" s="3758"/>
      <c r="M155" s="3758"/>
      <c r="N155" s="3758"/>
      <c r="O155" s="3710"/>
      <c r="P155" s="3711"/>
      <c r="Q155" s="3712"/>
      <c r="R155" s="3713"/>
      <c r="S155" s="3714"/>
    </row>
    <row r="156" spans="1:19" s="3719" customFormat="1" ht="15" x14ac:dyDescent="0.2">
      <c r="A156" s="3804"/>
      <c r="B156" s="3767"/>
      <c r="C156" s="3754"/>
      <c r="D156" s="3754"/>
      <c r="E156" s="3806"/>
      <c r="F156" s="3754"/>
      <c r="G156" s="3754"/>
      <c r="H156" s="3708"/>
      <c r="I156" s="3754"/>
      <c r="J156" s="3754"/>
      <c r="K156" s="3754"/>
      <c r="L156" s="3754"/>
      <c r="M156" s="3754"/>
      <c r="N156" s="3754"/>
      <c r="O156" s="3710"/>
      <c r="P156" s="3711"/>
      <c r="Q156" s="3712"/>
      <c r="R156" s="3713"/>
      <c r="S156" s="3714"/>
    </row>
    <row r="157" spans="1:19" s="3607" customFormat="1" x14ac:dyDescent="0.2">
      <c r="A157" s="3676"/>
      <c r="B157" s="3805" t="s">
        <v>2229</v>
      </c>
      <c r="C157" s="3758"/>
      <c r="D157" s="3758"/>
      <c r="E157" s="3708"/>
      <c r="F157" s="3758"/>
      <c r="G157" s="3758"/>
      <c r="H157" s="3758"/>
      <c r="I157" s="3758"/>
      <c r="J157" s="3758"/>
      <c r="K157" s="3758"/>
      <c r="L157" s="3758"/>
      <c r="M157" s="3758"/>
      <c r="N157" s="3758"/>
      <c r="O157" s="3710"/>
      <c r="P157" s="3711"/>
      <c r="Q157" s="3712"/>
      <c r="R157" s="3713"/>
      <c r="S157" s="3714"/>
    </row>
    <row r="158" spans="1:19" s="3607" customFormat="1" x14ac:dyDescent="0.2">
      <c r="A158" s="3676"/>
      <c r="B158" s="3805"/>
      <c r="C158" s="3707">
        <f>C136</f>
        <v>0.2</v>
      </c>
      <c r="D158" s="3707">
        <v>0.12</v>
      </c>
      <c r="E158" s="3708">
        <f>E136</f>
        <v>181.4</v>
      </c>
      <c r="F158" s="3711"/>
      <c r="G158" s="3708"/>
      <c r="H158" s="3708"/>
      <c r="I158" s="3758"/>
      <c r="J158" s="3758"/>
      <c r="K158" s="3758"/>
      <c r="L158" s="3758"/>
      <c r="M158" s="3758"/>
      <c r="N158" s="3758"/>
      <c r="O158" s="3710"/>
      <c r="P158" s="3711"/>
      <c r="Q158" s="3712"/>
      <c r="R158" s="3713"/>
      <c r="S158" s="3714"/>
    </row>
    <row r="159" spans="1:19" s="3719" customFormat="1" ht="15" x14ac:dyDescent="0.2">
      <c r="A159" s="3804"/>
      <c r="B159" s="3767"/>
      <c r="C159" s="3754"/>
      <c r="D159" s="3754"/>
      <c r="E159" s="3754"/>
      <c r="F159" s="3754"/>
      <c r="G159" s="3754"/>
      <c r="H159" s="3708"/>
      <c r="I159" s="3754"/>
      <c r="J159" s="3754"/>
      <c r="K159" s="3754"/>
      <c r="L159" s="3754"/>
      <c r="M159" s="3754"/>
      <c r="N159" s="3754"/>
      <c r="O159" s="3710"/>
      <c r="P159" s="3711"/>
      <c r="Q159" s="3712"/>
      <c r="R159" s="3713"/>
      <c r="S159" s="3714"/>
    </row>
    <row r="160" spans="1:19" ht="15" x14ac:dyDescent="0.2">
      <c r="A160" s="3804"/>
      <c r="B160" s="3715" t="s">
        <v>284</v>
      </c>
      <c r="C160" s="3716"/>
      <c r="D160" s="3716"/>
      <c r="E160" s="3716"/>
      <c r="F160" s="3756"/>
      <c r="G160" s="3764">
        <f>SUM(G136:G136)-G158</f>
        <v>14.512000000000004</v>
      </c>
      <c r="H160" s="3764">
        <f>SUM(H136:H137)-H158</f>
        <v>181.4</v>
      </c>
      <c r="I160" s="3716"/>
      <c r="J160" s="3716"/>
      <c r="K160" s="3717">
        <f>SUM(K136:K137)</f>
        <v>756.03781235072051</v>
      </c>
      <c r="L160" s="3716"/>
      <c r="M160" s="3716"/>
      <c r="N160" s="3764">
        <f>SUM(N136:N136)</f>
        <v>223.67982613926648</v>
      </c>
      <c r="O160" s="3716"/>
      <c r="P160" s="3716"/>
      <c r="Q160" s="3716"/>
      <c r="R160" s="3716"/>
      <c r="S160" s="3766">
        <f>SUM(S136:S137)</f>
        <v>716.72244533515095</v>
      </c>
    </row>
    <row r="161" spans="1:19" ht="15.75" thickBot="1" x14ac:dyDescent="0.25">
      <c r="A161" s="3809"/>
      <c r="B161" s="3767"/>
      <c r="C161" s="3754"/>
      <c r="D161" s="3754"/>
      <c r="E161" s="3754"/>
      <c r="F161" s="3754"/>
      <c r="G161" s="3754"/>
      <c r="H161" s="3754"/>
      <c r="I161" s="3754"/>
      <c r="J161" s="3754"/>
      <c r="K161" s="3754"/>
      <c r="L161" s="3754"/>
      <c r="M161" s="3754"/>
      <c r="N161" s="3754"/>
      <c r="O161" s="3754"/>
      <c r="P161" s="3754"/>
      <c r="Q161" s="3754"/>
      <c r="R161" s="3754"/>
      <c r="S161" s="3768"/>
    </row>
    <row r="162" spans="1:19" s="3676" customFormat="1" ht="24.75" thickTop="1" thickBot="1" x14ac:dyDescent="0.25">
      <c r="B162" s="3738" t="str">
        <f>'[6]B.VOL RAB'!C154</f>
        <v>Balok B1 (15 X 30) Elv. + 8.00</v>
      </c>
      <c r="C162" s="3724"/>
      <c r="D162" s="3724"/>
      <c r="E162" s="3724"/>
      <c r="F162" s="3724"/>
      <c r="G162" s="3724"/>
      <c r="H162" s="3724"/>
      <c r="I162" s="3724"/>
      <c r="J162" s="3724"/>
      <c r="K162" s="3724"/>
      <c r="L162" s="3724"/>
      <c r="M162" s="3724"/>
      <c r="N162" s="3724"/>
      <c r="O162" s="3724"/>
      <c r="P162" s="3724"/>
      <c r="Q162" s="3724"/>
      <c r="R162" s="3724"/>
      <c r="S162" s="3725"/>
    </row>
    <row r="163" spans="1:19" s="3697" customFormat="1" ht="21.75" thickTop="1" x14ac:dyDescent="0.2">
      <c r="A163" s="3799"/>
      <c r="B163" s="3800" t="s">
        <v>2222</v>
      </c>
      <c r="C163" s="3801" t="s">
        <v>2176</v>
      </c>
      <c r="D163" s="3741"/>
      <c r="E163" s="3742"/>
      <c r="F163" s="3808"/>
      <c r="G163" s="3691" t="s">
        <v>2163</v>
      </c>
      <c r="H163" s="3692" t="s">
        <v>2164</v>
      </c>
      <c r="I163" s="3693" t="s">
        <v>2199</v>
      </c>
      <c r="J163" s="3693"/>
      <c r="K163" s="3693"/>
      <c r="L163" s="3693" t="s">
        <v>2200</v>
      </c>
      <c r="M163" s="3693"/>
      <c r="N163" s="3693"/>
      <c r="O163" s="3693"/>
      <c r="P163" s="3693"/>
      <c r="Q163" s="3693"/>
      <c r="R163" s="3693"/>
      <c r="S163" s="3694"/>
    </row>
    <row r="164" spans="1:19" s="3676" customFormat="1" ht="30" x14ac:dyDescent="0.2">
      <c r="A164" s="3726"/>
      <c r="B164" s="3803"/>
      <c r="C164" s="3699" t="s">
        <v>608</v>
      </c>
      <c r="D164" s="3699" t="s">
        <v>699</v>
      </c>
      <c r="E164" s="3700" t="s">
        <v>2201</v>
      </c>
      <c r="F164" s="3699" t="s">
        <v>284</v>
      </c>
      <c r="G164" s="3699" t="s">
        <v>1755</v>
      </c>
      <c r="H164" s="3700" t="s">
        <v>2166</v>
      </c>
      <c r="I164" s="3699" t="s">
        <v>2202</v>
      </c>
      <c r="J164" s="3699" t="s">
        <v>2203</v>
      </c>
      <c r="K164" s="3699" t="s">
        <v>2204</v>
      </c>
      <c r="L164" s="3699" t="s">
        <v>2202</v>
      </c>
      <c r="M164" s="3699" t="s">
        <v>2203</v>
      </c>
      <c r="N164" s="3699" t="s">
        <v>2204</v>
      </c>
      <c r="O164" s="3701" t="s">
        <v>2205</v>
      </c>
      <c r="P164" s="3701"/>
      <c r="Q164" s="3701"/>
      <c r="R164" s="3699" t="s">
        <v>2206</v>
      </c>
      <c r="S164" s="3703" t="s">
        <v>2207</v>
      </c>
    </row>
    <row r="165" spans="1:19" s="3676" customFormat="1" x14ac:dyDescent="0.2">
      <c r="A165" s="3804"/>
      <c r="B165" s="3706" t="s">
        <v>2235</v>
      </c>
      <c r="C165" s="3707">
        <v>0.15</v>
      </c>
      <c r="D165" s="3707">
        <v>0.25</v>
      </c>
      <c r="E165" s="3708">
        <f>SUM(E167:E170)</f>
        <v>113</v>
      </c>
      <c r="F165" s="3711"/>
      <c r="G165" s="3708">
        <f>C165*D165*E165</f>
        <v>4.2374999999999998</v>
      </c>
      <c r="H165" s="3708">
        <f>(2*D165)*E165</f>
        <v>56.5</v>
      </c>
      <c r="I165" s="3711">
        <v>16</v>
      </c>
      <c r="J165" s="3711">
        <v>6</v>
      </c>
      <c r="K165" s="3708">
        <f>(0.25*PI()*(I165/1000)^2)*J165*$E165*7850</f>
        <v>1070.1119091328612</v>
      </c>
      <c r="L165" s="3711">
        <v>13</v>
      </c>
      <c r="M165" s="3711">
        <v>2</v>
      </c>
      <c r="N165" s="3708">
        <f>(0.25*PI()*(L165/1000)^2)*M165*$E165*7850</f>
        <v>235.48035500449674</v>
      </c>
      <c r="O165" s="3710">
        <v>8</v>
      </c>
      <c r="P165" s="3711" t="s">
        <v>805</v>
      </c>
      <c r="Q165" s="3712">
        <v>100</v>
      </c>
      <c r="R165" s="3713">
        <f>1+(E165*0.5)/(Q165/1000)</f>
        <v>566</v>
      </c>
      <c r="S165" s="3714">
        <f>(0.25*PI()*(O165/1000)^2)*(2*(C165+D165))*R165*7850</f>
        <v>178.66765208530956</v>
      </c>
    </row>
    <row r="166" spans="1:19" s="3719" customFormat="1" ht="15" x14ac:dyDescent="0.2">
      <c r="A166" s="3804"/>
      <c r="B166" s="3767"/>
      <c r="C166" s="3754"/>
      <c r="D166" s="3754"/>
      <c r="E166" s="3754"/>
      <c r="F166" s="3754"/>
      <c r="G166" s="3754"/>
      <c r="H166" s="3708">
        <f>C165*E165</f>
        <v>16.95</v>
      </c>
      <c r="I166" s="3754"/>
      <c r="J166" s="3754"/>
      <c r="K166" s="3754"/>
      <c r="L166" s="3754"/>
      <c r="M166" s="3754"/>
      <c r="N166" s="3754"/>
      <c r="O166" s="3710">
        <v>8</v>
      </c>
      <c r="P166" s="3711" t="s">
        <v>805</v>
      </c>
      <c r="Q166" s="3712">
        <v>150</v>
      </c>
      <c r="R166" s="3713">
        <f>1+(E165*0.5)/(Q166/1000)</f>
        <v>377.66666666666669</v>
      </c>
      <c r="S166" s="3714">
        <f>(0.25*PI()*(O166/1000)^2)*(2*(C165+D165))*R166*7850</f>
        <v>119.21699046681729</v>
      </c>
    </row>
    <row r="167" spans="1:19" s="3607" customFormat="1" x14ac:dyDescent="0.2">
      <c r="A167" s="3676"/>
      <c r="B167" s="3752" t="s">
        <v>2066</v>
      </c>
      <c r="C167" s="3758"/>
      <c r="D167" s="3758"/>
      <c r="E167" s="3708">
        <v>21</v>
      </c>
      <c r="F167" s="3758"/>
      <c r="G167" s="3758"/>
      <c r="H167" s="3758"/>
      <c r="I167" s="3758"/>
      <c r="J167" s="3758"/>
      <c r="K167" s="3758"/>
      <c r="L167" s="3758"/>
      <c r="M167" s="3758"/>
      <c r="N167" s="3758"/>
      <c r="O167" s="3710"/>
      <c r="P167" s="3711"/>
      <c r="Q167" s="3712"/>
      <c r="R167" s="3713"/>
      <c r="S167" s="3714"/>
    </row>
    <row r="168" spans="1:19" s="3607" customFormat="1" x14ac:dyDescent="0.2">
      <c r="A168" s="3676"/>
      <c r="B168" s="3752" t="s">
        <v>2072</v>
      </c>
      <c r="C168" s="3758"/>
      <c r="D168" s="3758"/>
      <c r="E168" s="3708">
        <v>21</v>
      </c>
      <c r="F168" s="3758"/>
      <c r="G168" s="3758"/>
      <c r="H168" s="3758"/>
      <c r="I168" s="3758"/>
      <c r="J168" s="3758"/>
      <c r="K168" s="3758"/>
      <c r="L168" s="3758"/>
      <c r="M168" s="3758"/>
      <c r="N168" s="3758"/>
      <c r="O168" s="3710"/>
      <c r="P168" s="3711"/>
      <c r="Q168" s="3712"/>
      <c r="R168" s="3713"/>
      <c r="S168" s="3714"/>
    </row>
    <row r="169" spans="1:19" s="3607" customFormat="1" x14ac:dyDescent="0.2">
      <c r="A169" s="3676"/>
      <c r="B169" s="3752" t="s">
        <v>2236</v>
      </c>
      <c r="C169" s="3758"/>
      <c r="D169" s="3758"/>
      <c r="E169" s="3708">
        <v>35.5</v>
      </c>
      <c r="F169" s="3758"/>
      <c r="G169" s="3758"/>
      <c r="H169" s="3758"/>
      <c r="I169" s="3758"/>
      <c r="J169" s="3758"/>
      <c r="K169" s="3758"/>
      <c r="L169" s="3758"/>
      <c r="M169" s="3758"/>
      <c r="N169" s="3758"/>
      <c r="O169" s="3710"/>
      <c r="P169" s="3711"/>
      <c r="Q169" s="3712"/>
      <c r="R169" s="3713"/>
      <c r="S169" s="3714"/>
    </row>
    <row r="170" spans="1:19" s="3607" customFormat="1" x14ac:dyDescent="0.2">
      <c r="A170" s="3676"/>
      <c r="B170" s="3752" t="s">
        <v>2211</v>
      </c>
      <c r="C170" s="3758"/>
      <c r="D170" s="3758"/>
      <c r="E170" s="3708">
        <v>35.5</v>
      </c>
      <c r="F170" s="3758"/>
      <c r="G170" s="3758"/>
      <c r="H170" s="3758"/>
      <c r="I170" s="3758"/>
      <c r="J170" s="3758"/>
      <c r="K170" s="3758"/>
      <c r="L170" s="3758"/>
      <c r="M170" s="3758"/>
      <c r="N170" s="3758"/>
      <c r="O170" s="3710"/>
      <c r="P170" s="3711"/>
      <c r="Q170" s="3712"/>
      <c r="R170" s="3713"/>
      <c r="S170" s="3714"/>
    </row>
    <row r="171" spans="1:19" s="3719" customFormat="1" ht="15" x14ac:dyDescent="0.2">
      <c r="A171" s="3804"/>
      <c r="B171" s="3767"/>
      <c r="C171" s="3754"/>
      <c r="D171" s="3754"/>
      <c r="E171" s="3806"/>
      <c r="F171" s="3754"/>
      <c r="G171" s="3754"/>
      <c r="H171" s="3708"/>
      <c r="I171" s="3754"/>
      <c r="J171" s="3754"/>
      <c r="K171" s="3754"/>
      <c r="L171" s="3754"/>
      <c r="M171" s="3754"/>
      <c r="N171" s="3754"/>
      <c r="O171" s="3710"/>
      <c r="P171" s="3711"/>
      <c r="Q171" s="3712"/>
      <c r="R171" s="3713"/>
      <c r="S171" s="3714"/>
    </row>
    <row r="172" spans="1:19" s="3719" customFormat="1" ht="15" x14ac:dyDescent="0.2">
      <c r="A172" s="3804"/>
      <c r="B172" s="3767"/>
      <c r="C172" s="3754"/>
      <c r="D172" s="3754"/>
      <c r="E172" s="3754"/>
      <c r="F172" s="3754"/>
      <c r="G172" s="3754"/>
      <c r="H172" s="3708"/>
      <c r="I172" s="3754"/>
      <c r="J172" s="3754"/>
      <c r="K172" s="3754"/>
      <c r="L172" s="3754"/>
      <c r="M172" s="3754"/>
      <c r="N172" s="3754"/>
      <c r="O172" s="3710"/>
      <c r="P172" s="3711"/>
      <c r="Q172" s="3712"/>
      <c r="R172" s="3713"/>
      <c r="S172" s="3714"/>
    </row>
    <row r="173" spans="1:19" ht="15" x14ac:dyDescent="0.2">
      <c r="A173" s="3804"/>
      <c r="B173" s="3715" t="s">
        <v>284</v>
      </c>
      <c r="C173" s="3716"/>
      <c r="D173" s="3716"/>
      <c r="E173" s="3716"/>
      <c r="F173" s="3756"/>
      <c r="G173" s="3764">
        <f>SUM(G165:G165)</f>
        <v>4.2374999999999998</v>
      </c>
      <c r="H173" s="3764">
        <f>SUM(H165:H165)</f>
        <v>56.5</v>
      </c>
      <c r="I173" s="3716"/>
      <c r="J173" s="3716"/>
      <c r="K173" s="3717">
        <f>SUM(K165:K166)</f>
        <v>1070.1119091328612</v>
      </c>
      <c r="L173" s="3716"/>
      <c r="M173" s="3716"/>
      <c r="N173" s="3764">
        <f>SUM(N165:N165)</f>
        <v>235.48035500449674</v>
      </c>
      <c r="O173" s="3716"/>
      <c r="P173" s="3716"/>
      <c r="Q173" s="3716"/>
      <c r="R173" s="3716"/>
      <c r="S173" s="3766">
        <f>SUM(S165:S166)</f>
        <v>297.88464255212682</v>
      </c>
    </row>
    <row r="174" spans="1:19" ht="13.5" thickBot="1" x14ac:dyDescent="0.25">
      <c r="A174" s="3810"/>
      <c r="B174" s="3767"/>
      <c r="C174" s="3754"/>
      <c r="D174" s="3754"/>
      <c r="E174" s="3754"/>
      <c r="F174" s="3754"/>
      <c r="G174" s="3754"/>
      <c r="H174" s="3754"/>
      <c r="I174" s="3754"/>
      <c r="J174" s="3754"/>
      <c r="K174" s="3754"/>
      <c r="L174" s="3754"/>
      <c r="M174" s="3754"/>
      <c r="N174" s="3754"/>
      <c r="O174" s="3754"/>
      <c r="P174" s="3754"/>
      <c r="Q174" s="3754"/>
      <c r="R174" s="3754"/>
      <c r="S174" s="3768"/>
    </row>
    <row r="175" spans="1:19" s="3676" customFormat="1" ht="24.75" thickTop="1" thickBot="1" x14ac:dyDescent="0.25">
      <c r="B175" s="3811" t="str">
        <f>'[6]B.VOL RAB'!C162</f>
        <v>Balok BK (15 X 30-20) Elv. + 8.00</v>
      </c>
      <c r="C175" s="3812"/>
      <c r="D175" s="3812"/>
      <c r="E175" s="3812"/>
      <c r="F175" s="3812"/>
      <c r="G175" s="3812"/>
      <c r="H175" s="3812"/>
      <c r="I175" s="3812"/>
      <c r="J175" s="3812"/>
      <c r="K175" s="3812"/>
      <c r="L175" s="3812"/>
      <c r="M175" s="3812"/>
      <c r="N175" s="3812"/>
      <c r="O175" s="3812"/>
      <c r="P175" s="3812"/>
      <c r="Q175" s="3812"/>
      <c r="R175" s="3812"/>
      <c r="S175" s="3813"/>
    </row>
    <row r="176" spans="1:19" s="3697" customFormat="1" ht="21.75" thickTop="1" x14ac:dyDescent="0.2">
      <c r="A176" s="3799"/>
      <c r="B176" s="3800" t="s">
        <v>2222</v>
      </c>
      <c r="C176" s="3801" t="s">
        <v>2176</v>
      </c>
      <c r="D176" s="3741"/>
      <c r="E176" s="3742"/>
      <c r="F176" s="3808"/>
      <c r="G176" s="3691" t="s">
        <v>2163</v>
      </c>
      <c r="H176" s="3692" t="s">
        <v>2164</v>
      </c>
      <c r="I176" s="3693" t="s">
        <v>2199</v>
      </c>
      <c r="J176" s="3693"/>
      <c r="K176" s="3693"/>
      <c r="L176" s="3693" t="s">
        <v>2200</v>
      </c>
      <c r="M176" s="3693"/>
      <c r="N176" s="3693"/>
      <c r="O176" s="3693"/>
      <c r="P176" s="3693"/>
      <c r="Q176" s="3693"/>
      <c r="R176" s="3693"/>
      <c r="S176" s="3694"/>
    </row>
    <row r="177" spans="1:19" s="3676" customFormat="1" ht="30" x14ac:dyDescent="0.2">
      <c r="A177" s="3726"/>
      <c r="B177" s="3803"/>
      <c r="C177" s="3699" t="s">
        <v>608</v>
      </c>
      <c r="D177" s="3699" t="s">
        <v>699</v>
      </c>
      <c r="E177" s="3700" t="s">
        <v>2201</v>
      </c>
      <c r="F177" s="3699" t="s">
        <v>284</v>
      </c>
      <c r="G177" s="3699" t="s">
        <v>1755</v>
      </c>
      <c r="H177" s="3700" t="s">
        <v>2166</v>
      </c>
      <c r="I177" s="3699" t="s">
        <v>2202</v>
      </c>
      <c r="J177" s="3699" t="s">
        <v>2203</v>
      </c>
      <c r="K177" s="3699" t="s">
        <v>2204</v>
      </c>
      <c r="L177" s="3699" t="s">
        <v>2202</v>
      </c>
      <c r="M177" s="3699" t="s">
        <v>2203</v>
      </c>
      <c r="N177" s="3699" t="s">
        <v>2204</v>
      </c>
      <c r="O177" s="3701" t="s">
        <v>2205</v>
      </c>
      <c r="P177" s="3701"/>
      <c r="Q177" s="3701"/>
      <c r="R177" s="3699" t="s">
        <v>2206</v>
      </c>
      <c r="S177" s="3703" t="s">
        <v>2207</v>
      </c>
    </row>
    <row r="178" spans="1:19" s="3676" customFormat="1" x14ac:dyDescent="0.2">
      <c r="A178" s="3804"/>
      <c r="B178" s="3706" t="s">
        <v>2231</v>
      </c>
      <c r="C178" s="3707">
        <v>0.2</v>
      </c>
      <c r="D178" s="3707">
        <v>0.3</v>
      </c>
      <c r="E178" s="3708">
        <f>SUM(E180:E181)</f>
        <v>44.800000000000004</v>
      </c>
      <c r="F178" s="3711"/>
      <c r="G178" s="3708">
        <f>C178*D178*E178</f>
        <v>2.6880000000000002</v>
      </c>
      <c r="H178" s="3708">
        <f>(2*D178)*E178</f>
        <v>26.880000000000003</v>
      </c>
      <c r="I178" s="3711">
        <v>13</v>
      </c>
      <c r="J178" s="3711">
        <v>4</v>
      </c>
      <c r="K178" s="3708">
        <f>(0.25*PI()*(I178/1000)^2)*J178*$E178*7850</f>
        <v>186.71716644604345</v>
      </c>
      <c r="L178" s="3711">
        <v>10</v>
      </c>
      <c r="M178" s="3711">
        <v>2</v>
      </c>
      <c r="N178" s="3708">
        <f>(0.25*PI()*(L178/1000)^2)*M178*$E178*7850</f>
        <v>55.241765220722925</v>
      </c>
      <c r="O178" s="3710">
        <v>10</v>
      </c>
      <c r="P178" s="3711" t="s">
        <v>805</v>
      </c>
      <c r="Q178" s="3712">
        <v>100</v>
      </c>
      <c r="R178" s="3713">
        <f>1+(E178*0.5)/(Q178/1000)</f>
        <v>225</v>
      </c>
      <c r="S178" s="3714">
        <f>(0.25*PI()*(O178/1000)^2)*(2*(C178+D178))*R178*7850</f>
        <v>138.72095061007431</v>
      </c>
    </row>
    <row r="179" spans="1:19" s="3719" customFormat="1" ht="15" x14ac:dyDescent="0.2">
      <c r="A179" s="3804"/>
      <c r="B179" s="3767"/>
      <c r="C179" s="3754"/>
      <c r="D179" s="3754"/>
      <c r="E179" s="3754"/>
      <c r="F179" s="3754"/>
      <c r="G179" s="3754"/>
      <c r="H179" s="3708">
        <f>C178*E178</f>
        <v>8.9600000000000009</v>
      </c>
      <c r="I179" s="3754"/>
      <c r="J179" s="3754"/>
      <c r="K179" s="3754"/>
      <c r="L179" s="3754"/>
      <c r="M179" s="3754"/>
      <c r="N179" s="3754"/>
      <c r="O179" s="3710">
        <v>10</v>
      </c>
      <c r="P179" s="3711" t="s">
        <v>805</v>
      </c>
      <c r="Q179" s="3712">
        <v>150</v>
      </c>
      <c r="R179" s="3713">
        <f>1+(E178*0.5)/(Q179/1000)</f>
        <v>150.33333333333334</v>
      </c>
      <c r="S179" s="3714">
        <f>(0.25*PI()*(O179/1000)^2)*(2*(C178+D178))*R179*7850</f>
        <v>92.686146259471869</v>
      </c>
    </row>
    <row r="180" spans="1:19" s="3719" customFormat="1" ht="15" x14ac:dyDescent="0.2">
      <c r="A180" s="3804"/>
      <c r="B180" s="3753"/>
      <c r="C180" s="3754"/>
      <c r="D180" s="3754"/>
      <c r="E180" s="3754"/>
      <c r="F180" s="3754"/>
      <c r="G180" s="3754"/>
      <c r="H180" s="3708"/>
      <c r="I180" s="3754"/>
      <c r="J180" s="3754"/>
      <c r="K180" s="3754"/>
      <c r="L180" s="3754"/>
      <c r="M180" s="3754"/>
      <c r="N180" s="3754"/>
      <c r="O180" s="3710"/>
      <c r="P180" s="3711"/>
      <c r="Q180" s="3712"/>
      <c r="R180" s="3713"/>
      <c r="S180" s="3714"/>
    </row>
    <row r="181" spans="1:19" s="3719" customFormat="1" ht="15" x14ac:dyDescent="0.2">
      <c r="A181" s="3804"/>
      <c r="B181" s="3753"/>
      <c r="C181" s="3707"/>
      <c r="D181" s="3707"/>
      <c r="E181" s="3708">
        <f>1.6*28</f>
        <v>44.800000000000004</v>
      </c>
      <c r="F181" s="3711"/>
      <c r="G181" s="3708"/>
      <c r="H181" s="3708"/>
      <c r="I181" s="3711"/>
      <c r="J181" s="3711"/>
      <c r="K181" s="3708"/>
      <c r="L181" s="3711"/>
      <c r="M181" s="3711"/>
      <c r="N181" s="3708"/>
      <c r="O181" s="3710"/>
      <c r="P181" s="3711"/>
      <c r="Q181" s="3712"/>
      <c r="R181" s="3713"/>
      <c r="S181" s="3714"/>
    </row>
    <row r="182" spans="1:19" s="3719" customFormat="1" ht="15" x14ac:dyDescent="0.2">
      <c r="A182" s="3804"/>
      <c r="B182" s="3767"/>
      <c r="C182" s="3754"/>
      <c r="D182" s="3754"/>
      <c r="E182" s="3754"/>
      <c r="F182" s="3754"/>
      <c r="G182" s="3754"/>
      <c r="H182" s="3708"/>
      <c r="I182" s="3754"/>
      <c r="J182" s="3754"/>
      <c r="K182" s="3754"/>
      <c r="L182" s="3754"/>
      <c r="M182" s="3754"/>
      <c r="N182" s="3754"/>
      <c r="O182" s="3710"/>
      <c r="P182" s="3711"/>
      <c r="Q182" s="3712"/>
      <c r="R182" s="3713"/>
      <c r="S182" s="3714"/>
    </row>
    <row r="183" spans="1:19" ht="15" x14ac:dyDescent="0.2">
      <c r="A183" s="3804"/>
      <c r="B183" s="3715" t="s">
        <v>284</v>
      </c>
      <c r="C183" s="3716"/>
      <c r="D183" s="3716"/>
      <c r="E183" s="3716"/>
      <c r="F183" s="3756"/>
      <c r="G183" s="3717">
        <f>SUM(G178:G178)</f>
        <v>2.6880000000000002</v>
      </c>
      <c r="H183" s="3717">
        <f>SUM(H178:H179)</f>
        <v>35.840000000000003</v>
      </c>
      <c r="I183" s="3716"/>
      <c r="J183" s="3716"/>
      <c r="K183" s="3717">
        <f>SUM(K178:K179)</f>
        <v>186.71716644604345</v>
      </c>
      <c r="L183" s="3716"/>
      <c r="M183" s="3716"/>
      <c r="N183" s="3717">
        <f>SUM(N178:N178)</f>
        <v>55.241765220722925</v>
      </c>
      <c r="O183" s="3716"/>
      <c r="P183" s="3716"/>
      <c r="Q183" s="3716"/>
      <c r="R183" s="3716"/>
      <c r="S183" s="3718">
        <f>SUM(S178:S179)</f>
        <v>231.40709686954619</v>
      </c>
    </row>
    <row r="184" spans="1:19" ht="15.75" thickBot="1" x14ac:dyDescent="0.25">
      <c r="A184" s="3809"/>
      <c r="B184" s="3767"/>
      <c r="C184" s="3754"/>
      <c r="D184" s="3754"/>
      <c r="E184" s="3754"/>
      <c r="F184" s="3754"/>
      <c r="G184" s="3754"/>
      <c r="H184" s="3754"/>
      <c r="I184" s="3754"/>
      <c r="J184" s="3754"/>
      <c r="K184" s="3754"/>
      <c r="L184" s="3754"/>
      <c r="M184" s="3754"/>
      <c r="N184" s="3754"/>
      <c r="O184" s="3754"/>
      <c r="P184" s="3754"/>
      <c r="Q184" s="3754"/>
      <c r="R184" s="3754"/>
      <c r="S184" s="3768"/>
    </row>
    <row r="185" spans="1:19" s="3676" customFormat="1" ht="24.75" thickTop="1" thickBot="1" x14ac:dyDescent="0.25">
      <c r="B185" s="3811" t="str">
        <f>'[6]B.VOL RAB'!C170</f>
        <v>Balok RB (15 X 35) Elv. + 8.00</v>
      </c>
      <c r="C185" s="3812"/>
      <c r="D185" s="3812"/>
      <c r="E185" s="3812"/>
      <c r="F185" s="3812"/>
      <c r="G185" s="3812"/>
      <c r="H185" s="3812"/>
      <c r="I185" s="3812"/>
      <c r="J185" s="3812"/>
      <c r="K185" s="3812"/>
      <c r="L185" s="3812"/>
      <c r="M185" s="3812"/>
      <c r="N185" s="3812"/>
      <c r="O185" s="3812"/>
      <c r="P185" s="3812"/>
      <c r="Q185" s="3812"/>
      <c r="R185" s="3812"/>
      <c r="S185" s="3813"/>
    </row>
    <row r="186" spans="1:19" s="3697" customFormat="1" ht="21.75" thickTop="1" x14ac:dyDescent="0.2">
      <c r="A186" s="3799"/>
      <c r="B186" s="3800" t="s">
        <v>2222</v>
      </c>
      <c r="C186" s="3801" t="s">
        <v>2176</v>
      </c>
      <c r="D186" s="3741"/>
      <c r="E186" s="3742"/>
      <c r="F186" s="3808"/>
      <c r="G186" s="3691" t="s">
        <v>2163</v>
      </c>
      <c r="H186" s="3692" t="s">
        <v>2164</v>
      </c>
      <c r="I186" s="3693" t="s">
        <v>2199</v>
      </c>
      <c r="J186" s="3693"/>
      <c r="K186" s="3693"/>
      <c r="L186" s="3693" t="s">
        <v>2200</v>
      </c>
      <c r="M186" s="3693"/>
      <c r="N186" s="3693"/>
      <c r="O186" s="3693"/>
      <c r="P186" s="3693"/>
      <c r="Q186" s="3693"/>
      <c r="R186" s="3693"/>
      <c r="S186" s="3694"/>
    </row>
    <row r="187" spans="1:19" s="3676" customFormat="1" ht="30" x14ac:dyDescent="0.2">
      <c r="A187" s="3726"/>
      <c r="B187" s="3803"/>
      <c r="C187" s="3699" t="s">
        <v>608</v>
      </c>
      <c r="D187" s="3699" t="s">
        <v>699</v>
      </c>
      <c r="E187" s="3700" t="s">
        <v>2201</v>
      </c>
      <c r="F187" s="3699" t="s">
        <v>284</v>
      </c>
      <c r="G187" s="3699" t="s">
        <v>1755</v>
      </c>
      <c r="H187" s="3700" t="s">
        <v>2166</v>
      </c>
      <c r="I187" s="3699" t="s">
        <v>2202</v>
      </c>
      <c r="J187" s="3699" t="s">
        <v>2203</v>
      </c>
      <c r="K187" s="3699" t="s">
        <v>2204</v>
      </c>
      <c r="L187" s="3699" t="s">
        <v>2202</v>
      </c>
      <c r="M187" s="3699" t="s">
        <v>2203</v>
      </c>
      <c r="N187" s="3699" t="s">
        <v>2204</v>
      </c>
      <c r="O187" s="3701" t="s">
        <v>2205</v>
      </c>
      <c r="P187" s="3701"/>
      <c r="Q187" s="3701"/>
      <c r="R187" s="3699" t="s">
        <v>2206</v>
      </c>
      <c r="S187" s="3703" t="s">
        <v>2207</v>
      </c>
    </row>
    <row r="188" spans="1:19" s="3676" customFormat="1" x14ac:dyDescent="0.2">
      <c r="A188" s="3804"/>
      <c r="B188" s="3706" t="s">
        <v>2231</v>
      </c>
      <c r="C188" s="3707">
        <v>0.15</v>
      </c>
      <c r="D188" s="3707">
        <v>0.3</v>
      </c>
      <c r="E188" s="3708">
        <f>SUM(E190:E194)</f>
        <v>126.79999999999998</v>
      </c>
      <c r="F188" s="3711"/>
      <c r="G188" s="3708">
        <f>C188*D188*E188</f>
        <v>5.7059999999999986</v>
      </c>
      <c r="H188" s="3708">
        <f>(2*D188)*E188</f>
        <v>76.079999999999984</v>
      </c>
      <c r="I188" s="3711">
        <v>13</v>
      </c>
      <c r="J188" s="3711">
        <v>4</v>
      </c>
      <c r="K188" s="3708">
        <f>(0.25*PI()*(I188/1000)^2)*J188*$E188*7850</f>
        <v>528.47626574460503</v>
      </c>
      <c r="L188" s="3711">
        <v>10</v>
      </c>
      <c r="M188" s="3711">
        <v>2</v>
      </c>
      <c r="N188" s="3708">
        <f>(0.25*PI()*(L188/1000)^2)*M188*$E188*7850</f>
        <v>156.35392477651038</v>
      </c>
      <c r="O188" s="3710">
        <v>10</v>
      </c>
      <c r="P188" s="3711" t="s">
        <v>805</v>
      </c>
      <c r="Q188" s="3712">
        <v>100</v>
      </c>
      <c r="R188" s="3713">
        <f>1+(E188*0.5)/(Q188/1000)</f>
        <v>634.99999999999989</v>
      </c>
      <c r="S188" s="3714">
        <f>(0.25*PI()*(O188/1000)^2)*(2*(C188+D188))*R188*7850</f>
        <v>352.35121454958863</v>
      </c>
    </row>
    <row r="189" spans="1:19" s="3719" customFormat="1" ht="15" x14ac:dyDescent="0.2">
      <c r="A189" s="3804"/>
      <c r="B189" s="3767"/>
      <c r="C189" s="3754"/>
      <c r="D189" s="3754"/>
      <c r="E189" s="3754"/>
      <c r="F189" s="3754"/>
      <c r="G189" s="3754"/>
      <c r="H189" s="3708">
        <f>C188*E188</f>
        <v>19.019999999999996</v>
      </c>
      <c r="I189" s="3754"/>
      <c r="J189" s="3754"/>
      <c r="K189" s="3754"/>
      <c r="L189" s="3754"/>
      <c r="M189" s="3754"/>
      <c r="N189" s="3754"/>
      <c r="O189" s="3710">
        <v>10</v>
      </c>
      <c r="P189" s="3711" t="s">
        <v>805</v>
      </c>
      <c r="Q189" s="3712">
        <v>150</v>
      </c>
      <c r="R189" s="3713">
        <f>1+(E188*0.5)/(Q189/1000)</f>
        <v>423.66666666666663</v>
      </c>
      <c r="S189" s="3714">
        <f>(0.25*PI()*(O189/1000)^2)*(2*(C188+D188))*R189*7850</f>
        <v>235.08577096720589</v>
      </c>
    </row>
    <row r="190" spans="1:19" s="3719" customFormat="1" ht="15" x14ac:dyDescent="0.2">
      <c r="A190" s="3804"/>
      <c r="B190" s="3753"/>
      <c r="C190" s="3754"/>
      <c r="D190" s="3754"/>
      <c r="E190" s="3754"/>
      <c r="F190" s="3754"/>
      <c r="G190" s="3754"/>
      <c r="H190" s="3708"/>
      <c r="I190" s="3754"/>
      <c r="J190" s="3754"/>
      <c r="K190" s="3754"/>
      <c r="L190" s="3754"/>
      <c r="M190" s="3754"/>
      <c r="N190" s="3754"/>
      <c r="O190" s="3710"/>
      <c r="P190" s="3711"/>
      <c r="Q190" s="3712"/>
      <c r="R190" s="3713"/>
      <c r="S190" s="3714"/>
    </row>
    <row r="191" spans="1:19" s="3719" customFormat="1" ht="15" x14ac:dyDescent="0.2">
      <c r="A191" s="3804"/>
      <c r="B191" s="3814" t="s">
        <v>2237</v>
      </c>
      <c r="C191" s="3707"/>
      <c r="D191" s="3707"/>
      <c r="E191" s="3708">
        <v>38.799999999999997</v>
      </c>
      <c r="F191" s="3711"/>
      <c r="G191" s="3708"/>
      <c r="H191" s="3708"/>
      <c r="I191" s="3711"/>
      <c r="J191" s="3711"/>
      <c r="K191" s="3708"/>
      <c r="L191" s="3711"/>
      <c r="M191" s="3711"/>
      <c r="N191" s="3708"/>
      <c r="O191" s="3710"/>
      <c r="P191" s="3711"/>
      <c r="Q191" s="3712"/>
      <c r="R191" s="3713"/>
      <c r="S191" s="3714"/>
    </row>
    <row r="192" spans="1:19" s="3719" customFormat="1" ht="15" x14ac:dyDescent="0.2">
      <c r="A192" s="3804"/>
      <c r="B192" s="3814" t="s">
        <v>2238</v>
      </c>
      <c r="C192" s="3707"/>
      <c r="D192" s="3707"/>
      <c r="E192" s="3708">
        <v>38.799999999999997</v>
      </c>
      <c r="F192" s="3711"/>
      <c r="G192" s="3708"/>
      <c r="H192" s="3708"/>
      <c r="I192" s="3711"/>
      <c r="J192" s="3711"/>
      <c r="K192" s="3708"/>
      <c r="L192" s="3711"/>
      <c r="M192" s="3711"/>
      <c r="N192" s="3708"/>
      <c r="O192" s="3710"/>
      <c r="P192" s="3711"/>
      <c r="Q192" s="3712"/>
      <c r="R192" s="3713"/>
      <c r="S192" s="3714"/>
    </row>
    <row r="193" spans="1:19" s="3719" customFormat="1" ht="15" x14ac:dyDescent="0.2">
      <c r="A193" s="3804"/>
      <c r="B193" s="3814" t="s">
        <v>2239</v>
      </c>
      <c r="C193" s="3707"/>
      <c r="D193" s="3707"/>
      <c r="E193" s="3708">
        <v>24.6</v>
      </c>
      <c r="F193" s="3711"/>
      <c r="G193" s="3708"/>
      <c r="H193" s="3708"/>
      <c r="I193" s="3711"/>
      <c r="J193" s="3711"/>
      <c r="K193" s="3708"/>
      <c r="L193" s="3711"/>
      <c r="M193" s="3711"/>
      <c r="N193" s="3708"/>
      <c r="O193" s="3710"/>
      <c r="P193" s="3711"/>
      <c r="Q193" s="3712"/>
      <c r="R193" s="3713"/>
      <c r="S193" s="3714"/>
    </row>
    <row r="194" spans="1:19" s="3719" customFormat="1" ht="15" x14ac:dyDescent="0.2">
      <c r="A194" s="3804"/>
      <c r="B194" s="3814" t="s">
        <v>2240</v>
      </c>
      <c r="C194" s="3707"/>
      <c r="D194" s="3707"/>
      <c r="E194" s="3708">
        <v>24.6</v>
      </c>
      <c r="F194" s="3711"/>
      <c r="G194" s="3708"/>
      <c r="H194" s="3708"/>
      <c r="I194" s="3711"/>
      <c r="J194" s="3711"/>
      <c r="K194" s="3708"/>
      <c r="L194" s="3711"/>
      <c r="M194" s="3711"/>
      <c r="N194" s="3708"/>
      <c r="O194" s="3710"/>
      <c r="P194" s="3711"/>
      <c r="Q194" s="3712"/>
      <c r="R194" s="3713"/>
      <c r="S194" s="3714"/>
    </row>
    <row r="195" spans="1:19" s="3719" customFormat="1" ht="15" x14ac:dyDescent="0.2">
      <c r="A195" s="3804"/>
      <c r="B195" s="3767"/>
      <c r="C195" s="3754"/>
      <c r="D195" s="3754"/>
      <c r="E195" s="3754"/>
      <c r="F195" s="3754"/>
      <c r="G195" s="3754"/>
      <c r="H195" s="3708"/>
      <c r="I195" s="3754"/>
      <c r="J195" s="3754"/>
      <c r="K195" s="3754"/>
      <c r="L195" s="3754"/>
      <c r="M195" s="3754"/>
      <c r="N195" s="3754"/>
      <c r="O195" s="3710"/>
      <c r="P195" s="3711"/>
      <c r="Q195" s="3712"/>
      <c r="R195" s="3713"/>
      <c r="S195" s="3714"/>
    </row>
    <row r="196" spans="1:19" ht="15" x14ac:dyDescent="0.2">
      <c r="A196" s="3804"/>
      <c r="B196" s="3715" t="s">
        <v>284</v>
      </c>
      <c r="C196" s="3716"/>
      <c r="D196" s="3716"/>
      <c r="E196" s="3716"/>
      <c r="F196" s="3756"/>
      <c r="G196" s="3717">
        <f>SUM(G188:G188)</f>
        <v>5.7059999999999986</v>
      </c>
      <c r="H196" s="3717">
        <f>SUM(H188:H189)</f>
        <v>95.09999999999998</v>
      </c>
      <c r="I196" s="3716"/>
      <c r="J196" s="3716"/>
      <c r="K196" s="3717">
        <f>SUM(K188:K189)</f>
        <v>528.47626574460503</v>
      </c>
      <c r="L196" s="3716"/>
      <c r="M196" s="3716"/>
      <c r="N196" s="3717">
        <f>SUM(N188:N188)</f>
        <v>156.35392477651038</v>
      </c>
      <c r="O196" s="3716"/>
      <c r="P196" s="3716"/>
      <c r="Q196" s="3716"/>
      <c r="R196" s="3716"/>
      <c r="S196" s="3718">
        <f>SUM(S188:S189)</f>
        <v>587.43698551679449</v>
      </c>
    </row>
    <row r="197" spans="1:19" ht="15" x14ac:dyDescent="0.2">
      <c r="A197" s="3809"/>
      <c r="B197" s="3767"/>
      <c r="C197" s="3754"/>
      <c r="D197" s="3754"/>
      <c r="E197" s="3754"/>
      <c r="F197" s="3754"/>
      <c r="G197" s="3754"/>
      <c r="H197" s="3754"/>
      <c r="I197" s="3754"/>
      <c r="J197" s="3754"/>
      <c r="K197" s="3754"/>
      <c r="L197" s="3754"/>
      <c r="M197" s="3754"/>
      <c r="N197" s="3754"/>
      <c r="O197" s="3754"/>
      <c r="P197" s="3754"/>
      <c r="Q197" s="3754"/>
      <c r="R197" s="3754"/>
      <c r="S197" s="3768"/>
    </row>
    <row r="198" spans="1:19" ht="13.5" thickBot="1" x14ac:dyDescent="0.25">
      <c r="A198" s="3815"/>
      <c r="B198" s="3816"/>
      <c r="C198" s="3817"/>
      <c r="D198" s="3817"/>
      <c r="E198" s="3817"/>
      <c r="F198" s="3817"/>
      <c r="G198" s="3817"/>
      <c r="H198" s="3817"/>
      <c r="I198" s="3817"/>
      <c r="J198" s="3817"/>
      <c r="K198" s="3817"/>
      <c r="L198" s="3817"/>
      <c r="M198" s="3817"/>
      <c r="N198" s="3817"/>
      <c r="O198" s="3817"/>
      <c r="P198" s="3817"/>
      <c r="Q198" s="3817"/>
      <c r="R198" s="3817"/>
      <c r="S198" s="3818"/>
    </row>
    <row r="199" spans="1:19" ht="13.5" thickTop="1" x14ac:dyDescent="0.2"/>
    <row r="200" spans="1:19" ht="13.5" thickBot="1" x14ac:dyDescent="0.25"/>
    <row r="201" spans="1:19" ht="18.75" thickBot="1" x14ac:dyDescent="0.3">
      <c r="A201" s="3798"/>
      <c r="B201" s="3682" t="s">
        <v>2241</v>
      </c>
      <c r="C201" s="3683"/>
      <c r="D201" s="3683"/>
      <c r="E201" s="3683"/>
      <c r="F201" s="3683"/>
      <c r="G201" s="3683"/>
      <c r="H201" s="3683"/>
      <c r="I201" s="3683"/>
      <c r="J201" s="3683"/>
      <c r="K201" s="3683"/>
      <c r="L201" s="3683"/>
      <c r="M201" s="3683"/>
      <c r="N201" s="3683"/>
      <c r="O201" s="3683"/>
      <c r="P201" s="3683"/>
      <c r="Q201" s="3683"/>
      <c r="R201" s="3683"/>
      <c r="S201" s="3684"/>
    </row>
    <row r="202" spans="1:19" s="3676" customFormat="1" ht="24.75" thickTop="1" thickBot="1" x14ac:dyDescent="0.25">
      <c r="B202" s="3738" t="str">
        <f>'[6]B.VOL RAB'!C670</f>
        <v>PEKERJAAN SLOOF (15 X 20)</v>
      </c>
      <c r="C202" s="3724"/>
      <c r="D202" s="3724"/>
      <c r="E202" s="3724"/>
      <c r="F202" s="3724"/>
      <c r="G202" s="3724"/>
      <c r="H202" s="3724"/>
      <c r="I202" s="3724"/>
      <c r="J202" s="3724"/>
      <c r="K202" s="3724"/>
      <c r="L202" s="3724"/>
      <c r="M202" s="3724"/>
      <c r="N202" s="3724"/>
      <c r="O202" s="3724"/>
      <c r="P202" s="3724"/>
      <c r="Q202" s="3724"/>
      <c r="R202" s="3724"/>
      <c r="S202" s="3725"/>
    </row>
    <row r="203" spans="1:19" s="3697" customFormat="1" ht="21.75" thickTop="1" x14ac:dyDescent="0.2">
      <c r="A203" s="3799"/>
      <c r="B203" s="3800" t="s">
        <v>2222</v>
      </c>
      <c r="C203" s="3801" t="s">
        <v>2176</v>
      </c>
      <c r="D203" s="3741"/>
      <c r="E203" s="3742"/>
      <c r="F203" s="3802"/>
      <c r="G203" s="3691" t="s">
        <v>2163</v>
      </c>
      <c r="H203" s="3692" t="s">
        <v>2164</v>
      </c>
      <c r="I203" s="3693" t="s">
        <v>2199</v>
      </c>
      <c r="J203" s="3693"/>
      <c r="K203" s="3693"/>
      <c r="L203" s="3693" t="s">
        <v>2200</v>
      </c>
      <c r="M203" s="3693"/>
      <c r="N203" s="3693"/>
      <c r="O203" s="3693"/>
      <c r="P203" s="3693"/>
      <c r="Q203" s="3693"/>
      <c r="R203" s="3693"/>
      <c r="S203" s="3694"/>
    </row>
    <row r="204" spans="1:19" s="3676" customFormat="1" ht="30" x14ac:dyDescent="0.2">
      <c r="A204" s="3726"/>
      <c r="B204" s="3803"/>
      <c r="C204" s="3699" t="s">
        <v>608</v>
      </c>
      <c r="D204" s="3699" t="s">
        <v>699</v>
      </c>
      <c r="E204" s="3700" t="s">
        <v>2201</v>
      </c>
      <c r="F204" s="3699" t="s">
        <v>284</v>
      </c>
      <c r="G204" s="3699" t="s">
        <v>1755</v>
      </c>
      <c r="H204" s="3700" t="s">
        <v>2166</v>
      </c>
      <c r="I204" s="3699" t="s">
        <v>2202</v>
      </c>
      <c r="J204" s="3699" t="s">
        <v>2203</v>
      </c>
      <c r="K204" s="3699" t="s">
        <v>2204</v>
      </c>
      <c r="L204" s="3699" t="s">
        <v>2202</v>
      </c>
      <c r="M204" s="3699" t="s">
        <v>2203</v>
      </c>
      <c r="N204" s="3699" t="s">
        <v>2204</v>
      </c>
      <c r="O204" s="3701" t="s">
        <v>2205</v>
      </c>
      <c r="P204" s="3701"/>
      <c r="Q204" s="3701"/>
      <c r="R204" s="3699" t="s">
        <v>2206</v>
      </c>
      <c r="S204" s="3703" t="s">
        <v>2207</v>
      </c>
    </row>
    <row r="205" spans="1:19" s="3676" customFormat="1" x14ac:dyDescent="0.2">
      <c r="A205" s="3804"/>
      <c r="B205" s="3706" t="s">
        <v>2213</v>
      </c>
      <c r="C205" s="3707">
        <v>0.15</v>
      </c>
      <c r="D205" s="3707">
        <v>0.2</v>
      </c>
      <c r="E205" s="3708">
        <f>SUM(E207:E213)</f>
        <v>40</v>
      </c>
      <c r="F205" s="3711"/>
      <c r="G205" s="3708">
        <f>C205*D205*E205</f>
        <v>1.2</v>
      </c>
      <c r="H205" s="3708">
        <f>(2*D205)*E205</f>
        <v>16</v>
      </c>
      <c r="I205" s="3711">
        <v>0</v>
      </c>
      <c r="J205" s="3711">
        <v>0</v>
      </c>
      <c r="K205" s="3708">
        <f>(0.25*PI()*(I205/1000)^2)*J205*$E205*7850</f>
        <v>0</v>
      </c>
      <c r="L205" s="3711">
        <v>12</v>
      </c>
      <c r="M205" s="3711">
        <v>4</v>
      </c>
      <c r="N205" s="3708">
        <f>(0.25*PI()*(L205/1000)^2)*M205*$E205*7850</f>
        <v>142.05025342471609</v>
      </c>
      <c r="O205" s="3710">
        <v>8</v>
      </c>
      <c r="P205" s="3711" t="s">
        <v>805</v>
      </c>
      <c r="Q205" s="3712">
        <v>100</v>
      </c>
      <c r="R205" s="3713">
        <f>1+(E205*0.5)/(Q205/1000)</f>
        <v>201</v>
      </c>
      <c r="S205" s="3714">
        <f>(0.25*PI()*(O205/1000)^2)*(2*(C205+D205))*R205*7850</f>
        <v>55.517974046826531</v>
      </c>
    </row>
    <row r="206" spans="1:19" s="3719" customFormat="1" ht="15" x14ac:dyDescent="0.2">
      <c r="A206" s="3804"/>
      <c r="B206" s="3767"/>
      <c r="C206" s="3754"/>
      <c r="D206" s="3754"/>
      <c r="E206" s="3754"/>
      <c r="F206" s="3754"/>
      <c r="G206" s="3754"/>
      <c r="H206" s="3708">
        <f>C205*E205</f>
        <v>6</v>
      </c>
      <c r="I206" s="3754"/>
      <c r="J206" s="3754"/>
      <c r="K206" s="3754"/>
      <c r="L206" s="3754"/>
      <c r="M206" s="3754"/>
      <c r="N206" s="3754"/>
      <c r="O206" s="3710">
        <v>8</v>
      </c>
      <c r="P206" s="3711" t="s">
        <v>805</v>
      </c>
      <c r="Q206" s="3712">
        <v>150</v>
      </c>
      <c r="R206" s="3713">
        <f>1+(E205*0.5)/(Q206/1000)</f>
        <v>134.33333333333334</v>
      </c>
      <c r="S206" s="3714">
        <f>(0.25*PI()*(O206/1000)^2)*(2*(C205+D205))*R206*7850</f>
        <v>37.104052306585565</v>
      </c>
    </row>
    <row r="207" spans="1:19" s="3719" customFormat="1" ht="15" x14ac:dyDescent="0.2">
      <c r="A207" s="3804"/>
      <c r="B207" s="3819" t="s">
        <v>2073</v>
      </c>
      <c r="C207" s="3754"/>
      <c r="D207" s="3754"/>
      <c r="E207" s="3754">
        <v>10</v>
      </c>
      <c r="F207" s="3754"/>
      <c r="G207" s="3754"/>
      <c r="H207" s="3708"/>
      <c r="I207" s="3754"/>
      <c r="J207" s="3754"/>
      <c r="K207" s="3754"/>
      <c r="L207" s="3754"/>
      <c r="M207" s="3754"/>
      <c r="N207" s="3754"/>
      <c r="O207" s="3710"/>
      <c r="P207" s="3711"/>
      <c r="Q207" s="3712"/>
      <c r="R207" s="3713"/>
      <c r="S207" s="3714"/>
    </row>
    <row r="208" spans="1:19" s="3719" customFormat="1" ht="15" x14ac:dyDescent="0.2">
      <c r="A208" s="3804"/>
      <c r="B208" s="3819" t="s">
        <v>2209</v>
      </c>
      <c r="C208" s="3754"/>
      <c r="D208" s="3754"/>
      <c r="E208" s="3754">
        <v>8</v>
      </c>
      <c r="F208" s="3754"/>
      <c r="G208" s="3754"/>
      <c r="H208" s="3708"/>
      <c r="I208" s="3754"/>
      <c r="J208" s="3754"/>
      <c r="K208" s="3754"/>
      <c r="L208" s="3754"/>
      <c r="M208" s="3754"/>
      <c r="N208" s="3754"/>
      <c r="O208" s="3710"/>
      <c r="P208" s="3711"/>
      <c r="Q208" s="3712"/>
      <c r="R208" s="3713"/>
      <c r="S208" s="3714"/>
    </row>
    <row r="209" spans="1:19" s="3719" customFormat="1" ht="15" x14ac:dyDescent="0.2">
      <c r="A209" s="3804"/>
      <c r="B209" s="3819" t="s">
        <v>2092</v>
      </c>
      <c r="C209" s="3754"/>
      <c r="D209" s="3754"/>
      <c r="E209" s="3754">
        <v>6</v>
      </c>
      <c r="F209" s="3754"/>
      <c r="G209" s="3754"/>
      <c r="H209" s="3708"/>
      <c r="I209" s="3754"/>
      <c r="J209" s="3754"/>
      <c r="K209" s="3754"/>
      <c r="L209" s="3754"/>
      <c r="M209" s="3754"/>
      <c r="N209" s="3754"/>
      <c r="O209" s="3710"/>
      <c r="P209" s="3711"/>
      <c r="Q209" s="3712"/>
      <c r="R209" s="3713"/>
      <c r="S209" s="3714"/>
    </row>
    <row r="210" spans="1:19" s="3719" customFormat="1" ht="15" x14ac:dyDescent="0.2">
      <c r="A210" s="3804"/>
      <c r="B210" s="3819" t="s">
        <v>2214</v>
      </c>
      <c r="C210" s="3754"/>
      <c r="D210" s="3754"/>
      <c r="E210" s="3754">
        <v>6</v>
      </c>
      <c r="F210" s="3754"/>
      <c r="G210" s="3754"/>
      <c r="H210" s="3708"/>
      <c r="I210" s="3754"/>
      <c r="J210" s="3754"/>
      <c r="K210" s="3754"/>
      <c r="L210" s="3754"/>
      <c r="M210" s="3754"/>
      <c r="N210" s="3754"/>
      <c r="O210" s="3710"/>
      <c r="P210" s="3711"/>
      <c r="Q210" s="3712"/>
      <c r="R210" s="3713"/>
      <c r="S210" s="3714"/>
    </row>
    <row r="211" spans="1:19" s="3719" customFormat="1" ht="15" x14ac:dyDescent="0.2">
      <c r="A211" s="3804"/>
      <c r="B211" s="3819" t="s">
        <v>2215</v>
      </c>
      <c r="C211" s="3754"/>
      <c r="D211" s="3754"/>
      <c r="E211" s="3754">
        <v>2</v>
      </c>
      <c r="F211" s="3754"/>
      <c r="G211" s="3754"/>
      <c r="H211" s="3708"/>
      <c r="I211" s="3754"/>
      <c r="J211" s="3754"/>
      <c r="K211" s="3754"/>
      <c r="L211" s="3754"/>
      <c r="M211" s="3754"/>
      <c r="N211" s="3754"/>
      <c r="O211" s="3710"/>
      <c r="P211" s="3711"/>
      <c r="Q211" s="3712"/>
      <c r="R211" s="3713"/>
      <c r="S211" s="3714"/>
    </row>
    <row r="212" spans="1:19" s="3719" customFormat="1" ht="15" x14ac:dyDescent="0.2">
      <c r="A212" s="3804"/>
      <c r="B212" s="3819" t="s">
        <v>2066</v>
      </c>
      <c r="C212" s="3754"/>
      <c r="D212" s="3754"/>
      <c r="E212" s="3754">
        <v>2</v>
      </c>
      <c r="F212" s="3754"/>
      <c r="G212" s="3754"/>
      <c r="H212" s="3708"/>
      <c r="I212" s="3754"/>
      <c r="J212" s="3754"/>
      <c r="K212" s="3754"/>
      <c r="L212" s="3754"/>
      <c r="M212" s="3754"/>
      <c r="N212" s="3754"/>
      <c r="O212" s="3710"/>
      <c r="P212" s="3711"/>
      <c r="Q212" s="3712"/>
      <c r="R212" s="3713"/>
      <c r="S212" s="3714"/>
    </row>
    <row r="213" spans="1:19" s="3719" customFormat="1" ht="15" x14ac:dyDescent="0.2">
      <c r="A213" s="3804"/>
      <c r="B213" s="3819" t="s">
        <v>2068</v>
      </c>
      <c r="C213" s="3754"/>
      <c r="D213" s="3754"/>
      <c r="E213" s="3754">
        <v>6</v>
      </c>
      <c r="F213" s="3754"/>
      <c r="G213" s="3754"/>
      <c r="H213" s="3708"/>
      <c r="I213" s="3754"/>
      <c r="J213" s="3754"/>
      <c r="K213" s="3754"/>
      <c r="L213" s="3754"/>
      <c r="M213" s="3754"/>
      <c r="N213" s="3754"/>
      <c r="O213" s="3710"/>
      <c r="P213" s="3711"/>
      <c r="Q213" s="3712"/>
      <c r="R213" s="3713"/>
      <c r="S213" s="3714"/>
    </row>
    <row r="214" spans="1:19" s="3719" customFormat="1" ht="15" x14ac:dyDescent="0.2">
      <c r="A214" s="3804"/>
      <c r="B214" s="3767"/>
      <c r="C214" s="3754"/>
      <c r="D214" s="3754"/>
      <c r="E214" s="3806"/>
      <c r="F214" s="3754"/>
      <c r="G214" s="3754"/>
      <c r="H214" s="3708"/>
      <c r="I214" s="3754"/>
      <c r="J214" s="3754"/>
      <c r="K214" s="3754"/>
      <c r="L214" s="3754"/>
      <c r="M214" s="3754"/>
      <c r="N214" s="3754"/>
      <c r="O214" s="3710"/>
      <c r="P214" s="3711"/>
      <c r="Q214" s="3712"/>
      <c r="R214" s="3713"/>
      <c r="S214" s="3714"/>
    </row>
    <row r="215" spans="1:19" ht="15" x14ac:dyDescent="0.2">
      <c r="A215" s="3804"/>
      <c r="B215" s="3715" t="s">
        <v>284</v>
      </c>
      <c r="C215" s="3716"/>
      <c r="D215" s="3716"/>
      <c r="E215" s="3716"/>
      <c r="F215" s="3756"/>
      <c r="G215" s="3764">
        <f>SUM(G205:G205)</f>
        <v>1.2</v>
      </c>
      <c r="H215" s="3764">
        <f>SUM(H205:H206)</f>
        <v>22</v>
      </c>
      <c r="I215" s="3716"/>
      <c r="J215" s="3716"/>
      <c r="K215" s="3717">
        <f>SUM(K205:K206)</f>
        <v>0</v>
      </c>
      <c r="L215" s="3716"/>
      <c r="M215" s="3716"/>
      <c r="N215" s="3764">
        <f>SUM(N205:N205)</f>
        <v>142.05025342471609</v>
      </c>
      <c r="O215" s="3716"/>
      <c r="P215" s="3716"/>
      <c r="Q215" s="3716"/>
      <c r="R215" s="3716"/>
      <c r="S215" s="3766">
        <f>SUM(S205:S206)</f>
        <v>92.622026353412096</v>
      </c>
    </row>
    <row r="216" spans="1:19" ht="13.5" thickBot="1" x14ac:dyDescent="0.25">
      <c r="A216" s="3804"/>
      <c r="B216" s="3767"/>
      <c r="C216" s="3754"/>
      <c r="D216" s="3754"/>
      <c r="E216" s="3754"/>
      <c r="F216" s="3754"/>
      <c r="G216" s="3754"/>
      <c r="H216" s="3754"/>
      <c r="I216" s="3754"/>
      <c r="J216" s="3754"/>
      <c r="K216" s="3754"/>
      <c r="L216" s="3754"/>
      <c r="M216" s="3754"/>
      <c r="N216" s="3754"/>
      <c r="O216" s="3754"/>
      <c r="P216" s="3754"/>
      <c r="Q216" s="3754"/>
      <c r="R216" s="3754"/>
      <c r="S216" s="3768"/>
    </row>
    <row r="217" spans="1:19" s="3676" customFormat="1" ht="24.75" thickTop="1" thickBot="1" x14ac:dyDescent="0.25">
      <c r="B217" s="3738" t="str">
        <f>'[6]B.VOL RAB'!C675</f>
        <v>PEKERJAAN KOLOM (15x15)</v>
      </c>
      <c r="C217" s="3724"/>
      <c r="D217" s="3724"/>
      <c r="E217" s="3724"/>
      <c r="F217" s="3724"/>
      <c r="G217" s="3724"/>
      <c r="H217" s="3724"/>
      <c r="I217" s="3724"/>
      <c r="J217" s="3724"/>
      <c r="K217" s="3724"/>
      <c r="L217" s="3724"/>
      <c r="M217" s="3724"/>
      <c r="N217" s="3724"/>
      <c r="O217" s="3724"/>
      <c r="P217" s="3724"/>
      <c r="Q217" s="3724"/>
      <c r="R217" s="3724"/>
      <c r="S217" s="3725"/>
    </row>
    <row r="218" spans="1:19" s="3697" customFormat="1" ht="21.75" thickTop="1" x14ac:dyDescent="0.2">
      <c r="A218" s="3799"/>
      <c r="B218" s="3800" t="s">
        <v>2222</v>
      </c>
      <c r="C218" s="3801" t="s">
        <v>2176</v>
      </c>
      <c r="D218" s="3741"/>
      <c r="E218" s="3742"/>
      <c r="F218" s="3802"/>
      <c r="G218" s="3691" t="s">
        <v>2163</v>
      </c>
      <c r="H218" s="3692" t="s">
        <v>2164</v>
      </c>
      <c r="I218" s="3693" t="s">
        <v>2199</v>
      </c>
      <c r="J218" s="3693"/>
      <c r="K218" s="3693"/>
      <c r="L218" s="3693" t="s">
        <v>2200</v>
      </c>
      <c r="M218" s="3693"/>
      <c r="N218" s="3693"/>
      <c r="O218" s="3693"/>
      <c r="P218" s="3693"/>
      <c r="Q218" s="3693"/>
      <c r="R218" s="3693"/>
      <c r="S218" s="3694"/>
    </row>
    <row r="219" spans="1:19" s="3676" customFormat="1" ht="30" x14ac:dyDescent="0.2">
      <c r="A219" s="3726"/>
      <c r="B219" s="3803"/>
      <c r="C219" s="3699" t="s">
        <v>608</v>
      </c>
      <c r="D219" s="3699" t="s">
        <v>699</v>
      </c>
      <c r="E219" s="3700" t="s">
        <v>2201</v>
      </c>
      <c r="F219" s="3699" t="s">
        <v>284</v>
      </c>
      <c r="G219" s="3699" t="s">
        <v>1755</v>
      </c>
      <c r="H219" s="3700" t="s">
        <v>2166</v>
      </c>
      <c r="I219" s="3699" t="s">
        <v>2202</v>
      </c>
      <c r="J219" s="3699" t="s">
        <v>2203</v>
      </c>
      <c r="K219" s="3699" t="s">
        <v>2204</v>
      </c>
      <c r="L219" s="3699" t="s">
        <v>2202</v>
      </c>
      <c r="M219" s="3699" t="s">
        <v>2203</v>
      </c>
      <c r="N219" s="3699" t="s">
        <v>2204</v>
      </c>
      <c r="O219" s="3701" t="s">
        <v>2205</v>
      </c>
      <c r="P219" s="3701"/>
      <c r="Q219" s="3701"/>
      <c r="R219" s="3699" t="s">
        <v>2206</v>
      </c>
      <c r="S219" s="3703" t="s">
        <v>2207</v>
      </c>
    </row>
    <row r="220" spans="1:19" s="3676" customFormat="1" x14ac:dyDescent="0.2">
      <c r="A220" s="3804"/>
      <c r="B220" s="3706" t="s">
        <v>2242</v>
      </c>
      <c r="C220" s="3707">
        <v>0.15</v>
      </c>
      <c r="D220" s="3707">
        <v>0.15</v>
      </c>
      <c r="E220" s="3708">
        <v>4</v>
      </c>
      <c r="F220" s="3711">
        <v>4</v>
      </c>
      <c r="G220" s="3708">
        <f>C220*D220*E220*F220</f>
        <v>0.36</v>
      </c>
      <c r="H220" s="3708">
        <f>(2*D220)*E220</f>
        <v>1.2</v>
      </c>
      <c r="I220" s="3711">
        <v>0</v>
      </c>
      <c r="J220" s="3711">
        <v>0</v>
      </c>
      <c r="K220" s="3708">
        <f>(0.25*PI()*(I220/1000)^2)*J220*$E220*F220*7850</f>
        <v>0</v>
      </c>
      <c r="L220" s="3711">
        <v>12</v>
      </c>
      <c r="M220" s="3711">
        <v>4</v>
      </c>
      <c r="N220" s="3708">
        <f>(0.25*PI()*(L220/1000)^2)*M220*$E220*F220*7850</f>
        <v>56.82010136988643</v>
      </c>
      <c r="O220" s="3710">
        <v>8</v>
      </c>
      <c r="P220" s="3711" t="s">
        <v>805</v>
      </c>
      <c r="Q220" s="3712">
        <v>100</v>
      </c>
      <c r="R220" s="3713">
        <f>1+(E220*0.5)/(Q220/1000)</f>
        <v>21</v>
      </c>
      <c r="S220" s="3714">
        <f>(0.25*PI()*(O220/1000)^2)*(2*(C220+D220))*R220*7850</f>
        <v>4.9717588698650621</v>
      </c>
    </row>
    <row r="221" spans="1:19" s="3719" customFormat="1" ht="15" x14ac:dyDescent="0.2">
      <c r="A221" s="3804"/>
      <c r="B221" s="3767"/>
      <c r="C221" s="3754"/>
      <c r="D221" s="3754"/>
      <c r="E221" s="3754"/>
      <c r="F221" s="3754"/>
      <c r="G221" s="3754"/>
      <c r="H221" s="3708">
        <f>C220*E220</f>
        <v>0.6</v>
      </c>
      <c r="I221" s="3754"/>
      <c r="J221" s="3754"/>
      <c r="K221" s="3754"/>
      <c r="L221" s="3754"/>
      <c r="M221" s="3754"/>
      <c r="N221" s="3754"/>
      <c r="O221" s="3710">
        <v>8</v>
      </c>
      <c r="P221" s="3711" t="s">
        <v>805</v>
      </c>
      <c r="Q221" s="3712">
        <v>150</v>
      </c>
      <c r="R221" s="3713">
        <f>1+(E220*0.5)/(Q221/1000)</f>
        <v>14.333333333333334</v>
      </c>
      <c r="S221" s="3714">
        <f>(0.25*PI()*(O221/1000)^2)*(2*(C220+D220))*R221*7850</f>
        <v>3.3934227207015506</v>
      </c>
    </row>
    <row r="222" spans="1:19" s="3719" customFormat="1" ht="15" x14ac:dyDescent="0.2">
      <c r="A222" s="3804"/>
      <c r="B222" s="3767"/>
      <c r="C222" s="3754"/>
      <c r="D222" s="3754"/>
      <c r="E222" s="3754"/>
      <c r="F222" s="3754"/>
      <c r="G222" s="3754"/>
      <c r="H222" s="3708"/>
      <c r="I222" s="3754"/>
      <c r="J222" s="3754"/>
      <c r="K222" s="3754"/>
      <c r="L222" s="3754"/>
      <c r="M222" s="3754"/>
      <c r="N222" s="3754"/>
      <c r="O222" s="3710"/>
      <c r="P222" s="3711"/>
      <c r="Q222" s="3712"/>
      <c r="R222" s="3713"/>
      <c r="S222" s="3714"/>
    </row>
    <row r="223" spans="1:19" s="3719" customFormat="1" ht="15" x14ac:dyDescent="0.2">
      <c r="A223" s="3804"/>
      <c r="B223" s="3767"/>
      <c r="C223" s="3754"/>
      <c r="D223" s="3754"/>
      <c r="E223" s="3806"/>
      <c r="F223" s="3754"/>
      <c r="G223" s="3754"/>
      <c r="H223" s="3708"/>
      <c r="I223" s="3754"/>
      <c r="J223" s="3754"/>
      <c r="K223" s="3754"/>
      <c r="L223" s="3754"/>
      <c r="M223" s="3754"/>
      <c r="N223" s="3754"/>
      <c r="O223" s="3710"/>
      <c r="P223" s="3711"/>
      <c r="Q223" s="3712"/>
      <c r="R223" s="3713"/>
      <c r="S223" s="3714"/>
    </row>
    <row r="224" spans="1:19" ht="15" x14ac:dyDescent="0.2">
      <c r="A224" s="3804"/>
      <c r="B224" s="3715" t="s">
        <v>284</v>
      </c>
      <c r="C224" s="3716"/>
      <c r="D224" s="3716"/>
      <c r="E224" s="3716"/>
      <c r="F224" s="3756"/>
      <c r="G224" s="3764">
        <f>SUM(G220:G220)</f>
        <v>0.36</v>
      </c>
      <c r="H224" s="3764">
        <f>SUM(H220:H221)</f>
        <v>1.7999999999999998</v>
      </c>
      <c r="I224" s="3716"/>
      <c r="J224" s="3716"/>
      <c r="K224" s="3717">
        <f>SUM(K220:K221)</f>
        <v>0</v>
      </c>
      <c r="L224" s="3716"/>
      <c r="M224" s="3716"/>
      <c r="N224" s="3764">
        <f>SUM(N220:N220)</f>
        <v>56.82010136988643</v>
      </c>
      <c r="O224" s="3716"/>
      <c r="P224" s="3716"/>
      <c r="Q224" s="3716"/>
      <c r="R224" s="3716"/>
      <c r="S224" s="3766">
        <f>SUM(S220:S221)</f>
        <v>8.3651815905666123</v>
      </c>
    </row>
    <row r="225" spans="1:19" ht="13.5" thickBot="1" x14ac:dyDescent="0.25">
      <c r="A225" s="3804"/>
      <c r="B225" s="3767"/>
      <c r="C225" s="3754"/>
      <c r="D225" s="3754"/>
      <c r="E225" s="3754"/>
      <c r="F225" s="3754"/>
      <c r="G225" s="3754"/>
      <c r="H225" s="3754"/>
      <c r="I225" s="3754"/>
      <c r="J225" s="3754"/>
      <c r="K225" s="3754"/>
      <c r="L225" s="3754"/>
      <c r="M225" s="3754"/>
      <c r="N225" s="3754"/>
      <c r="O225" s="3754"/>
      <c r="P225" s="3754"/>
      <c r="Q225" s="3754"/>
      <c r="R225" s="3754"/>
      <c r="S225" s="3768"/>
    </row>
    <row r="226" spans="1:19" s="3676" customFormat="1" ht="24.75" thickTop="1" thickBot="1" x14ac:dyDescent="0.25">
      <c r="B226" s="3738" t="str">
        <f>'[6]B.VOL RAB'!C680</f>
        <v>Balok (15x20)</v>
      </c>
      <c r="C226" s="3724"/>
      <c r="D226" s="3724"/>
      <c r="E226" s="3724"/>
      <c r="F226" s="3724"/>
      <c r="G226" s="3724"/>
      <c r="H226" s="3724"/>
      <c r="I226" s="3724"/>
      <c r="J226" s="3724"/>
      <c r="K226" s="3724"/>
      <c r="L226" s="3724"/>
      <c r="M226" s="3724"/>
      <c r="N226" s="3724"/>
      <c r="O226" s="3724"/>
      <c r="P226" s="3724"/>
      <c r="Q226" s="3724"/>
      <c r="R226" s="3724"/>
      <c r="S226" s="3725"/>
    </row>
    <row r="227" spans="1:19" s="3697" customFormat="1" ht="21.75" thickTop="1" x14ac:dyDescent="0.2">
      <c r="A227" s="3799"/>
      <c r="B227" s="3800" t="s">
        <v>2222</v>
      </c>
      <c r="C227" s="3801" t="s">
        <v>2176</v>
      </c>
      <c r="D227" s="3741"/>
      <c r="E227" s="3742"/>
      <c r="F227" s="3802"/>
      <c r="G227" s="3691" t="s">
        <v>2163</v>
      </c>
      <c r="H227" s="3692" t="s">
        <v>2164</v>
      </c>
      <c r="I227" s="3693" t="s">
        <v>2199</v>
      </c>
      <c r="J227" s="3693"/>
      <c r="K227" s="3693"/>
      <c r="L227" s="3693" t="s">
        <v>2200</v>
      </c>
      <c r="M227" s="3693"/>
      <c r="N227" s="3693"/>
      <c r="O227" s="3693"/>
      <c r="P227" s="3693"/>
      <c r="Q227" s="3693"/>
      <c r="R227" s="3693"/>
      <c r="S227" s="3694"/>
    </row>
    <row r="228" spans="1:19" s="3676" customFormat="1" ht="30" x14ac:dyDescent="0.2">
      <c r="A228" s="3726"/>
      <c r="B228" s="3803"/>
      <c r="C228" s="3699" t="s">
        <v>608</v>
      </c>
      <c r="D228" s="3699" t="s">
        <v>699</v>
      </c>
      <c r="E228" s="3700" t="s">
        <v>2201</v>
      </c>
      <c r="F228" s="3699" t="s">
        <v>284</v>
      </c>
      <c r="G228" s="3699" t="s">
        <v>1755</v>
      </c>
      <c r="H228" s="3700" t="s">
        <v>2166</v>
      </c>
      <c r="I228" s="3699" t="s">
        <v>2202</v>
      </c>
      <c r="J228" s="3699" t="s">
        <v>2203</v>
      </c>
      <c r="K228" s="3699" t="s">
        <v>2204</v>
      </c>
      <c r="L228" s="3699" t="s">
        <v>2202</v>
      </c>
      <c r="M228" s="3699" t="s">
        <v>2203</v>
      </c>
      <c r="N228" s="3699" t="s">
        <v>2204</v>
      </c>
      <c r="O228" s="3701" t="s">
        <v>2205</v>
      </c>
      <c r="P228" s="3701"/>
      <c r="Q228" s="3701"/>
      <c r="R228" s="3699" t="s">
        <v>2206</v>
      </c>
      <c r="S228" s="3703" t="s">
        <v>2207</v>
      </c>
    </row>
    <row r="229" spans="1:19" s="3676" customFormat="1" x14ac:dyDescent="0.2">
      <c r="A229" s="3804"/>
      <c r="B229" s="3706" t="s">
        <v>2242</v>
      </c>
      <c r="C229" s="3707">
        <v>0.15</v>
      </c>
      <c r="D229" s="3707">
        <v>0.2</v>
      </c>
      <c r="E229" s="3708">
        <f>E205</f>
        <v>40</v>
      </c>
      <c r="F229" s="3711">
        <v>1</v>
      </c>
      <c r="G229" s="3708">
        <f>C229*D229*E229*F229</f>
        <v>1.2</v>
      </c>
      <c r="H229" s="3708">
        <f>(2*D229)*E229</f>
        <v>16</v>
      </c>
      <c r="I229" s="3711">
        <v>0</v>
      </c>
      <c r="J229" s="3711">
        <v>0</v>
      </c>
      <c r="K229" s="3708">
        <f>(0.25*PI()*(I229/1000)^2)*J229*$E229*F229*7850</f>
        <v>0</v>
      </c>
      <c r="L229" s="3711">
        <v>12</v>
      </c>
      <c r="M229" s="3711">
        <v>4</v>
      </c>
      <c r="N229" s="3708">
        <f>(0.25*PI()*(L229/1000)^2)*M229*$E229*F229*7850</f>
        <v>142.05025342471609</v>
      </c>
      <c r="O229" s="3710">
        <v>8</v>
      </c>
      <c r="P229" s="3711" t="s">
        <v>805</v>
      </c>
      <c r="Q229" s="3712">
        <v>100</v>
      </c>
      <c r="R229" s="3713">
        <f>1+(E229*0.5)/(Q229/1000)</f>
        <v>201</v>
      </c>
      <c r="S229" s="3714">
        <f>(0.25*PI()*(O229/1000)^2)*(2*(C229+D229))*R229*7850</f>
        <v>55.517974046826531</v>
      </c>
    </row>
    <row r="230" spans="1:19" s="3719" customFormat="1" ht="15" x14ac:dyDescent="0.2">
      <c r="A230" s="3804"/>
      <c r="B230" s="3767"/>
      <c r="C230" s="3754"/>
      <c r="D230" s="3754"/>
      <c r="E230" s="3754"/>
      <c r="F230" s="3754"/>
      <c r="G230" s="3754"/>
      <c r="H230" s="3708">
        <f>C229*E229</f>
        <v>6</v>
      </c>
      <c r="I230" s="3754"/>
      <c r="J230" s="3754"/>
      <c r="K230" s="3754"/>
      <c r="L230" s="3754"/>
      <c r="M230" s="3754"/>
      <c r="N230" s="3754"/>
      <c r="O230" s="3710">
        <v>8</v>
      </c>
      <c r="P230" s="3711" t="s">
        <v>805</v>
      </c>
      <c r="Q230" s="3712">
        <v>150</v>
      </c>
      <c r="R230" s="3713">
        <f>1+(E229*0.5)/(Q230/1000)</f>
        <v>134.33333333333334</v>
      </c>
      <c r="S230" s="3714">
        <f>(0.25*PI()*(O230/1000)^2)*(2*(C229+D229))*R230*7850</f>
        <v>37.104052306585565</v>
      </c>
    </row>
    <row r="231" spans="1:19" s="3719" customFormat="1" ht="15" x14ac:dyDescent="0.2">
      <c r="A231" s="3804"/>
      <c r="B231" s="3767"/>
      <c r="C231" s="3754"/>
      <c r="D231" s="3754"/>
      <c r="E231" s="3754"/>
      <c r="F231" s="3754"/>
      <c r="G231" s="3754"/>
      <c r="H231" s="3708"/>
      <c r="I231" s="3754"/>
      <c r="J231" s="3754"/>
      <c r="K231" s="3754"/>
      <c r="L231" s="3754"/>
      <c r="M231" s="3754"/>
      <c r="N231" s="3754"/>
      <c r="O231" s="3710"/>
      <c r="P231" s="3711"/>
      <c r="Q231" s="3712"/>
      <c r="R231" s="3713"/>
      <c r="S231" s="3714"/>
    </row>
    <row r="232" spans="1:19" s="3719" customFormat="1" ht="15" x14ac:dyDescent="0.2">
      <c r="A232" s="3804"/>
      <c r="B232" s="3767"/>
      <c r="C232" s="3754"/>
      <c r="D232" s="3754"/>
      <c r="E232" s="3806"/>
      <c r="F232" s="3754"/>
      <c r="G232" s="3754"/>
      <c r="H232" s="3708"/>
      <c r="I232" s="3754"/>
      <c r="J232" s="3754"/>
      <c r="K232" s="3754"/>
      <c r="L232" s="3754"/>
      <c r="M232" s="3754"/>
      <c r="N232" s="3754"/>
      <c r="O232" s="3710"/>
      <c r="P232" s="3711"/>
      <c r="Q232" s="3712"/>
      <c r="R232" s="3713"/>
      <c r="S232" s="3714"/>
    </row>
    <row r="233" spans="1:19" ht="15" x14ac:dyDescent="0.2">
      <c r="A233" s="3804"/>
      <c r="B233" s="3715" t="s">
        <v>284</v>
      </c>
      <c r="C233" s="3716"/>
      <c r="D233" s="3716"/>
      <c r="E233" s="3716"/>
      <c r="F233" s="3756"/>
      <c r="G233" s="3764">
        <f>SUM(G229:G229)</f>
        <v>1.2</v>
      </c>
      <c r="H233" s="3764">
        <f>SUM(H229:H230)</f>
        <v>22</v>
      </c>
      <c r="I233" s="3716"/>
      <c r="J233" s="3716"/>
      <c r="K233" s="3717">
        <f>SUM(K229:K230)</f>
        <v>0</v>
      </c>
      <c r="L233" s="3716"/>
      <c r="M233" s="3716"/>
      <c r="N233" s="3764">
        <f>SUM(N229:N229)</f>
        <v>142.05025342471609</v>
      </c>
      <c r="O233" s="3716"/>
      <c r="P233" s="3716"/>
      <c r="Q233" s="3716"/>
      <c r="R233" s="3716"/>
      <c r="S233" s="3766">
        <f>SUM(S229:S230)</f>
        <v>92.622026353412096</v>
      </c>
    </row>
    <row r="234" spans="1:19" x14ac:dyDescent="0.2">
      <c r="A234" s="3804"/>
      <c r="B234" s="3767"/>
      <c r="C234" s="3754"/>
      <c r="D234" s="3754"/>
      <c r="E234" s="3754"/>
      <c r="F234" s="3754"/>
      <c r="G234" s="3754"/>
      <c r="H234" s="3754"/>
      <c r="I234" s="3754"/>
      <c r="J234" s="3754"/>
      <c r="K234" s="3754"/>
      <c r="L234" s="3754"/>
      <c r="M234" s="3754"/>
      <c r="N234" s="3754"/>
      <c r="O234" s="3754"/>
      <c r="P234" s="3754"/>
      <c r="Q234" s="3754"/>
      <c r="R234" s="3754"/>
      <c r="S234" s="3768"/>
    </row>
  </sheetData>
  <mergeCells count="164">
    <mergeCell ref="B233:E233"/>
    <mergeCell ref="I233:J233"/>
    <mergeCell ref="L233:M233"/>
    <mergeCell ref="O233:R233"/>
    <mergeCell ref="B224:E224"/>
    <mergeCell ref="I224:J224"/>
    <mergeCell ref="L224:M224"/>
    <mergeCell ref="O224:R224"/>
    <mergeCell ref="B226:S226"/>
    <mergeCell ref="B227:B228"/>
    <mergeCell ref="C227:E227"/>
    <mergeCell ref="I227:K227"/>
    <mergeCell ref="L227:S227"/>
    <mergeCell ref="O228:Q228"/>
    <mergeCell ref="B217:S217"/>
    <mergeCell ref="B218:B219"/>
    <mergeCell ref="C218:E218"/>
    <mergeCell ref="I218:K218"/>
    <mergeCell ref="L218:S218"/>
    <mergeCell ref="O219:Q219"/>
    <mergeCell ref="B203:B204"/>
    <mergeCell ref="C203:E203"/>
    <mergeCell ref="I203:K203"/>
    <mergeCell ref="L203:S203"/>
    <mergeCell ref="O204:Q204"/>
    <mergeCell ref="B215:E215"/>
    <mergeCell ref="I215:J215"/>
    <mergeCell ref="L215:M215"/>
    <mergeCell ref="O215:R215"/>
    <mergeCell ref="B196:E196"/>
    <mergeCell ref="I196:J196"/>
    <mergeCell ref="L196:M196"/>
    <mergeCell ref="O196:R196"/>
    <mergeCell ref="B201:S201"/>
    <mergeCell ref="B202:S202"/>
    <mergeCell ref="B183:E183"/>
    <mergeCell ref="I183:J183"/>
    <mergeCell ref="L183:M183"/>
    <mergeCell ref="O183:R183"/>
    <mergeCell ref="B185:S185"/>
    <mergeCell ref="B186:B187"/>
    <mergeCell ref="C186:E186"/>
    <mergeCell ref="I186:K186"/>
    <mergeCell ref="L186:S186"/>
    <mergeCell ref="O187:Q187"/>
    <mergeCell ref="B173:E173"/>
    <mergeCell ref="I173:J173"/>
    <mergeCell ref="L173:M173"/>
    <mergeCell ref="O173:R173"/>
    <mergeCell ref="B175:S175"/>
    <mergeCell ref="B176:B177"/>
    <mergeCell ref="C176:E176"/>
    <mergeCell ref="I176:K176"/>
    <mergeCell ref="L176:S176"/>
    <mergeCell ref="O177:Q177"/>
    <mergeCell ref="B162:S162"/>
    <mergeCell ref="B163:B164"/>
    <mergeCell ref="C163:E163"/>
    <mergeCell ref="I163:K163"/>
    <mergeCell ref="L163:S163"/>
    <mergeCell ref="O164:Q164"/>
    <mergeCell ref="B134:B135"/>
    <mergeCell ref="C134:E134"/>
    <mergeCell ref="I134:K134"/>
    <mergeCell ref="L134:S134"/>
    <mergeCell ref="O135:Q135"/>
    <mergeCell ref="B160:E160"/>
    <mergeCell ref="I160:J160"/>
    <mergeCell ref="L160:M160"/>
    <mergeCell ref="O160:R160"/>
    <mergeCell ref="O128:Q128"/>
    <mergeCell ref="B131:E131"/>
    <mergeCell ref="I131:J131"/>
    <mergeCell ref="L131:M131"/>
    <mergeCell ref="O131:R131"/>
    <mergeCell ref="B133:S133"/>
    <mergeCell ref="B124:E124"/>
    <mergeCell ref="I124:J124"/>
    <mergeCell ref="L124:M124"/>
    <mergeCell ref="O124:R124"/>
    <mergeCell ref="B126:S126"/>
    <mergeCell ref="B127:F127"/>
    <mergeCell ref="I127:K127"/>
    <mergeCell ref="L127:S127"/>
    <mergeCell ref="B100:S100"/>
    <mergeCell ref="B101:B102"/>
    <mergeCell ref="C101:E101"/>
    <mergeCell ref="I101:K101"/>
    <mergeCell ref="L101:S101"/>
    <mergeCell ref="O102:Q102"/>
    <mergeCell ref="O92:Q92"/>
    <mergeCell ref="B97:E97"/>
    <mergeCell ref="I97:J97"/>
    <mergeCell ref="L97:M97"/>
    <mergeCell ref="O97:R97"/>
    <mergeCell ref="B99:S99"/>
    <mergeCell ref="B89:E89"/>
    <mergeCell ref="I89:J89"/>
    <mergeCell ref="L89:M89"/>
    <mergeCell ref="O89:R89"/>
    <mergeCell ref="B90:S90"/>
    <mergeCell ref="B91:B92"/>
    <mergeCell ref="C91:E91"/>
    <mergeCell ref="F91:F92"/>
    <mergeCell ref="I91:K91"/>
    <mergeCell ref="L91:S91"/>
    <mergeCell ref="B83:B84"/>
    <mergeCell ref="C83:E83"/>
    <mergeCell ref="F83:F84"/>
    <mergeCell ref="I83:K83"/>
    <mergeCell ref="L83:S83"/>
    <mergeCell ref="O84:Q84"/>
    <mergeCell ref="O76:Q76"/>
    <mergeCell ref="B81:E81"/>
    <mergeCell ref="I81:J81"/>
    <mergeCell ref="L81:M81"/>
    <mergeCell ref="O81:R81"/>
    <mergeCell ref="B82:S82"/>
    <mergeCell ref="B73:E73"/>
    <mergeCell ref="I73:J73"/>
    <mergeCell ref="L73:M73"/>
    <mergeCell ref="O73:R73"/>
    <mergeCell ref="B74:S74"/>
    <mergeCell ref="B75:B76"/>
    <mergeCell ref="C75:E75"/>
    <mergeCell ref="F75:F76"/>
    <mergeCell ref="I75:K75"/>
    <mergeCell ref="L75:S75"/>
    <mergeCell ref="B64:S64"/>
    <mergeCell ref="B65:S65"/>
    <mergeCell ref="B66:B67"/>
    <mergeCell ref="C66:E66"/>
    <mergeCell ref="F66:F67"/>
    <mergeCell ref="I66:K66"/>
    <mergeCell ref="L66:S66"/>
    <mergeCell ref="O67:Q67"/>
    <mergeCell ref="B46:F46"/>
    <mergeCell ref="I46:K46"/>
    <mergeCell ref="L46:S46"/>
    <mergeCell ref="O47:Q47"/>
    <mergeCell ref="B60:E60"/>
    <mergeCell ref="I60:J60"/>
    <mergeCell ref="L60:M60"/>
    <mergeCell ref="O60:R60"/>
    <mergeCell ref="O28:Q28"/>
    <mergeCell ref="B42:E42"/>
    <mergeCell ref="I42:J42"/>
    <mergeCell ref="L42:M42"/>
    <mergeCell ref="O42:R42"/>
    <mergeCell ref="B45:S45"/>
    <mergeCell ref="B23:E23"/>
    <mergeCell ref="I23:J23"/>
    <mergeCell ref="L23:M23"/>
    <mergeCell ref="O23:R23"/>
    <mergeCell ref="B26:S26"/>
    <mergeCell ref="B27:F27"/>
    <mergeCell ref="I27:K27"/>
    <mergeCell ref="L27:S27"/>
    <mergeCell ref="B1:S1"/>
    <mergeCell ref="B2:S2"/>
    <mergeCell ref="B3:F3"/>
    <mergeCell ref="I3:K3"/>
    <mergeCell ref="L3:S3"/>
    <mergeCell ref="O4:Q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U175"/>
  <sheetViews>
    <sheetView topLeftCell="A60" zoomScaleNormal="100" zoomScaleSheetLayoutView="90" workbookViewId="0">
      <selection activeCell="J76" sqref="J76"/>
    </sheetView>
  </sheetViews>
  <sheetFormatPr defaultRowHeight="15" customHeight="1" x14ac:dyDescent="0.2"/>
  <cols>
    <col min="1" max="1" width="5.7109375" style="2693" customWidth="1"/>
    <col min="2" max="2" width="5.7109375" style="2694" customWidth="1"/>
    <col min="3" max="3" width="2.7109375" style="2693" customWidth="1"/>
    <col min="4" max="4" width="12.7109375" style="3031" customWidth="1"/>
    <col min="5" max="5" width="3.7109375" style="2693" customWidth="1"/>
    <col min="6" max="6" width="27.42578125" style="2818" customWidth="1"/>
    <col min="7" max="7" width="13.85546875" style="2693" customWidth="1"/>
    <col min="8" max="8" width="3.7109375" style="2693" customWidth="1"/>
    <col min="9" max="9" width="15.7109375" style="2693" customWidth="1"/>
    <col min="10" max="10" width="10.7109375" style="2693" customWidth="1"/>
    <col min="11" max="11" width="2.140625" style="2693" customWidth="1"/>
    <col min="12" max="12" width="15.5703125" style="2693" customWidth="1"/>
    <col min="13" max="13" width="15.28515625" style="3027" customWidth="1"/>
    <col min="14" max="15" width="13.85546875" style="2693" customWidth="1"/>
    <col min="16" max="16" width="13.7109375" style="2693" customWidth="1"/>
    <col min="17" max="17" width="18.5703125" style="2693" customWidth="1"/>
    <col min="18" max="18" width="15.140625" style="3028" customWidth="1"/>
    <col min="19" max="19" width="15.140625" style="3029" customWidth="1"/>
    <col min="20" max="20" width="15.140625" style="2693" customWidth="1"/>
    <col min="21" max="21" width="5.7109375" style="2693" customWidth="1"/>
    <col min="22" max="24" width="16.140625" style="2693" customWidth="1"/>
    <col min="25" max="16384" width="9.140625" style="2693"/>
  </cols>
  <sheetData>
    <row r="1" spans="2:20" ht="15" customHeight="1" x14ac:dyDescent="0.2">
      <c r="C1" s="3024"/>
      <c r="D1" s="3025"/>
      <c r="E1" s="3024"/>
      <c r="F1" s="3026"/>
      <c r="G1" s="3024"/>
      <c r="H1" s="3024"/>
      <c r="I1" s="3024"/>
    </row>
    <row r="2" spans="2:20" ht="15" customHeight="1" x14ac:dyDescent="0.2">
      <c r="C2" s="3024"/>
      <c r="D2" s="3025"/>
      <c r="E2" s="3024"/>
      <c r="F2" s="3026"/>
      <c r="G2" s="3024"/>
      <c r="H2" s="3024"/>
      <c r="I2" s="3024"/>
    </row>
    <row r="3" spans="2:20" ht="15" customHeight="1" x14ac:dyDescent="0.2">
      <c r="C3" s="3024"/>
      <c r="D3" s="3025"/>
      <c r="E3" s="3024"/>
      <c r="F3" s="3026"/>
      <c r="G3" s="3024"/>
      <c r="H3" s="3024"/>
      <c r="I3" s="3024"/>
    </row>
    <row r="4" spans="2:20" ht="15" customHeight="1" x14ac:dyDescent="0.2">
      <c r="C4" s="3024"/>
      <c r="D4" s="3025"/>
      <c r="E4" s="3024"/>
      <c r="F4" s="3026"/>
      <c r="G4" s="3024"/>
      <c r="H4" s="3024"/>
      <c r="I4" s="3024"/>
    </row>
    <row r="5" spans="2:20" ht="15" customHeight="1" x14ac:dyDescent="0.2">
      <c r="C5" s="3024"/>
      <c r="D5" s="3025"/>
      <c r="E5" s="3024"/>
      <c r="F5" s="3026"/>
      <c r="G5" s="3024"/>
      <c r="H5" s="3024"/>
      <c r="I5" s="3024"/>
    </row>
    <row r="6" spans="2:20" ht="15" customHeight="1" x14ac:dyDescent="0.2">
      <c r="C6" s="3024"/>
      <c r="D6" s="3025"/>
      <c r="E6" s="3024"/>
      <c r="F6" s="3026"/>
      <c r="G6" s="3024"/>
      <c r="H6" s="3024"/>
      <c r="I6" s="3024"/>
    </row>
    <row r="7" spans="2:20" ht="15" customHeight="1" x14ac:dyDescent="0.2">
      <c r="C7" s="3024"/>
      <c r="D7" s="3025"/>
      <c r="E7" s="3024"/>
      <c r="F7" s="3026"/>
      <c r="G7" s="3024"/>
      <c r="H7" s="3024"/>
      <c r="I7" s="3024"/>
    </row>
    <row r="8" spans="2:20" ht="15" customHeight="1" x14ac:dyDescent="0.2">
      <c r="C8" s="3024"/>
      <c r="D8" s="3025"/>
      <c r="E8" s="3024"/>
      <c r="F8" s="3026"/>
      <c r="G8" s="3024"/>
      <c r="H8" s="3024"/>
      <c r="I8" s="3024"/>
    </row>
    <row r="9" spans="2:20" ht="20.100000000000001" customHeight="1" x14ac:dyDescent="0.2">
      <c r="B9" s="3424" t="s">
        <v>601</v>
      </c>
      <c r="C9" s="3424"/>
      <c r="D9" s="3424"/>
      <c r="E9" s="3424"/>
      <c r="F9" s="3424"/>
      <c r="G9" s="3424"/>
      <c r="H9" s="3424"/>
      <c r="I9" s="3424"/>
      <c r="J9" s="3424"/>
    </row>
    <row r="10" spans="2:20" ht="15" customHeight="1" x14ac:dyDescent="0.2">
      <c r="B10" s="3424"/>
      <c r="C10" s="3424"/>
      <c r="D10" s="3424"/>
      <c r="E10" s="3424"/>
      <c r="F10" s="3424"/>
      <c r="G10" s="3424"/>
      <c r="H10" s="3424"/>
      <c r="I10" s="3424"/>
      <c r="J10" s="3424"/>
    </row>
    <row r="11" spans="2:20" ht="18" customHeight="1" x14ac:dyDescent="0.2">
      <c r="B11" s="3030" t="str">
        <f>'data primer'!B4</f>
        <v>KEGIATAN</v>
      </c>
      <c r="C11" s="2694"/>
      <c r="E11" s="3032" t="str">
        <f>'data primer'!D4</f>
        <v>:</v>
      </c>
      <c r="F11" s="3033" t="str">
        <f>RAB.PERTANIAN!F3</f>
        <v>PEMBANGUNAN GEDUNG KANTOR DINAS PERTANIAN, PANGAN DAN PERIKANAN KARANGANYAR</v>
      </c>
      <c r="H11" s="3024"/>
      <c r="I11" s="3024"/>
    </row>
    <row r="12" spans="2:20" ht="18" customHeight="1" x14ac:dyDescent="0.2">
      <c r="B12" s="3030" t="str">
        <f>'data primer'!B6</f>
        <v>L O K A S I</v>
      </c>
      <c r="C12" s="2694"/>
      <c r="E12" s="3032" t="str">
        <f>'data primer'!D6</f>
        <v>:</v>
      </c>
      <c r="F12" s="3033" t="str">
        <f>RAB.PERTANIAN!F4</f>
        <v>PEMBANGUNAN GEDUNG KANTOR DINAS PERTANIAN, PANGAN DAN PERIKANAN KARANGANYAR</v>
      </c>
      <c r="H12" s="3024"/>
      <c r="I12" s="3024"/>
    </row>
    <row r="13" spans="2:20" ht="18" customHeight="1" x14ac:dyDescent="0.2">
      <c r="B13" s="3030" t="str">
        <f>'data primer'!B7</f>
        <v>KABUPATEN</v>
      </c>
      <c r="C13" s="2694"/>
      <c r="E13" s="3032" t="str">
        <f>'data primer'!D7</f>
        <v>:</v>
      </c>
      <c r="F13" s="3033" t="str">
        <f>RAB.PERTANIAN!F5</f>
        <v>KARANGANYAR</v>
      </c>
      <c r="H13" s="3024"/>
      <c r="I13" s="3024"/>
    </row>
    <row r="14" spans="2:20" ht="18" customHeight="1" x14ac:dyDescent="0.2">
      <c r="B14" s="3030" t="str">
        <f>'data primer'!B8</f>
        <v>SUMBER DANA</v>
      </c>
      <c r="C14" s="2694"/>
      <c r="E14" s="3032" t="str">
        <f>'data primer'!D8</f>
        <v>:</v>
      </c>
      <c r="F14" s="3033" t="str">
        <f>RAB.PERTANIAN!F6</f>
        <v>KARANGANYAR</v>
      </c>
      <c r="G14" s="3034"/>
      <c r="H14" s="3024"/>
      <c r="I14" s="3024"/>
    </row>
    <row r="15" spans="2:20" ht="15" customHeight="1" x14ac:dyDescent="0.2">
      <c r="B15" s="3030" t="str">
        <f>'data primer'!B9</f>
        <v>TAHUN ANGGARAN</v>
      </c>
      <c r="C15" s="2694"/>
      <c r="E15" s="3032" t="str">
        <f>'data primer'!D9</f>
        <v>:</v>
      </c>
      <c r="F15" s="3033" t="str">
        <f>RAB.PERTANIAN!F7</f>
        <v>2023</v>
      </c>
      <c r="G15" s="3034"/>
      <c r="H15" s="3024"/>
      <c r="I15" s="3024"/>
    </row>
    <row r="16" spans="2:20" ht="15" customHeight="1" x14ac:dyDescent="0.2">
      <c r="B16" s="3032"/>
      <c r="C16" s="3035"/>
      <c r="D16" s="3036"/>
      <c r="E16" s="3037"/>
      <c r="F16" s="3038"/>
      <c r="G16" s="3032"/>
      <c r="H16" s="2818"/>
      <c r="I16" s="3039"/>
      <c r="J16" s="2818"/>
      <c r="L16" s="1909"/>
      <c r="M16" s="3040"/>
      <c r="N16" s="1909"/>
      <c r="O16" s="1909"/>
      <c r="P16" s="1909"/>
      <c r="Q16" s="1909"/>
      <c r="R16" s="3041"/>
      <c r="S16" s="3042"/>
      <c r="T16" s="1909"/>
    </row>
    <row r="17" spans="2:20" ht="15" customHeight="1" x14ac:dyDescent="0.2">
      <c r="B17" s="2707" t="s">
        <v>1351</v>
      </c>
      <c r="C17" s="2863"/>
      <c r="D17" s="3043"/>
      <c r="E17" s="3044"/>
      <c r="F17" s="3045"/>
      <c r="G17" s="3044"/>
      <c r="H17" s="3044"/>
      <c r="I17" s="3044"/>
    </row>
    <row r="18" spans="2:20" ht="6.95" customHeight="1" thickBot="1" x14ac:dyDescent="0.25">
      <c r="B18" s="2864"/>
      <c r="C18" s="2863"/>
      <c r="D18" s="3043"/>
      <c r="E18" s="3044"/>
      <c r="F18" s="3045"/>
      <c r="G18" s="3044"/>
      <c r="H18" s="3044"/>
      <c r="I18" s="3044"/>
    </row>
    <row r="19" spans="2:20" ht="15" customHeight="1" thickTop="1" x14ac:dyDescent="0.2">
      <c r="B19" s="3046"/>
      <c r="C19" s="3047"/>
      <c r="D19" s="3048"/>
      <c r="E19" s="3049"/>
      <c r="F19" s="3050"/>
      <c r="G19" s="3051"/>
      <c r="H19" s="3047"/>
      <c r="I19" s="3050"/>
      <c r="J19" s="3052"/>
    </row>
    <row r="20" spans="2:20" ht="15" customHeight="1" x14ac:dyDescent="0.2">
      <c r="B20" s="3053" t="s">
        <v>261</v>
      </c>
      <c r="C20" s="3054"/>
      <c r="D20" s="3425" t="s">
        <v>449</v>
      </c>
      <c r="E20" s="3425"/>
      <c r="F20" s="3426"/>
      <c r="G20" s="3055" t="s">
        <v>262</v>
      </c>
      <c r="H20" s="3054"/>
      <c r="I20" s="3056" t="s">
        <v>263</v>
      </c>
      <c r="J20" s="3057" t="s">
        <v>396</v>
      </c>
      <c r="L20" s="3176">
        <f>Rekap!Q48</f>
        <v>1175000</v>
      </c>
      <c r="P20" s="2693" t="s">
        <v>1497</v>
      </c>
    </row>
    <row r="21" spans="2:20" ht="15" customHeight="1" thickBot="1" x14ac:dyDescent="0.25">
      <c r="B21" s="3058"/>
      <c r="C21" s="3059"/>
      <c r="D21" s="3060"/>
      <c r="E21" s="3061"/>
      <c r="F21" s="3062"/>
      <c r="G21" s="3063"/>
      <c r="H21" s="3059"/>
      <c r="I21" s="3062"/>
      <c r="J21" s="3064"/>
      <c r="L21" s="3065"/>
      <c r="M21" s="3040"/>
      <c r="N21" s="3065"/>
      <c r="O21" s="3065"/>
      <c r="P21" s="3065"/>
      <c r="Q21" s="3065"/>
    </row>
    <row r="22" spans="2:20" ht="15" customHeight="1" thickTop="1" x14ac:dyDescent="0.2">
      <c r="B22" s="3066"/>
      <c r="C22" s="3067"/>
      <c r="D22" s="3068"/>
      <c r="E22" s="3038"/>
      <c r="F22" s="3069"/>
      <c r="G22" s="3070"/>
      <c r="H22" s="3071"/>
      <c r="I22" s="3072"/>
      <c r="J22" s="3073"/>
      <c r="L22" s="1910"/>
      <c r="M22" s="3040"/>
      <c r="N22" s="1910"/>
      <c r="O22" s="1910"/>
      <c r="P22" s="1910"/>
      <c r="Q22" s="1910"/>
      <c r="R22" s="3074" t="s">
        <v>111</v>
      </c>
      <c r="S22" s="3075" t="s">
        <v>112</v>
      </c>
      <c r="T22" s="2692" t="s">
        <v>113</v>
      </c>
    </row>
    <row r="23" spans="2:20" ht="15" customHeight="1" x14ac:dyDescent="0.2">
      <c r="B23" s="3076">
        <v>1</v>
      </c>
      <c r="C23" s="3084"/>
      <c r="D23" s="3085" t="s">
        <v>5</v>
      </c>
      <c r="E23" s="3086"/>
      <c r="F23" s="3087"/>
      <c r="G23" s="3080" t="s">
        <v>291</v>
      </c>
      <c r="H23" s="3088"/>
      <c r="I23" s="3082">
        <f>M23</f>
        <v>88300</v>
      </c>
      <c r="J23" s="3083"/>
      <c r="L23" s="3176">
        <f t="shared" ref="L23:L54" si="0">$L$20</f>
        <v>1175000</v>
      </c>
      <c r="M23" s="1909">
        <v>88300</v>
      </c>
      <c r="N23" s="1909">
        <v>2208000</v>
      </c>
      <c r="O23" s="1909"/>
      <c r="P23" s="1909" t="str">
        <f>VLOOKUP($D23,'HARGA 2020'!$D$21:$P$1136,4,0)</f>
        <v>OH</v>
      </c>
      <c r="Q23" s="1909">
        <f>VLOOKUP($D23,'HARGA 2022'!$D$21:$P$1136,6,0)</f>
        <v>85500</v>
      </c>
      <c r="R23" s="3041">
        <f>'Usulan 2019'!H19</f>
        <v>69000</v>
      </c>
      <c r="S23" s="3042">
        <f>'Usulan 2019'!I19</f>
        <v>69000</v>
      </c>
      <c r="T23" s="1909">
        <f>'Usulan 2019'!J19</f>
        <v>69000</v>
      </c>
    </row>
    <row r="24" spans="2:20" ht="15" customHeight="1" x14ac:dyDescent="0.2">
      <c r="B24" s="3076">
        <f>B23+1</f>
        <v>2</v>
      </c>
      <c r="C24" s="3084"/>
      <c r="D24" s="3085" t="s">
        <v>187</v>
      </c>
      <c r="E24" s="3086"/>
      <c r="F24" s="3087"/>
      <c r="G24" s="3080" t="s">
        <v>291</v>
      </c>
      <c r="H24" s="3088"/>
      <c r="I24" s="3082">
        <f t="shared" ref="I24:I25" si="1">M24</f>
        <v>88300</v>
      </c>
      <c r="J24" s="3089"/>
      <c r="L24" s="3176">
        <f t="shared" si="0"/>
        <v>1175000</v>
      </c>
      <c r="M24" s="1909">
        <v>88300</v>
      </c>
      <c r="N24" s="1909">
        <f>N23/25</f>
        <v>88320</v>
      </c>
      <c r="O24" s="1909"/>
      <c r="P24" s="1909" t="str">
        <f>VLOOKUP($D24,'HARGA 2020'!$D$21:$P$1136,4,0)</f>
        <v>OH</v>
      </c>
      <c r="Q24" s="1909">
        <f>VLOOKUP($D24,'HARGA 2022'!$D$21:$P$1136,6,0)</f>
        <v>85500</v>
      </c>
      <c r="R24" s="3041">
        <f>'Usulan 2019'!H20</f>
        <v>65000</v>
      </c>
      <c r="S24" s="3042">
        <f>'Usulan 2019'!I20</f>
        <v>65000</v>
      </c>
      <c r="T24" s="1909">
        <f>'Usulan 2019'!J20</f>
        <v>65000</v>
      </c>
    </row>
    <row r="25" spans="2:20" ht="15" customHeight="1" x14ac:dyDescent="0.2">
      <c r="B25" s="3076">
        <f t="shared" ref="B25:B38" si="2">B24+1</f>
        <v>3</v>
      </c>
      <c r="C25" s="3084"/>
      <c r="D25" s="3085" t="s">
        <v>6</v>
      </c>
      <c r="E25" s="3086"/>
      <c r="F25" s="3087"/>
      <c r="G25" s="3080" t="s">
        <v>291</v>
      </c>
      <c r="H25" s="3088"/>
      <c r="I25" s="3082">
        <f t="shared" si="1"/>
        <v>88300</v>
      </c>
      <c r="J25" s="3089"/>
      <c r="L25" s="3176">
        <f t="shared" si="0"/>
        <v>1175000</v>
      </c>
      <c r="M25" s="1909">
        <v>88300</v>
      </c>
      <c r="N25" s="1909">
        <v>88300</v>
      </c>
      <c r="O25" s="1909"/>
      <c r="P25" s="1909" t="str">
        <f>VLOOKUP($D25,'HARGA 2020'!$D$21:$P$1136,4,0)</f>
        <v>OH</v>
      </c>
      <c r="Q25" s="1909">
        <f>VLOOKUP($D25,'HARGA 2022'!$D$21:$P$1136,6,0)</f>
        <v>86800</v>
      </c>
      <c r="R25" s="3041">
        <f>'Usulan 2019'!H21</f>
        <v>77000</v>
      </c>
      <c r="S25" s="3042">
        <f>'Usulan 2019'!I21</f>
        <v>77000</v>
      </c>
      <c r="T25" s="1909">
        <f>'Usulan 2019'!J21</f>
        <v>77000</v>
      </c>
    </row>
    <row r="26" spans="2:20" ht="15" customHeight="1" x14ac:dyDescent="0.2">
      <c r="B26" s="3076">
        <f t="shared" si="2"/>
        <v>4</v>
      </c>
      <c r="C26" s="3084"/>
      <c r="D26" s="3085" t="s">
        <v>7</v>
      </c>
      <c r="E26" s="3086"/>
      <c r="F26" s="3087"/>
      <c r="G26" s="3080" t="s">
        <v>291</v>
      </c>
      <c r="H26" s="3088"/>
      <c r="I26" s="3082">
        <f t="shared" ref="I26:I36" si="3">Q26</f>
        <v>96000</v>
      </c>
      <c r="J26" s="3089"/>
      <c r="L26" s="3176">
        <f t="shared" si="0"/>
        <v>1175000</v>
      </c>
      <c r="M26" s="3040"/>
      <c r="N26" s="1909"/>
      <c r="O26" s="1909"/>
      <c r="P26" s="1909" t="str">
        <f>VLOOKUP($D26,'HARGA 2020'!$D$21:$P$1136,4,0)</f>
        <v>OH</v>
      </c>
      <c r="Q26" s="1909">
        <f>VLOOKUP($D26,'HARGA 2022'!$D$21:$P$1136,6,0)</f>
        <v>96000</v>
      </c>
      <c r="R26" s="3041">
        <f>'Usulan 2019'!H25</f>
        <v>89000</v>
      </c>
      <c r="S26" s="3042">
        <f>'Usulan 2019'!I25</f>
        <v>89000</v>
      </c>
      <c r="T26" s="1909">
        <f>'Usulan 2019'!J25</f>
        <v>89000</v>
      </c>
    </row>
    <row r="27" spans="2:20" ht="15" customHeight="1" x14ac:dyDescent="0.2">
      <c r="B27" s="3076">
        <f t="shared" si="2"/>
        <v>5</v>
      </c>
      <c r="C27" s="3084"/>
      <c r="D27" s="3085" t="s">
        <v>8</v>
      </c>
      <c r="E27" s="3086"/>
      <c r="F27" s="3087"/>
      <c r="G27" s="3080" t="s">
        <v>291</v>
      </c>
      <c r="H27" s="3088"/>
      <c r="I27" s="3082">
        <f t="shared" si="3"/>
        <v>96000</v>
      </c>
      <c r="J27" s="3089"/>
      <c r="L27" s="3176">
        <f t="shared" si="0"/>
        <v>1175000</v>
      </c>
      <c r="M27" s="3040"/>
      <c r="N27" s="1909"/>
      <c r="O27" s="1909"/>
      <c r="P27" s="1909" t="str">
        <f>VLOOKUP($D27,'HARGA 2020'!$D$21:$P$1136,4,0)</f>
        <v>OH</v>
      </c>
      <c r="Q27" s="1909">
        <f>VLOOKUP($D27,'HARGA 2022'!$D$21:$P$1136,6,0)</f>
        <v>96000</v>
      </c>
      <c r="R27" s="3041">
        <f>'Usulan 2019'!H26</f>
        <v>89000</v>
      </c>
      <c r="S27" s="3042">
        <f>'Usulan 2019'!I26</f>
        <v>89000</v>
      </c>
      <c r="T27" s="1909">
        <f>'Usulan 2019'!J26</f>
        <v>89000</v>
      </c>
    </row>
    <row r="28" spans="2:20" ht="15" customHeight="1" x14ac:dyDescent="0.2">
      <c r="B28" s="3076">
        <f t="shared" si="2"/>
        <v>6</v>
      </c>
      <c r="C28" s="3084"/>
      <c r="D28" s="3085" t="s">
        <v>9</v>
      </c>
      <c r="E28" s="3086"/>
      <c r="F28" s="3087"/>
      <c r="G28" s="3080" t="s">
        <v>291</v>
      </c>
      <c r="H28" s="3088"/>
      <c r="I28" s="3082">
        <f t="shared" si="3"/>
        <v>96000</v>
      </c>
      <c r="J28" s="3089"/>
      <c r="L28" s="3176">
        <f t="shared" si="0"/>
        <v>1175000</v>
      </c>
      <c r="M28" s="3040"/>
      <c r="N28" s="1909"/>
      <c r="O28" s="1909"/>
      <c r="P28" s="1909" t="str">
        <f>VLOOKUP($D28,'HARGA 2020'!$D$21:$P$1136,4,0)</f>
        <v>OH</v>
      </c>
      <c r="Q28" s="1909">
        <f>VLOOKUP($D28,'HARGA 2022'!$D$21:$P$1136,6,0)</f>
        <v>96000</v>
      </c>
      <c r="R28" s="3041">
        <f>'Usulan 2019'!H27</f>
        <v>89000</v>
      </c>
      <c r="S28" s="3042">
        <f>'Usulan 2019'!I27</f>
        <v>89000</v>
      </c>
      <c r="T28" s="1909">
        <f>'Usulan 2019'!J27</f>
        <v>89000</v>
      </c>
    </row>
    <row r="29" spans="2:20" ht="15" customHeight="1" x14ac:dyDescent="0.2">
      <c r="B29" s="3076">
        <f t="shared" si="2"/>
        <v>7</v>
      </c>
      <c r="C29" s="3084"/>
      <c r="D29" s="3085" t="s">
        <v>10</v>
      </c>
      <c r="E29" s="3086"/>
      <c r="F29" s="3087"/>
      <c r="G29" s="3080" t="s">
        <v>291</v>
      </c>
      <c r="H29" s="3088"/>
      <c r="I29" s="3082">
        <f t="shared" si="3"/>
        <v>96000</v>
      </c>
      <c r="J29" s="3089"/>
      <c r="L29" s="3176">
        <f t="shared" si="0"/>
        <v>1175000</v>
      </c>
      <c r="M29" s="3040"/>
      <c r="N29" s="1909"/>
      <c r="O29" s="1909"/>
      <c r="P29" s="1909" t="str">
        <f>VLOOKUP($D29,'HARGA 2020'!$D$21:$P$1136,4,0)</f>
        <v>OH</v>
      </c>
      <c r="Q29" s="1909">
        <f>VLOOKUP($D29,'HARGA 2022'!$D$21:$P$1136,6,0)</f>
        <v>96000</v>
      </c>
      <c r="R29" s="3041">
        <f>'Usulan 2019'!H28</f>
        <v>89000</v>
      </c>
      <c r="S29" s="3042">
        <f>'Usulan 2019'!I28</f>
        <v>89000</v>
      </c>
      <c r="T29" s="1909">
        <f>'Usulan 2019'!J28</f>
        <v>89000</v>
      </c>
    </row>
    <row r="30" spans="2:20" ht="15" customHeight="1" x14ac:dyDescent="0.2">
      <c r="B30" s="3076">
        <f t="shared" si="2"/>
        <v>8</v>
      </c>
      <c r="C30" s="3084"/>
      <c r="D30" s="3085" t="s">
        <v>11</v>
      </c>
      <c r="E30" s="3086"/>
      <c r="F30" s="3087"/>
      <c r="G30" s="3080" t="s">
        <v>291</v>
      </c>
      <c r="H30" s="3088"/>
      <c r="I30" s="3082">
        <f t="shared" si="3"/>
        <v>96000</v>
      </c>
      <c r="J30" s="3089"/>
      <c r="L30" s="3176">
        <f t="shared" si="0"/>
        <v>1175000</v>
      </c>
      <c r="M30" s="3040"/>
      <c r="N30" s="1909"/>
      <c r="O30" s="1909"/>
      <c r="P30" s="1909" t="str">
        <f>VLOOKUP($D30,'HARGA 2020'!$D$21:$P$1136,4,0)</f>
        <v>OH</v>
      </c>
      <c r="Q30" s="1909">
        <f>VLOOKUP($D30,'HARGA 2022'!$D$21:$P$1136,6,0)</f>
        <v>96000</v>
      </c>
      <c r="R30" s="3041">
        <f>'Usulan 2019'!H29</f>
        <v>89000</v>
      </c>
      <c r="S30" s="3042">
        <f>'Usulan 2019'!I29</f>
        <v>89000</v>
      </c>
      <c r="T30" s="1909">
        <f>'Usulan 2019'!J29</f>
        <v>89000</v>
      </c>
    </row>
    <row r="31" spans="2:20" ht="15" customHeight="1" x14ac:dyDescent="0.2">
      <c r="B31" s="3076">
        <f t="shared" si="2"/>
        <v>9</v>
      </c>
      <c r="C31" s="3084"/>
      <c r="D31" s="3085" t="s">
        <v>290</v>
      </c>
      <c r="E31" s="3086"/>
      <c r="F31" s="3087"/>
      <c r="G31" s="3080" t="s">
        <v>291</v>
      </c>
      <c r="H31" s="3088"/>
      <c r="I31" s="3082">
        <f t="shared" ref="I31" si="4">M31</f>
        <v>90000</v>
      </c>
      <c r="J31" s="3089"/>
      <c r="L31" s="3176">
        <f t="shared" si="0"/>
        <v>1175000</v>
      </c>
      <c r="M31" s="1909">
        <v>90000</v>
      </c>
      <c r="N31" s="1909"/>
      <c r="O31" s="1909"/>
      <c r="P31" s="1909" t="str">
        <f>VLOOKUP($D31,'HARGA 2020'!$D$21:$P$1136,4,0)</f>
        <v>OH</v>
      </c>
      <c r="Q31" s="1909">
        <f>VLOOKUP($D31,'HARGA 2022'!$D$21:$P$1136,6,0)</f>
        <v>87000</v>
      </c>
      <c r="R31" s="3041">
        <f>'Usulan 2019'!H31</f>
        <v>81000</v>
      </c>
      <c r="S31" s="3042">
        <f>'Usulan 2019'!I31</f>
        <v>81000</v>
      </c>
      <c r="T31" s="1909">
        <f>'Usulan 2019'!J31</f>
        <v>81000</v>
      </c>
    </row>
    <row r="32" spans="2:20" ht="15" customHeight="1" x14ac:dyDescent="0.2">
      <c r="B32" s="3076">
        <f t="shared" si="2"/>
        <v>10</v>
      </c>
      <c r="C32" s="3084"/>
      <c r="D32" s="3085" t="s">
        <v>370</v>
      </c>
      <c r="E32" s="3086"/>
      <c r="F32" s="3087"/>
      <c r="G32" s="3080" t="s">
        <v>291</v>
      </c>
      <c r="H32" s="3088"/>
      <c r="I32" s="3082">
        <f t="shared" ref="I32:I35" si="5">M32</f>
        <v>90000</v>
      </c>
      <c r="J32" s="3089"/>
      <c r="L32" s="3176">
        <f t="shared" si="0"/>
        <v>1175000</v>
      </c>
      <c r="M32" s="1909">
        <v>90000</v>
      </c>
      <c r="N32" s="1909"/>
      <c r="O32" s="1909"/>
      <c r="P32" s="1909" t="str">
        <f>VLOOKUP($D32,'HARGA 2020'!$D$21:$P$1136,4,0)</f>
        <v>OH</v>
      </c>
      <c r="Q32" s="1909">
        <f>VLOOKUP($D32,'HARGA 2022'!$D$21:$P$1136,6,0)</f>
        <v>87000</v>
      </c>
      <c r="R32" s="3041">
        <f>'Usulan 2019'!H44</f>
        <v>77000</v>
      </c>
      <c r="S32" s="3042">
        <f>'Usulan 2019'!I44</f>
        <v>77000</v>
      </c>
      <c r="T32" s="1909">
        <f>'Usulan 2019'!J44</f>
        <v>77000</v>
      </c>
    </row>
    <row r="33" spans="2:21" ht="15" customHeight="1" x14ac:dyDescent="0.2">
      <c r="B33" s="3076">
        <f t="shared" si="2"/>
        <v>11</v>
      </c>
      <c r="C33" s="3084"/>
      <c r="D33" s="3085" t="s">
        <v>249</v>
      </c>
      <c r="E33" s="3086"/>
      <c r="F33" s="3087"/>
      <c r="G33" s="3080" t="s">
        <v>291</v>
      </c>
      <c r="H33" s="3088"/>
      <c r="I33" s="3082">
        <f t="shared" si="5"/>
        <v>90000</v>
      </c>
      <c r="J33" s="3089"/>
      <c r="L33" s="3176">
        <f t="shared" si="0"/>
        <v>1175000</v>
      </c>
      <c r="M33" s="1909">
        <v>90000</v>
      </c>
      <c r="N33" s="1909"/>
      <c r="O33" s="1909"/>
      <c r="P33" s="1909" t="str">
        <f>VLOOKUP($D33,'HARGA 2020'!$D$21:$P$1136,4,0)</f>
        <v>OH</v>
      </c>
      <c r="Q33" s="1909">
        <f>VLOOKUP($D33,'HARGA 2022'!$D$21:$P$1136,6,0)</f>
        <v>87000</v>
      </c>
      <c r="R33" s="3041">
        <f>'Usulan 2019'!H45</f>
        <v>77000</v>
      </c>
      <c r="S33" s="3042">
        <f>'Usulan 2019'!I45</f>
        <v>77000</v>
      </c>
      <c r="T33" s="1909">
        <f>'Usulan 2019'!J45</f>
        <v>77000</v>
      </c>
    </row>
    <row r="34" spans="2:21" ht="15" customHeight="1" x14ac:dyDescent="0.2">
      <c r="B34" s="3076">
        <f t="shared" si="2"/>
        <v>12</v>
      </c>
      <c r="C34" s="3084"/>
      <c r="D34" s="3085" t="s">
        <v>371</v>
      </c>
      <c r="E34" s="3086"/>
      <c r="F34" s="3087"/>
      <c r="G34" s="3080" t="s">
        <v>291</v>
      </c>
      <c r="H34" s="3088"/>
      <c r="I34" s="3082">
        <f t="shared" si="5"/>
        <v>90000</v>
      </c>
      <c r="J34" s="3089"/>
      <c r="L34" s="3176">
        <f t="shared" si="0"/>
        <v>1175000</v>
      </c>
      <c r="M34" s="1909">
        <v>90000</v>
      </c>
      <c r="N34" s="1909"/>
      <c r="O34" s="1909"/>
      <c r="P34" s="1909" t="str">
        <f>VLOOKUP($D34,'HARGA 2020'!$D$21:$P$1136,4,0)</f>
        <v>OH</v>
      </c>
      <c r="Q34" s="1909">
        <f>VLOOKUP($D34,'HARGA 2022'!$D$21:$P$1136,6,0)</f>
        <v>87000</v>
      </c>
      <c r="R34" s="3041">
        <f>'Usulan 2019'!H46</f>
        <v>77000</v>
      </c>
      <c r="S34" s="3042">
        <f>'Usulan 2019'!I46</f>
        <v>77000</v>
      </c>
      <c r="T34" s="1909">
        <f>'Usulan 2019'!J46</f>
        <v>77000</v>
      </c>
    </row>
    <row r="35" spans="2:21" ht="15" customHeight="1" x14ac:dyDescent="0.2">
      <c r="B35" s="3076">
        <f t="shared" si="2"/>
        <v>13</v>
      </c>
      <c r="C35" s="3084"/>
      <c r="D35" s="3085" t="s">
        <v>19</v>
      </c>
      <c r="E35" s="3086"/>
      <c r="F35" s="3087"/>
      <c r="G35" s="3080" t="s">
        <v>291</v>
      </c>
      <c r="H35" s="3088"/>
      <c r="I35" s="3082">
        <f t="shared" si="5"/>
        <v>90000</v>
      </c>
      <c r="J35" s="3089"/>
      <c r="L35" s="3176">
        <f t="shared" si="0"/>
        <v>1175000</v>
      </c>
      <c r="M35" s="1909">
        <v>90000</v>
      </c>
      <c r="N35" s="1909"/>
      <c r="O35" s="1909"/>
      <c r="P35" s="1909" t="str">
        <f>VLOOKUP($D35,'HARGA 2020'!$D$21:$P$1136,4,0)</f>
        <v>OH</v>
      </c>
      <c r="Q35" s="1909">
        <f>VLOOKUP($D35,'HARGA 2022'!$D$21:$P$1136,6,0)</f>
        <v>87000</v>
      </c>
      <c r="R35" s="3041">
        <f>'Usulan 2019'!H47</f>
        <v>77000</v>
      </c>
      <c r="S35" s="3042">
        <f>'Usulan 2019'!I47</f>
        <v>77000</v>
      </c>
      <c r="T35" s="1909">
        <f>'Usulan 2019'!J47</f>
        <v>77000</v>
      </c>
    </row>
    <row r="36" spans="2:21" ht="15" customHeight="1" x14ac:dyDescent="0.2">
      <c r="B36" s="3076">
        <f t="shared" si="2"/>
        <v>14</v>
      </c>
      <c r="C36" s="3084"/>
      <c r="D36" s="3085" t="s">
        <v>334</v>
      </c>
      <c r="E36" s="3086"/>
      <c r="F36" s="3087"/>
      <c r="G36" s="3080" t="s">
        <v>291</v>
      </c>
      <c r="H36" s="3088"/>
      <c r="I36" s="3082">
        <f t="shared" si="3"/>
        <v>92000</v>
      </c>
      <c r="J36" s="3089"/>
      <c r="L36" s="3176">
        <f t="shared" si="0"/>
        <v>1175000</v>
      </c>
      <c r="M36" s="3040"/>
      <c r="N36" s="1909"/>
      <c r="O36" s="1909"/>
      <c r="P36" s="1909" t="str">
        <f>VLOOKUP($D36,'HARGA 2020'!$D$21:$P$1136,4,0)</f>
        <v>OH</v>
      </c>
      <c r="Q36" s="1909">
        <f>VLOOKUP($D36,'HARGA 2022'!$D$21:$P$1136,6,0)</f>
        <v>92000</v>
      </c>
      <c r="R36" s="3041">
        <f>'Usulan 2019'!H48</f>
        <v>81000</v>
      </c>
      <c r="S36" s="3042">
        <f>'Usulan 2019'!I48</f>
        <v>81000</v>
      </c>
      <c r="T36" s="1909">
        <f>'Usulan 2019'!J48</f>
        <v>81000</v>
      </c>
    </row>
    <row r="37" spans="2:21" ht="15" customHeight="1" x14ac:dyDescent="0.2">
      <c r="B37" s="3076">
        <f t="shared" si="2"/>
        <v>15</v>
      </c>
      <c r="C37" s="3084"/>
      <c r="D37" s="3085" t="s">
        <v>248</v>
      </c>
      <c r="E37" s="3086"/>
      <c r="F37" s="3087"/>
      <c r="G37" s="3080" t="s">
        <v>291</v>
      </c>
      <c r="H37" s="3088"/>
      <c r="I37" s="3082">
        <f t="shared" ref="I37:I38" si="6">M37</f>
        <v>90000</v>
      </c>
      <c r="J37" s="3089"/>
      <c r="L37" s="3176">
        <f t="shared" si="0"/>
        <v>1175000</v>
      </c>
      <c r="M37" s="1909">
        <v>90000</v>
      </c>
      <c r="N37" s="1909"/>
      <c r="O37" s="1909"/>
      <c r="P37" s="1909" t="str">
        <f>VLOOKUP($D37,'HARGA 2020'!$D$21:$P$1136,4,0)</f>
        <v>OH</v>
      </c>
      <c r="Q37" s="1909">
        <f>VLOOKUP($D37,'HARGA 2022'!$D$21:$P$1136,6,0)</f>
        <v>87000</v>
      </c>
      <c r="R37" s="3041">
        <f>'Usulan 2019'!H49</f>
        <v>77000</v>
      </c>
      <c r="S37" s="3042">
        <f>'Usulan 2019'!I49</f>
        <v>77000</v>
      </c>
      <c r="T37" s="1909">
        <f>'Usulan 2019'!J49</f>
        <v>77000</v>
      </c>
    </row>
    <row r="38" spans="2:21" ht="15" customHeight="1" x14ac:dyDescent="0.2">
      <c r="B38" s="3076">
        <f t="shared" si="2"/>
        <v>16</v>
      </c>
      <c r="C38" s="3084"/>
      <c r="D38" s="3085" t="s">
        <v>20</v>
      </c>
      <c r="E38" s="3086"/>
      <c r="F38" s="3087"/>
      <c r="G38" s="3080" t="s">
        <v>291</v>
      </c>
      <c r="H38" s="3088"/>
      <c r="I38" s="3082">
        <f t="shared" si="6"/>
        <v>90000</v>
      </c>
      <c r="J38" s="3089"/>
      <c r="L38" s="3176">
        <f t="shared" si="0"/>
        <v>1175000</v>
      </c>
      <c r="M38" s="1909">
        <v>90000</v>
      </c>
      <c r="N38" s="1909"/>
      <c r="O38" s="1909"/>
      <c r="P38" s="1909" t="str">
        <f>VLOOKUP($D38,'HARGA 2020'!$D$21:$P$1136,4,0)</f>
        <v>OH</v>
      </c>
      <c r="Q38" s="1909">
        <f>VLOOKUP($D38,'HARGA 2022'!$D$21:$P$1136,6,0)</f>
        <v>87000</v>
      </c>
      <c r="R38" s="3041">
        <f>'Usulan 2019'!H50</f>
        <v>77000</v>
      </c>
      <c r="S38" s="3042">
        <f>'Usulan 2019'!I50</f>
        <v>77000</v>
      </c>
      <c r="T38" s="1909">
        <f>'Usulan 2019'!J50</f>
        <v>77000</v>
      </c>
    </row>
    <row r="39" spans="2:21" ht="15" customHeight="1" thickBot="1" x14ac:dyDescent="0.25">
      <c r="B39" s="3091"/>
      <c r="C39" s="3092"/>
      <c r="D39" s="3093"/>
      <c r="E39" s="3094"/>
      <c r="F39" s="3095"/>
      <c r="G39" s="3096"/>
      <c r="H39" s="3097"/>
      <c r="I39" s="3098" t="s">
        <v>279</v>
      </c>
      <c r="J39" s="3099"/>
      <c r="L39" s="3176">
        <f t="shared" si="0"/>
        <v>1175000</v>
      </c>
      <c r="M39" s="3040"/>
      <c r="N39" s="1909"/>
      <c r="O39" s="1909"/>
      <c r="P39" s="1909"/>
      <c r="Q39" s="1909"/>
      <c r="R39" s="3041"/>
      <c r="S39" s="3042"/>
      <c r="T39" s="1909"/>
    </row>
    <row r="40" spans="2:21" ht="15" customHeight="1" thickTop="1" x14ac:dyDescent="0.2">
      <c r="B40" s="3032"/>
      <c r="C40" s="3035"/>
      <c r="D40" s="3036"/>
      <c r="E40" s="3037"/>
      <c r="F40" s="3038"/>
      <c r="G40" s="3032"/>
      <c r="H40" s="2818"/>
      <c r="I40" s="3100"/>
      <c r="J40" s="2818"/>
      <c r="L40" s="3176">
        <f t="shared" si="0"/>
        <v>1175000</v>
      </c>
      <c r="M40" s="3040"/>
      <c r="N40" s="1909"/>
      <c r="O40" s="1909"/>
      <c r="P40" s="1909"/>
      <c r="Q40" s="1909"/>
      <c r="R40" s="3041"/>
      <c r="S40" s="3042"/>
      <c r="T40" s="1909"/>
    </row>
    <row r="41" spans="2:21" ht="15" customHeight="1" x14ac:dyDescent="0.2">
      <c r="B41" s="2707" t="s">
        <v>1352</v>
      </c>
      <c r="C41" s="2863"/>
      <c r="D41" s="3068"/>
      <c r="E41" s="3038"/>
      <c r="F41" s="3038"/>
      <c r="G41" s="3101"/>
      <c r="H41" s="2818"/>
      <c r="I41" s="3102"/>
      <c r="L41" s="3176">
        <f t="shared" si="0"/>
        <v>1175000</v>
      </c>
      <c r="M41" s="3040"/>
      <c r="N41" s="1909"/>
      <c r="O41" s="1909"/>
      <c r="P41" s="1909"/>
      <c r="Q41" s="1909"/>
      <c r="R41" s="3041"/>
      <c r="S41" s="3042"/>
      <c r="T41" s="1909"/>
    </row>
    <row r="42" spans="2:21" ht="6.95" customHeight="1" thickBot="1" x14ac:dyDescent="0.25">
      <c r="C42" s="2818"/>
      <c r="H42" s="2818"/>
      <c r="L42" s="3176">
        <f t="shared" si="0"/>
        <v>1175000</v>
      </c>
      <c r="M42" s="3040"/>
      <c r="N42" s="1909"/>
      <c r="O42" s="1909"/>
      <c r="P42" s="1909"/>
      <c r="Q42" s="1909"/>
      <c r="R42" s="3041"/>
      <c r="S42" s="3042"/>
      <c r="T42" s="1909"/>
    </row>
    <row r="43" spans="2:21" ht="15" customHeight="1" thickTop="1" x14ac:dyDescent="0.2">
      <c r="B43" s="3046"/>
      <c r="C43" s="3047"/>
      <c r="D43" s="3048"/>
      <c r="E43" s="3049"/>
      <c r="F43" s="3050"/>
      <c r="G43" s="3051"/>
      <c r="H43" s="3047"/>
      <c r="I43" s="3103"/>
      <c r="J43" s="3052"/>
      <c r="L43" s="3176">
        <f t="shared" si="0"/>
        <v>1175000</v>
      </c>
      <c r="M43" s="3040"/>
      <c r="N43" s="1909"/>
      <c r="O43" s="1909"/>
      <c r="P43" s="1909"/>
      <c r="Q43" s="1909"/>
      <c r="R43" s="3041"/>
      <c r="S43" s="3042"/>
      <c r="T43" s="1909"/>
    </row>
    <row r="44" spans="2:21" ht="15" customHeight="1" x14ac:dyDescent="0.2">
      <c r="B44" s="3053" t="s">
        <v>261</v>
      </c>
      <c r="C44" s="3054"/>
      <c r="D44" s="3425" t="s">
        <v>819</v>
      </c>
      <c r="E44" s="3425"/>
      <c r="F44" s="3426"/>
      <c r="G44" s="3055" t="s">
        <v>262</v>
      </c>
      <c r="H44" s="3054"/>
      <c r="I44" s="3056" t="s">
        <v>263</v>
      </c>
      <c r="J44" s="3057" t="s">
        <v>396</v>
      </c>
      <c r="L44" s="3176">
        <f t="shared" si="0"/>
        <v>1175000</v>
      </c>
      <c r="M44" s="3040"/>
      <c r="N44" s="1909"/>
      <c r="O44" s="1909"/>
      <c r="P44" s="1909"/>
      <c r="Q44" s="1909"/>
      <c r="R44" s="3041"/>
      <c r="S44" s="3042"/>
      <c r="T44" s="1909"/>
    </row>
    <row r="45" spans="2:21" ht="15" customHeight="1" thickBot="1" x14ac:dyDescent="0.25">
      <c r="B45" s="3104"/>
      <c r="C45" s="3059"/>
      <c r="D45" s="3060"/>
      <c r="E45" s="3061"/>
      <c r="F45" s="3062"/>
      <c r="G45" s="3063"/>
      <c r="H45" s="3105"/>
      <c r="I45" s="3106"/>
      <c r="J45" s="3064"/>
      <c r="L45" s="3176">
        <f t="shared" si="0"/>
        <v>1175000</v>
      </c>
      <c r="M45" s="3040"/>
      <c r="N45" s="1909"/>
      <c r="O45" s="1909"/>
      <c r="P45" s="1909"/>
      <c r="Q45" s="1909"/>
      <c r="R45" s="3041"/>
      <c r="S45" s="3042"/>
      <c r="T45" s="1909"/>
    </row>
    <row r="46" spans="2:21" ht="15" customHeight="1" thickTop="1" x14ac:dyDescent="0.2">
      <c r="B46" s="3107"/>
      <c r="C46" s="3108"/>
      <c r="D46" s="3109"/>
      <c r="E46" s="3110"/>
      <c r="F46" s="3110"/>
      <c r="G46" s="3108"/>
      <c r="H46" s="3108"/>
      <c r="I46" s="3110"/>
      <c r="J46" s="3111"/>
      <c r="L46" s="3176">
        <f t="shared" si="0"/>
        <v>1175000</v>
      </c>
      <c r="M46" s="3040"/>
      <c r="N46" s="3112"/>
      <c r="O46" s="3112"/>
      <c r="P46" s="3112"/>
      <c r="Q46" s="3112"/>
      <c r="R46" s="3074" t="str">
        <f>R22</f>
        <v>WILAYAH 1</v>
      </c>
      <c r="S46" s="3075" t="str">
        <f>S22</f>
        <v>WILAYAH 2</v>
      </c>
      <c r="T46" s="2692" t="str">
        <f>T22</f>
        <v>WILAYAH 3</v>
      </c>
    </row>
    <row r="47" spans="2:21" ht="15" customHeight="1" x14ac:dyDescent="0.25">
      <c r="B47" s="3076">
        <v>1</v>
      </c>
      <c r="C47" s="3084"/>
      <c r="D47" s="3113" t="s">
        <v>163</v>
      </c>
      <c r="E47" s="3086"/>
      <c r="F47" s="3090"/>
      <c r="G47" s="3114" t="s">
        <v>264</v>
      </c>
      <c r="H47" s="3115"/>
      <c r="I47" s="3082">
        <f>Q47</f>
        <v>204100</v>
      </c>
      <c r="J47" s="3089"/>
      <c r="L47" s="3176">
        <f t="shared" si="0"/>
        <v>1175000</v>
      </c>
      <c r="M47" s="3040"/>
      <c r="N47" s="1909"/>
      <c r="O47" s="1909"/>
      <c r="P47" s="1909" t="str">
        <f>VLOOKUP($D47,'HARGA 2020'!$D$21:$P$1136,4,0)</f>
        <v>m³</v>
      </c>
      <c r="Q47" s="1909">
        <f>VLOOKUP($D47,'HARGA 2022'!$D$21:$P$1136,6,0)</f>
        <v>204100</v>
      </c>
      <c r="R47" s="3041">
        <f>'Usulan 2019'!H63</f>
        <v>190000</v>
      </c>
      <c r="S47" s="3042">
        <f>'Usulan 2019'!I63</f>
        <v>190000</v>
      </c>
      <c r="T47" s="1909">
        <f>'Usulan 2019'!J63</f>
        <v>190000</v>
      </c>
      <c r="U47" s="1909"/>
    </row>
    <row r="48" spans="2:21" ht="15" customHeight="1" x14ac:dyDescent="0.25">
      <c r="B48" s="3076">
        <f>B47+1</f>
        <v>2</v>
      </c>
      <c r="C48" s="3084"/>
      <c r="D48" s="3113" t="s">
        <v>305</v>
      </c>
      <c r="E48" s="3086"/>
      <c r="F48" s="3090"/>
      <c r="G48" s="3114" t="s">
        <v>392</v>
      </c>
      <c r="H48" s="3115"/>
      <c r="I48" s="3082">
        <f t="shared" ref="I48:I70" si="7">Q48</f>
        <v>45</v>
      </c>
      <c r="J48" s="3089"/>
      <c r="L48" s="3176">
        <f t="shared" si="0"/>
        <v>1175000</v>
      </c>
      <c r="M48" s="3040"/>
      <c r="N48" s="1909"/>
      <c r="O48" s="1909"/>
      <c r="P48" s="1909" t="str">
        <f>VLOOKUP($D48,'HARGA 2020'!$D$21:$P$1136,4,0)</f>
        <v>ltr</v>
      </c>
      <c r="Q48" s="1909">
        <f>VLOOKUP($D48,'HARGA 2020'!$D$21:$P$1136,6,0)</f>
        <v>45</v>
      </c>
      <c r="R48" s="3041">
        <f>'Usulan 2019'!H64</f>
        <v>85</v>
      </c>
      <c r="S48" s="3042">
        <f>'Usulan 2019'!I64</f>
        <v>85</v>
      </c>
      <c r="T48" s="1909">
        <f>'Usulan 2019'!J64</f>
        <v>85</v>
      </c>
    </row>
    <row r="49" spans="2:20" ht="15" customHeight="1" x14ac:dyDescent="0.25">
      <c r="B49" s="3076">
        <f t="shared" ref="B49:B113" si="8">B48+1</f>
        <v>3</v>
      </c>
      <c r="C49" s="3116"/>
      <c r="D49" s="3117" t="s">
        <v>157</v>
      </c>
      <c r="E49" s="3118"/>
      <c r="F49" s="3119"/>
      <c r="G49" s="3114" t="s">
        <v>266</v>
      </c>
      <c r="H49" s="3120"/>
      <c r="I49" s="3082">
        <f t="shared" si="7"/>
        <v>14600</v>
      </c>
      <c r="J49" s="3089"/>
      <c r="L49" s="3176">
        <f t="shared" si="0"/>
        <v>1175000</v>
      </c>
      <c r="M49" s="3040"/>
      <c r="N49" s="1909"/>
      <c r="O49" s="1909"/>
      <c r="P49" s="1909" t="str">
        <f>VLOOKUP($D49,'HARGA 2020'!$D$21:$P$1136,4,0)</f>
        <v>m²</v>
      </c>
      <c r="Q49" s="1909">
        <f>VLOOKUP($D49,'HARGA 2022'!$D$21:$P$1136,6,0)</f>
        <v>14600</v>
      </c>
      <c r="R49" s="3041">
        <f>'Usulan 2019'!H65</f>
        <v>13600</v>
      </c>
      <c r="S49" s="3042">
        <f>'Usulan 2019'!I65</f>
        <v>13600</v>
      </c>
      <c r="T49" s="1909">
        <f>'Usulan 2019'!J65</f>
        <v>13600</v>
      </c>
    </row>
    <row r="50" spans="2:20" ht="15" customHeight="1" x14ac:dyDescent="0.25">
      <c r="B50" s="3076">
        <f t="shared" si="8"/>
        <v>4</v>
      </c>
      <c r="C50" s="3084"/>
      <c r="D50" s="3117" t="s">
        <v>677</v>
      </c>
      <c r="E50" s="3118"/>
      <c r="F50" s="3119"/>
      <c r="G50" s="3114" t="s">
        <v>247</v>
      </c>
      <c r="H50" s="3115"/>
      <c r="I50" s="3082">
        <f t="shared" si="7"/>
        <v>9400</v>
      </c>
      <c r="J50" s="3089"/>
      <c r="L50" s="3176">
        <f t="shared" si="0"/>
        <v>1175000</v>
      </c>
      <c r="M50" s="3040"/>
      <c r="N50" s="1909"/>
      <c r="O50" s="1909"/>
      <c r="P50" s="1909" t="str">
        <f>VLOOKUP($D50,'HARGA 2020'!$D$21:$P$1136,4,0)</f>
        <v>m'</v>
      </c>
      <c r="Q50" s="1909">
        <f>VLOOKUP($D50,'HARGA 2022'!$D$21:$P$1136,6,0)</f>
        <v>9400</v>
      </c>
      <c r="R50" s="3041">
        <f>'Usulan 2019'!H66</f>
        <v>8700</v>
      </c>
      <c r="S50" s="3042">
        <f>'Usulan 2019'!I66</f>
        <v>8700</v>
      </c>
      <c r="T50" s="1909">
        <f>'Usulan 2019'!J66</f>
        <v>8700</v>
      </c>
    </row>
    <row r="51" spans="2:20" ht="15" customHeight="1" x14ac:dyDescent="0.25">
      <c r="B51" s="3076">
        <f t="shared" si="8"/>
        <v>5</v>
      </c>
      <c r="C51" s="3084"/>
      <c r="D51" s="3113" t="s">
        <v>824</v>
      </c>
      <c r="E51" s="3086"/>
      <c r="F51" s="3090"/>
      <c r="G51" s="3114" t="s">
        <v>266</v>
      </c>
      <c r="H51" s="3115"/>
      <c r="I51" s="3082">
        <f t="shared" si="7"/>
        <v>92000</v>
      </c>
      <c r="J51" s="3089"/>
      <c r="L51" s="3176">
        <f t="shared" si="0"/>
        <v>1175000</v>
      </c>
      <c r="M51" s="3040"/>
      <c r="N51" s="1909"/>
      <c r="O51" s="1909"/>
      <c r="P51" s="1909" t="str">
        <f>VLOOKUP($D51,'HARGA 2020'!$D$21:$P$1136,4,0)</f>
        <v>m²</v>
      </c>
      <c r="Q51" s="1909">
        <v>92000</v>
      </c>
      <c r="R51" s="3041">
        <f>'Usulan 2019'!H73</f>
        <v>53000</v>
      </c>
      <c r="S51" s="3042">
        <f>'Usulan 2019'!I73</f>
        <v>53000</v>
      </c>
      <c r="T51" s="1909">
        <f>'Usulan 2019'!J73</f>
        <v>53000</v>
      </c>
    </row>
    <row r="52" spans="2:20" ht="15" customHeight="1" x14ac:dyDescent="0.25">
      <c r="B52" s="3076">
        <f t="shared" si="8"/>
        <v>6</v>
      </c>
      <c r="C52" s="3084"/>
      <c r="D52" s="3113" t="s">
        <v>1964</v>
      </c>
      <c r="E52" s="3086"/>
      <c r="F52" s="3090"/>
      <c r="G52" s="3121" t="s">
        <v>247</v>
      </c>
      <c r="H52" s="3115"/>
      <c r="I52" s="3082">
        <v>35000</v>
      </c>
      <c r="J52" s="3089"/>
      <c r="L52" s="3176">
        <f t="shared" si="0"/>
        <v>1175000</v>
      </c>
      <c r="M52" s="3040"/>
      <c r="N52" s="1909"/>
      <c r="O52" s="1909"/>
      <c r="P52" s="1909" t="e">
        <f>VLOOKUP($D52,'HARGA 2020'!$D$21:$P$1136,4,0)</f>
        <v>#N/A</v>
      </c>
      <c r="Q52" s="1909" t="e">
        <f>VLOOKUP($D52,'HARGA 2020'!$D$21:$P$1136,6,0)</f>
        <v>#N/A</v>
      </c>
      <c r="R52" s="3041">
        <f>'Usulan 2019'!H74</f>
        <v>103000</v>
      </c>
      <c r="S52" s="3042">
        <f>'Usulan 2019'!I74</f>
        <v>103000</v>
      </c>
      <c r="T52" s="1909">
        <f>'Usulan 2019'!J74</f>
        <v>103000</v>
      </c>
    </row>
    <row r="53" spans="2:20" ht="15" customHeight="1" x14ac:dyDescent="0.25">
      <c r="B53" s="3076">
        <f t="shared" si="8"/>
        <v>7</v>
      </c>
      <c r="C53" s="3084"/>
      <c r="D53" s="3117" t="s">
        <v>1958</v>
      </c>
      <c r="E53" s="3118"/>
      <c r="F53" s="3119"/>
      <c r="G53" s="3114" t="s">
        <v>247</v>
      </c>
      <c r="H53" s="3115"/>
      <c r="I53" s="3082">
        <f>125000/6</f>
        <v>20833.333333333332</v>
      </c>
      <c r="J53" s="3089"/>
      <c r="L53" s="3176">
        <f t="shared" si="0"/>
        <v>1175000</v>
      </c>
      <c r="M53" s="3040"/>
      <c r="N53" s="1909"/>
      <c r="O53" s="1909"/>
      <c r="P53" s="1909" t="e">
        <f>VLOOKUP($D53,'HARGA 2020'!$D$21:$P$1136,4,0)</f>
        <v>#N/A</v>
      </c>
      <c r="Q53" s="1909" t="e">
        <f>VLOOKUP($D53,'HARGA 2020'!$D$21:$P$1136,6,0)</f>
        <v>#N/A</v>
      </c>
      <c r="R53" s="3041">
        <f>'Usulan 2019'!H88</f>
        <v>10000</v>
      </c>
      <c r="S53" s="3042">
        <f>'Usulan 2019'!I88</f>
        <v>10000</v>
      </c>
      <c r="T53" s="1909">
        <f>'Usulan 2019'!J88</f>
        <v>10000</v>
      </c>
    </row>
    <row r="54" spans="2:20" ht="15" customHeight="1" x14ac:dyDescent="0.25">
      <c r="B54" s="3076">
        <f>B53+1</f>
        <v>8</v>
      </c>
      <c r="C54" s="3084"/>
      <c r="D54" s="3117" t="s">
        <v>26</v>
      </c>
      <c r="E54" s="3118"/>
      <c r="F54" s="3119"/>
      <c r="G54" s="3080" t="s">
        <v>276</v>
      </c>
      <c r="H54" s="3115"/>
      <c r="I54" s="3082">
        <v>12000</v>
      </c>
      <c r="J54" s="3089"/>
      <c r="L54" s="3176">
        <f t="shared" si="0"/>
        <v>1175000</v>
      </c>
      <c r="M54" s="3040"/>
      <c r="N54" s="1909"/>
      <c r="O54" s="1909"/>
      <c r="P54" s="1909" t="str">
        <f>VLOOKUP($D54,'HARGA 2020'!$D$21:$P$1136,4,0)</f>
        <v>ljr</v>
      </c>
      <c r="Q54" s="1909">
        <f>VLOOKUP($D54,'HARGA 2020'!$D$21:$P$1136,6,0)</f>
        <v>11000</v>
      </c>
      <c r="R54" s="3041">
        <f>'Usulan 2019'!H88</f>
        <v>10000</v>
      </c>
      <c r="S54" s="3042">
        <f>'Usulan 2019'!I88</f>
        <v>10000</v>
      </c>
      <c r="T54" s="1909">
        <f>'Usulan 2019'!J88</f>
        <v>10000</v>
      </c>
    </row>
    <row r="55" spans="2:20" ht="15" customHeight="1" x14ac:dyDescent="0.25">
      <c r="B55" s="3076">
        <f t="shared" si="8"/>
        <v>9</v>
      </c>
      <c r="C55" s="3084"/>
      <c r="D55" s="3117" t="s">
        <v>27</v>
      </c>
      <c r="E55" s="3118"/>
      <c r="F55" s="3119"/>
      <c r="G55" s="3080" t="s">
        <v>276</v>
      </c>
      <c r="H55" s="3115"/>
      <c r="I55" s="3082">
        <f t="shared" si="7"/>
        <v>20000</v>
      </c>
      <c r="J55" s="3089"/>
      <c r="L55" s="3176">
        <f t="shared" ref="L55:L87" si="9">$L$20</f>
        <v>1175000</v>
      </c>
      <c r="M55" s="3040"/>
      <c r="N55" s="1909"/>
      <c r="O55" s="1909"/>
      <c r="P55" s="1909" t="str">
        <f>VLOOKUP($D55,'HARGA 2020'!$D$21:$P$1136,4,0)</f>
        <v>ljr</v>
      </c>
      <c r="Q55" s="1909">
        <f>VLOOKUP($D55,'HARGA 2020'!$D$21:$P$1136,6,0)</f>
        <v>20000</v>
      </c>
      <c r="R55" s="3041">
        <f>'Usulan 2019'!H89</f>
        <v>19000</v>
      </c>
      <c r="S55" s="3042">
        <f>'Usulan 2019'!I89</f>
        <v>19000</v>
      </c>
      <c r="T55" s="1909">
        <f>'Usulan 2019'!J89</f>
        <v>19000</v>
      </c>
    </row>
    <row r="56" spans="2:20" ht="15" customHeight="1" x14ac:dyDescent="0.25">
      <c r="B56" s="3076">
        <f t="shared" si="8"/>
        <v>10</v>
      </c>
      <c r="C56" s="3122"/>
      <c r="D56" s="3113" t="s">
        <v>710</v>
      </c>
      <c r="E56" s="3086"/>
      <c r="F56" s="3090"/>
      <c r="G56" s="3080" t="s">
        <v>266</v>
      </c>
      <c r="H56" s="3115"/>
      <c r="I56" s="3082">
        <v>180000</v>
      </c>
      <c r="J56" s="3089"/>
      <c r="L56" s="3176">
        <f t="shared" si="9"/>
        <v>1175000</v>
      </c>
      <c r="M56" s="3040"/>
      <c r="N56" s="1909"/>
      <c r="O56" s="1909"/>
      <c r="P56" s="1909" t="str">
        <f>VLOOKUP($D56,'HARGA 2020'!$D$21:$P$1136,4,0)</f>
        <v>m²</v>
      </c>
      <c r="Q56" s="1909">
        <f>VLOOKUP($D56,'HARGA 2020'!$D$21:$P$1136,6,0)</f>
        <v>204000</v>
      </c>
      <c r="R56" s="3041">
        <f>'Usulan 2019'!H91</f>
        <v>190000</v>
      </c>
      <c r="S56" s="3042">
        <f>'Usulan 2019'!I91</f>
        <v>190000</v>
      </c>
      <c r="T56" s="1909">
        <f>'Usulan 2019'!J91</f>
        <v>190000</v>
      </c>
    </row>
    <row r="57" spans="2:20" ht="15" customHeight="1" x14ac:dyDescent="0.2">
      <c r="B57" s="3076">
        <f t="shared" si="8"/>
        <v>11</v>
      </c>
      <c r="C57" s="3084"/>
      <c r="D57" s="3113" t="s">
        <v>30</v>
      </c>
      <c r="E57" s="3086"/>
      <c r="F57" s="3086"/>
      <c r="G57" s="3080" t="s">
        <v>268</v>
      </c>
      <c r="H57" s="3115"/>
      <c r="I57" s="3082">
        <v>800</v>
      </c>
      <c r="J57" s="3089"/>
      <c r="L57" s="3176">
        <f t="shared" si="9"/>
        <v>1175000</v>
      </c>
      <c r="M57" s="3040"/>
      <c r="N57" s="1909"/>
      <c r="O57" s="1909"/>
      <c r="P57" s="1909" t="str">
        <f>VLOOKUP($D57,'HARGA 2020'!$D$21:$P$1136,4,0)</f>
        <v>bh</v>
      </c>
      <c r="Q57" s="1909">
        <v>690</v>
      </c>
      <c r="R57" s="3041">
        <f>'Usulan 2019'!H94</f>
        <v>800</v>
      </c>
      <c r="S57" s="3042">
        <f>'Usulan 2019'!I94</f>
        <v>800</v>
      </c>
      <c r="T57" s="1909">
        <f>'Usulan 2019'!J94</f>
        <v>800</v>
      </c>
    </row>
    <row r="58" spans="2:20" ht="15" customHeight="1" x14ac:dyDescent="0.2">
      <c r="B58" s="3076">
        <f t="shared" si="8"/>
        <v>12</v>
      </c>
      <c r="C58" s="3084"/>
      <c r="D58" s="3113" t="s">
        <v>29</v>
      </c>
      <c r="E58" s="3086"/>
      <c r="F58" s="3086"/>
      <c r="G58" s="3114" t="s">
        <v>264</v>
      </c>
      <c r="H58" s="3115"/>
      <c r="I58" s="3082">
        <f t="shared" si="7"/>
        <v>285000</v>
      </c>
      <c r="J58" s="3089"/>
      <c r="L58" s="3176">
        <f t="shared" si="9"/>
        <v>1175000</v>
      </c>
      <c r="M58" s="3040"/>
      <c r="N58" s="1909"/>
      <c r="O58" s="1909"/>
      <c r="P58" s="1909" t="str">
        <f>VLOOKUP($D58,'HARGA 2020'!$D$21:$P$1136,4,0)</f>
        <v>m³</v>
      </c>
      <c r="Q58" s="1909">
        <f>VLOOKUP($D58,'HARGA 2022'!$D$21:$P$1136,6,0)</f>
        <v>285000</v>
      </c>
      <c r="R58" s="3041">
        <f>'Usulan 2019'!H98</f>
        <v>271000</v>
      </c>
      <c r="S58" s="3042">
        <f>'Usulan 2019'!I98</f>
        <v>261000</v>
      </c>
      <c r="T58" s="1909">
        <f>'Usulan 2019'!J98</f>
        <v>261000</v>
      </c>
    </row>
    <row r="59" spans="2:20" ht="15" customHeight="1" x14ac:dyDescent="0.25">
      <c r="B59" s="3076">
        <f t="shared" si="8"/>
        <v>13</v>
      </c>
      <c r="C59" s="3084"/>
      <c r="D59" s="3113" t="s">
        <v>675</v>
      </c>
      <c r="E59" s="3086"/>
      <c r="F59" s="3090"/>
      <c r="G59" s="3114" t="s">
        <v>264</v>
      </c>
      <c r="H59" s="3115"/>
      <c r="I59" s="3082">
        <v>270000</v>
      </c>
      <c r="J59" s="3089"/>
      <c r="L59" s="3176">
        <f t="shared" si="9"/>
        <v>1175000</v>
      </c>
      <c r="M59" s="3040"/>
      <c r="N59" s="1909"/>
      <c r="O59" s="1909"/>
      <c r="P59" s="1909" t="str">
        <f>VLOOKUP($D59,'HARGA 2020'!$D$21:$P$1136,4,0)</f>
        <v>m³</v>
      </c>
      <c r="Q59" s="1909">
        <f>VLOOKUP($D59,'HARGA 2020'!$D$21:$P$1136,6,0)</f>
        <v>270000</v>
      </c>
      <c r="R59" s="3041">
        <f>'Usulan 2019'!H102</f>
        <v>220000</v>
      </c>
      <c r="S59" s="3042">
        <f>'Usulan 2019'!I102</f>
        <v>225000</v>
      </c>
      <c r="T59" s="1909">
        <f>'Usulan 2019'!J102</f>
        <v>230000</v>
      </c>
    </row>
    <row r="60" spans="2:20" ht="15" customHeight="1" x14ac:dyDescent="0.25">
      <c r="B60" s="3076">
        <f t="shared" si="8"/>
        <v>14</v>
      </c>
      <c r="C60" s="3084"/>
      <c r="D60" s="3113" t="s">
        <v>676</v>
      </c>
      <c r="E60" s="3086"/>
      <c r="F60" s="3090"/>
      <c r="G60" s="3114" t="s">
        <v>264</v>
      </c>
      <c r="H60" s="3115"/>
      <c r="I60" s="3082">
        <f>I59</f>
        <v>270000</v>
      </c>
      <c r="J60" s="3089"/>
      <c r="L60" s="3176">
        <f t="shared" si="9"/>
        <v>1175000</v>
      </c>
      <c r="M60" s="3040"/>
      <c r="N60" s="1909"/>
      <c r="O60" s="1909"/>
      <c r="P60" s="1909" t="str">
        <f>VLOOKUP($D60,'HARGA 2020'!$D$21:$P$1136,4,0)</f>
        <v>m³</v>
      </c>
      <c r="Q60" s="1909">
        <f>VLOOKUP($D60,'HARGA 2020'!$D$21:$P$1136,6,0)</f>
        <v>270000</v>
      </c>
      <c r="R60" s="3041">
        <f>'Usulan 2019'!H103</f>
        <v>220000</v>
      </c>
      <c r="S60" s="3042">
        <f>'Usulan 2019'!I103</f>
        <v>225000</v>
      </c>
      <c r="T60" s="1909">
        <f>'Usulan 2019'!J103</f>
        <v>230000</v>
      </c>
    </row>
    <row r="61" spans="2:20" ht="15" customHeight="1" x14ac:dyDescent="0.25">
      <c r="B61" s="3076">
        <f t="shared" si="8"/>
        <v>15</v>
      </c>
      <c r="C61" s="3084"/>
      <c r="D61" s="3113" t="s">
        <v>670</v>
      </c>
      <c r="E61" s="3086"/>
      <c r="F61" s="3090"/>
      <c r="G61" s="3114" t="s">
        <v>264</v>
      </c>
      <c r="H61" s="3115"/>
      <c r="I61" s="3082">
        <f>I60</f>
        <v>270000</v>
      </c>
      <c r="J61" s="3089"/>
      <c r="L61" s="3176">
        <f t="shared" si="9"/>
        <v>1175000</v>
      </c>
      <c r="M61" s="3040"/>
      <c r="N61" s="1909"/>
      <c r="O61" s="1909"/>
      <c r="P61" s="1909" t="str">
        <f>VLOOKUP($D61,'HARGA 2020'!$D$21:$P$1136,4,0)</f>
        <v>m³</v>
      </c>
      <c r="Q61" s="1909">
        <f>VLOOKUP($D61,'HARGA 2020'!$D$21:$P$1136,6,0)</f>
        <v>270000</v>
      </c>
      <c r="R61" s="3041">
        <f>'Usulan 2019'!H104</f>
        <v>220000</v>
      </c>
      <c r="S61" s="3042">
        <f>'Usulan 2019'!I104</f>
        <v>225000</v>
      </c>
      <c r="T61" s="1909">
        <f>'Usulan 2019'!J104</f>
        <v>230000</v>
      </c>
    </row>
    <row r="62" spans="2:20" ht="15" customHeight="1" x14ac:dyDescent="0.25">
      <c r="B62" s="3076">
        <f t="shared" si="8"/>
        <v>16</v>
      </c>
      <c r="C62" s="3084"/>
      <c r="D62" s="3113" t="s">
        <v>192</v>
      </c>
      <c r="E62" s="3086"/>
      <c r="F62" s="3090"/>
      <c r="G62" s="3114" t="s">
        <v>264</v>
      </c>
      <c r="H62" s="3115"/>
      <c r="I62" s="3082">
        <f>I61</f>
        <v>270000</v>
      </c>
      <c r="J62" s="3089"/>
      <c r="L62" s="3176">
        <f t="shared" si="9"/>
        <v>1175000</v>
      </c>
      <c r="M62" s="3040"/>
      <c r="N62" s="1909"/>
      <c r="O62" s="1909"/>
      <c r="P62" s="1909" t="str">
        <f>VLOOKUP($D62,'HARGA 2020'!$D$21:$P$1136,4,0)</f>
        <v>m³</v>
      </c>
      <c r="Q62" s="1909">
        <f>VLOOKUP($D62,'HARGA 2020'!$D$21:$P$1136,6,0)</f>
        <v>270000</v>
      </c>
      <c r="R62" s="3041">
        <f>'Usulan 2019'!H105</f>
        <v>220000</v>
      </c>
      <c r="S62" s="3042">
        <f>'Usulan 2019'!I105</f>
        <v>225000</v>
      </c>
      <c r="T62" s="1909">
        <f>'Usulan 2019'!J105</f>
        <v>230000</v>
      </c>
    </row>
    <row r="63" spans="2:20" ht="15" customHeight="1" x14ac:dyDescent="0.25">
      <c r="B63" s="3076">
        <f t="shared" si="8"/>
        <v>17</v>
      </c>
      <c r="C63" s="3084"/>
      <c r="D63" s="3113" t="s">
        <v>193</v>
      </c>
      <c r="E63" s="3086"/>
      <c r="F63" s="3090"/>
      <c r="G63" s="3114" t="s">
        <v>264</v>
      </c>
      <c r="H63" s="3115"/>
      <c r="I63" s="3082">
        <f>I62</f>
        <v>270000</v>
      </c>
      <c r="J63" s="3089"/>
      <c r="L63" s="3176">
        <f t="shared" si="9"/>
        <v>1175000</v>
      </c>
      <c r="M63" s="3040"/>
      <c r="N63" s="1909"/>
      <c r="O63" s="1909"/>
      <c r="P63" s="1909" t="str">
        <f>VLOOKUP($D63,'HARGA 2020'!$D$21:$P$1136,4,0)</f>
        <v>m³</v>
      </c>
      <c r="Q63" s="1909">
        <f>VLOOKUP($D63,'HARGA 2020'!$D$21:$P$1136,6,0)</f>
        <v>280000</v>
      </c>
      <c r="R63" s="3041">
        <f>'Usulan 2019'!H106</f>
        <v>265000</v>
      </c>
      <c r="S63" s="3042">
        <f>'Usulan 2019'!I106</f>
        <v>255000</v>
      </c>
      <c r="T63" s="1909">
        <f>'Usulan 2019'!J106</f>
        <v>255000</v>
      </c>
    </row>
    <row r="64" spans="2:20" ht="15" customHeight="1" x14ac:dyDescent="0.25">
      <c r="B64" s="3076">
        <f t="shared" si="8"/>
        <v>18</v>
      </c>
      <c r="C64" s="3084"/>
      <c r="D64" s="3113" t="s">
        <v>671</v>
      </c>
      <c r="E64" s="3086"/>
      <c r="F64" s="3090"/>
      <c r="G64" s="3114" t="s">
        <v>264</v>
      </c>
      <c r="H64" s="3115"/>
      <c r="I64" s="3082">
        <f t="shared" ref="I64:I67" si="10">I63</f>
        <v>270000</v>
      </c>
      <c r="J64" s="3089"/>
      <c r="L64" s="3176">
        <f t="shared" si="9"/>
        <v>1175000</v>
      </c>
      <c r="M64" s="3040"/>
      <c r="N64" s="1909"/>
      <c r="O64" s="1909"/>
      <c r="P64" s="1909" t="str">
        <f>VLOOKUP($D64,'HARGA 2020'!$D$21:$P$1136,4,0)</f>
        <v>m³</v>
      </c>
      <c r="Q64" s="1909">
        <f>VLOOKUP($D64,'HARGA 2020'!$D$21:$P$1136,6,0)</f>
        <v>280000</v>
      </c>
      <c r="R64" s="3041">
        <f>'Usulan 2019'!H107</f>
        <v>265000</v>
      </c>
      <c r="S64" s="3042">
        <f>'Usulan 2019'!I107</f>
        <v>255000</v>
      </c>
      <c r="T64" s="1909">
        <f>'Usulan 2019'!J107</f>
        <v>255000</v>
      </c>
    </row>
    <row r="65" spans="2:21" ht="15" customHeight="1" x14ac:dyDescent="0.25">
      <c r="B65" s="3076">
        <f t="shared" si="8"/>
        <v>19</v>
      </c>
      <c r="C65" s="3084"/>
      <c r="D65" s="3113" t="s">
        <v>672</v>
      </c>
      <c r="E65" s="3086"/>
      <c r="F65" s="3090"/>
      <c r="G65" s="3114" t="s">
        <v>264</v>
      </c>
      <c r="H65" s="3115"/>
      <c r="I65" s="3082">
        <f t="shared" si="10"/>
        <v>270000</v>
      </c>
      <c r="J65" s="3089"/>
      <c r="L65" s="3176">
        <f t="shared" si="9"/>
        <v>1175000</v>
      </c>
      <c r="M65" s="3040"/>
      <c r="N65" s="1909"/>
      <c r="O65" s="1909"/>
      <c r="P65" s="1909" t="str">
        <f>VLOOKUP($D65,'HARGA 2020'!$D$21:$P$1136,4,0)</f>
        <v>m³</v>
      </c>
      <c r="Q65" s="1909">
        <f>VLOOKUP($D65,'HARGA 2020'!$D$21:$P$1136,6,0)</f>
        <v>280000</v>
      </c>
      <c r="R65" s="3041">
        <f>'Usulan 2019'!H108</f>
        <v>263000</v>
      </c>
      <c r="S65" s="3042">
        <f>'Usulan 2019'!I108</f>
        <v>253000</v>
      </c>
      <c r="T65" s="1909">
        <f>'Usulan 2019'!J108</f>
        <v>253000</v>
      </c>
    </row>
    <row r="66" spans="2:21" ht="15" customHeight="1" x14ac:dyDescent="0.25">
      <c r="B66" s="3076">
        <f t="shared" si="8"/>
        <v>20</v>
      </c>
      <c r="C66" s="3084"/>
      <c r="D66" s="3113" t="s">
        <v>673</v>
      </c>
      <c r="E66" s="3086"/>
      <c r="F66" s="3090"/>
      <c r="G66" s="3114" t="s">
        <v>264</v>
      </c>
      <c r="H66" s="3115"/>
      <c r="I66" s="3082">
        <f t="shared" si="10"/>
        <v>270000</v>
      </c>
      <c r="J66" s="3089"/>
      <c r="L66" s="3176">
        <f t="shared" si="9"/>
        <v>1175000</v>
      </c>
      <c r="M66" s="3040"/>
      <c r="N66" s="1909"/>
      <c r="O66" s="1909"/>
      <c r="P66" s="1909" t="str">
        <f>VLOOKUP($D66,'HARGA 2020'!$D$21:$P$1136,4,0)</f>
        <v>m³</v>
      </c>
      <c r="Q66" s="1909">
        <f>VLOOKUP($D66,'HARGA 2020'!$D$21:$P$1136,6,0)</f>
        <v>285000</v>
      </c>
      <c r="R66" s="3041">
        <f>'Usulan 2019'!H109</f>
        <v>262000</v>
      </c>
      <c r="S66" s="3042">
        <f>'Usulan 2019'!I109</f>
        <v>252000</v>
      </c>
      <c r="T66" s="1909">
        <f>'Usulan 2019'!J109</f>
        <v>252000</v>
      </c>
    </row>
    <row r="67" spans="2:21" ht="15" customHeight="1" x14ac:dyDescent="0.25">
      <c r="B67" s="3076">
        <f t="shared" si="8"/>
        <v>21</v>
      </c>
      <c r="C67" s="3084"/>
      <c r="D67" s="3113" t="s">
        <v>674</v>
      </c>
      <c r="E67" s="3086"/>
      <c r="F67" s="3090"/>
      <c r="G67" s="3114" t="s">
        <v>264</v>
      </c>
      <c r="H67" s="3115"/>
      <c r="I67" s="3082">
        <f t="shared" si="10"/>
        <v>270000</v>
      </c>
      <c r="J67" s="3089"/>
      <c r="L67" s="3176">
        <f t="shared" si="9"/>
        <v>1175000</v>
      </c>
      <c r="M67" s="3040"/>
      <c r="N67" s="1909"/>
      <c r="O67" s="1909"/>
      <c r="P67" s="1909" t="str">
        <f>VLOOKUP($D67,'HARGA 2020'!$D$21:$P$1136,4,0)</f>
        <v>m³</v>
      </c>
      <c r="Q67" s="1909">
        <f>VLOOKUP($D67,'HARGA 2020'!$D$21:$P$1136,6,0)</f>
        <v>285000</v>
      </c>
      <c r="R67" s="3041">
        <f>'Usulan 2019'!H110</f>
        <v>260000</v>
      </c>
      <c r="S67" s="3042">
        <f>'Usulan 2019'!I110</f>
        <v>250000</v>
      </c>
      <c r="T67" s="1909">
        <f>'Usulan 2019'!J110</f>
        <v>250000</v>
      </c>
    </row>
    <row r="68" spans="2:21" ht="15" customHeight="1" x14ac:dyDescent="0.25">
      <c r="B68" s="3076">
        <f t="shared" si="8"/>
        <v>22</v>
      </c>
      <c r="C68" s="3084"/>
      <c r="D68" s="3117" t="s">
        <v>454</v>
      </c>
      <c r="E68" s="3118"/>
      <c r="F68" s="3119"/>
      <c r="G68" s="3114" t="s">
        <v>298</v>
      </c>
      <c r="H68" s="3123"/>
      <c r="I68" s="3082">
        <f t="shared" si="7"/>
        <v>11500</v>
      </c>
      <c r="J68" s="3089"/>
      <c r="L68" s="3176">
        <f t="shared" si="9"/>
        <v>1175000</v>
      </c>
      <c r="M68" s="3040"/>
      <c r="N68" s="1909">
        <f>VLOOKUP($D68,'HARGA 2020'!$D$21:$P$1136,6,0)</f>
        <v>11000</v>
      </c>
      <c r="O68" s="1909"/>
      <c r="P68" s="1909" t="str">
        <f>VLOOKUP($D68,'HARGA 2020'!$D$21:$P$1136,4,0)</f>
        <v>kg</v>
      </c>
      <c r="Q68" s="1909">
        <f>VLOOKUP($D68,'HARGA 2022'!$D$21:$P$1136,6,0)</f>
        <v>11500</v>
      </c>
      <c r="R68" s="3041">
        <f>'Usulan 2019'!H112</f>
        <v>11500</v>
      </c>
      <c r="S68" s="3042">
        <f>'Usulan 2019'!I112</f>
        <v>11500</v>
      </c>
      <c r="T68" s="1909">
        <f>'Usulan 2019'!J112</f>
        <v>11500</v>
      </c>
    </row>
    <row r="69" spans="2:21" ht="15" customHeight="1" x14ac:dyDescent="0.25">
      <c r="B69" s="3076">
        <f t="shared" si="8"/>
        <v>23</v>
      </c>
      <c r="C69" s="3124"/>
      <c r="D69" s="3125" t="s">
        <v>848</v>
      </c>
      <c r="E69" s="3126"/>
      <c r="F69" s="3119"/>
      <c r="G69" s="3127" t="s">
        <v>247</v>
      </c>
      <c r="H69" s="3128"/>
      <c r="I69" s="3082">
        <f t="shared" si="7"/>
        <v>5200</v>
      </c>
      <c r="J69" s="3089"/>
      <c r="L69" s="3176">
        <f t="shared" si="9"/>
        <v>1175000</v>
      </c>
      <c r="M69" s="3040"/>
      <c r="N69" s="1909"/>
      <c r="O69" s="1909"/>
      <c r="P69" s="1909" t="str">
        <f>VLOOKUP($D69,'HARGA 2020'!$D$21:$P$1136,4,0)</f>
        <v>m'</v>
      </c>
      <c r="Q69" s="1909">
        <f>VLOOKUP($D69,'HARGA 2022'!$D$21:$P$1136,6,0)</f>
        <v>5200</v>
      </c>
      <c r="R69" s="3041">
        <f>'Usulan 2019'!H113</f>
        <v>4900</v>
      </c>
      <c r="S69" s="3042">
        <f>'Usulan 2019'!I113</f>
        <v>4900</v>
      </c>
      <c r="T69" s="1909">
        <f>'Usulan 2019'!J113</f>
        <v>4900</v>
      </c>
    </row>
    <row r="70" spans="2:21" ht="15" customHeight="1" x14ac:dyDescent="0.25">
      <c r="B70" s="3076">
        <f t="shared" si="8"/>
        <v>24</v>
      </c>
      <c r="C70" s="3124"/>
      <c r="D70" s="3125" t="s">
        <v>849</v>
      </c>
      <c r="E70" s="3126"/>
      <c r="F70" s="3119"/>
      <c r="G70" s="3127" t="s">
        <v>247</v>
      </c>
      <c r="H70" s="3128"/>
      <c r="I70" s="3082">
        <f t="shared" si="7"/>
        <v>8600</v>
      </c>
      <c r="J70" s="3089"/>
      <c r="L70" s="3176">
        <f t="shared" si="9"/>
        <v>1175000</v>
      </c>
      <c r="M70" s="3040"/>
      <c r="N70" s="1909"/>
      <c r="O70" s="1909"/>
      <c r="P70" s="1909" t="str">
        <f>VLOOKUP($D70,'HARGA 2020'!$D$21:$P$1136,4,0)</f>
        <v>m'</v>
      </c>
      <c r="Q70" s="1909">
        <f>VLOOKUP($D70,'HARGA 2022'!$D$21:$P$1136,6,0)</f>
        <v>8600</v>
      </c>
      <c r="R70" s="3041">
        <f>'Usulan 2019'!H114</f>
        <v>8200</v>
      </c>
      <c r="S70" s="3042">
        <f>'Usulan 2019'!I114</f>
        <v>8200</v>
      </c>
      <c r="T70" s="1909">
        <f>'Usulan 2019'!J114</f>
        <v>8200</v>
      </c>
      <c r="U70" s="1909"/>
    </row>
    <row r="71" spans="2:21" ht="15" customHeight="1" x14ac:dyDescent="0.25">
      <c r="B71" s="3076">
        <f t="shared" si="8"/>
        <v>25</v>
      </c>
      <c r="C71" s="3084"/>
      <c r="D71" s="3117" t="s">
        <v>437</v>
      </c>
      <c r="E71" s="3118"/>
      <c r="F71" s="3119"/>
      <c r="G71" s="3114" t="s">
        <v>298</v>
      </c>
      <c r="H71" s="3115"/>
      <c r="I71" s="3082">
        <v>28000</v>
      </c>
      <c r="J71" s="3089"/>
      <c r="L71" s="3176">
        <f t="shared" si="9"/>
        <v>1175000</v>
      </c>
      <c r="M71" s="3040"/>
      <c r="N71" s="1909">
        <v>1800000</v>
      </c>
      <c r="O71" s="1909">
        <f>N71/20</f>
        <v>90000</v>
      </c>
      <c r="P71" s="1909" t="str">
        <f>VLOOKUP($D71,'HARGA 2020'!$D$21:$P$1136,4,0)</f>
        <v>kg</v>
      </c>
      <c r="Q71" s="1909">
        <f>VLOOKUP($D71,'HARGA 2020'!$D$21:$P$1136,6,0)</f>
        <v>29000</v>
      </c>
      <c r="R71" s="3041">
        <f>'Usulan 2019'!H141</f>
        <v>27000</v>
      </c>
      <c r="S71" s="3042">
        <f>'Usulan 2019'!I141</f>
        <v>27000</v>
      </c>
      <c r="T71" s="1909">
        <f>'Usulan 2019'!J141</f>
        <v>27000</v>
      </c>
    </row>
    <row r="72" spans="2:21" ht="15" customHeight="1" x14ac:dyDescent="0.25">
      <c r="B72" s="3076">
        <f t="shared" si="8"/>
        <v>26</v>
      </c>
      <c r="C72" s="3084"/>
      <c r="D72" s="3117" t="s">
        <v>484</v>
      </c>
      <c r="E72" s="3118"/>
      <c r="F72" s="3119"/>
      <c r="G72" s="3114" t="s">
        <v>298</v>
      </c>
      <c r="H72" s="3115"/>
      <c r="I72" s="3082">
        <v>110000</v>
      </c>
      <c r="J72" s="3089"/>
      <c r="L72" s="3176">
        <f t="shared" si="9"/>
        <v>1175000</v>
      </c>
      <c r="M72" s="3040"/>
      <c r="N72" s="1909">
        <f>VLOOKUP($D72,'HARGA 2020'!$D$21:$P$1136,6,0)</f>
        <v>146000</v>
      </c>
      <c r="O72" s="1909"/>
      <c r="P72" s="1909" t="str">
        <f>VLOOKUP($D72,'HARGA 2020'!$D$21:$P$1136,4,0)</f>
        <v>kg</v>
      </c>
      <c r="Q72" s="1909">
        <v>100000</v>
      </c>
      <c r="R72" s="3041">
        <f>'Usulan 2019'!H142</f>
        <v>135000</v>
      </c>
      <c r="S72" s="3042">
        <f>'Usulan 2019'!I142</f>
        <v>135000</v>
      </c>
      <c r="T72" s="1909">
        <f>'Usulan 2019'!J142</f>
        <v>135000</v>
      </c>
    </row>
    <row r="73" spans="2:21" ht="15" customHeight="1" x14ac:dyDescent="0.25">
      <c r="B73" s="3076">
        <f t="shared" si="8"/>
        <v>27</v>
      </c>
      <c r="C73" s="3084"/>
      <c r="D73" s="3113" t="s">
        <v>865</v>
      </c>
      <c r="E73" s="3086"/>
      <c r="F73" s="3119"/>
      <c r="G73" s="3080" t="s">
        <v>268</v>
      </c>
      <c r="H73" s="3115"/>
      <c r="I73" s="3082">
        <v>2150000</v>
      </c>
      <c r="J73" s="3089"/>
      <c r="L73" s="3176">
        <f t="shared" si="9"/>
        <v>1175000</v>
      </c>
      <c r="M73" s="3040"/>
      <c r="N73" s="1909"/>
      <c r="O73" s="1909"/>
      <c r="P73" s="1909" t="str">
        <f>VLOOKUP($D73,'HARGA 2020'!$D$21:$P$1136,4,0)</f>
        <v>bh</v>
      </c>
      <c r="Q73" s="1909">
        <f>VLOOKUP($D73,'HARGA 2020'!$D$21:$P$1136,6,0)</f>
        <v>1169000</v>
      </c>
      <c r="R73" s="3041">
        <f>'Usulan 2019'!H146</f>
        <v>1085000</v>
      </c>
      <c r="S73" s="3042">
        <f>'Usulan 2019'!I146</f>
        <v>1085000</v>
      </c>
      <c r="T73" s="1909">
        <f>'Usulan 2019'!J146</f>
        <v>1085000</v>
      </c>
    </row>
    <row r="74" spans="2:21" ht="15" customHeight="1" x14ac:dyDescent="0.25">
      <c r="B74" s="3076">
        <f t="shared" si="8"/>
        <v>28</v>
      </c>
      <c r="C74" s="3084"/>
      <c r="D74" s="3113" t="s">
        <v>2038</v>
      </c>
      <c r="E74" s="3086"/>
      <c r="F74" s="3119"/>
      <c r="G74" s="3080" t="s">
        <v>268</v>
      </c>
      <c r="H74" s="3115"/>
      <c r="I74" s="3082">
        <v>250000</v>
      </c>
      <c r="J74" s="3089"/>
      <c r="L74" s="3176">
        <f t="shared" si="9"/>
        <v>1175000</v>
      </c>
      <c r="M74" s="3040"/>
      <c r="N74" s="1909"/>
      <c r="O74" s="1909"/>
      <c r="P74" s="1909" t="e">
        <f>VLOOKUP($D74,'HARGA 2020'!$D$21:$P$1136,4,0)</f>
        <v>#N/A</v>
      </c>
      <c r="Q74" s="1909" t="e">
        <f>VLOOKUP($D74,'HARGA 2022'!$D$21:$P$1136,6,0)</f>
        <v>#N/A</v>
      </c>
      <c r="R74" s="3041">
        <f>'Usulan 2019'!H147</f>
        <v>108000</v>
      </c>
      <c r="S74" s="3042">
        <f>'Usulan 2019'!I147</f>
        <v>108000</v>
      </c>
      <c r="T74" s="1909">
        <f>'Usulan 2019'!J147</f>
        <v>108000</v>
      </c>
    </row>
    <row r="75" spans="2:21" ht="15" customHeight="1" x14ac:dyDescent="0.25">
      <c r="B75" s="3076">
        <f t="shared" si="8"/>
        <v>29</v>
      </c>
      <c r="C75" s="3084"/>
      <c r="D75" s="3117" t="s">
        <v>1996</v>
      </c>
      <c r="E75" s="3118"/>
      <c r="F75" s="3119"/>
      <c r="G75" s="3114" t="s">
        <v>268</v>
      </c>
      <c r="H75" s="3115"/>
      <c r="I75" s="3082">
        <v>420000</v>
      </c>
      <c r="J75" s="3089"/>
      <c r="L75" s="3176">
        <f t="shared" si="9"/>
        <v>1175000</v>
      </c>
      <c r="M75" s="3040"/>
      <c r="N75" s="1909"/>
      <c r="O75" s="1909"/>
      <c r="P75" s="1909" t="e">
        <f>VLOOKUP($D75,'HARGA 2020'!$D$21:$P$1136,4,0)</f>
        <v>#N/A</v>
      </c>
      <c r="Q75" s="1909" t="e">
        <f>VLOOKUP($D75,'HARGA 2020'!$D$21:$P$1136,6,0)</f>
        <v>#N/A</v>
      </c>
      <c r="R75" s="3041">
        <f>'Usulan 2019'!H158</f>
        <v>651000</v>
      </c>
      <c r="S75" s="3042">
        <f>'Usulan 2019'!I158</f>
        <v>651000</v>
      </c>
      <c r="T75" s="1909">
        <f>'Usulan 2019'!J158</f>
        <v>651000</v>
      </c>
    </row>
    <row r="76" spans="2:21" ht="15" customHeight="1" x14ac:dyDescent="0.25">
      <c r="B76" s="3076">
        <f t="shared" si="8"/>
        <v>30</v>
      </c>
      <c r="C76" s="3084"/>
      <c r="D76" s="3117" t="s">
        <v>438</v>
      </c>
      <c r="E76" s="3118"/>
      <c r="F76" s="3119"/>
      <c r="G76" s="3114" t="s">
        <v>268</v>
      </c>
      <c r="H76" s="3123"/>
      <c r="I76" s="3082">
        <f t="shared" ref="I76:I77" si="11">Q76</f>
        <v>8600</v>
      </c>
      <c r="J76" s="3089"/>
      <c r="L76" s="3176">
        <f t="shared" si="9"/>
        <v>1175000</v>
      </c>
      <c r="M76" s="3040"/>
      <c r="N76" s="1909"/>
      <c r="O76" s="1909"/>
      <c r="P76" s="1909" t="str">
        <f>VLOOKUP($D76,'HARGA 2020'!$D$21:$P$1136,4,0)</f>
        <v>bh</v>
      </c>
      <c r="Q76" s="1909">
        <f>VLOOKUP($D76,'HARGA 2020'!$D$21:$P$1136,6,0)</f>
        <v>8600</v>
      </c>
      <c r="R76" s="3041">
        <f>'Usulan 2019'!H160</f>
        <v>8000</v>
      </c>
      <c r="S76" s="3042">
        <f>'Usulan 2019'!I160</f>
        <v>8000</v>
      </c>
      <c r="T76" s="1909">
        <f>'Usulan 2019'!J160</f>
        <v>8000</v>
      </c>
    </row>
    <row r="77" spans="2:21" ht="15" customHeight="1" x14ac:dyDescent="0.25">
      <c r="B77" s="3076">
        <f t="shared" si="8"/>
        <v>31</v>
      </c>
      <c r="C77" s="3077"/>
      <c r="D77" s="3133" t="s">
        <v>1344</v>
      </c>
      <c r="E77" s="3134"/>
      <c r="F77" s="3119"/>
      <c r="G77" s="3131" t="s">
        <v>268</v>
      </c>
      <c r="H77" s="3132"/>
      <c r="I77" s="3082">
        <f t="shared" si="11"/>
        <v>95000</v>
      </c>
      <c r="J77" s="3089"/>
      <c r="L77" s="3176">
        <f t="shared" si="9"/>
        <v>1175000</v>
      </c>
      <c r="M77" s="3040"/>
      <c r="N77" s="1909">
        <f>VLOOKUP($D77,'HARGA 2020'!$D$21:$P$1136,6,0)</f>
        <v>81000</v>
      </c>
      <c r="O77" s="1909"/>
      <c r="P77" s="1909" t="str">
        <f>VLOOKUP($D77,'HARGA 2020'!$D$21:$P$1136,4,0)</f>
        <v>bh</v>
      </c>
      <c r="Q77" s="1909">
        <v>95000</v>
      </c>
      <c r="R77" s="3041">
        <f>'Usulan 2019'!H162</f>
        <v>76000</v>
      </c>
      <c r="S77" s="3042">
        <f>'Usulan 2019'!I162</f>
        <v>76000</v>
      </c>
      <c r="T77" s="1909">
        <f>'Usulan 2019'!J162</f>
        <v>76000</v>
      </c>
    </row>
    <row r="78" spans="2:21" ht="15" customHeight="1" x14ac:dyDescent="0.25">
      <c r="B78" s="3076">
        <f t="shared" si="8"/>
        <v>32</v>
      </c>
      <c r="C78" s="3135"/>
      <c r="D78" s="3113" t="s">
        <v>1643</v>
      </c>
      <c r="E78" s="3086"/>
      <c r="F78" s="3090"/>
      <c r="G78" s="3114" t="s">
        <v>2035</v>
      </c>
      <c r="H78" s="3115"/>
      <c r="I78" s="3082">
        <v>170000</v>
      </c>
      <c r="J78" s="3089"/>
      <c r="L78" s="3176">
        <f t="shared" si="9"/>
        <v>1175000</v>
      </c>
      <c r="M78" s="3040"/>
      <c r="N78" s="1909"/>
      <c r="O78" s="1909"/>
      <c r="P78" s="1909" t="e">
        <f>VLOOKUP($D78,'HARGA 2020'!$D$21:$P$1136,4,0)</f>
        <v>#N/A</v>
      </c>
      <c r="Q78" s="1909">
        <v>270000</v>
      </c>
      <c r="R78" s="3041">
        <f>'Usulan 2019'!H186</f>
        <v>317000</v>
      </c>
      <c r="S78" s="3042">
        <f>'Usulan 2019'!I186</f>
        <v>317000</v>
      </c>
      <c r="T78" s="1909">
        <f>'Usulan 2019'!J186</f>
        <v>317000</v>
      </c>
    </row>
    <row r="79" spans="2:21" ht="15" customHeight="1" x14ac:dyDescent="0.25">
      <c r="B79" s="3076">
        <f t="shared" si="8"/>
        <v>33</v>
      </c>
      <c r="C79" s="3084"/>
      <c r="D79" s="3113" t="s">
        <v>875</v>
      </c>
      <c r="E79" s="3086"/>
      <c r="F79" s="3119"/>
      <c r="G79" s="3114" t="s">
        <v>2035</v>
      </c>
      <c r="H79" s="3115"/>
      <c r="I79" s="3082">
        <v>120000</v>
      </c>
      <c r="J79" s="3089"/>
      <c r="L79" s="3176">
        <f t="shared" si="9"/>
        <v>1175000</v>
      </c>
      <c r="M79" s="3040"/>
      <c r="N79" s="1909"/>
      <c r="O79" s="1909"/>
      <c r="P79" s="1909" t="str">
        <f>VLOOKUP($D79,'HARGA 2020'!$D$21:$P$1136,4,0)</f>
        <v>m2</v>
      </c>
      <c r="Q79" s="1909">
        <f>VLOOKUP($D79,'HARGA 2020'!$D$21:$P$1136,6,0)</f>
        <v>190000</v>
      </c>
      <c r="R79" s="3041">
        <f>'Usulan 2019'!H187</f>
        <v>128000</v>
      </c>
      <c r="S79" s="3042">
        <f>'Usulan 2019'!I187</f>
        <v>128000</v>
      </c>
      <c r="T79" s="1909">
        <f>'Usulan 2019'!J187</f>
        <v>128000</v>
      </c>
    </row>
    <row r="80" spans="2:21" ht="15" customHeight="1" x14ac:dyDescent="0.25">
      <c r="B80" s="3076">
        <f t="shared" si="8"/>
        <v>34</v>
      </c>
      <c r="C80" s="3084"/>
      <c r="D80" s="3117" t="s">
        <v>883</v>
      </c>
      <c r="E80" s="3118"/>
      <c r="F80" s="3137"/>
      <c r="G80" s="3080" t="s">
        <v>277</v>
      </c>
      <c r="H80" s="3115"/>
      <c r="I80" s="3082">
        <f t="shared" ref="I80:I93" si="12">Q80</f>
        <v>85000</v>
      </c>
      <c r="J80" s="3089"/>
      <c r="K80" s="3028"/>
      <c r="L80" s="3176">
        <f t="shared" si="9"/>
        <v>1175000</v>
      </c>
      <c r="M80" s="3040"/>
      <c r="N80" s="1909"/>
      <c r="O80" s="1909"/>
      <c r="P80" s="1909" t="str">
        <f>VLOOKUP($D80,'HARGA 2020'!$D$21:$P$1136,4,0)</f>
        <v>lbr</v>
      </c>
      <c r="Q80" s="1909">
        <f>VLOOKUP($D80,'HARGA 2020'!$D$21:$P$1136,6,0)</f>
        <v>85000</v>
      </c>
      <c r="R80" s="3041">
        <f>'Usulan 2019'!H202</f>
        <v>81000</v>
      </c>
      <c r="S80" s="3042">
        <f>'Usulan 2019'!I202</f>
        <v>81000</v>
      </c>
      <c r="T80" s="1909">
        <f>'Usulan 2019'!J202</f>
        <v>81000</v>
      </c>
    </row>
    <row r="81" spans="2:20" ht="15" customHeight="1" x14ac:dyDescent="0.25">
      <c r="B81" s="3076">
        <f t="shared" si="8"/>
        <v>35</v>
      </c>
      <c r="C81" s="3139"/>
      <c r="D81" s="3140" t="s">
        <v>1973</v>
      </c>
      <c r="E81" s="3141"/>
      <c r="F81" s="3142"/>
      <c r="G81" s="3114" t="s">
        <v>247</v>
      </c>
      <c r="H81" s="3115"/>
      <c r="I81" s="3082">
        <v>350000</v>
      </c>
      <c r="J81" s="3143"/>
      <c r="L81" s="3176">
        <f t="shared" si="9"/>
        <v>1175000</v>
      </c>
      <c r="M81" s="3040"/>
      <c r="N81" s="1909"/>
      <c r="O81" s="1909"/>
      <c r="P81" s="1909"/>
      <c r="Q81" s="1909"/>
      <c r="R81" s="3041"/>
      <c r="S81" s="3042"/>
      <c r="T81" s="1909"/>
    </row>
    <row r="82" spans="2:20" ht="15" customHeight="1" x14ac:dyDescent="0.25">
      <c r="B82" s="3076">
        <f t="shared" si="8"/>
        <v>36</v>
      </c>
      <c r="C82" s="3139"/>
      <c r="D82" s="3140" t="s">
        <v>1970</v>
      </c>
      <c r="E82" s="3141"/>
      <c r="F82" s="3142"/>
      <c r="G82" s="3114" t="s">
        <v>247</v>
      </c>
      <c r="H82" s="3115"/>
      <c r="I82" s="3082">
        <v>620000</v>
      </c>
      <c r="J82" s="3089"/>
      <c r="L82" s="3176">
        <f t="shared" si="9"/>
        <v>1175000</v>
      </c>
      <c r="M82" s="3040"/>
      <c r="N82" s="1909"/>
      <c r="O82" s="1909"/>
      <c r="P82" s="1909" t="e">
        <f>VLOOKUP($D82,'HARGA 2020'!$D$21:$P$1136,4,0)</f>
        <v>#N/A</v>
      </c>
      <c r="Q82" s="1909" t="e">
        <f>VLOOKUP($D82,'HARGA 2020'!$D$21:$P$1136,6,0)</f>
        <v>#N/A</v>
      </c>
      <c r="R82" s="3041"/>
      <c r="S82" s="3042"/>
      <c r="T82" s="1909"/>
    </row>
    <row r="83" spans="2:20" ht="15" customHeight="1" x14ac:dyDescent="0.25">
      <c r="B83" s="3076">
        <f t="shared" si="8"/>
        <v>37</v>
      </c>
      <c r="C83" s="3139"/>
      <c r="D83" s="3140" t="s">
        <v>1977</v>
      </c>
      <c r="E83" s="3141"/>
      <c r="F83" s="3142"/>
      <c r="G83" s="3114" t="s">
        <v>247</v>
      </c>
      <c r="H83" s="3115"/>
      <c r="I83" s="3082">
        <v>3800</v>
      </c>
      <c r="J83" s="3089"/>
      <c r="L83" s="3176">
        <f t="shared" si="9"/>
        <v>1175000</v>
      </c>
      <c r="M83" s="3040"/>
      <c r="N83" s="1909"/>
      <c r="O83" s="1909"/>
      <c r="P83" s="1909"/>
      <c r="Q83" s="1909"/>
      <c r="R83" s="3041"/>
      <c r="S83" s="3042"/>
      <c r="T83" s="1909"/>
    </row>
    <row r="84" spans="2:20" ht="15" customHeight="1" x14ac:dyDescent="0.25">
      <c r="B84" s="3076">
        <f t="shared" si="8"/>
        <v>38</v>
      </c>
      <c r="C84" s="3139"/>
      <c r="D84" s="3140" t="s">
        <v>1978</v>
      </c>
      <c r="E84" s="3141"/>
      <c r="F84" s="3142"/>
      <c r="G84" s="3114" t="s">
        <v>247</v>
      </c>
      <c r="H84" s="3115"/>
      <c r="I84" s="3082">
        <f>2100000/305</f>
        <v>6885.2459016393441</v>
      </c>
      <c r="J84" s="3089"/>
      <c r="L84" s="3176">
        <f t="shared" si="9"/>
        <v>1175000</v>
      </c>
      <c r="M84" s="3040"/>
      <c r="N84" s="1909"/>
      <c r="O84" s="1909"/>
      <c r="P84" s="1909"/>
      <c r="Q84" s="1909"/>
      <c r="R84" s="3041"/>
      <c r="S84" s="3042"/>
      <c r="T84" s="1909"/>
    </row>
    <row r="85" spans="2:20" ht="15" customHeight="1" x14ac:dyDescent="0.25">
      <c r="B85" s="3076">
        <f t="shared" si="8"/>
        <v>39</v>
      </c>
      <c r="C85" s="3084"/>
      <c r="D85" s="3113" t="s">
        <v>1373</v>
      </c>
      <c r="E85" s="3086"/>
      <c r="F85" s="3090"/>
      <c r="G85" s="3114" t="s">
        <v>247</v>
      </c>
      <c r="H85" s="3144"/>
      <c r="I85" s="3082">
        <v>6900</v>
      </c>
      <c r="J85" s="3089"/>
      <c r="L85" s="3176">
        <f t="shared" si="9"/>
        <v>1175000</v>
      </c>
      <c r="M85" s="3040"/>
      <c r="N85" s="1909"/>
      <c r="O85" s="1909"/>
      <c r="P85" s="1909" t="str">
        <f>VLOOKUP($D85,'HARGA 2020'!$D$21:$P$1136,4,0)</f>
        <v>m'</v>
      </c>
      <c r="Q85" s="1909">
        <f>VLOOKUP($D85,'HARGA 2020'!$D$21:$P$1136,6,0)</f>
        <v>5700</v>
      </c>
      <c r="R85" s="3041">
        <f>'Usulan 2019'!H213</f>
        <v>5400</v>
      </c>
      <c r="S85" s="3042">
        <f>'Usulan 2019'!I213</f>
        <v>5400</v>
      </c>
      <c r="T85" s="1909">
        <f>'Usulan 2019'!J213</f>
        <v>5400</v>
      </c>
    </row>
    <row r="86" spans="2:20" ht="15" customHeight="1" x14ac:dyDescent="0.25">
      <c r="B86" s="3076">
        <f t="shared" si="8"/>
        <v>40</v>
      </c>
      <c r="C86" s="3084"/>
      <c r="D86" s="3113" t="s">
        <v>1374</v>
      </c>
      <c r="E86" s="3086"/>
      <c r="F86" s="3090"/>
      <c r="G86" s="3114" t="s">
        <v>247</v>
      </c>
      <c r="H86" s="3144"/>
      <c r="I86" s="3082">
        <v>9600</v>
      </c>
      <c r="J86" s="3089"/>
      <c r="L86" s="3176">
        <f t="shared" si="9"/>
        <v>1175000</v>
      </c>
      <c r="M86" s="3040"/>
      <c r="N86" s="1909"/>
      <c r="O86" s="1909"/>
      <c r="P86" s="1909" t="str">
        <f>VLOOKUP($D86,'HARGA 2020'!$D$21:$P$1136,4,0)</f>
        <v>m'</v>
      </c>
      <c r="Q86" s="1909">
        <f>VLOOKUP($D86,'HARGA 2020'!$D$21:$P$1136,6,0)</f>
        <v>6900</v>
      </c>
      <c r="R86" s="3041">
        <f>'Usulan 2019'!H214</f>
        <v>6500</v>
      </c>
      <c r="S86" s="3042">
        <f>'Usulan 2019'!I214</f>
        <v>6500</v>
      </c>
      <c r="T86" s="1909">
        <f>'Usulan 2019'!J214</f>
        <v>6500</v>
      </c>
    </row>
    <row r="87" spans="2:20" ht="15" customHeight="1" x14ac:dyDescent="0.2">
      <c r="B87" s="3076">
        <f t="shared" si="8"/>
        <v>41</v>
      </c>
      <c r="C87" s="3077"/>
      <c r="D87" s="3130" t="s">
        <v>640</v>
      </c>
      <c r="E87" s="3078"/>
      <c r="F87" s="3079"/>
      <c r="G87" s="3131" t="s">
        <v>275</v>
      </c>
      <c r="H87" s="3081"/>
      <c r="I87" s="3082">
        <f t="shared" si="12"/>
        <v>1929000</v>
      </c>
      <c r="J87" s="3083"/>
      <c r="L87" s="3176">
        <f t="shared" si="9"/>
        <v>1175000</v>
      </c>
      <c r="M87" s="3040"/>
      <c r="N87" s="1909"/>
      <c r="O87" s="1909"/>
      <c r="P87" s="1909" t="str">
        <f>VLOOKUP($D87,'HARGA 2020'!$D$21:$P$1136,4,0)</f>
        <v>unit</v>
      </c>
      <c r="Q87" s="1909">
        <f>VLOOKUP($D87,'HARGA 2020'!$D$21:$P$1136,6,0)</f>
        <v>1929000</v>
      </c>
      <c r="R87" s="3041">
        <f>'Usulan 2019'!H215</f>
        <v>1846000</v>
      </c>
      <c r="S87" s="3042">
        <f>'Usulan 2019'!I215</f>
        <v>1846000</v>
      </c>
      <c r="T87" s="1909">
        <f>'Usulan 2019'!J215</f>
        <v>1846000</v>
      </c>
    </row>
    <row r="88" spans="2:20" ht="15" customHeight="1" x14ac:dyDescent="0.2">
      <c r="B88" s="3076">
        <f t="shared" si="8"/>
        <v>42</v>
      </c>
      <c r="C88" s="3077"/>
      <c r="D88" s="3130" t="s">
        <v>1994</v>
      </c>
      <c r="E88" s="3078"/>
      <c r="F88" s="3079"/>
      <c r="G88" s="3131" t="s">
        <v>247</v>
      </c>
      <c r="H88" s="3081"/>
      <c r="I88" s="3082">
        <v>140000</v>
      </c>
      <c r="J88" s="3083"/>
      <c r="L88" s="3176">
        <f t="shared" ref="L88:L119" si="13">$L$20</f>
        <v>1175000</v>
      </c>
      <c r="M88" s="3040"/>
      <c r="N88" s="1909"/>
      <c r="O88" s="1909"/>
      <c r="P88" s="1909" t="e">
        <f>VLOOKUP($D88,'HARGA 2020'!$D$21:$P$1136,4,0)</f>
        <v>#N/A</v>
      </c>
      <c r="Q88" s="1909" t="e">
        <f>VLOOKUP($D88,'HARGA 2020'!$D$21:$P$1136,6,0)</f>
        <v>#N/A</v>
      </c>
      <c r="R88" s="3041">
        <f>'Usulan 2019'!H216</f>
        <v>271000</v>
      </c>
      <c r="S88" s="3042">
        <f>'Usulan 2019'!I216</f>
        <v>271000</v>
      </c>
      <c r="T88" s="1909">
        <f>'Usulan 2019'!J216</f>
        <v>271000</v>
      </c>
    </row>
    <row r="89" spans="2:20" ht="15" customHeight="1" x14ac:dyDescent="0.25">
      <c r="B89" s="3076">
        <f t="shared" si="8"/>
        <v>43</v>
      </c>
      <c r="C89" s="3084"/>
      <c r="D89" s="3138" t="s">
        <v>431</v>
      </c>
      <c r="E89" s="3118"/>
      <c r="F89" s="3119"/>
      <c r="G89" s="3114" t="s">
        <v>2035</v>
      </c>
      <c r="H89" s="3145"/>
      <c r="I89" s="3082">
        <f t="shared" si="12"/>
        <v>122000</v>
      </c>
      <c r="J89" s="3089"/>
      <c r="L89" s="3176">
        <f t="shared" si="13"/>
        <v>1175000</v>
      </c>
      <c r="M89" s="3040"/>
      <c r="N89" s="1909"/>
      <c r="O89" s="1909"/>
      <c r="P89" s="1909" t="str">
        <f>VLOOKUP($D89,'HARGA 2020'!$D$21:$P$1136,4,0)</f>
        <v>m2</v>
      </c>
      <c r="Q89" s="1909">
        <f>VLOOKUP($D89,'HARGA 2020'!$D$21:$P$1136,6,0)</f>
        <v>122000</v>
      </c>
      <c r="R89" s="3041">
        <f>'Usulan 2019'!H219</f>
        <v>114000</v>
      </c>
      <c r="S89" s="3042">
        <f>'Usulan 2019'!I219</f>
        <v>114000</v>
      </c>
      <c r="T89" s="1909">
        <f>'Usulan 2019'!J219</f>
        <v>114000</v>
      </c>
    </row>
    <row r="90" spans="2:20" ht="15" customHeight="1" x14ac:dyDescent="0.25">
      <c r="B90" s="3076">
        <f t="shared" si="8"/>
        <v>44</v>
      </c>
      <c r="C90" s="3084"/>
      <c r="D90" s="3138" t="s">
        <v>232</v>
      </c>
      <c r="E90" s="3118"/>
      <c r="F90" s="3119"/>
      <c r="G90" s="3114" t="s">
        <v>2035</v>
      </c>
      <c r="H90" s="3145"/>
      <c r="I90" s="3082">
        <f t="shared" si="12"/>
        <v>116000</v>
      </c>
      <c r="J90" s="3089"/>
      <c r="L90" s="3176">
        <f t="shared" si="13"/>
        <v>1175000</v>
      </c>
      <c r="M90" s="3040"/>
      <c r="N90" s="1909"/>
      <c r="O90" s="1909"/>
      <c r="P90" s="1909" t="str">
        <f>VLOOKUP($D90,'HARGA 2020'!$D$21:$P$1136,4,0)</f>
        <v>m2</v>
      </c>
      <c r="Q90" s="1909">
        <f>VLOOKUP($D90,'HARGA 2020'!$D$21:$P$1136,6,0)</f>
        <v>116000</v>
      </c>
      <c r="R90" s="3041">
        <f>'Usulan 2019'!H222</f>
        <v>108000</v>
      </c>
      <c r="S90" s="3042">
        <f>'Usulan 2019'!I222</f>
        <v>108000</v>
      </c>
      <c r="T90" s="1909">
        <f>'Usulan 2019'!J222</f>
        <v>108000</v>
      </c>
    </row>
    <row r="91" spans="2:20" ht="15" customHeight="1" x14ac:dyDescent="0.25">
      <c r="B91" s="3076">
        <f t="shared" si="8"/>
        <v>45</v>
      </c>
      <c r="C91" s="3084"/>
      <c r="D91" s="3138" t="s">
        <v>491</v>
      </c>
      <c r="E91" s="3118"/>
      <c r="F91" s="3119"/>
      <c r="G91" s="3114" t="s">
        <v>2035</v>
      </c>
      <c r="H91" s="3145"/>
      <c r="I91" s="3082">
        <f t="shared" si="12"/>
        <v>110000</v>
      </c>
      <c r="J91" s="3089"/>
      <c r="L91" s="3176">
        <f t="shared" si="13"/>
        <v>1175000</v>
      </c>
      <c r="M91" s="3040"/>
      <c r="N91" s="1909">
        <f>VLOOKUP($D91,'HARGA 2020'!$D$21:$P$1136,6,0)</f>
        <v>104000</v>
      </c>
      <c r="O91" s="1909"/>
      <c r="P91" s="1909" t="str">
        <f>VLOOKUP($D91,'HARGA 2020'!$D$21:$P$1136,4,0)</f>
        <v>m2</v>
      </c>
      <c r="Q91" s="1909">
        <v>110000</v>
      </c>
      <c r="R91" s="3041">
        <f>'Usulan 2019'!H225</f>
        <v>97000</v>
      </c>
      <c r="S91" s="3042">
        <f>'Usulan 2019'!I225</f>
        <v>97000</v>
      </c>
      <c r="T91" s="1909">
        <f>'Usulan 2019'!J225</f>
        <v>97000</v>
      </c>
    </row>
    <row r="92" spans="2:20" ht="15" customHeight="1" x14ac:dyDescent="0.25">
      <c r="B92" s="3076">
        <f t="shared" si="8"/>
        <v>46</v>
      </c>
      <c r="C92" s="3084"/>
      <c r="D92" s="3117" t="s">
        <v>688</v>
      </c>
      <c r="E92" s="3118"/>
      <c r="F92" s="3146"/>
      <c r="G92" s="3114" t="s">
        <v>298</v>
      </c>
      <c r="H92" s="3123"/>
      <c r="I92" s="3082">
        <f t="shared" si="12"/>
        <v>25500</v>
      </c>
      <c r="J92" s="3089"/>
      <c r="L92" s="3176">
        <f t="shared" si="13"/>
        <v>1175000</v>
      </c>
      <c r="M92" s="3040"/>
      <c r="N92" s="1909"/>
      <c r="O92" s="1909"/>
      <c r="P92" s="1909" t="str">
        <f>VLOOKUP($D92,'HARGA 2020'!$D$21:$P$1136,4,0)</f>
        <v>kg</v>
      </c>
      <c r="Q92" s="1909">
        <f>VLOOKUP($D92,'HARGA 2020'!$D$21:$P$1136,6,0)</f>
        <v>25500</v>
      </c>
      <c r="R92" s="3041">
        <f>'Usulan 2019'!H230</f>
        <v>23000</v>
      </c>
      <c r="S92" s="3042">
        <f>'Usulan 2019'!I230</f>
        <v>23000</v>
      </c>
      <c r="T92" s="1909">
        <f>'Usulan 2019'!J230</f>
        <v>23000</v>
      </c>
    </row>
    <row r="93" spans="2:20" ht="15" customHeight="1" x14ac:dyDescent="0.25">
      <c r="B93" s="3076">
        <f t="shared" si="8"/>
        <v>47</v>
      </c>
      <c r="C93" s="3084"/>
      <c r="D93" s="3113" t="s">
        <v>245</v>
      </c>
      <c r="E93" s="3086"/>
      <c r="F93" s="3090"/>
      <c r="G93" s="3080" t="s">
        <v>298</v>
      </c>
      <c r="H93" s="3115"/>
      <c r="I93" s="3082">
        <f t="shared" si="12"/>
        <v>19000</v>
      </c>
      <c r="J93" s="3089"/>
      <c r="L93" s="3176">
        <f t="shared" si="13"/>
        <v>1175000</v>
      </c>
      <c r="M93" s="3040"/>
      <c r="N93" s="1909"/>
      <c r="O93" s="1909"/>
      <c r="P93" s="1909" t="str">
        <f>VLOOKUP($D93,'HARGA 2020'!$D$21:$P$1136,4,0)</f>
        <v>kg</v>
      </c>
      <c r="Q93" s="1909">
        <f>VLOOKUP($D93,'HARGA 2020'!$D$21:$P$1136,6,0)</f>
        <v>19000</v>
      </c>
      <c r="R93" s="3041">
        <f>'Usulan 2019'!H233</f>
        <v>17000</v>
      </c>
      <c r="S93" s="3042">
        <f>'Usulan 2019'!I233</f>
        <v>17000</v>
      </c>
      <c r="T93" s="1909">
        <f>'Usulan 2019'!J233</f>
        <v>17000</v>
      </c>
    </row>
    <row r="94" spans="2:20" ht="15" customHeight="1" x14ac:dyDescent="0.2">
      <c r="B94" s="3076">
        <f t="shared" si="8"/>
        <v>48</v>
      </c>
      <c r="C94" s="3084"/>
      <c r="D94" s="3113" t="s">
        <v>1430</v>
      </c>
      <c r="E94" s="3086"/>
      <c r="F94" s="3086"/>
      <c r="G94" s="3114" t="s">
        <v>264</v>
      </c>
      <c r="H94" s="3115"/>
      <c r="I94" s="3082">
        <f t="shared" ref="I94:I107" si="14">Q94</f>
        <v>1100000</v>
      </c>
      <c r="J94" s="3089"/>
      <c r="L94" s="3176">
        <f t="shared" si="13"/>
        <v>1175000</v>
      </c>
      <c r="M94" s="3040"/>
      <c r="N94" s="1909"/>
      <c r="O94" s="1909"/>
      <c r="P94" s="1909" t="str">
        <f>VLOOKUP($D94,'HARGA 2020'!$D$21:$P$1136,4,0)</f>
        <v>m³</v>
      </c>
      <c r="Q94" s="1909">
        <v>1100000</v>
      </c>
      <c r="R94" s="3041">
        <f>'Usulan 2019'!H237</f>
        <v>1628000</v>
      </c>
      <c r="S94" s="3042">
        <f>'Usulan 2019'!I237</f>
        <v>1628000</v>
      </c>
      <c r="T94" s="1909">
        <f>'Usulan 2019'!J237</f>
        <v>1628000</v>
      </c>
    </row>
    <row r="95" spans="2:20" ht="15" customHeight="1" x14ac:dyDescent="0.25">
      <c r="B95" s="3076">
        <f t="shared" si="8"/>
        <v>49</v>
      </c>
      <c r="C95" s="3084"/>
      <c r="D95" s="3113" t="s">
        <v>121</v>
      </c>
      <c r="E95" s="3086"/>
      <c r="F95" s="3090"/>
      <c r="G95" s="3114" t="s">
        <v>264</v>
      </c>
      <c r="H95" s="3115"/>
      <c r="I95" s="3082">
        <v>1600000</v>
      </c>
      <c r="J95" s="3089"/>
      <c r="L95" s="3176">
        <f t="shared" si="13"/>
        <v>1175000</v>
      </c>
      <c r="M95" s="3040"/>
      <c r="N95" s="1909"/>
      <c r="O95" s="1909"/>
      <c r="P95" s="1909" t="str">
        <f>VLOOKUP($D95,'HARGA 2020'!$D$21:$P$1136,4,0)</f>
        <v>m³</v>
      </c>
      <c r="Q95" s="1909">
        <f>VLOOKUP($D95,'HARGA 2020'!$D$21:$P$1136,6,0)</f>
        <v>2557000</v>
      </c>
      <c r="R95" s="3041">
        <f>'Usulan 2019'!H257</f>
        <v>1900000</v>
      </c>
      <c r="S95" s="3042">
        <f>'Usulan 2019'!I257</f>
        <v>1900000</v>
      </c>
      <c r="T95" s="1909">
        <f>'Usulan 2019'!J257</f>
        <v>1900000</v>
      </c>
    </row>
    <row r="96" spans="2:20" ht="15" customHeight="1" x14ac:dyDescent="0.25">
      <c r="B96" s="3076">
        <f t="shared" si="8"/>
        <v>50</v>
      </c>
      <c r="C96" s="3084"/>
      <c r="D96" s="3113" t="s">
        <v>79</v>
      </c>
      <c r="E96" s="3086"/>
      <c r="F96" s="3147"/>
      <c r="G96" s="3114" t="s">
        <v>264</v>
      </c>
      <c r="H96" s="3145"/>
      <c r="I96" s="3082">
        <f t="shared" si="14"/>
        <v>2822000</v>
      </c>
      <c r="J96" s="3089"/>
      <c r="L96" s="3176">
        <f t="shared" si="13"/>
        <v>1175000</v>
      </c>
      <c r="M96" s="3040"/>
      <c r="N96" s="1909"/>
      <c r="O96" s="1909"/>
      <c r="P96" s="1909" t="str">
        <f>VLOOKUP($D96,'HARGA 2020'!$D$21:$P$1136,4,0)</f>
        <v>m³</v>
      </c>
      <c r="Q96" s="1909">
        <v>2822000</v>
      </c>
      <c r="R96" s="3041">
        <f>'Usulan 2019'!H258</f>
        <v>2171000</v>
      </c>
      <c r="S96" s="3042">
        <f>'Usulan 2019'!I258</f>
        <v>2171000</v>
      </c>
      <c r="T96" s="1909">
        <f>'Usulan 2019'!J258</f>
        <v>2171000</v>
      </c>
    </row>
    <row r="97" spans="2:20" ht="15" customHeight="1" x14ac:dyDescent="0.25">
      <c r="B97" s="3076">
        <f t="shared" si="8"/>
        <v>51</v>
      </c>
      <c r="C97" s="3084"/>
      <c r="D97" s="3117" t="s">
        <v>898</v>
      </c>
      <c r="E97" s="3118"/>
      <c r="F97" s="3119"/>
      <c r="G97" s="3114" t="s">
        <v>2035</v>
      </c>
      <c r="H97" s="3115"/>
      <c r="I97" s="3082">
        <f t="shared" si="14"/>
        <v>60000</v>
      </c>
      <c r="J97" s="3089"/>
      <c r="L97" s="3176">
        <f t="shared" si="13"/>
        <v>1175000</v>
      </c>
      <c r="M97" s="3040"/>
      <c r="N97" s="1909"/>
      <c r="O97" s="1909"/>
      <c r="P97" s="1909" t="str">
        <f>VLOOKUP($D97,'HARGA 2020'!$D$21:$P$1136,4,0)</f>
        <v>m2</v>
      </c>
      <c r="Q97" s="1909">
        <f>VLOOKUP($D97,'HARGA 2020'!$D$21:$P$1136,6,0)</f>
        <v>60000</v>
      </c>
      <c r="R97" s="3041">
        <f>'Usulan 2019'!H263</f>
        <v>56000</v>
      </c>
      <c r="S97" s="3042">
        <f>'Usulan 2019'!I263</f>
        <v>56000</v>
      </c>
      <c r="T97" s="1909">
        <f>'Usulan 2019'!J263</f>
        <v>56000</v>
      </c>
    </row>
    <row r="98" spans="2:20" ht="15" customHeight="1" x14ac:dyDescent="0.25">
      <c r="B98" s="3076">
        <f t="shared" si="8"/>
        <v>52</v>
      </c>
      <c r="C98" s="3084"/>
      <c r="D98" s="3113" t="s">
        <v>897</v>
      </c>
      <c r="E98" s="3086"/>
      <c r="F98" s="3119"/>
      <c r="G98" s="3080" t="s">
        <v>266</v>
      </c>
      <c r="H98" s="3115"/>
      <c r="I98" s="3082">
        <f t="shared" si="14"/>
        <v>102000</v>
      </c>
      <c r="J98" s="3089"/>
      <c r="L98" s="3176">
        <f t="shared" si="13"/>
        <v>1175000</v>
      </c>
      <c r="M98" s="3040"/>
      <c r="N98" s="1909"/>
      <c r="O98" s="1909"/>
      <c r="P98" s="1909" t="str">
        <f>VLOOKUP($D98,'HARGA 2020'!$D$21:$P$1136,4,0)</f>
        <v>m²</v>
      </c>
      <c r="Q98" s="1909">
        <f>VLOOKUP($D98,'HARGA 2020'!$D$21:$P$1136,6,0)</f>
        <v>102000</v>
      </c>
      <c r="R98" s="3041">
        <f>'Usulan 2019'!H265</f>
        <v>95000</v>
      </c>
      <c r="S98" s="3042">
        <f>'Usulan 2019'!I265</f>
        <v>95000</v>
      </c>
      <c r="T98" s="1909">
        <f>'Usulan 2019'!J265</f>
        <v>95000</v>
      </c>
    </row>
    <row r="99" spans="2:20" ht="15" customHeight="1" x14ac:dyDescent="0.25">
      <c r="B99" s="3076">
        <f t="shared" si="8"/>
        <v>53</v>
      </c>
      <c r="C99" s="3122"/>
      <c r="D99" s="3113" t="s">
        <v>815</v>
      </c>
      <c r="E99" s="3148"/>
      <c r="F99" s="3149"/>
      <c r="G99" s="3080" t="s">
        <v>268</v>
      </c>
      <c r="H99" s="3150"/>
      <c r="I99" s="3082">
        <f t="shared" si="14"/>
        <v>7200</v>
      </c>
      <c r="J99" s="3089"/>
      <c r="L99" s="3176">
        <f t="shared" si="13"/>
        <v>1175000</v>
      </c>
      <c r="M99" s="3040"/>
      <c r="N99" s="1909"/>
      <c r="O99" s="1909"/>
      <c r="P99" s="1909" t="str">
        <f>VLOOKUP($D99,'HARGA 2020'!$D$21:$P$1136,4,0)</f>
        <v>bh</v>
      </c>
      <c r="Q99" s="1909">
        <f>VLOOKUP($D99,'HARGA 2020'!$D$21:$P$1136,6,0)</f>
        <v>7200</v>
      </c>
      <c r="R99" s="3041">
        <f>'Usulan 2019'!H271</f>
        <v>13000</v>
      </c>
      <c r="S99" s="3042">
        <f>'Usulan 2019'!I271</f>
        <v>13000</v>
      </c>
      <c r="T99" s="1909">
        <f>'Usulan 2019'!J271</f>
        <v>13000</v>
      </c>
    </row>
    <row r="100" spans="2:20" ht="15" customHeight="1" x14ac:dyDescent="0.25">
      <c r="B100" s="3076">
        <f t="shared" si="8"/>
        <v>54</v>
      </c>
      <c r="C100" s="3084"/>
      <c r="D100" s="3117" t="s">
        <v>1638</v>
      </c>
      <c r="E100" s="3118"/>
      <c r="F100" s="3119"/>
      <c r="G100" s="3114" t="s">
        <v>268</v>
      </c>
      <c r="H100" s="3115"/>
      <c r="I100" s="3082">
        <f t="shared" ref="I100" si="15">Q100</f>
        <v>110000</v>
      </c>
      <c r="J100" s="3089"/>
      <c r="L100" s="3176">
        <f t="shared" si="13"/>
        <v>1175000</v>
      </c>
      <c r="M100" s="3040"/>
      <c r="N100" s="1909"/>
      <c r="O100" s="1909"/>
      <c r="P100" s="1909" t="e">
        <f>VLOOKUP($D100,'HARGA 2020'!$D$21:$P$1136,4,0)</f>
        <v>#N/A</v>
      </c>
      <c r="Q100" s="1909">
        <v>110000</v>
      </c>
      <c r="R100" s="3041">
        <f>'Usulan 2019'!H276</f>
        <v>59000</v>
      </c>
      <c r="S100" s="3042">
        <f>'Usulan 2019'!I276</f>
        <v>59000</v>
      </c>
      <c r="T100" s="1909">
        <f>'Usulan 2019'!J276</f>
        <v>59000</v>
      </c>
    </row>
    <row r="101" spans="2:20" ht="15" customHeight="1" x14ac:dyDescent="0.25">
      <c r="B101" s="3076">
        <f t="shared" si="8"/>
        <v>55</v>
      </c>
      <c r="C101" s="3084"/>
      <c r="D101" s="3117" t="s">
        <v>904</v>
      </c>
      <c r="E101" s="3118"/>
      <c r="F101" s="3119"/>
      <c r="G101" s="3114" t="s">
        <v>247</v>
      </c>
      <c r="H101" s="3115"/>
      <c r="I101" s="3082">
        <v>110000</v>
      </c>
      <c r="J101" s="3089"/>
      <c r="L101" s="3176">
        <f t="shared" si="13"/>
        <v>1175000</v>
      </c>
      <c r="M101" s="3040"/>
      <c r="N101" s="1909"/>
      <c r="O101" s="1909"/>
      <c r="P101" s="1909" t="str">
        <f>VLOOKUP($D101,'HARGA 2020'!$D$21:$P$1136,4,0)</f>
        <v>m'</v>
      </c>
      <c r="Q101" s="1909">
        <f>VLOOKUP($D101,'HARGA 2020'!$D$21:$P$1136,6,0)</f>
        <v>93000</v>
      </c>
      <c r="R101" s="3041">
        <f>'Usulan 2019'!H284</f>
        <v>103000</v>
      </c>
      <c r="S101" s="3042">
        <f>'Usulan 2019'!I284</f>
        <v>103000</v>
      </c>
      <c r="T101" s="1909">
        <f>'Usulan 2019'!J284</f>
        <v>103000</v>
      </c>
    </row>
    <row r="102" spans="2:20" ht="15" customHeight="1" x14ac:dyDescent="0.25">
      <c r="B102" s="3076">
        <f t="shared" si="8"/>
        <v>56</v>
      </c>
      <c r="C102" s="3084"/>
      <c r="D102" s="3113" t="s">
        <v>83</v>
      </c>
      <c r="E102" s="3086"/>
      <c r="F102" s="3090"/>
      <c r="G102" s="3080" t="s">
        <v>268</v>
      </c>
      <c r="H102" s="3115"/>
      <c r="I102" s="3082">
        <f t="shared" si="14"/>
        <v>15500</v>
      </c>
      <c r="J102" s="3089"/>
      <c r="L102" s="3176">
        <f t="shared" si="13"/>
        <v>1175000</v>
      </c>
      <c r="M102" s="3040"/>
      <c r="N102" s="1909"/>
      <c r="O102" s="1909"/>
      <c r="P102" s="1909" t="str">
        <f>VLOOKUP($D102,'HARGA 2020'!$D$21:$P$1136,4,0)</f>
        <v>bh</v>
      </c>
      <c r="Q102" s="1909">
        <f>VLOOKUP($D102,'HARGA 2020'!$D$21:$P$1136,6,0)</f>
        <v>15500</v>
      </c>
      <c r="R102" s="3041">
        <f>'Usulan 2019'!H290</f>
        <v>14000</v>
      </c>
      <c r="S102" s="3042">
        <f>'Usulan 2019'!I290</f>
        <v>14000</v>
      </c>
      <c r="T102" s="1909">
        <f>'Usulan 2019'!J290</f>
        <v>14000</v>
      </c>
    </row>
    <row r="103" spans="2:20" ht="15" customHeight="1" x14ac:dyDescent="0.25">
      <c r="B103" s="3076">
        <f t="shared" si="8"/>
        <v>57</v>
      </c>
      <c r="C103" s="3084"/>
      <c r="D103" s="3113" t="s">
        <v>1990</v>
      </c>
      <c r="E103" s="3086"/>
      <c r="F103" s="3090"/>
      <c r="G103" s="3080" t="s">
        <v>268</v>
      </c>
      <c r="H103" s="3115"/>
      <c r="I103" s="3082">
        <v>60000</v>
      </c>
      <c r="J103" s="3089"/>
      <c r="L103" s="3176">
        <f t="shared" si="13"/>
        <v>1175000</v>
      </c>
      <c r="M103" s="3040"/>
      <c r="N103" s="1909"/>
      <c r="O103" s="1909"/>
      <c r="P103" s="1909" t="e">
        <f>VLOOKUP($D103,'HARGA 2020'!$D$21:$P$1136,4,0)</f>
        <v>#N/A</v>
      </c>
      <c r="Q103" s="1909">
        <v>85000</v>
      </c>
      <c r="R103" s="3041">
        <f>'Usulan 2019'!H291</f>
        <v>38000</v>
      </c>
      <c r="S103" s="3042">
        <f>'Usulan 2019'!I291</f>
        <v>38000</v>
      </c>
      <c r="T103" s="1909">
        <f>'Usulan 2019'!J291</f>
        <v>38000</v>
      </c>
    </row>
    <row r="104" spans="2:20" ht="15" customHeight="1" x14ac:dyDescent="0.25">
      <c r="B104" s="3076">
        <f t="shared" si="8"/>
        <v>58</v>
      </c>
      <c r="C104" s="3084"/>
      <c r="D104" s="3113" t="s">
        <v>1989</v>
      </c>
      <c r="E104" s="3086"/>
      <c r="F104" s="3090"/>
      <c r="G104" s="3080" t="s">
        <v>268</v>
      </c>
      <c r="H104" s="3115"/>
      <c r="I104" s="3082">
        <v>70000</v>
      </c>
      <c r="J104" s="3089"/>
      <c r="L104" s="3176">
        <f t="shared" si="13"/>
        <v>1175000</v>
      </c>
      <c r="M104" s="3040"/>
      <c r="N104" s="1909"/>
      <c r="O104" s="1909"/>
      <c r="P104" s="1909" t="e">
        <f>VLOOKUP($D104,'HARGA 2020'!$D$21:$P$1136,4,0)</f>
        <v>#N/A</v>
      </c>
      <c r="Q104" s="1909">
        <v>85000</v>
      </c>
      <c r="R104" s="3041">
        <f>'Usulan 2019'!H292</f>
        <v>40000</v>
      </c>
      <c r="S104" s="3042">
        <f>'Usulan 2019'!I292</f>
        <v>40000</v>
      </c>
      <c r="T104" s="1909">
        <f>'Usulan 2019'!J292</f>
        <v>40000</v>
      </c>
    </row>
    <row r="105" spans="2:20" ht="15" customHeight="1" x14ac:dyDescent="0.25">
      <c r="B105" s="3076">
        <f t="shared" si="8"/>
        <v>59</v>
      </c>
      <c r="C105" s="3084"/>
      <c r="D105" s="3113" t="s">
        <v>1988</v>
      </c>
      <c r="E105" s="3086"/>
      <c r="F105" s="3090"/>
      <c r="G105" s="3080" t="s">
        <v>268</v>
      </c>
      <c r="H105" s="3115"/>
      <c r="I105" s="3082">
        <v>118000</v>
      </c>
      <c r="J105" s="3089"/>
      <c r="L105" s="3176">
        <f t="shared" si="13"/>
        <v>1175000</v>
      </c>
      <c r="M105" s="3040"/>
      <c r="N105" s="1909"/>
      <c r="O105" s="1909"/>
      <c r="P105" s="1909" t="e">
        <f>VLOOKUP($D105,'HARGA 2020'!$D$21:$P$1136,4,0)</f>
        <v>#N/A</v>
      </c>
      <c r="Q105" s="1909">
        <v>125000</v>
      </c>
      <c r="R105" s="3041">
        <f>'Usulan 2019'!H292</f>
        <v>40000</v>
      </c>
      <c r="S105" s="3042">
        <f>'Usulan 2019'!I292</f>
        <v>40000</v>
      </c>
      <c r="T105" s="1909">
        <f>'Usulan 2019'!J292</f>
        <v>40000</v>
      </c>
    </row>
    <row r="106" spans="2:20" ht="15" customHeight="1" x14ac:dyDescent="0.25">
      <c r="B106" s="3076">
        <f t="shared" si="8"/>
        <v>60</v>
      </c>
      <c r="C106" s="3084"/>
      <c r="D106" s="3113" t="s">
        <v>1987</v>
      </c>
      <c r="E106" s="3086"/>
      <c r="F106" s="3090"/>
      <c r="G106" s="3080" t="s">
        <v>268</v>
      </c>
      <c r="H106" s="3115"/>
      <c r="I106" s="3082">
        <v>58000</v>
      </c>
      <c r="J106" s="3089"/>
      <c r="L106" s="3176">
        <f t="shared" si="13"/>
        <v>1175000</v>
      </c>
      <c r="M106" s="3040"/>
      <c r="N106" s="1909"/>
      <c r="O106" s="1909"/>
      <c r="P106" s="1909" t="e">
        <f>VLOOKUP($D106,'HARGA 2020'!$D$21:$P$1136,4,0)</f>
        <v>#N/A</v>
      </c>
      <c r="Q106" s="1909">
        <v>125000</v>
      </c>
      <c r="R106" s="3041">
        <f>'Usulan 2019'!H293</f>
        <v>54000</v>
      </c>
      <c r="S106" s="3042">
        <f>'Usulan 2019'!I293</f>
        <v>54000</v>
      </c>
      <c r="T106" s="1909">
        <f>'Usulan 2019'!J293</f>
        <v>54000</v>
      </c>
    </row>
    <row r="107" spans="2:20" ht="15" customHeight="1" x14ac:dyDescent="0.25">
      <c r="B107" s="3076">
        <f t="shared" si="8"/>
        <v>61</v>
      </c>
      <c r="C107" s="3084"/>
      <c r="D107" s="3136" t="s">
        <v>397</v>
      </c>
      <c r="E107" s="3118"/>
      <c r="F107" s="3119"/>
      <c r="G107" s="3080" t="s">
        <v>247</v>
      </c>
      <c r="H107" s="3115"/>
      <c r="I107" s="3082">
        <f t="shared" si="14"/>
        <v>14000</v>
      </c>
      <c r="J107" s="3089"/>
      <c r="L107" s="3176">
        <f t="shared" si="13"/>
        <v>1175000</v>
      </c>
      <c r="M107" s="3040"/>
      <c r="N107" s="1909"/>
      <c r="O107" s="1909"/>
      <c r="P107" s="1909" t="str">
        <f>VLOOKUP($D107,'HARGA 2020'!$D$21:$P$1136,4,0)</f>
        <v>m'</v>
      </c>
      <c r="Q107" s="1909">
        <f>VLOOKUP($D107,'HARGA 2020'!$D$21:$P$1136,6,0)</f>
        <v>14000</v>
      </c>
      <c r="R107" s="3041">
        <f>'Usulan 2019'!H298</f>
        <v>13000</v>
      </c>
      <c r="S107" s="3042">
        <f>'Usulan 2019'!I298</f>
        <v>13000</v>
      </c>
      <c r="T107" s="1909">
        <f>'Usulan 2019'!J298</f>
        <v>13000</v>
      </c>
    </row>
    <row r="108" spans="2:20" ht="15" customHeight="1" x14ac:dyDescent="0.25">
      <c r="B108" s="3076">
        <f t="shared" si="8"/>
        <v>62</v>
      </c>
      <c r="C108" s="3084"/>
      <c r="D108" s="3136" t="s">
        <v>1632</v>
      </c>
      <c r="E108" s="3118"/>
      <c r="F108" s="3119"/>
      <c r="G108" s="3080" t="s">
        <v>247</v>
      </c>
      <c r="H108" s="3115"/>
      <c r="I108" s="3082">
        <v>22000</v>
      </c>
      <c r="J108" s="3089"/>
      <c r="L108" s="3176">
        <f t="shared" si="13"/>
        <v>1175000</v>
      </c>
      <c r="M108" s="3040"/>
      <c r="N108" s="1909"/>
      <c r="O108" s="1909"/>
      <c r="P108" s="1909" t="e">
        <f>VLOOKUP($D108,'HARGA 2020'!$D$21:$P$1136,4,0)</f>
        <v>#N/A</v>
      </c>
      <c r="Q108" s="1909">
        <v>35000</v>
      </c>
      <c r="R108" s="3041">
        <f>'Usulan 2019'!H299</f>
        <v>83000</v>
      </c>
      <c r="S108" s="3042">
        <f>'Usulan 2019'!I299</f>
        <v>83000</v>
      </c>
      <c r="T108" s="1909">
        <f>'Usulan 2019'!J299</f>
        <v>83000</v>
      </c>
    </row>
    <row r="109" spans="2:20" ht="15" customHeight="1" x14ac:dyDescent="0.25">
      <c r="B109" s="3076">
        <f t="shared" si="8"/>
        <v>63</v>
      </c>
      <c r="C109" s="3084"/>
      <c r="D109" s="3136" t="s">
        <v>1991</v>
      </c>
      <c r="E109" s="3118"/>
      <c r="F109" s="3119"/>
      <c r="G109" s="3080" t="s">
        <v>268</v>
      </c>
      <c r="H109" s="3115"/>
      <c r="I109" s="3082">
        <v>10500</v>
      </c>
      <c r="J109" s="3089"/>
      <c r="L109" s="3176">
        <f t="shared" si="13"/>
        <v>1175000</v>
      </c>
      <c r="M109" s="3040"/>
      <c r="N109" s="1909"/>
      <c r="O109" s="1909"/>
      <c r="P109" s="1909" t="e">
        <f>VLOOKUP($D109,'HARGA 2020'!$D$21:$P$1136,4,0)</f>
        <v>#N/A</v>
      </c>
      <c r="Q109" s="1909">
        <v>35000</v>
      </c>
      <c r="R109" s="3041">
        <f>'Usulan 2019'!H300</f>
        <v>101000</v>
      </c>
      <c r="S109" s="3042">
        <f>'Usulan 2019'!I300</f>
        <v>101000</v>
      </c>
      <c r="T109" s="1909">
        <f>'Usulan 2019'!J300</f>
        <v>101000</v>
      </c>
    </row>
    <row r="110" spans="2:20" ht="15" customHeight="1" x14ac:dyDescent="0.2">
      <c r="B110" s="3076">
        <f t="shared" si="8"/>
        <v>64</v>
      </c>
      <c r="C110" s="3084"/>
      <c r="D110" s="3113" t="s">
        <v>442</v>
      </c>
      <c r="E110" s="3086"/>
      <c r="F110" s="3086"/>
      <c r="G110" s="3080" t="s">
        <v>392</v>
      </c>
      <c r="H110" s="3115"/>
      <c r="I110" s="3082">
        <v>6900</v>
      </c>
      <c r="J110" s="3089"/>
      <c r="L110" s="3176">
        <f t="shared" si="13"/>
        <v>1175000</v>
      </c>
      <c r="M110" s="3040"/>
      <c r="N110" s="1909"/>
      <c r="O110" s="1909"/>
      <c r="P110" s="1909" t="str">
        <f>VLOOKUP($D110,'HARGA 2020'!$D$21:$P$1136,4,0)</f>
        <v>ltr</v>
      </c>
      <c r="Q110" s="1909">
        <f>VLOOKUP($D110,'HARGA 2020'!$D$21:$P$1136,6,0)</f>
        <v>7900</v>
      </c>
      <c r="R110" s="3041">
        <f>'Usulan 2019'!H311</f>
        <v>7400</v>
      </c>
      <c r="S110" s="3042">
        <f>'Usulan 2019'!I311</f>
        <v>7400</v>
      </c>
      <c r="T110" s="1909">
        <f>'Usulan 2019'!J311</f>
        <v>7400</v>
      </c>
    </row>
    <row r="111" spans="2:20" ht="15" customHeight="1" x14ac:dyDescent="0.2">
      <c r="B111" s="3076">
        <f t="shared" si="8"/>
        <v>65</v>
      </c>
      <c r="C111" s="3084"/>
      <c r="D111" s="3117" t="s">
        <v>179</v>
      </c>
      <c r="E111" s="3118"/>
      <c r="F111" s="3118"/>
      <c r="G111" s="3114" t="s">
        <v>277</v>
      </c>
      <c r="H111" s="3115"/>
      <c r="I111" s="3082">
        <v>120000</v>
      </c>
      <c r="J111" s="3089"/>
      <c r="L111" s="3176">
        <f t="shared" si="13"/>
        <v>1175000</v>
      </c>
      <c r="M111" s="3040"/>
      <c r="N111" s="1909">
        <f>VLOOKUP($D111,'HARGA 2020'!$D$21:$P$1136,6,0)</f>
        <v>157000</v>
      </c>
      <c r="O111" s="1909"/>
      <c r="P111" s="1909" t="str">
        <f>VLOOKUP($D111,'HARGA 2020'!$D$21:$P$1136,4,0)</f>
        <v>lbr</v>
      </c>
      <c r="Q111" s="1909">
        <v>120000</v>
      </c>
      <c r="R111" s="3041">
        <f>'Usulan 2019'!H321</f>
        <v>146000</v>
      </c>
      <c r="S111" s="3042">
        <f>'Usulan 2019'!I321</f>
        <v>146000</v>
      </c>
      <c r="T111" s="1909">
        <f>'Usulan 2019'!J321</f>
        <v>146000</v>
      </c>
    </row>
    <row r="112" spans="2:20" ht="15" customHeight="1" x14ac:dyDescent="0.2">
      <c r="B112" s="3076">
        <f t="shared" si="8"/>
        <v>66</v>
      </c>
      <c r="C112" s="3084"/>
      <c r="D112" s="3113" t="s">
        <v>1379</v>
      </c>
      <c r="E112" s="3086"/>
      <c r="F112" s="3086"/>
      <c r="G112" s="3114" t="s">
        <v>298</v>
      </c>
      <c r="H112" s="3115"/>
      <c r="I112" s="3082">
        <f t="shared" ref="I112:I123" si="16">Q112</f>
        <v>23000</v>
      </c>
      <c r="J112" s="3089"/>
      <c r="L112" s="3176">
        <f t="shared" si="13"/>
        <v>1175000</v>
      </c>
      <c r="M112" s="3040"/>
      <c r="N112" s="1909"/>
      <c r="O112" s="1909"/>
      <c r="P112" s="1909" t="str">
        <f>VLOOKUP($D112,'HARGA 2020'!$D$21:$P$1136,4,0)</f>
        <v>kg</v>
      </c>
      <c r="Q112" s="1909">
        <f>VLOOKUP($D112,'HARGA 2020'!$D$21:$P$1136,6,0)</f>
        <v>23000</v>
      </c>
      <c r="R112" s="3041">
        <f>'Usulan 2019'!H325</f>
        <v>21000</v>
      </c>
      <c r="S112" s="3042">
        <f>'Usulan 2019'!I325</f>
        <v>21000</v>
      </c>
      <c r="T112" s="1909">
        <f>'Usulan 2019'!J325</f>
        <v>21000</v>
      </c>
    </row>
    <row r="113" spans="2:20" ht="15" customHeight="1" x14ac:dyDescent="0.2">
      <c r="B113" s="3076">
        <f t="shared" si="8"/>
        <v>67</v>
      </c>
      <c r="C113" s="3084"/>
      <c r="D113" s="3113" t="s">
        <v>1629</v>
      </c>
      <c r="E113" s="3086"/>
      <c r="F113" s="3086"/>
      <c r="G113" s="3114" t="s">
        <v>265</v>
      </c>
      <c r="H113" s="3115"/>
      <c r="I113" s="3082">
        <v>800</v>
      </c>
      <c r="J113" s="3089"/>
      <c r="L113" s="3176">
        <f t="shared" si="13"/>
        <v>1175000</v>
      </c>
      <c r="M113" s="3040"/>
      <c r="N113" s="1909"/>
      <c r="O113" s="1909"/>
      <c r="P113" s="1909" t="str">
        <f>VLOOKUP($D113,'HARGA 2020'!$D$21:$P$1136,4,0)</f>
        <v>bj</v>
      </c>
      <c r="Q113" s="1909">
        <f>VLOOKUP($D113,'HARGA 2020'!$D$21:$P$1136,6,0)</f>
        <v>700</v>
      </c>
      <c r="R113" s="3041">
        <f>'Usulan 2019'!H326</f>
        <v>700</v>
      </c>
      <c r="S113" s="3042">
        <f>'Usulan 2019'!I326</f>
        <v>700</v>
      </c>
      <c r="T113" s="1909">
        <f>'Usulan 2019'!J326</f>
        <v>700</v>
      </c>
    </row>
    <row r="114" spans="2:20" ht="15" customHeight="1" x14ac:dyDescent="0.2">
      <c r="B114" s="3076">
        <f t="shared" ref="B114:B160" si="17">B113+1</f>
        <v>68</v>
      </c>
      <c r="C114" s="3084"/>
      <c r="D114" s="3113" t="s">
        <v>421</v>
      </c>
      <c r="E114" s="3086"/>
      <c r="F114" s="3086"/>
      <c r="G114" s="3114" t="s">
        <v>298</v>
      </c>
      <c r="H114" s="3115"/>
      <c r="I114" s="3082">
        <v>24000</v>
      </c>
      <c r="J114" s="3089"/>
      <c r="L114" s="3176">
        <f t="shared" si="13"/>
        <v>1175000</v>
      </c>
      <c r="M114" s="3040"/>
      <c r="N114" s="1909"/>
      <c r="O114" s="1909"/>
      <c r="P114" s="1909" t="str">
        <f>VLOOKUP($D114,'HARGA 2020'!$D$21:$P$1136,4,0)</f>
        <v>kg</v>
      </c>
      <c r="Q114" s="1909">
        <f>VLOOKUP($D114,'HARGA 2020'!$D$21:$P$1136,6,0)</f>
        <v>26000</v>
      </c>
      <c r="R114" s="3041">
        <f>'Usulan 2019'!H328</f>
        <v>24000</v>
      </c>
      <c r="S114" s="3042">
        <f>'Usulan 2019'!I328</f>
        <v>24000</v>
      </c>
      <c r="T114" s="1909">
        <f>'Usulan 2019'!J328</f>
        <v>24000</v>
      </c>
    </row>
    <row r="115" spans="2:20" ht="15" customHeight="1" x14ac:dyDescent="0.2">
      <c r="B115" s="3076">
        <f t="shared" si="17"/>
        <v>69</v>
      </c>
      <c r="C115" s="3084"/>
      <c r="D115" s="3117" t="s">
        <v>908</v>
      </c>
      <c r="E115" s="3118"/>
      <c r="F115" s="3118"/>
      <c r="G115" s="3114" t="s">
        <v>268</v>
      </c>
      <c r="H115" s="3115"/>
      <c r="I115" s="3082">
        <v>570</v>
      </c>
      <c r="J115" s="3089"/>
      <c r="L115" s="3176">
        <f t="shared" si="13"/>
        <v>1175000</v>
      </c>
      <c r="M115" s="3040"/>
      <c r="N115" s="1909"/>
      <c r="O115" s="1909"/>
      <c r="P115" s="1909" t="str">
        <f>VLOOKUP($D115,'HARGA 2020'!$D$21:$P$1136,4,0)</f>
        <v>bh</v>
      </c>
      <c r="Q115" s="1909">
        <f>VLOOKUP($D115,'HARGA 2020'!$D$21:$P$1136,6,0)</f>
        <v>5700</v>
      </c>
      <c r="R115" s="3041">
        <f>'Usulan 2019'!H330</f>
        <v>5400</v>
      </c>
      <c r="S115" s="3042">
        <f>'Usulan 2019'!I330</f>
        <v>5400</v>
      </c>
      <c r="T115" s="1909">
        <f>'Usulan 2019'!J330</f>
        <v>5400</v>
      </c>
    </row>
    <row r="116" spans="2:20" ht="15" customHeight="1" x14ac:dyDescent="0.2">
      <c r="B116" s="3076">
        <f t="shared" si="17"/>
        <v>70</v>
      </c>
      <c r="C116" s="3084"/>
      <c r="D116" s="3113" t="s">
        <v>92</v>
      </c>
      <c r="E116" s="3086"/>
      <c r="F116" s="3086"/>
      <c r="G116" s="3114" t="s">
        <v>298</v>
      </c>
      <c r="H116" s="3115"/>
      <c r="I116" s="3082">
        <f t="shared" si="16"/>
        <v>23000</v>
      </c>
      <c r="J116" s="3129"/>
      <c r="L116" s="3176">
        <f t="shared" si="13"/>
        <v>1175000</v>
      </c>
      <c r="M116" s="3040"/>
      <c r="N116" s="1909"/>
      <c r="O116" s="1909"/>
      <c r="P116" s="1909" t="str">
        <f>VLOOKUP($D116,'HARGA 2020'!$D$21:$P$1136,4,0)</f>
        <v>kg</v>
      </c>
      <c r="Q116" s="1909">
        <f>VLOOKUP($D116,'HARGA 2020'!$D$21:$P$1136,6,0)</f>
        <v>23000</v>
      </c>
      <c r="R116" s="3041">
        <f>'Usulan 2019'!H332</f>
        <v>21000</v>
      </c>
      <c r="S116" s="3042">
        <f>'Usulan 2019'!I332</f>
        <v>21000</v>
      </c>
      <c r="T116" s="1909">
        <f>'Usulan 2019'!J332</f>
        <v>21000</v>
      </c>
    </row>
    <row r="117" spans="2:20" ht="15" customHeight="1" x14ac:dyDescent="0.2">
      <c r="B117" s="3076">
        <f t="shared" si="17"/>
        <v>71</v>
      </c>
      <c r="C117" s="3084"/>
      <c r="D117" s="3113" t="s">
        <v>93</v>
      </c>
      <c r="E117" s="3086"/>
      <c r="F117" s="3086"/>
      <c r="G117" s="3114" t="s">
        <v>298</v>
      </c>
      <c r="H117" s="3115"/>
      <c r="I117" s="3082">
        <f t="shared" si="16"/>
        <v>17000</v>
      </c>
      <c r="J117" s="3089"/>
      <c r="L117" s="3176">
        <f t="shared" si="13"/>
        <v>1175000</v>
      </c>
      <c r="M117" s="3040"/>
      <c r="N117" s="1909"/>
      <c r="O117" s="1909"/>
      <c r="P117" s="1909" t="str">
        <f>VLOOKUP($D117,'HARGA 2020'!$D$21:$P$1136,4,0)</f>
        <v>kg</v>
      </c>
      <c r="Q117" s="1909">
        <f>VLOOKUP($D117,'HARGA 2020'!$D$21:$P$1136,6,0)</f>
        <v>17000</v>
      </c>
      <c r="R117" s="3041">
        <f>'Usulan 2019'!H333</f>
        <v>16000</v>
      </c>
      <c r="S117" s="3042">
        <f>'Usulan 2019'!I333</f>
        <v>16000</v>
      </c>
      <c r="T117" s="1909">
        <f>'Usulan 2019'!J333</f>
        <v>16000</v>
      </c>
    </row>
    <row r="118" spans="2:20" ht="15" customHeight="1" x14ac:dyDescent="0.25">
      <c r="B118" s="3076">
        <f t="shared" si="17"/>
        <v>72</v>
      </c>
      <c r="C118" s="3084"/>
      <c r="D118" s="3113" t="s">
        <v>816</v>
      </c>
      <c r="E118" s="3086"/>
      <c r="F118" s="3119"/>
      <c r="G118" s="3114" t="s">
        <v>298</v>
      </c>
      <c r="H118" s="3115"/>
      <c r="I118" s="3082">
        <f>Q118</f>
        <v>1200</v>
      </c>
      <c r="J118" s="3089"/>
      <c r="L118" s="3176">
        <f t="shared" si="13"/>
        <v>1175000</v>
      </c>
      <c r="M118" s="3040"/>
      <c r="N118" s="1909"/>
      <c r="O118" s="1909"/>
      <c r="P118" s="1909" t="str">
        <f>VLOOKUP($D118,'HARGA 2020'!$D$21:$P$1136,4,0)</f>
        <v>kg</v>
      </c>
      <c r="Q118" s="1909">
        <f>VLOOKUP($D118,'HARGA 2020'!$D$21:$P$1136,6,0)</f>
        <v>1200</v>
      </c>
      <c r="R118" s="3041">
        <f>'Usulan 2019'!H335</f>
        <v>1250</v>
      </c>
      <c r="S118" s="3042">
        <f>'Usulan 2019'!I335</f>
        <v>1250</v>
      </c>
      <c r="T118" s="1909">
        <f>'Usulan 2019'!J335</f>
        <v>1250</v>
      </c>
    </row>
    <row r="119" spans="2:20" ht="15" customHeight="1" x14ac:dyDescent="0.2">
      <c r="B119" s="3076">
        <f t="shared" si="17"/>
        <v>73</v>
      </c>
      <c r="C119" s="3084"/>
      <c r="D119" s="3113" t="s">
        <v>88</v>
      </c>
      <c r="E119" s="3151"/>
      <c r="F119" s="3151"/>
      <c r="G119" s="3114" t="s">
        <v>298</v>
      </c>
      <c r="H119" s="3115"/>
      <c r="I119" s="3082">
        <f t="shared" si="16"/>
        <v>14300</v>
      </c>
      <c r="J119" s="3089"/>
      <c r="L119" s="3176">
        <f t="shared" si="13"/>
        <v>1175000</v>
      </c>
      <c r="M119" s="3040"/>
      <c r="N119" s="1909"/>
      <c r="O119" s="1909"/>
      <c r="P119" s="1909" t="str">
        <f>VLOOKUP($D119,'HARGA 2020'!$D$21:$P$1136,4,0)</f>
        <v>kg</v>
      </c>
      <c r="Q119" s="1909">
        <f>VLOOKUP($D119,'HARGA 2020'!$D$21:$P$1136,6,0)</f>
        <v>14300</v>
      </c>
      <c r="R119" s="3041">
        <f>'Usulan 2019'!H337</f>
        <v>13000</v>
      </c>
      <c r="S119" s="3042">
        <f>'Usulan 2019'!I337</f>
        <v>13000</v>
      </c>
      <c r="T119" s="1909">
        <f>'Usulan 2019'!J337</f>
        <v>13000</v>
      </c>
    </row>
    <row r="120" spans="2:20" ht="15" customHeight="1" x14ac:dyDescent="0.2">
      <c r="B120" s="3076">
        <f t="shared" si="17"/>
        <v>74</v>
      </c>
      <c r="C120" s="3084"/>
      <c r="D120" s="3113" t="s">
        <v>324</v>
      </c>
      <c r="E120" s="3086"/>
      <c r="F120" s="3152"/>
      <c r="G120" s="3114" t="s">
        <v>264</v>
      </c>
      <c r="H120" s="3115"/>
      <c r="I120" s="3082">
        <v>260000</v>
      </c>
      <c r="J120" s="3089"/>
      <c r="L120" s="3176">
        <f t="shared" ref="L120:L151" si="18">$L$20</f>
        <v>1175000</v>
      </c>
      <c r="M120" s="3040"/>
      <c r="N120" s="1909"/>
      <c r="O120" s="1909"/>
      <c r="P120" s="1909" t="str">
        <f>VLOOKUP($D120,'HARGA 2020'!$D$21:$P$1136,4,0)</f>
        <v>m³</v>
      </c>
      <c r="Q120" s="1909">
        <f>VLOOKUP($D120,'HARGA 2020'!$D$21:$P$1136,6,0)</f>
        <v>260000</v>
      </c>
      <c r="R120" s="3041">
        <f>'Usulan 2019'!H339</f>
        <v>260000</v>
      </c>
      <c r="S120" s="3042">
        <f>'Usulan 2019'!I339</f>
        <v>265000</v>
      </c>
      <c r="T120" s="1909">
        <f>'Usulan 2019'!J339</f>
        <v>271000</v>
      </c>
    </row>
    <row r="121" spans="2:20" ht="15" customHeight="1" x14ac:dyDescent="0.2">
      <c r="B121" s="3076">
        <f t="shared" si="17"/>
        <v>75</v>
      </c>
      <c r="C121" s="3084"/>
      <c r="D121" s="3113" t="s">
        <v>379</v>
      </c>
      <c r="E121" s="3086"/>
      <c r="F121" s="3086"/>
      <c r="G121" s="3114" t="s">
        <v>264</v>
      </c>
      <c r="H121" s="3115"/>
      <c r="I121" s="3082">
        <f>I120</f>
        <v>260000</v>
      </c>
      <c r="J121" s="3089"/>
      <c r="L121" s="3176">
        <f t="shared" si="18"/>
        <v>1175000</v>
      </c>
      <c r="M121" s="3040"/>
      <c r="N121" s="1909"/>
      <c r="O121" s="1909"/>
      <c r="P121" s="1909" t="str">
        <f>VLOOKUP($D121,'HARGA 2020'!$D$21:$P$1136,4,0)</f>
        <v>m³</v>
      </c>
      <c r="Q121" s="1909">
        <f>VLOOKUP($D121,'HARGA 2020'!$D$21:$P$1136,6,0)</f>
        <v>260000</v>
      </c>
      <c r="R121" s="3041">
        <f>'Usulan 2019'!H340</f>
        <v>260000</v>
      </c>
      <c r="S121" s="3042">
        <f>'Usulan 2019'!I340</f>
        <v>265000</v>
      </c>
      <c r="T121" s="1909">
        <f>'Usulan 2019'!J340</f>
        <v>271000</v>
      </c>
    </row>
    <row r="122" spans="2:20" ht="15" customHeight="1" x14ac:dyDescent="0.2">
      <c r="B122" s="3076">
        <f t="shared" si="17"/>
        <v>76</v>
      </c>
      <c r="C122" s="3084"/>
      <c r="D122" s="3113" t="s">
        <v>302</v>
      </c>
      <c r="E122" s="3086"/>
      <c r="F122" s="3086"/>
      <c r="G122" s="3080" t="s">
        <v>264</v>
      </c>
      <c r="H122" s="3115"/>
      <c r="I122" s="3082">
        <f t="shared" si="16"/>
        <v>163000</v>
      </c>
      <c r="J122" s="3089"/>
      <c r="L122" s="3176">
        <f t="shared" si="18"/>
        <v>1175000</v>
      </c>
      <c r="M122" s="3040"/>
      <c r="N122" s="1909"/>
      <c r="O122" s="1909"/>
      <c r="P122" s="1909" t="str">
        <f>VLOOKUP($D122,'HARGA 2020'!$D$21:$P$1136,4,0)</f>
        <v>m³</v>
      </c>
      <c r="Q122" s="1909">
        <f>VLOOKUP($D122,'HARGA 2020'!$D$21:$P$1136,6,0)</f>
        <v>163000</v>
      </c>
      <c r="R122" s="3041">
        <f>'Usulan 2019'!H344</f>
        <v>142000</v>
      </c>
      <c r="S122" s="3042">
        <f>'Usulan 2019'!I344</f>
        <v>147000</v>
      </c>
      <c r="T122" s="1909">
        <f>'Usulan 2019'!J344</f>
        <v>152000</v>
      </c>
    </row>
    <row r="123" spans="2:20" ht="15" customHeight="1" x14ac:dyDescent="0.2">
      <c r="B123" s="3076">
        <f t="shared" si="17"/>
        <v>77</v>
      </c>
      <c r="C123" s="3084"/>
      <c r="D123" s="3153" t="s">
        <v>916</v>
      </c>
      <c r="E123" s="3086"/>
      <c r="F123" s="3086"/>
      <c r="G123" s="3080" t="s">
        <v>266</v>
      </c>
      <c r="H123" s="3115"/>
      <c r="I123" s="3082">
        <f t="shared" si="16"/>
        <v>128000</v>
      </c>
      <c r="J123" s="3089"/>
      <c r="L123" s="3176">
        <f t="shared" si="18"/>
        <v>1175000</v>
      </c>
      <c r="M123" s="3040"/>
      <c r="N123" s="1909"/>
      <c r="O123" s="1909"/>
      <c r="P123" s="1909" t="str">
        <f>VLOOKUP($D123,'HARGA 2020'!$D$21:$P$1136,4,0)</f>
        <v>m²</v>
      </c>
      <c r="Q123" s="1909">
        <f>VLOOKUP($D123,'HARGA 2020'!$D$21:$P$1136,6,0)</f>
        <v>128000</v>
      </c>
      <c r="R123" s="3041">
        <f>'Usulan 2019'!H356</f>
        <v>119000</v>
      </c>
      <c r="S123" s="3042">
        <f>'Usulan 2019'!I356</f>
        <v>119000</v>
      </c>
      <c r="T123" s="1909">
        <f>'Usulan 2019'!J356</f>
        <v>119000</v>
      </c>
    </row>
    <row r="124" spans="2:20" ht="15" customHeight="1" x14ac:dyDescent="0.25">
      <c r="B124" s="3076">
        <f t="shared" si="17"/>
        <v>78</v>
      </c>
      <c r="C124" s="3084"/>
      <c r="D124" s="3113" t="s">
        <v>689</v>
      </c>
      <c r="E124" s="3086"/>
      <c r="F124" s="3090"/>
      <c r="G124" s="3114" t="s">
        <v>274</v>
      </c>
      <c r="H124" s="3115"/>
      <c r="I124" s="3082">
        <f t="shared" ref="I124:I143" si="19">Q124</f>
        <v>24800</v>
      </c>
      <c r="J124" s="3089"/>
      <c r="L124" s="3176">
        <f t="shared" si="18"/>
        <v>1175000</v>
      </c>
      <c r="M124" s="3040"/>
      <c r="N124" s="1909"/>
      <c r="O124" s="1909"/>
      <c r="P124" s="1909" t="str">
        <f>VLOOKUP($D124,'HARGA 2020'!$D$21:$P$1136,4,0)</f>
        <v>btg</v>
      </c>
      <c r="Q124" s="1909">
        <f>VLOOKUP($D124,'HARGA 2020'!$D$21:$P$1136,6,0)</f>
        <v>24800</v>
      </c>
      <c r="R124" s="3041">
        <f>'Usulan 2019'!H382</f>
        <v>23000</v>
      </c>
      <c r="S124" s="3042">
        <f>'Usulan 2019'!I382</f>
        <v>23000</v>
      </c>
      <c r="T124" s="1909">
        <f>'Usulan 2019'!J382</f>
        <v>23000</v>
      </c>
    </row>
    <row r="125" spans="2:20" ht="15" customHeight="1" x14ac:dyDescent="0.25">
      <c r="B125" s="3076">
        <f t="shared" si="17"/>
        <v>79</v>
      </c>
      <c r="C125" s="3084"/>
      <c r="D125" s="3113" t="s">
        <v>690</v>
      </c>
      <c r="E125" s="3086"/>
      <c r="F125" s="3090"/>
      <c r="G125" s="3114" t="s">
        <v>274</v>
      </c>
      <c r="H125" s="3115"/>
      <c r="I125" s="3082">
        <v>30800</v>
      </c>
      <c r="J125" s="3089"/>
      <c r="L125" s="3176">
        <f t="shared" si="18"/>
        <v>1175000</v>
      </c>
      <c r="M125" s="3040"/>
      <c r="N125" s="1909">
        <f>7700*4</f>
        <v>30800</v>
      </c>
      <c r="O125" s="1909"/>
      <c r="P125" s="1909" t="str">
        <f>VLOOKUP($D125,'HARGA 2020'!$D$21:$P$1136,4,0)</f>
        <v>btg</v>
      </c>
      <c r="Q125" s="1909">
        <f>VLOOKUP($D125,'HARGA 2020'!$D$21:$P$1136,6,0)</f>
        <v>29000</v>
      </c>
      <c r="R125" s="3041">
        <f>'Usulan 2019'!H383</f>
        <v>29000</v>
      </c>
      <c r="S125" s="3042">
        <f>'Usulan 2019'!I383</f>
        <v>29000</v>
      </c>
      <c r="T125" s="1909">
        <f>'Usulan 2019'!J383</f>
        <v>29000</v>
      </c>
    </row>
    <row r="126" spans="2:20" ht="15" customHeight="1" x14ac:dyDescent="0.25">
      <c r="B126" s="3076">
        <f t="shared" si="17"/>
        <v>80</v>
      </c>
      <c r="C126" s="3084"/>
      <c r="D126" s="3113" t="s">
        <v>522</v>
      </c>
      <c r="E126" s="3086"/>
      <c r="F126" s="3090"/>
      <c r="G126" s="3114" t="s">
        <v>274</v>
      </c>
      <c r="H126" s="3115"/>
      <c r="I126" s="3082">
        <f t="shared" si="19"/>
        <v>37400</v>
      </c>
      <c r="J126" s="3089"/>
      <c r="L126" s="3176">
        <f t="shared" si="18"/>
        <v>1175000</v>
      </c>
      <c r="M126" s="3040"/>
      <c r="N126" s="1909"/>
      <c r="O126" s="1909"/>
      <c r="P126" s="1909" t="str">
        <f>VLOOKUP($D126,'HARGA 2020'!$D$21:$P$1136,4,0)</f>
        <v>btg</v>
      </c>
      <c r="Q126" s="1909">
        <f>VLOOKUP($D126,'HARGA 2020'!$D$21:$P$1136,6,0)</f>
        <v>37400</v>
      </c>
      <c r="R126" s="3041">
        <f>'Usulan 2019'!H384</f>
        <v>34000</v>
      </c>
      <c r="S126" s="3042">
        <f>'Usulan 2019'!I384</f>
        <v>34000</v>
      </c>
      <c r="T126" s="1909">
        <f>'Usulan 2019'!J384</f>
        <v>34000</v>
      </c>
    </row>
    <row r="127" spans="2:20" ht="15" customHeight="1" x14ac:dyDescent="0.25">
      <c r="B127" s="3076">
        <f t="shared" si="17"/>
        <v>81</v>
      </c>
      <c r="C127" s="3084"/>
      <c r="D127" s="3113" t="s">
        <v>523</v>
      </c>
      <c r="E127" s="3086"/>
      <c r="F127" s="3090"/>
      <c r="G127" s="3114" t="s">
        <v>274</v>
      </c>
      <c r="H127" s="3115"/>
      <c r="I127" s="3082">
        <f t="shared" si="19"/>
        <v>77900</v>
      </c>
      <c r="J127" s="3089"/>
      <c r="L127" s="3176">
        <f t="shared" si="18"/>
        <v>1175000</v>
      </c>
      <c r="M127" s="3040"/>
      <c r="N127" s="1909"/>
      <c r="O127" s="1909"/>
      <c r="P127" s="1909" t="str">
        <f>VLOOKUP($D127,'HARGA 2020'!$D$21:$P$1136,4,0)</f>
        <v>btg</v>
      </c>
      <c r="Q127" s="1909">
        <f>VLOOKUP($D127,'HARGA 2020'!$D$21:$P$1136,6,0)</f>
        <v>77900</v>
      </c>
      <c r="R127" s="3041">
        <f>'Usulan 2019'!H385</f>
        <v>72000</v>
      </c>
      <c r="S127" s="3042">
        <f>'Usulan 2019'!I385</f>
        <v>72000</v>
      </c>
      <c r="T127" s="1909">
        <f>'Usulan 2019'!J385</f>
        <v>72000</v>
      </c>
    </row>
    <row r="128" spans="2:20" ht="15" customHeight="1" x14ac:dyDescent="0.25">
      <c r="B128" s="3076">
        <f t="shared" si="17"/>
        <v>82</v>
      </c>
      <c r="C128" s="3084"/>
      <c r="D128" s="3113" t="s">
        <v>524</v>
      </c>
      <c r="E128" s="3086"/>
      <c r="F128" s="3090"/>
      <c r="G128" s="3114" t="s">
        <v>274</v>
      </c>
      <c r="H128" s="3115"/>
      <c r="I128" s="3082">
        <v>143000</v>
      </c>
      <c r="J128" s="3089"/>
      <c r="L128" s="3176">
        <f t="shared" si="18"/>
        <v>1175000</v>
      </c>
      <c r="M128" s="3040"/>
      <c r="N128" s="1909"/>
      <c r="O128" s="1909"/>
      <c r="P128" s="1909" t="str">
        <f>VLOOKUP($D128,'HARGA 2020'!$D$21:$P$1136,4,0)</f>
        <v>btg</v>
      </c>
      <c r="Q128" s="1909">
        <f>VLOOKUP($D128,'HARGA 2020'!$D$21:$P$1136,6,0)</f>
        <v>125000</v>
      </c>
      <c r="R128" s="3041">
        <f>'Usulan 2019'!H386</f>
        <v>208000</v>
      </c>
      <c r="S128" s="3042">
        <f>'Usulan 2019'!I386</f>
        <v>208000</v>
      </c>
      <c r="T128" s="1909">
        <f>'Usulan 2019'!J386</f>
        <v>208000</v>
      </c>
    </row>
    <row r="129" spans="2:20" ht="15" customHeight="1" x14ac:dyDescent="0.25">
      <c r="B129" s="3076">
        <f t="shared" si="17"/>
        <v>83</v>
      </c>
      <c r="C129" s="3084"/>
      <c r="D129" s="3113" t="s">
        <v>837</v>
      </c>
      <c r="E129" s="3086"/>
      <c r="F129" s="3090"/>
      <c r="G129" s="3114" t="s">
        <v>274</v>
      </c>
      <c r="H129" s="3115"/>
      <c r="I129" s="3082">
        <f t="shared" si="19"/>
        <v>159000</v>
      </c>
      <c r="J129" s="3089"/>
      <c r="L129" s="3176">
        <f t="shared" si="18"/>
        <v>1175000</v>
      </c>
      <c r="M129" s="3040"/>
      <c r="N129" s="1909"/>
      <c r="O129" s="1909"/>
      <c r="P129" s="1909" t="str">
        <f>VLOOKUP($D129,'HARGA 2020'!$D$21:$P$1136,4,0)</f>
        <v>btg</v>
      </c>
      <c r="Q129" s="1909">
        <f>VLOOKUP($D129,'HARGA 2020'!$D$21:$P$1136,6,0)</f>
        <v>159000</v>
      </c>
      <c r="R129" s="3041">
        <f>'Usulan 2019'!H387</f>
        <v>148000</v>
      </c>
      <c r="S129" s="3042">
        <f>'Usulan 2019'!I387</f>
        <v>148000</v>
      </c>
      <c r="T129" s="1909">
        <f>'Usulan 2019'!J387</f>
        <v>148000</v>
      </c>
    </row>
    <row r="130" spans="2:20" ht="15" customHeight="1" x14ac:dyDescent="0.25">
      <c r="B130" s="3076">
        <f t="shared" si="17"/>
        <v>84</v>
      </c>
      <c r="C130" s="3084"/>
      <c r="D130" s="3113" t="s">
        <v>525</v>
      </c>
      <c r="E130" s="3086"/>
      <c r="F130" s="3090"/>
      <c r="G130" s="3114" t="s">
        <v>274</v>
      </c>
      <c r="H130" s="3115"/>
      <c r="I130" s="3082">
        <f t="shared" si="19"/>
        <v>182000</v>
      </c>
      <c r="J130" s="3089"/>
      <c r="L130" s="3176">
        <f t="shared" si="18"/>
        <v>1175000</v>
      </c>
      <c r="M130" s="3040"/>
      <c r="N130" s="1909"/>
      <c r="O130" s="1909"/>
      <c r="P130" s="1909" t="str">
        <f>VLOOKUP($D130,'HARGA 2020'!$D$21:$P$1136,4,0)</f>
        <v>btg</v>
      </c>
      <c r="Q130" s="1909">
        <f>VLOOKUP($D130,'HARGA 2020'!$D$21:$P$1136,6,0)</f>
        <v>182000</v>
      </c>
      <c r="R130" s="3041">
        <f>'Usulan 2019'!H388</f>
        <v>170000</v>
      </c>
      <c r="S130" s="3042">
        <f>'Usulan 2019'!I388</f>
        <v>170000</v>
      </c>
      <c r="T130" s="1909">
        <f>'Usulan 2019'!J388</f>
        <v>170000</v>
      </c>
    </row>
    <row r="131" spans="2:20" ht="15" customHeight="1" x14ac:dyDescent="0.25">
      <c r="B131" s="3076">
        <f t="shared" si="17"/>
        <v>85</v>
      </c>
      <c r="C131" s="3084"/>
      <c r="D131" s="3113" t="s">
        <v>443</v>
      </c>
      <c r="E131" s="3086"/>
      <c r="F131" s="3090"/>
      <c r="G131" s="3114" t="s">
        <v>274</v>
      </c>
      <c r="H131" s="3115"/>
      <c r="I131" s="3082">
        <v>329000</v>
      </c>
      <c r="J131" s="3089"/>
      <c r="L131" s="3176">
        <f t="shared" si="18"/>
        <v>1175000</v>
      </c>
      <c r="M131" s="3040"/>
      <c r="N131" s="1909"/>
      <c r="O131" s="1909"/>
      <c r="P131" s="1909" t="str">
        <f>VLOOKUP($D131,'HARGA 2020'!$D$21:$P$1136,4,0)</f>
        <v>btg</v>
      </c>
      <c r="Q131" s="1909">
        <f>VLOOKUP($D131,'HARGA 2020'!$D$21:$P$1136,6,0)</f>
        <v>308000</v>
      </c>
      <c r="R131" s="3041">
        <f>'Usulan 2019'!H389</f>
        <v>306000</v>
      </c>
      <c r="S131" s="3042">
        <f>'Usulan 2019'!I389</f>
        <v>306000</v>
      </c>
      <c r="T131" s="1909">
        <f>'Usulan 2019'!J389</f>
        <v>306000</v>
      </c>
    </row>
    <row r="132" spans="2:20" ht="15" customHeight="1" x14ac:dyDescent="0.25">
      <c r="B132" s="3076">
        <f t="shared" si="17"/>
        <v>86</v>
      </c>
      <c r="C132" s="3084"/>
      <c r="D132" s="3113" t="s">
        <v>1642</v>
      </c>
      <c r="E132" s="3086"/>
      <c r="F132" s="3090"/>
      <c r="G132" s="3114" t="s">
        <v>274</v>
      </c>
      <c r="H132" s="3115"/>
      <c r="I132" s="3082">
        <f t="shared" ref="I132" si="20">Q132</f>
        <v>160000</v>
      </c>
      <c r="J132" s="3089"/>
      <c r="L132" s="3176">
        <f t="shared" si="18"/>
        <v>1175000</v>
      </c>
      <c r="M132" s="3040"/>
      <c r="N132" s="1909"/>
      <c r="O132" s="1909"/>
      <c r="P132" s="1909" t="e">
        <f>VLOOKUP($D132,'HARGA 2020'!$D$21:$P$1136,4,0)</f>
        <v>#N/A</v>
      </c>
      <c r="Q132" s="1909">
        <v>160000</v>
      </c>
      <c r="R132" s="3041">
        <f>'Usulan 2019'!H392</f>
        <v>138000</v>
      </c>
      <c r="S132" s="3042">
        <f>'Usulan 2019'!I392</f>
        <v>138000</v>
      </c>
      <c r="T132" s="1909">
        <f>'Usulan 2019'!J392</f>
        <v>138000</v>
      </c>
    </row>
    <row r="133" spans="2:20" ht="15" customHeight="1" x14ac:dyDescent="0.25">
      <c r="B133" s="3076">
        <f t="shared" si="17"/>
        <v>87</v>
      </c>
      <c r="C133" s="3084"/>
      <c r="D133" s="3113" t="s">
        <v>1961</v>
      </c>
      <c r="E133" s="3086"/>
      <c r="F133" s="3090"/>
      <c r="G133" s="3114" t="s">
        <v>247</v>
      </c>
      <c r="H133" s="3115"/>
      <c r="I133" s="3082">
        <v>26000</v>
      </c>
      <c r="J133" s="3089"/>
      <c r="L133" s="3176">
        <f t="shared" si="18"/>
        <v>1175000</v>
      </c>
      <c r="M133" s="3040"/>
      <c r="N133" s="1909"/>
      <c r="O133" s="1909"/>
      <c r="P133" s="1909" t="e">
        <f>VLOOKUP($D133,'HARGA 2020'!$D$21:$P$1136,4,0)</f>
        <v>#N/A</v>
      </c>
      <c r="Q133" s="1909">
        <v>80000</v>
      </c>
      <c r="R133" s="3041">
        <f>'Usulan 2019'!H395</f>
        <v>382000</v>
      </c>
      <c r="S133" s="3042">
        <f>'Usulan 2019'!I395</f>
        <v>382000</v>
      </c>
      <c r="T133" s="1909">
        <f>'Usulan 2019'!J395</f>
        <v>382000</v>
      </c>
    </row>
    <row r="134" spans="2:20" ht="15" customHeight="1" x14ac:dyDescent="0.25">
      <c r="B134" s="3076">
        <f t="shared" si="17"/>
        <v>88</v>
      </c>
      <c r="C134" s="3084"/>
      <c r="D134" s="3113" t="s">
        <v>380</v>
      </c>
      <c r="E134" s="3086"/>
      <c r="F134" s="3090"/>
      <c r="G134" s="3114" t="s">
        <v>298</v>
      </c>
      <c r="H134" s="3115"/>
      <c r="I134" s="3082">
        <f t="shared" si="19"/>
        <v>20000</v>
      </c>
      <c r="J134" s="3089"/>
      <c r="L134" s="3176">
        <f t="shared" si="18"/>
        <v>1175000</v>
      </c>
      <c r="M134" s="3040"/>
      <c r="N134" s="1909"/>
      <c r="O134" s="1909"/>
      <c r="P134" s="1909" t="str">
        <f>VLOOKUP($D134,'HARGA 2020'!$D$21:$P$1136,4,0)</f>
        <v>kg</v>
      </c>
      <c r="Q134" s="1909">
        <f>VLOOKUP($D134,'HARGA 2020'!$D$21:$P$1136,6,0)</f>
        <v>20000</v>
      </c>
      <c r="R134" s="3041">
        <f>'Usulan 2019'!H396</f>
        <v>19000</v>
      </c>
      <c r="S134" s="3042">
        <f>'Usulan 2019'!I396</f>
        <v>19000</v>
      </c>
      <c r="T134" s="1909">
        <f>'Usulan 2019'!J396</f>
        <v>19000</v>
      </c>
    </row>
    <row r="135" spans="2:20" ht="15" customHeight="1" x14ac:dyDescent="0.25">
      <c r="B135" s="3076">
        <f t="shared" si="17"/>
        <v>89</v>
      </c>
      <c r="C135" s="3084"/>
      <c r="D135" s="3113" t="s">
        <v>1959</v>
      </c>
      <c r="E135" s="3086"/>
      <c r="F135" s="3090"/>
      <c r="G135" s="3114" t="s">
        <v>268</v>
      </c>
      <c r="H135" s="3115"/>
      <c r="I135" s="3082">
        <v>15000</v>
      </c>
      <c r="J135" s="3089"/>
      <c r="L135" s="3176">
        <f t="shared" si="18"/>
        <v>1175000</v>
      </c>
      <c r="M135" s="3040"/>
      <c r="N135" s="1909"/>
      <c r="O135" s="1909"/>
      <c r="P135" s="1909" t="e">
        <f>VLOOKUP($D135,'HARGA 2020'!$D$21:$P$1136,4,0)</f>
        <v>#N/A</v>
      </c>
      <c r="Q135" s="1909" t="e">
        <f>VLOOKUP($D135,'HARGA 2020'!$D$21:$P$1136,6,0)</f>
        <v>#N/A</v>
      </c>
      <c r="R135" s="3041">
        <f>'Usulan 2019'!H399</f>
        <v>27000</v>
      </c>
      <c r="S135" s="3042">
        <f>'Usulan 2019'!I399</f>
        <v>27000</v>
      </c>
      <c r="T135" s="1909">
        <f>'Usulan 2019'!J399</f>
        <v>27000</v>
      </c>
    </row>
    <row r="136" spans="2:20" ht="15" customHeight="1" x14ac:dyDescent="0.25">
      <c r="B136" s="3076">
        <f t="shared" si="17"/>
        <v>90</v>
      </c>
      <c r="C136" s="3084"/>
      <c r="D136" s="3117" t="s">
        <v>131</v>
      </c>
      <c r="E136" s="3118"/>
      <c r="F136" s="3090"/>
      <c r="G136" s="3114" t="s">
        <v>247</v>
      </c>
      <c r="H136" s="3115"/>
      <c r="I136" s="3082">
        <v>7500</v>
      </c>
      <c r="J136" s="3089"/>
      <c r="L136" s="3176">
        <f t="shared" si="18"/>
        <v>1175000</v>
      </c>
      <c r="M136" s="3040"/>
      <c r="N136" s="1909"/>
      <c r="O136" s="1909"/>
      <c r="P136" s="1909" t="str">
        <f>VLOOKUP($D136,'HARGA 2020'!$D$21:$P$1136,4,0)</f>
        <v>bh</v>
      </c>
      <c r="Q136" s="1909">
        <f>VLOOKUP($D136,'HARGA 2020'!$D$21:$P$1136,6,0)</f>
        <v>35000</v>
      </c>
      <c r="R136" s="3041">
        <f>'Usulan 2019'!H405</f>
        <v>7000</v>
      </c>
      <c r="S136" s="3042">
        <f>'Usulan 2019'!I405</f>
        <v>7000</v>
      </c>
      <c r="T136" s="1909">
        <f>'Usulan 2019'!J405</f>
        <v>7000</v>
      </c>
    </row>
    <row r="137" spans="2:20" ht="15" customHeight="1" x14ac:dyDescent="0.2">
      <c r="B137" s="3076">
        <f t="shared" si="17"/>
        <v>91</v>
      </c>
      <c r="C137" s="3084"/>
      <c r="D137" s="3113" t="s">
        <v>792</v>
      </c>
      <c r="E137" s="3086"/>
      <c r="F137" s="3086"/>
      <c r="G137" s="3080" t="s">
        <v>247</v>
      </c>
      <c r="H137" s="3115"/>
      <c r="I137" s="3082">
        <v>8200</v>
      </c>
      <c r="J137" s="3089"/>
      <c r="L137" s="3176">
        <f t="shared" si="18"/>
        <v>1175000</v>
      </c>
      <c r="M137" s="3040"/>
      <c r="N137" s="1909"/>
      <c r="O137" s="1909"/>
      <c r="P137" s="1909" t="str">
        <f>VLOOKUP($D137,'HARGA 2020'!$D$21:$P$1136,4,0)</f>
        <v>m'</v>
      </c>
      <c r="Q137" s="1909">
        <f>VLOOKUP($D137,'HARGA 2020'!$D$21:$P$1136,6,0)</f>
        <v>8200</v>
      </c>
      <c r="R137" s="3041">
        <f>'Usulan 2019'!H413</f>
        <v>7700</v>
      </c>
      <c r="S137" s="3042">
        <f>'Usulan 2019'!I413</f>
        <v>7700</v>
      </c>
      <c r="T137" s="1909">
        <f>'Usulan 2019'!J413</f>
        <v>7700</v>
      </c>
    </row>
    <row r="138" spans="2:20" ht="15" customHeight="1" x14ac:dyDescent="0.2">
      <c r="B138" s="3076">
        <f t="shared" si="17"/>
        <v>92</v>
      </c>
      <c r="C138" s="3084"/>
      <c r="D138" s="3113" t="s">
        <v>574</v>
      </c>
      <c r="E138" s="3086"/>
      <c r="F138" s="3086"/>
      <c r="G138" s="3080" t="s">
        <v>247</v>
      </c>
      <c r="H138" s="3115"/>
      <c r="I138" s="3082">
        <v>119000</v>
      </c>
      <c r="J138" s="3089"/>
      <c r="L138" s="3176">
        <f t="shared" si="18"/>
        <v>1175000</v>
      </c>
      <c r="M138" s="3040"/>
      <c r="N138" s="1909">
        <f>VLOOKUP($D138,'HARGA 2020'!$D$21:$P$1136,6,0)</f>
        <v>128000</v>
      </c>
      <c r="O138" s="1909"/>
      <c r="P138" s="1909" t="str">
        <f>VLOOKUP($D138,'HARGA 2020'!$D$21:$P$1136,4,0)</f>
        <v>m'</v>
      </c>
      <c r="Q138" s="1909">
        <v>125000</v>
      </c>
      <c r="R138" s="3041">
        <f>'Usulan 2019'!H414</f>
        <v>119000</v>
      </c>
      <c r="S138" s="3042">
        <f>'Usulan 2019'!I414</f>
        <v>119000</v>
      </c>
      <c r="T138" s="1909">
        <f>'Usulan 2019'!J414</f>
        <v>119000</v>
      </c>
    </row>
    <row r="139" spans="2:20" ht="15" customHeight="1" x14ac:dyDescent="0.2">
      <c r="B139" s="3076">
        <f t="shared" si="17"/>
        <v>93</v>
      </c>
      <c r="C139" s="3084"/>
      <c r="D139" s="3117" t="s">
        <v>246</v>
      </c>
      <c r="E139" s="3118"/>
      <c r="F139" s="3118"/>
      <c r="G139" s="3080" t="s">
        <v>268</v>
      </c>
      <c r="H139" s="3115"/>
      <c r="I139" s="3082">
        <f t="shared" si="19"/>
        <v>1700</v>
      </c>
      <c r="J139" s="3089"/>
      <c r="L139" s="3176">
        <f t="shared" si="18"/>
        <v>1175000</v>
      </c>
      <c r="M139" s="3040"/>
      <c r="N139" s="1909"/>
      <c r="O139" s="1909"/>
      <c r="P139" s="1909" t="str">
        <f>VLOOKUP($D139,'HARGA 2020'!$D$21:$P$1136,4,0)</f>
        <v>bh</v>
      </c>
      <c r="Q139" s="1909">
        <f>VLOOKUP($D139,'HARGA 2020'!$D$21:$P$1136,6,0)</f>
        <v>1700</v>
      </c>
      <c r="R139" s="3041">
        <f>'Usulan 2019'!H415</f>
        <v>1600</v>
      </c>
      <c r="S139" s="3042">
        <f>'Usulan 2019'!I415</f>
        <v>1600</v>
      </c>
      <c r="T139" s="1909">
        <f>'Usulan 2019'!J415</f>
        <v>1600</v>
      </c>
    </row>
    <row r="140" spans="2:20" ht="15" customHeight="1" x14ac:dyDescent="0.2">
      <c r="B140" s="3076">
        <f t="shared" si="17"/>
        <v>94</v>
      </c>
      <c r="C140" s="3084"/>
      <c r="D140" s="3113" t="s">
        <v>414</v>
      </c>
      <c r="E140" s="3086"/>
      <c r="F140" s="3086"/>
      <c r="G140" s="3114" t="s">
        <v>268</v>
      </c>
      <c r="H140" s="3144"/>
      <c r="I140" s="3082">
        <v>23600</v>
      </c>
      <c r="J140" s="3089"/>
      <c r="L140" s="3176">
        <f t="shared" si="18"/>
        <v>1175000</v>
      </c>
      <c r="M140" s="3040"/>
      <c r="N140" s="1909"/>
      <c r="O140" s="1909"/>
      <c r="P140" s="1909" t="str">
        <f>VLOOKUP($D140,'HARGA 2020'!$D$21:$P$1136,4,0)</f>
        <v>bh</v>
      </c>
      <c r="Q140" s="1909">
        <f>VLOOKUP($D140,'HARGA 2020'!$D$21:$P$1136,6,0)</f>
        <v>22000</v>
      </c>
      <c r="R140" s="3041">
        <f>'Usulan 2019'!H423</f>
        <v>21000</v>
      </c>
      <c r="S140" s="3042">
        <f>'Usulan 2019'!I423</f>
        <v>21000</v>
      </c>
      <c r="T140" s="1909">
        <f>'Usulan 2019'!J423</f>
        <v>21000</v>
      </c>
    </row>
    <row r="141" spans="2:20" ht="15" customHeight="1" x14ac:dyDescent="0.2">
      <c r="B141" s="3076">
        <f t="shared" si="17"/>
        <v>95</v>
      </c>
      <c r="C141" s="3084"/>
      <c r="D141" s="3113" t="s">
        <v>413</v>
      </c>
      <c r="E141" s="3086"/>
      <c r="F141" s="3086"/>
      <c r="G141" s="3114" t="s">
        <v>268</v>
      </c>
      <c r="H141" s="3144"/>
      <c r="I141" s="3082">
        <v>18700</v>
      </c>
      <c r="J141" s="3089"/>
      <c r="L141" s="3176">
        <f t="shared" si="18"/>
        <v>1175000</v>
      </c>
      <c r="M141" s="3040"/>
      <c r="N141" s="1909"/>
      <c r="O141" s="1909"/>
      <c r="P141" s="1909" t="str">
        <f>VLOOKUP($D141,'HARGA 2020'!$D$21:$P$1136,4,0)</f>
        <v>bh</v>
      </c>
      <c r="Q141" s="1909">
        <f>VLOOKUP($D141,'HARGA 2020'!$D$21:$P$1136,6,0)</f>
        <v>17000</v>
      </c>
      <c r="R141" s="3041">
        <f>'Usulan 2019'!H424</f>
        <v>16000</v>
      </c>
      <c r="S141" s="3042">
        <f>'Usulan 2019'!I424</f>
        <v>16000</v>
      </c>
      <c r="T141" s="1909">
        <f>'Usulan 2019'!J424</f>
        <v>16000</v>
      </c>
    </row>
    <row r="142" spans="2:20" ht="15" customHeight="1" x14ac:dyDescent="0.2">
      <c r="B142" s="3076">
        <f t="shared" si="17"/>
        <v>96</v>
      </c>
      <c r="C142" s="3084"/>
      <c r="D142" s="3117" t="s">
        <v>255</v>
      </c>
      <c r="E142" s="3118"/>
      <c r="F142" s="3118"/>
      <c r="G142" s="3114" t="s">
        <v>256</v>
      </c>
      <c r="H142" s="3115"/>
      <c r="I142" s="3082">
        <f t="shared" si="19"/>
        <v>72000</v>
      </c>
      <c r="J142" s="3089"/>
      <c r="L142" s="3176">
        <f t="shared" si="18"/>
        <v>1175000</v>
      </c>
      <c r="M142" s="3040"/>
      <c r="N142" s="1909"/>
      <c r="O142" s="1909"/>
      <c r="P142" s="1909" t="str">
        <f>VLOOKUP($D142,'HARGA 2020'!$D$21:$P$1136,4,0)</f>
        <v>tube</v>
      </c>
      <c r="Q142" s="1909">
        <f>VLOOKUP($D142,'HARGA 2020'!$D$21:$P$1136,6,0)</f>
        <v>72000</v>
      </c>
      <c r="R142" s="3041">
        <f>'Usulan 2019'!H425</f>
        <v>67000</v>
      </c>
      <c r="S142" s="3042">
        <f>'Usulan 2019'!I425</f>
        <v>67000</v>
      </c>
      <c r="T142" s="1909">
        <f>'Usulan 2019'!J425</f>
        <v>67000</v>
      </c>
    </row>
    <row r="143" spans="2:20" ht="15" customHeight="1" x14ac:dyDescent="0.2">
      <c r="B143" s="3076">
        <f t="shared" si="17"/>
        <v>97</v>
      </c>
      <c r="C143" s="3084"/>
      <c r="D143" s="3117" t="s">
        <v>386</v>
      </c>
      <c r="E143" s="3118"/>
      <c r="F143" s="3087"/>
      <c r="G143" s="3154" t="s">
        <v>268</v>
      </c>
      <c r="H143" s="3115"/>
      <c r="I143" s="3082">
        <f t="shared" si="19"/>
        <v>5700</v>
      </c>
      <c r="J143" s="3089"/>
      <c r="L143" s="3176">
        <f t="shared" si="18"/>
        <v>1175000</v>
      </c>
      <c r="M143" s="3040"/>
      <c r="N143" s="1909"/>
      <c r="O143" s="1909"/>
      <c r="P143" s="1909" t="str">
        <f>VLOOKUP($D143,'HARGA 2020'!$D$21:$P$1136,4,0)</f>
        <v>bh</v>
      </c>
      <c r="Q143" s="1909">
        <f>VLOOKUP($D143,'HARGA 2020'!$D$21:$P$1136,6,0)</f>
        <v>5700</v>
      </c>
      <c r="R143" s="3041">
        <f>'Usulan 2019'!H426</f>
        <v>5000</v>
      </c>
      <c r="S143" s="3042">
        <f>'Usulan 2019'!I426</f>
        <v>5000</v>
      </c>
      <c r="T143" s="1909">
        <f>'Usulan 2019'!J426</f>
        <v>5000</v>
      </c>
    </row>
    <row r="144" spans="2:20" ht="15" customHeight="1" x14ac:dyDescent="0.25">
      <c r="B144" s="3076">
        <f t="shared" si="17"/>
        <v>98</v>
      </c>
      <c r="C144" s="3084"/>
      <c r="D144" s="3113" t="s">
        <v>388</v>
      </c>
      <c r="E144" s="3086"/>
      <c r="F144" s="3155"/>
      <c r="G144" s="3114" t="s">
        <v>268</v>
      </c>
      <c r="H144" s="3144"/>
      <c r="I144" s="3082">
        <v>16200</v>
      </c>
      <c r="J144" s="3089"/>
      <c r="L144" s="3176">
        <f t="shared" si="18"/>
        <v>1175000</v>
      </c>
      <c r="M144" s="3040"/>
      <c r="N144" s="1909"/>
      <c r="O144" s="1909"/>
      <c r="P144" s="1909" t="str">
        <f>VLOOKUP($D144,'HARGA 2020'!$D$21:$P$1136,4,0)</f>
        <v>bh</v>
      </c>
      <c r="Q144" s="1909">
        <f>VLOOKUP($D144,'HARGA 2020'!$D$21:$P$1136,6,0)</f>
        <v>17000</v>
      </c>
      <c r="R144" s="3041">
        <f>'Usulan 2019'!H439</f>
        <v>16000</v>
      </c>
      <c r="S144" s="3042">
        <f>'Usulan 2019'!I439</f>
        <v>16000</v>
      </c>
      <c r="T144" s="1909">
        <f>'Usulan 2019'!J439</f>
        <v>16000</v>
      </c>
    </row>
    <row r="145" spans="2:20" ht="15" customHeight="1" x14ac:dyDescent="0.25">
      <c r="B145" s="3076">
        <f t="shared" si="17"/>
        <v>99</v>
      </c>
      <c r="C145" s="3084"/>
      <c r="D145" s="3113" t="s">
        <v>1981</v>
      </c>
      <c r="E145" s="3086"/>
      <c r="F145" s="3155"/>
      <c r="G145" s="3114" t="s">
        <v>268</v>
      </c>
      <c r="H145" s="3144"/>
      <c r="I145" s="3082">
        <v>68600</v>
      </c>
      <c r="J145" s="3089"/>
      <c r="L145" s="3176">
        <f t="shared" si="18"/>
        <v>1175000</v>
      </c>
      <c r="M145" s="3040"/>
      <c r="N145" s="1909"/>
      <c r="O145" s="1909"/>
      <c r="P145" s="1909" t="e">
        <f>VLOOKUP($D145,'HARGA 2020'!$D$21:$P$1136,4,0)</f>
        <v>#N/A</v>
      </c>
      <c r="Q145" s="1909" t="e">
        <f>VLOOKUP($D145,'HARGA 2020'!$D$21:$P$1136,6,0)</f>
        <v>#N/A</v>
      </c>
      <c r="R145" s="3041">
        <f>'Usulan 2019'!H440</f>
        <v>81000</v>
      </c>
      <c r="S145" s="3042">
        <f>'Usulan 2019'!I440</f>
        <v>81000</v>
      </c>
      <c r="T145" s="1909">
        <f>'Usulan 2019'!J440</f>
        <v>81000</v>
      </c>
    </row>
    <row r="146" spans="2:20" ht="15" customHeight="1" x14ac:dyDescent="0.25">
      <c r="B146" s="3076">
        <f t="shared" si="17"/>
        <v>100</v>
      </c>
      <c r="C146" s="3084"/>
      <c r="D146" s="3113" t="s">
        <v>1982</v>
      </c>
      <c r="E146" s="3086"/>
      <c r="F146" s="3155"/>
      <c r="G146" s="3114" t="s">
        <v>268</v>
      </c>
      <c r="H146" s="3144"/>
      <c r="I146" s="3082">
        <v>46500</v>
      </c>
      <c r="J146" s="3089"/>
      <c r="L146" s="3176">
        <f t="shared" si="18"/>
        <v>1175000</v>
      </c>
      <c r="M146" s="3040"/>
      <c r="N146" s="1909"/>
      <c r="O146" s="1909"/>
      <c r="P146" s="1909" t="e">
        <f>VLOOKUP($D146,'HARGA 2020'!$D$21:$P$1136,4,0)</f>
        <v>#N/A</v>
      </c>
      <c r="Q146" s="1909" t="e">
        <f>VLOOKUP($D146,'HARGA 2020'!$D$21:$P$1136,6,0)</f>
        <v>#N/A</v>
      </c>
      <c r="R146" s="3041">
        <f>'Usulan 2019'!H441</f>
        <v>217000</v>
      </c>
      <c r="S146" s="3042">
        <f>'Usulan 2019'!I441</f>
        <v>217000</v>
      </c>
      <c r="T146" s="1909">
        <f>'Usulan 2019'!J441</f>
        <v>217000</v>
      </c>
    </row>
    <row r="147" spans="2:20" ht="15" customHeight="1" x14ac:dyDescent="0.25">
      <c r="B147" s="3076">
        <f t="shared" si="17"/>
        <v>101</v>
      </c>
      <c r="C147" s="3084"/>
      <c r="D147" s="3113" t="s">
        <v>1983</v>
      </c>
      <c r="E147" s="3086"/>
      <c r="F147" s="3155"/>
      <c r="G147" s="3114" t="s">
        <v>268</v>
      </c>
      <c r="H147" s="3144"/>
      <c r="I147" s="3082">
        <v>82000</v>
      </c>
      <c r="J147" s="3089"/>
      <c r="L147" s="3176">
        <f t="shared" si="18"/>
        <v>1175000</v>
      </c>
      <c r="M147" s="3040"/>
      <c r="N147" s="1909"/>
      <c r="O147" s="1909"/>
      <c r="P147" s="1909" t="e">
        <f>VLOOKUP($D147,'HARGA 2020'!$D$21:$P$1136,4,0)</f>
        <v>#N/A</v>
      </c>
      <c r="Q147" s="1909" t="e">
        <f>VLOOKUP($D147,'HARGA 2020'!$D$21:$P$1136,6,0)</f>
        <v>#N/A</v>
      </c>
      <c r="R147" s="3041">
        <f>'Usulan 2019'!H442</f>
        <v>380000</v>
      </c>
      <c r="S147" s="3042">
        <f>'Usulan 2019'!I442</f>
        <v>380000</v>
      </c>
      <c r="T147" s="1909">
        <f>'Usulan 2019'!J442</f>
        <v>380000</v>
      </c>
    </row>
    <row r="148" spans="2:20" ht="15" customHeight="1" x14ac:dyDescent="0.25">
      <c r="B148" s="3076">
        <f t="shared" si="17"/>
        <v>102</v>
      </c>
      <c r="C148" s="3084"/>
      <c r="D148" s="3113" t="s">
        <v>105</v>
      </c>
      <c r="E148" s="3130"/>
      <c r="F148" s="3156"/>
      <c r="G148" s="3114" t="s">
        <v>264</v>
      </c>
      <c r="H148" s="3115"/>
      <c r="I148" s="3082">
        <f t="shared" ref="I148:I153" si="21">Q148</f>
        <v>46000</v>
      </c>
      <c r="J148" s="3089"/>
      <c r="L148" s="3176">
        <f t="shared" si="18"/>
        <v>1175000</v>
      </c>
      <c r="M148" s="3040"/>
      <c r="N148" s="1909"/>
      <c r="O148" s="1909"/>
      <c r="P148" s="1909" t="str">
        <f>VLOOKUP($D148,'HARGA 2020'!$D$21:$P$1136,4,0)</f>
        <v>m³</v>
      </c>
      <c r="Q148" s="1909">
        <f>VLOOKUP($D148,'HARGA 2020'!$D$21:$P$1136,6,0)</f>
        <v>46000</v>
      </c>
      <c r="R148" s="3041">
        <f>'Usulan 2019'!H445</f>
        <v>43000</v>
      </c>
      <c r="S148" s="3042">
        <f>'Usulan 2019'!I445</f>
        <v>43000</v>
      </c>
      <c r="T148" s="1909">
        <f>'Usulan 2019'!J445</f>
        <v>43000</v>
      </c>
    </row>
    <row r="149" spans="2:20" ht="15" customHeight="1" x14ac:dyDescent="0.25">
      <c r="B149" s="3076">
        <f t="shared" si="17"/>
        <v>103</v>
      </c>
      <c r="C149" s="3084"/>
      <c r="D149" s="3136" t="s">
        <v>398</v>
      </c>
      <c r="E149" s="3118"/>
      <c r="F149" s="3119"/>
      <c r="G149" s="3080" t="s">
        <v>298</v>
      </c>
      <c r="H149" s="3115"/>
      <c r="I149" s="3082">
        <f t="shared" si="21"/>
        <v>4000</v>
      </c>
      <c r="J149" s="3089"/>
      <c r="L149" s="3176">
        <f t="shared" si="18"/>
        <v>1175000</v>
      </c>
      <c r="M149" s="3040"/>
      <c r="N149" s="1909"/>
      <c r="O149" s="1909"/>
      <c r="P149" s="1909" t="str">
        <f>VLOOKUP($D149,'HARGA 2020'!$D$21:$P$1136,4,0)</f>
        <v>kg</v>
      </c>
      <c r="Q149" s="1909">
        <f>VLOOKUP($D149,'HARGA 2020'!$D$21:$P$1136,6,0)</f>
        <v>4000</v>
      </c>
      <c r="R149" s="3041">
        <f>'Usulan 2019'!H456</f>
        <v>3900</v>
      </c>
      <c r="S149" s="3042">
        <f>'Usulan 2019'!I456</f>
        <v>3900</v>
      </c>
      <c r="T149" s="1909">
        <f>'Usulan 2019'!J456</f>
        <v>3900</v>
      </c>
    </row>
    <row r="150" spans="2:20" ht="15" customHeight="1" x14ac:dyDescent="0.25">
      <c r="B150" s="3076">
        <f t="shared" si="17"/>
        <v>104</v>
      </c>
      <c r="C150" s="3084"/>
      <c r="D150" s="3113" t="s">
        <v>176</v>
      </c>
      <c r="E150" s="3086"/>
      <c r="F150" s="3157"/>
      <c r="G150" s="3114" t="s">
        <v>275</v>
      </c>
      <c r="H150" s="3115"/>
      <c r="I150" s="3082">
        <f t="shared" si="21"/>
        <v>850000</v>
      </c>
      <c r="J150" s="3089"/>
      <c r="L150" s="3176">
        <f t="shared" si="18"/>
        <v>1175000</v>
      </c>
      <c r="M150" s="3040"/>
      <c r="N150" s="1909">
        <f>VLOOKUP($D150,'HARGA 2020'!$D$21:$P$1136,6,0)</f>
        <v>466000</v>
      </c>
      <c r="O150" s="1909"/>
      <c r="P150" s="1909" t="str">
        <f>VLOOKUP($D150,'HARGA 2020'!$D$21:$P$1136,4,0)</f>
        <v>unit</v>
      </c>
      <c r="Q150" s="1909">
        <v>850000</v>
      </c>
      <c r="R150" s="3041">
        <f>'Usulan 2019'!H469</f>
        <v>651000</v>
      </c>
      <c r="S150" s="3042">
        <f>'Usulan 2019'!I469</f>
        <v>651000</v>
      </c>
      <c r="T150" s="1909">
        <f>'Usulan 2019'!J469</f>
        <v>651000</v>
      </c>
    </row>
    <row r="151" spans="2:20" ht="15" customHeight="1" x14ac:dyDescent="0.25">
      <c r="B151" s="3076">
        <f t="shared" si="17"/>
        <v>105</v>
      </c>
      <c r="C151" s="3084"/>
      <c r="D151" s="3113" t="s">
        <v>231</v>
      </c>
      <c r="E151" s="3086"/>
      <c r="F151" s="3157"/>
      <c r="G151" s="3114" t="s">
        <v>275</v>
      </c>
      <c r="H151" s="3115"/>
      <c r="I151" s="3082">
        <v>700000</v>
      </c>
      <c r="J151" s="3089"/>
      <c r="L151" s="3176">
        <f t="shared" si="18"/>
        <v>1175000</v>
      </c>
      <c r="M151" s="3040"/>
      <c r="N151" s="1909"/>
      <c r="O151" s="1909"/>
      <c r="P151" s="1909" t="str">
        <f>VLOOKUP($D151,'HARGA 2020'!$D$21:$P$1136,4,0)</f>
        <v>unit</v>
      </c>
      <c r="Q151" s="1909">
        <v>500000</v>
      </c>
      <c r="R151" s="3041">
        <f>'Usulan 2019'!H470</f>
        <v>434000</v>
      </c>
      <c r="S151" s="3042">
        <f>'Usulan 2019'!I470</f>
        <v>434000</v>
      </c>
      <c r="T151" s="1909">
        <f>'Usulan 2019'!J470</f>
        <v>434000</v>
      </c>
    </row>
    <row r="152" spans="2:20" ht="15" customHeight="1" x14ac:dyDescent="0.25">
      <c r="B152" s="3076">
        <f t="shared" si="17"/>
        <v>106</v>
      </c>
      <c r="C152" s="3084"/>
      <c r="D152" s="3113" t="s">
        <v>439</v>
      </c>
      <c r="E152" s="3086"/>
      <c r="F152" s="3157"/>
      <c r="G152" s="3114" t="s">
        <v>247</v>
      </c>
      <c r="H152" s="3115"/>
      <c r="I152" s="3082">
        <f t="shared" si="21"/>
        <v>116000</v>
      </c>
      <c r="J152" s="3089"/>
      <c r="L152" s="3176">
        <f t="shared" ref="L152:L161" si="22">$L$20</f>
        <v>1175000</v>
      </c>
      <c r="M152" s="3040"/>
      <c r="N152" s="1909"/>
      <c r="O152" s="1909"/>
      <c r="P152" s="1909" t="str">
        <f>VLOOKUP($D152,'HARGA 2020'!$D$21:$P$1136,4,0)</f>
        <v>m'</v>
      </c>
      <c r="Q152" s="1909">
        <f>VLOOKUP($D152,'HARGA 2020'!$D$21:$P$1136,6,0)</f>
        <v>116000</v>
      </c>
      <c r="R152" s="3041">
        <f>'Usulan 2019'!H471</f>
        <v>108000</v>
      </c>
      <c r="S152" s="3042">
        <f>'Usulan 2019'!I471</f>
        <v>108000</v>
      </c>
      <c r="T152" s="1909">
        <f>'Usulan 2019'!J471</f>
        <v>108000</v>
      </c>
    </row>
    <row r="153" spans="2:20" ht="15" customHeight="1" x14ac:dyDescent="0.25">
      <c r="B153" s="3076">
        <f t="shared" si="17"/>
        <v>107</v>
      </c>
      <c r="C153" s="3084"/>
      <c r="D153" s="3113" t="s">
        <v>393</v>
      </c>
      <c r="E153" s="3158"/>
      <c r="F153" s="3157"/>
      <c r="G153" s="3114" t="s">
        <v>268</v>
      </c>
      <c r="H153" s="3144"/>
      <c r="I153" s="3082">
        <f t="shared" si="21"/>
        <v>3000</v>
      </c>
      <c r="J153" s="3089"/>
      <c r="L153" s="3176">
        <f t="shared" si="22"/>
        <v>1175000</v>
      </c>
      <c r="M153" s="3040"/>
      <c r="N153" s="1909"/>
      <c r="O153" s="1909"/>
      <c r="P153" s="1909" t="str">
        <f>VLOOKUP($D153,'HARGA 2020'!$D$21:$P$1136,4,0)</f>
        <v>bh</v>
      </c>
      <c r="Q153" s="1909">
        <f>VLOOKUP($D153,'HARGA 2020'!$D$21:$P$1136,6,0)</f>
        <v>3000</v>
      </c>
      <c r="R153" s="1909"/>
      <c r="S153" s="3042"/>
      <c r="T153" s="1909"/>
    </row>
    <row r="154" spans="2:20" ht="15" customHeight="1" x14ac:dyDescent="0.2">
      <c r="B154" s="3076">
        <f t="shared" si="17"/>
        <v>108</v>
      </c>
      <c r="C154" s="3159"/>
      <c r="D154" s="3163" t="s">
        <v>1074</v>
      </c>
      <c r="E154" s="3160"/>
      <c r="F154" s="3160"/>
      <c r="G154" s="3161" t="s">
        <v>274</v>
      </c>
      <c r="H154" s="3162"/>
      <c r="I154" s="3082">
        <v>8000</v>
      </c>
      <c r="J154" s="3089"/>
      <c r="L154" s="3176">
        <f t="shared" si="22"/>
        <v>1175000</v>
      </c>
      <c r="M154" s="3040"/>
      <c r="N154" s="1909"/>
      <c r="O154" s="1909"/>
      <c r="P154" s="1909" t="str">
        <f>VLOOKUP($D154,'HARGA 2020'!$D$21:$P$1136,4,0)</f>
        <v>btg</v>
      </c>
      <c r="Q154" s="1909">
        <f>VLOOKUP($D154,'HARGA 2020'!$D$21:$P$1136,6,0)</f>
        <v>0</v>
      </c>
      <c r="R154" s="3041"/>
      <c r="S154" s="3042"/>
      <c r="T154" s="1909"/>
    </row>
    <row r="155" spans="2:20" ht="15" customHeight="1" x14ac:dyDescent="0.2">
      <c r="B155" s="3076">
        <f t="shared" si="17"/>
        <v>109</v>
      </c>
      <c r="C155" s="3159"/>
      <c r="D155" s="3163" t="s">
        <v>1075</v>
      </c>
      <c r="E155" s="3160"/>
      <c r="F155" s="3160"/>
      <c r="G155" s="3161" t="s">
        <v>268</v>
      </c>
      <c r="H155" s="3162"/>
      <c r="I155" s="3082">
        <v>2500</v>
      </c>
      <c r="J155" s="3089"/>
      <c r="L155" s="3176">
        <f t="shared" si="22"/>
        <v>1175000</v>
      </c>
      <c r="M155" s="3040"/>
      <c r="N155" s="1909"/>
      <c r="O155" s="1909"/>
      <c r="P155" s="1909" t="str">
        <f>VLOOKUP($D155,'HARGA 2020'!$D$21:$P$1136,4,0)</f>
        <v>bh</v>
      </c>
      <c r="Q155" s="1909">
        <f>VLOOKUP($D155,'HARGA 2020'!$D$21:$P$1136,6,0)</f>
        <v>0</v>
      </c>
      <c r="R155" s="3041"/>
      <c r="S155" s="3042"/>
      <c r="T155" s="1909"/>
    </row>
    <row r="156" spans="2:20" ht="15" customHeight="1" x14ac:dyDescent="0.2">
      <c r="B156" s="3076">
        <f t="shared" si="17"/>
        <v>110</v>
      </c>
      <c r="C156" s="3159"/>
      <c r="D156" s="3163" t="s">
        <v>1076</v>
      </c>
      <c r="E156" s="3160"/>
      <c r="F156" s="3160"/>
      <c r="G156" s="3161" t="s">
        <v>268</v>
      </c>
      <c r="H156" s="3162"/>
      <c r="I156" s="3082">
        <v>2000</v>
      </c>
      <c r="J156" s="3089"/>
      <c r="L156" s="3176">
        <f t="shared" si="22"/>
        <v>1175000</v>
      </c>
      <c r="M156" s="3040"/>
      <c r="N156" s="1909"/>
      <c r="O156" s="1909"/>
      <c r="P156" s="1909" t="str">
        <f>VLOOKUP($D156,'HARGA 2020'!$D$21:$P$1136,4,0)</f>
        <v>bh</v>
      </c>
      <c r="Q156" s="1909">
        <f>VLOOKUP($D156,'HARGA 2020'!$D$21:$P$1136,6,0)</f>
        <v>0</v>
      </c>
      <c r="R156" s="3041"/>
      <c r="S156" s="3042"/>
      <c r="T156" s="1909"/>
    </row>
    <row r="157" spans="2:20" ht="15" customHeight="1" x14ac:dyDescent="0.25">
      <c r="B157" s="3076">
        <f t="shared" si="17"/>
        <v>111</v>
      </c>
      <c r="C157" s="3084"/>
      <c r="D157" s="3113" t="s">
        <v>447</v>
      </c>
      <c r="E157" s="3158"/>
      <c r="F157" s="3157"/>
      <c r="G157" s="3114" t="s">
        <v>463</v>
      </c>
      <c r="H157" s="3144"/>
      <c r="I157" s="3082">
        <f t="shared" ref="I157:I160" si="23">Q157</f>
        <v>45000</v>
      </c>
      <c r="J157" s="3089"/>
      <c r="L157" s="3176">
        <f t="shared" si="22"/>
        <v>1175000</v>
      </c>
      <c r="M157" s="3040"/>
      <c r="N157" s="1909"/>
      <c r="O157" s="1909"/>
      <c r="P157" s="1909" t="str">
        <f>VLOOKUP($D157,'HARGA 2020'!$D$21:$P$1136,4,0)</f>
        <v>set</v>
      </c>
      <c r="Q157" s="1909">
        <f>VLOOKUP($D157,'HARGA 2020'!$D$21:$P$1136,6,0)</f>
        <v>45000</v>
      </c>
      <c r="R157" s="3041"/>
      <c r="S157" s="3042"/>
      <c r="T157" s="1909"/>
    </row>
    <row r="158" spans="2:20" ht="15" customHeight="1" x14ac:dyDescent="0.25">
      <c r="B158" s="3076">
        <f t="shared" si="17"/>
        <v>112</v>
      </c>
      <c r="C158" s="3084"/>
      <c r="D158" s="3113" t="s">
        <v>368</v>
      </c>
      <c r="E158" s="3158"/>
      <c r="F158" s="3157"/>
      <c r="G158" s="3114" t="s">
        <v>383</v>
      </c>
      <c r="H158" s="3144"/>
      <c r="I158" s="3082">
        <f t="shared" si="23"/>
        <v>40000</v>
      </c>
      <c r="J158" s="3089"/>
      <c r="L158" s="3176">
        <f t="shared" si="22"/>
        <v>1175000</v>
      </c>
      <c r="M158" s="3040"/>
      <c r="N158" s="1909"/>
      <c r="O158" s="1909"/>
      <c r="P158" s="1909" t="str">
        <f>VLOOKUP($D158,'HARGA 2020'!$D$21:$P$1136,4,0)</f>
        <v>rim</v>
      </c>
      <c r="Q158" s="1909">
        <f>VLOOKUP($D158,'HARGA 2020'!$D$21:$P$1136,6,0)</f>
        <v>40000</v>
      </c>
      <c r="R158" s="3041"/>
      <c r="S158" s="3042"/>
      <c r="T158" s="1909"/>
    </row>
    <row r="159" spans="2:20" ht="15" customHeight="1" x14ac:dyDescent="0.25">
      <c r="B159" s="3076">
        <f t="shared" si="17"/>
        <v>113</v>
      </c>
      <c r="C159" s="3084"/>
      <c r="D159" s="3113" t="s">
        <v>394</v>
      </c>
      <c r="E159" s="3158"/>
      <c r="F159" s="3157"/>
      <c r="G159" s="3114" t="s">
        <v>268</v>
      </c>
      <c r="H159" s="3144"/>
      <c r="I159" s="3082">
        <f t="shared" si="23"/>
        <v>1250</v>
      </c>
      <c r="J159" s="3089"/>
      <c r="L159" s="3176">
        <f t="shared" si="22"/>
        <v>1175000</v>
      </c>
      <c r="M159" s="3040"/>
      <c r="N159" s="1909"/>
      <c r="O159" s="1909"/>
      <c r="P159" s="1909" t="str">
        <f>VLOOKUP($D159,'HARGA 2020'!$D$21:$P$1136,4,0)</f>
        <v>bh</v>
      </c>
      <c r="Q159" s="1909">
        <f>VLOOKUP($D159,'HARGA 2020'!$D$21:$P$1136,6,0)</f>
        <v>1250</v>
      </c>
      <c r="R159" s="3041"/>
      <c r="S159" s="3042"/>
      <c r="T159" s="1909"/>
    </row>
    <row r="160" spans="2:20" ht="15" customHeight="1" x14ac:dyDescent="0.25">
      <c r="B160" s="3076">
        <f t="shared" si="17"/>
        <v>114</v>
      </c>
      <c r="C160" s="3084"/>
      <c r="D160" s="3113" t="s">
        <v>395</v>
      </c>
      <c r="E160" s="3158"/>
      <c r="F160" s="3157"/>
      <c r="G160" s="3114" t="s">
        <v>268</v>
      </c>
      <c r="H160" s="3144"/>
      <c r="I160" s="3082">
        <f t="shared" si="23"/>
        <v>50000</v>
      </c>
      <c r="J160" s="3089"/>
      <c r="L160" s="3176">
        <f t="shared" si="22"/>
        <v>1175000</v>
      </c>
      <c r="M160" s="3040"/>
      <c r="N160" s="1909"/>
      <c r="O160" s="1909"/>
      <c r="P160" s="1909" t="str">
        <f>VLOOKUP($D160,'HARGA 2020'!$D$21:$P$1136,4,0)</f>
        <v>bh</v>
      </c>
      <c r="Q160" s="1909">
        <f>VLOOKUP($D160,'HARGA 2020'!$D$21:$P$1136,6,0)</f>
        <v>50000</v>
      </c>
      <c r="R160" s="3041"/>
      <c r="S160" s="3042"/>
      <c r="T160" s="1909"/>
    </row>
    <row r="161" spans="2:19" ht="15.75" thickBot="1" x14ac:dyDescent="0.3">
      <c r="B161" s="3164"/>
      <c r="C161" s="3165"/>
      <c r="D161" s="3166"/>
      <c r="E161" s="3165"/>
      <c r="F161" s="3165"/>
      <c r="G161" s="3167"/>
      <c r="H161" s="3165"/>
      <c r="I161" s="3168"/>
      <c r="J161" s="3169"/>
      <c r="L161" s="3176">
        <f t="shared" si="22"/>
        <v>1175000</v>
      </c>
      <c r="M161" s="3040"/>
      <c r="P161" s="1909" t="e">
        <f>VLOOKUP($D161,'HARGA 2020'!$D$21:$P$1136,4,0)</f>
        <v>#N/A</v>
      </c>
      <c r="Q161" s="1909" t="e">
        <f>VLOOKUP($D161,'HARGA 2020'!$D$21:$P$1136,6,0)</f>
        <v>#N/A</v>
      </c>
      <c r="R161" s="3170"/>
      <c r="S161" s="2693"/>
    </row>
    <row r="162" spans="2:19" ht="15.75" thickTop="1" x14ac:dyDescent="0.25">
      <c r="B162" s="3171"/>
      <c r="D162" s="3171"/>
      <c r="G162" s="3171"/>
      <c r="M162" s="3040"/>
      <c r="P162" s="3170"/>
      <c r="Q162" s="3170"/>
      <c r="R162" s="3170"/>
      <c r="S162" s="2693"/>
    </row>
    <row r="163" spans="2:19" x14ac:dyDescent="0.2">
      <c r="B163" s="2693"/>
      <c r="D163" s="2693"/>
      <c r="F163" s="2693"/>
      <c r="H163" s="2694" t="str">
        <f>Rekap!J50</f>
        <v>Karanganyar,                               2022</v>
      </c>
      <c r="P163" s="2818"/>
      <c r="Q163" s="2818"/>
      <c r="R163" s="2818"/>
      <c r="S163" s="2693"/>
    </row>
    <row r="164" spans="2:19" ht="15" customHeight="1" x14ac:dyDescent="0.2">
      <c r="H164" s="2694" t="str">
        <f>Rekap!J51</f>
        <v>PEJABAT PENANDATANGAN KONTRAK</v>
      </c>
    </row>
    <row r="165" spans="2:19" ht="15" customHeight="1" x14ac:dyDescent="0.2">
      <c r="H165" s="2694"/>
    </row>
    <row r="166" spans="2:19" ht="15" customHeight="1" x14ac:dyDescent="0.2">
      <c r="H166" s="2694"/>
    </row>
    <row r="167" spans="2:19" ht="15" customHeight="1" x14ac:dyDescent="0.2">
      <c r="H167" s="2694"/>
    </row>
    <row r="168" spans="2:19" ht="15" customHeight="1" x14ac:dyDescent="0.2">
      <c r="H168" s="2694"/>
    </row>
    <row r="169" spans="2:19" ht="15" customHeight="1" x14ac:dyDescent="0.2">
      <c r="H169" s="2694"/>
    </row>
    <row r="170" spans="2:19" ht="15" customHeight="1" x14ac:dyDescent="0.2">
      <c r="H170" s="2694"/>
    </row>
    <row r="171" spans="2:19" ht="15" customHeight="1" x14ac:dyDescent="0.2">
      <c r="H171" s="2694"/>
    </row>
    <row r="172" spans="2:19" ht="15" customHeight="1" x14ac:dyDescent="0.2">
      <c r="H172" s="2694"/>
    </row>
    <row r="173" spans="2:19" ht="15" customHeight="1" x14ac:dyDescent="0.2">
      <c r="H173" s="2694"/>
    </row>
    <row r="174" spans="2:19" ht="15" customHeight="1" x14ac:dyDescent="0.2">
      <c r="H174" s="2694" t="str">
        <f>Rekap!J61</f>
        <v>FERIANA DWI KURNIAWATI, SP, M.Si</v>
      </c>
    </row>
    <row r="175" spans="2:19" ht="15" customHeight="1" x14ac:dyDescent="0.2">
      <c r="H175" s="2694" t="str">
        <f>Rekap!J62</f>
        <v>NIP. 19810226 200501 2 015</v>
      </c>
    </row>
  </sheetData>
  <autoFilter ref="D22:F160"/>
  <mergeCells count="4">
    <mergeCell ref="B9:J9"/>
    <mergeCell ref="B10:J10"/>
    <mergeCell ref="D20:F20"/>
    <mergeCell ref="D44:F44"/>
  </mergeCells>
  <phoneticPr fontId="3" type="noConversion"/>
  <pageMargins left="1.299212598425197" right="0" top="0.59055118110236227" bottom="0.9055118110236221" header="0" footer="0"/>
  <pageSetup paperSize="5" scale="69" orientation="portrait" horizontalDpi="4294967294" verticalDpi="4294967294" r:id="rId1"/>
  <headerFooter alignWithMargins="0"/>
  <rowBreaks count="1" manualBreakCount="1">
    <brk id="15" max="9" man="1"/>
  </rowBreaks>
  <colBreaks count="1" manualBreakCount="1">
    <brk id="10" max="6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762"/>
  <sheetViews>
    <sheetView topLeftCell="A1420" zoomScale="85" zoomScaleNormal="85" workbookViewId="0">
      <selection activeCell="D861" sqref="D861"/>
    </sheetView>
  </sheetViews>
  <sheetFormatPr defaultRowHeight="15" x14ac:dyDescent="0.25"/>
  <cols>
    <col min="1" max="2" width="3.7109375" style="2884" customWidth="1"/>
    <col min="3" max="3" width="5.7109375" style="2884" customWidth="1"/>
    <col min="4" max="4" width="15.7109375" style="2884" customWidth="1"/>
    <col min="5" max="5" width="16.7109375" style="2884" customWidth="1"/>
    <col min="6" max="7" width="8.7109375" style="2884" customWidth="1"/>
    <col min="8" max="8" width="8.7109375" style="2885" customWidth="1"/>
    <col min="9" max="10" width="13.7109375" style="2884" customWidth="1"/>
    <col min="11" max="11" width="15.7109375" style="2884" customWidth="1"/>
    <col min="12" max="12" width="10.7109375" style="2884" customWidth="1"/>
    <col min="13" max="13" width="15.7109375" style="2884" customWidth="1"/>
    <col min="14" max="14" width="13.7109375" style="2884" customWidth="1"/>
    <col min="15" max="15" width="3.7109375" style="2884" customWidth="1"/>
    <col min="16" max="16" width="14" style="2884" bestFit="1" customWidth="1"/>
    <col min="17" max="17" width="14" style="2884" customWidth="1"/>
    <col min="18" max="18" width="14" style="2884" hidden="1" customWidth="1"/>
    <col min="19" max="19" width="14" style="3022" customWidth="1"/>
    <col min="20" max="22" width="14" style="2884" customWidth="1"/>
    <col min="23" max="23" width="16.140625" style="2884" customWidth="1"/>
    <col min="24" max="24" width="17" style="2884" customWidth="1"/>
    <col min="25" max="25" width="15.85546875" style="2884" customWidth="1"/>
    <col min="26" max="26" width="9.28515625" style="2884" bestFit="1" customWidth="1"/>
    <col min="27" max="27" width="12" style="2884" bestFit="1" customWidth="1"/>
    <col min="28" max="31" width="9.28515625" style="2884" bestFit="1" customWidth="1"/>
    <col min="32" max="16384" width="9.140625" style="2884"/>
  </cols>
  <sheetData>
    <row r="1" spans="2:19" s="2689" customFormat="1" x14ac:dyDescent="0.2">
      <c r="H1" s="2690"/>
      <c r="J1" s="2690"/>
      <c r="O1" s="2690"/>
      <c r="S1" s="2691"/>
    </row>
    <row r="2" spans="2:19" s="2689" customFormat="1" x14ac:dyDescent="0.2">
      <c r="H2" s="2690"/>
      <c r="J2" s="2690"/>
      <c r="O2" s="2690"/>
      <c r="S2" s="2691"/>
    </row>
    <row r="3" spans="2:19" s="2689" customFormat="1" x14ac:dyDescent="0.2">
      <c r="H3" s="2690"/>
      <c r="J3" s="2690"/>
      <c r="O3" s="2690"/>
      <c r="S3" s="2691"/>
    </row>
    <row r="4" spans="2:19" s="2689" customFormat="1" x14ac:dyDescent="0.2">
      <c r="H4" s="2690"/>
      <c r="J4" s="2690"/>
      <c r="O4" s="2690"/>
      <c r="S4" s="2691"/>
    </row>
    <row r="5" spans="2:19" s="2689" customFormat="1" x14ac:dyDescent="0.2">
      <c r="H5" s="2690"/>
      <c r="J5" s="2690"/>
      <c r="O5" s="2690"/>
      <c r="S5" s="2691"/>
    </row>
    <row r="6" spans="2:19" s="2689" customFormat="1" x14ac:dyDescent="0.2">
      <c r="H6" s="2690"/>
      <c r="J6" s="2690"/>
      <c r="O6" s="2690"/>
      <c r="S6" s="2691"/>
    </row>
    <row r="7" spans="2:19" s="2689" customFormat="1" x14ac:dyDescent="0.2">
      <c r="H7" s="2690"/>
      <c r="J7" s="2690"/>
      <c r="O7" s="2690"/>
      <c r="S7" s="2691"/>
    </row>
    <row r="8" spans="2:19" s="2689" customFormat="1" x14ac:dyDescent="0.2">
      <c r="H8" s="2690"/>
      <c r="J8" s="2690"/>
      <c r="O8" s="2690"/>
      <c r="S8" s="2691"/>
    </row>
    <row r="9" spans="2:19" s="2689" customFormat="1" x14ac:dyDescent="0.2">
      <c r="H9" s="2690"/>
      <c r="J9" s="2690"/>
      <c r="O9" s="2690"/>
      <c r="S9" s="2691"/>
    </row>
    <row r="10" spans="2:19" s="2689" customFormat="1" x14ac:dyDescent="0.2">
      <c r="H10" s="2690"/>
      <c r="J10" s="2690"/>
      <c r="O10" s="2690"/>
      <c r="S10" s="2691"/>
    </row>
    <row r="11" spans="2:19" s="2693" customFormat="1" x14ac:dyDescent="0.2">
      <c r="B11" s="3445" t="s">
        <v>1148</v>
      </c>
      <c r="C11" s="3445"/>
      <c r="D11" s="3445"/>
      <c r="E11" s="3445"/>
      <c r="F11" s="3445"/>
      <c r="G11" s="3445"/>
      <c r="H11" s="3445"/>
      <c r="I11" s="3445"/>
      <c r="J11" s="3445"/>
      <c r="K11" s="3445"/>
      <c r="L11" s="2692"/>
      <c r="M11" s="2692"/>
      <c r="N11" s="2692"/>
      <c r="S11" s="1910"/>
    </row>
    <row r="12" spans="2:19" s="2693" customFormat="1" x14ac:dyDescent="0.2">
      <c r="B12" s="3445" t="s">
        <v>1347</v>
      </c>
      <c r="C12" s="3445"/>
      <c r="D12" s="3445"/>
      <c r="E12" s="3445"/>
      <c r="F12" s="3445"/>
      <c r="G12" s="3445"/>
      <c r="H12" s="3445"/>
      <c r="I12" s="3445"/>
      <c r="J12" s="3445"/>
      <c r="K12" s="3445"/>
      <c r="L12" s="2692"/>
      <c r="M12" s="2692"/>
      <c r="N12" s="2692"/>
      <c r="S12" s="1910"/>
    </row>
    <row r="13" spans="2:19" s="2693" customFormat="1" hidden="1" x14ac:dyDescent="0.2">
      <c r="B13" s="3445"/>
      <c r="C13" s="3445"/>
      <c r="D13" s="3445"/>
      <c r="E13" s="3445"/>
      <c r="F13" s="3445"/>
      <c r="G13" s="3445"/>
      <c r="H13" s="3445"/>
      <c r="I13" s="3445"/>
      <c r="J13" s="3445"/>
      <c r="K13" s="3445"/>
      <c r="L13" s="2692"/>
      <c r="M13" s="2692"/>
      <c r="N13" s="2692"/>
      <c r="S13" s="1910"/>
    </row>
    <row r="14" spans="2:19" s="2693" customFormat="1" hidden="1" x14ac:dyDescent="0.2">
      <c r="B14" s="2692"/>
      <c r="C14" s="2692"/>
      <c r="D14" s="2692"/>
      <c r="E14" s="2692"/>
      <c r="F14" s="2692"/>
      <c r="G14" s="2692"/>
      <c r="H14" s="2692"/>
      <c r="I14" s="2692"/>
      <c r="J14" s="2692"/>
      <c r="K14" s="2692"/>
      <c r="L14" s="2692"/>
      <c r="M14" s="2692"/>
      <c r="N14" s="2692"/>
      <c r="S14" s="1910"/>
    </row>
    <row r="15" spans="2:19" s="2693" customFormat="1" hidden="1" x14ac:dyDescent="0.2">
      <c r="B15" s="2692"/>
      <c r="C15" s="2692"/>
      <c r="D15" s="2692"/>
      <c r="E15" s="2692"/>
      <c r="F15" s="2692"/>
      <c r="G15" s="2692"/>
      <c r="H15" s="2692"/>
      <c r="I15" s="2692"/>
      <c r="J15" s="2692"/>
      <c r="K15" s="2692"/>
      <c r="L15" s="2692"/>
      <c r="M15" s="2692"/>
      <c r="N15" s="2692"/>
      <c r="S15" s="1910"/>
    </row>
    <row r="16" spans="2:19" s="2693" customFormat="1" hidden="1" x14ac:dyDescent="0.2">
      <c r="B16" s="2692"/>
      <c r="C16" s="2692"/>
      <c r="D16" s="2692"/>
      <c r="E16" s="2692"/>
      <c r="F16" s="2692"/>
      <c r="G16" s="2692"/>
      <c r="H16" s="2692"/>
      <c r="I16" s="2692"/>
      <c r="J16" s="2692"/>
      <c r="K16" s="2692"/>
      <c r="L16" s="2692"/>
      <c r="M16" s="2692"/>
      <c r="N16" s="2692"/>
      <c r="S16" s="1910"/>
    </row>
    <row r="17" spans="2:26" s="2693" customFormat="1" ht="14.1" customHeight="1" x14ac:dyDescent="0.2">
      <c r="B17" s="2692"/>
      <c r="C17" s="2692"/>
      <c r="D17" s="2692"/>
      <c r="E17" s="2692"/>
      <c r="F17" s="2692"/>
      <c r="G17" s="2692" t="s">
        <v>1149</v>
      </c>
      <c r="H17" s="2692"/>
      <c r="I17" s="2692"/>
      <c r="J17" s="2692"/>
      <c r="K17" s="2692"/>
      <c r="L17" s="2692"/>
      <c r="M17" s="2692"/>
      <c r="N17" s="2692"/>
      <c r="S17" s="1910"/>
    </row>
    <row r="18" spans="2:26" s="2693" customFormat="1" ht="14.1" hidden="1" customHeight="1" x14ac:dyDescent="0.2">
      <c r="B18" s="2692"/>
      <c r="C18" s="2692"/>
      <c r="D18" s="2692"/>
      <c r="E18" s="2692"/>
      <c r="F18" s="2692"/>
      <c r="G18" s="2692"/>
      <c r="H18" s="2692"/>
      <c r="I18" s="2692"/>
      <c r="J18" s="2692"/>
      <c r="K18" s="2692"/>
      <c r="L18" s="2692"/>
      <c r="M18" s="2692"/>
      <c r="N18" s="2692"/>
      <c r="S18" s="1910"/>
    </row>
    <row r="19" spans="2:26" s="2693" customFormat="1" ht="14.1" customHeight="1" x14ac:dyDescent="0.2">
      <c r="H19" s="2694"/>
      <c r="S19" s="1910"/>
    </row>
    <row r="20" spans="2:26" s="2689" customFormat="1" ht="17.100000000000001" customHeight="1" x14ac:dyDescent="0.2">
      <c r="B20" s="2695"/>
      <c r="C20" s="2696" t="str">
        <f>satpek!B11</f>
        <v>KEGIATAN</v>
      </c>
      <c r="D20" s="2697"/>
      <c r="E20" s="2698" t="str">
        <f>satpek!D11</f>
        <v>:</v>
      </c>
      <c r="F20" s="2699" t="str">
        <f>satpek!E11</f>
        <v>PEMBANGUNAN GEDUNG KANTOR DINAS PERTANIAN, PANGAN DAN PERIKANAN KARANGANYAR</v>
      </c>
      <c r="H20" s="2690"/>
      <c r="I20" s="2700"/>
      <c r="J20" s="2695"/>
      <c r="K20" s="2695"/>
      <c r="L20" s="2695"/>
      <c r="M20" s="2695"/>
      <c r="N20" s="2695"/>
      <c r="O20" s="2701"/>
      <c r="P20" s="2701"/>
      <c r="Q20" s="2701"/>
      <c r="R20" s="2701"/>
      <c r="S20" s="2702"/>
      <c r="T20" s="2701"/>
      <c r="U20" s="2701"/>
      <c r="V20" s="2701"/>
      <c r="W20" s="2701"/>
      <c r="X20" s="2701"/>
      <c r="Y20" s="2701"/>
      <c r="Z20" s="2423"/>
    </row>
    <row r="21" spans="2:26" s="2689" customFormat="1" ht="17.100000000000001" customHeight="1" x14ac:dyDescent="0.2">
      <c r="B21" s="2703"/>
      <c r="C21" s="2696" t="str">
        <f>satpek!B12</f>
        <v>L O K A S I</v>
      </c>
      <c r="D21" s="2697"/>
      <c r="E21" s="2698" t="str">
        <f>satpek!D12</f>
        <v>:</v>
      </c>
      <c r="F21" s="2699" t="str">
        <f>satpek!E12</f>
        <v>PEMBANGUNAN GEDUNG KANTOR DINAS PERTANIAN, PANGAN DAN PERIKANAN KARANGANYAR</v>
      </c>
      <c r="H21" s="2690"/>
      <c r="I21" s="2700"/>
      <c r="J21" s="2429"/>
      <c r="K21" s="2127"/>
      <c r="L21" s="2127"/>
      <c r="M21" s="2127"/>
      <c r="N21" s="2127"/>
      <c r="O21" s="2690"/>
      <c r="S21" s="2691"/>
      <c r="X21" s="2427"/>
    </row>
    <row r="22" spans="2:26" s="2689" customFormat="1" ht="17.100000000000001" customHeight="1" x14ac:dyDescent="0.2">
      <c r="B22" s="2703"/>
      <c r="C22" s="2696" t="str">
        <f>satpek!B13</f>
        <v>KABUPATEN</v>
      </c>
      <c r="D22" s="2697"/>
      <c r="E22" s="2698" t="str">
        <f>satpek!D13</f>
        <v>:</v>
      </c>
      <c r="F22" s="2699" t="str">
        <f>satpek!E13</f>
        <v>KARANGANYAR</v>
      </c>
      <c r="H22" s="2690"/>
      <c r="I22" s="2700"/>
      <c r="J22" s="2429"/>
      <c r="K22" s="2127"/>
      <c r="L22" s="2127"/>
      <c r="M22" s="2127"/>
      <c r="N22" s="2127"/>
      <c r="O22" s="2690"/>
      <c r="S22" s="2691"/>
      <c r="X22" s="2427"/>
    </row>
    <row r="23" spans="2:26" s="2689" customFormat="1" ht="17.100000000000001" customHeight="1" x14ac:dyDescent="0.2">
      <c r="B23" s="2703"/>
      <c r="C23" s="2696" t="str">
        <f>satpek!B14</f>
        <v>SUMBER DANA</v>
      </c>
      <c r="D23" s="2697"/>
      <c r="E23" s="2698" t="str">
        <f>satpek!D14</f>
        <v>:</v>
      </c>
      <c r="F23" s="2699" t="str">
        <f>satpek!E14</f>
        <v>KARANGANYAR</v>
      </c>
      <c r="H23" s="2690"/>
      <c r="I23" s="2700"/>
      <c r="J23" s="2429"/>
      <c r="K23" s="2127"/>
      <c r="L23" s="2127"/>
      <c r="M23" s="2127"/>
      <c r="N23" s="2127"/>
      <c r="O23" s="2690"/>
      <c r="S23" s="2691"/>
      <c r="X23" s="2427"/>
    </row>
    <row r="24" spans="2:26" s="2689" customFormat="1" ht="17.100000000000001" customHeight="1" x14ac:dyDescent="0.2">
      <c r="B24" s="2703"/>
      <c r="C24" s="2696" t="str">
        <f>satpek!B15</f>
        <v>TAHUN ANGGARAN</v>
      </c>
      <c r="D24" s="2697"/>
      <c r="E24" s="2698" t="str">
        <f>satpek!D15</f>
        <v>:</v>
      </c>
      <c r="F24" s="2699" t="str">
        <f>satpek!E15</f>
        <v>2023</v>
      </c>
      <c r="H24" s="2690"/>
      <c r="I24" s="2700"/>
      <c r="J24" s="2429"/>
      <c r="K24" s="2127"/>
      <c r="L24" s="2127"/>
      <c r="M24" s="2127"/>
      <c r="N24" s="2127"/>
      <c r="O24" s="2690"/>
      <c r="S24" s="2691"/>
      <c r="X24" s="2427"/>
    </row>
    <row r="25" spans="2:26" s="2689" customFormat="1" x14ac:dyDescent="0.2">
      <c r="B25" s="2703"/>
      <c r="C25" s="2703"/>
      <c r="E25" s="2704"/>
      <c r="H25" s="2690"/>
      <c r="I25" s="2705"/>
      <c r="J25" s="2706"/>
      <c r="K25" s="1910"/>
      <c r="L25" s="2430"/>
      <c r="M25" s="2127"/>
      <c r="N25" s="2127"/>
      <c r="O25" s="2690"/>
      <c r="P25" s="2427"/>
      <c r="Q25" s="2427"/>
      <c r="R25" s="2427"/>
      <c r="S25" s="2691"/>
      <c r="T25" s="2427"/>
      <c r="U25" s="2427"/>
      <c r="V25" s="2427"/>
    </row>
    <row r="26" spans="2:26" s="2689" customFormat="1" x14ac:dyDescent="0.2">
      <c r="B26" s="2703"/>
      <c r="C26" s="2707"/>
      <c r="D26" s="2708"/>
      <c r="E26" s="2704"/>
      <c r="H26" s="2709"/>
      <c r="I26" s="2705"/>
      <c r="J26" s="2706"/>
      <c r="K26" s="1910"/>
      <c r="M26" s="2430"/>
      <c r="N26" s="2127"/>
      <c r="O26" s="2690"/>
      <c r="P26" s="2427"/>
      <c r="Q26" s="2427"/>
      <c r="R26" s="2427"/>
      <c r="S26" s="2691"/>
      <c r="T26" s="2427"/>
      <c r="U26" s="2427"/>
      <c r="V26" s="2427"/>
    </row>
    <row r="27" spans="2:26" s="2689" customFormat="1" x14ac:dyDescent="0.2">
      <c r="B27" s="2703"/>
      <c r="C27" s="2703"/>
      <c r="E27" s="2704"/>
      <c r="H27" s="2690"/>
      <c r="I27" s="2710"/>
      <c r="J27" s="2429"/>
      <c r="K27" s="2127"/>
      <c r="L27" s="2127"/>
      <c r="M27" s="2127"/>
      <c r="N27" s="2127"/>
      <c r="O27" s="2690"/>
      <c r="P27" s="2427"/>
      <c r="Q27" s="2427"/>
      <c r="R27" s="2427"/>
      <c r="S27" s="2691"/>
      <c r="T27" s="2427"/>
      <c r="U27" s="2427"/>
      <c r="V27" s="2427" t="s">
        <v>2018</v>
      </c>
    </row>
    <row r="28" spans="2:26" s="2720" customFormat="1" ht="14.1" customHeight="1" x14ac:dyDescent="0.2">
      <c r="B28" s="2711">
        <v>1</v>
      </c>
      <c r="C28" s="2711"/>
      <c r="D28" s="2712" t="s">
        <v>366</v>
      </c>
      <c r="E28" s="2713"/>
      <c r="F28" s="2713"/>
      <c r="G28" s="2713"/>
      <c r="H28" s="2714"/>
      <c r="I28" s="2713"/>
      <c r="J28" s="2713"/>
      <c r="K28" s="2715" t="s">
        <v>720</v>
      </c>
      <c r="L28" s="2715"/>
      <c r="M28" s="2715"/>
      <c r="N28" s="2715"/>
      <c r="O28" s="2716" t="str">
        <f>D29</f>
        <v>ls</v>
      </c>
      <c r="P28" s="2717">
        <f>K43</f>
        <v>287076.5</v>
      </c>
      <c r="Q28" s="2718">
        <f>L41</f>
        <v>0.58185101358000391</v>
      </c>
      <c r="R28" s="2718"/>
      <c r="S28" s="2719">
        <f>N41</f>
        <v>147819.25</v>
      </c>
      <c r="T28" s="2515">
        <f>U28+S28</f>
        <v>167035.7525</v>
      </c>
      <c r="U28" s="2719">
        <f>S28*V28</f>
        <v>19216.502500000002</v>
      </c>
      <c r="V28" s="2718">
        <f>$F$42+$H$42</f>
        <v>0.13</v>
      </c>
      <c r="W28" s="2717"/>
    </row>
    <row r="29" spans="2:26" s="2720" customFormat="1" ht="14.1" customHeight="1" x14ac:dyDescent="0.2">
      <c r="B29" s="2711"/>
      <c r="C29" s="2711"/>
      <c r="D29" s="2721" t="s">
        <v>273</v>
      </c>
      <c r="E29" s="2721"/>
      <c r="F29" s="2721"/>
      <c r="G29" s="2721"/>
      <c r="H29" s="2711"/>
      <c r="I29" s="2721"/>
      <c r="J29" s="2721"/>
      <c r="K29" s="2721"/>
      <c r="L29" s="2721"/>
      <c r="M29" s="2721"/>
      <c r="N29" s="2721"/>
      <c r="O29" s="2716"/>
      <c r="Q29" s="2717"/>
      <c r="R29" s="2717"/>
      <c r="S29" s="2719"/>
      <c r="T29" s="2717"/>
      <c r="U29" s="2717"/>
      <c r="V29" s="2717"/>
    </row>
    <row r="30" spans="2:26" s="2720" customFormat="1" ht="14.1" customHeight="1" x14ac:dyDescent="0.2">
      <c r="B30" s="2711"/>
      <c r="C30" s="2524"/>
      <c r="D30" s="3427" t="s">
        <v>280</v>
      </c>
      <c r="E30" s="3428"/>
      <c r="F30" s="2722"/>
      <c r="G30" s="3433" t="s">
        <v>281</v>
      </c>
      <c r="H30" s="3433" t="s">
        <v>282</v>
      </c>
      <c r="I30" s="2524" t="s">
        <v>283</v>
      </c>
      <c r="J30" s="2524" t="s">
        <v>284</v>
      </c>
      <c r="K30" s="2524" t="s">
        <v>340</v>
      </c>
      <c r="L30" s="2524" t="s">
        <v>2008</v>
      </c>
      <c r="M30" s="2524" t="s">
        <v>2009</v>
      </c>
      <c r="N30" s="2524" t="s">
        <v>284</v>
      </c>
      <c r="O30" s="2716"/>
      <c r="Q30" s="2717"/>
      <c r="R30" s="2717"/>
      <c r="S30" s="2719"/>
      <c r="T30" s="2717"/>
      <c r="U30" s="2717"/>
      <c r="V30" s="2717"/>
    </row>
    <row r="31" spans="2:26" s="2720" customFormat="1" ht="14.1" customHeight="1" x14ac:dyDescent="0.2">
      <c r="B31" s="2711"/>
      <c r="C31" s="2528" t="s">
        <v>669</v>
      </c>
      <c r="D31" s="3429"/>
      <c r="E31" s="3430"/>
      <c r="F31" s="2723"/>
      <c r="G31" s="3434"/>
      <c r="H31" s="3434"/>
      <c r="I31" s="2528" t="s">
        <v>285</v>
      </c>
      <c r="J31" s="2528" t="s">
        <v>286</v>
      </c>
      <c r="K31" s="2528" t="s">
        <v>286</v>
      </c>
      <c r="L31" s="2528" t="s">
        <v>2011</v>
      </c>
      <c r="M31" s="2528"/>
      <c r="N31" s="2528" t="s">
        <v>2013</v>
      </c>
      <c r="O31" s="2716"/>
      <c r="Q31" s="2717"/>
      <c r="R31" s="2717"/>
      <c r="S31" s="2719"/>
      <c r="T31" s="2717"/>
      <c r="U31" s="2717"/>
      <c r="V31" s="2717"/>
    </row>
    <row r="32" spans="2:26" s="2720" customFormat="1" ht="14.1" customHeight="1" x14ac:dyDescent="0.2">
      <c r="B32" s="2711"/>
      <c r="C32" s="2537"/>
      <c r="D32" s="3431"/>
      <c r="E32" s="3432"/>
      <c r="F32" s="2724"/>
      <c r="G32" s="3435"/>
      <c r="H32" s="3435"/>
      <c r="I32" s="2537" t="s">
        <v>286</v>
      </c>
      <c r="J32" s="2536"/>
      <c r="K32" s="2536"/>
      <c r="L32" s="2536"/>
      <c r="M32" s="2536"/>
      <c r="N32" s="2537" t="s">
        <v>286</v>
      </c>
      <c r="O32" s="2716"/>
      <c r="Q32" s="2717"/>
      <c r="R32" s="2717"/>
      <c r="S32" s="2719"/>
      <c r="T32" s="2717"/>
      <c r="U32" s="2717"/>
      <c r="V32" s="2717"/>
    </row>
    <row r="33" spans="1:22" s="2720" customFormat="1" ht="14.1" customHeight="1" x14ac:dyDescent="0.2">
      <c r="B33" s="2711"/>
      <c r="C33" s="2524" t="s">
        <v>607</v>
      </c>
      <c r="D33" s="2725" t="s">
        <v>287</v>
      </c>
      <c r="E33" s="2726" t="s">
        <v>368</v>
      </c>
      <c r="F33" s="2726"/>
      <c r="G33" s="2727" t="s">
        <v>383</v>
      </c>
      <c r="H33" s="2728">
        <v>1</v>
      </c>
      <c r="I33" s="2729">
        <f>'Upah &amp; Bahan'!$I$158</f>
        <v>40000</v>
      </c>
      <c r="J33" s="2729">
        <f>ROUND(H33*I33,2)</f>
        <v>40000</v>
      </c>
      <c r="K33" s="2730"/>
      <c r="L33" s="3177">
        <v>0.7782</v>
      </c>
      <c r="M33" s="2732" t="s">
        <v>2029</v>
      </c>
      <c r="N33" s="2729">
        <f>L33*J33</f>
        <v>31128</v>
      </c>
      <c r="O33" s="2716"/>
      <c r="Q33" s="2717"/>
      <c r="R33" s="2717"/>
      <c r="S33" s="2719"/>
      <c r="T33" s="2717"/>
      <c r="U33" s="2717"/>
      <c r="V33" s="2717"/>
    </row>
    <row r="34" spans="1:22" s="2720" customFormat="1" ht="14.1" customHeight="1" x14ac:dyDescent="0.2">
      <c r="B34" s="2711"/>
      <c r="C34" s="2528"/>
      <c r="D34" s="2733"/>
      <c r="E34" s="2726" t="s">
        <v>393</v>
      </c>
      <c r="F34" s="2726"/>
      <c r="G34" s="2727" t="s">
        <v>268</v>
      </c>
      <c r="H34" s="2728">
        <v>4</v>
      </c>
      <c r="I34" s="2729">
        <f>'Upah &amp; Bahan'!$I$153</f>
        <v>3000</v>
      </c>
      <c r="J34" s="2729">
        <f>ROUND(H34*I34,2)</f>
        <v>12000</v>
      </c>
      <c r="K34" s="2734"/>
      <c r="L34" s="3177">
        <v>0</v>
      </c>
      <c r="M34" s="2732"/>
      <c r="N34" s="2729">
        <f t="shared" ref="N34:N37" si="0">L34*J34</f>
        <v>0</v>
      </c>
      <c r="O34" s="2716"/>
      <c r="Q34" s="2717"/>
      <c r="R34" s="2717"/>
      <c r="S34" s="2719"/>
      <c r="T34" s="2717"/>
      <c r="U34" s="2717"/>
      <c r="V34" s="2717"/>
    </row>
    <row r="35" spans="1:22" s="2720" customFormat="1" ht="14.1" customHeight="1" x14ac:dyDescent="0.2">
      <c r="B35" s="2711"/>
      <c r="C35" s="2733"/>
      <c r="D35" s="2733"/>
      <c r="E35" s="2726" t="s">
        <v>394</v>
      </c>
      <c r="F35" s="2726"/>
      <c r="G35" s="2727" t="s">
        <v>384</v>
      </c>
      <c r="H35" s="2728">
        <v>15</v>
      </c>
      <c r="I35" s="2729">
        <f>'Upah &amp; Bahan'!$I$159</f>
        <v>1250</v>
      </c>
      <c r="J35" s="2729">
        <f>ROUND(H35*I35,2)</f>
        <v>18750</v>
      </c>
      <c r="K35" s="2734"/>
      <c r="L35" s="3177">
        <f>L33</f>
        <v>0.7782</v>
      </c>
      <c r="M35" s="2732" t="s">
        <v>2029</v>
      </c>
      <c r="N35" s="2729">
        <f t="shared" si="0"/>
        <v>14591.25</v>
      </c>
      <c r="O35" s="2716"/>
      <c r="Q35" s="2717"/>
      <c r="R35" s="2717"/>
      <c r="S35" s="2719"/>
      <c r="T35" s="2717"/>
      <c r="U35" s="2717"/>
      <c r="V35" s="2717"/>
    </row>
    <row r="36" spans="1:22" s="2720" customFormat="1" ht="14.1" customHeight="1" x14ac:dyDescent="0.2">
      <c r="B36" s="2711"/>
      <c r="C36" s="2733"/>
      <c r="D36" s="2733"/>
      <c r="E36" s="2726" t="s">
        <v>206</v>
      </c>
      <c r="F36" s="2726"/>
      <c r="G36" s="2727" t="s">
        <v>268</v>
      </c>
      <c r="H36" s="2728">
        <v>1</v>
      </c>
      <c r="I36" s="2729">
        <f>'Upah &amp; Bahan'!$I$157</f>
        <v>45000</v>
      </c>
      <c r="J36" s="2729">
        <f>ROUND(H36*I36,2)</f>
        <v>45000</v>
      </c>
      <c r="K36" s="2734"/>
      <c r="L36" s="3177">
        <v>0</v>
      </c>
      <c r="M36" s="2732"/>
      <c r="N36" s="2729">
        <f t="shared" si="0"/>
        <v>0</v>
      </c>
      <c r="O36" s="2716"/>
      <c r="Q36" s="2717"/>
      <c r="R36" s="2717"/>
      <c r="S36" s="2719"/>
      <c r="T36" s="2717"/>
      <c r="U36" s="2717"/>
      <c r="V36" s="2717"/>
    </row>
    <row r="37" spans="1:22" s="2720" customFormat="1" ht="14.1" customHeight="1" x14ac:dyDescent="0.2">
      <c r="B37" s="2711"/>
      <c r="C37" s="2733"/>
      <c r="D37" s="2733"/>
      <c r="E37" s="2726" t="s">
        <v>395</v>
      </c>
      <c r="F37" s="2726"/>
      <c r="G37" s="2727" t="s">
        <v>268</v>
      </c>
      <c r="H37" s="2728">
        <v>1</v>
      </c>
      <c r="I37" s="2729">
        <f>'Upah &amp; Bahan'!$I$160</f>
        <v>50000</v>
      </c>
      <c r="J37" s="2729">
        <f>ROUND(H37*I37,2)</f>
        <v>50000</v>
      </c>
      <c r="K37" s="2735"/>
      <c r="L37" s="3177">
        <v>0.27600000000000002</v>
      </c>
      <c r="M37" s="2732" t="s">
        <v>2029</v>
      </c>
      <c r="N37" s="2729">
        <f t="shared" si="0"/>
        <v>13800.000000000002</v>
      </c>
      <c r="O37" s="2716"/>
      <c r="Q37" s="2717"/>
      <c r="R37" s="2717"/>
      <c r="S37" s="2719"/>
      <c r="T37" s="2717"/>
      <c r="U37" s="2717"/>
      <c r="V37" s="2717"/>
    </row>
    <row r="38" spans="1:22" s="2720" customFormat="1" ht="14.1" customHeight="1" x14ac:dyDescent="0.2">
      <c r="B38" s="2711"/>
      <c r="C38" s="2537"/>
      <c r="D38" s="2733"/>
      <c r="E38" s="2726"/>
      <c r="F38" s="2726"/>
      <c r="G38" s="2727"/>
      <c r="H38" s="2728"/>
      <c r="I38" s="2729"/>
      <c r="J38" s="2729"/>
      <c r="K38" s="2729">
        <f>SUM(J33:J37)</f>
        <v>165750</v>
      </c>
      <c r="L38" s="3177"/>
      <c r="M38" s="2732"/>
      <c r="N38" s="2729"/>
      <c r="O38" s="2716"/>
      <c r="Q38" s="2717"/>
      <c r="R38" s="2717"/>
      <c r="S38" s="2719"/>
      <c r="T38" s="2717"/>
      <c r="U38" s="2717"/>
      <c r="V38" s="2717"/>
    </row>
    <row r="39" spans="1:22" s="2720" customFormat="1" ht="14.1" customHeight="1" x14ac:dyDescent="0.2">
      <c r="B39" s="2711"/>
      <c r="C39" s="2524" t="s">
        <v>608</v>
      </c>
      <c r="D39" s="2736" t="s">
        <v>288</v>
      </c>
      <c r="E39" s="2737" t="s">
        <v>367</v>
      </c>
      <c r="F39" s="2737"/>
      <c r="G39" s="2727" t="s">
        <v>291</v>
      </c>
      <c r="H39" s="2728">
        <v>1</v>
      </c>
      <c r="I39" s="2729">
        <f>'Upah &amp; Bahan'!$I$23</f>
        <v>88300</v>
      </c>
      <c r="J39" s="2729">
        <f>ROUND(H39*I39,2)</f>
        <v>88300</v>
      </c>
      <c r="K39" s="2730"/>
      <c r="L39" s="3177">
        <f>VLOOKUP($E39,$D$1744:$G$1761,2,0)</f>
        <v>1</v>
      </c>
      <c r="M39" s="2731" t="str">
        <f>VLOOKUP($E39,$D$1744:$G$1761,3,0)</f>
        <v>WNI</v>
      </c>
      <c r="N39" s="2729">
        <f t="shared" ref="N39" si="1">L39*J39</f>
        <v>88300</v>
      </c>
      <c r="O39" s="2716"/>
      <c r="Q39" s="2717"/>
      <c r="R39" s="2717"/>
      <c r="S39" s="2719"/>
      <c r="T39" s="2717"/>
      <c r="U39" s="2717"/>
      <c r="V39" s="2717"/>
    </row>
    <row r="40" spans="1:22" s="2720" customFormat="1" ht="14.1" customHeight="1" x14ac:dyDescent="0.2">
      <c r="B40" s="2711"/>
      <c r="C40" s="2537"/>
      <c r="D40" s="2738"/>
      <c r="E40" s="2739"/>
      <c r="F40" s="2739"/>
      <c r="G40" s="2727"/>
      <c r="H40" s="2740"/>
      <c r="I40" s="2729"/>
      <c r="J40" s="2729"/>
      <c r="K40" s="2732">
        <f>SUM(J39:J39)</f>
        <v>88300</v>
      </c>
      <c r="L40" s="3178"/>
      <c r="M40" s="2729"/>
      <c r="N40" s="2729"/>
      <c r="O40" s="2716"/>
      <c r="Q40" s="2717"/>
      <c r="R40" s="2717"/>
      <c r="S40" s="2719"/>
      <c r="T40" s="2717"/>
      <c r="U40" s="2717"/>
      <c r="V40" s="2717"/>
    </row>
    <row r="41" spans="1:22" s="2720" customFormat="1" ht="14.1" customHeight="1" x14ac:dyDescent="0.2">
      <c r="B41" s="2711"/>
      <c r="C41" s="2537" t="s">
        <v>609</v>
      </c>
      <c r="D41" s="2738" t="s">
        <v>651</v>
      </c>
      <c r="E41" s="2741"/>
      <c r="F41" s="2741"/>
      <c r="G41" s="2742"/>
      <c r="H41" s="2743"/>
      <c r="I41" s="2744"/>
      <c r="J41" s="2745" t="s">
        <v>693</v>
      </c>
      <c r="K41" s="2732">
        <f>K38+K40</f>
        <v>254050</v>
      </c>
      <c r="L41" s="3179">
        <f>N41/K41</f>
        <v>0.58185101358000391</v>
      </c>
      <c r="M41" s="2745"/>
      <c r="N41" s="2747">
        <f>SUM(N33:N40)</f>
        <v>147819.25</v>
      </c>
      <c r="O41" s="2716"/>
      <c r="Q41" s="2717"/>
      <c r="R41" s="2717"/>
      <c r="S41" s="2719"/>
      <c r="T41" s="2717"/>
      <c r="U41" s="2717"/>
      <c r="V41" s="2717"/>
    </row>
    <row r="42" spans="1:22" s="2720" customFormat="1" ht="14.1" customHeight="1" x14ac:dyDescent="0.2">
      <c r="B42" s="2711"/>
      <c r="C42" s="2537" t="s">
        <v>610</v>
      </c>
      <c r="D42" s="2738" t="s">
        <v>653</v>
      </c>
      <c r="E42" s="2741"/>
      <c r="F42" s="2748">
        <f>'data primer'!E18</f>
        <v>0.1</v>
      </c>
      <c r="G42" s="2727" t="s">
        <v>425</v>
      </c>
      <c r="H42" s="2748">
        <f>'data primer'!E19</f>
        <v>0.03</v>
      </c>
      <c r="I42" s="2749" t="s">
        <v>424</v>
      </c>
      <c r="J42" s="2732" t="s">
        <v>609</v>
      </c>
      <c r="K42" s="2750">
        <f>ROUND((K41*(F42+H42)),2)</f>
        <v>33026.5</v>
      </c>
      <c r="L42" s="2732"/>
      <c r="M42" s="2732"/>
      <c r="N42" s="2732"/>
      <c r="O42" s="2716"/>
      <c r="Q42" s="2717"/>
      <c r="R42" s="2717"/>
      <c r="S42" s="2719"/>
      <c r="T42" s="2717"/>
      <c r="U42" s="2717"/>
      <c r="V42" s="2717"/>
    </row>
    <row r="43" spans="1:22" s="2720" customFormat="1" ht="14.1" customHeight="1" x14ac:dyDescent="0.2">
      <c r="B43" s="2711"/>
      <c r="C43" s="2751" t="s">
        <v>611</v>
      </c>
      <c r="D43" s="2752" t="s">
        <v>301</v>
      </c>
      <c r="E43" s="2753"/>
      <c r="F43" s="2753"/>
      <c r="G43" s="2753"/>
      <c r="H43" s="2754"/>
      <c r="I43" s="2753"/>
      <c r="J43" s="2755" t="s">
        <v>694</v>
      </c>
      <c r="K43" s="2756">
        <f>SUM(K41:K42)</f>
        <v>287076.5</v>
      </c>
      <c r="L43" s="2746"/>
      <c r="M43" s="2755"/>
      <c r="N43" s="2757"/>
      <c r="O43" s="2716"/>
      <c r="P43" s="2717"/>
      <c r="Q43" s="2717"/>
      <c r="R43" s="2717"/>
      <c r="S43" s="2719"/>
      <c r="T43" s="2717"/>
      <c r="U43" s="2717"/>
      <c r="V43" s="2717"/>
    </row>
    <row r="44" spans="1:22" s="2720" customFormat="1" ht="14.1" customHeight="1" x14ac:dyDescent="0.2">
      <c r="B44" s="2714"/>
      <c r="C44" s="2714"/>
      <c r="D44" s="2713"/>
      <c r="E44" s="2713"/>
      <c r="F44" s="2713"/>
      <c r="G44" s="2713"/>
      <c r="H44" s="2714"/>
      <c r="I44" s="2713"/>
      <c r="J44" s="2713"/>
      <c r="K44" s="2713"/>
      <c r="L44" s="2713"/>
      <c r="M44" s="2713"/>
      <c r="N44" s="2713"/>
      <c r="O44" s="2716"/>
      <c r="Q44" s="2717"/>
      <c r="R44" s="2717"/>
      <c r="S44" s="2719"/>
      <c r="T44" s="2717"/>
      <c r="U44" s="2717"/>
      <c r="V44" s="2717"/>
    </row>
    <row r="45" spans="1:22" s="2763" customFormat="1" ht="12.75" x14ac:dyDescent="0.2">
      <c r="A45" s="2758"/>
      <c r="B45" s="2711">
        <f>B28+1</f>
        <v>2</v>
      </c>
      <c r="C45" s="2759"/>
      <c r="D45" s="2760" t="s">
        <v>1897</v>
      </c>
      <c r="E45" s="2760"/>
      <c r="F45" s="2761"/>
      <c r="G45" s="2761"/>
      <c r="H45" s="2761"/>
      <c r="I45" s="2759"/>
      <c r="J45" s="2761"/>
      <c r="K45" s="2762" t="s">
        <v>720</v>
      </c>
      <c r="L45" s="2762"/>
      <c r="M45" s="2762"/>
      <c r="N45" s="2762"/>
      <c r="O45" s="2763" t="str">
        <f>D46</f>
        <v>ls</v>
      </c>
      <c r="P45" s="2764">
        <f>K60</f>
        <v>10379502</v>
      </c>
      <c r="Q45" s="2718">
        <f>L57</f>
        <v>0.45130315500685869</v>
      </c>
      <c r="R45" s="2718"/>
      <c r="S45" s="2719">
        <f>N60</f>
        <v>4145400</v>
      </c>
      <c r="T45" s="2515">
        <f>U45+S45</f>
        <v>4684302</v>
      </c>
      <c r="U45" s="2719">
        <f>S45*V45</f>
        <v>538902</v>
      </c>
      <c r="V45" s="2718">
        <f>$F$42+$H$42</f>
        <v>0.13</v>
      </c>
    </row>
    <row r="46" spans="1:22" s="2763" customFormat="1" ht="12.75" x14ac:dyDescent="0.2">
      <c r="A46" s="2758"/>
      <c r="B46" s="2759"/>
      <c r="C46" s="2759"/>
      <c r="D46" s="2761" t="s">
        <v>273</v>
      </c>
      <c r="E46" s="2761"/>
      <c r="F46" s="2761"/>
      <c r="G46" s="2761"/>
      <c r="H46" s="2759"/>
      <c r="I46" s="2761"/>
      <c r="J46" s="2761"/>
      <c r="K46" s="2761"/>
      <c r="L46" s="2765"/>
      <c r="M46" s="2761"/>
      <c r="N46" s="2761"/>
      <c r="O46" s="2766"/>
      <c r="Q46" s="2717"/>
      <c r="R46" s="2717"/>
      <c r="S46" s="2719"/>
      <c r="T46" s="2717"/>
      <c r="U46" s="2717"/>
      <c r="V46" s="2717"/>
    </row>
    <row r="47" spans="1:22" s="2763" customFormat="1" ht="12.75" x14ac:dyDescent="0.2">
      <c r="A47" s="2758"/>
      <c r="B47" s="2759"/>
      <c r="C47" s="2767"/>
      <c r="D47" s="2768" t="s">
        <v>280</v>
      </c>
      <c r="E47" s="2769"/>
      <c r="F47" s="2770"/>
      <c r="G47" s="3455" t="s">
        <v>281</v>
      </c>
      <c r="H47" s="3455" t="s">
        <v>282</v>
      </c>
      <c r="I47" s="2767" t="s">
        <v>283</v>
      </c>
      <c r="J47" s="2767" t="s">
        <v>284</v>
      </c>
      <c r="K47" s="2767" t="s">
        <v>340</v>
      </c>
      <c r="L47" s="2524" t="s">
        <v>2008</v>
      </c>
      <c r="M47" s="2524" t="s">
        <v>2009</v>
      </c>
      <c r="N47" s="2524" t="s">
        <v>284</v>
      </c>
      <c r="O47" s="2766"/>
      <c r="Q47" s="2717"/>
      <c r="R47" s="2717"/>
      <c r="S47" s="2719"/>
      <c r="T47" s="2717"/>
      <c r="U47" s="2717"/>
      <c r="V47" s="2717"/>
    </row>
    <row r="48" spans="1:22" s="2763" customFormat="1" ht="12.75" x14ac:dyDescent="0.2">
      <c r="A48" s="2758"/>
      <c r="B48" s="2759"/>
      <c r="C48" s="2771" t="s">
        <v>669</v>
      </c>
      <c r="D48" s="2772"/>
      <c r="E48" s="2761"/>
      <c r="F48" s="2773"/>
      <c r="G48" s="3456"/>
      <c r="H48" s="3456"/>
      <c r="I48" s="2771" t="s">
        <v>285</v>
      </c>
      <c r="J48" s="2771" t="s">
        <v>286</v>
      </c>
      <c r="K48" s="2771" t="s">
        <v>286</v>
      </c>
      <c r="L48" s="2528" t="s">
        <v>2011</v>
      </c>
      <c r="M48" s="2528"/>
      <c r="N48" s="2528" t="s">
        <v>2013</v>
      </c>
      <c r="O48" s="2766"/>
      <c r="Q48" s="2717"/>
      <c r="R48" s="2717"/>
      <c r="S48" s="2719"/>
      <c r="T48" s="2717"/>
      <c r="U48" s="2717"/>
      <c r="V48" s="2717"/>
    </row>
    <row r="49" spans="1:22" s="2763" customFormat="1" ht="12.75" x14ac:dyDescent="0.2">
      <c r="A49" s="2758"/>
      <c r="B49" s="2759"/>
      <c r="C49" s="2774"/>
      <c r="D49" s="2775"/>
      <c r="E49" s="2776"/>
      <c r="F49" s="2777"/>
      <c r="G49" s="3457"/>
      <c r="H49" s="3457"/>
      <c r="I49" s="2774" t="s">
        <v>286</v>
      </c>
      <c r="J49" s="2778"/>
      <c r="K49" s="2778"/>
      <c r="L49" s="2536"/>
      <c r="M49" s="2536"/>
      <c r="N49" s="2537" t="s">
        <v>286</v>
      </c>
      <c r="O49" s="2766"/>
      <c r="Q49" s="2717"/>
      <c r="R49" s="2717"/>
      <c r="S49" s="2719"/>
      <c r="T49" s="2717"/>
      <c r="U49" s="2717"/>
      <c r="V49" s="2717"/>
    </row>
    <row r="50" spans="1:22" s="2763" customFormat="1" ht="12.75" x14ac:dyDescent="0.2">
      <c r="A50" s="2758"/>
      <c r="B50" s="2759"/>
      <c r="C50" s="2767" t="s">
        <v>607</v>
      </c>
      <c r="D50" s="2768" t="s">
        <v>287</v>
      </c>
      <c r="E50" s="2770"/>
      <c r="F50" s="2779" t="s">
        <v>305</v>
      </c>
      <c r="G50" s="2780" t="s">
        <v>1898</v>
      </c>
      <c r="H50" s="2781">
        <v>490</v>
      </c>
      <c r="I50" s="2782">
        <v>47</v>
      </c>
      <c r="J50" s="2782">
        <f>ROUND(H50*I50,2)</f>
        <v>23030</v>
      </c>
      <c r="K50" s="2783"/>
      <c r="L50" s="2731">
        <v>1</v>
      </c>
      <c r="M50" s="2732"/>
      <c r="N50" s="2729">
        <f>L50*J50</f>
        <v>23030</v>
      </c>
      <c r="O50" s="2766"/>
      <c r="Q50" s="2717"/>
      <c r="R50" s="2717"/>
      <c r="S50" s="2719"/>
      <c r="T50" s="2717"/>
      <c r="U50" s="2717"/>
      <c r="V50" s="2717"/>
    </row>
    <row r="51" spans="1:22" s="2763" customFormat="1" ht="12.75" x14ac:dyDescent="0.2">
      <c r="A51" s="2758"/>
      <c r="B51" s="2759"/>
      <c r="C51" s="2771"/>
      <c r="D51" s="2772"/>
      <c r="E51" s="2773"/>
      <c r="F51" s="2779" t="s">
        <v>1899</v>
      </c>
      <c r="G51" s="2780" t="s">
        <v>1900</v>
      </c>
      <c r="H51" s="2784">
        <v>140</v>
      </c>
      <c r="I51" s="2782">
        <v>200</v>
      </c>
      <c r="J51" s="2782">
        <f>ROUND(H51*I51,2)</f>
        <v>28000</v>
      </c>
      <c r="K51" s="2785"/>
      <c r="L51" s="2731">
        <v>0</v>
      </c>
      <c r="M51" s="2732"/>
      <c r="N51" s="2729">
        <f t="shared" ref="N51:N54" si="2">L51*J51</f>
        <v>0</v>
      </c>
      <c r="O51" s="2766"/>
      <c r="Q51" s="2717"/>
      <c r="R51" s="2717"/>
      <c r="S51" s="2719"/>
      <c r="T51" s="2717"/>
      <c r="U51" s="2717"/>
      <c r="V51" s="2717"/>
    </row>
    <row r="52" spans="1:22" s="2763" customFormat="1" ht="12.75" x14ac:dyDescent="0.2">
      <c r="A52" s="2758"/>
      <c r="B52" s="2759"/>
      <c r="C52" s="2774"/>
      <c r="D52" s="2772"/>
      <c r="E52" s="2761"/>
      <c r="F52" s="2786"/>
      <c r="G52" s="2787"/>
      <c r="H52" s="2788"/>
      <c r="I52" s="2789"/>
      <c r="J52" s="2790"/>
      <c r="K52" s="2782">
        <f>SUM(J50:J51)</f>
        <v>51030</v>
      </c>
      <c r="L52" s="2731"/>
      <c r="M52" s="2732"/>
      <c r="N52" s="2729">
        <f t="shared" si="2"/>
        <v>0</v>
      </c>
      <c r="O52" s="2766"/>
      <c r="Q52" s="2717"/>
      <c r="R52" s="2717"/>
      <c r="S52" s="2719"/>
      <c r="T52" s="2717"/>
      <c r="U52" s="2717"/>
      <c r="V52" s="2717"/>
    </row>
    <row r="53" spans="1:22" s="2763" customFormat="1" ht="12.75" x14ac:dyDescent="0.2">
      <c r="A53" s="2758"/>
      <c r="B53" s="2759"/>
      <c r="C53" s="2767" t="s">
        <v>608</v>
      </c>
      <c r="D53" s="2768" t="s">
        <v>288</v>
      </c>
      <c r="E53" s="2770"/>
      <c r="F53" s="2779"/>
      <c r="G53" s="2780"/>
      <c r="H53" s="2784"/>
      <c r="I53" s="2782"/>
      <c r="J53" s="2782"/>
      <c r="K53" s="2783"/>
      <c r="L53" s="2731"/>
      <c r="M53" s="2732"/>
      <c r="N53" s="2729">
        <f t="shared" si="2"/>
        <v>0</v>
      </c>
      <c r="O53" s="2766"/>
      <c r="Q53" s="2717"/>
      <c r="R53" s="2717"/>
      <c r="S53" s="2719"/>
      <c r="T53" s="2717"/>
      <c r="U53" s="2717"/>
      <c r="V53" s="2717"/>
    </row>
    <row r="54" spans="1:22" s="2763" customFormat="1" ht="12.75" x14ac:dyDescent="0.2">
      <c r="A54" s="2758"/>
      <c r="B54" s="2759"/>
      <c r="C54" s="2774"/>
      <c r="D54" s="2775"/>
      <c r="E54" s="2776"/>
      <c r="F54" s="2791"/>
      <c r="G54" s="2787"/>
      <c r="H54" s="2792"/>
      <c r="I54" s="2789"/>
      <c r="J54" s="2790"/>
      <c r="K54" s="2793">
        <f>SUM(J53:J53)</f>
        <v>0</v>
      </c>
      <c r="L54" s="2731"/>
      <c r="M54" s="2732"/>
      <c r="N54" s="2729">
        <f t="shared" si="2"/>
        <v>0</v>
      </c>
      <c r="O54" s="2766"/>
      <c r="Q54" s="2717"/>
      <c r="R54" s="2717"/>
      <c r="S54" s="2719"/>
      <c r="T54" s="2717"/>
      <c r="U54" s="2717"/>
      <c r="V54" s="2717"/>
    </row>
    <row r="55" spans="1:22" s="2763" customFormat="1" ht="12.75" x14ac:dyDescent="0.2">
      <c r="A55" s="2758"/>
      <c r="B55" s="2759"/>
      <c r="C55" s="2771" t="s">
        <v>609</v>
      </c>
      <c r="D55" s="2768" t="s">
        <v>606</v>
      </c>
      <c r="E55" s="2770"/>
      <c r="F55" s="2794"/>
      <c r="G55" s="2780"/>
      <c r="H55" s="2795"/>
      <c r="I55" s="2796"/>
      <c r="J55" s="2782"/>
      <c r="K55" s="2783"/>
      <c r="L55" s="2732"/>
      <c r="M55" s="2732"/>
      <c r="N55" s="2729"/>
      <c r="O55" s="2766"/>
      <c r="Q55" s="2717"/>
      <c r="R55" s="2717"/>
      <c r="S55" s="2719"/>
      <c r="T55" s="2717"/>
      <c r="U55" s="2717"/>
      <c r="V55" s="2717"/>
    </row>
    <row r="56" spans="1:22" s="2763" customFormat="1" ht="12.75" x14ac:dyDescent="0.2">
      <c r="A56" s="2758"/>
      <c r="B56" s="2759"/>
      <c r="C56" s="2774"/>
      <c r="D56" s="2775"/>
      <c r="E56" s="2776"/>
      <c r="F56" s="2791"/>
      <c r="G56" s="2787"/>
      <c r="H56" s="2792"/>
      <c r="I56" s="2797"/>
      <c r="J56" s="2790"/>
      <c r="K56" s="2793">
        <f>SUM(J55:J55)</f>
        <v>0</v>
      </c>
      <c r="L56" s="2731"/>
      <c r="M56" s="2732"/>
      <c r="N56" s="2729">
        <f>L56*J56</f>
        <v>0</v>
      </c>
      <c r="O56" s="2766"/>
      <c r="Q56" s="2717"/>
      <c r="R56" s="2717"/>
      <c r="S56" s="2719"/>
      <c r="T56" s="2717"/>
      <c r="U56" s="2717"/>
      <c r="V56" s="2717"/>
    </row>
    <row r="57" spans="1:22" s="2763" customFormat="1" ht="12.75" x14ac:dyDescent="0.2">
      <c r="A57" s="2758"/>
      <c r="B57" s="2759"/>
      <c r="C57" s="2774" t="s">
        <v>610</v>
      </c>
      <c r="D57" s="2775" t="s">
        <v>651</v>
      </c>
      <c r="E57" s="2776"/>
      <c r="F57" s="2798"/>
      <c r="G57" s="2787"/>
      <c r="H57" s="2792"/>
      <c r="I57" s="2797"/>
      <c r="J57" s="2799" t="s">
        <v>652</v>
      </c>
      <c r="K57" s="2793">
        <f>K52+K54+K56</f>
        <v>51030</v>
      </c>
      <c r="L57" s="2746">
        <f>N57/K57</f>
        <v>0.45130315500685869</v>
      </c>
      <c r="M57" s="2745"/>
      <c r="N57" s="2747">
        <f>SUM(N50:N56)</f>
        <v>23030</v>
      </c>
      <c r="O57" s="2766"/>
      <c r="Q57" s="2717"/>
      <c r="R57" s="2717"/>
      <c r="S57" s="2719"/>
      <c r="T57" s="2717"/>
      <c r="U57" s="2717"/>
      <c r="V57" s="2717"/>
    </row>
    <row r="58" spans="1:22" s="2763" customFormat="1" ht="12.75" x14ac:dyDescent="0.2">
      <c r="A58" s="2758"/>
      <c r="B58" s="2759"/>
      <c r="C58" s="2774" t="s">
        <v>611</v>
      </c>
      <c r="D58" s="2775" t="s">
        <v>653</v>
      </c>
      <c r="E58" s="2776"/>
      <c r="F58" s="2748">
        <f>$F$42</f>
        <v>0.1</v>
      </c>
      <c r="G58" s="2727" t="s">
        <v>425</v>
      </c>
      <c r="H58" s="2748">
        <f>$H$42</f>
        <v>0.03</v>
      </c>
      <c r="I58" s="2800" t="s">
        <v>424</v>
      </c>
      <c r="J58" s="2793" t="s">
        <v>610</v>
      </c>
      <c r="K58" s="2801">
        <f>ROUND((K57*(F58+H58)),2)</f>
        <v>6633.9</v>
      </c>
      <c r="L58" s="2746"/>
      <c r="M58" s="2745"/>
      <c r="N58" s="2747"/>
      <c r="O58" s="2766"/>
      <c r="Q58" s="2717"/>
      <c r="R58" s="2717"/>
      <c r="S58" s="2719"/>
      <c r="T58" s="2717"/>
      <c r="U58" s="2717"/>
      <c r="V58" s="2717"/>
    </row>
    <row r="59" spans="1:22" s="2763" customFormat="1" ht="12.75" x14ac:dyDescent="0.2">
      <c r="A59" s="2758"/>
      <c r="B59" s="2759"/>
      <c r="C59" s="2802" t="s">
        <v>654</v>
      </c>
      <c r="D59" s="2803" t="s">
        <v>301</v>
      </c>
      <c r="E59" s="2804"/>
      <c r="F59" s="2804"/>
      <c r="G59" s="2804"/>
      <c r="H59" s="2805"/>
      <c r="I59" s="2804"/>
      <c r="J59" s="2806" t="s">
        <v>668</v>
      </c>
      <c r="K59" s="2807">
        <f>SUM(K57:K58)</f>
        <v>57663.9</v>
      </c>
      <c r="L59" s="2732"/>
      <c r="M59" s="2732"/>
      <c r="N59" s="2732"/>
      <c r="O59" s="2766"/>
      <c r="Q59" s="2717"/>
      <c r="R59" s="2717"/>
      <c r="S59" s="2719"/>
      <c r="T59" s="2717"/>
      <c r="U59" s="2717"/>
      <c r="V59" s="2717"/>
    </row>
    <row r="60" spans="1:22" s="2763" customFormat="1" ht="12.75" x14ac:dyDescent="0.2">
      <c r="A60" s="2758"/>
      <c r="B60" s="2759"/>
      <c r="C60" s="2802" t="s">
        <v>698</v>
      </c>
      <c r="D60" s="2803" t="s">
        <v>1901</v>
      </c>
      <c r="E60" s="2804"/>
      <c r="F60" s="2794">
        <v>180</v>
      </c>
      <c r="G60" s="2804"/>
      <c r="H60" s="2805"/>
      <c r="I60" s="2804"/>
      <c r="J60" s="2806" t="s">
        <v>1902</v>
      </c>
      <c r="K60" s="2807">
        <f>F60*K59</f>
        <v>10379502</v>
      </c>
      <c r="L60" s="2808">
        <f>F60</f>
        <v>180</v>
      </c>
      <c r="M60" s="2755"/>
      <c r="N60" s="2757">
        <f>N57*L60</f>
        <v>4145400</v>
      </c>
      <c r="O60" s="2766"/>
      <c r="Q60" s="2717"/>
      <c r="R60" s="2717"/>
      <c r="S60" s="2719"/>
      <c r="T60" s="2717"/>
      <c r="U60" s="2717"/>
      <c r="V60" s="2717"/>
    </row>
    <row r="61" spans="1:22" s="2720" customFormat="1" ht="14.1" customHeight="1" x14ac:dyDescent="0.2">
      <c r="B61" s="2714"/>
      <c r="C61" s="2714"/>
      <c r="D61" s="2713"/>
      <c r="E61" s="2713"/>
      <c r="F61" s="2713"/>
      <c r="G61" s="2713"/>
      <c r="H61" s="2714"/>
      <c r="I61" s="2713"/>
      <c r="J61" s="2713"/>
      <c r="K61" s="2713"/>
      <c r="L61" s="2713"/>
      <c r="M61" s="2713"/>
      <c r="N61" s="2713"/>
      <c r="O61" s="2716"/>
      <c r="Q61" s="2717"/>
      <c r="R61" s="2717"/>
      <c r="S61" s="2719"/>
      <c r="T61" s="2717"/>
      <c r="U61" s="2717"/>
      <c r="V61" s="2717"/>
    </row>
    <row r="62" spans="1:22" s="2721" customFormat="1" ht="14.1" customHeight="1" x14ac:dyDescent="0.2">
      <c r="B62" s="2711">
        <f>B45+1</f>
        <v>3</v>
      </c>
      <c r="C62" s="2711"/>
      <c r="D62" s="2713" t="s">
        <v>742</v>
      </c>
      <c r="E62" s="2713"/>
      <c r="F62" s="2713"/>
      <c r="G62" s="2713"/>
      <c r="H62" s="2714"/>
      <c r="I62" s="2713"/>
      <c r="J62" s="2713"/>
      <c r="K62" s="2809" t="s">
        <v>743</v>
      </c>
      <c r="L62" s="2809"/>
      <c r="M62" s="2809"/>
      <c r="N62" s="2809"/>
      <c r="O62" s="2721" t="str">
        <f>D63</f>
        <v>m2</v>
      </c>
      <c r="P62" s="2810">
        <f>K74</f>
        <v>15062.9</v>
      </c>
      <c r="Q62" s="2718">
        <f>L72</f>
        <v>1</v>
      </c>
      <c r="R62" s="2718"/>
      <c r="S62" s="2719">
        <f>N72</f>
        <v>13330</v>
      </c>
      <c r="T62" s="2515">
        <f>U62+S62</f>
        <v>15062.9</v>
      </c>
      <c r="U62" s="2719">
        <f>S62*V62</f>
        <v>1732.9</v>
      </c>
      <c r="V62" s="2718">
        <f>$F$42+$H$42</f>
        <v>0.13</v>
      </c>
    </row>
    <row r="63" spans="1:22" s="2721" customFormat="1" ht="14.1" customHeight="1" x14ac:dyDescent="0.2">
      <c r="B63" s="2711"/>
      <c r="C63" s="2711"/>
      <c r="D63" s="2721" t="s">
        <v>338</v>
      </c>
      <c r="H63" s="2711"/>
      <c r="Q63" s="2717"/>
      <c r="R63" s="2717"/>
      <c r="S63" s="2719"/>
      <c r="T63" s="2717"/>
      <c r="U63" s="2717"/>
      <c r="V63" s="2717"/>
    </row>
    <row r="64" spans="1:22" s="2721" customFormat="1" ht="14.1" customHeight="1" x14ac:dyDescent="0.2">
      <c r="B64" s="2711"/>
      <c r="C64" s="2524"/>
      <c r="D64" s="3427" t="s">
        <v>280</v>
      </c>
      <c r="E64" s="3428"/>
      <c r="F64" s="2722"/>
      <c r="G64" s="3433" t="s">
        <v>281</v>
      </c>
      <c r="H64" s="3433" t="s">
        <v>282</v>
      </c>
      <c r="I64" s="2524" t="s">
        <v>283</v>
      </c>
      <c r="J64" s="2524" t="s">
        <v>284</v>
      </c>
      <c r="K64" s="2524" t="s">
        <v>340</v>
      </c>
      <c r="L64" s="2524" t="s">
        <v>2008</v>
      </c>
      <c r="M64" s="2524" t="s">
        <v>2009</v>
      </c>
      <c r="N64" s="2524" t="s">
        <v>284</v>
      </c>
      <c r="Q64" s="2717"/>
      <c r="R64" s="2717"/>
      <c r="S64" s="2719"/>
      <c r="T64" s="2717"/>
      <c r="U64" s="2717"/>
      <c r="V64" s="2717"/>
    </row>
    <row r="65" spans="2:22" s="2721" customFormat="1" ht="14.1" customHeight="1" x14ac:dyDescent="0.2">
      <c r="B65" s="2711"/>
      <c r="C65" s="2528" t="s">
        <v>669</v>
      </c>
      <c r="D65" s="3429"/>
      <c r="E65" s="3430"/>
      <c r="F65" s="2723"/>
      <c r="G65" s="3434"/>
      <c r="H65" s="3434"/>
      <c r="I65" s="2528" t="s">
        <v>285</v>
      </c>
      <c r="J65" s="2528" t="s">
        <v>286</v>
      </c>
      <c r="K65" s="2528" t="s">
        <v>286</v>
      </c>
      <c r="L65" s="2528" t="s">
        <v>2011</v>
      </c>
      <c r="M65" s="2528"/>
      <c r="N65" s="2528" t="s">
        <v>2013</v>
      </c>
      <c r="Q65" s="2717"/>
      <c r="R65" s="2717"/>
      <c r="S65" s="2719"/>
      <c r="T65" s="2717"/>
      <c r="U65" s="2717"/>
      <c r="V65" s="2717"/>
    </row>
    <row r="66" spans="2:22" s="2721" customFormat="1" ht="14.1" customHeight="1" x14ac:dyDescent="0.2">
      <c r="B66" s="2711"/>
      <c r="C66" s="2537"/>
      <c r="D66" s="3431"/>
      <c r="E66" s="3432"/>
      <c r="F66" s="2724"/>
      <c r="G66" s="3435"/>
      <c r="H66" s="3435"/>
      <c r="I66" s="2537" t="s">
        <v>286</v>
      </c>
      <c r="J66" s="2536"/>
      <c r="K66" s="2536"/>
      <c r="L66" s="2536"/>
      <c r="M66" s="2536"/>
      <c r="N66" s="2537" t="s">
        <v>286</v>
      </c>
      <c r="Q66" s="2717"/>
      <c r="R66" s="2717"/>
      <c r="S66" s="2719"/>
      <c r="T66" s="2717"/>
      <c r="U66" s="2717"/>
      <c r="V66" s="2717"/>
    </row>
    <row r="67" spans="2:22" s="2721" customFormat="1" ht="14.1" customHeight="1" x14ac:dyDescent="0.2">
      <c r="B67" s="2711"/>
      <c r="C67" s="2524" t="s">
        <v>607</v>
      </c>
      <c r="D67" s="2725" t="s">
        <v>288</v>
      </c>
      <c r="E67" s="2739" t="s">
        <v>289</v>
      </c>
      <c r="F67" s="2739"/>
      <c r="G67" s="2727" t="s">
        <v>291</v>
      </c>
      <c r="H67" s="2740">
        <v>0.1</v>
      </c>
      <c r="I67" s="2811">
        <f>'Upah &amp; Bahan'!$I$24</f>
        <v>88300</v>
      </c>
      <c r="J67" s="2729">
        <f>ROUND(H67*I67,2)</f>
        <v>8830</v>
      </c>
      <c r="K67" s="2730"/>
      <c r="L67" s="2731">
        <f>VLOOKUP($E67,$D$1744:$G$1761,2,0)</f>
        <v>1</v>
      </c>
      <c r="M67" s="2731" t="str">
        <f>VLOOKUP($E67,$D$1744:$G$1761,3,0)</f>
        <v>WNI</v>
      </c>
      <c r="N67" s="2729">
        <f>L67*J67</f>
        <v>8830</v>
      </c>
      <c r="Q67" s="2717"/>
      <c r="R67" s="2717"/>
      <c r="S67" s="2719"/>
      <c r="T67" s="2717"/>
      <c r="U67" s="2717"/>
      <c r="V67" s="2717"/>
    </row>
    <row r="68" spans="2:22" s="2721" customFormat="1" ht="14.1" customHeight="1" x14ac:dyDescent="0.2">
      <c r="B68" s="2711"/>
      <c r="C68" s="2528"/>
      <c r="D68" s="2733"/>
      <c r="E68" s="2739" t="s">
        <v>290</v>
      </c>
      <c r="F68" s="2739"/>
      <c r="G68" s="2727" t="s">
        <v>291</v>
      </c>
      <c r="H68" s="2740">
        <v>0.05</v>
      </c>
      <c r="I68" s="2811">
        <f>'Upah &amp; Bahan'!$I$31</f>
        <v>90000</v>
      </c>
      <c r="J68" s="2729">
        <f>ROUND(H68*I68,2)</f>
        <v>4500</v>
      </c>
      <c r="K68" s="2734"/>
      <c r="L68" s="2731">
        <f>VLOOKUP($E68,$D$1744:$G$1761,2,0)</f>
        <v>1</v>
      </c>
      <c r="M68" s="2731" t="str">
        <f>VLOOKUP($E68,$D$1744:$G$1761,3,0)</f>
        <v>WNI</v>
      </c>
      <c r="N68" s="2729">
        <f t="shared" ref="N68:N71" si="3">L68*J68</f>
        <v>4500</v>
      </c>
      <c r="Q68" s="2717"/>
      <c r="R68" s="2717"/>
      <c r="S68" s="2719"/>
      <c r="T68" s="2717"/>
      <c r="U68" s="2717"/>
      <c r="V68" s="2717"/>
    </row>
    <row r="69" spans="2:22" s="2721" customFormat="1" ht="14.1" customHeight="1" x14ac:dyDescent="0.2">
      <c r="B69" s="2711"/>
      <c r="C69" s="2537"/>
      <c r="D69" s="2536"/>
      <c r="E69" s="2736"/>
      <c r="F69" s="2741"/>
      <c r="G69" s="2742"/>
      <c r="H69" s="2742"/>
      <c r="I69" s="2812"/>
      <c r="J69" s="2813"/>
      <c r="K69" s="2732">
        <f>SUM(J67:J68)</f>
        <v>13330</v>
      </c>
      <c r="L69" s="2731"/>
      <c r="M69" s="2732"/>
      <c r="N69" s="2729">
        <f t="shared" si="3"/>
        <v>0</v>
      </c>
      <c r="Q69" s="2717"/>
      <c r="R69" s="2717"/>
      <c r="S69" s="2719"/>
      <c r="T69" s="2717"/>
      <c r="U69" s="2717"/>
      <c r="V69" s="2717"/>
    </row>
    <row r="70" spans="2:22" s="2721" customFormat="1" ht="14.1" customHeight="1" x14ac:dyDescent="0.2">
      <c r="B70" s="2711"/>
      <c r="C70" s="2524" t="s">
        <v>608</v>
      </c>
      <c r="D70" s="2725" t="s">
        <v>606</v>
      </c>
      <c r="E70" s="2739"/>
      <c r="F70" s="2739"/>
      <c r="G70" s="2727"/>
      <c r="H70" s="2740"/>
      <c r="I70" s="2814"/>
      <c r="J70" s="2729"/>
      <c r="K70" s="2730"/>
      <c r="L70" s="2731"/>
      <c r="M70" s="2732"/>
      <c r="N70" s="2729">
        <f t="shared" si="3"/>
        <v>0</v>
      </c>
      <c r="Q70" s="2717"/>
      <c r="R70" s="2717"/>
      <c r="S70" s="2719"/>
      <c r="T70" s="2717"/>
      <c r="U70" s="2717"/>
      <c r="V70" s="2717"/>
    </row>
    <row r="71" spans="2:22" s="2721" customFormat="1" ht="14.1" customHeight="1" x14ac:dyDescent="0.2">
      <c r="B71" s="2711"/>
      <c r="C71" s="2537"/>
      <c r="D71" s="2536"/>
      <c r="E71" s="2736"/>
      <c r="F71" s="2741"/>
      <c r="G71" s="2742"/>
      <c r="H71" s="2743"/>
      <c r="I71" s="2744"/>
      <c r="J71" s="2813"/>
      <c r="K71" s="2732">
        <f>SUM(J70:J70)</f>
        <v>0</v>
      </c>
      <c r="L71" s="2731"/>
      <c r="M71" s="2732"/>
      <c r="N71" s="2729">
        <f t="shared" si="3"/>
        <v>0</v>
      </c>
      <c r="Q71" s="2717"/>
      <c r="R71" s="2717"/>
      <c r="S71" s="2719"/>
      <c r="T71" s="2717"/>
      <c r="U71" s="2717"/>
      <c r="V71" s="2717"/>
    </row>
    <row r="72" spans="2:22" s="2721" customFormat="1" ht="14.1" customHeight="1" x14ac:dyDescent="0.2">
      <c r="B72" s="2711"/>
      <c r="C72" s="2727" t="s">
        <v>609</v>
      </c>
      <c r="D72" s="2738" t="s">
        <v>651</v>
      </c>
      <c r="E72" s="2741"/>
      <c r="F72" s="2741"/>
      <c r="G72" s="2742"/>
      <c r="H72" s="2743"/>
      <c r="I72" s="2744"/>
      <c r="J72" s="2745" t="s">
        <v>693</v>
      </c>
      <c r="K72" s="2732">
        <f>K69+K71</f>
        <v>13330</v>
      </c>
      <c r="L72" s="2746">
        <f>N72/K72</f>
        <v>1</v>
      </c>
      <c r="M72" s="2745"/>
      <c r="N72" s="2747">
        <f>SUM(N65:N71)</f>
        <v>13330</v>
      </c>
      <c r="Q72" s="2717"/>
      <c r="R72" s="2717"/>
      <c r="S72" s="2719"/>
      <c r="T72" s="2717"/>
      <c r="U72" s="2717"/>
      <c r="V72" s="2717"/>
    </row>
    <row r="73" spans="2:22" s="2721" customFormat="1" ht="14.1" customHeight="1" x14ac:dyDescent="0.2">
      <c r="B73" s="2711"/>
      <c r="C73" s="2537" t="s">
        <v>610</v>
      </c>
      <c r="D73" s="2738" t="s">
        <v>653</v>
      </c>
      <c r="E73" s="2741"/>
      <c r="F73" s="2748">
        <f>$F$42</f>
        <v>0.1</v>
      </c>
      <c r="G73" s="2727" t="s">
        <v>425</v>
      </c>
      <c r="H73" s="2748">
        <f>$H$42</f>
        <v>0.03</v>
      </c>
      <c r="I73" s="2749" t="s">
        <v>424</v>
      </c>
      <c r="J73" s="2732" t="s">
        <v>609</v>
      </c>
      <c r="K73" s="2750">
        <f>ROUND((K72*(F73+H73)),2)</f>
        <v>1732.9</v>
      </c>
      <c r="L73" s="2732"/>
      <c r="M73" s="2732"/>
      <c r="N73" s="2732"/>
      <c r="Q73" s="2717"/>
      <c r="R73" s="2717"/>
      <c r="S73" s="2719"/>
      <c r="T73" s="2717"/>
      <c r="U73" s="2717"/>
      <c r="V73" s="2717"/>
    </row>
    <row r="74" spans="2:22" s="2721" customFormat="1" ht="14.1" customHeight="1" x14ac:dyDescent="0.2">
      <c r="B74" s="2711"/>
      <c r="C74" s="2751" t="s">
        <v>611</v>
      </c>
      <c r="D74" s="2752" t="s">
        <v>292</v>
      </c>
      <c r="E74" s="2815"/>
      <c r="F74" s="2815"/>
      <c r="G74" s="2815"/>
      <c r="H74" s="2816"/>
      <c r="I74" s="2815"/>
      <c r="J74" s="2755" t="s">
        <v>694</v>
      </c>
      <c r="K74" s="2756">
        <f>SUM(K72:K73)</f>
        <v>15062.9</v>
      </c>
      <c r="L74" s="2746"/>
      <c r="M74" s="2755"/>
      <c r="N74" s="2757"/>
      <c r="Q74" s="2717"/>
      <c r="R74" s="2717"/>
      <c r="S74" s="2719"/>
      <c r="T74" s="2717"/>
      <c r="U74" s="2717"/>
      <c r="V74" s="2717"/>
    </row>
    <row r="75" spans="2:22" s="2689" customFormat="1" x14ac:dyDescent="0.2">
      <c r="B75" s="2703"/>
      <c r="C75" s="2703"/>
      <c r="E75" s="2704"/>
      <c r="H75" s="2690"/>
      <c r="I75" s="2710"/>
      <c r="J75" s="2429"/>
      <c r="K75" s="2127"/>
      <c r="L75" s="2127"/>
      <c r="M75" s="2127"/>
      <c r="N75" s="2127"/>
      <c r="O75" s="2690"/>
      <c r="P75" s="2427"/>
      <c r="Q75" s="2717"/>
      <c r="R75" s="2717"/>
      <c r="S75" s="2719"/>
      <c r="T75" s="2717"/>
      <c r="U75" s="2717"/>
      <c r="V75" s="2717"/>
    </row>
    <row r="76" spans="2:22" s="2689" customFormat="1" ht="14.1" customHeight="1" x14ac:dyDescent="0.2">
      <c r="B76" s="2711">
        <f>B62+1</f>
        <v>4</v>
      </c>
      <c r="C76" s="2694"/>
      <c r="D76" s="2817" t="s">
        <v>2032</v>
      </c>
      <c r="E76" s="2818"/>
      <c r="F76" s="2818"/>
      <c r="G76" s="2818"/>
      <c r="H76" s="2819"/>
      <c r="I76" s="2818"/>
      <c r="J76" s="2818"/>
      <c r="K76" s="2820" t="s">
        <v>744</v>
      </c>
      <c r="L76" s="2820"/>
      <c r="M76" s="2820"/>
      <c r="N76" s="2820"/>
      <c r="O76" s="2690" t="str">
        <f>D77</f>
        <v>m'</v>
      </c>
      <c r="P76" s="2821">
        <f>K94</f>
        <v>59589.42</v>
      </c>
      <c r="Q76" s="2718">
        <f>L92</f>
        <v>0.99355254674403615</v>
      </c>
      <c r="R76" s="2718"/>
      <c r="S76" s="2719">
        <f>N92</f>
        <v>52394</v>
      </c>
      <c r="T76" s="2515">
        <f>U76+S76</f>
        <v>59205.22</v>
      </c>
      <c r="U76" s="2719">
        <f>S76*V76</f>
        <v>6811.22</v>
      </c>
      <c r="V76" s="2718">
        <f>$F$42+$H$42</f>
        <v>0.13</v>
      </c>
    </row>
    <row r="77" spans="2:22" s="2689" customFormat="1" ht="14.1" customHeight="1" x14ac:dyDescent="0.2">
      <c r="B77" s="2694"/>
      <c r="C77" s="2694"/>
      <c r="D77" s="2693" t="s">
        <v>247</v>
      </c>
      <c r="E77" s="2693"/>
      <c r="F77" s="2693"/>
      <c r="G77" s="2693"/>
      <c r="H77" s="2694"/>
      <c r="I77" s="2693"/>
      <c r="J77" s="2693"/>
      <c r="K77" s="2693"/>
      <c r="L77" s="2693"/>
      <c r="M77" s="2693"/>
      <c r="N77" s="2693"/>
      <c r="O77" s="2690"/>
      <c r="Q77" s="2717"/>
      <c r="R77" s="2717"/>
      <c r="S77" s="2719"/>
      <c r="T77" s="2717"/>
      <c r="U77" s="2717"/>
      <c r="V77" s="2717"/>
    </row>
    <row r="78" spans="2:22" s="2689" customFormat="1" ht="14.1" customHeight="1" x14ac:dyDescent="0.2">
      <c r="B78" s="2694"/>
      <c r="C78" s="2822"/>
      <c r="D78" s="3446" t="s">
        <v>280</v>
      </c>
      <c r="E78" s="3447"/>
      <c r="F78" s="2823"/>
      <c r="G78" s="3452" t="s">
        <v>281</v>
      </c>
      <c r="H78" s="3452" t="s">
        <v>282</v>
      </c>
      <c r="I78" s="2822" t="s">
        <v>283</v>
      </c>
      <c r="J78" s="2822" t="s">
        <v>284</v>
      </c>
      <c r="K78" s="2822" t="s">
        <v>340</v>
      </c>
      <c r="L78" s="2524" t="s">
        <v>2008</v>
      </c>
      <c r="M78" s="2524" t="s">
        <v>2009</v>
      </c>
      <c r="N78" s="2524" t="s">
        <v>284</v>
      </c>
      <c r="O78" s="2690"/>
      <c r="Q78" s="2717"/>
      <c r="R78" s="2717"/>
      <c r="S78" s="2719"/>
      <c r="T78" s="2717"/>
      <c r="U78" s="2717"/>
      <c r="V78" s="2717"/>
    </row>
    <row r="79" spans="2:22" s="2689" customFormat="1" ht="14.1" customHeight="1" x14ac:dyDescent="0.2">
      <c r="B79" s="2694"/>
      <c r="C79" s="2824" t="s">
        <v>669</v>
      </c>
      <c r="D79" s="3448"/>
      <c r="E79" s="3449"/>
      <c r="F79" s="2825"/>
      <c r="G79" s="3453"/>
      <c r="H79" s="3453"/>
      <c r="I79" s="2824" t="s">
        <v>285</v>
      </c>
      <c r="J79" s="2824" t="s">
        <v>286</v>
      </c>
      <c r="K79" s="2824" t="s">
        <v>286</v>
      </c>
      <c r="L79" s="2528" t="s">
        <v>2011</v>
      </c>
      <c r="M79" s="2528"/>
      <c r="N79" s="2528" t="s">
        <v>2013</v>
      </c>
      <c r="O79" s="2690"/>
      <c r="Q79" s="2717"/>
      <c r="R79" s="2717"/>
      <c r="S79" s="2719"/>
      <c r="T79" s="2717"/>
      <c r="U79" s="2717"/>
      <c r="V79" s="2717"/>
    </row>
    <row r="80" spans="2:22" s="2689" customFormat="1" ht="14.1" customHeight="1" x14ac:dyDescent="0.2">
      <c r="B80" s="2694"/>
      <c r="C80" s="2826"/>
      <c r="D80" s="3450"/>
      <c r="E80" s="3451"/>
      <c r="F80" s="2827"/>
      <c r="G80" s="3454"/>
      <c r="H80" s="3454"/>
      <c r="I80" s="2826" t="s">
        <v>286</v>
      </c>
      <c r="J80" s="2828"/>
      <c r="K80" s="2828"/>
      <c r="L80" s="2536"/>
      <c r="M80" s="2536"/>
      <c r="N80" s="2537" t="s">
        <v>286</v>
      </c>
      <c r="O80" s="2690"/>
      <c r="Q80" s="2717"/>
      <c r="R80" s="2717"/>
      <c r="S80" s="2719"/>
      <c r="T80" s="2717"/>
      <c r="U80" s="2717"/>
      <c r="V80" s="2717"/>
    </row>
    <row r="81" spans="2:22" s="2689" customFormat="1" ht="14.1" customHeight="1" x14ac:dyDescent="0.2">
      <c r="B81" s="2694"/>
      <c r="C81" s="2822" t="s">
        <v>607</v>
      </c>
      <c r="D81" s="2829" t="s">
        <v>287</v>
      </c>
      <c r="E81" s="2830" t="s">
        <v>572</v>
      </c>
      <c r="F81" s="2830"/>
      <c r="G81" s="2831" t="s">
        <v>293</v>
      </c>
      <c r="H81" s="2832">
        <v>1.2E-2</v>
      </c>
      <c r="I81" s="2729">
        <f>'Upah &amp; Bahan'!$I$94</f>
        <v>1100000</v>
      </c>
      <c r="J81" s="2833">
        <f>ROUND(H81*I81,2)</f>
        <v>13200</v>
      </c>
      <c r="K81" s="2834"/>
      <c r="L81" s="2731">
        <v>1</v>
      </c>
      <c r="M81" s="2732"/>
      <c r="N81" s="2729">
        <f t="shared" ref="N81:N88" si="4">L81*J81</f>
        <v>13200</v>
      </c>
      <c r="O81" s="2690"/>
      <c r="Q81" s="2717"/>
      <c r="R81" s="2717"/>
      <c r="S81" s="2719"/>
      <c r="T81" s="2717"/>
      <c r="U81" s="2717"/>
      <c r="V81" s="2717"/>
    </row>
    <row r="82" spans="2:22" s="2689" customFormat="1" ht="14.1" customHeight="1" x14ac:dyDescent="0.2">
      <c r="B82" s="2694"/>
      <c r="C82" s="2824"/>
      <c r="D82" s="2835"/>
      <c r="E82" s="2830" t="s">
        <v>401</v>
      </c>
      <c r="F82" s="2830"/>
      <c r="G82" s="2831" t="s">
        <v>298</v>
      </c>
      <c r="H82" s="2832">
        <v>0.02</v>
      </c>
      <c r="I82" s="2729">
        <f>'Upah &amp; Bahan'!$I$117</f>
        <v>17000</v>
      </c>
      <c r="J82" s="2833">
        <f>ROUND(H82*I82,2)</f>
        <v>340</v>
      </c>
      <c r="K82" s="2836"/>
      <c r="L82" s="2731">
        <v>0</v>
      </c>
      <c r="M82" s="2732"/>
      <c r="N82" s="2729">
        <f t="shared" si="4"/>
        <v>0</v>
      </c>
      <c r="O82" s="2690"/>
      <c r="Q82" s="2717"/>
      <c r="R82" s="2717"/>
      <c r="S82" s="2719"/>
      <c r="T82" s="2717"/>
      <c r="U82" s="2717"/>
      <c r="V82" s="2717"/>
    </row>
    <row r="83" spans="2:22" s="2689" customFormat="1" x14ac:dyDescent="0.2">
      <c r="B83" s="2694"/>
      <c r="C83" s="2835"/>
      <c r="D83" s="2835"/>
      <c r="E83" s="2830" t="s">
        <v>573</v>
      </c>
      <c r="F83" s="2830"/>
      <c r="G83" s="2831" t="s">
        <v>293</v>
      </c>
      <c r="H83" s="2832">
        <v>7.0000000000000001E-3</v>
      </c>
      <c r="I83" s="2729">
        <f>'Upah &amp; Bahan'!$I$96</f>
        <v>2822000</v>
      </c>
      <c r="J83" s="2833">
        <f>ROUND(H83*I83,2)</f>
        <v>19754</v>
      </c>
      <c r="K83" s="2837"/>
      <c r="L83" s="2731">
        <v>1</v>
      </c>
      <c r="M83" s="2732"/>
      <c r="N83" s="2729">
        <f t="shared" si="4"/>
        <v>19754</v>
      </c>
      <c r="O83" s="2690"/>
      <c r="Q83" s="2717"/>
      <c r="R83" s="2717"/>
      <c r="S83" s="2719"/>
      <c r="T83" s="2717"/>
      <c r="U83" s="2717"/>
      <c r="V83" s="2717"/>
    </row>
    <row r="84" spans="2:22" s="2689" customFormat="1" x14ac:dyDescent="0.2">
      <c r="B84" s="2694"/>
      <c r="C84" s="2826"/>
      <c r="D84" s="2835"/>
      <c r="E84" s="2838"/>
      <c r="F84" s="2839"/>
      <c r="G84" s="2840"/>
      <c r="H84" s="2841"/>
      <c r="I84" s="2842"/>
      <c r="J84" s="2843"/>
      <c r="K84" s="2833">
        <f>SUM(J81:J83)</f>
        <v>33294</v>
      </c>
      <c r="L84" s="2731"/>
      <c r="M84" s="2732"/>
      <c r="N84" s="2729"/>
      <c r="O84" s="2690"/>
      <c r="Q84" s="2717"/>
      <c r="R84" s="2717"/>
      <c r="S84" s="2719"/>
      <c r="T84" s="2717"/>
      <c r="U84" s="2717"/>
      <c r="V84" s="2717"/>
    </row>
    <row r="85" spans="2:22" s="2689" customFormat="1" x14ac:dyDescent="0.2">
      <c r="B85" s="2694"/>
      <c r="C85" s="2822" t="s">
        <v>608</v>
      </c>
      <c r="D85" s="2829" t="s">
        <v>288</v>
      </c>
      <c r="E85" s="2830" t="s">
        <v>334</v>
      </c>
      <c r="F85" s="2830"/>
      <c r="G85" s="2831" t="s">
        <v>291</v>
      </c>
      <c r="H85" s="2832">
        <v>0.1</v>
      </c>
      <c r="I85" s="2729">
        <f>'Upah &amp; Bahan'!$I$36</f>
        <v>92000</v>
      </c>
      <c r="J85" s="2833">
        <f>ROUND(H85*I85,2)</f>
        <v>9200</v>
      </c>
      <c r="K85" s="2834"/>
      <c r="L85" s="2731">
        <f>VLOOKUP($E85,$D$1744:$G$1761,2,0)</f>
        <v>1</v>
      </c>
      <c r="M85" s="2731" t="str">
        <f>VLOOKUP($E85,$D$1744:$G$1761,3,0)</f>
        <v>WNI</v>
      </c>
      <c r="N85" s="2729">
        <f t="shared" si="4"/>
        <v>9200</v>
      </c>
      <c r="O85" s="2690"/>
      <c r="Q85" s="2717"/>
      <c r="R85" s="2717"/>
      <c r="S85" s="2719"/>
      <c r="T85" s="2717"/>
      <c r="U85" s="2717"/>
      <c r="V85" s="2717"/>
    </row>
    <row r="86" spans="2:22" s="2689" customFormat="1" x14ac:dyDescent="0.2">
      <c r="B86" s="2694"/>
      <c r="C86" s="2824"/>
      <c r="D86" s="2835"/>
      <c r="E86" s="2830" t="s">
        <v>289</v>
      </c>
      <c r="F86" s="2830"/>
      <c r="G86" s="2831" t="s">
        <v>291</v>
      </c>
      <c r="H86" s="2832">
        <v>0.1</v>
      </c>
      <c r="I86" s="2729">
        <f>'Upah &amp; Bahan'!$I$24</f>
        <v>88300</v>
      </c>
      <c r="J86" s="2833">
        <f>ROUND(H86*I86,2)</f>
        <v>8830</v>
      </c>
      <c r="K86" s="2836"/>
      <c r="L86" s="2731">
        <f>VLOOKUP($E86,$D$1744:$G$1761,2,0)</f>
        <v>1</v>
      </c>
      <c r="M86" s="2731" t="str">
        <f>VLOOKUP($E86,$D$1744:$G$1761,3,0)</f>
        <v>WNI</v>
      </c>
      <c r="N86" s="2729">
        <f t="shared" si="4"/>
        <v>8830</v>
      </c>
      <c r="O86" s="2690"/>
      <c r="Q86" s="2717"/>
      <c r="R86" s="2717"/>
      <c r="S86" s="2719"/>
      <c r="T86" s="2717"/>
      <c r="U86" s="2717"/>
      <c r="V86" s="2717"/>
    </row>
    <row r="87" spans="2:22" s="2689" customFormat="1" x14ac:dyDescent="0.2">
      <c r="B87" s="2694"/>
      <c r="C87" s="2824"/>
      <c r="D87" s="2835"/>
      <c r="E87" s="2830" t="s">
        <v>369</v>
      </c>
      <c r="F87" s="2830"/>
      <c r="G87" s="2831" t="s">
        <v>291</v>
      </c>
      <c r="H87" s="2832">
        <v>0.01</v>
      </c>
      <c r="I87" s="2729">
        <f>'Upah &amp; Bahan'!$I$30</f>
        <v>96000</v>
      </c>
      <c r="J87" s="2833">
        <f>ROUND(H87*I87,2)</f>
        <v>960</v>
      </c>
      <c r="K87" s="2836"/>
      <c r="L87" s="2731">
        <f>VLOOKUP($E87,$D$1744:$G$1761,2,0)</f>
        <v>1</v>
      </c>
      <c r="M87" s="2731" t="str">
        <f>VLOOKUP($E87,$D$1744:$G$1761,3,0)</f>
        <v>WNI</v>
      </c>
      <c r="N87" s="2729">
        <f t="shared" si="4"/>
        <v>960</v>
      </c>
      <c r="O87" s="2690"/>
      <c r="Q87" s="2717"/>
      <c r="R87" s="2717"/>
      <c r="S87" s="2719"/>
      <c r="T87" s="2717"/>
      <c r="U87" s="2717"/>
      <c r="V87" s="2717"/>
    </row>
    <row r="88" spans="2:22" s="2689" customFormat="1" x14ac:dyDescent="0.2">
      <c r="B88" s="2694"/>
      <c r="C88" s="2835"/>
      <c r="D88" s="2835"/>
      <c r="E88" s="2830" t="s">
        <v>290</v>
      </c>
      <c r="F88" s="2830"/>
      <c r="G88" s="2831" t="s">
        <v>291</v>
      </c>
      <c r="H88" s="2832">
        <v>5.0000000000000001E-3</v>
      </c>
      <c r="I88" s="2729">
        <f>'Upah &amp; Bahan'!$I$31</f>
        <v>90000</v>
      </c>
      <c r="J88" s="2833">
        <f>ROUND(H88*I88,2)</f>
        <v>450</v>
      </c>
      <c r="K88" s="2835"/>
      <c r="L88" s="2731">
        <f>VLOOKUP($E88,$D$1744:$G$1761,2,0)</f>
        <v>1</v>
      </c>
      <c r="M88" s="2731" t="str">
        <f>VLOOKUP($E88,$D$1744:$G$1761,3,0)</f>
        <v>WNI</v>
      </c>
      <c r="N88" s="2729">
        <f t="shared" si="4"/>
        <v>450</v>
      </c>
      <c r="O88" s="2690"/>
      <c r="Q88" s="2717"/>
      <c r="R88" s="2717"/>
      <c r="S88" s="2719"/>
      <c r="T88" s="2717"/>
      <c r="U88" s="2717"/>
      <c r="V88" s="2717"/>
    </row>
    <row r="89" spans="2:22" s="2689" customFormat="1" x14ac:dyDescent="0.2">
      <c r="B89" s="2694"/>
      <c r="C89" s="2826"/>
      <c r="D89" s="2828"/>
      <c r="E89" s="2844"/>
      <c r="F89" s="2845"/>
      <c r="G89" s="2840"/>
      <c r="H89" s="2846"/>
      <c r="I89" s="2847"/>
      <c r="J89" s="2843"/>
      <c r="K89" s="2848">
        <f>SUM(J85:J88)</f>
        <v>19440</v>
      </c>
      <c r="L89" s="2731"/>
      <c r="M89" s="2731"/>
      <c r="N89" s="2729"/>
      <c r="O89" s="2690"/>
      <c r="Q89" s="2717"/>
      <c r="R89" s="2717"/>
      <c r="S89" s="2719"/>
      <c r="T89" s="2717"/>
      <c r="U89" s="2717"/>
      <c r="V89" s="2717"/>
    </row>
    <row r="90" spans="2:22" s="2689" customFormat="1" x14ac:dyDescent="0.2">
      <c r="B90" s="2694"/>
      <c r="C90" s="2824" t="s">
        <v>609</v>
      </c>
      <c r="D90" s="2829" t="s">
        <v>606</v>
      </c>
      <c r="E90" s="2849"/>
      <c r="F90" s="2849"/>
      <c r="G90" s="2831"/>
      <c r="H90" s="2850"/>
      <c r="I90" s="2851"/>
      <c r="J90" s="2833"/>
      <c r="K90" s="2834"/>
      <c r="L90" s="2731"/>
      <c r="M90" s="2731"/>
      <c r="N90" s="2729"/>
      <c r="O90" s="2690"/>
      <c r="Q90" s="2717"/>
      <c r="R90" s="2717"/>
      <c r="S90" s="2719"/>
      <c r="T90" s="2717"/>
      <c r="U90" s="2717"/>
      <c r="V90" s="2717"/>
    </row>
    <row r="91" spans="2:22" s="2689" customFormat="1" x14ac:dyDescent="0.2">
      <c r="B91" s="2694"/>
      <c r="C91" s="2826"/>
      <c r="D91" s="2828"/>
      <c r="E91" s="2844"/>
      <c r="F91" s="2845"/>
      <c r="G91" s="2840"/>
      <c r="H91" s="2846"/>
      <c r="I91" s="2852"/>
      <c r="J91" s="2843"/>
      <c r="K91" s="2848">
        <f>SUM(J90:J90)</f>
        <v>0</v>
      </c>
      <c r="L91" s="2731"/>
      <c r="M91" s="2731"/>
      <c r="N91" s="2729"/>
      <c r="O91" s="2690"/>
      <c r="Q91" s="2717"/>
      <c r="R91" s="2717"/>
      <c r="S91" s="2719"/>
      <c r="T91" s="2717"/>
      <c r="U91" s="2717"/>
      <c r="V91" s="2717"/>
    </row>
    <row r="92" spans="2:22" s="2689" customFormat="1" x14ac:dyDescent="0.2">
      <c r="B92" s="2694"/>
      <c r="C92" s="2826" t="s">
        <v>610</v>
      </c>
      <c r="D92" s="2853" t="s">
        <v>651</v>
      </c>
      <c r="E92" s="2845"/>
      <c r="F92" s="2845"/>
      <c r="G92" s="2840"/>
      <c r="H92" s="2846"/>
      <c r="I92" s="2852"/>
      <c r="J92" s="2854" t="s">
        <v>652</v>
      </c>
      <c r="K92" s="2848">
        <f>K84+K89+K91</f>
        <v>52734</v>
      </c>
      <c r="L92" s="2746">
        <f>N92/K92</f>
        <v>0.99355254674403615</v>
      </c>
      <c r="M92" s="2745"/>
      <c r="N92" s="2747">
        <f>SUM(N80:N91)</f>
        <v>52394</v>
      </c>
      <c r="O92" s="2690"/>
      <c r="Q92" s="2717"/>
      <c r="R92" s="2717"/>
      <c r="S92" s="2719"/>
      <c r="T92" s="2717"/>
      <c r="U92" s="2717"/>
      <c r="V92" s="2717"/>
    </row>
    <row r="93" spans="2:22" s="2689" customFormat="1" x14ac:dyDescent="0.2">
      <c r="B93" s="2694"/>
      <c r="C93" s="2826" t="s">
        <v>611</v>
      </c>
      <c r="D93" s="2853" t="s">
        <v>653</v>
      </c>
      <c r="E93" s="2845"/>
      <c r="F93" s="2748">
        <f>$F$42</f>
        <v>0.1</v>
      </c>
      <c r="G93" s="2727" t="s">
        <v>425</v>
      </c>
      <c r="H93" s="2748">
        <f>$H$42</f>
        <v>0.03</v>
      </c>
      <c r="I93" s="2855" t="s">
        <v>424</v>
      </c>
      <c r="J93" s="2848" t="s">
        <v>610</v>
      </c>
      <c r="K93" s="2856">
        <f>ROUND((K92*(F93+H93)),2)</f>
        <v>6855.42</v>
      </c>
      <c r="L93" s="2731"/>
      <c r="M93" s="2731"/>
      <c r="N93" s="2729"/>
      <c r="O93" s="2690"/>
      <c r="Q93" s="2717"/>
      <c r="R93" s="2717"/>
      <c r="S93" s="2719"/>
      <c r="T93" s="2717"/>
      <c r="U93" s="2717"/>
      <c r="V93" s="2717"/>
    </row>
    <row r="94" spans="2:22" s="2689" customFormat="1" x14ac:dyDescent="0.2">
      <c r="B94" s="2694"/>
      <c r="C94" s="2857" t="s">
        <v>654</v>
      </c>
      <c r="D94" s="2858" t="s">
        <v>301</v>
      </c>
      <c r="E94" s="2859"/>
      <c r="F94" s="2859"/>
      <c r="G94" s="2859"/>
      <c r="H94" s="2860"/>
      <c r="I94" s="2859"/>
      <c r="J94" s="2861" t="s">
        <v>668</v>
      </c>
      <c r="K94" s="2862">
        <f>SUM(K92:K93)</f>
        <v>59589.42</v>
      </c>
      <c r="L94" s="2731"/>
      <c r="M94" s="2731"/>
      <c r="N94" s="2729"/>
      <c r="O94" s="2690"/>
      <c r="Q94" s="2717"/>
      <c r="R94" s="2717"/>
      <c r="S94" s="2719"/>
      <c r="T94" s="2717"/>
      <c r="U94" s="2717"/>
      <c r="V94" s="2717"/>
    </row>
    <row r="95" spans="2:22" s="2689" customFormat="1" x14ac:dyDescent="0.2">
      <c r="B95" s="2694"/>
      <c r="C95" s="2707"/>
      <c r="D95" s="2863"/>
      <c r="E95" s="2863"/>
      <c r="F95" s="2863"/>
      <c r="G95" s="2863"/>
      <c r="H95" s="2864"/>
      <c r="I95" s="2863"/>
      <c r="J95" s="2865"/>
      <c r="K95" s="2866"/>
      <c r="L95" s="2866"/>
      <c r="M95" s="2866"/>
      <c r="N95" s="2866"/>
      <c r="O95" s="2690"/>
      <c r="Q95" s="2717"/>
      <c r="R95" s="2717"/>
      <c r="S95" s="2719"/>
      <c r="T95" s="2717"/>
      <c r="U95" s="2717"/>
      <c r="V95" s="2717"/>
    </row>
    <row r="96" spans="2:22" s="2689" customFormat="1" x14ac:dyDescent="0.2">
      <c r="B96" s="2694"/>
      <c r="C96" s="2707"/>
      <c r="D96" s="2863"/>
      <c r="E96" s="2863"/>
      <c r="F96" s="2863"/>
      <c r="G96" s="2863"/>
      <c r="H96" s="2864"/>
      <c r="I96" s="2863"/>
      <c r="J96" s="2865"/>
      <c r="K96" s="2866"/>
      <c r="L96" s="2866"/>
      <c r="M96" s="2866"/>
      <c r="N96" s="2866"/>
      <c r="O96" s="2690"/>
      <c r="Q96" s="2717"/>
      <c r="R96" s="2717"/>
      <c r="S96" s="2719"/>
      <c r="T96" s="2717"/>
      <c r="U96" s="2717"/>
      <c r="V96" s="2717"/>
    </row>
    <row r="97" spans="2:22" s="2720" customFormat="1" ht="14.1" customHeight="1" x14ac:dyDescent="0.2">
      <c r="B97" s="2711">
        <f>B76+1</f>
        <v>5</v>
      </c>
      <c r="C97" s="2711"/>
      <c r="D97" s="2713" t="s">
        <v>701</v>
      </c>
      <c r="E97" s="2713"/>
      <c r="F97" s="2713"/>
      <c r="G97" s="2713"/>
      <c r="H97" s="2714"/>
      <c r="I97" s="2713"/>
      <c r="J97" s="2713"/>
      <c r="K97" s="2809" t="s">
        <v>1146</v>
      </c>
      <c r="L97" s="2809"/>
      <c r="M97" s="2809"/>
      <c r="N97" s="2809"/>
      <c r="O97" s="2716" t="str">
        <f>D98</f>
        <v>m3</v>
      </c>
      <c r="P97" s="2717">
        <f>K109</f>
        <v>77376.75</v>
      </c>
      <c r="Q97" s="2718">
        <f>L107</f>
        <v>1</v>
      </c>
      <c r="R97" s="2718"/>
      <c r="S97" s="2719">
        <f>N107</f>
        <v>68475</v>
      </c>
      <c r="T97" s="2515">
        <f>U97+S97</f>
        <v>77376.75</v>
      </c>
      <c r="U97" s="2719">
        <f>S97*V97</f>
        <v>8901.75</v>
      </c>
      <c r="V97" s="2718">
        <f>$F$42+$H$42</f>
        <v>0.13</v>
      </c>
    </row>
    <row r="98" spans="2:22" s="2720" customFormat="1" ht="14.1" customHeight="1" x14ac:dyDescent="0.2">
      <c r="B98" s="2711"/>
      <c r="C98" s="2711"/>
      <c r="D98" s="2721" t="s">
        <v>293</v>
      </c>
      <c r="E98" s="2721"/>
      <c r="F98" s="2721"/>
      <c r="G98" s="2721"/>
      <c r="H98" s="2711"/>
      <c r="I98" s="2721"/>
      <c r="J98" s="2721"/>
      <c r="K98" s="2721"/>
      <c r="L98" s="2721"/>
      <c r="M98" s="2721"/>
      <c r="N98" s="2721"/>
      <c r="O98" s="2716"/>
      <c r="Q98" s="2717"/>
      <c r="R98" s="2717"/>
      <c r="S98" s="2719"/>
      <c r="T98" s="2717"/>
      <c r="U98" s="2717"/>
      <c r="V98" s="2717"/>
    </row>
    <row r="99" spans="2:22" s="2720" customFormat="1" ht="14.1" customHeight="1" x14ac:dyDescent="0.2">
      <c r="B99" s="2711"/>
      <c r="C99" s="2524"/>
      <c r="D99" s="3427" t="s">
        <v>280</v>
      </c>
      <c r="E99" s="3428"/>
      <c r="F99" s="2722"/>
      <c r="G99" s="3433" t="s">
        <v>281</v>
      </c>
      <c r="H99" s="3433" t="s">
        <v>282</v>
      </c>
      <c r="I99" s="2524" t="s">
        <v>283</v>
      </c>
      <c r="J99" s="2524" t="s">
        <v>284</v>
      </c>
      <c r="K99" s="2524" t="s">
        <v>340</v>
      </c>
      <c r="L99" s="2524" t="s">
        <v>2008</v>
      </c>
      <c r="M99" s="2524" t="s">
        <v>2009</v>
      </c>
      <c r="N99" s="2524" t="s">
        <v>284</v>
      </c>
      <c r="O99" s="2716"/>
      <c r="Q99" s="2717"/>
      <c r="R99" s="2717"/>
      <c r="S99" s="2719"/>
      <c r="T99" s="2717"/>
      <c r="U99" s="2717"/>
      <c r="V99" s="2717"/>
    </row>
    <row r="100" spans="2:22" s="2720" customFormat="1" ht="14.1" customHeight="1" x14ac:dyDescent="0.2">
      <c r="B100" s="2711"/>
      <c r="C100" s="2528" t="s">
        <v>669</v>
      </c>
      <c r="D100" s="3429"/>
      <c r="E100" s="3430"/>
      <c r="F100" s="2723"/>
      <c r="G100" s="3434"/>
      <c r="H100" s="3434"/>
      <c r="I100" s="2528" t="s">
        <v>285</v>
      </c>
      <c r="J100" s="2528" t="s">
        <v>286</v>
      </c>
      <c r="K100" s="2528" t="s">
        <v>286</v>
      </c>
      <c r="L100" s="2528" t="s">
        <v>2011</v>
      </c>
      <c r="M100" s="2528"/>
      <c r="N100" s="2528" t="s">
        <v>2013</v>
      </c>
      <c r="O100" s="2716"/>
      <c r="Q100" s="2717"/>
      <c r="R100" s="2717"/>
      <c r="S100" s="2719"/>
      <c r="T100" s="2717"/>
      <c r="U100" s="2717"/>
      <c r="V100" s="2717"/>
    </row>
    <row r="101" spans="2:22" s="2720" customFormat="1" ht="14.1" customHeight="1" x14ac:dyDescent="0.2">
      <c r="B101" s="2711"/>
      <c r="C101" s="2537"/>
      <c r="D101" s="3431"/>
      <c r="E101" s="3432"/>
      <c r="F101" s="2724"/>
      <c r="G101" s="3435"/>
      <c r="H101" s="3435"/>
      <c r="I101" s="2537" t="s">
        <v>286</v>
      </c>
      <c r="J101" s="2536"/>
      <c r="K101" s="2536"/>
      <c r="L101" s="2536"/>
      <c r="M101" s="2536"/>
      <c r="N101" s="2537" t="s">
        <v>286</v>
      </c>
      <c r="O101" s="2716"/>
      <c r="Q101" s="2717"/>
      <c r="R101" s="2717"/>
      <c r="S101" s="2719"/>
      <c r="T101" s="2717"/>
      <c r="U101" s="2717"/>
      <c r="V101" s="2717"/>
    </row>
    <row r="102" spans="2:22" s="2720" customFormat="1" ht="14.1" customHeight="1" x14ac:dyDescent="0.2">
      <c r="B102" s="2711"/>
      <c r="C102" s="2524" t="s">
        <v>607</v>
      </c>
      <c r="D102" s="2725" t="s">
        <v>288</v>
      </c>
      <c r="E102" s="2739" t="s">
        <v>289</v>
      </c>
      <c r="F102" s="2739"/>
      <c r="G102" s="2727" t="s">
        <v>291</v>
      </c>
      <c r="H102" s="2740">
        <v>0.75</v>
      </c>
      <c r="I102" s="2811">
        <f>'Upah &amp; Bahan'!$I$24</f>
        <v>88300</v>
      </c>
      <c r="J102" s="2729">
        <f>ROUND(H102*I102,2)</f>
        <v>66225</v>
      </c>
      <c r="K102" s="2730"/>
      <c r="L102" s="2731">
        <f>VLOOKUP($E102,$D$1744:$G$1761,2,0)</f>
        <v>1</v>
      </c>
      <c r="M102" s="2731" t="str">
        <f>VLOOKUP($E102,$D$1744:$G$1761,3,0)</f>
        <v>WNI</v>
      </c>
      <c r="N102" s="2729">
        <f t="shared" ref="N102:N103" si="5">L102*J102</f>
        <v>66225</v>
      </c>
      <c r="O102" s="2716"/>
      <c r="Q102" s="2717"/>
      <c r="R102" s="2717"/>
      <c r="S102" s="2719"/>
      <c r="T102" s="2717"/>
      <c r="U102" s="2717"/>
      <c r="V102" s="2717"/>
    </row>
    <row r="103" spans="2:22" s="2720" customFormat="1" ht="14.1" customHeight="1" x14ac:dyDescent="0.2">
      <c r="B103" s="2711"/>
      <c r="C103" s="2528"/>
      <c r="D103" s="2733"/>
      <c r="E103" s="2739" t="s">
        <v>290</v>
      </c>
      <c r="F103" s="2739"/>
      <c r="G103" s="2727" t="s">
        <v>291</v>
      </c>
      <c r="H103" s="2727">
        <v>2.5000000000000001E-2</v>
      </c>
      <c r="I103" s="2811">
        <f>'Upah &amp; Bahan'!$I$31</f>
        <v>90000</v>
      </c>
      <c r="J103" s="2729">
        <f>ROUND(H103*I103,2)</f>
        <v>2250</v>
      </c>
      <c r="K103" s="2734"/>
      <c r="L103" s="2731">
        <f>VLOOKUP($E103,$D$1744:$G$1761,2,0)</f>
        <v>1</v>
      </c>
      <c r="M103" s="2731" t="str">
        <f>VLOOKUP($E103,$D$1744:$G$1761,3,0)</f>
        <v>WNI</v>
      </c>
      <c r="N103" s="2729">
        <f t="shared" si="5"/>
        <v>2250</v>
      </c>
      <c r="O103" s="2716"/>
      <c r="Q103" s="2717"/>
      <c r="R103" s="2717"/>
      <c r="S103" s="2719"/>
      <c r="T103" s="2717"/>
      <c r="U103" s="2717"/>
      <c r="V103" s="2717"/>
    </row>
    <row r="104" spans="2:22" s="2720" customFormat="1" ht="14.1" customHeight="1" x14ac:dyDescent="0.2">
      <c r="B104" s="2711"/>
      <c r="C104" s="2537"/>
      <c r="D104" s="2536"/>
      <c r="E104" s="2736"/>
      <c r="F104" s="2741"/>
      <c r="G104" s="2742"/>
      <c r="H104" s="2742"/>
      <c r="I104" s="2812"/>
      <c r="J104" s="2813"/>
      <c r="K104" s="2732">
        <f>SUM(J102:J103)</f>
        <v>68475</v>
      </c>
      <c r="L104" s="2731"/>
      <c r="M104" s="2732"/>
      <c r="N104" s="2729">
        <f t="shared" ref="N104:N106" si="6">L104*J104</f>
        <v>0</v>
      </c>
      <c r="O104" s="2716"/>
      <c r="Q104" s="2717"/>
      <c r="R104" s="2717"/>
      <c r="S104" s="2719"/>
      <c r="T104" s="2717"/>
      <c r="U104" s="2717"/>
      <c r="V104" s="2717"/>
    </row>
    <row r="105" spans="2:22" s="2720" customFormat="1" ht="14.1" customHeight="1" x14ac:dyDescent="0.2">
      <c r="B105" s="2711"/>
      <c r="C105" s="2524" t="s">
        <v>608</v>
      </c>
      <c r="D105" s="2725" t="s">
        <v>606</v>
      </c>
      <c r="E105" s="2739"/>
      <c r="F105" s="2739"/>
      <c r="G105" s="2727"/>
      <c r="H105" s="2740"/>
      <c r="I105" s="2814"/>
      <c r="J105" s="2729"/>
      <c r="K105" s="2730"/>
      <c r="L105" s="2731"/>
      <c r="M105" s="2732"/>
      <c r="N105" s="2729">
        <f t="shared" si="6"/>
        <v>0</v>
      </c>
      <c r="O105" s="2716"/>
      <c r="Q105" s="2717"/>
      <c r="R105" s="2717"/>
      <c r="S105" s="2719"/>
      <c r="T105" s="2717"/>
      <c r="U105" s="2717"/>
      <c r="V105" s="2717"/>
    </row>
    <row r="106" spans="2:22" s="2720" customFormat="1" ht="14.1" customHeight="1" x14ac:dyDescent="0.2">
      <c r="B106" s="2711"/>
      <c r="C106" s="2537"/>
      <c r="D106" s="2536"/>
      <c r="E106" s="2736"/>
      <c r="F106" s="2741"/>
      <c r="G106" s="2742"/>
      <c r="H106" s="2743"/>
      <c r="I106" s="2744"/>
      <c r="J106" s="2813"/>
      <c r="K106" s="2732">
        <f>SUM(J105:J105)</f>
        <v>0</v>
      </c>
      <c r="L106" s="2731"/>
      <c r="M106" s="2732"/>
      <c r="N106" s="2729">
        <f t="shared" si="6"/>
        <v>0</v>
      </c>
      <c r="O106" s="2716"/>
      <c r="Q106" s="2717"/>
      <c r="R106" s="2717"/>
      <c r="S106" s="2719"/>
      <c r="T106" s="2717"/>
      <c r="U106" s="2717"/>
      <c r="V106" s="2717"/>
    </row>
    <row r="107" spans="2:22" s="2720" customFormat="1" ht="14.1" customHeight="1" x14ac:dyDescent="0.2">
      <c r="B107" s="2711"/>
      <c r="C107" s="2727" t="s">
        <v>609</v>
      </c>
      <c r="D107" s="2738" t="s">
        <v>651</v>
      </c>
      <c r="E107" s="2741"/>
      <c r="F107" s="2741"/>
      <c r="G107" s="2742"/>
      <c r="H107" s="2743"/>
      <c r="I107" s="2744"/>
      <c r="J107" s="2745" t="s">
        <v>693</v>
      </c>
      <c r="K107" s="2732">
        <f>K104+K106</f>
        <v>68475</v>
      </c>
      <c r="L107" s="2746">
        <f>N107/K107</f>
        <v>1</v>
      </c>
      <c r="M107" s="2745"/>
      <c r="N107" s="2747">
        <f>SUM(N99:N106)</f>
        <v>68475</v>
      </c>
      <c r="O107" s="2716"/>
      <c r="Q107" s="2717"/>
      <c r="R107" s="2717"/>
      <c r="S107" s="2719"/>
      <c r="T107" s="2717"/>
      <c r="U107" s="2717"/>
      <c r="V107" s="2717"/>
    </row>
    <row r="108" spans="2:22" s="2720" customFormat="1" ht="14.1" customHeight="1" x14ac:dyDescent="0.2">
      <c r="B108" s="2711"/>
      <c r="C108" s="2537" t="s">
        <v>610</v>
      </c>
      <c r="D108" s="2738" t="s">
        <v>653</v>
      </c>
      <c r="E108" s="2741"/>
      <c r="F108" s="2748">
        <f>$F$42</f>
        <v>0.1</v>
      </c>
      <c r="G108" s="2727" t="s">
        <v>425</v>
      </c>
      <c r="H108" s="2748">
        <f>$H$42</f>
        <v>0.03</v>
      </c>
      <c r="I108" s="2749" t="s">
        <v>424</v>
      </c>
      <c r="J108" s="2732" t="s">
        <v>609</v>
      </c>
      <c r="K108" s="2750">
        <f>ROUND((K107*(F108+H108)),2)</f>
        <v>8901.75</v>
      </c>
      <c r="L108" s="2732"/>
      <c r="M108" s="2732"/>
      <c r="N108" s="2732"/>
      <c r="O108" s="2716"/>
      <c r="Q108" s="2717"/>
      <c r="R108" s="2717"/>
      <c r="S108" s="2719"/>
      <c r="T108" s="2717"/>
      <c r="U108" s="2717"/>
      <c r="V108" s="2717"/>
    </row>
    <row r="109" spans="2:22" s="2720" customFormat="1" ht="14.1" customHeight="1" x14ac:dyDescent="0.2">
      <c r="B109" s="2711"/>
      <c r="C109" s="2751" t="s">
        <v>611</v>
      </c>
      <c r="D109" s="2752" t="s">
        <v>292</v>
      </c>
      <c r="E109" s="2815"/>
      <c r="F109" s="2815"/>
      <c r="G109" s="2815"/>
      <c r="H109" s="2816"/>
      <c r="I109" s="2815"/>
      <c r="J109" s="2755" t="s">
        <v>694</v>
      </c>
      <c r="K109" s="2756">
        <f>SUM(K107:K108)</f>
        <v>77376.75</v>
      </c>
      <c r="L109" s="2746"/>
      <c r="M109" s="2755"/>
      <c r="N109" s="2757"/>
      <c r="O109" s="2716"/>
      <c r="Q109" s="2717"/>
      <c r="R109" s="2717"/>
      <c r="S109" s="2719"/>
      <c r="T109" s="2717"/>
      <c r="U109" s="2717"/>
      <c r="V109" s="2717"/>
    </row>
    <row r="110" spans="2:22" s="2689" customFormat="1" x14ac:dyDescent="0.2">
      <c r="B110" s="2694"/>
      <c r="C110" s="2707"/>
      <c r="D110" s="2863"/>
      <c r="E110" s="2863"/>
      <c r="F110" s="2863"/>
      <c r="G110" s="2863"/>
      <c r="H110" s="2864"/>
      <c r="I110" s="2863"/>
      <c r="J110" s="2865"/>
      <c r="K110" s="2866"/>
      <c r="L110" s="2866"/>
      <c r="M110" s="2866"/>
      <c r="N110" s="2866"/>
      <c r="O110" s="2690"/>
      <c r="Q110" s="2717"/>
      <c r="R110" s="2717"/>
      <c r="S110" s="2719"/>
      <c r="T110" s="2717"/>
      <c r="U110" s="2717"/>
      <c r="V110" s="2717"/>
    </row>
    <row r="111" spans="2:22" s="2721" customFormat="1" ht="14.1" customHeight="1" x14ac:dyDescent="0.2">
      <c r="B111" s="2711">
        <f>B97+1</f>
        <v>6</v>
      </c>
      <c r="C111" s="2711"/>
      <c r="D111" s="2713" t="s">
        <v>745</v>
      </c>
      <c r="E111" s="2713"/>
      <c r="F111" s="2713"/>
      <c r="G111" s="2713"/>
      <c r="H111" s="2714"/>
      <c r="I111" s="2713"/>
      <c r="J111" s="2713"/>
      <c r="K111" s="2809" t="s">
        <v>1145</v>
      </c>
      <c r="L111" s="2809"/>
      <c r="M111" s="2809"/>
      <c r="N111" s="2809"/>
      <c r="O111" s="2721" t="str">
        <f>D112</f>
        <v>m3</v>
      </c>
      <c r="P111" s="2810">
        <f>K123</f>
        <v>94377.600000000006</v>
      </c>
      <c r="Q111" s="2718">
        <f>L121</f>
        <v>1</v>
      </c>
      <c r="R111" s="2718"/>
      <c r="S111" s="2719">
        <f>N121</f>
        <v>83520</v>
      </c>
      <c r="T111" s="2515">
        <f>U111+S111</f>
        <v>94377.600000000006</v>
      </c>
      <c r="U111" s="2719">
        <f>S111*V111</f>
        <v>10857.6</v>
      </c>
      <c r="V111" s="2718">
        <f>$F$42+$H$42</f>
        <v>0.13</v>
      </c>
    </row>
    <row r="112" spans="2:22" s="2721" customFormat="1" ht="14.1" customHeight="1" x14ac:dyDescent="0.2">
      <c r="B112" s="2711"/>
      <c r="C112" s="2711"/>
      <c r="D112" s="2721" t="s">
        <v>293</v>
      </c>
      <c r="H112" s="2711"/>
      <c r="Q112" s="2717"/>
      <c r="R112" s="2717"/>
      <c r="S112" s="2719"/>
      <c r="T112" s="2717"/>
      <c r="U112" s="2717"/>
      <c r="V112" s="2717"/>
    </row>
    <row r="113" spans="2:22" s="2721" customFormat="1" ht="14.1" customHeight="1" x14ac:dyDescent="0.2">
      <c r="B113" s="2711"/>
      <c r="C113" s="2524"/>
      <c r="D113" s="3427" t="s">
        <v>280</v>
      </c>
      <c r="E113" s="3428"/>
      <c r="F113" s="2722"/>
      <c r="G113" s="3433" t="s">
        <v>281</v>
      </c>
      <c r="H113" s="3433" t="s">
        <v>282</v>
      </c>
      <c r="I113" s="2524" t="s">
        <v>283</v>
      </c>
      <c r="J113" s="2524" t="s">
        <v>284</v>
      </c>
      <c r="K113" s="2524" t="s">
        <v>340</v>
      </c>
      <c r="L113" s="2524" t="s">
        <v>2008</v>
      </c>
      <c r="M113" s="2524" t="s">
        <v>2009</v>
      </c>
      <c r="N113" s="2524" t="s">
        <v>284</v>
      </c>
      <c r="Q113" s="2717"/>
      <c r="R113" s="2717"/>
      <c r="S113" s="2719"/>
      <c r="T113" s="2717"/>
      <c r="U113" s="2717"/>
      <c r="V113" s="2717"/>
    </row>
    <row r="114" spans="2:22" s="2721" customFormat="1" ht="14.1" customHeight="1" x14ac:dyDescent="0.2">
      <c r="B114" s="2711"/>
      <c r="C114" s="2528" t="s">
        <v>669</v>
      </c>
      <c r="D114" s="3429"/>
      <c r="E114" s="3430"/>
      <c r="F114" s="2723"/>
      <c r="G114" s="3434"/>
      <c r="H114" s="3434"/>
      <c r="I114" s="2528" t="s">
        <v>285</v>
      </c>
      <c r="J114" s="2528" t="s">
        <v>286</v>
      </c>
      <c r="K114" s="2528" t="s">
        <v>286</v>
      </c>
      <c r="L114" s="2528" t="s">
        <v>2011</v>
      </c>
      <c r="M114" s="2528"/>
      <c r="N114" s="2528" t="s">
        <v>2013</v>
      </c>
      <c r="Q114" s="2717"/>
      <c r="R114" s="2717"/>
      <c r="S114" s="2719"/>
      <c r="T114" s="2717"/>
      <c r="U114" s="2717"/>
      <c r="V114" s="2717"/>
    </row>
    <row r="115" spans="2:22" s="2721" customFormat="1" ht="14.1" customHeight="1" x14ac:dyDescent="0.2">
      <c r="B115" s="2711"/>
      <c r="C115" s="2537"/>
      <c r="D115" s="3431"/>
      <c r="E115" s="3432"/>
      <c r="F115" s="2724"/>
      <c r="G115" s="3435"/>
      <c r="H115" s="3435"/>
      <c r="I115" s="2537" t="s">
        <v>286</v>
      </c>
      <c r="J115" s="2536"/>
      <c r="K115" s="2536"/>
      <c r="L115" s="2536"/>
      <c r="M115" s="2536"/>
      <c r="N115" s="2537" t="s">
        <v>286</v>
      </c>
      <c r="Q115" s="2717"/>
      <c r="R115" s="2717"/>
      <c r="S115" s="2719"/>
      <c r="T115" s="2717"/>
      <c r="U115" s="2717"/>
      <c r="V115" s="2717"/>
    </row>
    <row r="116" spans="2:22" s="2721" customFormat="1" ht="14.1" customHeight="1" x14ac:dyDescent="0.2">
      <c r="B116" s="2711"/>
      <c r="C116" s="2524" t="s">
        <v>607</v>
      </c>
      <c r="D116" s="2725" t="s">
        <v>288</v>
      </c>
      <c r="E116" s="2739" t="s">
        <v>289</v>
      </c>
      <c r="F116" s="2739"/>
      <c r="G116" s="2727" t="s">
        <v>291</v>
      </c>
      <c r="H116" s="2740">
        <v>0.9</v>
      </c>
      <c r="I116" s="2811">
        <f>'Upah &amp; Bahan'!$I$24</f>
        <v>88300</v>
      </c>
      <c r="J116" s="2729">
        <f>ROUND(H116*I116,2)</f>
        <v>79470</v>
      </c>
      <c r="K116" s="2730"/>
      <c r="L116" s="2731">
        <f>VLOOKUP($E116,$D$1744:$G$1761,2,0)</f>
        <v>1</v>
      </c>
      <c r="M116" s="2731" t="str">
        <f>VLOOKUP($E116,$D$1744:$G$1761,3,0)</f>
        <v>WNI</v>
      </c>
      <c r="N116" s="2729">
        <f t="shared" ref="N116:N117" si="7">L116*J116</f>
        <v>79470</v>
      </c>
      <c r="Q116" s="2717"/>
      <c r="R116" s="2717"/>
      <c r="S116" s="2719"/>
      <c r="T116" s="2717"/>
      <c r="U116" s="2717"/>
      <c r="V116" s="2717"/>
    </row>
    <row r="117" spans="2:22" s="2721" customFormat="1" ht="14.1" customHeight="1" x14ac:dyDescent="0.2">
      <c r="B117" s="2711"/>
      <c r="C117" s="2528"/>
      <c r="D117" s="2733"/>
      <c r="E117" s="2739" t="s">
        <v>290</v>
      </c>
      <c r="F117" s="2739"/>
      <c r="G117" s="2727" t="s">
        <v>291</v>
      </c>
      <c r="H117" s="2727">
        <v>4.4999999999999998E-2</v>
      </c>
      <c r="I117" s="2811">
        <f>'Upah &amp; Bahan'!$I$31</f>
        <v>90000</v>
      </c>
      <c r="J117" s="2729">
        <f>ROUND(H117*I117,2)</f>
        <v>4050</v>
      </c>
      <c r="K117" s="2734"/>
      <c r="L117" s="2731">
        <f>VLOOKUP($E117,$D$1744:$G$1761,2,0)</f>
        <v>1</v>
      </c>
      <c r="M117" s="2731" t="str">
        <f>VLOOKUP($E117,$D$1744:$G$1761,3,0)</f>
        <v>WNI</v>
      </c>
      <c r="N117" s="2729">
        <f t="shared" si="7"/>
        <v>4050</v>
      </c>
      <c r="Q117" s="2717"/>
      <c r="R117" s="2717"/>
      <c r="S117" s="2719"/>
      <c r="T117" s="2717"/>
      <c r="U117" s="2717"/>
      <c r="V117" s="2717"/>
    </row>
    <row r="118" spans="2:22" s="2721" customFormat="1" ht="14.1" customHeight="1" x14ac:dyDescent="0.2">
      <c r="B118" s="2711"/>
      <c r="C118" s="2537"/>
      <c r="D118" s="2536"/>
      <c r="E118" s="2736"/>
      <c r="F118" s="2741"/>
      <c r="G118" s="2742"/>
      <c r="H118" s="2742"/>
      <c r="I118" s="2812"/>
      <c r="J118" s="2813"/>
      <c r="K118" s="2732">
        <f>SUM(J116:J117)</f>
        <v>83520</v>
      </c>
      <c r="L118" s="2731"/>
      <c r="M118" s="2732"/>
      <c r="N118" s="2729">
        <f t="shared" ref="N118:N120" si="8">L118*J118</f>
        <v>0</v>
      </c>
      <c r="Q118" s="2717"/>
      <c r="R118" s="2717"/>
      <c r="S118" s="2719"/>
      <c r="T118" s="2717"/>
      <c r="U118" s="2717"/>
      <c r="V118" s="2717"/>
    </row>
    <row r="119" spans="2:22" s="2721" customFormat="1" ht="14.1" customHeight="1" x14ac:dyDescent="0.2">
      <c r="B119" s="2711"/>
      <c r="C119" s="2524" t="s">
        <v>608</v>
      </c>
      <c r="D119" s="2725" t="s">
        <v>606</v>
      </c>
      <c r="E119" s="2739"/>
      <c r="F119" s="2739"/>
      <c r="G119" s="2727"/>
      <c r="H119" s="2740"/>
      <c r="I119" s="2814"/>
      <c r="J119" s="2729"/>
      <c r="K119" s="2730"/>
      <c r="L119" s="2731"/>
      <c r="M119" s="2732"/>
      <c r="N119" s="2729">
        <f t="shared" si="8"/>
        <v>0</v>
      </c>
      <c r="Q119" s="2717"/>
      <c r="R119" s="2717"/>
      <c r="S119" s="2719"/>
      <c r="T119" s="2717"/>
      <c r="U119" s="2717"/>
      <c r="V119" s="2717"/>
    </row>
    <row r="120" spans="2:22" s="2721" customFormat="1" ht="14.1" customHeight="1" x14ac:dyDescent="0.2">
      <c r="B120" s="2711"/>
      <c r="C120" s="2537"/>
      <c r="D120" s="2536"/>
      <c r="E120" s="2736"/>
      <c r="F120" s="2741"/>
      <c r="G120" s="2742"/>
      <c r="H120" s="2743"/>
      <c r="I120" s="2744"/>
      <c r="J120" s="2813"/>
      <c r="K120" s="2732">
        <f>SUM(J119:J119)</f>
        <v>0</v>
      </c>
      <c r="L120" s="2731"/>
      <c r="M120" s="2732"/>
      <c r="N120" s="2729">
        <f t="shared" si="8"/>
        <v>0</v>
      </c>
      <c r="Q120" s="2717"/>
      <c r="R120" s="2717"/>
      <c r="S120" s="2719"/>
      <c r="T120" s="2717"/>
      <c r="U120" s="2717"/>
      <c r="V120" s="2717"/>
    </row>
    <row r="121" spans="2:22" s="2721" customFormat="1" ht="14.1" customHeight="1" x14ac:dyDescent="0.2">
      <c r="B121" s="2711"/>
      <c r="C121" s="2727" t="s">
        <v>609</v>
      </c>
      <c r="D121" s="2738" t="s">
        <v>651</v>
      </c>
      <c r="E121" s="2741"/>
      <c r="F121" s="2741"/>
      <c r="G121" s="2742"/>
      <c r="H121" s="2743"/>
      <c r="I121" s="2744"/>
      <c r="J121" s="2745" t="s">
        <v>693</v>
      </c>
      <c r="K121" s="2732">
        <f>K118+K120</f>
        <v>83520</v>
      </c>
      <c r="L121" s="2746">
        <f>N121/K121</f>
        <v>1</v>
      </c>
      <c r="M121" s="2745"/>
      <c r="N121" s="2747">
        <f>SUM(N113:N120)</f>
        <v>83520</v>
      </c>
      <c r="Q121" s="2717"/>
      <c r="R121" s="2717"/>
      <c r="S121" s="2719"/>
      <c r="T121" s="2717"/>
      <c r="U121" s="2717"/>
      <c r="V121" s="2717"/>
    </row>
    <row r="122" spans="2:22" s="2721" customFormat="1" ht="14.1" customHeight="1" x14ac:dyDescent="0.2">
      <c r="B122" s="2711"/>
      <c r="C122" s="2537" t="s">
        <v>610</v>
      </c>
      <c r="D122" s="2738" t="s">
        <v>653</v>
      </c>
      <c r="E122" s="2741"/>
      <c r="F122" s="2748">
        <f>$F$42</f>
        <v>0.1</v>
      </c>
      <c r="G122" s="2727" t="s">
        <v>425</v>
      </c>
      <c r="H122" s="2748">
        <f>$H$42</f>
        <v>0.03</v>
      </c>
      <c r="I122" s="2749" t="s">
        <v>424</v>
      </c>
      <c r="J122" s="2732" t="s">
        <v>609</v>
      </c>
      <c r="K122" s="2750">
        <f>ROUND((K121*(F122+H122)),2)</f>
        <v>10857.6</v>
      </c>
      <c r="L122" s="2732"/>
      <c r="M122" s="2732"/>
      <c r="N122" s="2732"/>
      <c r="Q122" s="2717"/>
      <c r="R122" s="2717"/>
      <c r="S122" s="2719"/>
      <c r="T122" s="2717"/>
      <c r="U122" s="2717"/>
      <c r="V122" s="2717"/>
    </row>
    <row r="123" spans="2:22" s="2721" customFormat="1" ht="14.1" customHeight="1" x14ac:dyDescent="0.2">
      <c r="B123" s="2711"/>
      <c r="C123" s="2751" t="s">
        <v>611</v>
      </c>
      <c r="D123" s="2752" t="s">
        <v>292</v>
      </c>
      <c r="E123" s="2815"/>
      <c r="F123" s="2815"/>
      <c r="G123" s="2815"/>
      <c r="H123" s="2816"/>
      <c r="I123" s="2815"/>
      <c r="J123" s="2755" t="s">
        <v>694</v>
      </c>
      <c r="K123" s="2756">
        <f>SUM(K121:K122)</f>
        <v>94377.600000000006</v>
      </c>
      <c r="L123" s="2746"/>
      <c r="M123" s="2755"/>
      <c r="N123" s="2757"/>
      <c r="Q123" s="2717"/>
      <c r="R123" s="2717"/>
      <c r="S123" s="2719"/>
      <c r="T123" s="2717"/>
      <c r="U123" s="2717"/>
      <c r="V123" s="2717"/>
    </row>
    <row r="124" spans="2:22" s="2689" customFormat="1" x14ac:dyDescent="0.2">
      <c r="B124" s="2694"/>
      <c r="C124" s="2707"/>
      <c r="D124" s="2863"/>
      <c r="E124" s="2863"/>
      <c r="F124" s="2863"/>
      <c r="G124" s="2863"/>
      <c r="H124" s="2864"/>
      <c r="I124" s="2863"/>
      <c r="J124" s="2865"/>
      <c r="K124" s="2866"/>
      <c r="L124" s="2866"/>
      <c r="M124" s="2866"/>
      <c r="N124" s="2866"/>
      <c r="O124" s="2690"/>
      <c r="Q124" s="2717"/>
      <c r="R124" s="2717"/>
      <c r="S124" s="2719"/>
      <c r="T124" s="2717"/>
      <c r="U124" s="2717"/>
      <c r="V124" s="2717"/>
    </row>
    <row r="125" spans="2:22" s="2689" customFormat="1" x14ac:dyDescent="0.2">
      <c r="B125" s="2694"/>
      <c r="C125" s="2707"/>
      <c r="D125" s="2863"/>
      <c r="E125" s="2863"/>
      <c r="F125" s="2863"/>
      <c r="G125" s="2863"/>
      <c r="H125" s="2864"/>
      <c r="I125" s="2863"/>
      <c r="J125" s="2865"/>
      <c r="K125" s="2866"/>
      <c r="L125" s="2866"/>
      <c r="M125" s="2866"/>
      <c r="N125" s="2866"/>
      <c r="O125" s="2690"/>
      <c r="Q125" s="2717"/>
      <c r="R125" s="2717"/>
      <c r="S125" s="2719"/>
      <c r="T125" s="2717"/>
      <c r="U125" s="2717"/>
      <c r="V125" s="2717"/>
    </row>
    <row r="126" spans="2:22" s="2720" customFormat="1" ht="14.1" customHeight="1" x14ac:dyDescent="0.2">
      <c r="B126" s="2711">
        <f>B111+1</f>
        <v>7</v>
      </c>
      <c r="C126" s="2711"/>
      <c r="D126" s="2713" t="s">
        <v>1067</v>
      </c>
      <c r="E126" s="2713"/>
      <c r="F126" s="2713"/>
      <c r="G126" s="2713"/>
      <c r="H126" s="2714"/>
      <c r="I126" s="2713"/>
      <c r="J126" s="2713"/>
      <c r="K126" s="2809" t="s">
        <v>746</v>
      </c>
      <c r="L126" s="2809"/>
      <c r="M126" s="2809"/>
      <c r="N126" s="2809"/>
      <c r="O126" s="2716" t="str">
        <f>D127</f>
        <v>m3</v>
      </c>
      <c r="P126" s="2717">
        <f>K138</f>
        <v>54974.5</v>
      </c>
      <c r="Q126" s="2718">
        <f>L136</f>
        <v>1</v>
      </c>
      <c r="R126" s="2718"/>
      <c r="S126" s="2719">
        <f>N136</f>
        <v>48650</v>
      </c>
      <c r="T126" s="2515">
        <f>U126+S126</f>
        <v>54974.5</v>
      </c>
      <c r="U126" s="2719">
        <f>S126*V126</f>
        <v>6324.5</v>
      </c>
      <c r="V126" s="2718">
        <f>$F$42+$H$42</f>
        <v>0.13</v>
      </c>
    </row>
    <row r="127" spans="2:22" s="2720" customFormat="1" ht="14.1" customHeight="1" x14ac:dyDescent="0.2">
      <c r="B127" s="2711"/>
      <c r="C127" s="2711"/>
      <c r="D127" s="2713" t="s">
        <v>293</v>
      </c>
      <c r="E127" s="2713"/>
      <c r="F127" s="2713"/>
      <c r="G127" s="2713"/>
      <c r="H127" s="2714"/>
      <c r="I127" s="2713"/>
      <c r="J127" s="2713"/>
      <c r="K127" s="2721"/>
      <c r="L127" s="2721"/>
      <c r="M127" s="2721"/>
      <c r="N127" s="2721"/>
      <c r="O127" s="2716"/>
      <c r="Q127" s="2717"/>
      <c r="R127" s="2717"/>
      <c r="S127" s="2719"/>
      <c r="T127" s="2717"/>
      <c r="U127" s="2717"/>
      <c r="V127" s="2717"/>
    </row>
    <row r="128" spans="2:22" s="2720" customFormat="1" ht="14.1" customHeight="1" x14ac:dyDescent="0.2">
      <c r="B128" s="2711"/>
      <c r="C128" s="2524"/>
      <c r="D128" s="3427" t="s">
        <v>280</v>
      </c>
      <c r="E128" s="3428"/>
      <c r="F128" s="2722"/>
      <c r="G128" s="3433" t="s">
        <v>281</v>
      </c>
      <c r="H128" s="3433" t="s">
        <v>282</v>
      </c>
      <c r="I128" s="2524" t="s">
        <v>283</v>
      </c>
      <c r="J128" s="2524" t="s">
        <v>284</v>
      </c>
      <c r="K128" s="2524" t="s">
        <v>340</v>
      </c>
      <c r="L128" s="2524" t="s">
        <v>2008</v>
      </c>
      <c r="M128" s="2524" t="s">
        <v>2009</v>
      </c>
      <c r="N128" s="2524" t="s">
        <v>284</v>
      </c>
      <c r="O128" s="2716"/>
      <c r="Q128" s="2717"/>
      <c r="R128" s="2717"/>
      <c r="S128" s="2719"/>
      <c r="T128" s="2717"/>
      <c r="U128" s="2717"/>
      <c r="V128" s="2717"/>
    </row>
    <row r="129" spans="2:22" s="2720" customFormat="1" ht="14.1" customHeight="1" x14ac:dyDescent="0.2">
      <c r="B129" s="2711"/>
      <c r="C129" s="2528" t="s">
        <v>669</v>
      </c>
      <c r="D129" s="3429"/>
      <c r="E129" s="3430"/>
      <c r="F129" s="2723"/>
      <c r="G129" s="3434"/>
      <c r="H129" s="3434"/>
      <c r="I129" s="2528" t="s">
        <v>285</v>
      </c>
      <c r="J129" s="2528" t="s">
        <v>286</v>
      </c>
      <c r="K129" s="2528" t="s">
        <v>286</v>
      </c>
      <c r="L129" s="2528" t="s">
        <v>2011</v>
      </c>
      <c r="M129" s="2528"/>
      <c r="N129" s="2528" t="s">
        <v>2013</v>
      </c>
      <c r="O129" s="2716"/>
      <c r="Q129" s="2717"/>
      <c r="R129" s="2717"/>
      <c r="S129" s="2719"/>
      <c r="T129" s="2717"/>
      <c r="U129" s="2717"/>
      <c r="V129" s="2717"/>
    </row>
    <row r="130" spans="2:22" s="2720" customFormat="1" ht="14.1" customHeight="1" x14ac:dyDescent="0.2">
      <c r="B130" s="2711"/>
      <c r="C130" s="2537"/>
      <c r="D130" s="3431"/>
      <c r="E130" s="3432"/>
      <c r="F130" s="2724"/>
      <c r="G130" s="3435"/>
      <c r="H130" s="3435"/>
      <c r="I130" s="2537" t="s">
        <v>286</v>
      </c>
      <c r="J130" s="2536"/>
      <c r="K130" s="2536"/>
      <c r="L130" s="2536"/>
      <c r="M130" s="2536"/>
      <c r="N130" s="2537" t="s">
        <v>286</v>
      </c>
      <c r="O130" s="2716"/>
      <c r="Q130" s="2717"/>
      <c r="R130" s="2717"/>
      <c r="S130" s="2719"/>
      <c r="T130" s="2717"/>
      <c r="U130" s="2717"/>
      <c r="V130" s="2717"/>
    </row>
    <row r="131" spans="2:22" s="2720" customFormat="1" ht="14.1" customHeight="1" x14ac:dyDescent="0.2">
      <c r="B131" s="2711"/>
      <c r="C131" s="2524" t="s">
        <v>607</v>
      </c>
      <c r="D131" s="2725" t="s">
        <v>288</v>
      </c>
      <c r="E131" s="2739" t="s">
        <v>289</v>
      </c>
      <c r="F131" s="2739"/>
      <c r="G131" s="2727" t="s">
        <v>291</v>
      </c>
      <c r="H131" s="2740">
        <v>0.5</v>
      </c>
      <c r="I131" s="2811">
        <f>'Upah &amp; Bahan'!$I$24</f>
        <v>88300</v>
      </c>
      <c r="J131" s="2729">
        <f>ROUND(H131*I131,2)</f>
        <v>44150</v>
      </c>
      <c r="K131" s="2730"/>
      <c r="L131" s="2731">
        <f>VLOOKUP($E131,$D$1744:$G$1761,2,0)</f>
        <v>1</v>
      </c>
      <c r="M131" s="2731" t="str">
        <f>VLOOKUP($E131,$D$1744:$G$1761,3,0)</f>
        <v>WNI</v>
      </c>
      <c r="N131" s="2729">
        <f t="shared" ref="N131:N132" si="9">L131*J131</f>
        <v>44150</v>
      </c>
      <c r="O131" s="2716"/>
      <c r="Q131" s="2717"/>
      <c r="R131" s="2717"/>
      <c r="S131" s="2719"/>
      <c r="T131" s="2717"/>
      <c r="U131" s="2717"/>
      <c r="V131" s="2717"/>
    </row>
    <row r="132" spans="2:22" s="2720" customFormat="1" ht="14.1" customHeight="1" x14ac:dyDescent="0.2">
      <c r="B132" s="2711"/>
      <c r="C132" s="2528"/>
      <c r="D132" s="2733"/>
      <c r="E132" s="2739" t="s">
        <v>290</v>
      </c>
      <c r="F132" s="2739"/>
      <c r="G132" s="2727" t="s">
        <v>291</v>
      </c>
      <c r="H132" s="2740">
        <v>0.05</v>
      </c>
      <c r="I132" s="2811">
        <f>'Upah &amp; Bahan'!$I$31</f>
        <v>90000</v>
      </c>
      <c r="J132" s="2729">
        <f>ROUND(H132*I132,2)</f>
        <v>4500</v>
      </c>
      <c r="K132" s="2734"/>
      <c r="L132" s="2731">
        <f>VLOOKUP($E132,$D$1744:$G$1761,2,0)</f>
        <v>1</v>
      </c>
      <c r="M132" s="2731" t="str">
        <f>VLOOKUP($E132,$D$1744:$G$1761,3,0)</f>
        <v>WNI</v>
      </c>
      <c r="N132" s="2729">
        <f t="shared" si="9"/>
        <v>4500</v>
      </c>
      <c r="O132" s="2716"/>
      <c r="Q132" s="2717"/>
      <c r="R132" s="2717"/>
      <c r="S132" s="2719"/>
      <c r="T132" s="2717"/>
      <c r="U132" s="2717"/>
      <c r="V132" s="2717"/>
    </row>
    <row r="133" spans="2:22" s="2720" customFormat="1" ht="14.1" customHeight="1" x14ac:dyDescent="0.2">
      <c r="B133" s="2711"/>
      <c r="C133" s="2537"/>
      <c r="D133" s="2536"/>
      <c r="E133" s="2736"/>
      <c r="F133" s="2741"/>
      <c r="G133" s="2742"/>
      <c r="H133" s="2742"/>
      <c r="I133" s="2812"/>
      <c r="J133" s="2813"/>
      <c r="K133" s="2732">
        <f>SUM(J131:J132)</f>
        <v>48650</v>
      </c>
      <c r="L133" s="2731"/>
      <c r="M133" s="2732"/>
      <c r="N133" s="2729">
        <f t="shared" ref="N133:N135" si="10">L133*J133</f>
        <v>0</v>
      </c>
      <c r="O133" s="2716"/>
      <c r="Q133" s="2717"/>
      <c r="R133" s="2717"/>
      <c r="S133" s="2719"/>
      <c r="T133" s="2717"/>
      <c r="U133" s="2717"/>
      <c r="V133" s="2717"/>
    </row>
    <row r="134" spans="2:22" s="2720" customFormat="1" ht="14.1" customHeight="1" x14ac:dyDescent="0.2">
      <c r="B134" s="2711"/>
      <c r="C134" s="2524" t="s">
        <v>608</v>
      </c>
      <c r="D134" s="2725" t="s">
        <v>606</v>
      </c>
      <c r="E134" s="2739"/>
      <c r="F134" s="2739"/>
      <c r="G134" s="2727"/>
      <c r="H134" s="2740"/>
      <c r="I134" s="2814"/>
      <c r="J134" s="2729"/>
      <c r="K134" s="2730"/>
      <c r="L134" s="2731"/>
      <c r="M134" s="2732"/>
      <c r="N134" s="2729">
        <f t="shared" si="10"/>
        <v>0</v>
      </c>
      <c r="O134" s="2716"/>
      <c r="Q134" s="2717"/>
      <c r="R134" s="2717"/>
      <c r="S134" s="2719"/>
      <c r="T134" s="2717"/>
      <c r="U134" s="2717"/>
      <c r="V134" s="2717"/>
    </row>
    <row r="135" spans="2:22" s="2720" customFormat="1" ht="14.1" customHeight="1" x14ac:dyDescent="0.2">
      <c r="B135" s="2711"/>
      <c r="C135" s="2537"/>
      <c r="D135" s="2536"/>
      <c r="E135" s="2736"/>
      <c r="F135" s="2741"/>
      <c r="G135" s="2742"/>
      <c r="H135" s="2743"/>
      <c r="I135" s="2744"/>
      <c r="J135" s="2813"/>
      <c r="K135" s="2732">
        <f>SUM(J134:J134)</f>
        <v>0</v>
      </c>
      <c r="L135" s="2731"/>
      <c r="M135" s="2732"/>
      <c r="N135" s="2729">
        <f t="shared" si="10"/>
        <v>0</v>
      </c>
      <c r="O135" s="2716"/>
      <c r="Q135" s="2717"/>
      <c r="R135" s="2717"/>
      <c r="S135" s="2719"/>
      <c r="T135" s="2717"/>
      <c r="U135" s="2717"/>
      <c r="V135" s="2717"/>
    </row>
    <row r="136" spans="2:22" s="2720" customFormat="1" ht="14.1" customHeight="1" x14ac:dyDescent="0.2">
      <c r="B136" s="2711"/>
      <c r="C136" s="2727" t="s">
        <v>609</v>
      </c>
      <c r="D136" s="2738" t="s">
        <v>651</v>
      </c>
      <c r="E136" s="2741"/>
      <c r="F136" s="2741"/>
      <c r="G136" s="2742"/>
      <c r="H136" s="2743"/>
      <c r="I136" s="2744"/>
      <c r="J136" s="2745" t="s">
        <v>693</v>
      </c>
      <c r="K136" s="2732">
        <f>K133+K135</f>
        <v>48650</v>
      </c>
      <c r="L136" s="2746">
        <f>N136/K136</f>
        <v>1</v>
      </c>
      <c r="M136" s="2745"/>
      <c r="N136" s="2747">
        <f>SUM(N128:N135)</f>
        <v>48650</v>
      </c>
      <c r="O136" s="2716"/>
      <c r="Q136" s="2717"/>
      <c r="R136" s="2717"/>
      <c r="S136" s="2719"/>
      <c r="T136" s="2717"/>
      <c r="U136" s="2717"/>
      <c r="V136" s="2717"/>
    </row>
    <row r="137" spans="2:22" s="2720" customFormat="1" ht="14.1" customHeight="1" x14ac:dyDescent="0.2">
      <c r="B137" s="2711"/>
      <c r="C137" s="2537" t="s">
        <v>610</v>
      </c>
      <c r="D137" s="2738" t="s">
        <v>653</v>
      </c>
      <c r="E137" s="2741"/>
      <c r="F137" s="2748">
        <f>$F$42</f>
        <v>0.1</v>
      </c>
      <c r="G137" s="2727" t="s">
        <v>425</v>
      </c>
      <c r="H137" s="2748">
        <f>$H$42</f>
        <v>0.03</v>
      </c>
      <c r="I137" s="2749" t="s">
        <v>424</v>
      </c>
      <c r="J137" s="2732" t="s">
        <v>609</v>
      </c>
      <c r="K137" s="2750">
        <f>ROUND((K136*(F137+H137)),2)</f>
        <v>6324.5</v>
      </c>
      <c r="L137" s="2732"/>
      <c r="M137" s="2732"/>
      <c r="N137" s="2732"/>
      <c r="O137" s="2716"/>
      <c r="Q137" s="2717"/>
      <c r="R137" s="2717"/>
      <c r="S137" s="2719"/>
      <c r="T137" s="2717"/>
      <c r="U137" s="2717"/>
      <c r="V137" s="2717"/>
    </row>
    <row r="138" spans="2:22" s="2720" customFormat="1" ht="14.1" customHeight="1" x14ac:dyDescent="0.2">
      <c r="B138" s="2711"/>
      <c r="C138" s="2751" t="s">
        <v>611</v>
      </c>
      <c r="D138" s="2752" t="s">
        <v>292</v>
      </c>
      <c r="E138" s="2815"/>
      <c r="F138" s="2815"/>
      <c r="G138" s="2815"/>
      <c r="H138" s="2816"/>
      <c r="I138" s="2815"/>
      <c r="J138" s="2755" t="s">
        <v>694</v>
      </c>
      <c r="K138" s="2756">
        <f>SUM(K136:K137)</f>
        <v>54974.5</v>
      </c>
      <c r="L138" s="2746"/>
      <c r="M138" s="2755"/>
      <c r="N138" s="2757"/>
      <c r="O138" s="2716"/>
      <c r="Q138" s="2717"/>
      <c r="R138" s="2717"/>
      <c r="S138" s="2719"/>
      <c r="T138" s="2717"/>
      <c r="U138" s="2717"/>
      <c r="V138" s="2717"/>
    </row>
    <row r="139" spans="2:22" s="2689" customFormat="1" x14ac:dyDescent="0.2">
      <c r="B139" s="2694"/>
      <c r="C139" s="2707"/>
      <c r="D139" s="2863"/>
      <c r="E139" s="2863"/>
      <c r="F139" s="2863"/>
      <c r="G139" s="2863"/>
      <c r="H139" s="2864"/>
      <c r="I139" s="2863"/>
      <c r="J139" s="2865"/>
      <c r="K139" s="2866"/>
      <c r="L139" s="2866"/>
      <c r="M139" s="2866"/>
      <c r="N139" s="2866"/>
      <c r="O139" s="2690"/>
      <c r="Q139" s="2717"/>
      <c r="R139" s="2717"/>
      <c r="S139" s="2719"/>
      <c r="T139" s="2717"/>
      <c r="U139" s="2717"/>
      <c r="V139" s="2717"/>
    </row>
    <row r="140" spans="2:22" s="2720" customFormat="1" ht="14.1" customHeight="1" x14ac:dyDescent="0.2">
      <c r="B140" s="2711">
        <f>B126+1</f>
        <v>8</v>
      </c>
      <c r="C140" s="2711"/>
      <c r="D140" s="2713" t="s">
        <v>1499</v>
      </c>
      <c r="E140" s="2713"/>
      <c r="F140" s="2713"/>
      <c r="G140" s="2713"/>
      <c r="H140" s="2714"/>
      <c r="I140" s="2713"/>
      <c r="J140" s="2713"/>
      <c r="K140" s="2809" t="s">
        <v>747</v>
      </c>
      <c r="L140" s="2809"/>
      <c r="M140" s="2809"/>
      <c r="N140" s="2809"/>
      <c r="O140" s="2716" t="str">
        <f>D141</f>
        <v>m3</v>
      </c>
      <c r="P140" s="2717">
        <f>K152</f>
        <v>54974.5</v>
      </c>
      <c r="Q140" s="2718">
        <f>L150</f>
        <v>1</v>
      </c>
      <c r="R140" s="2718"/>
      <c r="S140" s="2719">
        <f>N150</f>
        <v>48650</v>
      </c>
      <c r="T140" s="2515">
        <f>U140+S140</f>
        <v>54974.5</v>
      </c>
      <c r="U140" s="2719">
        <f>S140*V140</f>
        <v>6324.5</v>
      </c>
      <c r="V140" s="2718">
        <f>$F$42+$H$42</f>
        <v>0.13</v>
      </c>
    </row>
    <row r="141" spans="2:22" s="2720" customFormat="1" ht="14.1" customHeight="1" x14ac:dyDescent="0.2">
      <c r="B141" s="2711"/>
      <c r="C141" s="2711"/>
      <c r="D141" s="2721" t="s">
        <v>293</v>
      </c>
      <c r="E141" s="2721"/>
      <c r="F141" s="2721"/>
      <c r="G141" s="2721"/>
      <c r="H141" s="2711"/>
      <c r="I141" s="2721"/>
      <c r="J141" s="2721"/>
      <c r="K141" s="2721"/>
      <c r="L141" s="2721"/>
      <c r="M141" s="2721"/>
      <c r="N141" s="2721"/>
      <c r="O141" s="2716"/>
      <c r="Q141" s="2717"/>
      <c r="R141" s="2717"/>
      <c r="S141" s="2719"/>
      <c r="T141" s="2717"/>
      <c r="U141" s="2717"/>
      <c r="V141" s="2717"/>
    </row>
    <row r="142" spans="2:22" s="2720" customFormat="1" ht="14.1" customHeight="1" x14ac:dyDescent="0.2">
      <c r="B142" s="2711"/>
      <c r="C142" s="2524"/>
      <c r="D142" s="3427" t="s">
        <v>280</v>
      </c>
      <c r="E142" s="3428"/>
      <c r="F142" s="2722"/>
      <c r="G142" s="3433" t="s">
        <v>281</v>
      </c>
      <c r="H142" s="3433" t="s">
        <v>282</v>
      </c>
      <c r="I142" s="2524" t="s">
        <v>283</v>
      </c>
      <c r="J142" s="2524" t="s">
        <v>284</v>
      </c>
      <c r="K142" s="2524" t="s">
        <v>340</v>
      </c>
      <c r="L142" s="2524" t="s">
        <v>2008</v>
      </c>
      <c r="M142" s="2524" t="s">
        <v>2009</v>
      </c>
      <c r="N142" s="2524" t="s">
        <v>284</v>
      </c>
      <c r="O142" s="2716"/>
      <c r="Q142" s="2717"/>
      <c r="R142" s="2717"/>
      <c r="S142" s="2719"/>
      <c r="T142" s="2717"/>
      <c r="U142" s="2717"/>
      <c r="V142" s="2717"/>
    </row>
    <row r="143" spans="2:22" s="2720" customFormat="1" ht="14.1" customHeight="1" x14ac:dyDescent="0.2">
      <c r="B143" s="2711"/>
      <c r="C143" s="2528" t="s">
        <v>669</v>
      </c>
      <c r="D143" s="3429"/>
      <c r="E143" s="3430"/>
      <c r="F143" s="2723"/>
      <c r="G143" s="3434"/>
      <c r="H143" s="3434"/>
      <c r="I143" s="2528" t="s">
        <v>285</v>
      </c>
      <c r="J143" s="2528" t="s">
        <v>286</v>
      </c>
      <c r="K143" s="2528" t="s">
        <v>286</v>
      </c>
      <c r="L143" s="2528" t="s">
        <v>2011</v>
      </c>
      <c r="M143" s="2528"/>
      <c r="N143" s="2528" t="s">
        <v>2013</v>
      </c>
      <c r="O143" s="2716"/>
      <c r="Q143" s="2717"/>
      <c r="R143" s="2717"/>
      <c r="S143" s="2719"/>
      <c r="T143" s="2717"/>
      <c r="U143" s="2717"/>
      <c r="V143" s="2717"/>
    </row>
    <row r="144" spans="2:22" s="2720" customFormat="1" ht="14.1" customHeight="1" x14ac:dyDescent="0.2">
      <c r="B144" s="2711"/>
      <c r="C144" s="2537"/>
      <c r="D144" s="3431"/>
      <c r="E144" s="3432"/>
      <c r="F144" s="2724"/>
      <c r="G144" s="3435"/>
      <c r="H144" s="3435"/>
      <c r="I144" s="2537" t="s">
        <v>286</v>
      </c>
      <c r="J144" s="2536"/>
      <c r="K144" s="2536"/>
      <c r="L144" s="2536"/>
      <c r="M144" s="2536"/>
      <c r="N144" s="2537" t="s">
        <v>286</v>
      </c>
      <c r="O144" s="2716"/>
      <c r="Q144" s="2717"/>
      <c r="R144" s="2717"/>
      <c r="S144" s="2719"/>
      <c r="T144" s="2717"/>
      <c r="U144" s="2717"/>
      <c r="V144" s="2717"/>
    </row>
    <row r="145" spans="2:22" s="2720" customFormat="1" ht="14.1" customHeight="1" x14ac:dyDescent="0.2">
      <c r="B145" s="2711"/>
      <c r="C145" s="2524" t="s">
        <v>607</v>
      </c>
      <c r="D145" s="2725" t="s">
        <v>288</v>
      </c>
      <c r="E145" s="2739" t="s">
        <v>289</v>
      </c>
      <c r="F145" s="2739"/>
      <c r="G145" s="2727" t="s">
        <v>291</v>
      </c>
      <c r="H145" s="2740">
        <v>0.5</v>
      </c>
      <c r="I145" s="2811">
        <f>'Upah &amp; Bahan'!$I$24</f>
        <v>88300</v>
      </c>
      <c r="J145" s="2729">
        <f>ROUND(H145*I145,2)</f>
        <v>44150</v>
      </c>
      <c r="K145" s="2730"/>
      <c r="L145" s="2731">
        <f>VLOOKUP($E145,$D$1744:$G$1761,2,0)</f>
        <v>1</v>
      </c>
      <c r="M145" s="2731" t="str">
        <f>VLOOKUP($E145,$D$1744:$G$1761,3,0)</f>
        <v>WNI</v>
      </c>
      <c r="N145" s="2729">
        <f t="shared" ref="N145:N146" si="11">L145*J145</f>
        <v>44150</v>
      </c>
      <c r="O145" s="2716"/>
      <c r="Q145" s="2717"/>
      <c r="R145" s="2717"/>
      <c r="S145" s="2719"/>
      <c r="T145" s="2717"/>
      <c r="U145" s="2717"/>
      <c r="V145" s="2717"/>
    </row>
    <row r="146" spans="2:22" s="2720" customFormat="1" ht="14.1" customHeight="1" x14ac:dyDescent="0.2">
      <c r="B146" s="2711"/>
      <c r="C146" s="2528"/>
      <c r="D146" s="2733"/>
      <c r="E146" s="2739" t="s">
        <v>290</v>
      </c>
      <c r="F146" s="2739"/>
      <c r="G146" s="2727" t="s">
        <v>291</v>
      </c>
      <c r="H146" s="2740">
        <v>0.05</v>
      </c>
      <c r="I146" s="2811">
        <f>'Upah &amp; Bahan'!$I$31</f>
        <v>90000</v>
      </c>
      <c r="J146" s="2729">
        <f>ROUND(H146*I146,2)</f>
        <v>4500</v>
      </c>
      <c r="K146" s="2734"/>
      <c r="L146" s="2731">
        <f>VLOOKUP($E146,$D$1744:$G$1761,2,0)</f>
        <v>1</v>
      </c>
      <c r="M146" s="2731" t="str">
        <f>VLOOKUP($E146,$D$1744:$G$1761,3,0)</f>
        <v>WNI</v>
      </c>
      <c r="N146" s="2729">
        <f t="shared" si="11"/>
        <v>4500</v>
      </c>
      <c r="O146" s="2716"/>
      <c r="Q146" s="2717"/>
      <c r="R146" s="2717"/>
      <c r="S146" s="2719"/>
      <c r="T146" s="2717"/>
      <c r="U146" s="2717"/>
      <c r="V146" s="2717"/>
    </row>
    <row r="147" spans="2:22" s="2720" customFormat="1" ht="14.1" customHeight="1" x14ac:dyDescent="0.2">
      <c r="B147" s="2711"/>
      <c r="C147" s="2537"/>
      <c r="D147" s="2536"/>
      <c r="E147" s="2736"/>
      <c r="F147" s="2741"/>
      <c r="G147" s="2742"/>
      <c r="H147" s="2743"/>
      <c r="I147" s="2812"/>
      <c r="J147" s="2813"/>
      <c r="K147" s="2732">
        <f>SUM(J145:J146)</f>
        <v>48650</v>
      </c>
      <c r="L147" s="2731"/>
      <c r="M147" s="2732"/>
      <c r="N147" s="2729">
        <f t="shared" ref="N147:N149" si="12">L147*J147</f>
        <v>0</v>
      </c>
      <c r="O147" s="2716"/>
      <c r="Q147" s="2717"/>
      <c r="R147" s="2717"/>
      <c r="S147" s="2719"/>
      <c r="T147" s="2717"/>
      <c r="U147" s="2717"/>
      <c r="V147" s="2717"/>
    </row>
    <row r="148" spans="2:22" s="2720" customFormat="1" ht="14.1" customHeight="1" x14ac:dyDescent="0.2">
      <c r="B148" s="2711"/>
      <c r="C148" s="2524" t="s">
        <v>608</v>
      </c>
      <c r="D148" s="2725" t="s">
        <v>606</v>
      </c>
      <c r="E148" s="2739"/>
      <c r="F148" s="2739"/>
      <c r="G148" s="2727"/>
      <c r="H148" s="2740"/>
      <c r="I148" s="2814"/>
      <c r="J148" s="2729"/>
      <c r="K148" s="2730"/>
      <c r="L148" s="2731"/>
      <c r="M148" s="2732"/>
      <c r="N148" s="2729">
        <f t="shared" si="12"/>
        <v>0</v>
      </c>
      <c r="O148" s="2716"/>
      <c r="Q148" s="2717"/>
      <c r="R148" s="2717"/>
      <c r="S148" s="2719"/>
      <c r="T148" s="2717"/>
      <c r="U148" s="2717"/>
      <c r="V148" s="2717"/>
    </row>
    <row r="149" spans="2:22" s="2720" customFormat="1" ht="14.1" customHeight="1" x14ac:dyDescent="0.2">
      <c r="B149" s="2711"/>
      <c r="C149" s="2537"/>
      <c r="D149" s="2536"/>
      <c r="E149" s="2736"/>
      <c r="F149" s="2741"/>
      <c r="G149" s="2742"/>
      <c r="H149" s="2743"/>
      <c r="I149" s="2744"/>
      <c r="J149" s="2813"/>
      <c r="K149" s="2732">
        <f>SUM(J148:J148)</f>
        <v>0</v>
      </c>
      <c r="L149" s="2731"/>
      <c r="M149" s="2732"/>
      <c r="N149" s="2729">
        <f t="shared" si="12"/>
        <v>0</v>
      </c>
      <c r="O149" s="2716"/>
      <c r="Q149" s="2717"/>
      <c r="R149" s="2717"/>
      <c r="S149" s="2719"/>
      <c r="T149" s="2717"/>
      <c r="U149" s="2717"/>
      <c r="V149" s="2717"/>
    </row>
    <row r="150" spans="2:22" s="2720" customFormat="1" ht="14.1" customHeight="1" x14ac:dyDescent="0.2">
      <c r="B150" s="2711"/>
      <c r="C150" s="2727" t="s">
        <v>609</v>
      </c>
      <c r="D150" s="2738" t="s">
        <v>651</v>
      </c>
      <c r="E150" s="2741"/>
      <c r="F150" s="2741"/>
      <c r="G150" s="2742"/>
      <c r="H150" s="2743"/>
      <c r="I150" s="2744"/>
      <c r="J150" s="2745" t="s">
        <v>693</v>
      </c>
      <c r="K150" s="2732">
        <f>K147+K149</f>
        <v>48650</v>
      </c>
      <c r="L150" s="2746">
        <f>N150/K150</f>
        <v>1</v>
      </c>
      <c r="M150" s="2745"/>
      <c r="N150" s="2747">
        <f>SUM(N142:N149)</f>
        <v>48650</v>
      </c>
      <c r="O150" s="2716"/>
      <c r="Q150" s="2717"/>
      <c r="R150" s="2717"/>
      <c r="S150" s="2719"/>
      <c r="T150" s="2717"/>
      <c r="U150" s="2717"/>
      <c r="V150" s="2717"/>
    </row>
    <row r="151" spans="2:22" s="2720" customFormat="1" ht="14.1" customHeight="1" x14ac:dyDescent="0.2">
      <c r="B151" s="2711"/>
      <c r="C151" s="2537" t="s">
        <v>610</v>
      </c>
      <c r="D151" s="2738" t="s">
        <v>653</v>
      </c>
      <c r="E151" s="2741"/>
      <c r="F151" s="2748">
        <f>$F$42</f>
        <v>0.1</v>
      </c>
      <c r="G151" s="2727" t="s">
        <v>425</v>
      </c>
      <c r="H151" s="2748">
        <f>$H$42</f>
        <v>0.03</v>
      </c>
      <c r="I151" s="2749" t="s">
        <v>424</v>
      </c>
      <c r="J151" s="2732" t="s">
        <v>609</v>
      </c>
      <c r="K151" s="2750">
        <f>ROUND((K150*(F151+H151)),2)</f>
        <v>6324.5</v>
      </c>
      <c r="L151" s="2732"/>
      <c r="M151" s="2732"/>
      <c r="N151" s="2732"/>
      <c r="O151" s="2716"/>
      <c r="Q151" s="2717"/>
      <c r="R151" s="2717"/>
      <c r="S151" s="2719"/>
      <c r="T151" s="2717"/>
      <c r="U151" s="2717"/>
      <c r="V151" s="2717"/>
    </row>
    <row r="152" spans="2:22" s="2720" customFormat="1" ht="14.1" customHeight="1" x14ac:dyDescent="0.2">
      <c r="B152" s="2711"/>
      <c r="C152" s="2751" t="s">
        <v>611</v>
      </c>
      <c r="D152" s="2752" t="s">
        <v>292</v>
      </c>
      <c r="E152" s="2815"/>
      <c r="F152" s="2815"/>
      <c r="G152" s="2815"/>
      <c r="H152" s="2816"/>
      <c r="I152" s="2815"/>
      <c r="J152" s="2755" t="s">
        <v>694</v>
      </c>
      <c r="K152" s="2756">
        <f>SUM(K150:K151)</f>
        <v>54974.5</v>
      </c>
      <c r="L152" s="2746"/>
      <c r="M152" s="2755"/>
      <c r="N152" s="2757"/>
      <c r="O152" s="2716"/>
      <c r="Q152" s="2717"/>
      <c r="R152" s="2717"/>
      <c r="S152" s="2719"/>
      <c r="T152" s="2717"/>
      <c r="U152" s="2717"/>
      <c r="V152" s="2717"/>
    </row>
    <row r="153" spans="2:22" s="2720" customFormat="1" ht="14.1" customHeight="1" x14ac:dyDescent="0.2">
      <c r="B153" s="2867"/>
      <c r="C153" s="2867"/>
      <c r="E153" s="2868"/>
      <c r="F153" s="2868"/>
      <c r="G153" s="2868"/>
      <c r="H153" s="2869"/>
      <c r="I153" s="2868"/>
      <c r="J153" s="2869"/>
      <c r="K153" s="2868"/>
      <c r="L153" s="2868"/>
      <c r="M153" s="2868"/>
      <c r="N153" s="2868"/>
      <c r="O153" s="2716"/>
      <c r="Q153" s="2717"/>
      <c r="R153" s="2717"/>
      <c r="S153" s="2719"/>
      <c r="T153" s="2717"/>
      <c r="U153" s="2717"/>
      <c r="V153" s="2717"/>
    </row>
    <row r="154" spans="2:22" s="2713" customFormat="1" ht="14.1" customHeight="1" x14ac:dyDescent="0.2">
      <c r="B154" s="2711">
        <f>B140+1</f>
        <v>9</v>
      </c>
      <c r="C154" s="2711"/>
      <c r="D154" s="2713" t="s">
        <v>613</v>
      </c>
      <c r="H154" s="2714"/>
      <c r="K154" s="2715" t="s">
        <v>720</v>
      </c>
      <c r="L154" s="2715"/>
      <c r="M154" s="2715"/>
      <c r="N154" s="2715"/>
      <c r="O154" s="2713" t="str">
        <f>D155</f>
        <v>m3</v>
      </c>
      <c r="P154" s="2870">
        <f>K168</f>
        <v>93326.7</v>
      </c>
      <c r="Q154" s="2718">
        <f>L166</f>
        <v>1</v>
      </c>
      <c r="R154" s="2718"/>
      <c r="S154" s="2719">
        <f>N166</f>
        <v>82590</v>
      </c>
      <c r="T154" s="2515">
        <f>U154+S154</f>
        <v>93326.7</v>
      </c>
      <c r="U154" s="2719">
        <f>S154*V154</f>
        <v>10736.7</v>
      </c>
      <c r="V154" s="2718">
        <f>$F$42+$H$42</f>
        <v>0.13</v>
      </c>
    </row>
    <row r="155" spans="2:22" s="2713" customFormat="1" ht="14.1" customHeight="1" x14ac:dyDescent="0.2">
      <c r="B155" s="2711"/>
      <c r="C155" s="2711"/>
      <c r="D155" s="2721" t="s">
        <v>293</v>
      </c>
      <c r="E155" s="2721"/>
      <c r="F155" s="2721"/>
      <c r="G155" s="2721"/>
      <c r="H155" s="2711"/>
      <c r="I155" s="2721"/>
      <c r="J155" s="2721"/>
      <c r="K155" s="2721"/>
      <c r="L155" s="2721"/>
      <c r="M155" s="2721"/>
      <c r="N155" s="2721"/>
      <c r="Q155" s="2717"/>
      <c r="R155" s="2717"/>
      <c r="S155" s="2719"/>
      <c r="T155" s="2717"/>
      <c r="U155" s="2717"/>
      <c r="V155" s="2717"/>
    </row>
    <row r="156" spans="2:22" s="2713" customFormat="1" ht="14.1" customHeight="1" x14ac:dyDescent="0.2">
      <c r="B156" s="2711"/>
      <c r="C156" s="2524"/>
      <c r="D156" s="3427" t="s">
        <v>280</v>
      </c>
      <c r="E156" s="3428"/>
      <c r="F156" s="2722"/>
      <c r="G156" s="3433" t="s">
        <v>281</v>
      </c>
      <c r="H156" s="3433" t="s">
        <v>282</v>
      </c>
      <c r="I156" s="2524" t="s">
        <v>283</v>
      </c>
      <c r="J156" s="2524" t="s">
        <v>284</v>
      </c>
      <c r="K156" s="2524" t="s">
        <v>340</v>
      </c>
      <c r="L156" s="2524" t="s">
        <v>2008</v>
      </c>
      <c r="M156" s="2524" t="s">
        <v>2009</v>
      </c>
      <c r="N156" s="2524" t="s">
        <v>284</v>
      </c>
      <c r="Q156" s="2717"/>
      <c r="R156" s="2717"/>
      <c r="S156" s="2719"/>
      <c r="T156" s="2717"/>
      <c r="U156" s="2717"/>
      <c r="V156" s="2717"/>
    </row>
    <row r="157" spans="2:22" s="2713" customFormat="1" ht="14.1" customHeight="1" x14ac:dyDescent="0.2">
      <c r="B157" s="2711"/>
      <c r="C157" s="2528" t="s">
        <v>669</v>
      </c>
      <c r="D157" s="3429"/>
      <c r="E157" s="3430"/>
      <c r="F157" s="2723"/>
      <c r="G157" s="3434"/>
      <c r="H157" s="3434"/>
      <c r="I157" s="2528" t="s">
        <v>285</v>
      </c>
      <c r="J157" s="2528" t="s">
        <v>286</v>
      </c>
      <c r="K157" s="2528" t="s">
        <v>286</v>
      </c>
      <c r="L157" s="2528" t="s">
        <v>2011</v>
      </c>
      <c r="M157" s="2528"/>
      <c r="N157" s="2528" t="s">
        <v>2013</v>
      </c>
      <c r="Q157" s="2717"/>
      <c r="R157" s="2717"/>
      <c r="S157" s="2719"/>
      <c r="T157" s="2717"/>
      <c r="U157" s="2717"/>
      <c r="V157" s="2717"/>
    </row>
    <row r="158" spans="2:22" s="2713" customFormat="1" ht="14.1" customHeight="1" x14ac:dyDescent="0.2">
      <c r="B158" s="2711"/>
      <c r="C158" s="2537"/>
      <c r="D158" s="3431"/>
      <c r="E158" s="3432"/>
      <c r="F158" s="2724"/>
      <c r="G158" s="3435"/>
      <c r="H158" s="3435"/>
      <c r="I158" s="2537" t="s">
        <v>286</v>
      </c>
      <c r="J158" s="2536"/>
      <c r="K158" s="2536"/>
      <c r="L158" s="2536"/>
      <c r="M158" s="2536"/>
      <c r="N158" s="2537" t="s">
        <v>286</v>
      </c>
      <c r="Q158" s="2717"/>
      <c r="R158" s="2717"/>
      <c r="S158" s="2719"/>
      <c r="T158" s="2717"/>
      <c r="U158" s="2717"/>
      <c r="V158" s="2717"/>
    </row>
    <row r="159" spans="2:22" s="2713" customFormat="1" ht="14.1" customHeight="1" x14ac:dyDescent="0.2">
      <c r="B159" s="2711"/>
      <c r="C159" s="2524" t="s">
        <v>607</v>
      </c>
      <c r="D159" s="2871" t="s">
        <v>287</v>
      </c>
      <c r="E159" s="2872" t="s">
        <v>612</v>
      </c>
      <c r="F159" s="2872"/>
      <c r="G159" s="2537" t="s">
        <v>293</v>
      </c>
      <c r="H159" s="2873">
        <v>1.2</v>
      </c>
      <c r="I159" s="2874">
        <f>'Upah &amp; Bahan'!$I$148</f>
        <v>46000</v>
      </c>
      <c r="J159" s="2729">
        <f>ROUND(H159*I159,2)</f>
        <v>55200</v>
      </c>
      <c r="K159" s="2730"/>
      <c r="L159" s="2731">
        <v>1</v>
      </c>
      <c r="M159" s="2732"/>
      <c r="N159" s="2729">
        <f t="shared" ref="N159:N165" si="13">L159*J159</f>
        <v>55200</v>
      </c>
      <c r="Q159" s="2717"/>
      <c r="R159" s="2717"/>
      <c r="S159" s="2719"/>
      <c r="T159" s="2717"/>
      <c r="U159" s="2717"/>
      <c r="V159" s="2717"/>
    </row>
    <row r="160" spans="2:22" s="2713" customFormat="1" ht="14.1" customHeight="1" x14ac:dyDescent="0.2">
      <c r="B160" s="2711"/>
      <c r="C160" s="2528"/>
      <c r="D160" s="2875"/>
      <c r="E160" s="2876"/>
      <c r="F160" s="2877"/>
      <c r="G160" s="2742"/>
      <c r="H160" s="2743"/>
      <c r="I160" s="2744"/>
      <c r="J160" s="2813"/>
      <c r="K160" s="2732">
        <f>SUM(J159)</f>
        <v>55200</v>
      </c>
      <c r="L160" s="2731"/>
      <c r="M160" s="2732"/>
      <c r="N160" s="2729">
        <f t="shared" si="13"/>
        <v>0</v>
      </c>
      <c r="Q160" s="2717"/>
      <c r="R160" s="2717"/>
      <c r="S160" s="2719"/>
      <c r="T160" s="2717"/>
      <c r="U160" s="2717"/>
      <c r="V160" s="2717"/>
    </row>
    <row r="161" spans="2:22" s="2713" customFormat="1" ht="14.1" customHeight="1" x14ac:dyDescent="0.2">
      <c r="B161" s="2711"/>
      <c r="C161" s="2524" t="s">
        <v>608</v>
      </c>
      <c r="D161" s="2725" t="s">
        <v>288</v>
      </c>
      <c r="E161" s="2739" t="s">
        <v>289</v>
      </c>
      <c r="F161" s="2739"/>
      <c r="G161" s="2727" t="s">
        <v>291</v>
      </c>
      <c r="H161" s="2740">
        <v>0.3</v>
      </c>
      <c r="I161" s="2811">
        <f>'Upah &amp; Bahan'!$I$24</f>
        <v>88300</v>
      </c>
      <c r="J161" s="2729">
        <f>ROUND(H161*I161,2)</f>
        <v>26490</v>
      </c>
      <c r="K161" s="2734"/>
      <c r="L161" s="2731">
        <f>VLOOKUP($E161,$D$1744:$G$1761,2,0)</f>
        <v>1</v>
      </c>
      <c r="M161" s="2731" t="str">
        <f>VLOOKUP($E161,$D$1744:$G$1761,3,0)</f>
        <v>WNI</v>
      </c>
      <c r="N161" s="2729">
        <f t="shared" si="13"/>
        <v>26490</v>
      </c>
      <c r="Q161" s="2717"/>
      <c r="R161" s="2717"/>
      <c r="S161" s="2719"/>
      <c r="T161" s="2717"/>
      <c r="U161" s="2717"/>
      <c r="V161" s="2717"/>
    </row>
    <row r="162" spans="2:22" s="2713" customFormat="1" ht="14.1" customHeight="1" x14ac:dyDescent="0.2">
      <c r="B162" s="2711"/>
      <c r="C162" s="2528"/>
      <c r="D162" s="2733"/>
      <c r="E162" s="2739" t="s">
        <v>290</v>
      </c>
      <c r="F162" s="2739"/>
      <c r="G162" s="2727" t="s">
        <v>291</v>
      </c>
      <c r="H162" s="2740">
        <v>0.01</v>
      </c>
      <c r="I162" s="2811">
        <f>'Upah &amp; Bahan'!$I$31</f>
        <v>90000</v>
      </c>
      <c r="J162" s="2729">
        <f>ROUND(H162*I162,2)</f>
        <v>900</v>
      </c>
      <c r="K162" s="2732"/>
      <c r="L162" s="2731">
        <f>VLOOKUP($E162,$D$1744:$G$1761,2,0)</f>
        <v>1</v>
      </c>
      <c r="M162" s="2731" t="str">
        <f>VLOOKUP($E162,$D$1744:$G$1761,3,0)</f>
        <v>WNI</v>
      </c>
      <c r="N162" s="2729">
        <f t="shared" si="13"/>
        <v>900</v>
      </c>
      <c r="Q162" s="2717"/>
      <c r="R162" s="2717"/>
      <c r="S162" s="2719"/>
      <c r="T162" s="2717"/>
      <c r="U162" s="2717"/>
      <c r="V162" s="2717"/>
    </row>
    <row r="163" spans="2:22" s="2713" customFormat="1" ht="14.1" customHeight="1" x14ac:dyDescent="0.2">
      <c r="B163" s="2711"/>
      <c r="C163" s="2537"/>
      <c r="D163" s="2536"/>
      <c r="E163" s="2736"/>
      <c r="F163" s="2741"/>
      <c r="G163" s="2742"/>
      <c r="H163" s="2743"/>
      <c r="I163" s="2812"/>
      <c r="J163" s="2878"/>
      <c r="K163" s="2879">
        <f>SUM(J161:J162)</f>
        <v>27390</v>
      </c>
      <c r="L163" s="2731"/>
      <c r="M163" s="2732"/>
      <c r="N163" s="2729">
        <f t="shared" si="13"/>
        <v>0</v>
      </c>
      <c r="Q163" s="2717"/>
      <c r="R163" s="2717"/>
      <c r="S163" s="2719"/>
      <c r="T163" s="2717"/>
      <c r="U163" s="2717"/>
      <c r="V163" s="2717"/>
    </row>
    <row r="164" spans="2:22" s="2721" customFormat="1" ht="14.1" customHeight="1" x14ac:dyDescent="0.2">
      <c r="B164" s="2711"/>
      <c r="C164" s="2528" t="s">
        <v>609</v>
      </c>
      <c r="D164" s="2725" t="s">
        <v>606</v>
      </c>
      <c r="E164" s="2739"/>
      <c r="F164" s="2739"/>
      <c r="G164" s="2727"/>
      <c r="H164" s="2740"/>
      <c r="I164" s="2814"/>
      <c r="J164" s="2729"/>
      <c r="K164" s="2730"/>
      <c r="L164" s="2731"/>
      <c r="M164" s="2732"/>
      <c r="N164" s="2729">
        <f t="shared" si="13"/>
        <v>0</v>
      </c>
      <c r="Q164" s="2717"/>
      <c r="R164" s="2717"/>
      <c r="S164" s="2719"/>
      <c r="T164" s="2717"/>
      <c r="U164" s="2717"/>
      <c r="V164" s="2717"/>
    </row>
    <row r="165" spans="2:22" s="2721" customFormat="1" ht="14.1" customHeight="1" x14ac:dyDescent="0.2">
      <c r="B165" s="2711"/>
      <c r="C165" s="2537"/>
      <c r="D165" s="2536"/>
      <c r="E165" s="2736"/>
      <c r="F165" s="2741"/>
      <c r="G165" s="2742"/>
      <c r="H165" s="2743"/>
      <c r="I165" s="2744"/>
      <c r="J165" s="2813"/>
      <c r="K165" s="2732">
        <f>SUM(J164:J164)</f>
        <v>0</v>
      </c>
      <c r="L165" s="2731"/>
      <c r="M165" s="2732"/>
      <c r="N165" s="2729">
        <f t="shared" si="13"/>
        <v>0</v>
      </c>
      <c r="Q165" s="2717"/>
      <c r="R165" s="2717"/>
      <c r="S165" s="2719"/>
      <c r="T165" s="2717"/>
      <c r="U165" s="2717"/>
      <c r="V165" s="2717"/>
    </row>
    <row r="166" spans="2:22" s="2721" customFormat="1" ht="14.1" customHeight="1" x14ac:dyDescent="0.2">
      <c r="B166" s="2711"/>
      <c r="C166" s="2727" t="s">
        <v>610</v>
      </c>
      <c r="D166" s="2738" t="s">
        <v>651</v>
      </c>
      <c r="E166" s="2741"/>
      <c r="F166" s="2741"/>
      <c r="G166" s="2742"/>
      <c r="H166" s="2743"/>
      <c r="I166" s="2744"/>
      <c r="J166" s="2745" t="s">
        <v>652</v>
      </c>
      <c r="K166" s="2732">
        <f>K160+K163+K165</f>
        <v>82590</v>
      </c>
      <c r="L166" s="2746">
        <f>N166/K166</f>
        <v>1</v>
      </c>
      <c r="M166" s="2745"/>
      <c r="N166" s="2747">
        <f>SUM(N158:N165)</f>
        <v>82590</v>
      </c>
      <c r="Q166" s="2717"/>
      <c r="R166" s="2717"/>
      <c r="S166" s="2719"/>
      <c r="T166" s="2717"/>
      <c r="U166" s="2717"/>
      <c r="V166" s="2717"/>
    </row>
    <row r="167" spans="2:22" s="2721" customFormat="1" ht="14.1" customHeight="1" x14ac:dyDescent="0.2">
      <c r="B167" s="2711"/>
      <c r="C167" s="2537" t="s">
        <v>611</v>
      </c>
      <c r="D167" s="2738" t="s">
        <v>653</v>
      </c>
      <c r="E167" s="2741"/>
      <c r="F167" s="2748">
        <f>$F$42</f>
        <v>0.1</v>
      </c>
      <c r="G167" s="2727" t="s">
        <v>425</v>
      </c>
      <c r="H167" s="2748">
        <f>$H$42</f>
        <v>0.03</v>
      </c>
      <c r="I167" s="2749" t="s">
        <v>424</v>
      </c>
      <c r="J167" s="2732" t="s">
        <v>610</v>
      </c>
      <c r="K167" s="2750">
        <f>ROUND((K166*(F167+H167)),2)</f>
        <v>10736.7</v>
      </c>
      <c r="L167" s="2732"/>
      <c r="M167" s="2732"/>
      <c r="N167" s="2732"/>
      <c r="Q167" s="2717"/>
      <c r="R167" s="2717"/>
      <c r="S167" s="2719"/>
      <c r="T167" s="2717"/>
      <c r="U167" s="2717"/>
      <c r="V167" s="2717"/>
    </row>
    <row r="168" spans="2:22" s="2713" customFormat="1" ht="14.1" customHeight="1" x14ac:dyDescent="0.2">
      <c r="B168" s="2711"/>
      <c r="C168" s="2880" t="s">
        <v>654</v>
      </c>
      <c r="D168" s="2752" t="s">
        <v>292</v>
      </c>
      <c r="E168" s="2815"/>
      <c r="F168" s="2815"/>
      <c r="G168" s="2815"/>
      <c r="H168" s="2816"/>
      <c r="I168" s="2815"/>
      <c r="J168" s="2755" t="s">
        <v>668</v>
      </c>
      <c r="K168" s="2756">
        <f>SUM(K166:K167)</f>
        <v>93326.7</v>
      </c>
      <c r="L168" s="2746"/>
      <c r="M168" s="2755"/>
      <c r="N168" s="2757"/>
      <c r="Q168" s="2717"/>
      <c r="R168" s="2717"/>
      <c r="S168" s="2719"/>
      <c r="T168" s="2717"/>
      <c r="U168" s="2717"/>
      <c r="V168" s="2717"/>
    </row>
    <row r="169" spans="2:22" s="2689" customFormat="1" x14ac:dyDescent="0.2">
      <c r="B169" s="2694"/>
      <c r="C169" s="2707"/>
      <c r="D169" s="2863"/>
      <c r="E169" s="2863"/>
      <c r="F169" s="2863"/>
      <c r="G169" s="2863"/>
      <c r="H169" s="2864"/>
      <c r="I169" s="2863"/>
      <c r="J169" s="2865"/>
      <c r="K169" s="2866"/>
      <c r="L169" s="2866"/>
      <c r="M169" s="2866"/>
      <c r="N169" s="2866"/>
      <c r="O169" s="2690"/>
      <c r="Q169" s="2717"/>
      <c r="R169" s="2717"/>
      <c r="S169" s="2719"/>
      <c r="T169" s="2717"/>
      <c r="U169" s="2717"/>
      <c r="V169" s="2717"/>
    </row>
    <row r="170" spans="2:22" s="2720" customFormat="1" ht="14.1" customHeight="1" x14ac:dyDescent="0.2">
      <c r="B170" s="2711">
        <f>B154+1</f>
        <v>10</v>
      </c>
      <c r="C170" s="2711"/>
      <c r="D170" s="2713" t="s">
        <v>467</v>
      </c>
      <c r="E170" s="2713"/>
      <c r="F170" s="2713"/>
      <c r="G170" s="2713"/>
      <c r="H170" s="2714"/>
      <c r="I170" s="2713"/>
      <c r="J170" s="2713"/>
      <c r="K170" s="2809" t="s">
        <v>1147</v>
      </c>
      <c r="L170" s="2809"/>
      <c r="M170" s="2809"/>
      <c r="N170" s="2809"/>
      <c r="O170" s="2716" t="str">
        <f>D171</f>
        <v>m3</v>
      </c>
      <c r="P170" s="2717">
        <f>K184</f>
        <v>251978.7</v>
      </c>
      <c r="Q170" s="2718">
        <f>L182</f>
        <v>1</v>
      </c>
      <c r="R170" s="2718"/>
      <c r="S170" s="2719">
        <f>N182</f>
        <v>222990</v>
      </c>
      <c r="T170" s="2515">
        <f>U170+S170</f>
        <v>251978.7</v>
      </c>
      <c r="U170" s="2719">
        <f>S170*V170</f>
        <v>28988.7</v>
      </c>
      <c r="V170" s="2718">
        <f>$F$42+$H$42</f>
        <v>0.13</v>
      </c>
    </row>
    <row r="171" spans="2:22" s="2720" customFormat="1" ht="14.1" customHeight="1" x14ac:dyDescent="0.2">
      <c r="B171" s="2711"/>
      <c r="C171" s="2711"/>
      <c r="D171" s="2721" t="s">
        <v>293</v>
      </c>
      <c r="E171" s="2721"/>
      <c r="F171" s="2721"/>
      <c r="G171" s="2721"/>
      <c r="H171" s="2711"/>
      <c r="I171" s="2721"/>
      <c r="J171" s="2721"/>
      <c r="K171" s="2721"/>
      <c r="L171" s="2721"/>
      <c r="M171" s="2721"/>
      <c r="N171" s="2721"/>
      <c r="O171" s="2716"/>
      <c r="Q171" s="2717"/>
      <c r="R171" s="2717"/>
      <c r="S171" s="2719"/>
      <c r="T171" s="2717"/>
      <c r="U171" s="2717"/>
      <c r="V171" s="2717"/>
    </row>
    <row r="172" spans="2:22" s="2720" customFormat="1" ht="14.1" customHeight="1" x14ac:dyDescent="0.2">
      <c r="B172" s="2711"/>
      <c r="C172" s="2524"/>
      <c r="D172" s="3427" t="s">
        <v>280</v>
      </c>
      <c r="E172" s="3428"/>
      <c r="F172" s="2722"/>
      <c r="G172" s="3433" t="s">
        <v>281</v>
      </c>
      <c r="H172" s="3433" t="s">
        <v>282</v>
      </c>
      <c r="I172" s="2524" t="s">
        <v>283</v>
      </c>
      <c r="J172" s="2524" t="s">
        <v>284</v>
      </c>
      <c r="K172" s="2524" t="s">
        <v>340</v>
      </c>
      <c r="L172" s="2524" t="s">
        <v>2008</v>
      </c>
      <c r="M172" s="2524" t="s">
        <v>2009</v>
      </c>
      <c r="N172" s="2524" t="s">
        <v>284</v>
      </c>
      <c r="O172" s="2716"/>
      <c r="Q172" s="2717"/>
      <c r="R172" s="2717"/>
      <c r="S172" s="2719"/>
      <c r="T172" s="2717"/>
      <c r="U172" s="2717"/>
      <c r="V172" s="2717"/>
    </row>
    <row r="173" spans="2:22" s="2720" customFormat="1" ht="14.1" customHeight="1" x14ac:dyDescent="0.2">
      <c r="B173" s="2711"/>
      <c r="C173" s="2528" t="s">
        <v>423</v>
      </c>
      <c r="D173" s="3429"/>
      <c r="E173" s="3430"/>
      <c r="F173" s="2723"/>
      <c r="G173" s="3434"/>
      <c r="H173" s="3434"/>
      <c r="I173" s="2528" t="s">
        <v>285</v>
      </c>
      <c r="J173" s="2528" t="s">
        <v>286</v>
      </c>
      <c r="K173" s="2528" t="s">
        <v>286</v>
      </c>
      <c r="L173" s="2528" t="s">
        <v>2011</v>
      </c>
      <c r="M173" s="2528"/>
      <c r="N173" s="2528" t="s">
        <v>2013</v>
      </c>
      <c r="O173" s="2716"/>
      <c r="Q173" s="2717"/>
      <c r="R173" s="2717"/>
      <c r="S173" s="2719"/>
      <c r="T173" s="2717"/>
      <c r="U173" s="2717"/>
      <c r="V173" s="2717"/>
    </row>
    <row r="174" spans="2:22" s="2720" customFormat="1" ht="14.1" customHeight="1" x14ac:dyDescent="0.2">
      <c r="B174" s="2711"/>
      <c r="C174" s="2537"/>
      <c r="D174" s="3431"/>
      <c r="E174" s="3432"/>
      <c r="F174" s="2724"/>
      <c r="G174" s="3435"/>
      <c r="H174" s="3435"/>
      <c r="I174" s="2537" t="s">
        <v>286</v>
      </c>
      <c r="J174" s="2536"/>
      <c r="K174" s="2536"/>
      <c r="L174" s="2536"/>
      <c r="M174" s="2536"/>
      <c r="N174" s="2537" t="s">
        <v>286</v>
      </c>
      <c r="O174" s="2716"/>
      <c r="Q174" s="2717"/>
      <c r="R174" s="2717"/>
      <c r="S174" s="2719"/>
      <c r="T174" s="2717"/>
      <c r="U174" s="2717"/>
      <c r="V174" s="2717"/>
    </row>
    <row r="175" spans="2:22" s="2720" customFormat="1" ht="14.1" customHeight="1" x14ac:dyDescent="0.2">
      <c r="B175" s="2711"/>
      <c r="C175" s="2524" t="s">
        <v>607</v>
      </c>
      <c r="D175" s="2875" t="s">
        <v>287</v>
      </c>
      <c r="E175" s="2872" t="s">
        <v>260</v>
      </c>
      <c r="F175" s="2872"/>
      <c r="G175" s="2537" t="s">
        <v>293</v>
      </c>
      <c r="H175" s="2873">
        <v>1.2</v>
      </c>
      <c r="I175" s="2874">
        <f>'Upah &amp; Bahan'!$I$122</f>
        <v>163000</v>
      </c>
      <c r="J175" s="2729">
        <f>ROUND(H175*I175,2)</f>
        <v>195600</v>
      </c>
      <c r="K175" s="2730"/>
      <c r="L175" s="2731">
        <v>1</v>
      </c>
      <c r="M175" s="2732"/>
      <c r="N175" s="2729">
        <f t="shared" ref="N175:N181" si="14">L175*J175</f>
        <v>195600</v>
      </c>
      <c r="O175" s="2716"/>
      <c r="Q175" s="2717"/>
      <c r="R175" s="2717"/>
      <c r="S175" s="2719"/>
      <c r="T175" s="2717"/>
      <c r="U175" s="2717"/>
      <c r="V175" s="2717"/>
    </row>
    <row r="176" spans="2:22" s="2720" customFormat="1" ht="14.1" customHeight="1" x14ac:dyDescent="0.2">
      <c r="B176" s="2711"/>
      <c r="C176" s="2537"/>
      <c r="D176" s="2881"/>
      <c r="E176" s="2876"/>
      <c r="F176" s="2877"/>
      <c r="G176" s="2742"/>
      <c r="H176" s="2743"/>
      <c r="I176" s="2744"/>
      <c r="J176" s="2813"/>
      <c r="K176" s="2732">
        <f>SUM(J175)</f>
        <v>195600</v>
      </c>
      <c r="L176" s="2731"/>
      <c r="M176" s="2732"/>
      <c r="N176" s="2729">
        <f t="shared" si="14"/>
        <v>0</v>
      </c>
      <c r="O176" s="2716"/>
      <c r="Q176" s="2717"/>
      <c r="R176" s="2717"/>
      <c r="S176" s="2719"/>
      <c r="T176" s="2717"/>
      <c r="U176" s="2717"/>
      <c r="V176" s="2717"/>
    </row>
    <row r="177" spans="2:22" s="2720" customFormat="1" ht="14.1" customHeight="1" x14ac:dyDescent="0.2">
      <c r="B177" s="2711"/>
      <c r="C177" s="2528" t="s">
        <v>608</v>
      </c>
      <c r="D177" s="2725" t="s">
        <v>288</v>
      </c>
      <c r="E177" s="2739" t="s">
        <v>289</v>
      </c>
      <c r="F177" s="2739"/>
      <c r="G177" s="2727" t="s">
        <v>291</v>
      </c>
      <c r="H177" s="2740">
        <v>0.3</v>
      </c>
      <c r="I177" s="2811">
        <f>'Upah &amp; Bahan'!$I$24</f>
        <v>88300</v>
      </c>
      <c r="J177" s="2729">
        <f>ROUND(H177*I177,2)</f>
        <v>26490</v>
      </c>
      <c r="K177" s="2734"/>
      <c r="L177" s="2731">
        <f>VLOOKUP($E177,$D$1744:$G$1761,2,0)</f>
        <v>1</v>
      </c>
      <c r="M177" s="2731" t="str">
        <f>VLOOKUP($E177,$D$1744:$G$1761,3,0)</f>
        <v>WNI</v>
      </c>
      <c r="N177" s="2729">
        <f t="shared" si="14"/>
        <v>26490</v>
      </c>
      <c r="O177" s="2716"/>
      <c r="Q177" s="2717"/>
      <c r="R177" s="2717"/>
      <c r="S177" s="2719"/>
      <c r="T177" s="2717"/>
      <c r="U177" s="2717"/>
      <c r="V177" s="2717"/>
    </row>
    <row r="178" spans="2:22" s="2720" customFormat="1" ht="14.1" customHeight="1" x14ac:dyDescent="0.2">
      <c r="B178" s="2711"/>
      <c r="C178" s="2528"/>
      <c r="D178" s="2733"/>
      <c r="E178" s="2739" t="s">
        <v>290</v>
      </c>
      <c r="F178" s="2739"/>
      <c r="G178" s="2727" t="s">
        <v>291</v>
      </c>
      <c r="H178" s="2740">
        <v>0.01</v>
      </c>
      <c r="I178" s="2811">
        <f>'Upah &amp; Bahan'!$I$31</f>
        <v>90000</v>
      </c>
      <c r="J178" s="2729">
        <f>ROUND(H178*I178,2)</f>
        <v>900</v>
      </c>
      <c r="K178" s="2732"/>
      <c r="L178" s="2731">
        <f>VLOOKUP($E178,$D$1744:$G$1761,2,0)</f>
        <v>1</v>
      </c>
      <c r="M178" s="2731" t="str">
        <f>VLOOKUP($E178,$D$1744:$G$1761,3,0)</f>
        <v>WNI</v>
      </c>
      <c r="N178" s="2729">
        <f t="shared" si="14"/>
        <v>900</v>
      </c>
      <c r="O178" s="2716"/>
      <c r="Q178" s="2717"/>
      <c r="R178" s="2717"/>
      <c r="S178" s="2719"/>
      <c r="T178" s="2717"/>
      <c r="U178" s="2717"/>
      <c r="V178" s="2717"/>
    </row>
    <row r="179" spans="2:22" s="2720" customFormat="1" ht="14.1" customHeight="1" x14ac:dyDescent="0.2">
      <c r="B179" s="2711"/>
      <c r="C179" s="2537"/>
      <c r="D179" s="2536"/>
      <c r="E179" s="2736"/>
      <c r="F179" s="2741"/>
      <c r="G179" s="2742"/>
      <c r="H179" s="2743"/>
      <c r="I179" s="2812"/>
      <c r="J179" s="2878"/>
      <c r="K179" s="2879">
        <f>SUM(J177:J178)</f>
        <v>27390</v>
      </c>
      <c r="L179" s="2731"/>
      <c r="M179" s="2732"/>
      <c r="N179" s="2729">
        <f t="shared" si="14"/>
        <v>0</v>
      </c>
      <c r="O179" s="2716"/>
      <c r="Q179" s="2717"/>
      <c r="R179" s="2717"/>
      <c r="S179" s="2719"/>
      <c r="T179" s="2717"/>
      <c r="U179" s="2717"/>
      <c r="V179" s="2717"/>
    </row>
    <row r="180" spans="2:22" s="2720" customFormat="1" ht="14.1" customHeight="1" x14ac:dyDescent="0.2">
      <c r="B180" s="2711"/>
      <c r="C180" s="2528" t="s">
        <v>609</v>
      </c>
      <c r="D180" s="2725" t="s">
        <v>606</v>
      </c>
      <c r="E180" s="2739"/>
      <c r="F180" s="2739"/>
      <c r="G180" s="2727"/>
      <c r="H180" s="2740"/>
      <c r="I180" s="2814"/>
      <c r="J180" s="2729"/>
      <c r="K180" s="2730"/>
      <c r="L180" s="2731"/>
      <c r="M180" s="2732"/>
      <c r="N180" s="2729">
        <f t="shared" si="14"/>
        <v>0</v>
      </c>
      <c r="O180" s="2716"/>
      <c r="Q180" s="2717"/>
      <c r="R180" s="2717"/>
      <c r="S180" s="2719"/>
      <c r="T180" s="2717"/>
      <c r="U180" s="2717"/>
      <c r="V180" s="2717"/>
    </row>
    <row r="181" spans="2:22" s="2720" customFormat="1" ht="14.1" customHeight="1" x14ac:dyDescent="0.2">
      <c r="B181" s="2711"/>
      <c r="C181" s="2537"/>
      <c r="D181" s="2536"/>
      <c r="E181" s="2736"/>
      <c r="F181" s="2741"/>
      <c r="G181" s="2742"/>
      <c r="H181" s="2743"/>
      <c r="I181" s="2744"/>
      <c r="J181" s="2813"/>
      <c r="K181" s="2732">
        <f>SUM(J180:J180)</f>
        <v>0</v>
      </c>
      <c r="L181" s="2731"/>
      <c r="M181" s="2732"/>
      <c r="N181" s="2729">
        <f t="shared" si="14"/>
        <v>0</v>
      </c>
      <c r="O181" s="2716"/>
      <c r="Q181" s="2717"/>
      <c r="R181" s="2717"/>
      <c r="S181" s="2719"/>
      <c r="T181" s="2717"/>
      <c r="U181" s="2717"/>
      <c r="V181" s="2717"/>
    </row>
    <row r="182" spans="2:22" s="2720" customFormat="1" ht="14.1" customHeight="1" x14ac:dyDescent="0.2">
      <c r="B182" s="2711"/>
      <c r="C182" s="2537" t="s">
        <v>610</v>
      </c>
      <c r="D182" s="2738" t="s">
        <v>651</v>
      </c>
      <c r="E182" s="2741"/>
      <c r="F182" s="2741"/>
      <c r="G182" s="2742"/>
      <c r="H182" s="2743"/>
      <c r="I182" s="2744"/>
      <c r="J182" s="2745" t="s">
        <v>652</v>
      </c>
      <c r="K182" s="2732">
        <f>K176+K179+K181</f>
        <v>222990</v>
      </c>
      <c r="L182" s="2746">
        <f>N182/K182</f>
        <v>1</v>
      </c>
      <c r="M182" s="2745"/>
      <c r="N182" s="2747">
        <f>SUM(N174:N181)</f>
        <v>222990</v>
      </c>
      <c r="O182" s="2716"/>
      <c r="Q182" s="2717"/>
      <c r="R182" s="2717"/>
      <c r="S182" s="2719"/>
      <c r="T182" s="2717"/>
      <c r="U182" s="2717"/>
      <c r="V182" s="2717"/>
    </row>
    <row r="183" spans="2:22" s="2720" customFormat="1" ht="14.1" customHeight="1" x14ac:dyDescent="0.2">
      <c r="B183" s="2711"/>
      <c r="C183" s="2537" t="s">
        <v>611</v>
      </c>
      <c r="D183" s="2738" t="s">
        <v>653</v>
      </c>
      <c r="E183" s="2741"/>
      <c r="F183" s="2748">
        <f>$F$42</f>
        <v>0.1</v>
      </c>
      <c r="G183" s="2727" t="s">
        <v>425</v>
      </c>
      <c r="H183" s="2748">
        <f>$H$42</f>
        <v>0.03</v>
      </c>
      <c r="I183" s="2749" t="s">
        <v>424</v>
      </c>
      <c r="J183" s="2732" t="s">
        <v>610</v>
      </c>
      <c r="K183" s="2750">
        <f>ROUND((K182*(F183+H183)),2)</f>
        <v>28988.7</v>
      </c>
      <c r="L183" s="2732"/>
      <c r="M183" s="2732"/>
      <c r="N183" s="2732"/>
      <c r="O183" s="2716"/>
      <c r="Q183" s="2717"/>
      <c r="R183" s="2717"/>
      <c r="S183" s="2719"/>
      <c r="T183" s="2717"/>
      <c r="U183" s="2717"/>
      <c r="V183" s="2717"/>
    </row>
    <row r="184" spans="2:22" s="2720" customFormat="1" ht="14.1" customHeight="1" x14ac:dyDescent="0.2">
      <c r="B184" s="2711"/>
      <c r="C184" s="2880" t="s">
        <v>654</v>
      </c>
      <c r="D184" s="2752" t="s">
        <v>292</v>
      </c>
      <c r="E184" s="2753"/>
      <c r="F184" s="2753"/>
      <c r="G184" s="2753"/>
      <c r="H184" s="2754"/>
      <c r="I184" s="2753"/>
      <c r="J184" s="2755" t="s">
        <v>668</v>
      </c>
      <c r="K184" s="2756">
        <f>SUM(K182:K183)</f>
        <v>251978.7</v>
      </c>
      <c r="L184" s="2746"/>
      <c r="M184" s="2755"/>
      <c r="N184" s="2757"/>
      <c r="O184" s="2716"/>
      <c r="Q184" s="2717"/>
      <c r="R184" s="2717"/>
      <c r="S184" s="2719"/>
      <c r="T184" s="2717"/>
      <c r="U184" s="2717"/>
      <c r="V184" s="2717"/>
    </row>
    <row r="185" spans="2:22" s="2689" customFormat="1" x14ac:dyDescent="0.2">
      <c r="B185" s="2694"/>
      <c r="C185" s="2707"/>
      <c r="D185" s="2863"/>
      <c r="E185" s="2863"/>
      <c r="F185" s="2863"/>
      <c r="G185" s="2863"/>
      <c r="H185" s="2864"/>
      <c r="I185" s="2863"/>
      <c r="J185" s="2865"/>
      <c r="K185" s="2866"/>
      <c r="L185" s="2866"/>
      <c r="M185" s="2866"/>
      <c r="N185" s="2866"/>
      <c r="O185" s="2690"/>
      <c r="Q185" s="2717"/>
      <c r="R185" s="2717"/>
      <c r="S185" s="2719"/>
      <c r="T185" s="2717"/>
      <c r="U185" s="2717"/>
      <c r="V185" s="2717"/>
    </row>
    <row r="186" spans="2:22" s="2721" customFormat="1" ht="14.1" customHeight="1" x14ac:dyDescent="0.2">
      <c r="B186" s="2711">
        <f>B170+1</f>
        <v>11</v>
      </c>
      <c r="C186" s="2711"/>
      <c r="D186" s="2713" t="s">
        <v>663</v>
      </c>
      <c r="E186" s="2713"/>
      <c r="F186" s="2713"/>
      <c r="G186" s="2713"/>
      <c r="H186" s="2714"/>
      <c r="I186" s="2713"/>
      <c r="J186" s="2713"/>
      <c r="K186" s="2715" t="s">
        <v>748</v>
      </c>
      <c r="L186" s="2715"/>
      <c r="M186" s="2715"/>
      <c r="N186" s="2715"/>
      <c r="O186" s="2721" t="str">
        <f>D187</f>
        <v>m3</v>
      </c>
      <c r="P186" s="2810">
        <f>K204</f>
        <v>931300.8</v>
      </c>
      <c r="Q186" s="2718">
        <f>L202</f>
        <v>0.97468520675596981</v>
      </c>
      <c r="R186" s="2718"/>
      <c r="S186" s="2719">
        <f>N202</f>
        <v>803296.56</v>
      </c>
      <c r="T186" s="2515">
        <f>U186+S186</f>
        <v>907725.1128</v>
      </c>
      <c r="U186" s="2719">
        <f>S186*V186</f>
        <v>104428.5528</v>
      </c>
      <c r="V186" s="2718">
        <f>$F$42+$H$42</f>
        <v>0.13</v>
      </c>
    </row>
    <row r="187" spans="2:22" s="2721" customFormat="1" ht="14.1" customHeight="1" x14ac:dyDescent="0.2">
      <c r="B187" s="2711"/>
      <c r="C187" s="2711"/>
      <c r="D187" s="2721" t="s">
        <v>293</v>
      </c>
      <c r="H187" s="2711"/>
      <c r="Q187" s="2717"/>
      <c r="R187" s="2717"/>
      <c r="S187" s="2719"/>
      <c r="T187" s="2717"/>
      <c r="U187" s="2717"/>
      <c r="V187" s="2717"/>
    </row>
    <row r="188" spans="2:22" s="2721" customFormat="1" ht="14.1" customHeight="1" x14ac:dyDescent="0.2">
      <c r="B188" s="2711"/>
      <c r="C188" s="2524"/>
      <c r="D188" s="3427" t="s">
        <v>280</v>
      </c>
      <c r="E188" s="3428"/>
      <c r="F188" s="2722"/>
      <c r="G188" s="3433" t="s">
        <v>281</v>
      </c>
      <c r="H188" s="3433" t="s">
        <v>282</v>
      </c>
      <c r="I188" s="2524" t="s">
        <v>283</v>
      </c>
      <c r="J188" s="2524" t="s">
        <v>284</v>
      </c>
      <c r="K188" s="2524" t="s">
        <v>340</v>
      </c>
      <c r="L188" s="2524" t="s">
        <v>2008</v>
      </c>
      <c r="M188" s="2524" t="s">
        <v>2009</v>
      </c>
      <c r="N188" s="2524" t="s">
        <v>284</v>
      </c>
      <c r="Q188" s="2717"/>
      <c r="R188" s="2717"/>
      <c r="S188" s="2719"/>
      <c r="T188" s="2717"/>
      <c r="U188" s="2717"/>
      <c r="V188" s="2717"/>
    </row>
    <row r="189" spans="2:22" s="2721" customFormat="1" ht="14.1" customHeight="1" x14ac:dyDescent="0.2">
      <c r="B189" s="2711"/>
      <c r="C189" s="2528" t="s">
        <v>423</v>
      </c>
      <c r="D189" s="3429"/>
      <c r="E189" s="3430"/>
      <c r="F189" s="2723"/>
      <c r="G189" s="3434"/>
      <c r="H189" s="3434"/>
      <c r="I189" s="2528" t="s">
        <v>285</v>
      </c>
      <c r="J189" s="2528" t="s">
        <v>286</v>
      </c>
      <c r="K189" s="2528" t="s">
        <v>286</v>
      </c>
      <c r="L189" s="2528" t="s">
        <v>2011</v>
      </c>
      <c r="M189" s="2528"/>
      <c r="N189" s="2528" t="s">
        <v>2013</v>
      </c>
      <c r="Q189" s="2717"/>
      <c r="R189" s="2717"/>
      <c r="S189" s="2719"/>
      <c r="T189" s="2717"/>
      <c r="U189" s="2717"/>
      <c r="V189" s="2717"/>
    </row>
    <row r="190" spans="2:22" s="2721" customFormat="1" ht="14.1" customHeight="1" x14ac:dyDescent="0.2">
      <c r="B190" s="2711"/>
      <c r="C190" s="2537"/>
      <c r="D190" s="3431"/>
      <c r="E190" s="3432"/>
      <c r="F190" s="2724"/>
      <c r="G190" s="3435"/>
      <c r="H190" s="3435"/>
      <c r="I190" s="2537" t="s">
        <v>286</v>
      </c>
      <c r="J190" s="2536"/>
      <c r="K190" s="2536"/>
      <c r="L190" s="2536"/>
      <c r="M190" s="2536"/>
      <c r="N190" s="2537" t="s">
        <v>286</v>
      </c>
      <c r="Q190" s="2717"/>
      <c r="R190" s="2717"/>
      <c r="S190" s="2719"/>
      <c r="T190" s="2717"/>
      <c r="U190" s="2717"/>
      <c r="V190" s="2717"/>
    </row>
    <row r="191" spans="2:22" s="2721" customFormat="1" ht="14.1" customHeight="1" x14ac:dyDescent="0.2">
      <c r="B191" s="2711"/>
      <c r="C191" s="2528" t="s">
        <v>607</v>
      </c>
      <c r="D191" s="2725" t="s">
        <v>287</v>
      </c>
      <c r="E191" s="2739" t="s">
        <v>299</v>
      </c>
      <c r="F191" s="2739"/>
      <c r="G191" s="2727" t="s">
        <v>293</v>
      </c>
      <c r="H191" s="2740">
        <v>1.2</v>
      </c>
      <c r="I191" s="2811">
        <f>'Upah &amp; Bahan'!I67</f>
        <v>270000</v>
      </c>
      <c r="J191" s="2729">
        <f>ROUND(H191*I191,2)</f>
        <v>324000</v>
      </c>
      <c r="K191" s="2730"/>
      <c r="L191" s="3177">
        <v>1</v>
      </c>
      <c r="M191" s="2732"/>
      <c r="N191" s="2729">
        <f t="shared" ref="N191:N201" si="15">L191*J191</f>
        <v>324000</v>
      </c>
      <c r="Q191" s="2717"/>
      <c r="R191" s="2717"/>
      <c r="S191" s="2719"/>
      <c r="T191" s="2717"/>
      <c r="U191" s="2717"/>
      <c r="V191" s="2717"/>
    </row>
    <row r="192" spans="2:22" s="2721" customFormat="1" ht="14.1" customHeight="1" x14ac:dyDescent="0.2">
      <c r="B192" s="2711"/>
      <c r="C192" s="2528"/>
      <c r="D192" s="2733"/>
      <c r="E192" s="2739" t="s">
        <v>300</v>
      </c>
      <c r="F192" s="2739"/>
      <c r="G192" s="2727" t="s">
        <v>298</v>
      </c>
      <c r="H192" s="2740">
        <v>117</v>
      </c>
      <c r="I192" s="2811">
        <f>'Upah &amp; Bahan'!$I$118</f>
        <v>1200</v>
      </c>
      <c r="J192" s="2729">
        <f>ROUND(H192*I192,2)</f>
        <v>140400</v>
      </c>
      <c r="K192" s="2734"/>
      <c r="L192" s="3177">
        <v>0.85140000000000005</v>
      </c>
      <c r="M192" s="2732" t="s">
        <v>2029</v>
      </c>
      <c r="N192" s="2729">
        <f t="shared" si="15"/>
        <v>119536.56000000001</v>
      </c>
      <c r="P192" s="2721">
        <v>0.74339999999999995</v>
      </c>
      <c r="Q192" s="2717"/>
      <c r="R192" s="2717"/>
      <c r="S192" s="2719"/>
      <c r="T192" s="2717"/>
      <c r="U192" s="2717"/>
      <c r="V192" s="2717"/>
    </row>
    <row r="193" spans="2:22" s="2721" customFormat="1" ht="14.1" customHeight="1" x14ac:dyDescent="0.2">
      <c r="B193" s="2711"/>
      <c r="C193" s="2528"/>
      <c r="D193" s="2733"/>
      <c r="E193" s="2739" t="s">
        <v>331</v>
      </c>
      <c r="F193" s="2739"/>
      <c r="G193" s="2727" t="s">
        <v>293</v>
      </c>
      <c r="H193" s="2740">
        <v>0.56100000000000005</v>
      </c>
      <c r="I193" s="2811">
        <f>'Upah &amp; Bahan'!$I$121</f>
        <v>260000</v>
      </c>
      <c r="J193" s="2729">
        <f>ROUND(H193*I193,2)</f>
        <v>145860</v>
      </c>
      <c r="K193" s="2735"/>
      <c r="L193" s="3177">
        <v>1</v>
      </c>
      <c r="M193" s="2732"/>
      <c r="N193" s="2729">
        <f t="shared" si="15"/>
        <v>145860</v>
      </c>
      <c r="Q193" s="2717"/>
      <c r="R193" s="2717"/>
      <c r="S193" s="2719"/>
      <c r="T193" s="2717"/>
      <c r="U193" s="2717"/>
      <c r="V193" s="2717"/>
    </row>
    <row r="194" spans="2:22" s="2721" customFormat="1" ht="14.1" customHeight="1" x14ac:dyDescent="0.2">
      <c r="B194" s="2711"/>
      <c r="C194" s="2537"/>
      <c r="D194" s="2733"/>
      <c r="E194" s="2736"/>
      <c r="F194" s="2741"/>
      <c r="G194" s="2742"/>
      <c r="H194" s="2743"/>
      <c r="I194" s="2812"/>
      <c r="J194" s="2813"/>
      <c r="K194" s="2729">
        <f>SUM(J191:J193)</f>
        <v>610260</v>
      </c>
      <c r="L194" s="3177"/>
      <c r="M194" s="2732"/>
      <c r="N194" s="2729">
        <f t="shared" si="15"/>
        <v>0</v>
      </c>
      <c r="Q194" s="2717"/>
      <c r="R194" s="2717"/>
      <c r="S194" s="2719"/>
      <c r="T194" s="2717"/>
      <c r="U194" s="2717"/>
      <c r="V194" s="2717"/>
    </row>
    <row r="195" spans="2:22" s="2721" customFormat="1" ht="14.1" customHeight="1" x14ac:dyDescent="0.2">
      <c r="B195" s="2711"/>
      <c r="C195" s="2528" t="s">
        <v>608</v>
      </c>
      <c r="D195" s="2725" t="s">
        <v>288</v>
      </c>
      <c r="E195" s="2739" t="s">
        <v>294</v>
      </c>
      <c r="F195" s="2739"/>
      <c r="G195" s="2727" t="s">
        <v>291</v>
      </c>
      <c r="H195" s="2740">
        <v>1.5</v>
      </c>
      <c r="I195" s="2811">
        <f>'Upah &amp; Bahan'!$I$24</f>
        <v>88300</v>
      </c>
      <c r="J195" s="2729">
        <f>ROUND(H195*I195,2)</f>
        <v>132450</v>
      </c>
      <c r="K195" s="2730"/>
      <c r="L195" s="3177">
        <f>VLOOKUP($E195,$D$1744:$G$1761,2,0)</f>
        <v>1</v>
      </c>
      <c r="M195" s="2731" t="str">
        <f>VLOOKUP($E195,$D$1744:$G$1761,3,0)</f>
        <v>WNI</v>
      </c>
      <c r="N195" s="2729">
        <f t="shared" si="15"/>
        <v>132450</v>
      </c>
      <c r="Q195" s="2717"/>
      <c r="R195" s="2717"/>
      <c r="S195" s="2719"/>
      <c r="T195" s="2717"/>
      <c r="U195" s="2717"/>
      <c r="V195" s="2717"/>
    </row>
    <row r="196" spans="2:22" s="2721" customFormat="1" ht="14.1" customHeight="1" x14ac:dyDescent="0.2">
      <c r="B196" s="2711"/>
      <c r="C196" s="2528"/>
      <c r="D196" s="2733"/>
      <c r="E196" s="2739" t="s">
        <v>295</v>
      </c>
      <c r="F196" s="2739"/>
      <c r="G196" s="2727" t="s">
        <v>291</v>
      </c>
      <c r="H196" s="2740">
        <v>0.75</v>
      </c>
      <c r="I196" s="2811">
        <f>'Upah &amp; Bahan'!$I$32</f>
        <v>90000</v>
      </c>
      <c r="J196" s="2729">
        <f>ROUND(H196*I196,2)</f>
        <v>67500</v>
      </c>
      <c r="K196" s="2734"/>
      <c r="L196" s="3177">
        <f>VLOOKUP($E196,$D$1744:$G$1761,2,0)</f>
        <v>1</v>
      </c>
      <c r="M196" s="2731" t="str">
        <f>VLOOKUP($E196,$D$1744:$G$1761,3,0)</f>
        <v>WNI</v>
      </c>
      <c r="N196" s="2729">
        <f t="shared" si="15"/>
        <v>67500</v>
      </c>
      <c r="Q196" s="2717"/>
      <c r="R196" s="2717"/>
      <c r="S196" s="2719"/>
      <c r="T196" s="2717"/>
      <c r="U196" s="2717"/>
      <c r="V196" s="2717"/>
    </row>
    <row r="197" spans="2:22" s="2721" customFormat="1" ht="14.1" customHeight="1" x14ac:dyDescent="0.2">
      <c r="B197" s="2711"/>
      <c r="C197" s="2528"/>
      <c r="D197" s="2733"/>
      <c r="E197" s="2739" t="s">
        <v>296</v>
      </c>
      <c r="F197" s="2739"/>
      <c r="G197" s="2727" t="s">
        <v>291</v>
      </c>
      <c r="H197" s="2740">
        <v>7.4999999999999997E-2</v>
      </c>
      <c r="I197" s="2814">
        <f>'Upah &amp; Bahan'!$I$26</f>
        <v>96000</v>
      </c>
      <c r="J197" s="2729">
        <f>ROUND(H197*I197,2)</f>
        <v>7200</v>
      </c>
      <c r="K197" s="2734"/>
      <c r="L197" s="3177">
        <f>VLOOKUP($E197,$D$1744:$G$1761,2,0)</f>
        <v>1</v>
      </c>
      <c r="M197" s="2731" t="str">
        <f>VLOOKUP($E197,$D$1744:$G$1761,3,0)</f>
        <v>WNI</v>
      </c>
      <c r="N197" s="2729">
        <f t="shared" si="15"/>
        <v>7200</v>
      </c>
      <c r="Q197" s="2717"/>
      <c r="R197" s="2717"/>
      <c r="S197" s="2719"/>
      <c r="T197" s="2717"/>
      <c r="U197" s="2717"/>
      <c r="V197" s="2717"/>
    </row>
    <row r="198" spans="2:22" s="2721" customFormat="1" ht="14.1" customHeight="1" x14ac:dyDescent="0.2">
      <c r="B198" s="2711"/>
      <c r="C198" s="2528"/>
      <c r="D198" s="2733"/>
      <c r="E198" s="2739" t="s">
        <v>290</v>
      </c>
      <c r="F198" s="2739"/>
      <c r="G198" s="2727" t="s">
        <v>291</v>
      </c>
      <c r="H198" s="2740">
        <v>7.4999999999999997E-2</v>
      </c>
      <c r="I198" s="2811">
        <f>'Upah &amp; Bahan'!$I$31</f>
        <v>90000</v>
      </c>
      <c r="J198" s="2729">
        <f>ROUND(H198*I198,2)</f>
        <v>6750</v>
      </c>
      <c r="K198" s="2733"/>
      <c r="L198" s="3177">
        <f>VLOOKUP($E198,$D$1744:$G$1761,2,0)</f>
        <v>1</v>
      </c>
      <c r="M198" s="2731" t="str">
        <f>VLOOKUP($E198,$D$1744:$G$1761,3,0)</f>
        <v>WNI</v>
      </c>
      <c r="N198" s="2729">
        <f t="shared" si="15"/>
        <v>6750</v>
      </c>
      <c r="Q198" s="2717"/>
      <c r="R198" s="2717"/>
      <c r="S198" s="2719"/>
      <c r="T198" s="2717"/>
      <c r="U198" s="2717"/>
      <c r="V198" s="2717"/>
    </row>
    <row r="199" spans="2:22" s="2721" customFormat="1" ht="14.1" customHeight="1" x14ac:dyDescent="0.2">
      <c r="B199" s="2711"/>
      <c r="C199" s="2537"/>
      <c r="D199" s="2536"/>
      <c r="E199" s="2736"/>
      <c r="F199" s="2741"/>
      <c r="G199" s="2742"/>
      <c r="H199" s="2743"/>
      <c r="I199" s="2812"/>
      <c r="J199" s="2813"/>
      <c r="K199" s="2732">
        <f>SUM(J195:J198)</f>
        <v>213900</v>
      </c>
      <c r="L199" s="3177"/>
      <c r="M199" s="2732"/>
      <c r="N199" s="2729">
        <f t="shared" si="15"/>
        <v>0</v>
      </c>
      <c r="Q199" s="2717"/>
      <c r="R199" s="2717"/>
      <c r="S199" s="2719"/>
      <c r="T199" s="2717"/>
      <c r="U199" s="2717"/>
      <c r="V199" s="2717"/>
    </row>
    <row r="200" spans="2:22" s="2721" customFormat="1" ht="14.1" customHeight="1" x14ac:dyDescent="0.2">
      <c r="B200" s="2711"/>
      <c r="C200" s="2528" t="s">
        <v>609</v>
      </c>
      <c r="D200" s="2725" t="s">
        <v>606</v>
      </c>
      <c r="E200" s="2739"/>
      <c r="F200" s="2739"/>
      <c r="G200" s="2727"/>
      <c r="H200" s="2740"/>
      <c r="I200" s="2814"/>
      <c r="J200" s="2729"/>
      <c r="K200" s="2730"/>
      <c r="L200" s="3177"/>
      <c r="M200" s="2732"/>
      <c r="N200" s="2729">
        <f t="shared" si="15"/>
        <v>0</v>
      </c>
      <c r="Q200" s="2717"/>
      <c r="R200" s="2717"/>
      <c r="S200" s="2719"/>
      <c r="T200" s="2717"/>
      <c r="U200" s="2717"/>
      <c r="V200" s="2717"/>
    </row>
    <row r="201" spans="2:22" s="2721" customFormat="1" ht="14.1" customHeight="1" x14ac:dyDescent="0.2">
      <c r="B201" s="2711"/>
      <c r="C201" s="2537"/>
      <c r="D201" s="2536"/>
      <c r="E201" s="2736"/>
      <c r="F201" s="2741"/>
      <c r="G201" s="2742"/>
      <c r="H201" s="2743"/>
      <c r="I201" s="2744"/>
      <c r="J201" s="2813"/>
      <c r="K201" s="2732">
        <f>SUM(J200:J200)</f>
        <v>0</v>
      </c>
      <c r="L201" s="3177"/>
      <c r="M201" s="2732"/>
      <c r="N201" s="2729">
        <f t="shared" si="15"/>
        <v>0</v>
      </c>
      <c r="Q201" s="2717"/>
      <c r="R201" s="2717"/>
      <c r="S201" s="2719"/>
      <c r="T201" s="2717"/>
      <c r="U201" s="2717"/>
      <c r="V201" s="2717"/>
    </row>
    <row r="202" spans="2:22" s="2721" customFormat="1" ht="14.1" customHeight="1" x14ac:dyDescent="0.2">
      <c r="B202" s="2711"/>
      <c r="C202" s="2537" t="s">
        <v>610</v>
      </c>
      <c r="D202" s="2738" t="s">
        <v>651</v>
      </c>
      <c r="E202" s="2741"/>
      <c r="F202" s="2741"/>
      <c r="G202" s="2742"/>
      <c r="H202" s="2743"/>
      <c r="I202" s="2744"/>
      <c r="J202" s="2745" t="s">
        <v>652</v>
      </c>
      <c r="K202" s="2732">
        <f>K194+K199+K201</f>
        <v>824160</v>
      </c>
      <c r="L202" s="3179">
        <f>N202/K202</f>
        <v>0.97468520675596981</v>
      </c>
      <c r="M202" s="2745"/>
      <c r="N202" s="2747">
        <f>SUM(N191:N201)</f>
        <v>803296.56</v>
      </c>
      <c r="Q202" s="2717"/>
      <c r="R202" s="2717"/>
      <c r="S202" s="2719"/>
      <c r="T202" s="2717"/>
      <c r="U202" s="2717"/>
      <c r="V202" s="2717"/>
    </row>
    <row r="203" spans="2:22" s="2721" customFormat="1" ht="14.1" customHeight="1" x14ac:dyDescent="0.2">
      <c r="B203" s="2711"/>
      <c r="C203" s="2537" t="s">
        <v>611</v>
      </c>
      <c r="D203" s="2738" t="s">
        <v>653</v>
      </c>
      <c r="E203" s="2741"/>
      <c r="F203" s="2748">
        <f>$F$42</f>
        <v>0.1</v>
      </c>
      <c r="G203" s="2727" t="s">
        <v>425</v>
      </c>
      <c r="H203" s="2748">
        <f>$H$42</f>
        <v>0.03</v>
      </c>
      <c r="I203" s="2749" t="s">
        <v>424</v>
      </c>
      <c r="J203" s="2732" t="s">
        <v>610</v>
      </c>
      <c r="K203" s="2750">
        <f>ROUND((K202*(F203+H203)),2)</f>
        <v>107140.8</v>
      </c>
      <c r="L203" s="2732"/>
      <c r="M203" s="2732"/>
      <c r="N203" s="2732"/>
      <c r="Q203" s="2717"/>
      <c r="R203" s="2717"/>
      <c r="S203" s="2719"/>
      <c r="T203" s="2717"/>
      <c r="U203" s="2717"/>
      <c r="V203" s="2717"/>
    </row>
    <row r="204" spans="2:22" s="2721" customFormat="1" ht="14.1" customHeight="1" x14ac:dyDescent="0.2">
      <c r="B204" s="2711"/>
      <c r="C204" s="2880" t="s">
        <v>654</v>
      </c>
      <c r="D204" s="2752" t="s">
        <v>301</v>
      </c>
      <c r="E204" s="2815"/>
      <c r="F204" s="2815"/>
      <c r="G204" s="2815"/>
      <c r="H204" s="2816"/>
      <c r="I204" s="2815"/>
      <c r="J204" s="2755" t="s">
        <v>668</v>
      </c>
      <c r="K204" s="2756">
        <f>SUM(K202:K203)</f>
        <v>931300.8</v>
      </c>
      <c r="L204" s="2746"/>
      <c r="M204" s="2755"/>
      <c r="N204" s="2757"/>
      <c r="Q204" s="2717"/>
      <c r="R204" s="2717"/>
      <c r="S204" s="2719"/>
      <c r="T204" s="2717"/>
      <c r="U204" s="2717"/>
      <c r="V204" s="2717"/>
    </row>
    <row r="205" spans="2:22" s="2689" customFormat="1" x14ac:dyDescent="0.2">
      <c r="B205" s="2694"/>
      <c r="C205" s="2707"/>
      <c r="D205" s="2863"/>
      <c r="E205" s="2863"/>
      <c r="F205" s="2863"/>
      <c r="G205" s="2863"/>
      <c r="H205" s="2864"/>
      <c r="I205" s="2863"/>
      <c r="J205" s="2865"/>
      <c r="K205" s="2866"/>
      <c r="L205" s="2866"/>
      <c r="M205" s="2866"/>
      <c r="N205" s="2866"/>
      <c r="O205" s="2690"/>
      <c r="Q205" s="2717"/>
      <c r="R205" s="2717"/>
      <c r="S205" s="2719"/>
      <c r="T205" s="2717"/>
      <c r="U205" s="2717"/>
      <c r="V205" s="2717"/>
    </row>
    <row r="206" spans="2:22" s="2721" customFormat="1" ht="14.1" customHeight="1" x14ac:dyDescent="0.2">
      <c r="B206" s="2711">
        <f>B186+1</f>
        <v>12</v>
      </c>
      <c r="C206" s="2711"/>
      <c r="D206" s="2713" t="s">
        <v>664</v>
      </c>
      <c r="E206" s="2713"/>
      <c r="F206" s="2713"/>
      <c r="G206" s="2713"/>
      <c r="H206" s="2714"/>
      <c r="I206" s="2713"/>
      <c r="J206" s="2713"/>
      <c r="K206" s="2715" t="s">
        <v>749</v>
      </c>
      <c r="L206" s="2715"/>
      <c r="M206" s="2715"/>
      <c r="N206" s="2715"/>
      <c r="O206" s="2721" t="str">
        <f>D207</f>
        <v>m3</v>
      </c>
      <c r="P206" s="2810">
        <f>K224</f>
        <v>923142.2</v>
      </c>
      <c r="Q206" s="2718">
        <f>L222</f>
        <v>0.98013670526599261</v>
      </c>
      <c r="R206" s="2718"/>
      <c r="S206" s="2719">
        <f>N222</f>
        <v>800712.88</v>
      </c>
      <c r="T206" s="2515">
        <f>U206+S206</f>
        <v>904805.55440000002</v>
      </c>
      <c r="U206" s="2719">
        <f>S206*V206</f>
        <v>104092.6744</v>
      </c>
      <c r="V206" s="2718">
        <f>$F$42+$H$42</f>
        <v>0.13</v>
      </c>
    </row>
    <row r="207" spans="2:22" s="2721" customFormat="1" ht="14.1" customHeight="1" x14ac:dyDescent="0.2">
      <c r="B207" s="2711"/>
      <c r="C207" s="2711"/>
      <c r="D207" s="2721" t="s">
        <v>293</v>
      </c>
      <c r="H207" s="2711"/>
      <c r="Q207" s="2717"/>
      <c r="R207" s="2717"/>
      <c r="S207" s="2719"/>
      <c r="T207" s="2717"/>
      <c r="U207" s="2717"/>
      <c r="V207" s="2717"/>
    </row>
    <row r="208" spans="2:22" s="2721" customFormat="1" ht="14.1" customHeight="1" x14ac:dyDescent="0.2">
      <c r="B208" s="2711"/>
      <c r="C208" s="2524"/>
      <c r="D208" s="3427" t="s">
        <v>280</v>
      </c>
      <c r="E208" s="3428"/>
      <c r="F208" s="2722"/>
      <c r="G208" s="3433" t="s">
        <v>281</v>
      </c>
      <c r="H208" s="3433" t="s">
        <v>282</v>
      </c>
      <c r="I208" s="2524" t="s">
        <v>283</v>
      </c>
      <c r="J208" s="2524" t="s">
        <v>284</v>
      </c>
      <c r="K208" s="2524" t="s">
        <v>340</v>
      </c>
      <c r="L208" s="2524" t="s">
        <v>2008</v>
      </c>
      <c r="M208" s="2524" t="s">
        <v>2009</v>
      </c>
      <c r="N208" s="2524" t="s">
        <v>284</v>
      </c>
      <c r="Q208" s="2717"/>
      <c r="R208" s="2717"/>
      <c r="S208" s="2719"/>
      <c r="T208" s="2717"/>
      <c r="U208" s="2717"/>
      <c r="V208" s="2717"/>
    </row>
    <row r="209" spans="2:22" s="2721" customFormat="1" ht="14.1" customHeight="1" x14ac:dyDescent="0.2">
      <c r="B209" s="2711"/>
      <c r="C209" s="2528" t="s">
        <v>423</v>
      </c>
      <c r="D209" s="3429"/>
      <c r="E209" s="3430"/>
      <c r="F209" s="2723"/>
      <c r="G209" s="3434"/>
      <c r="H209" s="3434"/>
      <c r="I209" s="2528" t="s">
        <v>285</v>
      </c>
      <c r="J209" s="2528" t="s">
        <v>286</v>
      </c>
      <c r="K209" s="2528" t="s">
        <v>286</v>
      </c>
      <c r="L209" s="2528" t="s">
        <v>2011</v>
      </c>
      <c r="M209" s="2528"/>
      <c r="N209" s="2528" t="s">
        <v>2013</v>
      </c>
      <c r="Q209" s="2717"/>
      <c r="R209" s="2717"/>
      <c r="S209" s="2719"/>
      <c r="T209" s="2717"/>
      <c r="U209" s="2717"/>
      <c r="V209" s="2717"/>
    </row>
    <row r="210" spans="2:22" s="2721" customFormat="1" ht="14.1" customHeight="1" x14ac:dyDescent="0.2">
      <c r="B210" s="2711"/>
      <c r="C210" s="2537"/>
      <c r="D210" s="3431"/>
      <c r="E210" s="3432"/>
      <c r="F210" s="2724"/>
      <c r="G210" s="3435"/>
      <c r="H210" s="3435"/>
      <c r="I210" s="2537" t="s">
        <v>286</v>
      </c>
      <c r="J210" s="2536"/>
      <c r="K210" s="2536"/>
      <c r="L210" s="2536"/>
      <c r="M210" s="2536"/>
      <c r="N210" s="2537" t="s">
        <v>286</v>
      </c>
      <c r="Q210" s="2717"/>
      <c r="R210" s="2717"/>
      <c r="S210" s="2719"/>
      <c r="T210" s="2717"/>
      <c r="U210" s="2717"/>
      <c r="V210" s="2717"/>
    </row>
    <row r="211" spans="2:22" s="2721" customFormat="1" ht="14.1" customHeight="1" x14ac:dyDescent="0.2">
      <c r="B211" s="2711"/>
      <c r="C211" s="2528" t="s">
        <v>607</v>
      </c>
      <c r="D211" s="2725" t="s">
        <v>287</v>
      </c>
      <c r="E211" s="2739" t="s">
        <v>299</v>
      </c>
      <c r="F211" s="2739"/>
      <c r="G211" s="2727" t="s">
        <v>293</v>
      </c>
      <c r="H211" s="2740">
        <v>1.2</v>
      </c>
      <c r="I211" s="2811">
        <f>'Upah &amp; Bahan'!$I$58</f>
        <v>285000</v>
      </c>
      <c r="J211" s="2729">
        <f>ROUND(H211*I211,2)</f>
        <v>342000</v>
      </c>
      <c r="K211" s="2730"/>
      <c r="L211" s="3177">
        <v>1</v>
      </c>
      <c r="M211" s="2732"/>
      <c r="N211" s="2729">
        <f t="shared" ref="N211:N221" si="16">L211*J211</f>
        <v>342000</v>
      </c>
      <c r="Q211" s="2717"/>
      <c r="R211" s="2717"/>
      <c r="S211" s="2719"/>
      <c r="T211" s="2717"/>
      <c r="U211" s="2717"/>
      <c r="V211" s="2717"/>
    </row>
    <row r="212" spans="2:22" s="2721" customFormat="1" ht="14.1" customHeight="1" x14ac:dyDescent="0.2">
      <c r="B212" s="2711"/>
      <c r="C212" s="2528"/>
      <c r="D212" s="2733"/>
      <c r="E212" s="2739" t="s">
        <v>300</v>
      </c>
      <c r="F212" s="2739"/>
      <c r="G212" s="2727" t="s">
        <v>298</v>
      </c>
      <c r="H212" s="2740">
        <v>91</v>
      </c>
      <c r="I212" s="2811">
        <f>'Upah &amp; Bahan'!$I$118</f>
        <v>1200</v>
      </c>
      <c r="J212" s="2729">
        <f>ROUND(H212*I212,2)</f>
        <v>109200</v>
      </c>
      <c r="K212" s="2734"/>
      <c r="L212" s="3177">
        <f>$L$192</f>
        <v>0.85140000000000005</v>
      </c>
      <c r="M212" s="2732" t="s">
        <v>2029</v>
      </c>
      <c r="N212" s="2729">
        <f t="shared" si="16"/>
        <v>92972.88</v>
      </c>
      <c r="Q212" s="2717"/>
      <c r="R212" s="2717"/>
      <c r="S212" s="2719"/>
      <c r="T212" s="2717"/>
      <c r="U212" s="2717"/>
      <c r="V212" s="2717"/>
    </row>
    <row r="213" spans="2:22" s="2721" customFormat="1" ht="14.1" customHeight="1" x14ac:dyDescent="0.2">
      <c r="B213" s="2711"/>
      <c r="C213" s="2528"/>
      <c r="D213" s="2733"/>
      <c r="E213" s="2739" t="s">
        <v>331</v>
      </c>
      <c r="F213" s="2739"/>
      <c r="G213" s="2727" t="s">
        <v>293</v>
      </c>
      <c r="H213" s="2740">
        <v>0.58399999999999996</v>
      </c>
      <c r="I213" s="2811">
        <f>'Upah &amp; Bahan'!$I$121</f>
        <v>260000</v>
      </c>
      <c r="J213" s="2729">
        <f>ROUND(H213*I213,2)</f>
        <v>151840</v>
      </c>
      <c r="K213" s="2735"/>
      <c r="L213" s="3177">
        <v>1</v>
      </c>
      <c r="M213" s="2732"/>
      <c r="N213" s="2729">
        <f t="shared" si="16"/>
        <v>151840</v>
      </c>
      <c r="Q213" s="2717"/>
      <c r="R213" s="2717"/>
      <c r="S213" s="2719"/>
      <c r="T213" s="2717"/>
      <c r="U213" s="2717"/>
      <c r="V213" s="2717"/>
    </row>
    <row r="214" spans="2:22" s="2721" customFormat="1" ht="14.1" customHeight="1" x14ac:dyDescent="0.2">
      <c r="B214" s="2711"/>
      <c r="C214" s="2537"/>
      <c r="D214" s="2733"/>
      <c r="E214" s="2736"/>
      <c r="F214" s="2741"/>
      <c r="G214" s="2742"/>
      <c r="H214" s="2743"/>
      <c r="I214" s="2812"/>
      <c r="J214" s="2813"/>
      <c r="K214" s="2729">
        <f>SUM(J211:J213)</f>
        <v>603040</v>
      </c>
      <c r="L214" s="3177"/>
      <c r="M214" s="2732"/>
      <c r="N214" s="2729">
        <f t="shared" si="16"/>
        <v>0</v>
      </c>
      <c r="Q214" s="2717"/>
      <c r="R214" s="2717"/>
      <c r="S214" s="2719"/>
      <c r="T214" s="2717"/>
      <c r="U214" s="2717"/>
      <c r="V214" s="2717"/>
    </row>
    <row r="215" spans="2:22" s="2721" customFormat="1" ht="14.1" customHeight="1" x14ac:dyDescent="0.2">
      <c r="B215" s="2711"/>
      <c r="C215" s="2528" t="s">
        <v>608</v>
      </c>
      <c r="D215" s="2725" t="s">
        <v>288</v>
      </c>
      <c r="E215" s="2739" t="s">
        <v>294</v>
      </c>
      <c r="F215" s="2739"/>
      <c r="G215" s="2727" t="s">
        <v>291</v>
      </c>
      <c r="H215" s="2740">
        <v>1.5</v>
      </c>
      <c r="I215" s="2811">
        <f>'Upah &amp; Bahan'!$I$24</f>
        <v>88300</v>
      </c>
      <c r="J215" s="2729">
        <f>ROUND(H215*I215,2)</f>
        <v>132450</v>
      </c>
      <c r="K215" s="2730"/>
      <c r="L215" s="3177">
        <f>VLOOKUP($E215,$D$1744:$G$1761,2,0)</f>
        <v>1</v>
      </c>
      <c r="M215" s="2731" t="str">
        <f>VLOOKUP($E215,$D$1744:$G$1761,3,0)</f>
        <v>WNI</v>
      </c>
      <c r="N215" s="2729">
        <f t="shared" si="16"/>
        <v>132450</v>
      </c>
      <c r="Q215" s="2717"/>
      <c r="R215" s="2717"/>
      <c r="S215" s="2719"/>
      <c r="T215" s="2717"/>
      <c r="U215" s="2717"/>
      <c r="V215" s="2717"/>
    </row>
    <row r="216" spans="2:22" s="2721" customFormat="1" ht="14.1" customHeight="1" x14ac:dyDescent="0.2">
      <c r="B216" s="2711"/>
      <c r="C216" s="2528"/>
      <c r="D216" s="2733"/>
      <c r="E216" s="2739" t="s">
        <v>295</v>
      </c>
      <c r="F216" s="2739"/>
      <c r="G216" s="2727" t="s">
        <v>291</v>
      </c>
      <c r="H216" s="2740">
        <v>0.75</v>
      </c>
      <c r="I216" s="2811">
        <f>'Upah &amp; Bahan'!$I$32</f>
        <v>90000</v>
      </c>
      <c r="J216" s="2729">
        <f>ROUND(H216*I216,2)</f>
        <v>67500</v>
      </c>
      <c r="K216" s="2734"/>
      <c r="L216" s="3177">
        <f>VLOOKUP($E216,$D$1744:$G$1761,2,0)</f>
        <v>1</v>
      </c>
      <c r="M216" s="2731" t="str">
        <f>VLOOKUP($E216,$D$1744:$G$1761,3,0)</f>
        <v>WNI</v>
      </c>
      <c r="N216" s="2729">
        <f t="shared" si="16"/>
        <v>67500</v>
      </c>
      <c r="Q216" s="2717"/>
      <c r="R216" s="2717"/>
      <c r="S216" s="2719"/>
      <c r="T216" s="2717"/>
      <c r="U216" s="2717"/>
      <c r="V216" s="2717"/>
    </row>
    <row r="217" spans="2:22" s="2721" customFormat="1" ht="14.1" customHeight="1" x14ac:dyDescent="0.2">
      <c r="B217" s="2711"/>
      <c r="C217" s="2528"/>
      <c r="D217" s="2733"/>
      <c r="E217" s="2739" t="s">
        <v>296</v>
      </c>
      <c r="F217" s="2739"/>
      <c r="G217" s="2727" t="s">
        <v>291</v>
      </c>
      <c r="H217" s="2740">
        <v>7.4999999999999997E-2</v>
      </c>
      <c r="I217" s="2814">
        <f>'Upah &amp; Bahan'!$I$26</f>
        <v>96000</v>
      </c>
      <c r="J217" s="2729">
        <f>ROUND(H217*I217,2)</f>
        <v>7200</v>
      </c>
      <c r="K217" s="2734"/>
      <c r="L217" s="3177">
        <f>VLOOKUP($E217,$D$1744:$G$1761,2,0)</f>
        <v>1</v>
      </c>
      <c r="M217" s="2731" t="str">
        <f>VLOOKUP($E217,$D$1744:$G$1761,3,0)</f>
        <v>WNI</v>
      </c>
      <c r="N217" s="2729">
        <f t="shared" si="16"/>
        <v>7200</v>
      </c>
      <c r="Q217" s="2717"/>
      <c r="R217" s="2717"/>
      <c r="S217" s="2719"/>
      <c r="T217" s="2717"/>
      <c r="U217" s="2717"/>
      <c r="V217" s="2717"/>
    </row>
    <row r="218" spans="2:22" s="2721" customFormat="1" ht="14.1" customHeight="1" x14ac:dyDescent="0.2">
      <c r="B218" s="2711"/>
      <c r="C218" s="2528"/>
      <c r="D218" s="2733"/>
      <c r="E218" s="2739" t="s">
        <v>290</v>
      </c>
      <c r="F218" s="2739"/>
      <c r="G218" s="2727" t="s">
        <v>291</v>
      </c>
      <c r="H218" s="2740">
        <v>7.4999999999999997E-2</v>
      </c>
      <c r="I218" s="2811">
        <f>'Upah &amp; Bahan'!$I$31</f>
        <v>90000</v>
      </c>
      <c r="J218" s="2729">
        <f>ROUND(H218*I218,2)</f>
        <v>6750</v>
      </c>
      <c r="K218" s="2733"/>
      <c r="L218" s="3177">
        <f>VLOOKUP($E218,$D$1744:$G$1761,2,0)</f>
        <v>1</v>
      </c>
      <c r="M218" s="2731" t="str">
        <f>VLOOKUP($E218,$D$1744:$G$1761,3,0)</f>
        <v>WNI</v>
      </c>
      <c r="N218" s="2729">
        <f t="shared" si="16"/>
        <v>6750</v>
      </c>
      <c r="Q218" s="2717"/>
      <c r="R218" s="2717"/>
      <c r="S218" s="2719"/>
      <c r="T218" s="2717"/>
      <c r="U218" s="2717"/>
      <c r="V218" s="2717"/>
    </row>
    <row r="219" spans="2:22" s="2721" customFormat="1" ht="14.1" customHeight="1" x14ac:dyDescent="0.2">
      <c r="B219" s="2711"/>
      <c r="C219" s="2537"/>
      <c r="D219" s="2536"/>
      <c r="E219" s="2736"/>
      <c r="F219" s="2741"/>
      <c r="G219" s="2742"/>
      <c r="H219" s="2743"/>
      <c r="I219" s="2812"/>
      <c r="J219" s="2813"/>
      <c r="K219" s="2732">
        <f>SUM(J215:J218)</f>
        <v>213900</v>
      </c>
      <c r="L219" s="3177"/>
      <c r="M219" s="2732"/>
      <c r="N219" s="2729">
        <f t="shared" si="16"/>
        <v>0</v>
      </c>
      <c r="Q219" s="2717"/>
      <c r="R219" s="2717"/>
      <c r="S219" s="2719"/>
      <c r="T219" s="2717"/>
      <c r="U219" s="2717"/>
      <c r="V219" s="2717"/>
    </row>
    <row r="220" spans="2:22" s="2721" customFormat="1" ht="14.1" customHeight="1" x14ac:dyDescent="0.2">
      <c r="B220" s="2711"/>
      <c r="C220" s="2528" t="s">
        <v>609</v>
      </c>
      <c r="D220" s="2725" t="s">
        <v>606</v>
      </c>
      <c r="E220" s="2739"/>
      <c r="F220" s="2739"/>
      <c r="G220" s="2727"/>
      <c r="H220" s="2740"/>
      <c r="I220" s="2814"/>
      <c r="J220" s="2729"/>
      <c r="K220" s="2730"/>
      <c r="L220" s="3177"/>
      <c r="M220" s="2732"/>
      <c r="N220" s="2729">
        <f t="shared" si="16"/>
        <v>0</v>
      </c>
      <c r="Q220" s="2717"/>
      <c r="R220" s="2717"/>
      <c r="S220" s="2719"/>
      <c r="T220" s="2717"/>
      <c r="U220" s="2717"/>
      <c r="V220" s="2717"/>
    </row>
    <row r="221" spans="2:22" s="2721" customFormat="1" ht="14.1" customHeight="1" x14ac:dyDescent="0.2">
      <c r="B221" s="2711"/>
      <c r="C221" s="2537"/>
      <c r="D221" s="2536"/>
      <c r="E221" s="2736"/>
      <c r="F221" s="2741"/>
      <c r="G221" s="2742"/>
      <c r="H221" s="2743"/>
      <c r="I221" s="2744"/>
      <c r="J221" s="2813"/>
      <c r="K221" s="2732">
        <f>SUM(J220:J220)</f>
        <v>0</v>
      </c>
      <c r="L221" s="3177"/>
      <c r="M221" s="2732"/>
      <c r="N221" s="2729">
        <f t="shared" si="16"/>
        <v>0</v>
      </c>
      <c r="Q221" s="2717"/>
      <c r="R221" s="2717"/>
      <c r="S221" s="2719"/>
      <c r="T221" s="2717"/>
      <c r="U221" s="2717"/>
      <c r="V221" s="2717"/>
    </row>
    <row r="222" spans="2:22" s="2721" customFormat="1" ht="14.1" customHeight="1" x14ac:dyDescent="0.2">
      <c r="B222" s="2711"/>
      <c r="C222" s="2537" t="s">
        <v>610</v>
      </c>
      <c r="D222" s="2738" t="s">
        <v>651</v>
      </c>
      <c r="E222" s="2741"/>
      <c r="F222" s="2741"/>
      <c r="G222" s="2742"/>
      <c r="H222" s="2743"/>
      <c r="I222" s="2744"/>
      <c r="J222" s="2745" t="s">
        <v>652</v>
      </c>
      <c r="K222" s="2732">
        <f>K214+K219+K221</f>
        <v>816940</v>
      </c>
      <c r="L222" s="3179">
        <f>N222/K222</f>
        <v>0.98013670526599261</v>
      </c>
      <c r="M222" s="2745"/>
      <c r="N222" s="2747">
        <f>SUM(N210:N221)</f>
        <v>800712.88</v>
      </c>
      <c r="Q222" s="2717"/>
      <c r="R222" s="2717"/>
      <c r="S222" s="2719"/>
      <c r="T222" s="2717"/>
      <c r="U222" s="2717"/>
      <c r="V222" s="2717"/>
    </row>
    <row r="223" spans="2:22" s="2721" customFormat="1" ht="14.1" customHeight="1" x14ac:dyDescent="0.2">
      <c r="B223" s="2711"/>
      <c r="C223" s="2537" t="s">
        <v>611</v>
      </c>
      <c r="D223" s="2738" t="s">
        <v>653</v>
      </c>
      <c r="E223" s="2741"/>
      <c r="F223" s="2748">
        <f>$F$42</f>
        <v>0.1</v>
      </c>
      <c r="G223" s="2727" t="s">
        <v>425</v>
      </c>
      <c r="H223" s="2748">
        <f>$H$42</f>
        <v>0.03</v>
      </c>
      <c r="I223" s="2749" t="s">
        <v>424</v>
      </c>
      <c r="J223" s="2732" t="s">
        <v>610</v>
      </c>
      <c r="K223" s="2750">
        <f>ROUND((K222*(F223+H223)),2)</f>
        <v>106202.2</v>
      </c>
      <c r="L223" s="2732"/>
      <c r="M223" s="2732"/>
      <c r="N223" s="2732"/>
      <c r="Q223" s="2717"/>
      <c r="R223" s="2717"/>
      <c r="S223" s="2719"/>
      <c r="T223" s="2717"/>
      <c r="U223" s="2717"/>
      <c r="V223" s="2717"/>
    </row>
    <row r="224" spans="2:22" s="2721" customFormat="1" ht="14.1" customHeight="1" x14ac:dyDescent="0.2">
      <c r="B224" s="2711"/>
      <c r="C224" s="2880" t="s">
        <v>654</v>
      </c>
      <c r="D224" s="2752" t="s">
        <v>301</v>
      </c>
      <c r="E224" s="2815"/>
      <c r="F224" s="2815"/>
      <c r="G224" s="2815"/>
      <c r="H224" s="2816"/>
      <c r="I224" s="2815"/>
      <c r="J224" s="2755" t="s">
        <v>668</v>
      </c>
      <c r="K224" s="2756">
        <f>SUM(K222:K223)</f>
        <v>923142.2</v>
      </c>
      <c r="L224" s="2746"/>
      <c r="M224" s="2755"/>
      <c r="N224" s="2757"/>
      <c r="Q224" s="2717"/>
      <c r="R224" s="2717"/>
      <c r="S224" s="2719"/>
      <c r="T224" s="2717"/>
      <c r="U224" s="2717"/>
      <c r="V224" s="2717"/>
    </row>
    <row r="225" spans="2:22" s="2689" customFormat="1" x14ac:dyDescent="0.2">
      <c r="B225" s="2694"/>
      <c r="C225" s="2707"/>
      <c r="D225" s="2863"/>
      <c r="E225" s="2863"/>
      <c r="F225" s="2863"/>
      <c r="G225" s="2863"/>
      <c r="H225" s="2864"/>
      <c r="I225" s="2863"/>
      <c r="J225" s="2865"/>
      <c r="K225" s="2866"/>
      <c r="L225" s="2866"/>
      <c r="M225" s="2866"/>
      <c r="N225" s="2866"/>
      <c r="O225" s="2690"/>
      <c r="Q225" s="2717"/>
      <c r="R225" s="2717"/>
      <c r="S225" s="2719"/>
      <c r="T225" s="2717"/>
      <c r="U225" s="2717"/>
      <c r="V225" s="2717"/>
    </row>
    <row r="226" spans="2:22" s="2721" customFormat="1" ht="14.1" customHeight="1" x14ac:dyDescent="0.2">
      <c r="B226" s="2711">
        <f>B206+1</f>
        <v>13</v>
      </c>
      <c r="C226" s="2711"/>
      <c r="D226" s="2713" t="s">
        <v>1500</v>
      </c>
      <c r="E226" s="2713"/>
      <c r="F226" s="2713"/>
      <c r="G226" s="2713"/>
      <c r="H226" s="2714"/>
      <c r="I226" s="2713"/>
      <c r="J226" s="2713"/>
      <c r="K226" s="2715" t="s">
        <v>1068</v>
      </c>
      <c r="L226" s="2715"/>
      <c r="M226" s="2715"/>
      <c r="N226" s="2715"/>
      <c r="O226" s="2721" t="str">
        <f>D227</f>
        <v>m3</v>
      </c>
      <c r="P226" s="2810">
        <f>K244</f>
        <v>571377.72</v>
      </c>
      <c r="Q226" s="2718">
        <f>L242</f>
        <v>1</v>
      </c>
      <c r="R226" s="2718"/>
      <c r="S226" s="2719">
        <f>N242</f>
        <v>505644</v>
      </c>
      <c r="T226" s="2515">
        <f>U226+S226</f>
        <v>571377.72</v>
      </c>
      <c r="U226" s="2719">
        <f>S226*V226</f>
        <v>65733.72</v>
      </c>
      <c r="V226" s="2718">
        <f>$F$42+$H$42</f>
        <v>0.13</v>
      </c>
    </row>
    <row r="227" spans="2:22" s="2721" customFormat="1" ht="14.1" customHeight="1" x14ac:dyDescent="0.2">
      <c r="B227" s="2711"/>
      <c r="C227" s="2711"/>
      <c r="D227" s="2721" t="s">
        <v>293</v>
      </c>
      <c r="H227" s="2711"/>
      <c r="Q227" s="2717"/>
      <c r="R227" s="2717"/>
      <c r="S227" s="2719"/>
      <c r="T227" s="2717"/>
      <c r="U227" s="2717"/>
      <c r="V227" s="2717"/>
    </row>
    <row r="228" spans="2:22" s="2721" customFormat="1" ht="14.1" customHeight="1" x14ac:dyDescent="0.2">
      <c r="B228" s="2711"/>
      <c r="C228" s="2711"/>
      <c r="H228" s="2711"/>
      <c r="Q228" s="2717"/>
      <c r="R228" s="2717"/>
      <c r="S228" s="2719"/>
      <c r="T228" s="2717"/>
      <c r="U228" s="2717"/>
      <c r="V228" s="2717"/>
    </row>
    <row r="229" spans="2:22" s="2721" customFormat="1" ht="14.1" customHeight="1" x14ac:dyDescent="0.2">
      <c r="B229" s="2711"/>
      <c r="C229" s="2524"/>
      <c r="D229" s="3427" t="s">
        <v>280</v>
      </c>
      <c r="E229" s="3428"/>
      <c r="F229" s="2722"/>
      <c r="G229" s="3433" t="s">
        <v>281</v>
      </c>
      <c r="H229" s="3433" t="s">
        <v>282</v>
      </c>
      <c r="I229" s="2524" t="s">
        <v>283</v>
      </c>
      <c r="J229" s="2524" t="s">
        <v>284</v>
      </c>
      <c r="K229" s="2524" t="s">
        <v>340</v>
      </c>
      <c r="L229" s="2524" t="s">
        <v>2008</v>
      </c>
      <c r="M229" s="2524" t="s">
        <v>2009</v>
      </c>
      <c r="N229" s="2524" t="s">
        <v>284</v>
      </c>
      <c r="Q229" s="2717"/>
      <c r="R229" s="2717"/>
      <c r="S229" s="2719"/>
      <c r="T229" s="2717"/>
      <c r="U229" s="2717"/>
      <c r="V229" s="2717"/>
    </row>
    <row r="230" spans="2:22" s="2721" customFormat="1" ht="14.1" customHeight="1" x14ac:dyDescent="0.2">
      <c r="B230" s="2711"/>
      <c r="C230" s="2528" t="s">
        <v>423</v>
      </c>
      <c r="D230" s="3429"/>
      <c r="E230" s="3430"/>
      <c r="F230" s="2723"/>
      <c r="G230" s="3434"/>
      <c r="H230" s="3434"/>
      <c r="I230" s="2528" t="s">
        <v>285</v>
      </c>
      <c r="J230" s="2528" t="s">
        <v>286</v>
      </c>
      <c r="K230" s="2528" t="s">
        <v>286</v>
      </c>
      <c r="L230" s="2528" t="s">
        <v>2011</v>
      </c>
      <c r="M230" s="2528"/>
      <c r="N230" s="2528" t="s">
        <v>2013</v>
      </c>
      <c r="Q230" s="2717"/>
      <c r="R230" s="2717"/>
      <c r="S230" s="2719"/>
      <c r="T230" s="2717"/>
      <c r="U230" s="2717"/>
      <c r="V230" s="2717"/>
    </row>
    <row r="231" spans="2:22" s="2721" customFormat="1" ht="14.1" customHeight="1" x14ac:dyDescent="0.2">
      <c r="B231" s="2711"/>
      <c r="C231" s="2537"/>
      <c r="D231" s="3431"/>
      <c r="E231" s="3432"/>
      <c r="F231" s="2724"/>
      <c r="G231" s="3435"/>
      <c r="H231" s="3435"/>
      <c r="I231" s="2537" t="s">
        <v>286</v>
      </c>
      <c r="J231" s="2536"/>
      <c r="K231" s="2536"/>
      <c r="L231" s="2536"/>
      <c r="M231" s="2536"/>
      <c r="N231" s="2537" t="s">
        <v>286</v>
      </c>
      <c r="Q231" s="2717"/>
      <c r="R231" s="2717"/>
      <c r="S231" s="2719"/>
      <c r="T231" s="2717"/>
      <c r="U231" s="2717"/>
      <c r="V231" s="2717"/>
    </row>
    <row r="232" spans="2:22" s="2721" customFormat="1" ht="14.1" customHeight="1" x14ac:dyDescent="0.2">
      <c r="B232" s="2711"/>
      <c r="C232" s="2528" t="s">
        <v>607</v>
      </c>
      <c r="D232" s="2725" t="s">
        <v>287</v>
      </c>
      <c r="E232" s="2739" t="s">
        <v>299</v>
      </c>
      <c r="F232" s="2739"/>
      <c r="G232" s="2727" t="s">
        <v>293</v>
      </c>
      <c r="H232" s="2740">
        <v>1.2</v>
      </c>
      <c r="I232" s="2811">
        <f>'Upah &amp; Bahan'!I67</f>
        <v>270000</v>
      </c>
      <c r="J232" s="2729">
        <f>ROUND(H232*I232,2)</f>
        <v>324000</v>
      </c>
      <c r="K232" s="2730"/>
      <c r="L232" s="3177">
        <v>1</v>
      </c>
      <c r="M232" s="2732"/>
      <c r="N232" s="2729">
        <f t="shared" ref="N232:N241" si="17">L232*J232</f>
        <v>324000</v>
      </c>
      <c r="Q232" s="2717"/>
      <c r="R232" s="2717"/>
      <c r="S232" s="2719"/>
      <c r="T232" s="2717"/>
      <c r="U232" s="2717"/>
      <c r="V232" s="2717"/>
    </row>
    <row r="233" spans="2:22" s="2721" customFormat="1" ht="14.1" customHeight="1" x14ac:dyDescent="0.2">
      <c r="B233" s="2711"/>
      <c r="C233" s="2528"/>
      <c r="D233" s="2733"/>
      <c r="E233" s="2739" t="s">
        <v>302</v>
      </c>
      <c r="F233" s="2739"/>
      <c r="G233" s="2727" t="s">
        <v>293</v>
      </c>
      <c r="H233" s="2740">
        <v>0.432</v>
      </c>
      <c r="I233" s="2811">
        <f>'Upah &amp; Bahan'!$I$122</f>
        <v>163000</v>
      </c>
      <c r="J233" s="2729">
        <f>ROUND(H233*I233,2)</f>
        <v>70416</v>
      </c>
      <c r="K233" s="2734"/>
      <c r="L233" s="3177">
        <v>1</v>
      </c>
      <c r="M233" s="2732"/>
      <c r="N233" s="2729">
        <f t="shared" si="17"/>
        <v>70416</v>
      </c>
      <c r="Q233" s="2717"/>
      <c r="R233" s="2717"/>
      <c r="S233" s="2719"/>
      <c r="T233" s="2717"/>
      <c r="U233" s="2717"/>
      <c r="V233" s="2717"/>
    </row>
    <row r="234" spans="2:22" s="2721" customFormat="1" ht="14.1" customHeight="1" x14ac:dyDescent="0.2">
      <c r="B234" s="2711"/>
      <c r="C234" s="2528"/>
      <c r="D234" s="2733"/>
      <c r="E234" s="2736"/>
      <c r="F234" s="2741"/>
      <c r="G234" s="2742"/>
      <c r="H234" s="2743"/>
      <c r="I234" s="2812"/>
      <c r="J234" s="2813"/>
      <c r="K234" s="2729">
        <f>SUM(J232:J233)</f>
        <v>394416</v>
      </c>
      <c r="L234" s="3177"/>
      <c r="M234" s="2732"/>
      <c r="N234" s="2729">
        <f t="shared" si="17"/>
        <v>0</v>
      </c>
      <c r="Q234" s="2717"/>
      <c r="R234" s="2717"/>
      <c r="S234" s="2719"/>
      <c r="T234" s="2717"/>
      <c r="U234" s="2717"/>
      <c r="V234" s="2717"/>
    </row>
    <row r="235" spans="2:22" s="2721" customFormat="1" ht="14.1" customHeight="1" x14ac:dyDescent="0.2">
      <c r="B235" s="2711"/>
      <c r="C235" s="2528" t="s">
        <v>608</v>
      </c>
      <c r="D235" s="2725" t="s">
        <v>288</v>
      </c>
      <c r="E235" s="2739" t="s">
        <v>294</v>
      </c>
      <c r="F235" s="2739"/>
      <c r="G235" s="2727" t="s">
        <v>291</v>
      </c>
      <c r="H235" s="2740">
        <v>0.78</v>
      </c>
      <c r="I235" s="2811">
        <f>'Upah &amp; Bahan'!$I$24</f>
        <v>88300</v>
      </c>
      <c r="J235" s="2729">
        <f>ROUND(H235*I235,2)</f>
        <v>68874</v>
      </c>
      <c r="K235" s="2730"/>
      <c r="L235" s="3177">
        <f>VLOOKUP($E235,$D$1744:$G$1761,2,0)</f>
        <v>1</v>
      </c>
      <c r="M235" s="2731" t="str">
        <f>VLOOKUP($E235,$D$1744:$G$1761,3,0)</f>
        <v>WNI</v>
      </c>
      <c r="N235" s="2729">
        <f t="shared" si="17"/>
        <v>68874</v>
      </c>
      <c r="Q235" s="2717"/>
      <c r="R235" s="2717"/>
      <c r="S235" s="2719"/>
      <c r="T235" s="2717"/>
      <c r="U235" s="2717"/>
      <c r="V235" s="2717"/>
    </row>
    <row r="236" spans="2:22" s="2721" customFormat="1" ht="14.1" customHeight="1" x14ac:dyDescent="0.2">
      <c r="B236" s="2711"/>
      <c r="C236" s="2528"/>
      <c r="D236" s="2733"/>
      <c r="E236" s="2739" t="s">
        <v>295</v>
      </c>
      <c r="F236" s="2739"/>
      <c r="G236" s="2727" t="s">
        <v>291</v>
      </c>
      <c r="H236" s="2740">
        <v>0.39</v>
      </c>
      <c r="I236" s="2811">
        <f>'Upah &amp; Bahan'!$I$32</f>
        <v>90000</v>
      </c>
      <c r="J236" s="2729">
        <f>ROUND(H236*I236,2)</f>
        <v>35100</v>
      </c>
      <c r="K236" s="2734"/>
      <c r="L236" s="3177">
        <f>VLOOKUP($E236,$D$1744:$G$1761,2,0)</f>
        <v>1</v>
      </c>
      <c r="M236" s="2731" t="str">
        <f>VLOOKUP($E236,$D$1744:$G$1761,3,0)</f>
        <v>WNI</v>
      </c>
      <c r="N236" s="2729">
        <f t="shared" si="17"/>
        <v>35100</v>
      </c>
      <c r="Q236" s="2717"/>
      <c r="R236" s="2717"/>
      <c r="S236" s="2719"/>
      <c r="T236" s="2717"/>
      <c r="U236" s="2717"/>
      <c r="V236" s="2717"/>
    </row>
    <row r="237" spans="2:22" s="2721" customFormat="1" ht="14.1" customHeight="1" x14ac:dyDescent="0.2">
      <c r="B237" s="2711"/>
      <c r="C237" s="2528"/>
      <c r="D237" s="2733"/>
      <c r="E237" s="2739" t="s">
        <v>296</v>
      </c>
      <c r="F237" s="2739"/>
      <c r="G237" s="2727" t="s">
        <v>291</v>
      </c>
      <c r="H237" s="2740">
        <v>3.9E-2</v>
      </c>
      <c r="I237" s="2814">
        <f>'Upah &amp; Bahan'!$I$26</f>
        <v>96000</v>
      </c>
      <c r="J237" s="2729">
        <f>ROUND(H237*I237,2)</f>
        <v>3744</v>
      </c>
      <c r="K237" s="2734"/>
      <c r="L237" s="3177">
        <f>VLOOKUP($E237,$D$1744:$G$1761,2,0)</f>
        <v>1</v>
      </c>
      <c r="M237" s="2731" t="str">
        <f>VLOOKUP($E237,$D$1744:$G$1761,3,0)</f>
        <v>WNI</v>
      </c>
      <c r="N237" s="2729">
        <f t="shared" si="17"/>
        <v>3744</v>
      </c>
      <c r="Q237" s="2717"/>
      <c r="R237" s="2717"/>
      <c r="S237" s="2719"/>
      <c r="T237" s="2717"/>
      <c r="U237" s="2717"/>
      <c r="V237" s="2717"/>
    </row>
    <row r="238" spans="2:22" s="2721" customFormat="1" ht="14.1" customHeight="1" x14ac:dyDescent="0.2">
      <c r="B238" s="2711"/>
      <c r="C238" s="2528"/>
      <c r="D238" s="2733"/>
      <c r="E238" s="2739" t="s">
        <v>290</v>
      </c>
      <c r="F238" s="2739"/>
      <c r="G238" s="2727" t="s">
        <v>291</v>
      </c>
      <c r="H238" s="2740">
        <v>3.9E-2</v>
      </c>
      <c r="I238" s="2811">
        <f>'Upah &amp; Bahan'!$I$31</f>
        <v>90000</v>
      </c>
      <c r="J238" s="2729">
        <f>ROUND(H238*I238,2)</f>
        <v>3510</v>
      </c>
      <c r="K238" s="2733"/>
      <c r="L238" s="3177">
        <f>VLOOKUP($E238,$D$1744:$G$1761,2,0)</f>
        <v>1</v>
      </c>
      <c r="M238" s="2731" t="str">
        <f>VLOOKUP($E238,$D$1744:$G$1761,3,0)</f>
        <v>WNI</v>
      </c>
      <c r="N238" s="2729">
        <f t="shared" si="17"/>
        <v>3510</v>
      </c>
      <c r="Q238" s="2717"/>
      <c r="R238" s="2717"/>
      <c r="S238" s="2719"/>
      <c r="T238" s="2717"/>
      <c r="U238" s="2717"/>
      <c r="V238" s="2717"/>
    </row>
    <row r="239" spans="2:22" s="2721" customFormat="1" ht="14.1" customHeight="1" x14ac:dyDescent="0.2">
      <c r="B239" s="2711"/>
      <c r="C239" s="2537"/>
      <c r="D239" s="2536"/>
      <c r="E239" s="2736"/>
      <c r="F239" s="2741"/>
      <c r="G239" s="2742"/>
      <c r="H239" s="2743"/>
      <c r="I239" s="2812"/>
      <c r="J239" s="2813"/>
      <c r="K239" s="2732">
        <f>SUM(J235:J238)</f>
        <v>111228</v>
      </c>
      <c r="L239" s="3177"/>
      <c r="M239" s="2732"/>
      <c r="N239" s="2729">
        <f t="shared" si="17"/>
        <v>0</v>
      </c>
      <c r="Q239" s="2717"/>
      <c r="R239" s="2717"/>
      <c r="S239" s="2719"/>
      <c r="T239" s="2717"/>
      <c r="U239" s="2717"/>
      <c r="V239" s="2717"/>
    </row>
    <row r="240" spans="2:22" s="2721" customFormat="1" ht="14.1" customHeight="1" x14ac:dyDescent="0.2">
      <c r="B240" s="2711"/>
      <c r="C240" s="2528" t="s">
        <v>609</v>
      </c>
      <c r="D240" s="2725" t="s">
        <v>606</v>
      </c>
      <c r="E240" s="2739"/>
      <c r="F240" s="2739"/>
      <c r="G240" s="2727"/>
      <c r="H240" s="2740"/>
      <c r="I240" s="2814"/>
      <c r="J240" s="2729"/>
      <c r="K240" s="2730"/>
      <c r="L240" s="3177"/>
      <c r="M240" s="2732"/>
      <c r="N240" s="2729">
        <f t="shared" si="17"/>
        <v>0</v>
      </c>
      <c r="Q240" s="2717"/>
      <c r="R240" s="2717"/>
      <c r="S240" s="2719"/>
      <c r="T240" s="2717"/>
      <c r="U240" s="2717"/>
      <c r="V240" s="2717"/>
    </row>
    <row r="241" spans="2:22" s="2721" customFormat="1" ht="14.1" customHeight="1" x14ac:dyDescent="0.2">
      <c r="B241" s="2711"/>
      <c r="C241" s="2537"/>
      <c r="D241" s="2536"/>
      <c r="E241" s="2736"/>
      <c r="F241" s="2741"/>
      <c r="G241" s="2742"/>
      <c r="H241" s="2743"/>
      <c r="I241" s="2744"/>
      <c r="J241" s="2813"/>
      <c r="K241" s="2732">
        <f>SUM(J240:J240)</f>
        <v>0</v>
      </c>
      <c r="L241" s="3177"/>
      <c r="M241" s="2732"/>
      <c r="N241" s="2729">
        <f t="shared" si="17"/>
        <v>0</v>
      </c>
      <c r="Q241" s="2717"/>
      <c r="R241" s="2717"/>
      <c r="S241" s="2719"/>
      <c r="T241" s="2717"/>
      <c r="U241" s="2717"/>
      <c r="V241" s="2717"/>
    </row>
    <row r="242" spans="2:22" s="2721" customFormat="1" ht="14.1" customHeight="1" x14ac:dyDescent="0.2">
      <c r="B242" s="2711"/>
      <c r="C242" s="2537" t="s">
        <v>610</v>
      </c>
      <c r="D242" s="2738" t="s">
        <v>651</v>
      </c>
      <c r="E242" s="2741"/>
      <c r="F242" s="2741"/>
      <c r="G242" s="2742"/>
      <c r="H242" s="2743"/>
      <c r="I242" s="2744"/>
      <c r="J242" s="2745" t="s">
        <v>652</v>
      </c>
      <c r="K242" s="2732">
        <f>K234+K239+K241</f>
        <v>505644</v>
      </c>
      <c r="L242" s="3179">
        <f>N242/K242</f>
        <v>1</v>
      </c>
      <c r="M242" s="2745"/>
      <c r="N242" s="2747">
        <f>SUM(N230:N241)</f>
        <v>505644</v>
      </c>
      <c r="Q242" s="2717"/>
      <c r="R242" s="2717"/>
      <c r="S242" s="2719"/>
      <c r="T242" s="2717"/>
      <c r="U242" s="2717"/>
      <c r="V242" s="2717"/>
    </row>
    <row r="243" spans="2:22" s="2721" customFormat="1" ht="14.1" customHeight="1" x14ac:dyDescent="0.2">
      <c r="B243" s="2711"/>
      <c r="C243" s="2537" t="s">
        <v>611</v>
      </c>
      <c r="D243" s="2738" t="s">
        <v>653</v>
      </c>
      <c r="E243" s="2741"/>
      <c r="F243" s="2748">
        <f>$F$42</f>
        <v>0.1</v>
      </c>
      <c r="G243" s="2727" t="s">
        <v>425</v>
      </c>
      <c r="H243" s="2748">
        <f>$H$42</f>
        <v>0.03</v>
      </c>
      <c r="I243" s="2749" t="s">
        <v>424</v>
      </c>
      <c r="J243" s="2732" t="s">
        <v>610</v>
      </c>
      <c r="K243" s="2750">
        <f>ROUND((K242*(F243+H243)),2)</f>
        <v>65733.72</v>
      </c>
      <c r="L243" s="2732"/>
      <c r="M243" s="2732"/>
      <c r="N243" s="2732"/>
      <c r="Q243" s="2717"/>
      <c r="R243" s="2717"/>
      <c r="S243" s="2719"/>
      <c r="T243" s="2717"/>
      <c r="U243" s="2717"/>
      <c r="V243" s="2717"/>
    </row>
    <row r="244" spans="2:22" s="2721" customFormat="1" ht="14.1" customHeight="1" x14ac:dyDescent="0.2">
      <c r="B244" s="2711"/>
      <c r="C244" s="2880" t="s">
        <v>654</v>
      </c>
      <c r="D244" s="2752" t="s">
        <v>301</v>
      </c>
      <c r="E244" s="2815"/>
      <c r="F244" s="2815"/>
      <c r="G244" s="2815"/>
      <c r="H244" s="2816"/>
      <c r="I244" s="2815"/>
      <c r="J244" s="2755" t="s">
        <v>668</v>
      </c>
      <c r="K244" s="2756">
        <f>SUM(K242:K243)</f>
        <v>571377.72</v>
      </c>
      <c r="L244" s="2746"/>
      <c r="M244" s="2755"/>
      <c r="N244" s="2757"/>
      <c r="Q244" s="2717"/>
      <c r="R244" s="2717"/>
      <c r="S244" s="2719"/>
      <c r="T244" s="2717"/>
      <c r="U244" s="2717"/>
      <c r="V244" s="2717"/>
    </row>
    <row r="245" spans="2:22" s="2689" customFormat="1" x14ac:dyDescent="0.2">
      <c r="B245" s="2694"/>
      <c r="C245" s="2707"/>
      <c r="D245" s="2863"/>
      <c r="E245" s="2863"/>
      <c r="F245" s="2863"/>
      <c r="G245" s="2863"/>
      <c r="H245" s="2864"/>
      <c r="I245" s="2863"/>
      <c r="J245" s="2865"/>
      <c r="K245" s="2866"/>
      <c r="L245" s="2866"/>
      <c r="M245" s="2866"/>
      <c r="N245" s="2866"/>
      <c r="O245" s="2690"/>
      <c r="Q245" s="2717"/>
      <c r="R245" s="2717"/>
      <c r="S245" s="2719"/>
      <c r="T245" s="2717"/>
      <c r="U245" s="2717"/>
      <c r="V245" s="2717"/>
    </row>
    <row r="246" spans="2:22" s="2721" customFormat="1" ht="14.1" customHeight="1" x14ac:dyDescent="0.2">
      <c r="B246" s="2711">
        <f>B226+1</f>
        <v>14</v>
      </c>
      <c r="C246" s="2711"/>
      <c r="D246" s="2713" t="s">
        <v>665</v>
      </c>
      <c r="E246" s="2713"/>
      <c r="F246" s="2713"/>
      <c r="G246" s="2713"/>
      <c r="H246" s="2882"/>
      <c r="I246" s="2713"/>
      <c r="J246" s="2713"/>
      <c r="K246" s="2715" t="s">
        <v>1082</v>
      </c>
      <c r="L246" s="2715"/>
      <c r="M246" s="2715"/>
      <c r="N246" s="2715"/>
      <c r="O246" s="2721" t="str">
        <f>D247</f>
        <v>m2</v>
      </c>
      <c r="P246" s="2810">
        <f>K265</f>
        <v>272058.8</v>
      </c>
      <c r="Q246" s="2718">
        <f>L263</f>
        <v>0.98355746801794319</v>
      </c>
      <c r="R246" s="2718"/>
      <c r="S246" s="2719">
        <f>N263</f>
        <v>236801.296</v>
      </c>
      <c r="T246" s="2515">
        <f>U246+S246</f>
        <v>267585.46448000002</v>
      </c>
      <c r="U246" s="2719">
        <f>S246*V246</f>
        <v>30784.16848</v>
      </c>
      <c r="V246" s="2718">
        <f>$F$42+$H$42</f>
        <v>0.13</v>
      </c>
    </row>
    <row r="247" spans="2:22" s="2721" customFormat="1" ht="14.1" customHeight="1" x14ac:dyDescent="0.2">
      <c r="B247" s="2711"/>
      <c r="C247" s="2711"/>
      <c r="D247" s="2721" t="s">
        <v>338</v>
      </c>
      <c r="H247" s="2883"/>
      <c r="Q247" s="2717"/>
      <c r="R247" s="2717"/>
      <c r="S247" s="2719"/>
      <c r="T247" s="2717"/>
      <c r="U247" s="2717"/>
      <c r="V247" s="2717"/>
    </row>
    <row r="248" spans="2:22" s="2721" customFormat="1" ht="14.1" customHeight="1" x14ac:dyDescent="0.2">
      <c r="B248" s="2711"/>
      <c r="C248" s="2711"/>
      <c r="H248" s="2883"/>
      <c r="Q248" s="2717"/>
      <c r="R248" s="2717"/>
      <c r="S248" s="2719"/>
      <c r="T248" s="2717"/>
      <c r="U248" s="2717"/>
      <c r="V248" s="2717"/>
    </row>
    <row r="249" spans="2:22" s="2721" customFormat="1" ht="14.1" customHeight="1" x14ac:dyDescent="0.2">
      <c r="B249" s="2711"/>
      <c r="C249" s="2524"/>
      <c r="D249" s="3427" t="s">
        <v>280</v>
      </c>
      <c r="E249" s="3428"/>
      <c r="F249" s="2722"/>
      <c r="G249" s="3433" t="s">
        <v>281</v>
      </c>
      <c r="H249" s="3442" t="s">
        <v>282</v>
      </c>
      <c r="I249" s="2524" t="s">
        <v>283</v>
      </c>
      <c r="J249" s="2524" t="s">
        <v>284</v>
      </c>
      <c r="K249" s="2524" t="s">
        <v>340</v>
      </c>
      <c r="L249" s="2524" t="s">
        <v>2008</v>
      </c>
      <c r="M249" s="2524" t="s">
        <v>2009</v>
      </c>
      <c r="N249" s="2524" t="s">
        <v>284</v>
      </c>
      <c r="Q249" s="2717"/>
      <c r="R249" s="2717"/>
      <c r="S249" s="2719"/>
      <c r="T249" s="2717"/>
      <c r="U249" s="2717"/>
      <c r="V249" s="2717"/>
    </row>
    <row r="250" spans="2:22" s="2721" customFormat="1" ht="14.1" customHeight="1" x14ac:dyDescent="0.2">
      <c r="B250" s="2711"/>
      <c r="C250" s="2528" t="s">
        <v>423</v>
      </c>
      <c r="D250" s="3429"/>
      <c r="E250" s="3430"/>
      <c r="F250" s="2723"/>
      <c r="G250" s="3434"/>
      <c r="H250" s="3443"/>
      <c r="I250" s="2528" t="s">
        <v>285</v>
      </c>
      <c r="J250" s="2528" t="s">
        <v>286</v>
      </c>
      <c r="K250" s="2528" t="s">
        <v>286</v>
      </c>
      <c r="L250" s="2528" t="s">
        <v>2011</v>
      </c>
      <c r="M250" s="2528"/>
      <c r="N250" s="2528" t="s">
        <v>2013</v>
      </c>
      <c r="Q250" s="2717"/>
      <c r="R250" s="2717"/>
      <c r="S250" s="2719"/>
      <c r="T250" s="2717"/>
      <c r="U250" s="2717"/>
      <c r="V250" s="2717"/>
    </row>
    <row r="251" spans="2:22" s="2721" customFormat="1" ht="14.1" customHeight="1" x14ac:dyDescent="0.2">
      <c r="B251" s="2711"/>
      <c r="C251" s="2537"/>
      <c r="D251" s="3431"/>
      <c r="E251" s="3432"/>
      <c r="F251" s="2724"/>
      <c r="G251" s="3435"/>
      <c r="H251" s="3444"/>
      <c r="I251" s="2537" t="s">
        <v>286</v>
      </c>
      <c r="J251" s="2536"/>
      <c r="K251" s="2536"/>
      <c r="L251" s="2536"/>
      <c r="M251" s="2536"/>
      <c r="N251" s="2537" t="s">
        <v>286</v>
      </c>
      <c r="Q251" s="2717"/>
      <c r="R251" s="2717"/>
      <c r="S251" s="2719"/>
      <c r="T251" s="2717"/>
      <c r="U251" s="2717"/>
      <c r="V251" s="2717"/>
    </row>
    <row r="252" spans="2:22" s="2721" customFormat="1" ht="14.1" customHeight="1" x14ac:dyDescent="0.2">
      <c r="B252" s="2711"/>
      <c r="C252" s="2528" t="s">
        <v>607</v>
      </c>
      <c r="D252" s="2725" t="s">
        <v>287</v>
      </c>
      <c r="E252" s="2739" t="s">
        <v>330</v>
      </c>
      <c r="F252" s="2739"/>
      <c r="G252" s="2727" t="s">
        <v>321</v>
      </c>
      <c r="H252" s="2740">
        <v>140</v>
      </c>
      <c r="I252" s="2814">
        <f>'Upah &amp; Bahan'!$I$57</f>
        <v>800</v>
      </c>
      <c r="J252" s="2729">
        <f>ROUND(H252*I252,2)</f>
        <v>112000</v>
      </c>
      <c r="K252" s="2730"/>
      <c r="L252" s="3177">
        <v>1</v>
      </c>
      <c r="M252" s="2732"/>
      <c r="N252" s="2729">
        <f t="shared" ref="N252:N259" si="18">L252*J252</f>
        <v>112000</v>
      </c>
      <c r="Q252" s="2717"/>
      <c r="R252" s="2717"/>
      <c r="S252" s="2719"/>
      <c r="T252" s="2717"/>
      <c r="U252" s="2717"/>
      <c r="V252" s="2717"/>
    </row>
    <row r="253" spans="2:22" s="2721" customFormat="1" ht="14.1" customHeight="1" x14ac:dyDescent="0.2">
      <c r="B253" s="2711"/>
      <c r="C253" s="2528"/>
      <c r="D253" s="2733"/>
      <c r="E253" s="2739" t="s">
        <v>300</v>
      </c>
      <c r="F253" s="2739"/>
      <c r="G253" s="2727" t="s">
        <v>298</v>
      </c>
      <c r="H253" s="2740">
        <v>22.2</v>
      </c>
      <c r="I253" s="2814">
        <f>'Upah &amp; Bahan'!$I$118</f>
        <v>1200</v>
      </c>
      <c r="J253" s="2729">
        <f>ROUND(H253*I253,2)</f>
        <v>26640</v>
      </c>
      <c r="K253" s="2734"/>
      <c r="L253" s="3177">
        <f>$L$192</f>
        <v>0.85140000000000005</v>
      </c>
      <c r="M253" s="2732" t="s">
        <v>2029</v>
      </c>
      <c r="N253" s="2729">
        <f t="shared" si="18"/>
        <v>22681.296000000002</v>
      </c>
      <c r="Q253" s="2717"/>
      <c r="R253" s="2717"/>
      <c r="S253" s="2719"/>
      <c r="T253" s="2717"/>
      <c r="U253" s="2717"/>
      <c r="V253" s="2717"/>
    </row>
    <row r="254" spans="2:22" s="2721" customFormat="1" ht="14.1" customHeight="1" x14ac:dyDescent="0.2">
      <c r="B254" s="2711"/>
      <c r="C254" s="2528"/>
      <c r="D254" s="2733"/>
      <c r="E254" s="2739" t="s">
        <v>331</v>
      </c>
      <c r="F254" s="2739"/>
      <c r="G254" s="2727" t="s">
        <v>293</v>
      </c>
      <c r="H254" s="2740">
        <v>0.10199999999999999</v>
      </c>
      <c r="I254" s="2814">
        <f>'Upah &amp; Bahan'!$I$121</f>
        <v>260000</v>
      </c>
      <c r="J254" s="2729">
        <f>ROUND(H254*I254,2)</f>
        <v>26520</v>
      </c>
      <c r="K254" s="2734"/>
      <c r="L254" s="3177">
        <v>1</v>
      </c>
      <c r="M254" s="2732"/>
      <c r="N254" s="2729">
        <f t="shared" si="18"/>
        <v>26520</v>
      </c>
      <c r="Q254" s="2717"/>
      <c r="R254" s="2717"/>
      <c r="S254" s="2719"/>
      <c r="T254" s="2717"/>
      <c r="U254" s="2717"/>
      <c r="V254" s="2717"/>
    </row>
    <row r="255" spans="2:22" s="2721" customFormat="1" ht="14.1" customHeight="1" x14ac:dyDescent="0.2">
      <c r="B255" s="2711"/>
      <c r="C255" s="2537"/>
      <c r="D255" s="2733"/>
      <c r="E255" s="2736"/>
      <c r="F255" s="2741"/>
      <c r="G255" s="2742"/>
      <c r="H255" s="2743"/>
      <c r="I255" s="2744"/>
      <c r="J255" s="2813"/>
      <c r="K255" s="2729">
        <f>SUM(J252:J254)</f>
        <v>165160</v>
      </c>
      <c r="L255" s="3177"/>
      <c r="M255" s="2732"/>
      <c r="N255" s="2729">
        <f t="shared" si="18"/>
        <v>0</v>
      </c>
      <c r="Q255" s="2717"/>
      <c r="R255" s="2717"/>
      <c r="S255" s="2719"/>
      <c r="T255" s="2717"/>
      <c r="U255" s="2717"/>
      <c r="V255" s="2717"/>
    </row>
    <row r="256" spans="2:22" s="2721" customFormat="1" ht="14.1" customHeight="1" x14ac:dyDescent="0.2">
      <c r="B256" s="2711"/>
      <c r="C256" s="2528" t="s">
        <v>608</v>
      </c>
      <c r="D256" s="2725" t="s">
        <v>288</v>
      </c>
      <c r="E256" s="2739" t="s">
        <v>294</v>
      </c>
      <c r="F256" s="2739"/>
      <c r="G256" s="2727" t="s">
        <v>291</v>
      </c>
      <c r="H256" s="2740">
        <v>0.6</v>
      </c>
      <c r="I256" s="2814">
        <f>'Upah &amp; Bahan'!$I$24</f>
        <v>88300</v>
      </c>
      <c r="J256" s="2729">
        <f>ROUND(H256*I256,2)</f>
        <v>52980</v>
      </c>
      <c r="K256" s="2730"/>
      <c r="L256" s="3177">
        <f>VLOOKUP($E256,$D$1744:$G$1761,2,0)</f>
        <v>1</v>
      </c>
      <c r="M256" s="2731" t="str">
        <f>VLOOKUP($E256,$D$1744:$G$1761,3,0)</f>
        <v>WNI</v>
      </c>
      <c r="N256" s="2729">
        <f t="shared" si="18"/>
        <v>52980</v>
      </c>
      <c r="Q256" s="2717"/>
      <c r="R256" s="2717"/>
      <c r="S256" s="2719"/>
      <c r="T256" s="2717"/>
      <c r="U256" s="2717"/>
      <c r="V256" s="2717"/>
    </row>
    <row r="257" spans="2:22" s="2721" customFormat="1" ht="14.1" customHeight="1" x14ac:dyDescent="0.2">
      <c r="B257" s="2711"/>
      <c r="C257" s="2528"/>
      <c r="D257" s="2733"/>
      <c r="E257" s="2739" t="s">
        <v>295</v>
      </c>
      <c r="F257" s="2739"/>
      <c r="G257" s="2727" t="s">
        <v>291</v>
      </c>
      <c r="H257" s="2740">
        <v>0.2</v>
      </c>
      <c r="I257" s="2814">
        <f>'Upah &amp; Bahan'!$I$32</f>
        <v>90000</v>
      </c>
      <c r="J257" s="2729">
        <f>ROUND(H257*I257,2)</f>
        <v>18000</v>
      </c>
      <c r="K257" s="2734"/>
      <c r="L257" s="3177">
        <f>VLOOKUP($E257,$D$1744:$G$1761,2,0)</f>
        <v>1</v>
      </c>
      <c r="M257" s="2731" t="str">
        <f>VLOOKUP($E257,$D$1744:$G$1761,3,0)</f>
        <v>WNI</v>
      </c>
      <c r="N257" s="2729">
        <f t="shared" si="18"/>
        <v>18000</v>
      </c>
      <c r="Q257" s="2717"/>
      <c r="R257" s="2717"/>
      <c r="S257" s="2719"/>
      <c r="T257" s="2717"/>
      <c r="U257" s="2717"/>
      <c r="V257" s="2717"/>
    </row>
    <row r="258" spans="2:22" s="2721" customFormat="1" ht="14.1" customHeight="1" x14ac:dyDescent="0.2">
      <c r="B258" s="2711"/>
      <c r="C258" s="2528"/>
      <c r="D258" s="2733"/>
      <c r="E258" s="2739" t="s">
        <v>296</v>
      </c>
      <c r="F258" s="2739"/>
      <c r="G258" s="2727" t="s">
        <v>291</v>
      </c>
      <c r="H258" s="2740">
        <v>0.02</v>
      </c>
      <c r="I258" s="2814">
        <f>'Upah &amp; Bahan'!$I$26</f>
        <v>96000</v>
      </c>
      <c r="J258" s="2729">
        <f>ROUND(H258*I258,2)</f>
        <v>1920</v>
      </c>
      <c r="K258" s="2734"/>
      <c r="L258" s="3177">
        <f>VLOOKUP($E258,$D$1744:$G$1761,2,0)</f>
        <v>1</v>
      </c>
      <c r="M258" s="2731" t="str">
        <f>VLOOKUP($E258,$D$1744:$G$1761,3,0)</f>
        <v>WNI</v>
      </c>
      <c r="N258" s="2729">
        <f t="shared" si="18"/>
        <v>1920</v>
      </c>
      <c r="Q258" s="2717"/>
      <c r="R258" s="2717"/>
      <c r="S258" s="2719"/>
      <c r="T258" s="2717"/>
      <c r="U258" s="2717"/>
      <c r="V258" s="2717"/>
    </row>
    <row r="259" spans="2:22" s="2721" customFormat="1" ht="14.1" customHeight="1" x14ac:dyDescent="0.2">
      <c r="B259" s="2711"/>
      <c r="C259" s="2528"/>
      <c r="D259" s="2733"/>
      <c r="E259" s="2739" t="s">
        <v>290</v>
      </c>
      <c r="F259" s="2739"/>
      <c r="G259" s="2727" t="s">
        <v>291</v>
      </c>
      <c r="H259" s="2740">
        <v>0.03</v>
      </c>
      <c r="I259" s="2814">
        <f>'Upah &amp; Bahan'!$I$31</f>
        <v>90000</v>
      </c>
      <c r="J259" s="2729">
        <f>ROUND(H259*I259,2)</f>
        <v>2700</v>
      </c>
      <c r="K259" s="2733"/>
      <c r="L259" s="3177">
        <f>VLOOKUP($E259,$D$1744:$G$1761,2,0)</f>
        <v>1</v>
      </c>
      <c r="M259" s="2731" t="str">
        <f>VLOOKUP($E259,$D$1744:$G$1761,3,0)</f>
        <v>WNI</v>
      </c>
      <c r="N259" s="2729">
        <f t="shared" si="18"/>
        <v>2700</v>
      </c>
      <c r="Q259" s="2717"/>
      <c r="R259" s="2717"/>
      <c r="S259" s="2719"/>
      <c r="T259" s="2717"/>
      <c r="U259" s="2717"/>
      <c r="V259" s="2717"/>
    </row>
    <row r="260" spans="2:22" s="2721" customFormat="1" ht="14.1" customHeight="1" x14ac:dyDescent="0.2">
      <c r="B260" s="2711"/>
      <c r="C260" s="2537"/>
      <c r="D260" s="2536"/>
      <c r="E260" s="2736"/>
      <c r="F260" s="2741"/>
      <c r="G260" s="2742"/>
      <c r="H260" s="2743"/>
      <c r="I260" s="2744"/>
      <c r="J260" s="2813"/>
      <c r="K260" s="2732">
        <f>SUM(J256:J259)</f>
        <v>75600</v>
      </c>
      <c r="L260" s="3177"/>
      <c r="M260" s="2732"/>
      <c r="N260" s="2729">
        <f t="shared" ref="N260:N262" si="19">L260*J260</f>
        <v>0</v>
      </c>
      <c r="Q260" s="2717"/>
      <c r="R260" s="2717"/>
      <c r="S260" s="2719"/>
      <c r="T260" s="2717"/>
      <c r="U260" s="2717"/>
      <c r="V260" s="2717"/>
    </row>
    <row r="261" spans="2:22" s="2721" customFormat="1" ht="14.1" customHeight="1" x14ac:dyDescent="0.2">
      <c r="B261" s="2711"/>
      <c r="C261" s="2528" t="s">
        <v>609</v>
      </c>
      <c r="D261" s="2725" t="s">
        <v>606</v>
      </c>
      <c r="E261" s="2739"/>
      <c r="F261" s="2739"/>
      <c r="G261" s="2727"/>
      <c r="H261" s="2740"/>
      <c r="I261" s="2814"/>
      <c r="J261" s="2729"/>
      <c r="K261" s="2730"/>
      <c r="L261" s="3177"/>
      <c r="M261" s="2732"/>
      <c r="N261" s="2729">
        <f t="shared" si="19"/>
        <v>0</v>
      </c>
      <c r="Q261" s="2717"/>
      <c r="R261" s="2717"/>
      <c r="S261" s="2719"/>
      <c r="T261" s="2717"/>
      <c r="U261" s="2717"/>
      <c r="V261" s="2717"/>
    </row>
    <row r="262" spans="2:22" s="2721" customFormat="1" ht="14.1" customHeight="1" x14ac:dyDescent="0.2">
      <c r="B262" s="2711"/>
      <c r="C262" s="2537"/>
      <c r="D262" s="2536"/>
      <c r="E262" s="2736"/>
      <c r="F262" s="2741"/>
      <c r="G262" s="2742"/>
      <c r="H262" s="2743"/>
      <c r="I262" s="2744"/>
      <c r="J262" s="2813"/>
      <c r="K262" s="2732">
        <f>SUM(J261:J261)</f>
        <v>0</v>
      </c>
      <c r="L262" s="3177"/>
      <c r="M262" s="2732"/>
      <c r="N262" s="2729">
        <f t="shared" si="19"/>
        <v>0</v>
      </c>
      <c r="Q262" s="2717"/>
      <c r="R262" s="2717"/>
      <c r="S262" s="2719"/>
      <c r="T262" s="2717"/>
      <c r="U262" s="2717"/>
      <c r="V262" s="2717"/>
    </row>
    <row r="263" spans="2:22" s="2721" customFormat="1" ht="14.1" customHeight="1" x14ac:dyDescent="0.2">
      <c r="B263" s="2711"/>
      <c r="C263" s="2537" t="s">
        <v>610</v>
      </c>
      <c r="D263" s="2738" t="s">
        <v>651</v>
      </c>
      <c r="E263" s="2741"/>
      <c r="F263" s="2741"/>
      <c r="G263" s="2742"/>
      <c r="H263" s="2743"/>
      <c r="I263" s="2744"/>
      <c r="J263" s="2745" t="s">
        <v>652</v>
      </c>
      <c r="K263" s="2732">
        <f>K255+K260+K262</f>
        <v>240760</v>
      </c>
      <c r="L263" s="3179">
        <f>N263/K263</f>
        <v>0.98355746801794319</v>
      </c>
      <c r="M263" s="2745"/>
      <c r="N263" s="2747">
        <f>SUM(N251:N262)</f>
        <v>236801.296</v>
      </c>
      <c r="Q263" s="2717"/>
      <c r="R263" s="2717"/>
      <c r="S263" s="2719"/>
      <c r="T263" s="2717"/>
      <c r="U263" s="2717"/>
      <c r="V263" s="2717"/>
    </row>
    <row r="264" spans="2:22" s="2721" customFormat="1" ht="14.1" customHeight="1" x14ac:dyDescent="0.2">
      <c r="B264" s="2711"/>
      <c r="C264" s="2537" t="s">
        <v>611</v>
      </c>
      <c r="D264" s="2738" t="s">
        <v>653</v>
      </c>
      <c r="E264" s="2741"/>
      <c r="F264" s="2748">
        <f>$F$42</f>
        <v>0.1</v>
      </c>
      <c r="G264" s="2727" t="s">
        <v>425</v>
      </c>
      <c r="H264" s="2748">
        <f>$H$42</f>
        <v>0.03</v>
      </c>
      <c r="I264" s="2749" t="s">
        <v>424</v>
      </c>
      <c r="J264" s="2732" t="s">
        <v>610</v>
      </c>
      <c r="K264" s="2750">
        <f>ROUND((K263*(F264+H264)),2)</f>
        <v>31298.799999999999</v>
      </c>
      <c r="L264" s="3177"/>
      <c r="M264" s="2732"/>
      <c r="N264" s="2732"/>
      <c r="Q264" s="2717"/>
      <c r="R264" s="2717"/>
      <c r="S264" s="2719"/>
      <c r="T264" s="2717"/>
      <c r="U264" s="2717"/>
      <c r="V264" s="2717"/>
    </row>
    <row r="265" spans="2:22" s="2721" customFormat="1" ht="14.1" customHeight="1" x14ac:dyDescent="0.2">
      <c r="B265" s="2711"/>
      <c r="C265" s="2880" t="s">
        <v>654</v>
      </c>
      <c r="D265" s="2752" t="s">
        <v>301</v>
      </c>
      <c r="E265" s="2815"/>
      <c r="F265" s="2815"/>
      <c r="G265" s="2815"/>
      <c r="H265" s="2816"/>
      <c r="I265" s="2815"/>
      <c r="J265" s="2755" t="s">
        <v>668</v>
      </c>
      <c r="K265" s="2756">
        <f>SUM(K263:K264)</f>
        <v>272058.8</v>
      </c>
      <c r="L265" s="2746"/>
      <c r="M265" s="2755"/>
      <c r="N265" s="2757"/>
      <c r="Q265" s="2717"/>
      <c r="R265" s="2717"/>
      <c r="S265" s="2719"/>
      <c r="T265" s="2717"/>
      <c r="U265" s="2717"/>
      <c r="V265" s="2717"/>
    </row>
    <row r="266" spans="2:22" s="2721" customFormat="1" ht="14.1" customHeight="1" x14ac:dyDescent="0.2">
      <c r="H266" s="2883"/>
      <c r="Q266" s="2717"/>
      <c r="R266" s="2717"/>
      <c r="S266" s="2719"/>
      <c r="T266" s="2717"/>
      <c r="U266" s="2717"/>
      <c r="V266" s="2717"/>
    </row>
    <row r="267" spans="2:22" s="2721" customFormat="1" ht="14.1" customHeight="1" x14ac:dyDescent="0.2">
      <c r="B267" s="2711">
        <f>B246+1</f>
        <v>15</v>
      </c>
      <c r="C267" s="2711"/>
      <c r="D267" s="2713" t="s">
        <v>811</v>
      </c>
      <c r="E267" s="2713"/>
      <c r="F267" s="2713"/>
      <c r="G267" s="2713"/>
      <c r="H267" s="2882"/>
      <c r="I267" s="2713"/>
      <c r="J267" s="2713"/>
      <c r="K267" s="2715" t="s">
        <v>754</v>
      </c>
      <c r="L267" s="2715"/>
      <c r="M267" s="2715"/>
      <c r="N267" s="2715"/>
      <c r="O267" s="2721" t="str">
        <f>D268</f>
        <v>m2</v>
      </c>
      <c r="P267" s="2810">
        <f>K285</f>
        <v>129498</v>
      </c>
      <c r="Q267" s="2718">
        <f>L283</f>
        <v>0.98988586387434552</v>
      </c>
      <c r="R267" s="2718"/>
      <c r="S267" s="2719">
        <f>N283</f>
        <v>113440.92</v>
      </c>
      <c r="T267" s="2515">
        <f>U267+S267</f>
        <v>128188.2396</v>
      </c>
      <c r="U267" s="2719">
        <f>S267*V267</f>
        <v>14747.319600000001</v>
      </c>
      <c r="V267" s="2718">
        <f>$F$42+$H$42</f>
        <v>0.13</v>
      </c>
    </row>
    <row r="268" spans="2:22" s="2721" customFormat="1" ht="14.1" customHeight="1" x14ac:dyDescent="0.2">
      <c r="B268" s="2711"/>
      <c r="C268" s="2711"/>
      <c r="D268" s="2721" t="s">
        <v>338</v>
      </c>
      <c r="H268" s="2883"/>
      <c r="Q268" s="2717"/>
      <c r="R268" s="2717"/>
      <c r="S268" s="2719"/>
      <c r="T268" s="2717"/>
      <c r="U268" s="2717"/>
      <c r="V268" s="2717"/>
    </row>
    <row r="269" spans="2:22" s="2721" customFormat="1" ht="14.1" customHeight="1" x14ac:dyDescent="0.2">
      <c r="B269" s="2711"/>
      <c r="C269" s="2524"/>
      <c r="D269" s="3427" t="s">
        <v>280</v>
      </c>
      <c r="E269" s="3428"/>
      <c r="F269" s="2722"/>
      <c r="G269" s="3433" t="s">
        <v>281</v>
      </c>
      <c r="H269" s="3442" t="s">
        <v>282</v>
      </c>
      <c r="I269" s="2524" t="s">
        <v>283</v>
      </c>
      <c r="J269" s="2524" t="s">
        <v>284</v>
      </c>
      <c r="K269" s="2524" t="s">
        <v>340</v>
      </c>
      <c r="L269" s="2524" t="s">
        <v>2008</v>
      </c>
      <c r="M269" s="2524" t="s">
        <v>2009</v>
      </c>
      <c r="N269" s="2524" t="s">
        <v>284</v>
      </c>
      <c r="Q269" s="2717"/>
      <c r="R269" s="2717"/>
      <c r="S269" s="2719"/>
      <c r="T269" s="2717"/>
      <c r="U269" s="2717"/>
      <c r="V269" s="2717"/>
    </row>
    <row r="270" spans="2:22" s="2721" customFormat="1" ht="14.1" customHeight="1" x14ac:dyDescent="0.2">
      <c r="B270" s="2711"/>
      <c r="C270" s="2528" t="s">
        <v>669</v>
      </c>
      <c r="D270" s="3429"/>
      <c r="E270" s="3430"/>
      <c r="F270" s="2723"/>
      <c r="G270" s="3434"/>
      <c r="H270" s="3443"/>
      <c r="I270" s="2528" t="s">
        <v>285</v>
      </c>
      <c r="J270" s="2528" t="s">
        <v>286</v>
      </c>
      <c r="K270" s="2528" t="s">
        <v>286</v>
      </c>
      <c r="L270" s="2528" t="s">
        <v>2011</v>
      </c>
      <c r="M270" s="2528"/>
      <c r="N270" s="2528" t="s">
        <v>2013</v>
      </c>
      <c r="Q270" s="2717"/>
      <c r="R270" s="2717"/>
      <c r="S270" s="2719"/>
      <c r="T270" s="2717"/>
      <c r="U270" s="2717"/>
      <c r="V270" s="2717"/>
    </row>
    <row r="271" spans="2:22" s="2721" customFormat="1" ht="14.1" customHeight="1" x14ac:dyDescent="0.2">
      <c r="B271" s="2711"/>
      <c r="C271" s="2537"/>
      <c r="D271" s="3431"/>
      <c r="E271" s="3432"/>
      <c r="F271" s="2724"/>
      <c r="G271" s="3435"/>
      <c r="H271" s="3444"/>
      <c r="I271" s="2537" t="s">
        <v>286</v>
      </c>
      <c r="J271" s="2536"/>
      <c r="K271" s="2536"/>
      <c r="L271" s="2536"/>
      <c r="M271" s="2536"/>
      <c r="N271" s="2537" t="s">
        <v>286</v>
      </c>
      <c r="Q271" s="2717"/>
      <c r="R271" s="2717"/>
      <c r="S271" s="2719"/>
      <c r="T271" s="2717"/>
      <c r="U271" s="2717"/>
      <c r="V271" s="2717"/>
    </row>
    <row r="272" spans="2:22" s="2721" customFormat="1" ht="14.1" customHeight="1" x14ac:dyDescent="0.2">
      <c r="B272" s="2711"/>
      <c r="C272" s="2528" t="s">
        <v>607</v>
      </c>
      <c r="D272" s="2725" t="s">
        <v>287</v>
      </c>
      <c r="E272" s="2739" t="s">
        <v>330</v>
      </c>
      <c r="F272" s="2739"/>
      <c r="G272" s="2727" t="s">
        <v>321</v>
      </c>
      <c r="H272" s="2740">
        <v>70</v>
      </c>
      <c r="I272" s="2814">
        <f>'Upah &amp; Bahan'!$I$57</f>
        <v>800</v>
      </c>
      <c r="J272" s="2729">
        <f>ROUND(H272*I272,2)</f>
        <v>56000</v>
      </c>
      <c r="K272" s="2730"/>
      <c r="L272" s="3177">
        <v>1</v>
      </c>
      <c r="M272" s="2732"/>
      <c r="N272" s="2729">
        <f t="shared" ref="N272:N282" si="20">L272*J272</f>
        <v>56000</v>
      </c>
      <c r="Q272" s="2717"/>
      <c r="R272" s="2717"/>
      <c r="S272" s="2719"/>
      <c r="T272" s="2717"/>
      <c r="U272" s="2717"/>
      <c r="V272" s="2717"/>
    </row>
    <row r="273" spans="2:22" s="2721" customFormat="1" ht="14.1" customHeight="1" x14ac:dyDescent="0.2">
      <c r="B273" s="2711"/>
      <c r="C273" s="2528"/>
      <c r="D273" s="2733"/>
      <c r="E273" s="2739" t="s">
        <v>300</v>
      </c>
      <c r="F273" s="2739"/>
      <c r="G273" s="2727" t="s">
        <v>298</v>
      </c>
      <c r="H273" s="2740">
        <v>6.5</v>
      </c>
      <c r="I273" s="2814">
        <f>'Upah &amp; Bahan'!$I$118</f>
        <v>1200</v>
      </c>
      <c r="J273" s="2729">
        <f>ROUND(H273*I273,2)</f>
        <v>7800</v>
      </c>
      <c r="K273" s="2734"/>
      <c r="L273" s="3177">
        <f>$L$192</f>
        <v>0.85140000000000005</v>
      </c>
      <c r="M273" s="2732" t="s">
        <v>2029</v>
      </c>
      <c r="N273" s="2729">
        <f t="shared" si="20"/>
        <v>6640.92</v>
      </c>
      <c r="Q273" s="2717"/>
      <c r="R273" s="2717"/>
      <c r="S273" s="2719"/>
      <c r="T273" s="2717"/>
      <c r="U273" s="2717"/>
      <c r="V273" s="2717"/>
    </row>
    <row r="274" spans="2:22" s="2721" customFormat="1" ht="14.1" customHeight="1" x14ac:dyDescent="0.2">
      <c r="B274" s="2711"/>
      <c r="C274" s="2528"/>
      <c r="D274" s="2733"/>
      <c r="E274" s="2739" t="s">
        <v>331</v>
      </c>
      <c r="F274" s="2739"/>
      <c r="G274" s="2727" t="s">
        <v>293</v>
      </c>
      <c r="H274" s="2740">
        <v>0.05</v>
      </c>
      <c r="I274" s="2814">
        <f>'Upah &amp; Bahan'!$I$121</f>
        <v>260000</v>
      </c>
      <c r="J274" s="2729">
        <f>ROUND(H274*I274,2)</f>
        <v>13000</v>
      </c>
      <c r="K274" s="2734"/>
      <c r="L274" s="3177">
        <v>1</v>
      </c>
      <c r="M274" s="2732"/>
      <c r="N274" s="2729">
        <f t="shared" si="20"/>
        <v>13000</v>
      </c>
      <c r="Q274" s="2717"/>
      <c r="R274" s="2717"/>
      <c r="S274" s="2719"/>
      <c r="T274" s="2717"/>
      <c r="U274" s="2717"/>
      <c r="V274" s="2717"/>
    </row>
    <row r="275" spans="2:22" s="2721" customFormat="1" ht="14.1" customHeight="1" x14ac:dyDescent="0.2">
      <c r="B275" s="2711"/>
      <c r="C275" s="2537"/>
      <c r="D275" s="2733"/>
      <c r="E275" s="2736"/>
      <c r="F275" s="2741"/>
      <c r="G275" s="2742"/>
      <c r="H275" s="2743"/>
      <c r="I275" s="2744"/>
      <c r="J275" s="2813"/>
      <c r="K275" s="2729">
        <f>SUM(J272:J274)</f>
        <v>76800</v>
      </c>
      <c r="L275" s="3177"/>
      <c r="M275" s="2732"/>
      <c r="N275" s="2729">
        <f t="shared" si="20"/>
        <v>0</v>
      </c>
      <c r="Q275" s="2717"/>
      <c r="R275" s="2717"/>
      <c r="S275" s="2719"/>
      <c r="T275" s="2717"/>
      <c r="U275" s="2717"/>
      <c r="V275" s="2717"/>
    </row>
    <row r="276" spans="2:22" s="2721" customFormat="1" ht="14.1" customHeight="1" x14ac:dyDescent="0.2">
      <c r="B276" s="2711"/>
      <c r="C276" s="2528" t="s">
        <v>608</v>
      </c>
      <c r="D276" s="2725" t="s">
        <v>288</v>
      </c>
      <c r="E276" s="2739" t="s">
        <v>294</v>
      </c>
      <c r="F276" s="2739"/>
      <c r="G276" s="2727" t="s">
        <v>291</v>
      </c>
      <c r="H276" s="2740">
        <v>0.3</v>
      </c>
      <c r="I276" s="2814">
        <f>'Upah &amp; Bahan'!$I$24</f>
        <v>88300</v>
      </c>
      <c r="J276" s="2729">
        <f>ROUND(H276*I276,2)</f>
        <v>26490</v>
      </c>
      <c r="K276" s="2730"/>
      <c r="L276" s="3177">
        <f>VLOOKUP($E276,$D$1744:$G$1761,2,0)</f>
        <v>1</v>
      </c>
      <c r="M276" s="2731" t="str">
        <f>VLOOKUP($E276,$D$1744:$G$1761,3,0)</f>
        <v>WNI</v>
      </c>
      <c r="N276" s="2729">
        <f t="shared" si="20"/>
        <v>26490</v>
      </c>
      <c r="Q276" s="2717"/>
      <c r="R276" s="2717"/>
      <c r="S276" s="2719"/>
      <c r="T276" s="2717"/>
      <c r="U276" s="2717"/>
      <c r="V276" s="2717"/>
    </row>
    <row r="277" spans="2:22" s="2721" customFormat="1" ht="14.1" customHeight="1" x14ac:dyDescent="0.2">
      <c r="B277" s="2711"/>
      <c r="C277" s="2528"/>
      <c r="D277" s="2733"/>
      <c r="E277" s="2739" t="s">
        <v>295</v>
      </c>
      <c r="F277" s="2739"/>
      <c r="G277" s="2727" t="s">
        <v>291</v>
      </c>
      <c r="H277" s="2740">
        <v>0.1</v>
      </c>
      <c r="I277" s="2814">
        <f>'Upah &amp; Bahan'!$I$32</f>
        <v>90000</v>
      </c>
      <c r="J277" s="2729">
        <f>ROUND(H277*I277,2)</f>
        <v>9000</v>
      </c>
      <c r="K277" s="2734"/>
      <c r="L277" s="3177">
        <f>VLOOKUP($E277,$D$1744:$G$1761,2,0)</f>
        <v>1</v>
      </c>
      <c r="M277" s="2731" t="str">
        <f>VLOOKUP($E277,$D$1744:$G$1761,3,0)</f>
        <v>WNI</v>
      </c>
      <c r="N277" s="2729">
        <f t="shared" si="20"/>
        <v>9000</v>
      </c>
      <c r="Q277" s="2717"/>
      <c r="R277" s="2717"/>
      <c r="S277" s="2719"/>
      <c r="T277" s="2717"/>
      <c r="U277" s="2717"/>
      <c r="V277" s="2717"/>
    </row>
    <row r="278" spans="2:22" s="2721" customFormat="1" ht="14.1" customHeight="1" x14ac:dyDescent="0.2">
      <c r="B278" s="2711"/>
      <c r="C278" s="2528"/>
      <c r="D278" s="2733"/>
      <c r="E278" s="2739" t="s">
        <v>296</v>
      </c>
      <c r="F278" s="2739"/>
      <c r="G278" s="2727" t="s">
        <v>291</v>
      </c>
      <c r="H278" s="2740">
        <v>0.01</v>
      </c>
      <c r="I278" s="2814">
        <f>'Upah &amp; Bahan'!$I$26</f>
        <v>96000</v>
      </c>
      <c r="J278" s="2729">
        <f>ROUND(H278*I278,2)</f>
        <v>960</v>
      </c>
      <c r="K278" s="2734"/>
      <c r="L278" s="3177">
        <f>VLOOKUP($E278,$D$1744:$G$1761,2,0)</f>
        <v>1</v>
      </c>
      <c r="M278" s="2731" t="str">
        <f>VLOOKUP($E278,$D$1744:$G$1761,3,0)</f>
        <v>WNI</v>
      </c>
      <c r="N278" s="2729">
        <f t="shared" si="20"/>
        <v>960</v>
      </c>
      <c r="Q278" s="2717"/>
      <c r="R278" s="2717"/>
      <c r="S278" s="2719"/>
      <c r="T278" s="2717"/>
      <c r="U278" s="2717"/>
      <c r="V278" s="2717"/>
    </row>
    <row r="279" spans="2:22" s="2721" customFormat="1" ht="14.1" customHeight="1" x14ac:dyDescent="0.2">
      <c r="B279" s="2711"/>
      <c r="C279" s="2528"/>
      <c r="D279" s="2733"/>
      <c r="E279" s="2739" t="s">
        <v>290</v>
      </c>
      <c r="F279" s="2739"/>
      <c r="G279" s="2727" t="s">
        <v>291</v>
      </c>
      <c r="H279" s="2740">
        <v>1.4999999999999999E-2</v>
      </c>
      <c r="I279" s="2814">
        <f>'Upah &amp; Bahan'!$I$31</f>
        <v>90000</v>
      </c>
      <c r="J279" s="2729">
        <f>ROUND(H279*I279,2)</f>
        <v>1350</v>
      </c>
      <c r="K279" s="2733"/>
      <c r="L279" s="3177">
        <f>VLOOKUP($E279,$D$1744:$G$1761,2,0)</f>
        <v>1</v>
      </c>
      <c r="M279" s="2731" t="str">
        <f>VLOOKUP($E279,$D$1744:$G$1761,3,0)</f>
        <v>WNI</v>
      </c>
      <c r="N279" s="2729">
        <f t="shared" si="20"/>
        <v>1350</v>
      </c>
      <c r="Q279" s="2717"/>
      <c r="R279" s="2717"/>
      <c r="S279" s="2719"/>
      <c r="T279" s="2717"/>
      <c r="U279" s="2717"/>
      <c r="V279" s="2717"/>
    </row>
    <row r="280" spans="2:22" s="2721" customFormat="1" ht="14.1" customHeight="1" x14ac:dyDescent="0.2">
      <c r="B280" s="2711"/>
      <c r="C280" s="2537"/>
      <c r="D280" s="2536"/>
      <c r="E280" s="2736"/>
      <c r="F280" s="2741"/>
      <c r="G280" s="2742"/>
      <c r="H280" s="2743"/>
      <c r="I280" s="2744"/>
      <c r="J280" s="2813"/>
      <c r="K280" s="2732">
        <f>SUM(J276:J279)</f>
        <v>37800</v>
      </c>
      <c r="L280" s="3177"/>
      <c r="M280" s="2732"/>
      <c r="N280" s="2729">
        <f t="shared" si="20"/>
        <v>0</v>
      </c>
      <c r="Q280" s="2717"/>
      <c r="R280" s="2717"/>
      <c r="S280" s="2719"/>
      <c r="T280" s="2717"/>
      <c r="U280" s="2717"/>
      <c r="V280" s="2717"/>
    </row>
    <row r="281" spans="2:22" s="2721" customFormat="1" ht="14.1" customHeight="1" x14ac:dyDescent="0.2">
      <c r="B281" s="2711"/>
      <c r="C281" s="2528" t="s">
        <v>609</v>
      </c>
      <c r="D281" s="2725" t="s">
        <v>606</v>
      </c>
      <c r="E281" s="2739"/>
      <c r="F281" s="2739"/>
      <c r="G281" s="2727"/>
      <c r="H281" s="2740"/>
      <c r="I281" s="2814"/>
      <c r="J281" s="2729"/>
      <c r="K281" s="2730"/>
      <c r="L281" s="3177"/>
      <c r="M281" s="2732"/>
      <c r="N281" s="2729">
        <f t="shared" si="20"/>
        <v>0</v>
      </c>
      <c r="Q281" s="2717"/>
      <c r="R281" s="2717"/>
      <c r="S281" s="2719"/>
      <c r="T281" s="2717"/>
      <c r="U281" s="2717"/>
      <c r="V281" s="2717"/>
    </row>
    <row r="282" spans="2:22" s="2721" customFormat="1" ht="14.1" customHeight="1" x14ac:dyDescent="0.2">
      <c r="B282" s="2711"/>
      <c r="C282" s="2537"/>
      <c r="D282" s="2536"/>
      <c r="E282" s="2736"/>
      <c r="F282" s="2741"/>
      <c r="G282" s="2742"/>
      <c r="H282" s="2743"/>
      <c r="I282" s="2744"/>
      <c r="J282" s="2813"/>
      <c r="K282" s="2732">
        <f>SUM(J281:J281)</f>
        <v>0</v>
      </c>
      <c r="L282" s="3177"/>
      <c r="M282" s="2732"/>
      <c r="N282" s="2729">
        <f t="shared" si="20"/>
        <v>0</v>
      </c>
      <c r="Q282" s="2717"/>
      <c r="R282" s="2717"/>
      <c r="S282" s="2719"/>
      <c r="T282" s="2717"/>
      <c r="U282" s="2717"/>
      <c r="V282" s="2717"/>
    </row>
    <row r="283" spans="2:22" s="2721" customFormat="1" ht="14.1" customHeight="1" x14ac:dyDescent="0.2">
      <c r="B283" s="2711"/>
      <c r="C283" s="2537" t="s">
        <v>610</v>
      </c>
      <c r="D283" s="2738" t="s">
        <v>651</v>
      </c>
      <c r="E283" s="2741"/>
      <c r="F283" s="2741"/>
      <c r="G283" s="2742"/>
      <c r="H283" s="2743"/>
      <c r="I283" s="2744"/>
      <c r="J283" s="2745" t="s">
        <v>652</v>
      </c>
      <c r="K283" s="2732">
        <f>K275+K280+K282</f>
        <v>114600</v>
      </c>
      <c r="L283" s="3179">
        <f>N283/K283</f>
        <v>0.98988586387434552</v>
      </c>
      <c r="M283" s="2745"/>
      <c r="N283" s="2747">
        <f>SUM(N271:N282)</f>
        <v>113440.92</v>
      </c>
      <c r="Q283" s="2717"/>
      <c r="R283" s="2717"/>
      <c r="S283" s="2719"/>
      <c r="T283" s="2717"/>
      <c r="U283" s="2717"/>
      <c r="V283" s="2717"/>
    </row>
    <row r="284" spans="2:22" s="2721" customFormat="1" ht="14.1" customHeight="1" x14ac:dyDescent="0.2">
      <c r="B284" s="2711"/>
      <c r="C284" s="2537" t="s">
        <v>611</v>
      </c>
      <c r="D284" s="2738" t="s">
        <v>653</v>
      </c>
      <c r="E284" s="2741"/>
      <c r="F284" s="2748">
        <f>$F$42</f>
        <v>0.1</v>
      </c>
      <c r="G284" s="2727" t="s">
        <v>425</v>
      </c>
      <c r="H284" s="2748">
        <f>$H$42</f>
        <v>0.03</v>
      </c>
      <c r="I284" s="2749" t="s">
        <v>424</v>
      </c>
      <c r="J284" s="2732" t="s">
        <v>610</v>
      </c>
      <c r="K284" s="2750">
        <f>ROUND((K283*(F284+H284)),2)</f>
        <v>14898</v>
      </c>
      <c r="L284" s="2732"/>
      <c r="M284" s="2732"/>
      <c r="N284" s="2732"/>
      <c r="Q284" s="2717"/>
      <c r="R284" s="2717"/>
      <c r="S284" s="2719"/>
      <c r="T284" s="2717"/>
      <c r="U284" s="2717"/>
      <c r="V284" s="2717"/>
    </row>
    <row r="285" spans="2:22" s="2721" customFormat="1" ht="14.1" customHeight="1" x14ac:dyDescent="0.2">
      <c r="B285" s="2711"/>
      <c r="C285" s="2880" t="s">
        <v>654</v>
      </c>
      <c r="D285" s="2752" t="s">
        <v>301</v>
      </c>
      <c r="E285" s="2815"/>
      <c r="F285" s="2815"/>
      <c r="G285" s="2815"/>
      <c r="H285" s="2816"/>
      <c r="I285" s="2815"/>
      <c r="J285" s="2755" t="s">
        <v>668</v>
      </c>
      <c r="K285" s="2756">
        <f>SUM(K283:K284)</f>
        <v>129498</v>
      </c>
      <c r="L285" s="2746"/>
      <c r="M285" s="2755"/>
      <c r="N285" s="2757"/>
      <c r="Q285" s="2717"/>
      <c r="R285" s="2717"/>
      <c r="S285" s="2719"/>
      <c r="T285" s="2717"/>
      <c r="U285" s="2717"/>
      <c r="V285" s="2717"/>
    </row>
    <row r="286" spans="2:22" s="2689" customFormat="1" x14ac:dyDescent="0.2">
      <c r="B286" s="2694"/>
      <c r="C286" s="2707"/>
      <c r="D286" s="2863"/>
      <c r="E286" s="2863"/>
      <c r="F286" s="2863"/>
      <c r="G286" s="2863"/>
      <c r="H286" s="2864"/>
      <c r="I286" s="2863"/>
      <c r="J286" s="2865"/>
      <c r="K286" s="2866"/>
      <c r="L286" s="2866"/>
      <c r="M286" s="2866"/>
      <c r="N286" s="2866"/>
      <c r="O286" s="2690"/>
      <c r="Q286" s="2717"/>
      <c r="R286" s="2717"/>
      <c r="S286" s="2719"/>
      <c r="T286" s="2717"/>
      <c r="U286" s="2717"/>
      <c r="V286" s="2717"/>
    </row>
    <row r="287" spans="2:22" s="2721" customFormat="1" ht="14.1" customHeight="1" x14ac:dyDescent="0.2">
      <c r="B287" s="2711">
        <f>B267+1</f>
        <v>16</v>
      </c>
      <c r="C287" s="2711"/>
      <c r="D287" s="2713" t="s">
        <v>468</v>
      </c>
      <c r="E287" s="2713"/>
      <c r="F287" s="2713"/>
      <c r="G287" s="2713"/>
      <c r="H287" s="2714"/>
      <c r="I287" s="2713"/>
      <c r="J287" s="2713"/>
      <c r="K287" s="2715" t="s">
        <v>755</v>
      </c>
      <c r="L287" s="2715"/>
      <c r="M287" s="2715"/>
      <c r="N287" s="2715"/>
      <c r="O287" s="2721" t="str">
        <f>D288</f>
        <v>m2</v>
      </c>
      <c r="P287" s="2810">
        <f>K304</f>
        <v>63009.700000000004</v>
      </c>
      <c r="Q287" s="2718">
        <f>L302</f>
        <v>0.98342185047560293</v>
      </c>
      <c r="R287" s="2718"/>
      <c r="S287" s="2719">
        <f>N302</f>
        <v>54836.38912</v>
      </c>
      <c r="T287" s="2515">
        <f>U287+S287</f>
        <v>61965.119705600002</v>
      </c>
      <c r="U287" s="2719">
        <f>S287*V287</f>
        <v>7128.7305856000003</v>
      </c>
      <c r="V287" s="2718">
        <f>$F$42+$H$42</f>
        <v>0.13</v>
      </c>
    </row>
    <row r="288" spans="2:22" s="2721" customFormat="1" ht="14.1" customHeight="1" x14ac:dyDescent="0.2">
      <c r="B288" s="2711"/>
      <c r="C288" s="2711"/>
      <c r="D288" s="2721" t="s">
        <v>338</v>
      </c>
      <c r="H288" s="2711"/>
      <c r="Q288" s="2717"/>
      <c r="R288" s="2717"/>
      <c r="S288" s="2719"/>
      <c r="T288" s="2717"/>
      <c r="U288" s="2717"/>
      <c r="V288" s="2717"/>
    </row>
    <row r="289" spans="2:22" s="2721" customFormat="1" ht="14.1" customHeight="1" x14ac:dyDescent="0.2">
      <c r="B289" s="2711"/>
      <c r="C289" s="2524"/>
      <c r="D289" s="3427" t="s">
        <v>280</v>
      </c>
      <c r="E289" s="3428"/>
      <c r="F289" s="2722"/>
      <c r="G289" s="3433" t="s">
        <v>281</v>
      </c>
      <c r="H289" s="3433" t="s">
        <v>282</v>
      </c>
      <c r="I289" s="2524" t="s">
        <v>283</v>
      </c>
      <c r="J289" s="2524" t="s">
        <v>284</v>
      </c>
      <c r="K289" s="2524" t="s">
        <v>340</v>
      </c>
      <c r="L289" s="2524" t="s">
        <v>2008</v>
      </c>
      <c r="M289" s="2524" t="s">
        <v>2009</v>
      </c>
      <c r="N289" s="2524" t="s">
        <v>284</v>
      </c>
      <c r="Q289" s="2717"/>
      <c r="R289" s="2717"/>
      <c r="S289" s="2719"/>
      <c r="T289" s="2717"/>
      <c r="U289" s="2717"/>
      <c r="V289" s="2717"/>
    </row>
    <row r="290" spans="2:22" s="2721" customFormat="1" ht="14.1" customHeight="1" x14ac:dyDescent="0.2">
      <c r="B290" s="2711"/>
      <c r="C290" s="2528" t="s">
        <v>669</v>
      </c>
      <c r="D290" s="3429"/>
      <c r="E290" s="3430"/>
      <c r="F290" s="2723"/>
      <c r="G290" s="3434"/>
      <c r="H290" s="3434"/>
      <c r="I290" s="2528" t="s">
        <v>285</v>
      </c>
      <c r="J290" s="2528" t="s">
        <v>286</v>
      </c>
      <c r="K290" s="2528" t="s">
        <v>286</v>
      </c>
      <c r="L290" s="2528" t="s">
        <v>2011</v>
      </c>
      <c r="M290" s="2528"/>
      <c r="N290" s="2528" t="s">
        <v>2013</v>
      </c>
      <c r="Q290" s="2717"/>
      <c r="R290" s="2717"/>
      <c r="S290" s="2719"/>
      <c r="T290" s="2717"/>
      <c r="U290" s="2717"/>
      <c r="V290" s="2717"/>
    </row>
    <row r="291" spans="2:22" s="2721" customFormat="1" ht="14.1" customHeight="1" x14ac:dyDescent="0.2">
      <c r="B291" s="2711"/>
      <c r="C291" s="2537"/>
      <c r="D291" s="3431"/>
      <c r="E291" s="3432"/>
      <c r="F291" s="2724"/>
      <c r="G291" s="3435"/>
      <c r="H291" s="3435"/>
      <c r="I291" s="2537" t="s">
        <v>286</v>
      </c>
      <c r="J291" s="2536"/>
      <c r="K291" s="2536"/>
      <c r="L291" s="2536"/>
      <c r="M291" s="2536"/>
      <c r="N291" s="2537" t="s">
        <v>286</v>
      </c>
      <c r="Q291" s="2717"/>
      <c r="R291" s="2717"/>
      <c r="S291" s="2719"/>
      <c r="T291" s="2717"/>
      <c r="U291" s="2717"/>
      <c r="V291" s="2717"/>
    </row>
    <row r="292" spans="2:22" s="2721" customFormat="1" ht="14.1" customHeight="1" x14ac:dyDescent="0.2">
      <c r="B292" s="2711"/>
      <c r="C292" s="2524" t="s">
        <v>607</v>
      </c>
      <c r="D292" s="2733" t="s">
        <v>287</v>
      </c>
      <c r="E292" s="2739" t="s">
        <v>300</v>
      </c>
      <c r="F292" s="2739"/>
      <c r="G292" s="2727" t="s">
        <v>298</v>
      </c>
      <c r="H292" s="2740">
        <v>5.1840000000000002</v>
      </c>
      <c r="I292" s="2814">
        <f>'Upah &amp; Bahan'!$I$118</f>
        <v>1200</v>
      </c>
      <c r="J292" s="2729">
        <f>ROUND(H292*I292,2)</f>
        <v>6220.8</v>
      </c>
      <c r="K292" s="2730"/>
      <c r="L292" s="3180">
        <f>$L$192</f>
        <v>0.85140000000000005</v>
      </c>
      <c r="M292" s="2732" t="s">
        <v>2029</v>
      </c>
      <c r="N292" s="2729">
        <f t="shared" ref="N292:N301" si="21">L292*J292</f>
        <v>5296.3891200000007</v>
      </c>
      <c r="Q292" s="2717"/>
      <c r="R292" s="2717"/>
      <c r="S292" s="2719"/>
      <c r="T292" s="2717"/>
      <c r="U292" s="2717"/>
      <c r="V292" s="2717"/>
    </row>
    <row r="293" spans="2:22" s="2721" customFormat="1" ht="14.1" customHeight="1" x14ac:dyDescent="0.2">
      <c r="B293" s="2711"/>
      <c r="C293" s="2528"/>
      <c r="D293" s="2733"/>
      <c r="E293" s="2739" t="s">
        <v>331</v>
      </c>
      <c r="F293" s="2739"/>
      <c r="G293" s="2727" t="s">
        <v>293</v>
      </c>
      <c r="H293" s="2740">
        <v>2.5999999999999999E-2</v>
      </c>
      <c r="I293" s="2814">
        <f>'Upah &amp; Bahan'!$I$121</f>
        <v>260000</v>
      </c>
      <c r="J293" s="2729">
        <f>ROUND(H293*I293,2)</f>
        <v>6760</v>
      </c>
      <c r="K293" s="2734"/>
      <c r="L293" s="3180">
        <v>1</v>
      </c>
      <c r="M293" s="2732"/>
      <c r="N293" s="2729">
        <f t="shared" si="21"/>
        <v>6760</v>
      </c>
      <c r="Q293" s="2717"/>
      <c r="R293" s="2717"/>
      <c r="S293" s="2719"/>
      <c r="T293" s="2717"/>
      <c r="U293" s="2717"/>
      <c r="V293" s="2717"/>
    </row>
    <row r="294" spans="2:22" s="2721" customFormat="1" ht="14.1" customHeight="1" x14ac:dyDescent="0.2">
      <c r="B294" s="2711"/>
      <c r="C294" s="2537"/>
      <c r="D294" s="2733"/>
      <c r="E294" s="2736"/>
      <c r="F294" s="2741"/>
      <c r="G294" s="2742"/>
      <c r="H294" s="2743"/>
      <c r="I294" s="2744"/>
      <c r="J294" s="2813"/>
      <c r="K294" s="2729">
        <f>SUM(J292:J293)</f>
        <v>12980.8</v>
      </c>
      <c r="L294" s="3180"/>
      <c r="M294" s="2732"/>
      <c r="N294" s="2729">
        <f t="shared" si="21"/>
        <v>0</v>
      </c>
      <c r="Q294" s="2717"/>
      <c r="R294" s="2717"/>
      <c r="S294" s="2719"/>
      <c r="T294" s="2717"/>
      <c r="U294" s="2717"/>
      <c r="V294" s="2717"/>
    </row>
    <row r="295" spans="2:22" s="2721" customFormat="1" ht="14.1" customHeight="1" x14ac:dyDescent="0.2">
      <c r="B295" s="2711"/>
      <c r="C295" s="2528" t="s">
        <v>608</v>
      </c>
      <c r="D295" s="2725" t="s">
        <v>288</v>
      </c>
      <c r="E295" s="2739" t="s">
        <v>294</v>
      </c>
      <c r="F295" s="2739"/>
      <c r="G295" s="2727" t="s">
        <v>291</v>
      </c>
      <c r="H295" s="2740">
        <v>0.3</v>
      </c>
      <c r="I295" s="2814">
        <f>'Upah &amp; Bahan'!$I$24</f>
        <v>88300</v>
      </c>
      <c r="J295" s="2729">
        <f>ROUND(H295*I295,2)</f>
        <v>26490</v>
      </c>
      <c r="K295" s="2730"/>
      <c r="L295" s="3180">
        <f>VLOOKUP($E295,$D$1744:$G$1761,2,0)</f>
        <v>1</v>
      </c>
      <c r="M295" s="2731" t="str">
        <f>VLOOKUP($E295,$D$1744:$G$1761,3,0)</f>
        <v>WNI</v>
      </c>
      <c r="N295" s="2729">
        <f t="shared" si="21"/>
        <v>26490</v>
      </c>
      <c r="Q295" s="2717"/>
      <c r="R295" s="2717"/>
      <c r="S295" s="2719"/>
      <c r="T295" s="2717"/>
      <c r="U295" s="2717"/>
      <c r="V295" s="2717"/>
    </row>
    <row r="296" spans="2:22" s="2721" customFormat="1" ht="14.1" customHeight="1" x14ac:dyDescent="0.2">
      <c r="B296" s="2711"/>
      <c r="C296" s="2733"/>
      <c r="D296" s="2733"/>
      <c r="E296" s="2739" t="s">
        <v>295</v>
      </c>
      <c r="F296" s="2739"/>
      <c r="G296" s="2727" t="s">
        <v>291</v>
      </c>
      <c r="H296" s="2740">
        <v>0.15</v>
      </c>
      <c r="I296" s="2814">
        <f>'Upah &amp; Bahan'!$I$32</f>
        <v>90000</v>
      </c>
      <c r="J296" s="2729">
        <f>ROUND(H296*I296,2)</f>
        <v>13500</v>
      </c>
      <c r="K296" s="2734"/>
      <c r="L296" s="3180">
        <f>VLOOKUP($E296,$D$1744:$G$1761,2,0)</f>
        <v>1</v>
      </c>
      <c r="M296" s="2731" t="str">
        <f>VLOOKUP($E296,$D$1744:$G$1761,3,0)</f>
        <v>WNI</v>
      </c>
      <c r="N296" s="2729">
        <f t="shared" si="21"/>
        <v>13500</v>
      </c>
      <c r="Q296" s="2717"/>
      <c r="R296" s="2717"/>
      <c r="S296" s="2719"/>
      <c r="T296" s="2717"/>
      <c r="U296" s="2717"/>
      <c r="V296" s="2717"/>
    </row>
    <row r="297" spans="2:22" s="2721" customFormat="1" ht="14.1" customHeight="1" x14ac:dyDescent="0.2">
      <c r="B297" s="2711"/>
      <c r="C297" s="2733"/>
      <c r="D297" s="2733"/>
      <c r="E297" s="2739" t="s">
        <v>296</v>
      </c>
      <c r="F297" s="2739"/>
      <c r="G297" s="2727" t="s">
        <v>291</v>
      </c>
      <c r="H297" s="2740">
        <v>1.4999999999999999E-2</v>
      </c>
      <c r="I297" s="2814">
        <f>'Upah &amp; Bahan'!$I$26</f>
        <v>96000</v>
      </c>
      <c r="J297" s="2729">
        <f>ROUND(H297*I297,2)</f>
        <v>1440</v>
      </c>
      <c r="K297" s="2734"/>
      <c r="L297" s="3180">
        <f>VLOOKUP($E297,$D$1744:$G$1761,2,0)</f>
        <v>1</v>
      </c>
      <c r="M297" s="2731" t="str">
        <f>VLOOKUP($E297,$D$1744:$G$1761,3,0)</f>
        <v>WNI</v>
      </c>
      <c r="N297" s="2729">
        <f t="shared" si="21"/>
        <v>1440</v>
      </c>
      <c r="Q297" s="2717"/>
      <c r="R297" s="2717"/>
      <c r="S297" s="2719"/>
      <c r="T297" s="2717"/>
      <c r="U297" s="2717"/>
      <c r="V297" s="2717"/>
    </row>
    <row r="298" spans="2:22" s="2721" customFormat="1" ht="14.1" customHeight="1" x14ac:dyDescent="0.2">
      <c r="B298" s="2711"/>
      <c r="C298" s="2528"/>
      <c r="D298" s="2733"/>
      <c r="E298" s="2739" t="s">
        <v>290</v>
      </c>
      <c r="F298" s="2739"/>
      <c r="G298" s="2727" t="s">
        <v>291</v>
      </c>
      <c r="H298" s="2740">
        <v>1.4999999999999999E-2</v>
      </c>
      <c r="I298" s="2814">
        <f>'Upah &amp; Bahan'!$I$31</f>
        <v>90000</v>
      </c>
      <c r="J298" s="2729">
        <f>ROUND(H298*I298,2)</f>
        <v>1350</v>
      </c>
      <c r="K298" s="2733"/>
      <c r="L298" s="3180">
        <f>VLOOKUP($E298,$D$1744:$G$1761,2,0)</f>
        <v>1</v>
      </c>
      <c r="M298" s="2731" t="str">
        <f>VLOOKUP($E298,$D$1744:$G$1761,3,0)</f>
        <v>WNI</v>
      </c>
      <c r="N298" s="2729">
        <f t="shared" si="21"/>
        <v>1350</v>
      </c>
      <c r="Q298" s="2717"/>
      <c r="R298" s="2717"/>
      <c r="S298" s="2719"/>
      <c r="T298" s="2717"/>
      <c r="U298" s="2717"/>
      <c r="V298" s="2717"/>
    </row>
    <row r="299" spans="2:22" s="2721" customFormat="1" ht="14.1" customHeight="1" x14ac:dyDescent="0.2">
      <c r="B299" s="2711"/>
      <c r="C299" s="2536"/>
      <c r="D299" s="2536"/>
      <c r="E299" s="2736"/>
      <c r="F299" s="2741"/>
      <c r="G299" s="2742"/>
      <c r="H299" s="2743"/>
      <c r="I299" s="2744"/>
      <c r="J299" s="2813"/>
      <c r="K299" s="2732">
        <f>SUM(J295:J298)</f>
        <v>42780</v>
      </c>
      <c r="L299" s="3180"/>
      <c r="M299" s="2732"/>
      <c r="N299" s="2729">
        <f t="shared" si="21"/>
        <v>0</v>
      </c>
      <c r="Q299" s="2717"/>
      <c r="R299" s="2717"/>
      <c r="S299" s="2719"/>
      <c r="T299" s="2717"/>
      <c r="U299" s="2717"/>
      <c r="V299" s="2717"/>
    </row>
    <row r="300" spans="2:22" s="2721" customFormat="1" ht="14.1" customHeight="1" x14ac:dyDescent="0.2">
      <c r="B300" s="2711"/>
      <c r="C300" s="2528" t="s">
        <v>609</v>
      </c>
      <c r="D300" s="2725" t="s">
        <v>606</v>
      </c>
      <c r="E300" s="2739"/>
      <c r="F300" s="2739"/>
      <c r="G300" s="2727"/>
      <c r="H300" s="2740"/>
      <c r="I300" s="2814"/>
      <c r="J300" s="2729"/>
      <c r="K300" s="2730"/>
      <c r="L300" s="3180"/>
      <c r="M300" s="2732"/>
      <c r="N300" s="2729">
        <f t="shared" si="21"/>
        <v>0</v>
      </c>
      <c r="Q300" s="2717"/>
      <c r="R300" s="2717"/>
      <c r="S300" s="2719"/>
      <c r="T300" s="2717"/>
      <c r="U300" s="2717"/>
      <c r="V300" s="2717"/>
    </row>
    <row r="301" spans="2:22" s="2721" customFormat="1" ht="14.1" customHeight="1" x14ac:dyDescent="0.2">
      <c r="B301" s="2711"/>
      <c r="C301" s="2536"/>
      <c r="D301" s="2536"/>
      <c r="E301" s="2736"/>
      <c r="F301" s="2741"/>
      <c r="G301" s="2742"/>
      <c r="H301" s="2743"/>
      <c r="I301" s="2744"/>
      <c r="J301" s="2813"/>
      <c r="K301" s="2732">
        <f>SUM(J300:J300)</f>
        <v>0</v>
      </c>
      <c r="L301" s="3180"/>
      <c r="M301" s="2732"/>
      <c r="N301" s="2729">
        <f t="shared" si="21"/>
        <v>0</v>
      </c>
      <c r="Q301" s="2717"/>
      <c r="R301" s="2717"/>
      <c r="S301" s="2719"/>
      <c r="T301" s="2717"/>
      <c r="U301" s="2717"/>
      <c r="V301" s="2717"/>
    </row>
    <row r="302" spans="2:22" s="2721" customFormat="1" ht="14.1" customHeight="1" x14ac:dyDescent="0.2">
      <c r="B302" s="2711"/>
      <c r="C302" s="2537" t="s">
        <v>610</v>
      </c>
      <c r="D302" s="2738" t="s">
        <v>651</v>
      </c>
      <c r="E302" s="2741"/>
      <c r="F302" s="2741"/>
      <c r="G302" s="2742"/>
      <c r="H302" s="2743"/>
      <c r="I302" s="2744"/>
      <c r="J302" s="2745" t="s">
        <v>652</v>
      </c>
      <c r="K302" s="2732">
        <f>K294+K299+K301</f>
        <v>55760.800000000003</v>
      </c>
      <c r="L302" s="3181">
        <f>N302/K302</f>
        <v>0.98342185047560293</v>
      </c>
      <c r="M302" s="2745"/>
      <c r="N302" s="2747">
        <f>SUM(N290:N301)</f>
        <v>54836.38912</v>
      </c>
      <c r="Q302" s="2717"/>
      <c r="R302" s="2717"/>
      <c r="S302" s="2719"/>
      <c r="T302" s="2717"/>
      <c r="U302" s="2717"/>
      <c r="V302" s="2717"/>
    </row>
    <row r="303" spans="2:22" s="2721" customFormat="1" ht="14.1" customHeight="1" x14ac:dyDescent="0.2">
      <c r="B303" s="2711"/>
      <c r="C303" s="2537" t="s">
        <v>611</v>
      </c>
      <c r="D303" s="2738" t="s">
        <v>653</v>
      </c>
      <c r="E303" s="2741"/>
      <c r="F303" s="2748">
        <f>$F$42</f>
        <v>0.1</v>
      </c>
      <c r="G303" s="2727" t="s">
        <v>425</v>
      </c>
      <c r="H303" s="2748">
        <f>$H$42</f>
        <v>0.03</v>
      </c>
      <c r="I303" s="2749" t="s">
        <v>424</v>
      </c>
      <c r="J303" s="2732" t="s">
        <v>610</v>
      </c>
      <c r="K303" s="2750">
        <f>ROUND((K302*(F303+H303)),2)</f>
        <v>7248.9</v>
      </c>
      <c r="L303" s="2732"/>
      <c r="M303" s="2732"/>
      <c r="N303" s="2732"/>
      <c r="Q303" s="2717"/>
      <c r="R303" s="2717"/>
      <c r="S303" s="2719"/>
      <c r="T303" s="2717"/>
      <c r="U303" s="2717"/>
      <c r="V303" s="2717"/>
    </row>
    <row r="304" spans="2:22" s="2721" customFormat="1" ht="14.1" customHeight="1" x14ac:dyDescent="0.2">
      <c r="B304" s="2711"/>
      <c r="C304" s="2880" t="s">
        <v>654</v>
      </c>
      <c r="D304" s="2752" t="s">
        <v>301</v>
      </c>
      <c r="E304" s="2815"/>
      <c r="F304" s="2815"/>
      <c r="G304" s="2815"/>
      <c r="H304" s="2816"/>
      <c r="I304" s="2815"/>
      <c r="J304" s="2755" t="s">
        <v>668</v>
      </c>
      <c r="K304" s="2756">
        <f>SUM(K302:K303)</f>
        <v>63009.700000000004</v>
      </c>
      <c r="L304" s="2746"/>
      <c r="M304" s="2755"/>
      <c r="N304" s="2757"/>
      <c r="Q304" s="2717"/>
      <c r="R304" s="2717"/>
      <c r="S304" s="2719"/>
      <c r="T304" s="2717"/>
      <c r="U304" s="2717"/>
      <c r="V304" s="2717"/>
    </row>
    <row r="305" spans="2:22" s="2721" customFormat="1" ht="14.1" customHeight="1" x14ac:dyDescent="0.2">
      <c r="H305" s="2711"/>
      <c r="Q305" s="2717"/>
      <c r="R305" s="2717"/>
      <c r="S305" s="2719"/>
      <c r="T305" s="2717"/>
      <c r="U305" s="2717"/>
      <c r="V305" s="2717"/>
    </row>
    <row r="306" spans="2:22" s="2721" customFormat="1" ht="14.1" customHeight="1" x14ac:dyDescent="0.2">
      <c r="B306" s="2711">
        <f>B287+1</f>
        <v>17</v>
      </c>
      <c r="C306" s="2711"/>
      <c r="D306" s="2713" t="s">
        <v>469</v>
      </c>
      <c r="E306" s="2713"/>
      <c r="F306" s="2713"/>
      <c r="G306" s="2713"/>
      <c r="H306" s="2714"/>
      <c r="I306" s="2713"/>
      <c r="J306" s="2713"/>
      <c r="K306" s="2715" t="s">
        <v>1083</v>
      </c>
      <c r="L306" s="2715"/>
      <c r="M306" s="2715"/>
      <c r="N306" s="2715"/>
      <c r="O306" s="2721" t="str">
        <f>D307</f>
        <v>m2</v>
      </c>
      <c r="P306" s="2810">
        <f>K324</f>
        <v>62262.1</v>
      </c>
      <c r="Q306" s="2718">
        <f>L322</f>
        <v>0.9857083021169093</v>
      </c>
      <c r="R306" s="2718"/>
      <c r="S306" s="2719">
        <f>N322</f>
        <v>54311.738880000004</v>
      </c>
      <c r="T306" s="2515">
        <f>U306+S306</f>
        <v>61372.264934400009</v>
      </c>
      <c r="U306" s="2719">
        <f>S306*V306</f>
        <v>7060.5260544000012</v>
      </c>
      <c r="V306" s="2718">
        <f>$F$42+$H$42</f>
        <v>0.13</v>
      </c>
    </row>
    <row r="307" spans="2:22" s="2721" customFormat="1" ht="14.1" customHeight="1" x14ac:dyDescent="0.2">
      <c r="B307" s="2711"/>
      <c r="C307" s="2711"/>
      <c r="D307" s="2721" t="s">
        <v>338</v>
      </c>
      <c r="H307" s="2711"/>
      <c r="Q307" s="2717"/>
      <c r="R307" s="2717"/>
      <c r="S307" s="2719"/>
      <c r="T307" s="2717"/>
      <c r="U307" s="2717"/>
      <c r="V307" s="2717"/>
    </row>
    <row r="308" spans="2:22" s="2721" customFormat="1" ht="14.1" customHeight="1" x14ac:dyDescent="0.2">
      <c r="B308" s="2711"/>
      <c r="C308" s="2711"/>
      <c r="H308" s="2711"/>
      <c r="Q308" s="2717"/>
      <c r="R308" s="2717"/>
      <c r="S308" s="2719"/>
      <c r="T308" s="2717"/>
      <c r="U308" s="2717"/>
      <c r="V308" s="2717"/>
    </row>
    <row r="309" spans="2:22" s="2721" customFormat="1" ht="14.1" customHeight="1" x14ac:dyDescent="0.2">
      <c r="B309" s="2711"/>
      <c r="C309" s="2524"/>
      <c r="D309" s="3427" t="s">
        <v>280</v>
      </c>
      <c r="E309" s="3428"/>
      <c r="F309" s="2722"/>
      <c r="G309" s="3433" t="s">
        <v>281</v>
      </c>
      <c r="H309" s="3433" t="s">
        <v>282</v>
      </c>
      <c r="I309" s="2524" t="s">
        <v>283</v>
      </c>
      <c r="J309" s="2524" t="s">
        <v>284</v>
      </c>
      <c r="K309" s="2524" t="s">
        <v>340</v>
      </c>
      <c r="L309" s="2524" t="s">
        <v>2008</v>
      </c>
      <c r="M309" s="2524" t="s">
        <v>2009</v>
      </c>
      <c r="N309" s="2524" t="s">
        <v>284</v>
      </c>
      <c r="Q309" s="2717"/>
      <c r="R309" s="2717"/>
      <c r="S309" s="2719"/>
      <c r="T309" s="2717"/>
      <c r="U309" s="2717"/>
      <c r="V309" s="2717"/>
    </row>
    <row r="310" spans="2:22" s="2721" customFormat="1" ht="14.1" customHeight="1" x14ac:dyDescent="0.2">
      <c r="B310" s="2711"/>
      <c r="C310" s="2528" t="s">
        <v>669</v>
      </c>
      <c r="D310" s="3429"/>
      <c r="E310" s="3430"/>
      <c r="F310" s="2723"/>
      <c r="G310" s="3434"/>
      <c r="H310" s="3434"/>
      <c r="I310" s="2528" t="s">
        <v>285</v>
      </c>
      <c r="J310" s="2528" t="s">
        <v>286</v>
      </c>
      <c r="K310" s="2528" t="s">
        <v>286</v>
      </c>
      <c r="L310" s="2528" t="s">
        <v>2011</v>
      </c>
      <c r="M310" s="2528"/>
      <c r="N310" s="2528" t="s">
        <v>2013</v>
      </c>
      <c r="Q310" s="2717"/>
      <c r="R310" s="2717"/>
      <c r="S310" s="2719"/>
      <c r="T310" s="2717"/>
      <c r="U310" s="2717"/>
      <c r="V310" s="2717"/>
    </row>
    <row r="311" spans="2:22" s="2721" customFormat="1" ht="14.1" customHeight="1" x14ac:dyDescent="0.2">
      <c r="B311" s="2711"/>
      <c r="C311" s="2537"/>
      <c r="D311" s="3431"/>
      <c r="E311" s="3432"/>
      <c r="F311" s="2724"/>
      <c r="G311" s="3435"/>
      <c r="H311" s="3435"/>
      <c r="I311" s="2537" t="s">
        <v>286</v>
      </c>
      <c r="J311" s="2536"/>
      <c r="K311" s="2536"/>
      <c r="L311" s="2536"/>
      <c r="M311" s="2536"/>
      <c r="N311" s="2537" t="s">
        <v>286</v>
      </c>
      <c r="Q311" s="2717"/>
      <c r="R311" s="2717"/>
      <c r="S311" s="2719"/>
      <c r="T311" s="2717"/>
      <c r="U311" s="2717"/>
      <c r="V311" s="2717"/>
    </row>
    <row r="312" spans="2:22" s="2721" customFormat="1" ht="14.1" customHeight="1" x14ac:dyDescent="0.2">
      <c r="B312" s="2711"/>
      <c r="C312" s="2524" t="s">
        <v>607</v>
      </c>
      <c r="D312" s="2733" t="s">
        <v>287</v>
      </c>
      <c r="E312" s="2739" t="s">
        <v>300</v>
      </c>
      <c r="F312" s="2739"/>
      <c r="G312" s="2727" t="s">
        <v>298</v>
      </c>
      <c r="H312" s="2740">
        <v>4.4160000000000004</v>
      </c>
      <c r="I312" s="2729">
        <f>'Upah &amp; Bahan'!$I$118</f>
        <v>1200</v>
      </c>
      <c r="J312" s="2729">
        <f>ROUND(H312*I312,2)</f>
        <v>5299.2</v>
      </c>
      <c r="K312" s="2730"/>
      <c r="L312" s="3177">
        <f>$L$192</f>
        <v>0.85140000000000005</v>
      </c>
      <c r="M312" s="2732" t="s">
        <v>2029</v>
      </c>
      <c r="N312" s="2729">
        <f t="shared" ref="N312:N321" si="22">L312*J312</f>
        <v>4511.7388799999999</v>
      </c>
      <c r="Q312" s="2717"/>
      <c r="R312" s="2717"/>
      <c r="S312" s="2719"/>
      <c r="T312" s="2717"/>
      <c r="U312" s="2717"/>
      <c r="V312" s="2717"/>
    </row>
    <row r="313" spans="2:22" s="2721" customFormat="1" ht="14.1" customHeight="1" x14ac:dyDescent="0.2">
      <c r="B313" s="2711"/>
      <c r="C313" s="2528"/>
      <c r="D313" s="2733"/>
      <c r="E313" s="2739" t="s">
        <v>331</v>
      </c>
      <c r="F313" s="2739"/>
      <c r="G313" s="2727" t="s">
        <v>293</v>
      </c>
      <c r="H313" s="2740">
        <v>2.7E-2</v>
      </c>
      <c r="I313" s="2729">
        <f>'Upah &amp; Bahan'!$I$121</f>
        <v>260000</v>
      </c>
      <c r="J313" s="2729">
        <f>ROUND(H313*I313,2)</f>
        <v>7020</v>
      </c>
      <c r="K313" s="2734"/>
      <c r="L313" s="3177">
        <v>1</v>
      </c>
      <c r="M313" s="2732"/>
      <c r="N313" s="2729">
        <f t="shared" si="22"/>
        <v>7020</v>
      </c>
      <c r="Q313" s="2717"/>
      <c r="R313" s="2717"/>
      <c r="S313" s="2719"/>
      <c r="T313" s="2717"/>
      <c r="U313" s="2717"/>
      <c r="V313" s="2717"/>
    </row>
    <row r="314" spans="2:22" s="2721" customFormat="1" ht="14.1" customHeight="1" x14ac:dyDescent="0.2">
      <c r="B314" s="2711"/>
      <c r="C314" s="2537"/>
      <c r="D314" s="2733"/>
      <c r="E314" s="2736"/>
      <c r="F314" s="2741"/>
      <c r="G314" s="2742"/>
      <c r="H314" s="2743"/>
      <c r="I314" s="2842"/>
      <c r="J314" s="2813"/>
      <c r="K314" s="2729">
        <f>SUM(J312:J313)</f>
        <v>12319.2</v>
      </c>
      <c r="L314" s="3177"/>
      <c r="M314" s="2732"/>
      <c r="N314" s="2729">
        <f t="shared" si="22"/>
        <v>0</v>
      </c>
      <c r="Q314" s="2717"/>
      <c r="R314" s="2717"/>
      <c r="S314" s="2719"/>
      <c r="T314" s="2717"/>
      <c r="U314" s="2717"/>
      <c r="V314" s="2717"/>
    </row>
    <row r="315" spans="2:22" s="2721" customFormat="1" ht="14.1" customHeight="1" x14ac:dyDescent="0.2">
      <c r="B315" s="2711"/>
      <c r="C315" s="2528" t="s">
        <v>608</v>
      </c>
      <c r="D315" s="2725" t="s">
        <v>288</v>
      </c>
      <c r="E315" s="2739" t="s">
        <v>294</v>
      </c>
      <c r="F315" s="2739"/>
      <c r="G315" s="2727" t="s">
        <v>291</v>
      </c>
      <c r="H315" s="2740">
        <v>0.3</v>
      </c>
      <c r="I315" s="2729">
        <f>'Upah &amp; Bahan'!$I$24</f>
        <v>88300</v>
      </c>
      <c r="J315" s="2729">
        <f>ROUND(H315*I315,2)</f>
        <v>26490</v>
      </c>
      <c r="K315" s="2730"/>
      <c r="L315" s="3177">
        <f>VLOOKUP($E315,$D$1744:$G$1761,2,0)</f>
        <v>1</v>
      </c>
      <c r="M315" s="2731" t="str">
        <f>VLOOKUP($E315,$D$1744:$G$1761,3,0)</f>
        <v>WNI</v>
      </c>
      <c r="N315" s="2729">
        <f t="shared" si="22"/>
        <v>26490</v>
      </c>
      <c r="Q315" s="2717"/>
      <c r="R315" s="2717"/>
      <c r="S315" s="2719"/>
      <c r="T315" s="2717"/>
      <c r="U315" s="2717"/>
      <c r="V315" s="2717"/>
    </row>
    <row r="316" spans="2:22" s="2721" customFormat="1" ht="14.1" customHeight="1" x14ac:dyDescent="0.2">
      <c r="B316" s="2711"/>
      <c r="C316" s="2733"/>
      <c r="D316" s="2733"/>
      <c r="E316" s="2739" t="s">
        <v>295</v>
      </c>
      <c r="F316" s="2739"/>
      <c r="G316" s="2727" t="s">
        <v>291</v>
      </c>
      <c r="H316" s="2740">
        <v>0.15</v>
      </c>
      <c r="I316" s="2729">
        <f>'Upah &amp; Bahan'!$I$32</f>
        <v>90000</v>
      </c>
      <c r="J316" s="2729">
        <f>ROUND(H316*I316,2)</f>
        <v>13500</v>
      </c>
      <c r="K316" s="2734"/>
      <c r="L316" s="3177">
        <f>VLOOKUP($E316,$D$1744:$G$1761,2,0)</f>
        <v>1</v>
      </c>
      <c r="M316" s="2731" t="str">
        <f>VLOOKUP($E316,$D$1744:$G$1761,3,0)</f>
        <v>WNI</v>
      </c>
      <c r="N316" s="2729">
        <f t="shared" si="22"/>
        <v>13500</v>
      </c>
      <c r="Q316" s="2717"/>
      <c r="R316" s="2717"/>
      <c r="S316" s="2719"/>
      <c r="T316" s="2717"/>
      <c r="U316" s="2717"/>
      <c r="V316" s="2717"/>
    </row>
    <row r="317" spans="2:22" s="2721" customFormat="1" ht="14.1" customHeight="1" x14ac:dyDescent="0.2">
      <c r="B317" s="2711"/>
      <c r="C317" s="2733"/>
      <c r="D317" s="2733"/>
      <c r="E317" s="2739" t="s">
        <v>296</v>
      </c>
      <c r="F317" s="2739"/>
      <c r="G317" s="2727" t="s">
        <v>291</v>
      </c>
      <c r="H317" s="2740">
        <v>1.4999999999999999E-2</v>
      </c>
      <c r="I317" s="2732">
        <f>'Upah &amp; Bahan'!$I$26</f>
        <v>96000</v>
      </c>
      <c r="J317" s="2729">
        <f>ROUND(H317*I317,2)</f>
        <v>1440</v>
      </c>
      <c r="K317" s="2734"/>
      <c r="L317" s="3177">
        <f>VLOOKUP($E317,$D$1744:$G$1761,2,0)</f>
        <v>1</v>
      </c>
      <c r="M317" s="2731" t="str">
        <f>VLOOKUP($E317,$D$1744:$G$1761,3,0)</f>
        <v>WNI</v>
      </c>
      <c r="N317" s="2729">
        <f t="shared" si="22"/>
        <v>1440</v>
      </c>
      <c r="Q317" s="2717"/>
      <c r="R317" s="2717"/>
      <c r="S317" s="2719"/>
      <c r="T317" s="2717"/>
      <c r="U317" s="2717"/>
      <c r="V317" s="2717"/>
    </row>
    <row r="318" spans="2:22" s="2721" customFormat="1" ht="14.1" customHeight="1" x14ac:dyDescent="0.2">
      <c r="B318" s="2711"/>
      <c r="C318" s="2528"/>
      <c r="D318" s="2733"/>
      <c r="E318" s="2739" t="s">
        <v>290</v>
      </c>
      <c r="F318" s="2739"/>
      <c r="G318" s="2727" t="s">
        <v>291</v>
      </c>
      <c r="H318" s="2740">
        <v>1.4999999999999999E-2</v>
      </c>
      <c r="I318" s="2729">
        <f>'Upah &amp; Bahan'!$I$31</f>
        <v>90000</v>
      </c>
      <c r="J318" s="2729">
        <f>ROUND(H318*I318,2)</f>
        <v>1350</v>
      </c>
      <c r="K318" s="2733"/>
      <c r="L318" s="3177">
        <f>VLOOKUP($E318,$D$1744:$G$1761,2,0)</f>
        <v>1</v>
      </c>
      <c r="M318" s="2731" t="str">
        <f>VLOOKUP($E318,$D$1744:$G$1761,3,0)</f>
        <v>WNI</v>
      </c>
      <c r="N318" s="2729">
        <f t="shared" si="22"/>
        <v>1350</v>
      </c>
      <c r="Q318" s="2717"/>
      <c r="R318" s="2717"/>
      <c r="S318" s="2719"/>
      <c r="T318" s="2717"/>
      <c r="U318" s="2717"/>
      <c r="V318" s="2717"/>
    </row>
    <row r="319" spans="2:22" s="2721" customFormat="1" ht="14.1" customHeight="1" x14ac:dyDescent="0.2">
      <c r="B319" s="2711"/>
      <c r="C319" s="2536"/>
      <c r="D319" s="2536"/>
      <c r="E319" s="2736"/>
      <c r="F319" s="2741"/>
      <c r="G319" s="2742"/>
      <c r="H319" s="2743"/>
      <c r="I319" s="2842"/>
      <c r="J319" s="2813"/>
      <c r="K319" s="2732">
        <f>SUM(J315:J318)</f>
        <v>42780</v>
      </c>
      <c r="L319" s="3177"/>
      <c r="M319" s="2732"/>
      <c r="N319" s="2729">
        <f t="shared" si="22"/>
        <v>0</v>
      </c>
      <c r="Q319" s="2717"/>
      <c r="R319" s="2717"/>
      <c r="S319" s="2719"/>
      <c r="T319" s="2717"/>
      <c r="U319" s="2717"/>
      <c r="V319" s="2717"/>
    </row>
    <row r="320" spans="2:22" s="2721" customFormat="1" ht="14.1" customHeight="1" x14ac:dyDescent="0.2">
      <c r="B320" s="2711"/>
      <c r="C320" s="2528" t="s">
        <v>609</v>
      </c>
      <c r="D320" s="2725" t="s">
        <v>606</v>
      </c>
      <c r="E320" s="2739"/>
      <c r="F320" s="2739"/>
      <c r="G320" s="2727"/>
      <c r="H320" s="2740"/>
      <c r="I320" s="2814"/>
      <c r="J320" s="2729"/>
      <c r="K320" s="2730"/>
      <c r="L320" s="3177"/>
      <c r="M320" s="2732"/>
      <c r="N320" s="2729">
        <f t="shared" si="22"/>
        <v>0</v>
      </c>
      <c r="Q320" s="2717"/>
      <c r="R320" s="2717"/>
      <c r="S320" s="2719"/>
      <c r="T320" s="2717"/>
      <c r="U320" s="2717"/>
      <c r="V320" s="2717"/>
    </row>
    <row r="321" spans="2:22" s="2721" customFormat="1" ht="14.1" customHeight="1" x14ac:dyDescent="0.2">
      <c r="B321" s="2711"/>
      <c r="C321" s="2536"/>
      <c r="D321" s="2536"/>
      <c r="E321" s="2736"/>
      <c r="F321" s="2741"/>
      <c r="G321" s="2742"/>
      <c r="H321" s="2743"/>
      <c r="I321" s="2744"/>
      <c r="J321" s="2813"/>
      <c r="K321" s="2732">
        <f>SUM(J320:J320)</f>
        <v>0</v>
      </c>
      <c r="L321" s="3177"/>
      <c r="M321" s="2732"/>
      <c r="N321" s="2729">
        <f t="shared" si="22"/>
        <v>0</v>
      </c>
      <c r="Q321" s="2717"/>
      <c r="R321" s="2717"/>
      <c r="S321" s="2719"/>
      <c r="T321" s="2717"/>
      <c r="U321" s="2717"/>
      <c r="V321" s="2717"/>
    </row>
    <row r="322" spans="2:22" s="2721" customFormat="1" ht="14.1" customHeight="1" x14ac:dyDescent="0.2">
      <c r="B322" s="2711"/>
      <c r="C322" s="2537" t="s">
        <v>610</v>
      </c>
      <c r="D322" s="2738" t="s">
        <v>651</v>
      </c>
      <c r="E322" s="2741"/>
      <c r="F322" s="2741"/>
      <c r="G322" s="2742"/>
      <c r="H322" s="2743"/>
      <c r="I322" s="2744"/>
      <c r="J322" s="2745" t="s">
        <v>652</v>
      </c>
      <c r="K322" s="2732">
        <f>K314+K319+K321</f>
        <v>55099.199999999997</v>
      </c>
      <c r="L322" s="3179">
        <f>N322/K322</f>
        <v>0.9857083021169093</v>
      </c>
      <c r="M322" s="2745"/>
      <c r="N322" s="2747">
        <f>SUM(N310:N321)</f>
        <v>54311.738880000004</v>
      </c>
      <c r="Q322" s="2717"/>
      <c r="R322" s="2717"/>
      <c r="S322" s="2719"/>
      <c r="T322" s="2717"/>
      <c r="U322" s="2717"/>
      <c r="V322" s="2717"/>
    </row>
    <row r="323" spans="2:22" s="2721" customFormat="1" ht="14.1" customHeight="1" x14ac:dyDescent="0.2">
      <c r="B323" s="2711"/>
      <c r="C323" s="2537" t="s">
        <v>611</v>
      </c>
      <c r="D323" s="2738" t="s">
        <v>653</v>
      </c>
      <c r="E323" s="2741"/>
      <c r="F323" s="2748">
        <f>$F$42</f>
        <v>0.1</v>
      </c>
      <c r="G323" s="2727" t="s">
        <v>425</v>
      </c>
      <c r="H323" s="2748">
        <f>$H$42</f>
        <v>0.03</v>
      </c>
      <c r="I323" s="2749" t="s">
        <v>424</v>
      </c>
      <c r="J323" s="2732" t="s">
        <v>610</v>
      </c>
      <c r="K323" s="2750">
        <f>ROUND((K322*(F323+H323)),2)</f>
        <v>7162.9</v>
      </c>
      <c r="L323" s="2732"/>
      <c r="M323" s="2732"/>
      <c r="N323" s="2732"/>
      <c r="Q323" s="2717"/>
      <c r="R323" s="2717"/>
      <c r="S323" s="2719"/>
      <c r="T323" s="2717"/>
      <c r="U323" s="2717"/>
      <c r="V323" s="2717"/>
    </row>
    <row r="324" spans="2:22" s="2721" customFormat="1" ht="14.1" customHeight="1" x14ac:dyDescent="0.2">
      <c r="B324" s="2711"/>
      <c r="C324" s="2880" t="s">
        <v>654</v>
      </c>
      <c r="D324" s="2752" t="s">
        <v>301</v>
      </c>
      <c r="E324" s="2815"/>
      <c r="F324" s="2815"/>
      <c r="G324" s="2815"/>
      <c r="H324" s="2816"/>
      <c r="I324" s="2815"/>
      <c r="J324" s="2755" t="s">
        <v>668</v>
      </c>
      <c r="K324" s="2756">
        <f>SUM(K322:K323)</f>
        <v>62262.1</v>
      </c>
      <c r="L324" s="2746"/>
      <c r="M324" s="2755"/>
      <c r="N324" s="2757"/>
      <c r="Q324" s="2717"/>
      <c r="R324" s="2717"/>
      <c r="S324" s="2719"/>
      <c r="T324" s="2717"/>
      <c r="U324" s="2717"/>
      <c r="V324" s="2717"/>
    </row>
    <row r="325" spans="2:22" s="2721" customFormat="1" ht="14.1" customHeight="1" x14ac:dyDescent="0.2">
      <c r="H325" s="2711"/>
      <c r="Q325" s="2717"/>
      <c r="R325" s="2717"/>
      <c r="S325" s="2719"/>
      <c r="T325" s="2717"/>
      <c r="U325" s="2717"/>
      <c r="V325" s="2717"/>
    </row>
    <row r="326" spans="2:22" s="2720" customFormat="1" ht="14.1" customHeight="1" x14ac:dyDescent="0.2">
      <c r="B326" s="2711">
        <f>B306+1</f>
        <v>18</v>
      </c>
      <c r="C326" s="2711"/>
      <c r="D326" s="2713" t="s">
        <v>470</v>
      </c>
      <c r="E326" s="2713"/>
      <c r="F326" s="2713"/>
      <c r="G326" s="2713"/>
      <c r="H326" s="2714"/>
      <c r="I326" s="2713"/>
      <c r="J326" s="2713"/>
      <c r="K326" s="2715" t="s">
        <v>756</v>
      </c>
      <c r="L326" s="2715"/>
      <c r="M326" s="2715"/>
      <c r="N326" s="2715"/>
      <c r="O326" s="2716" t="str">
        <f>D327</f>
        <v>m2</v>
      </c>
      <c r="P326" s="2717">
        <f>K342</f>
        <v>36634.6</v>
      </c>
      <c r="Q326" s="2718">
        <f>L340</f>
        <v>0.98212399753238744</v>
      </c>
      <c r="R326" s="2718"/>
      <c r="S326" s="2719">
        <f>N340</f>
        <v>31840.46</v>
      </c>
      <c r="T326" s="2515">
        <f>U326+S326</f>
        <v>35979.719799999999</v>
      </c>
      <c r="U326" s="2719">
        <f>S326*V326</f>
        <v>4139.2597999999998</v>
      </c>
      <c r="V326" s="2718">
        <f>$F$42+$H$42</f>
        <v>0.13</v>
      </c>
    </row>
    <row r="327" spans="2:22" s="2720" customFormat="1" ht="14.1" customHeight="1" x14ac:dyDescent="0.2">
      <c r="B327" s="2711"/>
      <c r="C327" s="2711"/>
      <c r="D327" s="2721" t="s">
        <v>338</v>
      </c>
      <c r="E327" s="2721"/>
      <c r="F327" s="2721"/>
      <c r="G327" s="2721"/>
      <c r="H327" s="2711"/>
      <c r="I327" s="2721"/>
      <c r="J327" s="2721"/>
      <c r="K327" s="2721"/>
      <c r="L327" s="2721"/>
      <c r="M327" s="2721"/>
      <c r="N327" s="2721"/>
      <c r="O327" s="2716"/>
      <c r="Q327" s="2717"/>
      <c r="R327" s="2717"/>
      <c r="S327" s="2719"/>
      <c r="T327" s="2717"/>
      <c r="U327" s="2717"/>
      <c r="V327" s="2717"/>
    </row>
    <row r="328" spans="2:22" s="2720" customFormat="1" ht="14.1" customHeight="1" x14ac:dyDescent="0.2">
      <c r="B328" s="2711"/>
      <c r="C328" s="2524"/>
      <c r="D328" s="3427" t="s">
        <v>280</v>
      </c>
      <c r="E328" s="3428"/>
      <c r="F328" s="2722"/>
      <c r="G328" s="3433" t="s">
        <v>281</v>
      </c>
      <c r="H328" s="3433" t="s">
        <v>282</v>
      </c>
      <c r="I328" s="2524" t="s">
        <v>283</v>
      </c>
      <c r="J328" s="2524" t="s">
        <v>284</v>
      </c>
      <c r="K328" s="2524" t="s">
        <v>340</v>
      </c>
      <c r="L328" s="2524" t="s">
        <v>2008</v>
      </c>
      <c r="M328" s="2524" t="s">
        <v>2009</v>
      </c>
      <c r="N328" s="2524" t="s">
        <v>284</v>
      </c>
      <c r="O328" s="2716"/>
      <c r="Q328" s="2717"/>
      <c r="R328" s="2717"/>
      <c r="S328" s="2719"/>
      <c r="T328" s="2717"/>
      <c r="U328" s="2717"/>
      <c r="V328" s="2717"/>
    </row>
    <row r="329" spans="2:22" s="2720" customFormat="1" ht="14.1" customHeight="1" x14ac:dyDescent="0.2">
      <c r="B329" s="2711"/>
      <c r="C329" s="2528" t="s">
        <v>669</v>
      </c>
      <c r="D329" s="3429"/>
      <c r="E329" s="3430"/>
      <c r="F329" s="2723"/>
      <c r="G329" s="3434"/>
      <c r="H329" s="3434"/>
      <c r="I329" s="2528" t="s">
        <v>285</v>
      </c>
      <c r="J329" s="2528" t="s">
        <v>286</v>
      </c>
      <c r="K329" s="2528" t="s">
        <v>286</v>
      </c>
      <c r="L329" s="2528" t="s">
        <v>2011</v>
      </c>
      <c r="M329" s="2528"/>
      <c r="N329" s="2528" t="s">
        <v>2013</v>
      </c>
      <c r="O329" s="2716"/>
      <c r="Q329" s="2717"/>
      <c r="R329" s="2717"/>
      <c r="S329" s="2719"/>
      <c r="T329" s="2717"/>
      <c r="U329" s="2717"/>
      <c r="V329" s="2717"/>
    </row>
    <row r="330" spans="2:22" s="2720" customFormat="1" ht="14.1" customHeight="1" x14ac:dyDescent="0.2">
      <c r="B330" s="2711"/>
      <c r="C330" s="2537"/>
      <c r="D330" s="3431"/>
      <c r="E330" s="3432"/>
      <c r="F330" s="2724"/>
      <c r="G330" s="3435"/>
      <c r="H330" s="3435"/>
      <c r="I330" s="2537" t="s">
        <v>286</v>
      </c>
      <c r="J330" s="2536"/>
      <c r="K330" s="2536"/>
      <c r="L330" s="2536"/>
      <c r="M330" s="2536"/>
      <c r="N330" s="2537" t="s">
        <v>286</v>
      </c>
      <c r="O330" s="2716"/>
      <c r="Q330" s="2717"/>
      <c r="R330" s="2717"/>
      <c r="S330" s="2719"/>
      <c r="T330" s="2717"/>
      <c r="U330" s="2717"/>
      <c r="V330" s="2717"/>
    </row>
    <row r="331" spans="2:22" s="2720" customFormat="1" ht="14.1" customHeight="1" x14ac:dyDescent="0.2">
      <c r="B331" s="2711"/>
      <c r="C331" s="2524" t="s">
        <v>607</v>
      </c>
      <c r="D331" s="2733" t="s">
        <v>287</v>
      </c>
      <c r="E331" s="2871" t="s">
        <v>300</v>
      </c>
      <c r="F331" s="2881"/>
      <c r="G331" s="2537" t="s">
        <v>298</v>
      </c>
      <c r="H331" s="2873">
        <v>3.25</v>
      </c>
      <c r="I331" s="2874">
        <f>'Upah &amp; Bahan'!$I$118</f>
        <v>1200</v>
      </c>
      <c r="J331" s="2729">
        <f>ROUND(H331*I331,2)</f>
        <v>3900</v>
      </c>
      <c r="K331" s="2730"/>
      <c r="L331" s="3177">
        <f>$L$192</f>
        <v>0.85140000000000005</v>
      </c>
      <c r="M331" s="2732" t="s">
        <v>2029</v>
      </c>
      <c r="N331" s="2729">
        <f t="shared" ref="N331:N339" si="23">L331*J331</f>
        <v>3320.46</v>
      </c>
      <c r="O331" s="2716"/>
      <c r="Q331" s="2717"/>
      <c r="R331" s="2717"/>
      <c r="S331" s="2719"/>
      <c r="T331" s="2717"/>
      <c r="U331" s="2717"/>
      <c r="V331" s="2717"/>
    </row>
    <row r="332" spans="2:22" s="2720" customFormat="1" ht="14.1" customHeight="1" x14ac:dyDescent="0.2">
      <c r="B332" s="2711"/>
      <c r="C332" s="2537"/>
      <c r="D332" s="2733"/>
      <c r="E332" s="2876"/>
      <c r="F332" s="2877"/>
      <c r="G332" s="2742"/>
      <c r="H332" s="2743"/>
      <c r="I332" s="2744"/>
      <c r="J332" s="2813"/>
      <c r="K332" s="2729">
        <f>SUM(J331)</f>
        <v>3900</v>
      </c>
      <c r="L332" s="2731"/>
      <c r="M332" s="2732"/>
      <c r="N332" s="2729">
        <f t="shared" si="23"/>
        <v>0</v>
      </c>
      <c r="O332" s="2716"/>
      <c r="Q332" s="2717"/>
      <c r="R332" s="2717"/>
      <c r="S332" s="2719"/>
      <c r="T332" s="2717"/>
      <c r="U332" s="2717"/>
      <c r="V332" s="2717"/>
    </row>
    <row r="333" spans="2:22" s="2720" customFormat="1" ht="14.1" customHeight="1" x14ac:dyDescent="0.2">
      <c r="B333" s="2711"/>
      <c r="C333" s="2524" t="s">
        <v>608</v>
      </c>
      <c r="D333" s="2725" t="s">
        <v>288</v>
      </c>
      <c r="E333" s="2739" t="s">
        <v>294</v>
      </c>
      <c r="F333" s="2739"/>
      <c r="G333" s="2727" t="s">
        <v>291</v>
      </c>
      <c r="H333" s="2740">
        <v>0.2</v>
      </c>
      <c r="I333" s="2814">
        <f>'Upah &amp; Bahan'!$I$24</f>
        <v>88300</v>
      </c>
      <c r="J333" s="2729">
        <f>ROUND(H333*I333,2)</f>
        <v>17660</v>
      </c>
      <c r="K333" s="2730"/>
      <c r="L333" s="3177">
        <f>VLOOKUP($E333,$D$1744:$G$1761,2,0)</f>
        <v>1</v>
      </c>
      <c r="M333" s="2731" t="str">
        <f>VLOOKUP($E333,$D$1744:$G$1761,3,0)</f>
        <v>WNI</v>
      </c>
      <c r="N333" s="2729">
        <f t="shared" si="23"/>
        <v>17660</v>
      </c>
      <c r="O333" s="2716"/>
      <c r="Q333" s="2717"/>
      <c r="R333" s="2717"/>
      <c r="S333" s="2719"/>
      <c r="T333" s="2717"/>
      <c r="U333" s="2717"/>
      <c r="V333" s="2717"/>
    </row>
    <row r="334" spans="2:22" s="2720" customFormat="1" ht="14.1" customHeight="1" x14ac:dyDescent="0.2">
      <c r="B334" s="2711"/>
      <c r="C334" s="2733"/>
      <c r="D334" s="2733"/>
      <c r="E334" s="2739" t="s">
        <v>295</v>
      </c>
      <c r="F334" s="2739"/>
      <c r="G334" s="2727" t="s">
        <v>291</v>
      </c>
      <c r="H334" s="2740">
        <v>0.1</v>
      </c>
      <c r="I334" s="2814">
        <f>'Upah &amp; Bahan'!$I$32</f>
        <v>90000</v>
      </c>
      <c r="J334" s="2729">
        <f>ROUND(H334*I334,2)</f>
        <v>9000</v>
      </c>
      <c r="K334" s="2734"/>
      <c r="L334" s="3177">
        <f>VLOOKUP($E334,$D$1744:$G$1761,2,0)</f>
        <v>1</v>
      </c>
      <c r="M334" s="2731" t="str">
        <f>VLOOKUP($E334,$D$1744:$G$1761,3,0)</f>
        <v>WNI</v>
      </c>
      <c r="N334" s="2729">
        <f t="shared" si="23"/>
        <v>9000</v>
      </c>
      <c r="O334" s="2716"/>
      <c r="Q334" s="2717"/>
      <c r="R334" s="2717"/>
      <c r="S334" s="2719"/>
      <c r="T334" s="2717"/>
      <c r="U334" s="2717"/>
      <c r="V334" s="2717"/>
    </row>
    <row r="335" spans="2:22" s="2720" customFormat="1" ht="14.1" customHeight="1" x14ac:dyDescent="0.2">
      <c r="B335" s="2711"/>
      <c r="C335" s="2733"/>
      <c r="D335" s="2733"/>
      <c r="E335" s="2739" t="s">
        <v>296</v>
      </c>
      <c r="F335" s="2739"/>
      <c r="G335" s="2727" t="s">
        <v>291</v>
      </c>
      <c r="H335" s="2740">
        <v>0.01</v>
      </c>
      <c r="I335" s="2814">
        <f>'Upah &amp; Bahan'!$I$26</f>
        <v>96000</v>
      </c>
      <c r="J335" s="2729">
        <f>ROUND(H335*I335,2)</f>
        <v>960</v>
      </c>
      <c r="K335" s="2734"/>
      <c r="L335" s="3177">
        <f>VLOOKUP($E335,$D$1744:$G$1761,2,0)</f>
        <v>1</v>
      </c>
      <c r="M335" s="2731" t="str">
        <f>VLOOKUP($E335,$D$1744:$G$1761,3,0)</f>
        <v>WNI</v>
      </c>
      <c r="N335" s="2729">
        <f t="shared" si="23"/>
        <v>960</v>
      </c>
      <c r="O335" s="2716"/>
      <c r="Q335" s="2717"/>
      <c r="R335" s="2717"/>
      <c r="S335" s="2719"/>
      <c r="T335" s="2717"/>
      <c r="U335" s="2717"/>
      <c r="V335" s="2717"/>
    </row>
    <row r="336" spans="2:22" s="2720" customFormat="1" ht="14.1" customHeight="1" x14ac:dyDescent="0.2">
      <c r="B336" s="2711"/>
      <c r="C336" s="2733"/>
      <c r="D336" s="2733"/>
      <c r="E336" s="2739" t="s">
        <v>290</v>
      </c>
      <c r="F336" s="2739"/>
      <c r="G336" s="2727" t="s">
        <v>291</v>
      </c>
      <c r="H336" s="2740">
        <v>0.01</v>
      </c>
      <c r="I336" s="2814">
        <f>'Upah &amp; Bahan'!$I$31</f>
        <v>90000</v>
      </c>
      <c r="J336" s="2729">
        <f>ROUND(H336*I336,2)</f>
        <v>900</v>
      </c>
      <c r="K336" s="2733"/>
      <c r="L336" s="3177">
        <f>VLOOKUP($E336,$D$1744:$G$1761,2,0)</f>
        <v>1</v>
      </c>
      <c r="M336" s="2731" t="str">
        <f>VLOOKUP($E336,$D$1744:$G$1761,3,0)</f>
        <v>WNI</v>
      </c>
      <c r="N336" s="2729">
        <f t="shared" si="23"/>
        <v>900</v>
      </c>
      <c r="O336" s="2716"/>
      <c r="Q336" s="2717"/>
      <c r="R336" s="2717"/>
      <c r="S336" s="2719"/>
      <c r="T336" s="2717"/>
      <c r="U336" s="2717"/>
      <c r="V336" s="2717"/>
    </row>
    <row r="337" spans="2:22" s="2720" customFormat="1" ht="14.1" customHeight="1" x14ac:dyDescent="0.2">
      <c r="B337" s="2711"/>
      <c r="C337" s="2536"/>
      <c r="D337" s="2536"/>
      <c r="E337" s="2736"/>
      <c r="F337" s="2741"/>
      <c r="G337" s="2742"/>
      <c r="H337" s="2743"/>
      <c r="I337" s="2744"/>
      <c r="J337" s="2745"/>
      <c r="K337" s="2732">
        <f>SUM(J333:J336)</f>
        <v>28520</v>
      </c>
      <c r="L337" s="3177"/>
      <c r="M337" s="2732"/>
      <c r="N337" s="2729">
        <f t="shared" si="23"/>
        <v>0</v>
      </c>
      <c r="O337" s="2716"/>
      <c r="Q337" s="2717"/>
      <c r="R337" s="2717"/>
      <c r="S337" s="2719"/>
      <c r="T337" s="2717"/>
      <c r="U337" s="2717"/>
      <c r="V337" s="2717"/>
    </row>
    <row r="338" spans="2:22" s="2720" customFormat="1" ht="14.1" customHeight="1" x14ac:dyDescent="0.2">
      <c r="B338" s="2711"/>
      <c r="C338" s="2528" t="s">
        <v>609</v>
      </c>
      <c r="D338" s="2725" t="s">
        <v>606</v>
      </c>
      <c r="E338" s="2739"/>
      <c r="F338" s="2739"/>
      <c r="G338" s="2727"/>
      <c r="H338" s="2740"/>
      <c r="I338" s="2814"/>
      <c r="J338" s="2729"/>
      <c r="K338" s="2730"/>
      <c r="L338" s="3177"/>
      <c r="M338" s="2732"/>
      <c r="N338" s="2729">
        <f t="shared" si="23"/>
        <v>0</v>
      </c>
      <c r="O338" s="2716"/>
      <c r="Q338" s="2717"/>
      <c r="R338" s="2717"/>
      <c r="S338" s="2719"/>
      <c r="T338" s="2717"/>
      <c r="U338" s="2717"/>
      <c r="V338" s="2717"/>
    </row>
    <row r="339" spans="2:22" s="2720" customFormat="1" ht="14.1" customHeight="1" x14ac:dyDescent="0.2">
      <c r="B339" s="2711"/>
      <c r="C339" s="2536"/>
      <c r="D339" s="2536"/>
      <c r="E339" s="2736"/>
      <c r="F339" s="2741"/>
      <c r="G339" s="2742"/>
      <c r="H339" s="2743"/>
      <c r="I339" s="2744"/>
      <c r="J339" s="2813"/>
      <c r="K339" s="2732">
        <f>SUM(J338:J338)</f>
        <v>0</v>
      </c>
      <c r="L339" s="3177"/>
      <c r="M339" s="2732"/>
      <c r="N339" s="2729">
        <f t="shared" si="23"/>
        <v>0</v>
      </c>
      <c r="O339" s="2716"/>
      <c r="Q339" s="2717"/>
      <c r="R339" s="2717"/>
      <c r="S339" s="2719"/>
      <c r="T339" s="2717"/>
      <c r="U339" s="2717"/>
      <c r="V339" s="2717"/>
    </row>
    <row r="340" spans="2:22" s="2720" customFormat="1" ht="14.1" customHeight="1" x14ac:dyDescent="0.2">
      <c r="B340" s="2711"/>
      <c r="C340" s="2537" t="s">
        <v>610</v>
      </c>
      <c r="D340" s="2738" t="s">
        <v>651</v>
      </c>
      <c r="E340" s="2741"/>
      <c r="F340" s="2741"/>
      <c r="G340" s="2742"/>
      <c r="H340" s="2743"/>
      <c r="I340" s="2744"/>
      <c r="J340" s="2745" t="s">
        <v>652</v>
      </c>
      <c r="K340" s="2732">
        <f>K332+K337+K339</f>
        <v>32420</v>
      </c>
      <c r="L340" s="3179">
        <f>N340/K340</f>
        <v>0.98212399753238744</v>
      </c>
      <c r="M340" s="2745"/>
      <c r="N340" s="2747">
        <f>SUM(N328:N339)</f>
        <v>31840.46</v>
      </c>
      <c r="O340" s="2716"/>
      <c r="Q340" s="2717"/>
      <c r="R340" s="2717"/>
      <c r="S340" s="2719"/>
      <c r="T340" s="2717"/>
      <c r="U340" s="2717"/>
      <c r="V340" s="2717"/>
    </row>
    <row r="341" spans="2:22" s="2720" customFormat="1" ht="14.1" customHeight="1" x14ac:dyDescent="0.2">
      <c r="B341" s="2711"/>
      <c r="C341" s="2537" t="s">
        <v>611</v>
      </c>
      <c r="D341" s="2738" t="s">
        <v>653</v>
      </c>
      <c r="E341" s="2741"/>
      <c r="F341" s="2748">
        <f>$F$42</f>
        <v>0.1</v>
      </c>
      <c r="G341" s="2727" t="s">
        <v>425</v>
      </c>
      <c r="H341" s="2748">
        <f>$H$42</f>
        <v>0.03</v>
      </c>
      <c r="I341" s="2749" t="s">
        <v>424</v>
      </c>
      <c r="J341" s="2732" t="s">
        <v>610</v>
      </c>
      <c r="K341" s="2750">
        <f>ROUND((K340*(F341+H341)),2)</f>
        <v>4214.6000000000004</v>
      </c>
      <c r="L341" s="2732"/>
      <c r="M341" s="2732"/>
      <c r="N341" s="2732"/>
      <c r="O341" s="2716"/>
      <c r="Q341" s="2717"/>
      <c r="R341" s="2717"/>
      <c r="S341" s="2719"/>
      <c r="T341" s="2717"/>
      <c r="U341" s="2717"/>
      <c r="V341" s="2717"/>
    </row>
    <row r="342" spans="2:22" s="2720" customFormat="1" ht="14.1" customHeight="1" x14ac:dyDescent="0.2">
      <c r="B342" s="2711"/>
      <c r="C342" s="2880" t="s">
        <v>654</v>
      </c>
      <c r="D342" s="2752" t="s">
        <v>301</v>
      </c>
      <c r="E342" s="2815"/>
      <c r="F342" s="2815"/>
      <c r="G342" s="2815"/>
      <c r="H342" s="2816"/>
      <c r="I342" s="2815"/>
      <c r="J342" s="2755" t="s">
        <v>668</v>
      </c>
      <c r="K342" s="2756">
        <f>SUM(K340:K341)</f>
        <v>36634.6</v>
      </c>
      <c r="L342" s="2746"/>
      <c r="M342" s="2755"/>
      <c r="N342" s="2757"/>
      <c r="O342" s="2716"/>
      <c r="Q342" s="2717"/>
      <c r="R342" s="2717"/>
      <c r="S342" s="2719"/>
      <c r="T342" s="2717"/>
      <c r="U342" s="2717"/>
      <c r="V342" s="2717"/>
    </row>
    <row r="343" spans="2:22" x14ac:dyDescent="0.25">
      <c r="L343" s="2715"/>
      <c r="M343" s="2715"/>
      <c r="N343" s="2715"/>
      <c r="Q343" s="2717"/>
      <c r="R343" s="2717"/>
      <c r="S343" s="2719"/>
      <c r="T343" s="2717"/>
      <c r="U343" s="2717"/>
      <c r="V343" s="2717"/>
    </row>
    <row r="344" spans="2:22" s="2720" customFormat="1" ht="14.1" customHeight="1" x14ac:dyDescent="0.2">
      <c r="B344" s="2711">
        <f>B326+1</f>
        <v>19</v>
      </c>
      <c r="C344" s="2886"/>
      <c r="D344" s="2713" t="s">
        <v>472</v>
      </c>
      <c r="E344" s="2887"/>
      <c r="F344" s="2887"/>
      <c r="G344" s="2887"/>
      <c r="H344" s="2888"/>
      <c r="I344" s="2887"/>
      <c r="J344" s="2887"/>
      <c r="K344" s="2715" t="s">
        <v>720</v>
      </c>
      <c r="L344" s="2715"/>
      <c r="M344" s="2715"/>
      <c r="N344" s="2715"/>
      <c r="O344" s="2716" t="str">
        <f>D345</f>
        <v>m'</v>
      </c>
      <c r="P344" s="2717">
        <f>K361</f>
        <v>68139</v>
      </c>
      <c r="Q344" s="2718">
        <f>L359</f>
        <v>0.69652404643449417</v>
      </c>
      <c r="R344" s="2718"/>
      <c r="S344" s="2719">
        <f>N359</f>
        <v>42000.4</v>
      </c>
      <c r="T344" s="2515">
        <f>U344+S344</f>
        <v>47460.452000000005</v>
      </c>
      <c r="U344" s="2719">
        <f>S344*V344</f>
        <v>5460.0520000000006</v>
      </c>
      <c r="V344" s="2718">
        <f>$F$42+$H$42</f>
        <v>0.13</v>
      </c>
    </row>
    <row r="345" spans="2:22" s="2720" customFormat="1" ht="14.1" customHeight="1" x14ac:dyDescent="0.2">
      <c r="B345" s="2886"/>
      <c r="C345" s="2886"/>
      <c r="D345" s="2721" t="s">
        <v>247</v>
      </c>
      <c r="E345" s="2721"/>
      <c r="F345" s="2721"/>
      <c r="G345" s="2721"/>
      <c r="H345" s="2711"/>
      <c r="I345" s="2721"/>
      <c r="J345" s="2721"/>
      <c r="K345" s="2721"/>
      <c r="L345" s="2721"/>
      <c r="M345" s="2721"/>
      <c r="N345" s="2721"/>
      <c r="O345" s="2716"/>
      <c r="Q345" s="2717"/>
      <c r="R345" s="2717"/>
      <c r="S345" s="2719"/>
      <c r="T345" s="2717"/>
      <c r="U345" s="2717"/>
      <c r="V345" s="2717"/>
    </row>
    <row r="346" spans="2:22" s="2720" customFormat="1" ht="14.1" customHeight="1" x14ac:dyDescent="0.2">
      <c r="B346" s="2886"/>
      <c r="C346" s="2524"/>
      <c r="D346" s="3436" t="s">
        <v>280</v>
      </c>
      <c r="E346" s="3437"/>
      <c r="F346" s="2722"/>
      <c r="G346" s="3440" t="s">
        <v>281</v>
      </c>
      <c r="H346" s="3440" t="s">
        <v>282</v>
      </c>
      <c r="I346" s="2524" t="s">
        <v>283</v>
      </c>
      <c r="J346" s="2524" t="s">
        <v>284</v>
      </c>
      <c r="K346" s="2524" t="s">
        <v>340</v>
      </c>
      <c r="L346" s="2524" t="s">
        <v>2008</v>
      </c>
      <c r="M346" s="2524" t="s">
        <v>2009</v>
      </c>
      <c r="N346" s="2524" t="s">
        <v>284</v>
      </c>
      <c r="O346" s="2716"/>
      <c r="Q346" s="2717"/>
      <c r="R346" s="2717"/>
      <c r="S346" s="2719"/>
      <c r="T346" s="2717"/>
      <c r="U346" s="2717"/>
      <c r="V346" s="2717"/>
    </row>
    <row r="347" spans="2:22" s="2720" customFormat="1" ht="14.1" customHeight="1" x14ac:dyDescent="0.2">
      <c r="B347" s="2886"/>
      <c r="C347" s="2528" t="s">
        <v>669</v>
      </c>
      <c r="D347" s="3438"/>
      <c r="E347" s="3439"/>
      <c r="F347" s="2723"/>
      <c r="G347" s="3441"/>
      <c r="H347" s="3441"/>
      <c r="I347" s="2528" t="s">
        <v>285</v>
      </c>
      <c r="J347" s="2528" t="s">
        <v>286</v>
      </c>
      <c r="K347" s="2528" t="s">
        <v>286</v>
      </c>
      <c r="L347" s="2528" t="s">
        <v>2011</v>
      </c>
      <c r="M347" s="2528"/>
      <c r="N347" s="2528" t="s">
        <v>2013</v>
      </c>
      <c r="O347" s="2716"/>
      <c r="Q347" s="2717"/>
      <c r="R347" s="2717"/>
      <c r="S347" s="2719"/>
      <c r="T347" s="2717"/>
      <c r="U347" s="2717"/>
      <c r="V347" s="2717"/>
    </row>
    <row r="348" spans="2:22" s="2720" customFormat="1" ht="14.1" customHeight="1" x14ac:dyDescent="0.2">
      <c r="B348" s="2886"/>
      <c r="C348" s="2537"/>
      <c r="D348" s="3431"/>
      <c r="E348" s="3432"/>
      <c r="F348" s="2724"/>
      <c r="G348" s="3435"/>
      <c r="H348" s="3435"/>
      <c r="I348" s="2537" t="s">
        <v>286</v>
      </c>
      <c r="J348" s="2536"/>
      <c r="K348" s="2536"/>
      <c r="L348" s="2536"/>
      <c r="M348" s="2536"/>
      <c r="N348" s="2537" t="s">
        <v>286</v>
      </c>
      <c r="O348" s="2716"/>
      <c r="Q348" s="2717"/>
      <c r="R348" s="2717"/>
      <c r="S348" s="2719"/>
      <c r="T348" s="2717"/>
      <c r="U348" s="2717"/>
      <c r="V348" s="2717"/>
    </row>
    <row r="349" spans="2:22" s="2720" customFormat="1" ht="14.1" customHeight="1" x14ac:dyDescent="0.2">
      <c r="B349" s="2886"/>
      <c r="C349" s="2524" t="s">
        <v>607</v>
      </c>
      <c r="D349" s="2733" t="s">
        <v>287</v>
      </c>
      <c r="E349" s="2739" t="s">
        <v>440</v>
      </c>
      <c r="F349" s="2739"/>
      <c r="G349" s="2727" t="s">
        <v>247</v>
      </c>
      <c r="H349" s="2889">
        <v>1</v>
      </c>
      <c r="I349" s="2814">
        <f>'Upah &amp; Bahan'!$I$152/4</f>
        <v>29000</v>
      </c>
      <c r="J349" s="2729">
        <f>H349*I349</f>
        <v>29000</v>
      </c>
      <c r="K349" s="2730"/>
      <c r="L349" s="3177">
        <v>0.42759999999999998</v>
      </c>
      <c r="M349" s="2732"/>
      <c r="N349" s="2729">
        <f t="shared" ref="N349:N358" si="24">L349*J349</f>
        <v>12400.4</v>
      </c>
      <c r="O349" s="2716"/>
      <c r="Q349" s="2717"/>
      <c r="R349" s="2717"/>
      <c r="S349" s="2719"/>
      <c r="T349" s="2717"/>
      <c r="U349" s="2717"/>
      <c r="V349" s="2717"/>
    </row>
    <row r="350" spans="2:22" s="2720" customFormat="1" ht="14.1" customHeight="1" x14ac:dyDescent="0.2">
      <c r="B350" s="2886"/>
      <c r="C350" s="2733"/>
      <c r="D350" s="2733"/>
      <c r="E350" s="2739" t="s">
        <v>336</v>
      </c>
      <c r="F350" s="2739"/>
      <c r="G350" s="2727" t="s">
        <v>298</v>
      </c>
      <c r="H350" s="2740">
        <v>0.1</v>
      </c>
      <c r="I350" s="2814">
        <f>'Upah &amp; Bahan'!$I$117</f>
        <v>17000</v>
      </c>
      <c r="J350" s="2729">
        <f>H350*I350</f>
        <v>1700</v>
      </c>
      <c r="K350" s="2734"/>
      <c r="L350" s="3177">
        <v>0</v>
      </c>
      <c r="M350" s="2732"/>
      <c r="N350" s="2729">
        <f t="shared" si="24"/>
        <v>0</v>
      </c>
      <c r="O350" s="2716"/>
      <c r="Q350" s="2717"/>
      <c r="R350" s="2717"/>
      <c r="S350" s="2719"/>
      <c r="T350" s="2717"/>
      <c r="U350" s="2717"/>
      <c r="V350" s="2717"/>
    </row>
    <row r="351" spans="2:22" s="2720" customFormat="1" ht="14.1" customHeight="1" x14ac:dyDescent="0.2">
      <c r="B351" s="2886"/>
      <c r="C351" s="2528"/>
      <c r="D351" s="2733"/>
      <c r="E351" s="2736"/>
      <c r="F351" s="2741"/>
      <c r="G351" s="2742"/>
      <c r="H351" s="2743"/>
      <c r="I351" s="2744"/>
      <c r="J351" s="2813"/>
      <c r="K351" s="2729">
        <f>SUM(J349:J350)</f>
        <v>30700</v>
      </c>
      <c r="L351" s="3177"/>
      <c r="M351" s="2732"/>
      <c r="N351" s="2729">
        <f t="shared" si="24"/>
        <v>0</v>
      </c>
      <c r="O351" s="2716"/>
      <c r="Q351" s="2717"/>
      <c r="R351" s="2717"/>
      <c r="S351" s="2719"/>
      <c r="T351" s="2717"/>
      <c r="U351" s="2717"/>
      <c r="V351" s="2717"/>
    </row>
    <row r="352" spans="2:22" s="2720" customFormat="1" ht="14.1" customHeight="1" x14ac:dyDescent="0.2">
      <c r="B352" s="2886"/>
      <c r="C352" s="2524" t="s">
        <v>608</v>
      </c>
      <c r="D352" s="2725" t="s">
        <v>288</v>
      </c>
      <c r="E352" s="2739" t="s">
        <v>294</v>
      </c>
      <c r="F352" s="2739"/>
      <c r="G352" s="2727" t="s">
        <v>291</v>
      </c>
      <c r="H352" s="2740">
        <v>0.1</v>
      </c>
      <c r="I352" s="2814">
        <f>'Upah &amp; Bahan'!$I$24</f>
        <v>88300</v>
      </c>
      <c r="J352" s="2729">
        <f>H352*I352</f>
        <v>8830</v>
      </c>
      <c r="K352" s="2890"/>
      <c r="L352" s="3177">
        <f>VLOOKUP($E352,$D$1744:$G$1761,2,0)</f>
        <v>1</v>
      </c>
      <c r="M352" s="2731" t="str">
        <f>VLOOKUP($E352,$D$1744:$G$1761,3,0)</f>
        <v>WNI</v>
      </c>
      <c r="N352" s="2729">
        <f t="shared" si="24"/>
        <v>8830</v>
      </c>
      <c r="O352" s="2716"/>
      <c r="Q352" s="2717"/>
      <c r="R352" s="2717"/>
      <c r="S352" s="2719"/>
      <c r="T352" s="2717"/>
      <c r="U352" s="2717"/>
      <c r="V352" s="2717"/>
    </row>
    <row r="353" spans="2:22" s="2720" customFormat="1" ht="14.1" customHeight="1" x14ac:dyDescent="0.2">
      <c r="B353" s="2886"/>
      <c r="C353" s="2733"/>
      <c r="D353" s="2733"/>
      <c r="E353" s="2739" t="s">
        <v>327</v>
      </c>
      <c r="F353" s="2739"/>
      <c r="G353" s="2727" t="s">
        <v>291</v>
      </c>
      <c r="H353" s="2740">
        <v>0.2</v>
      </c>
      <c r="I353" s="2814">
        <f>'Upah &amp; Bahan'!$I$36</f>
        <v>92000</v>
      </c>
      <c r="J353" s="2729">
        <f>H353*I353</f>
        <v>18400</v>
      </c>
      <c r="K353" s="2890"/>
      <c r="L353" s="3177">
        <f>VLOOKUP($E353,$D$1744:$G$1761,2,0)</f>
        <v>1</v>
      </c>
      <c r="M353" s="2731" t="str">
        <f>VLOOKUP($E353,$D$1744:$G$1761,3,0)</f>
        <v>WNI</v>
      </c>
      <c r="N353" s="2729">
        <f t="shared" si="24"/>
        <v>18400</v>
      </c>
      <c r="O353" s="2716"/>
      <c r="Q353" s="2717"/>
      <c r="R353" s="2717"/>
      <c r="S353" s="2719"/>
      <c r="T353" s="2717"/>
      <c r="U353" s="2717"/>
      <c r="V353" s="2717"/>
    </row>
    <row r="354" spans="2:22" s="2720" customFormat="1" ht="14.1" customHeight="1" x14ac:dyDescent="0.2">
      <c r="B354" s="2886"/>
      <c r="C354" s="2733"/>
      <c r="D354" s="2733"/>
      <c r="E354" s="2739" t="s">
        <v>716</v>
      </c>
      <c r="F354" s="2739"/>
      <c r="G354" s="2727" t="s">
        <v>291</v>
      </c>
      <c r="H354" s="2740">
        <v>0.02</v>
      </c>
      <c r="I354" s="2814">
        <f>'Upah &amp; Bahan'!$I$30</f>
        <v>96000</v>
      </c>
      <c r="J354" s="2729">
        <f>H354*I354</f>
        <v>1920</v>
      </c>
      <c r="K354" s="2733"/>
      <c r="L354" s="3177">
        <f>VLOOKUP($E354,$D$1744:$G$1761,2,0)</f>
        <v>1</v>
      </c>
      <c r="M354" s="2731" t="str">
        <f>VLOOKUP($E354,$D$1744:$G$1761,3,0)</f>
        <v>WNI</v>
      </c>
      <c r="N354" s="2729">
        <f t="shared" si="24"/>
        <v>1920</v>
      </c>
      <c r="O354" s="2716"/>
      <c r="Q354" s="2717"/>
      <c r="R354" s="2717"/>
      <c r="S354" s="2719"/>
      <c r="T354" s="2717"/>
      <c r="U354" s="2717"/>
      <c r="V354" s="2717"/>
    </row>
    <row r="355" spans="2:22" s="2720" customFormat="1" ht="14.1" customHeight="1" x14ac:dyDescent="0.2">
      <c r="B355" s="2886"/>
      <c r="C355" s="2733"/>
      <c r="D355" s="2733"/>
      <c r="E355" s="2739" t="s">
        <v>290</v>
      </c>
      <c r="F355" s="2739"/>
      <c r="G355" s="2727" t="s">
        <v>291</v>
      </c>
      <c r="H355" s="2740">
        <v>5.0000000000000001E-3</v>
      </c>
      <c r="I355" s="2814">
        <f>'Upah &amp; Bahan'!$I$31</f>
        <v>90000</v>
      </c>
      <c r="J355" s="2729">
        <f>H355*I355</f>
        <v>450</v>
      </c>
      <c r="K355" s="2536"/>
      <c r="L355" s="3177">
        <f>VLOOKUP($E355,$D$1744:$G$1761,2,0)</f>
        <v>1</v>
      </c>
      <c r="M355" s="2731" t="str">
        <f>VLOOKUP($E355,$D$1744:$G$1761,3,0)</f>
        <v>WNI</v>
      </c>
      <c r="N355" s="2729">
        <f t="shared" si="24"/>
        <v>450</v>
      </c>
      <c r="O355" s="2716"/>
      <c r="Q355" s="2717"/>
      <c r="R355" s="2717"/>
      <c r="S355" s="2719"/>
      <c r="T355" s="2717"/>
      <c r="U355" s="2717"/>
      <c r="V355" s="2717"/>
    </row>
    <row r="356" spans="2:22" s="2720" customFormat="1" ht="14.1" customHeight="1" x14ac:dyDescent="0.2">
      <c r="B356" s="2886"/>
      <c r="C356" s="2537"/>
      <c r="D356" s="2536"/>
      <c r="E356" s="2736"/>
      <c r="F356" s="2741"/>
      <c r="G356" s="2742"/>
      <c r="H356" s="2743"/>
      <c r="I356" s="2744"/>
      <c r="J356" s="2813"/>
      <c r="K356" s="2891">
        <f>SUM(J352:J355)</f>
        <v>29600</v>
      </c>
      <c r="L356" s="3177"/>
      <c r="M356" s="2732"/>
      <c r="N356" s="2729">
        <f t="shared" si="24"/>
        <v>0</v>
      </c>
      <c r="O356" s="2716"/>
      <c r="Q356" s="2717"/>
      <c r="R356" s="2717"/>
      <c r="S356" s="2719"/>
      <c r="T356" s="2717"/>
      <c r="U356" s="2717"/>
      <c r="V356" s="2717"/>
    </row>
    <row r="357" spans="2:22" s="2720" customFormat="1" ht="14.1" customHeight="1" x14ac:dyDescent="0.2">
      <c r="B357" s="2711"/>
      <c r="C357" s="2528" t="s">
        <v>609</v>
      </c>
      <c r="D357" s="2725" t="s">
        <v>606</v>
      </c>
      <c r="E357" s="2739"/>
      <c r="F357" s="2739"/>
      <c r="G357" s="2727"/>
      <c r="H357" s="2740"/>
      <c r="I357" s="2814"/>
      <c r="J357" s="2729"/>
      <c r="K357" s="2730"/>
      <c r="L357" s="3177"/>
      <c r="M357" s="2732"/>
      <c r="N357" s="2729">
        <f t="shared" si="24"/>
        <v>0</v>
      </c>
      <c r="O357" s="2716"/>
      <c r="Q357" s="2717"/>
      <c r="R357" s="2717"/>
      <c r="S357" s="2719"/>
      <c r="T357" s="2717"/>
      <c r="U357" s="2717"/>
      <c r="V357" s="2717"/>
    </row>
    <row r="358" spans="2:22" s="2720" customFormat="1" ht="14.1" customHeight="1" x14ac:dyDescent="0.2">
      <c r="B358" s="2711"/>
      <c r="C358" s="2537"/>
      <c r="D358" s="2536"/>
      <c r="E358" s="2736"/>
      <c r="F358" s="2741"/>
      <c r="G358" s="2742"/>
      <c r="H358" s="2743"/>
      <c r="I358" s="2744"/>
      <c r="J358" s="2813"/>
      <c r="K358" s="2732">
        <f>SUM(J357:J357)</f>
        <v>0</v>
      </c>
      <c r="L358" s="3177"/>
      <c r="M358" s="2732"/>
      <c r="N358" s="2729">
        <f t="shared" si="24"/>
        <v>0</v>
      </c>
      <c r="O358" s="2716"/>
      <c r="Q358" s="2717"/>
      <c r="R358" s="2717"/>
      <c r="S358" s="2719"/>
      <c r="T358" s="2717"/>
      <c r="U358" s="2717"/>
      <c r="V358" s="2717"/>
    </row>
    <row r="359" spans="2:22" s="2720" customFormat="1" ht="14.1" customHeight="1" x14ac:dyDescent="0.2">
      <c r="B359" s="2711"/>
      <c r="C359" s="2537" t="s">
        <v>610</v>
      </c>
      <c r="D359" s="2738" t="s">
        <v>651</v>
      </c>
      <c r="E359" s="2741"/>
      <c r="F359" s="2741"/>
      <c r="G359" s="2742"/>
      <c r="H359" s="2743"/>
      <c r="I359" s="2744"/>
      <c r="J359" s="2745" t="s">
        <v>652</v>
      </c>
      <c r="K359" s="2732">
        <f>K351+K356+K358</f>
        <v>60300</v>
      </c>
      <c r="L359" s="3179">
        <f>N359/K359</f>
        <v>0.69652404643449417</v>
      </c>
      <c r="M359" s="2745"/>
      <c r="N359" s="2747">
        <f>SUM(N347:N358)</f>
        <v>42000.4</v>
      </c>
      <c r="O359" s="2716"/>
      <c r="Q359" s="2717"/>
      <c r="R359" s="2717"/>
      <c r="S359" s="2719"/>
      <c r="T359" s="2717"/>
      <c r="U359" s="2717"/>
      <c r="V359" s="2717"/>
    </row>
    <row r="360" spans="2:22" s="2720" customFormat="1" ht="14.1" customHeight="1" x14ac:dyDescent="0.2">
      <c r="B360" s="2711"/>
      <c r="C360" s="2537" t="s">
        <v>611</v>
      </c>
      <c r="D360" s="2738" t="s">
        <v>653</v>
      </c>
      <c r="E360" s="2741"/>
      <c r="F360" s="2748">
        <f>$F$42</f>
        <v>0.1</v>
      </c>
      <c r="G360" s="2727" t="s">
        <v>425</v>
      </c>
      <c r="H360" s="2748">
        <f>$H$42</f>
        <v>0.03</v>
      </c>
      <c r="I360" s="2749" t="s">
        <v>424</v>
      </c>
      <c r="J360" s="2732" t="s">
        <v>610</v>
      </c>
      <c r="K360" s="2750">
        <f>ROUND((K359*(F360+H360)),2)</f>
        <v>7839</v>
      </c>
      <c r="L360" s="2732"/>
      <c r="M360" s="2732"/>
      <c r="N360" s="2732"/>
      <c r="O360" s="2716"/>
      <c r="Q360" s="2717"/>
      <c r="R360" s="2717"/>
      <c r="S360" s="2719"/>
      <c r="T360" s="2717"/>
      <c r="U360" s="2717"/>
      <c r="V360" s="2717"/>
    </row>
    <row r="361" spans="2:22" s="2720" customFormat="1" ht="14.1" customHeight="1" x14ac:dyDescent="0.2">
      <c r="B361" s="2886"/>
      <c r="C361" s="2880" t="s">
        <v>654</v>
      </c>
      <c r="D361" s="2752" t="s">
        <v>301</v>
      </c>
      <c r="E361" s="2815"/>
      <c r="F361" s="2815"/>
      <c r="G361" s="2815"/>
      <c r="H361" s="2816"/>
      <c r="I361" s="2815"/>
      <c r="J361" s="2755" t="s">
        <v>668</v>
      </c>
      <c r="K361" s="2756">
        <f>SUM(K359:K360)</f>
        <v>68139</v>
      </c>
      <c r="L361" s="2746"/>
      <c r="M361" s="2755"/>
      <c r="N361" s="2757"/>
      <c r="O361" s="2716"/>
      <c r="Q361" s="2717"/>
      <c r="R361" s="2717"/>
      <c r="S361" s="2719"/>
      <c r="T361" s="2717"/>
      <c r="U361" s="2717"/>
      <c r="V361" s="2717"/>
    </row>
    <row r="362" spans="2:22" x14ac:dyDescent="0.25">
      <c r="Q362" s="2717"/>
      <c r="R362" s="2717"/>
      <c r="S362" s="2719"/>
      <c r="T362" s="2717"/>
      <c r="U362" s="2717"/>
      <c r="V362" s="2717"/>
    </row>
    <row r="363" spans="2:22" s="2720" customFormat="1" ht="14.1" customHeight="1" x14ac:dyDescent="0.2">
      <c r="B363" s="2711">
        <f>B344+1</f>
        <v>20</v>
      </c>
      <c r="C363" s="2711"/>
      <c r="D363" s="2713" t="s">
        <v>1557</v>
      </c>
      <c r="E363" s="2713"/>
      <c r="F363" s="2713"/>
      <c r="G363" s="2713"/>
      <c r="H363" s="2714"/>
      <c r="I363" s="2713"/>
      <c r="J363" s="2713"/>
      <c r="K363" s="2715" t="s">
        <v>750</v>
      </c>
      <c r="L363" s="2715"/>
      <c r="M363" s="2715"/>
      <c r="N363" s="2715"/>
      <c r="O363" s="2716" t="str">
        <f>D364</f>
        <v>m3</v>
      </c>
      <c r="P363" s="2717">
        <f>K382</f>
        <v>958085.99</v>
      </c>
      <c r="Q363" s="2718">
        <f>L380</f>
        <v>0.94805174525042479</v>
      </c>
      <c r="R363" s="2718"/>
      <c r="S363" s="2719">
        <f>N380</f>
        <v>803818.67</v>
      </c>
      <c r="T363" s="2515">
        <f>U363+S363</f>
        <v>908315.09710000001</v>
      </c>
      <c r="U363" s="2719">
        <f>S363*V363</f>
        <v>104496.42710000002</v>
      </c>
      <c r="V363" s="2718">
        <f>$F$42+$H$42</f>
        <v>0.13</v>
      </c>
    </row>
    <row r="364" spans="2:22" s="2720" customFormat="1" ht="14.1" customHeight="1" x14ac:dyDescent="0.2">
      <c r="B364" s="2711"/>
      <c r="C364" s="2711"/>
      <c r="D364" s="2721" t="s">
        <v>293</v>
      </c>
      <c r="E364" s="2721"/>
      <c r="F364" s="2721"/>
      <c r="G364" s="2721"/>
      <c r="H364" s="2711"/>
      <c r="I364" s="2721"/>
      <c r="J364" s="2721"/>
      <c r="K364" s="2721"/>
      <c r="L364" s="2721"/>
      <c r="M364" s="2721"/>
      <c r="N364" s="2721"/>
      <c r="O364" s="2716"/>
      <c r="Q364" s="2717"/>
      <c r="R364" s="2717"/>
      <c r="S364" s="2719"/>
      <c r="T364" s="2717"/>
      <c r="U364" s="2717"/>
      <c r="V364" s="2717"/>
    </row>
    <row r="365" spans="2:22" s="2720" customFormat="1" ht="14.1" customHeight="1" x14ac:dyDescent="0.2">
      <c r="B365" s="2711"/>
      <c r="C365" s="2524"/>
      <c r="D365" s="3427" t="s">
        <v>280</v>
      </c>
      <c r="E365" s="3428"/>
      <c r="F365" s="2722"/>
      <c r="G365" s="3433" t="s">
        <v>281</v>
      </c>
      <c r="H365" s="3433" t="s">
        <v>282</v>
      </c>
      <c r="I365" s="2524" t="s">
        <v>283</v>
      </c>
      <c r="J365" s="2524" t="s">
        <v>284</v>
      </c>
      <c r="K365" s="2524" t="s">
        <v>340</v>
      </c>
      <c r="L365" s="2524" t="s">
        <v>2008</v>
      </c>
      <c r="M365" s="2524" t="s">
        <v>2009</v>
      </c>
      <c r="N365" s="2524" t="s">
        <v>284</v>
      </c>
      <c r="O365" s="2716"/>
      <c r="Q365" s="2717"/>
      <c r="R365" s="2717"/>
      <c r="S365" s="2719"/>
      <c r="T365" s="2717"/>
      <c r="U365" s="2717"/>
      <c r="V365" s="2717"/>
    </row>
    <row r="366" spans="2:22" s="2720" customFormat="1" ht="14.1" customHeight="1" x14ac:dyDescent="0.2">
      <c r="B366" s="2711"/>
      <c r="C366" s="2528" t="s">
        <v>669</v>
      </c>
      <c r="D366" s="3429"/>
      <c r="E366" s="3430"/>
      <c r="F366" s="2723"/>
      <c r="G366" s="3434"/>
      <c r="H366" s="3434"/>
      <c r="I366" s="2528" t="s">
        <v>285</v>
      </c>
      <c r="J366" s="2528" t="s">
        <v>286</v>
      </c>
      <c r="K366" s="2528" t="s">
        <v>286</v>
      </c>
      <c r="L366" s="2528" t="s">
        <v>2011</v>
      </c>
      <c r="M366" s="2528"/>
      <c r="N366" s="2528" t="s">
        <v>2013</v>
      </c>
      <c r="O366" s="2716"/>
      <c r="Q366" s="2717"/>
      <c r="R366" s="2717"/>
      <c r="S366" s="2719"/>
      <c r="T366" s="2717"/>
      <c r="U366" s="2717"/>
      <c r="V366" s="2717"/>
    </row>
    <row r="367" spans="2:22" s="2720" customFormat="1" ht="14.1" customHeight="1" x14ac:dyDescent="0.2">
      <c r="B367" s="2711"/>
      <c r="C367" s="2537"/>
      <c r="D367" s="3431"/>
      <c r="E367" s="3432"/>
      <c r="F367" s="2724"/>
      <c r="G367" s="3435"/>
      <c r="H367" s="3435"/>
      <c r="I367" s="2537" t="s">
        <v>286</v>
      </c>
      <c r="J367" s="2536"/>
      <c r="K367" s="2536"/>
      <c r="L367" s="2536"/>
      <c r="M367" s="2536"/>
      <c r="N367" s="2537" t="s">
        <v>286</v>
      </c>
      <c r="O367" s="2716"/>
      <c r="Q367" s="2717"/>
      <c r="R367" s="2717"/>
      <c r="S367" s="2719"/>
      <c r="T367" s="2717"/>
      <c r="U367" s="2717"/>
      <c r="V367" s="2717"/>
    </row>
    <row r="368" spans="2:22" s="2720" customFormat="1" ht="14.1" customHeight="1" x14ac:dyDescent="0.2">
      <c r="B368" s="2711"/>
      <c r="C368" s="2524" t="s">
        <v>607</v>
      </c>
      <c r="D368" s="2725" t="s">
        <v>287</v>
      </c>
      <c r="E368" s="2739" t="s">
        <v>300</v>
      </c>
      <c r="F368" s="2739"/>
      <c r="G368" s="2727" t="s">
        <v>298</v>
      </c>
      <c r="H368" s="2740">
        <v>247</v>
      </c>
      <c r="I368" s="2814">
        <f>'Upah &amp; Bahan'!$I$118</f>
        <v>1200</v>
      </c>
      <c r="J368" s="2729">
        <f>ROUND(H368*I368,2)</f>
        <v>296400</v>
      </c>
      <c r="K368" s="2730"/>
      <c r="L368" s="3177">
        <f>$L$192</f>
        <v>0.85140000000000005</v>
      </c>
      <c r="M368" s="2732" t="s">
        <v>2029</v>
      </c>
      <c r="N368" s="2729">
        <f t="shared" ref="N368:N379" si="25">L368*J368</f>
        <v>252354.96000000002</v>
      </c>
      <c r="O368" s="2716"/>
      <c r="Q368" s="2717"/>
      <c r="R368" s="2717"/>
      <c r="S368" s="2719"/>
      <c r="T368" s="2717"/>
      <c r="U368" s="2717"/>
      <c r="V368" s="2717"/>
    </row>
    <row r="369" spans="2:22" s="2720" customFormat="1" ht="14.1" customHeight="1" x14ac:dyDescent="0.2">
      <c r="B369" s="2711"/>
      <c r="C369" s="2528"/>
      <c r="D369" s="2733"/>
      <c r="E369" s="2739" t="s">
        <v>303</v>
      </c>
      <c r="F369" s="2739"/>
      <c r="G369" s="2727" t="s">
        <v>298</v>
      </c>
      <c r="H369" s="2740">
        <v>869</v>
      </c>
      <c r="I369" s="2814">
        <f>'Upah &amp; Bahan'!$I$120/1400</f>
        <v>185.71428571428572</v>
      </c>
      <c r="J369" s="2729">
        <f>ROUND(H369*I369,2)</f>
        <v>161385.71</v>
      </c>
      <c r="K369" s="2734"/>
      <c r="L369" s="2731">
        <v>1</v>
      </c>
      <c r="M369" s="2732"/>
      <c r="N369" s="2729">
        <f t="shared" si="25"/>
        <v>161385.71</v>
      </c>
      <c r="O369" s="2716"/>
      <c r="Q369" s="2717"/>
      <c r="R369" s="2717"/>
      <c r="S369" s="2719"/>
      <c r="T369" s="2717"/>
      <c r="U369" s="2717"/>
      <c r="V369" s="2717"/>
    </row>
    <row r="370" spans="2:22" s="2720" customFormat="1" ht="14.1" customHeight="1" x14ac:dyDescent="0.2">
      <c r="B370" s="2711"/>
      <c r="C370" s="2733"/>
      <c r="D370" s="2733"/>
      <c r="E370" s="2739" t="s">
        <v>306</v>
      </c>
      <c r="F370" s="2739"/>
      <c r="G370" s="2727" t="s">
        <v>298</v>
      </c>
      <c r="H370" s="2740">
        <v>999</v>
      </c>
      <c r="I370" s="2814">
        <f>'Upah &amp; Bahan'!$I$61/1350</f>
        <v>200</v>
      </c>
      <c r="J370" s="2729">
        <f>ROUND(H370*I370,2)</f>
        <v>199800</v>
      </c>
      <c r="K370" s="2734"/>
      <c r="L370" s="2731">
        <v>1</v>
      </c>
      <c r="M370" s="2732"/>
      <c r="N370" s="2729">
        <f t="shared" si="25"/>
        <v>199800</v>
      </c>
      <c r="O370" s="2716"/>
      <c r="Q370" s="2717"/>
      <c r="R370" s="2717"/>
      <c r="S370" s="2719"/>
      <c r="T370" s="2717"/>
      <c r="U370" s="2717"/>
      <c r="V370" s="2717"/>
    </row>
    <row r="371" spans="2:22" s="2720" customFormat="1" ht="14.1" customHeight="1" x14ac:dyDescent="0.2">
      <c r="B371" s="2711"/>
      <c r="C371" s="2733"/>
      <c r="D371" s="2733"/>
      <c r="E371" s="2739" t="s">
        <v>305</v>
      </c>
      <c r="F371" s="2739"/>
      <c r="G371" s="2727" t="s">
        <v>392</v>
      </c>
      <c r="H371" s="2740">
        <v>215</v>
      </c>
      <c r="I371" s="2814">
        <f>'Upah &amp; Bahan'!$I$48</f>
        <v>45</v>
      </c>
      <c r="J371" s="2729">
        <f>ROUND(H371*I371,2)</f>
        <v>9675</v>
      </c>
      <c r="K371" s="2536"/>
      <c r="L371" s="2731">
        <v>1</v>
      </c>
      <c r="M371" s="2732"/>
      <c r="N371" s="2729">
        <f t="shared" si="25"/>
        <v>9675</v>
      </c>
      <c r="O371" s="2716"/>
      <c r="Q371" s="2717"/>
      <c r="R371" s="2717"/>
      <c r="S371" s="2719"/>
      <c r="T371" s="2717"/>
      <c r="U371" s="2717"/>
      <c r="V371" s="2717"/>
    </row>
    <row r="372" spans="2:22" s="2720" customFormat="1" ht="14.1" customHeight="1" x14ac:dyDescent="0.2">
      <c r="B372" s="2711"/>
      <c r="C372" s="2537"/>
      <c r="D372" s="2733"/>
      <c r="E372" s="2736"/>
      <c r="F372" s="2741"/>
      <c r="G372" s="2742"/>
      <c r="H372" s="2743"/>
      <c r="I372" s="2744"/>
      <c r="J372" s="2813"/>
      <c r="K372" s="2729">
        <f>SUM(J368:J371)</f>
        <v>667260.71</v>
      </c>
      <c r="L372" s="2731"/>
      <c r="M372" s="2732"/>
      <c r="N372" s="2729">
        <f t="shared" si="25"/>
        <v>0</v>
      </c>
      <c r="O372" s="2716"/>
      <c r="Q372" s="2717"/>
      <c r="R372" s="2717"/>
      <c r="S372" s="2719"/>
      <c r="T372" s="2717"/>
      <c r="U372" s="2717"/>
      <c r="V372" s="2717"/>
    </row>
    <row r="373" spans="2:22" s="2720" customFormat="1" ht="14.1" customHeight="1" x14ac:dyDescent="0.2">
      <c r="B373" s="2711"/>
      <c r="C373" s="2524" t="s">
        <v>608</v>
      </c>
      <c r="D373" s="2725" t="s">
        <v>288</v>
      </c>
      <c r="E373" s="2739" t="s">
        <v>294</v>
      </c>
      <c r="F373" s="2739"/>
      <c r="G373" s="2727" t="s">
        <v>291</v>
      </c>
      <c r="H373" s="2740">
        <v>1.65</v>
      </c>
      <c r="I373" s="2814">
        <f>'Upah &amp; Bahan'!$I$24</f>
        <v>88300</v>
      </c>
      <c r="J373" s="2729">
        <f>ROUND(H373*I373,2)</f>
        <v>145695</v>
      </c>
      <c r="K373" s="2730"/>
      <c r="L373" s="2731">
        <f>VLOOKUP($E373,$D$1744:$G$1761,2,0)</f>
        <v>1</v>
      </c>
      <c r="M373" s="2731" t="str">
        <f>VLOOKUP($E373,$D$1744:$G$1761,3,0)</f>
        <v>WNI</v>
      </c>
      <c r="N373" s="2729">
        <f t="shared" si="25"/>
        <v>145695</v>
      </c>
      <c r="O373" s="2716"/>
      <c r="Q373" s="2717"/>
      <c r="R373" s="2717"/>
      <c r="S373" s="2719"/>
      <c r="T373" s="2717"/>
      <c r="U373" s="2717"/>
      <c r="V373" s="2717"/>
    </row>
    <row r="374" spans="2:22" s="2720" customFormat="1" ht="14.1" customHeight="1" x14ac:dyDescent="0.2">
      <c r="B374" s="2711"/>
      <c r="C374" s="2733"/>
      <c r="D374" s="2733"/>
      <c r="E374" s="2739" t="s">
        <v>295</v>
      </c>
      <c r="F374" s="2739"/>
      <c r="G374" s="2727" t="s">
        <v>291</v>
      </c>
      <c r="H374" s="2740">
        <v>0.27500000000000002</v>
      </c>
      <c r="I374" s="2814">
        <f>'Upah &amp; Bahan'!$I$32</f>
        <v>90000</v>
      </c>
      <c r="J374" s="2729">
        <f>ROUND(H374*I374,2)</f>
        <v>24750</v>
      </c>
      <c r="K374" s="2734"/>
      <c r="L374" s="2731">
        <f>VLOOKUP($E374,$D$1744:$G$1761,2,0)</f>
        <v>1</v>
      </c>
      <c r="M374" s="2731" t="str">
        <f>VLOOKUP($E374,$D$1744:$G$1761,3,0)</f>
        <v>WNI</v>
      </c>
      <c r="N374" s="2729">
        <f t="shared" si="25"/>
        <v>24750</v>
      </c>
      <c r="O374" s="2716"/>
      <c r="Q374" s="2717"/>
      <c r="R374" s="2717"/>
      <c r="S374" s="2719"/>
      <c r="T374" s="2717"/>
      <c r="U374" s="2717"/>
      <c r="V374" s="2717"/>
    </row>
    <row r="375" spans="2:22" s="2720" customFormat="1" ht="14.1" customHeight="1" x14ac:dyDescent="0.2">
      <c r="B375" s="2711"/>
      <c r="C375" s="2733"/>
      <c r="D375" s="2733"/>
      <c r="E375" s="2739" t="s">
        <v>296</v>
      </c>
      <c r="F375" s="2739"/>
      <c r="G375" s="2727" t="s">
        <v>291</v>
      </c>
      <c r="H375" s="2740">
        <v>2.8000000000000001E-2</v>
      </c>
      <c r="I375" s="2814">
        <f>'Upah &amp; Bahan'!$I$26</f>
        <v>96000</v>
      </c>
      <c r="J375" s="2729">
        <f>ROUND(H375*I375,2)</f>
        <v>2688</v>
      </c>
      <c r="K375" s="2734"/>
      <c r="L375" s="2731">
        <f>VLOOKUP($E375,$D$1744:$G$1761,2,0)</f>
        <v>1</v>
      </c>
      <c r="M375" s="2731" t="str">
        <f>VLOOKUP($E375,$D$1744:$G$1761,3,0)</f>
        <v>WNI</v>
      </c>
      <c r="N375" s="2729">
        <f t="shared" si="25"/>
        <v>2688</v>
      </c>
      <c r="O375" s="2716"/>
      <c r="Q375" s="2717"/>
      <c r="R375" s="2717"/>
      <c r="S375" s="2719"/>
      <c r="T375" s="2717"/>
      <c r="U375" s="2717"/>
      <c r="V375" s="2717"/>
    </row>
    <row r="376" spans="2:22" s="2720" customFormat="1" ht="14.1" customHeight="1" x14ac:dyDescent="0.2">
      <c r="B376" s="2711"/>
      <c r="C376" s="2733"/>
      <c r="D376" s="2733"/>
      <c r="E376" s="2739" t="s">
        <v>290</v>
      </c>
      <c r="F376" s="2739"/>
      <c r="G376" s="2727" t="s">
        <v>291</v>
      </c>
      <c r="H376" s="2740">
        <v>8.3000000000000004E-2</v>
      </c>
      <c r="I376" s="2814">
        <f>'Upah &amp; Bahan'!$I$31</f>
        <v>90000</v>
      </c>
      <c r="J376" s="2729">
        <f>ROUND(H376*I376,2)</f>
        <v>7470</v>
      </c>
      <c r="K376" s="2733"/>
      <c r="L376" s="2731">
        <f>VLOOKUP($E376,$D$1744:$G$1761,2,0)</f>
        <v>1</v>
      </c>
      <c r="M376" s="2731" t="str">
        <f>VLOOKUP($E376,$D$1744:$G$1761,3,0)</f>
        <v>WNI</v>
      </c>
      <c r="N376" s="2729">
        <f t="shared" si="25"/>
        <v>7470</v>
      </c>
      <c r="O376" s="2716"/>
      <c r="Q376" s="2717"/>
      <c r="R376" s="2717"/>
      <c r="S376" s="2719"/>
      <c r="T376" s="2717"/>
      <c r="U376" s="2717"/>
      <c r="V376" s="2717"/>
    </row>
    <row r="377" spans="2:22" s="2720" customFormat="1" ht="14.1" customHeight="1" x14ac:dyDescent="0.2">
      <c r="B377" s="2711"/>
      <c r="C377" s="2536"/>
      <c r="D377" s="2733"/>
      <c r="E377" s="2736"/>
      <c r="F377" s="2741"/>
      <c r="G377" s="2742"/>
      <c r="H377" s="2743"/>
      <c r="I377" s="2744"/>
      <c r="J377" s="2813"/>
      <c r="K377" s="2732">
        <f>SUM(J373:J376)</f>
        <v>180603</v>
      </c>
      <c r="L377" s="2731"/>
      <c r="M377" s="2732"/>
      <c r="N377" s="2729">
        <f t="shared" si="25"/>
        <v>0</v>
      </c>
      <c r="O377" s="2716"/>
      <c r="Q377" s="2717"/>
      <c r="R377" s="2717"/>
      <c r="S377" s="2719"/>
      <c r="T377" s="2717"/>
      <c r="U377" s="2717"/>
      <c r="V377" s="2717"/>
    </row>
    <row r="378" spans="2:22" s="2720" customFormat="1" ht="14.1" customHeight="1" x14ac:dyDescent="0.2">
      <c r="B378" s="2711"/>
      <c r="C378" s="2528" t="s">
        <v>609</v>
      </c>
      <c r="D378" s="2725" t="s">
        <v>606</v>
      </c>
      <c r="E378" s="2739"/>
      <c r="F378" s="2739"/>
      <c r="G378" s="2727"/>
      <c r="H378" s="2740"/>
      <c r="I378" s="2814"/>
      <c r="J378" s="2729"/>
      <c r="K378" s="2730"/>
      <c r="L378" s="2731"/>
      <c r="M378" s="2732"/>
      <c r="N378" s="2729">
        <f t="shared" si="25"/>
        <v>0</v>
      </c>
      <c r="O378" s="2716"/>
      <c r="Q378" s="2717"/>
      <c r="R378" s="2717"/>
      <c r="S378" s="2719"/>
      <c r="T378" s="2717"/>
      <c r="U378" s="2717"/>
      <c r="V378" s="2717"/>
    </row>
    <row r="379" spans="2:22" s="2720" customFormat="1" ht="14.1" customHeight="1" x14ac:dyDescent="0.2">
      <c r="B379" s="2711"/>
      <c r="C379" s="2537"/>
      <c r="D379" s="2536"/>
      <c r="E379" s="2736"/>
      <c r="F379" s="2741"/>
      <c r="G379" s="2742"/>
      <c r="H379" s="2743"/>
      <c r="I379" s="2744"/>
      <c r="J379" s="2813"/>
      <c r="K379" s="2732">
        <f>SUM(J378:J378)</f>
        <v>0</v>
      </c>
      <c r="L379" s="2731"/>
      <c r="M379" s="2732"/>
      <c r="N379" s="2729">
        <f t="shared" si="25"/>
        <v>0</v>
      </c>
      <c r="O379" s="2716"/>
      <c r="Q379" s="2717"/>
      <c r="R379" s="2717"/>
      <c r="S379" s="2719"/>
      <c r="T379" s="2717"/>
      <c r="U379" s="2717"/>
      <c r="V379" s="2717"/>
    </row>
    <row r="380" spans="2:22" s="2720" customFormat="1" ht="14.1" customHeight="1" x14ac:dyDescent="0.2">
      <c r="B380" s="2711"/>
      <c r="C380" s="2727" t="s">
        <v>610</v>
      </c>
      <c r="D380" s="2738" t="s">
        <v>651</v>
      </c>
      <c r="E380" s="2741"/>
      <c r="F380" s="2741"/>
      <c r="G380" s="2742"/>
      <c r="H380" s="2743"/>
      <c r="I380" s="2744"/>
      <c r="J380" s="2745" t="s">
        <v>652</v>
      </c>
      <c r="K380" s="2732">
        <f>K372+K377+K379</f>
        <v>847863.71</v>
      </c>
      <c r="L380" s="2746">
        <f>N380/K380</f>
        <v>0.94805174525042479</v>
      </c>
      <c r="M380" s="2745"/>
      <c r="N380" s="2747">
        <f>SUM(N368:N379)</f>
        <v>803818.67</v>
      </c>
      <c r="O380" s="2716"/>
      <c r="Q380" s="2717"/>
      <c r="R380" s="2717"/>
      <c r="S380" s="2719"/>
      <c r="T380" s="2717"/>
      <c r="U380" s="2717"/>
      <c r="V380" s="2717"/>
    </row>
    <row r="381" spans="2:22" s="2720" customFormat="1" ht="14.1" customHeight="1" x14ac:dyDescent="0.2">
      <c r="B381" s="2711"/>
      <c r="C381" s="2537" t="s">
        <v>611</v>
      </c>
      <c r="D381" s="2738" t="s">
        <v>653</v>
      </c>
      <c r="E381" s="2741"/>
      <c r="F381" s="2748">
        <f>$F$42</f>
        <v>0.1</v>
      </c>
      <c r="G381" s="2727" t="s">
        <v>425</v>
      </c>
      <c r="H381" s="2748">
        <f>$H$42</f>
        <v>0.03</v>
      </c>
      <c r="I381" s="2749" t="s">
        <v>424</v>
      </c>
      <c r="J381" s="2732" t="s">
        <v>610</v>
      </c>
      <c r="K381" s="2750">
        <f>ROUND((K380*(F381+H381)),2)</f>
        <v>110222.28</v>
      </c>
      <c r="L381" s="2732"/>
      <c r="M381" s="2732"/>
      <c r="N381" s="2732"/>
      <c r="O381" s="2716"/>
      <c r="Q381" s="2717"/>
      <c r="R381" s="2717"/>
      <c r="S381" s="2719"/>
      <c r="T381" s="2717"/>
      <c r="U381" s="2717"/>
      <c r="V381" s="2717"/>
    </row>
    <row r="382" spans="2:22" s="2720" customFormat="1" ht="14.1" customHeight="1" x14ac:dyDescent="0.2">
      <c r="B382" s="2711"/>
      <c r="C382" s="2880" t="s">
        <v>654</v>
      </c>
      <c r="D382" s="2752" t="s">
        <v>301</v>
      </c>
      <c r="E382" s="2815"/>
      <c r="F382" s="2815"/>
      <c r="G382" s="2815"/>
      <c r="H382" s="2816"/>
      <c r="I382" s="2815"/>
      <c r="J382" s="2755" t="s">
        <v>668</v>
      </c>
      <c r="K382" s="2756">
        <f>SUM(K380:K381)</f>
        <v>958085.99</v>
      </c>
      <c r="L382" s="2746"/>
      <c r="M382" s="2755"/>
      <c r="N382" s="2757"/>
      <c r="O382" s="2716"/>
      <c r="Q382" s="2717"/>
      <c r="R382" s="2717"/>
      <c r="S382" s="2719"/>
      <c r="T382" s="2717"/>
      <c r="U382" s="2717"/>
      <c r="V382" s="2717"/>
    </row>
    <row r="383" spans="2:22" x14ac:dyDescent="0.25">
      <c r="Q383" s="2717"/>
      <c r="R383" s="2717"/>
      <c r="S383" s="2719"/>
      <c r="T383" s="2717"/>
      <c r="U383" s="2717"/>
      <c r="V383" s="2717"/>
    </row>
    <row r="384" spans="2:22" s="2721" customFormat="1" ht="14.1" customHeight="1" x14ac:dyDescent="0.2">
      <c r="B384" s="2711">
        <f>B363+1</f>
        <v>21</v>
      </c>
      <c r="C384" s="2711"/>
      <c r="D384" s="2713" t="s">
        <v>1558</v>
      </c>
      <c r="E384" s="2713"/>
      <c r="F384" s="2713"/>
      <c r="G384" s="2713"/>
      <c r="H384" s="2714"/>
      <c r="I384" s="2713"/>
      <c r="J384" s="2713"/>
      <c r="K384" s="2715" t="s">
        <v>751</v>
      </c>
      <c r="L384" s="2715"/>
      <c r="M384" s="2715"/>
      <c r="N384" s="2715"/>
      <c r="O384" s="2721" t="str">
        <f>D385</f>
        <v>m3</v>
      </c>
      <c r="P384" s="2810">
        <f>K403</f>
        <v>1115753.29</v>
      </c>
      <c r="Q384" s="2718">
        <f>L401</f>
        <v>0.93065078521121514</v>
      </c>
      <c r="R384" s="2718"/>
      <c r="S384" s="2719">
        <f>N401</f>
        <v>918917.40999999992</v>
      </c>
      <c r="T384" s="2515">
        <f>U384+S384</f>
        <v>1038376.6732999999</v>
      </c>
      <c r="U384" s="2719">
        <f>S384*V384</f>
        <v>119459.26329999999</v>
      </c>
      <c r="V384" s="2718">
        <f>$F$42+$H$42</f>
        <v>0.13</v>
      </c>
    </row>
    <row r="385" spans="2:24" s="2721" customFormat="1" ht="14.1" customHeight="1" x14ac:dyDescent="0.2">
      <c r="B385" s="2711"/>
      <c r="C385" s="2711"/>
      <c r="D385" s="2721" t="s">
        <v>293</v>
      </c>
      <c r="H385" s="2711"/>
      <c r="Q385" s="2717"/>
      <c r="R385" s="2717"/>
      <c r="S385" s="2719"/>
      <c r="T385" s="2717"/>
      <c r="U385" s="2717"/>
      <c r="V385" s="2717"/>
    </row>
    <row r="386" spans="2:24" s="2721" customFormat="1" ht="14.1" customHeight="1" x14ac:dyDescent="0.2">
      <c r="B386" s="2711"/>
      <c r="C386" s="2524"/>
      <c r="D386" s="3427" t="s">
        <v>280</v>
      </c>
      <c r="E386" s="3428"/>
      <c r="F386" s="2722"/>
      <c r="G386" s="3433" t="s">
        <v>281</v>
      </c>
      <c r="H386" s="3433" t="s">
        <v>282</v>
      </c>
      <c r="I386" s="2524" t="s">
        <v>283</v>
      </c>
      <c r="J386" s="2524" t="s">
        <v>284</v>
      </c>
      <c r="K386" s="2524" t="s">
        <v>340</v>
      </c>
      <c r="L386" s="2524" t="s">
        <v>2008</v>
      </c>
      <c r="M386" s="2524" t="s">
        <v>2009</v>
      </c>
      <c r="N386" s="2524" t="s">
        <v>284</v>
      </c>
      <c r="Q386" s="2717"/>
      <c r="R386" s="2717"/>
      <c r="S386" s="2719"/>
      <c r="T386" s="2717"/>
      <c r="U386" s="2717"/>
      <c r="V386" s="2717"/>
    </row>
    <row r="387" spans="2:24" s="2721" customFormat="1" ht="14.1" customHeight="1" x14ac:dyDescent="0.2">
      <c r="B387" s="2711"/>
      <c r="C387" s="2528" t="s">
        <v>669</v>
      </c>
      <c r="D387" s="3429"/>
      <c r="E387" s="3430"/>
      <c r="F387" s="2723"/>
      <c r="G387" s="3434"/>
      <c r="H387" s="3434"/>
      <c r="I387" s="2528" t="s">
        <v>285</v>
      </c>
      <c r="J387" s="2528" t="s">
        <v>286</v>
      </c>
      <c r="K387" s="2528" t="s">
        <v>286</v>
      </c>
      <c r="L387" s="2528" t="s">
        <v>2011</v>
      </c>
      <c r="M387" s="2528"/>
      <c r="N387" s="2528" t="s">
        <v>2013</v>
      </c>
      <c r="Q387" s="2717"/>
      <c r="R387" s="2717"/>
      <c r="S387" s="2719"/>
      <c r="T387" s="2717"/>
      <c r="U387" s="2717"/>
      <c r="V387" s="2717"/>
    </row>
    <row r="388" spans="2:24" s="2721" customFormat="1" ht="14.1" customHeight="1" x14ac:dyDescent="0.2">
      <c r="B388" s="2711"/>
      <c r="C388" s="2537"/>
      <c r="D388" s="3431"/>
      <c r="E388" s="3432"/>
      <c r="F388" s="2724"/>
      <c r="G388" s="3435"/>
      <c r="H388" s="3435"/>
      <c r="I388" s="2537" t="s">
        <v>286</v>
      </c>
      <c r="J388" s="2536"/>
      <c r="K388" s="2536"/>
      <c r="L388" s="2536"/>
      <c r="M388" s="2536"/>
      <c r="N388" s="2537" t="s">
        <v>286</v>
      </c>
      <c r="Q388" s="2717"/>
      <c r="R388" s="2717"/>
      <c r="S388" s="2719"/>
      <c r="T388" s="2717"/>
      <c r="U388" s="2717"/>
      <c r="V388" s="2717"/>
    </row>
    <row r="389" spans="2:24" s="2721" customFormat="1" ht="14.1" customHeight="1" x14ac:dyDescent="0.2">
      <c r="B389" s="2711"/>
      <c r="C389" s="2524" t="s">
        <v>607</v>
      </c>
      <c r="D389" s="2725" t="s">
        <v>287</v>
      </c>
      <c r="E389" s="2739" t="s">
        <v>300</v>
      </c>
      <c r="F389" s="2739"/>
      <c r="G389" s="2727" t="s">
        <v>298</v>
      </c>
      <c r="H389" s="2740">
        <v>384</v>
      </c>
      <c r="I389" s="2811">
        <f>'Upah &amp; Bahan'!$I$118</f>
        <v>1200</v>
      </c>
      <c r="J389" s="2729">
        <f>ROUND(H389*I389,2)</f>
        <v>460800</v>
      </c>
      <c r="K389" s="2730"/>
      <c r="L389" s="3177">
        <f>$L$192</f>
        <v>0.85140000000000005</v>
      </c>
      <c r="M389" s="2732" t="s">
        <v>2029</v>
      </c>
      <c r="N389" s="2729">
        <f t="shared" ref="N389:N400" si="26">L389*J389</f>
        <v>392325.12</v>
      </c>
      <c r="Q389" s="2717"/>
      <c r="R389" s="2717"/>
      <c r="S389" s="2719"/>
      <c r="T389" s="2717"/>
      <c r="U389" s="2717"/>
      <c r="V389" s="2717"/>
    </row>
    <row r="390" spans="2:24" s="2721" customFormat="1" ht="14.1" customHeight="1" x14ac:dyDescent="0.2">
      <c r="B390" s="2711"/>
      <c r="C390" s="2528"/>
      <c r="D390" s="2733"/>
      <c r="E390" s="2739" t="s">
        <v>303</v>
      </c>
      <c r="F390" s="2739"/>
      <c r="G390" s="2727" t="s">
        <v>298</v>
      </c>
      <c r="H390" s="2740">
        <v>692</v>
      </c>
      <c r="I390" s="2811">
        <f>'Upah &amp; Bahan'!$I$120/1400</f>
        <v>185.71428571428572</v>
      </c>
      <c r="J390" s="2729">
        <f>ROUND(H390*I390,2)</f>
        <v>128514.29</v>
      </c>
      <c r="K390" s="2734"/>
      <c r="L390" s="3177">
        <v>1</v>
      </c>
      <c r="M390" s="2732"/>
      <c r="N390" s="2729">
        <f t="shared" si="26"/>
        <v>128514.29</v>
      </c>
      <c r="P390" s="2721">
        <v>1400</v>
      </c>
      <c r="Q390" s="2717"/>
      <c r="R390" s="2717"/>
      <c r="S390" s="2719"/>
      <c r="T390" s="2717"/>
      <c r="U390" s="2717"/>
      <c r="V390" s="2717"/>
      <c r="W390" s="2892">
        <f>'Upah &amp; Bahan'!I120</f>
        <v>260000</v>
      </c>
    </row>
    <row r="391" spans="2:24" s="2721" customFormat="1" ht="14.1" customHeight="1" x14ac:dyDescent="0.2">
      <c r="B391" s="2711"/>
      <c r="C391" s="2733"/>
      <c r="D391" s="2733"/>
      <c r="E391" s="2739" t="s">
        <v>306</v>
      </c>
      <c r="F391" s="2739"/>
      <c r="G391" s="2727" t="s">
        <v>298</v>
      </c>
      <c r="H391" s="2740">
        <v>1039</v>
      </c>
      <c r="I391" s="2811">
        <f>'Upah &amp; Bahan'!$I$61/1350</f>
        <v>200</v>
      </c>
      <c r="J391" s="2729">
        <f>ROUND(H391*I391,2)</f>
        <v>207800</v>
      </c>
      <c r="K391" s="2734"/>
      <c r="L391" s="3177">
        <v>1</v>
      </c>
      <c r="M391" s="2732"/>
      <c r="N391" s="2729">
        <f t="shared" si="26"/>
        <v>207800</v>
      </c>
      <c r="Q391" s="2717"/>
      <c r="R391" s="2717"/>
      <c r="S391" s="2719"/>
      <c r="T391" s="2717"/>
      <c r="U391" s="2717"/>
      <c r="V391" s="2717"/>
      <c r="W391" s="2892">
        <f>W390/P390</f>
        <v>185.71428571428572</v>
      </c>
    </row>
    <row r="392" spans="2:24" s="2721" customFormat="1" ht="14.1" customHeight="1" x14ac:dyDescent="0.2">
      <c r="B392" s="2711"/>
      <c r="C392" s="2733"/>
      <c r="D392" s="2733"/>
      <c r="E392" s="2739" t="s">
        <v>305</v>
      </c>
      <c r="F392" s="2739"/>
      <c r="G392" s="2727" t="s">
        <v>392</v>
      </c>
      <c r="H392" s="2740">
        <v>215</v>
      </c>
      <c r="I392" s="2811">
        <f>'Upah &amp; Bahan'!$I$48</f>
        <v>45</v>
      </c>
      <c r="J392" s="2729">
        <f>ROUND(H392*I392,2)</f>
        <v>9675</v>
      </c>
      <c r="K392" s="2536"/>
      <c r="L392" s="3177">
        <v>1</v>
      </c>
      <c r="M392" s="2732"/>
      <c r="N392" s="2729">
        <f t="shared" si="26"/>
        <v>9675</v>
      </c>
      <c r="P392" s="2721">
        <f>P390</f>
        <v>1400</v>
      </c>
      <c r="Q392" s="2717"/>
      <c r="R392" s="2717"/>
      <c r="S392" s="2719"/>
      <c r="T392" s="2717"/>
      <c r="U392" s="2717"/>
      <c r="V392" s="2717"/>
      <c r="W392" s="2892">
        <v>260000</v>
      </c>
    </row>
    <row r="393" spans="2:24" s="2721" customFormat="1" ht="14.1" customHeight="1" x14ac:dyDescent="0.2">
      <c r="B393" s="2711"/>
      <c r="C393" s="2537"/>
      <c r="D393" s="2733"/>
      <c r="E393" s="2736"/>
      <c r="F393" s="2741"/>
      <c r="G393" s="2742"/>
      <c r="H393" s="2743"/>
      <c r="I393" s="2812"/>
      <c r="J393" s="2813"/>
      <c r="K393" s="2729">
        <f>SUM(J389:J392)</f>
        <v>806789.29</v>
      </c>
      <c r="L393" s="3177"/>
      <c r="M393" s="2732"/>
      <c r="N393" s="2729">
        <f t="shared" si="26"/>
        <v>0</v>
      </c>
      <c r="Q393" s="2717"/>
      <c r="R393" s="2717"/>
      <c r="S393" s="2719"/>
      <c r="T393" s="2717"/>
      <c r="U393" s="2717"/>
      <c r="V393" s="2717"/>
      <c r="W393" s="2892">
        <f>W392/P392</f>
        <v>185.71428571428572</v>
      </c>
      <c r="X393" s="2893"/>
    </row>
    <row r="394" spans="2:24" s="2721" customFormat="1" ht="14.1" customHeight="1" x14ac:dyDescent="0.2">
      <c r="B394" s="2711"/>
      <c r="C394" s="2524" t="s">
        <v>608</v>
      </c>
      <c r="D394" s="2725" t="s">
        <v>288</v>
      </c>
      <c r="E394" s="2739" t="s">
        <v>294</v>
      </c>
      <c r="F394" s="2739"/>
      <c r="G394" s="2727" t="s">
        <v>291</v>
      </c>
      <c r="H394" s="2740">
        <v>1.65</v>
      </c>
      <c r="I394" s="2811">
        <f>'Upah &amp; Bahan'!$I$24</f>
        <v>88300</v>
      </c>
      <c r="J394" s="2729">
        <f>ROUND(H394*I394,2)</f>
        <v>145695</v>
      </c>
      <c r="K394" s="2730"/>
      <c r="L394" s="3177">
        <f>VLOOKUP($E394,$D$1744:$G$1761,2,0)</f>
        <v>1</v>
      </c>
      <c r="M394" s="2731" t="str">
        <f>VLOOKUP($E394,$D$1744:$G$1761,3,0)</f>
        <v>WNI</v>
      </c>
      <c r="N394" s="2729">
        <f t="shared" si="26"/>
        <v>145695</v>
      </c>
      <c r="Q394" s="2717"/>
      <c r="R394" s="2717"/>
      <c r="S394" s="2719"/>
      <c r="T394" s="2717"/>
      <c r="U394" s="2717"/>
      <c r="V394" s="2717"/>
      <c r="W394" s="2892"/>
    </row>
    <row r="395" spans="2:24" s="2721" customFormat="1" ht="14.1" customHeight="1" x14ac:dyDescent="0.2">
      <c r="B395" s="2711"/>
      <c r="C395" s="2733"/>
      <c r="D395" s="2733"/>
      <c r="E395" s="2739" t="s">
        <v>295</v>
      </c>
      <c r="F395" s="2739"/>
      <c r="G395" s="2727" t="s">
        <v>291</v>
      </c>
      <c r="H395" s="2740">
        <v>0.27500000000000002</v>
      </c>
      <c r="I395" s="2811">
        <f>'Upah &amp; Bahan'!$I$32</f>
        <v>90000</v>
      </c>
      <c r="J395" s="2729">
        <f>ROUND(H395*I395,2)</f>
        <v>24750</v>
      </c>
      <c r="K395" s="2734"/>
      <c r="L395" s="3177">
        <f>VLOOKUP($E395,$D$1744:$G$1761,2,0)</f>
        <v>1</v>
      </c>
      <c r="M395" s="2731" t="str">
        <f>VLOOKUP($E395,$D$1744:$G$1761,3,0)</f>
        <v>WNI</v>
      </c>
      <c r="N395" s="2729">
        <f t="shared" si="26"/>
        <v>24750</v>
      </c>
      <c r="Q395" s="2717"/>
      <c r="R395" s="2717"/>
      <c r="S395" s="2719"/>
      <c r="T395" s="2717"/>
      <c r="U395" s="2717"/>
      <c r="V395" s="2717"/>
      <c r="W395" s="2892"/>
    </row>
    <row r="396" spans="2:24" s="2721" customFormat="1" ht="14.1" customHeight="1" x14ac:dyDescent="0.2">
      <c r="B396" s="2711"/>
      <c r="C396" s="2733"/>
      <c r="D396" s="2733"/>
      <c r="E396" s="2739" t="s">
        <v>296</v>
      </c>
      <c r="F396" s="2739"/>
      <c r="G396" s="2727" t="s">
        <v>291</v>
      </c>
      <c r="H396" s="2740">
        <v>2.8000000000000001E-2</v>
      </c>
      <c r="I396" s="2814">
        <f>'Upah &amp; Bahan'!$I$26</f>
        <v>96000</v>
      </c>
      <c r="J396" s="2729">
        <f>ROUND(H396*I396,2)</f>
        <v>2688</v>
      </c>
      <c r="K396" s="2734"/>
      <c r="L396" s="3177">
        <f>VLOOKUP($E396,$D$1744:$G$1761,2,0)</f>
        <v>1</v>
      </c>
      <c r="M396" s="2731" t="str">
        <f>VLOOKUP($E396,$D$1744:$G$1761,3,0)</f>
        <v>WNI</v>
      </c>
      <c r="N396" s="2729">
        <f t="shared" si="26"/>
        <v>2688</v>
      </c>
      <c r="Q396" s="2717"/>
      <c r="R396" s="2717"/>
      <c r="S396" s="2719"/>
      <c r="T396" s="2717"/>
      <c r="U396" s="2717"/>
      <c r="V396" s="2717"/>
    </row>
    <row r="397" spans="2:24" s="2721" customFormat="1" ht="14.1" customHeight="1" x14ac:dyDescent="0.2">
      <c r="B397" s="2711"/>
      <c r="C397" s="2733"/>
      <c r="D397" s="2733"/>
      <c r="E397" s="2739" t="s">
        <v>290</v>
      </c>
      <c r="F397" s="2739"/>
      <c r="G397" s="2727" t="s">
        <v>291</v>
      </c>
      <c r="H397" s="2740">
        <v>8.3000000000000004E-2</v>
      </c>
      <c r="I397" s="2811">
        <f>'Upah &amp; Bahan'!$I$31</f>
        <v>90000</v>
      </c>
      <c r="J397" s="2729">
        <f>ROUND(H397*I397,2)</f>
        <v>7470</v>
      </c>
      <c r="K397" s="2733"/>
      <c r="L397" s="3177">
        <f>VLOOKUP($E397,$D$1744:$G$1761,2,0)</f>
        <v>1</v>
      </c>
      <c r="M397" s="2731" t="str">
        <f>VLOOKUP($E397,$D$1744:$G$1761,3,0)</f>
        <v>WNI</v>
      </c>
      <c r="N397" s="2729">
        <f t="shared" si="26"/>
        <v>7470</v>
      </c>
      <c r="Q397" s="2717"/>
      <c r="R397" s="2717"/>
      <c r="S397" s="2719"/>
      <c r="T397" s="2717"/>
      <c r="U397" s="2717"/>
      <c r="V397" s="2717"/>
    </row>
    <row r="398" spans="2:24" s="2721" customFormat="1" ht="14.1" customHeight="1" x14ac:dyDescent="0.2">
      <c r="B398" s="2711"/>
      <c r="C398" s="2536"/>
      <c r="D398" s="2536"/>
      <c r="E398" s="2736"/>
      <c r="F398" s="2741"/>
      <c r="G398" s="2742"/>
      <c r="H398" s="2743"/>
      <c r="I398" s="2812"/>
      <c r="J398" s="2813"/>
      <c r="K398" s="2732">
        <f>SUM(J394:J397)</f>
        <v>180603</v>
      </c>
      <c r="L398" s="3177"/>
      <c r="M398" s="2732"/>
      <c r="N398" s="2729">
        <f t="shared" si="26"/>
        <v>0</v>
      </c>
      <c r="Q398" s="2717"/>
      <c r="R398" s="2717"/>
      <c r="S398" s="2719"/>
      <c r="T398" s="2717"/>
      <c r="U398" s="2717"/>
      <c r="V398" s="2717"/>
    </row>
    <row r="399" spans="2:24" s="2721" customFormat="1" ht="14.1" customHeight="1" x14ac:dyDescent="0.2">
      <c r="B399" s="2711"/>
      <c r="C399" s="2528" t="s">
        <v>609</v>
      </c>
      <c r="D399" s="2725" t="s">
        <v>606</v>
      </c>
      <c r="E399" s="2739"/>
      <c r="F399" s="2739"/>
      <c r="G399" s="2727"/>
      <c r="H399" s="2740"/>
      <c r="I399" s="2814"/>
      <c r="J399" s="2729"/>
      <c r="K399" s="2730"/>
      <c r="L399" s="3177"/>
      <c r="M399" s="2732"/>
      <c r="N399" s="2729">
        <f t="shared" si="26"/>
        <v>0</v>
      </c>
      <c r="Q399" s="2717"/>
      <c r="R399" s="2717"/>
      <c r="S399" s="2719"/>
      <c r="T399" s="2717"/>
      <c r="U399" s="2717"/>
      <c r="V399" s="2717"/>
    </row>
    <row r="400" spans="2:24" s="2721" customFormat="1" ht="14.1" customHeight="1" x14ac:dyDescent="0.2">
      <c r="B400" s="2711"/>
      <c r="C400" s="2537"/>
      <c r="D400" s="2536"/>
      <c r="E400" s="2736"/>
      <c r="F400" s="2741"/>
      <c r="G400" s="2742"/>
      <c r="H400" s="2743"/>
      <c r="I400" s="2744"/>
      <c r="J400" s="2813"/>
      <c r="K400" s="2732">
        <f>SUM(J399:J399)</f>
        <v>0</v>
      </c>
      <c r="L400" s="3177"/>
      <c r="M400" s="2732"/>
      <c r="N400" s="2729">
        <f t="shared" si="26"/>
        <v>0</v>
      </c>
      <c r="Q400" s="2717"/>
      <c r="R400" s="2717"/>
      <c r="S400" s="2719"/>
      <c r="T400" s="2717"/>
      <c r="U400" s="2717"/>
      <c r="V400" s="2717"/>
    </row>
    <row r="401" spans="2:22" s="2721" customFormat="1" ht="14.1" customHeight="1" x14ac:dyDescent="0.2">
      <c r="B401" s="2711"/>
      <c r="C401" s="2727" t="s">
        <v>610</v>
      </c>
      <c r="D401" s="2738" t="s">
        <v>651</v>
      </c>
      <c r="E401" s="2741"/>
      <c r="F401" s="2741"/>
      <c r="G401" s="2742"/>
      <c r="H401" s="2743"/>
      <c r="I401" s="2744"/>
      <c r="J401" s="2745" t="s">
        <v>652</v>
      </c>
      <c r="K401" s="2732">
        <f>K393+K398+K400</f>
        <v>987392.29</v>
      </c>
      <c r="L401" s="3179">
        <f>N401/K401</f>
        <v>0.93065078521121514</v>
      </c>
      <c r="M401" s="2745"/>
      <c r="N401" s="2747">
        <f>SUM(N389:N400)</f>
        <v>918917.40999999992</v>
      </c>
      <c r="Q401" s="2717"/>
      <c r="R401" s="2717"/>
      <c r="S401" s="2719"/>
      <c r="T401" s="2717"/>
      <c r="U401" s="2717"/>
      <c r="V401" s="2717"/>
    </row>
    <row r="402" spans="2:22" s="2721" customFormat="1" ht="14.1" customHeight="1" x14ac:dyDescent="0.2">
      <c r="B402" s="2711"/>
      <c r="C402" s="2537" t="s">
        <v>611</v>
      </c>
      <c r="D402" s="2738" t="s">
        <v>653</v>
      </c>
      <c r="E402" s="2741"/>
      <c r="F402" s="2748">
        <f>$F$42</f>
        <v>0.1</v>
      </c>
      <c r="G402" s="2727" t="s">
        <v>425</v>
      </c>
      <c r="H402" s="2748">
        <f>$H$42</f>
        <v>0.03</v>
      </c>
      <c r="I402" s="2749" t="s">
        <v>424</v>
      </c>
      <c r="J402" s="2732" t="s">
        <v>610</v>
      </c>
      <c r="K402" s="2750">
        <f>ROUND((K401*(F402+H402)),2)</f>
        <v>128361</v>
      </c>
      <c r="L402" s="2732"/>
      <c r="M402" s="2732"/>
      <c r="N402" s="2732"/>
      <c r="Q402" s="2717"/>
      <c r="R402" s="2717"/>
      <c r="S402" s="2719"/>
      <c r="T402" s="2717"/>
      <c r="U402" s="2717"/>
      <c r="V402" s="2717"/>
    </row>
    <row r="403" spans="2:22" s="2721" customFormat="1" ht="14.1" customHeight="1" x14ac:dyDescent="0.2">
      <c r="B403" s="2711"/>
      <c r="C403" s="2880" t="s">
        <v>654</v>
      </c>
      <c r="D403" s="2752" t="s">
        <v>301</v>
      </c>
      <c r="E403" s="2815"/>
      <c r="F403" s="2815"/>
      <c r="G403" s="2815"/>
      <c r="H403" s="2816"/>
      <c r="I403" s="2815"/>
      <c r="J403" s="2755" t="s">
        <v>668</v>
      </c>
      <c r="K403" s="2756">
        <f>SUM(K401:K402)</f>
        <v>1115753.29</v>
      </c>
      <c r="L403" s="2746"/>
      <c r="M403" s="2755"/>
      <c r="N403" s="2757"/>
      <c r="P403" s="2721">
        <v>1080754.58</v>
      </c>
      <c r="Q403" s="2717"/>
      <c r="R403" s="2717"/>
      <c r="S403" s="2719"/>
      <c r="T403" s="2717"/>
      <c r="U403" s="2717"/>
      <c r="V403" s="2717"/>
    </row>
    <row r="404" spans="2:22" s="2721" customFormat="1" ht="14.1" customHeight="1" x14ac:dyDescent="0.2">
      <c r="H404" s="2711"/>
      <c r="K404" s="2894"/>
      <c r="L404" s="2894"/>
      <c r="M404" s="2894"/>
      <c r="N404" s="2894"/>
      <c r="Q404" s="2717"/>
      <c r="R404" s="2717"/>
      <c r="S404" s="2719"/>
      <c r="T404" s="2717"/>
      <c r="U404" s="2717"/>
      <c r="V404" s="2717"/>
    </row>
    <row r="405" spans="2:22" s="2720" customFormat="1" ht="14.1" customHeight="1" x14ac:dyDescent="0.2">
      <c r="B405" s="2711">
        <f>B384+1</f>
        <v>22</v>
      </c>
      <c r="C405" s="2711"/>
      <c r="D405" s="2713" t="s">
        <v>420</v>
      </c>
      <c r="E405" s="2713"/>
      <c r="F405" s="2713"/>
      <c r="G405" s="2713"/>
      <c r="H405" s="2714"/>
      <c r="I405" s="2713"/>
      <c r="J405" s="2713"/>
      <c r="K405" s="2715" t="s">
        <v>752</v>
      </c>
      <c r="L405" s="2715"/>
      <c r="M405" s="2715"/>
      <c r="N405" s="2715"/>
      <c r="O405" s="2716" t="str">
        <f>D406</f>
        <v>kg</v>
      </c>
      <c r="P405" s="2717">
        <f>K423</f>
        <v>15603.94</v>
      </c>
      <c r="Q405" s="2718">
        <f>L420</f>
        <v>0.46415793062521393</v>
      </c>
      <c r="R405" s="2717"/>
      <c r="S405" s="2719">
        <f>N420</f>
        <v>7242.692500000001</v>
      </c>
      <c r="T405" s="2515">
        <f>U405+S405</f>
        <v>8184.2425250000015</v>
      </c>
      <c r="U405" s="2719">
        <f>S405*V405</f>
        <v>941.55002500000012</v>
      </c>
      <c r="V405" s="2718">
        <f>$F$42+$H$42</f>
        <v>0.13</v>
      </c>
    </row>
    <row r="406" spans="2:22" s="2720" customFormat="1" ht="14.1" customHeight="1" x14ac:dyDescent="0.2">
      <c r="B406" s="2711"/>
      <c r="C406" s="2711"/>
      <c r="D406" s="2721" t="s">
        <v>298</v>
      </c>
      <c r="E406" s="2721"/>
      <c r="F406" s="2721"/>
      <c r="G406" s="2721"/>
      <c r="H406" s="2711"/>
      <c r="I406" s="2721"/>
      <c r="J406" s="2721"/>
      <c r="K406" s="2721"/>
      <c r="L406" s="2721"/>
      <c r="M406" s="2721"/>
      <c r="N406" s="2721"/>
      <c r="O406" s="2716"/>
      <c r="Q406" s="2717"/>
      <c r="R406" s="2717"/>
      <c r="S406" s="2719"/>
      <c r="T406" s="2717"/>
      <c r="U406" s="2717"/>
      <c r="V406" s="2717"/>
    </row>
    <row r="407" spans="2:22" s="2720" customFormat="1" ht="14.1" customHeight="1" x14ac:dyDescent="0.2">
      <c r="B407" s="2711"/>
      <c r="C407" s="2524"/>
      <c r="D407" s="3427" t="s">
        <v>280</v>
      </c>
      <c r="E407" s="3428"/>
      <c r="F407" s="2722"/>
      <c r="G407" s="3433" t="s">
        <v>281</v>
      </c>
      <c r="H407" s="3433" t="s">
        <v>282</v>
      </c>
      <c r="I407" s="2524" t="s">
        <v>283</v>
      </c>
      <c r="J407" s="2524" t="s">
        <v>284</v>
      </c>
      <c r="K407" s="2524" t="s">
        <v>340</v>
      </c>
      <c r="L407" s="2524" t="s">
        <v>2008</v>
      </c>
      <c r="M407" s="2524" t="s">
        <v>2009</v>
      </c>
      <c r="N407" s="2524" t="s">
        <v>284</v>
      </c>
      <c r="O407" s="2716"/>
      <c r="Q407" s="2717"/>
      <c r="R407" s="2717"/>
      <c r="S407" s="2719"/>
      <c r="T407" s="2717"/>
      <c r="U407" s="2717"/>
      <c r="V407" s="2717"/>
    </row>
    <row r="408" spans="2:22" s="2720" customFormat="1" ht="14.1" customHeight="1" x14ac:dyDescent="0.2">
      <c r="B408" s="2711"/>
      <c r="C408" s="2528" t="s">
        <v>669</v>
      </c>
      <c r="D408" s="3429"/>
      <c r="E408" s="3430"/>
      <c r="F408" s="2723"/>
      <c r="G408" s="3434"/>
      <c r="H408" s="3434"/>
      <c r="I408" s="2528" t="s">
        <v>285</v>
      </c>
      <c r="J408" s="2528" t="s">
        <v>286</v>
      </c>
      <c r="K408" s="2528" t="s">
        <v>286</v>
      </c>
      <c r="L408" s="2528" t="s">
        <v>2011</v>
      </c>
      <c r="M408" s="2528"/>
      <c r="N408" s="2528" t="s">
        <v>2013</v>
      </c>
      <c r="O408" s="2716"/>
      <c r="Q408" s="2717"/>
      <c r="R408" s="2717"/>
      <c r="S408" s="2719"/>
      <c r="T408" s="2717"/>
      <c r="U408" s="2717"/>
      <c r="V408" s="2717"/>
    </row>
    <row r="409" spans="2:22" s="2720" customFormat="1" ht="14.1" customHeight="1" x14ac:dyDescent="0.2">
      <c r="B409" s="2711"/>
      <c r="C409" s="2537"/>
      <c r="D409" s="3431"/>
      <c r="E409" s="3432"/>
      <c r="F409" s="2724"/>
      <c r="G409" s="3435"/>
      <c r="H409" s="3435"/>
      <c r="I409" s="2537" t="s">
        <v>286</v>
      </c>
      <c r="J409" s="2536"/>
      <c r="K409" s="2536"/>
      <c r="L409" s="2536"/>
      <c r="M409" s="2536"/>
      <c r="N409" s="2537" t="s">
        <v>286</v>
      </c>
      <c r="O409" s="2716"/>
      <c r="Q409" s="2717"/>
      <c r="R409" s="2717"/>
      <c r="S409" s="2719"/>
      <c r="T409" s="2717"/>
      <c r="U409" s="2717"/>
      <c r="V409" s="2717"/>
    </row>
    <row r="410" spans="2:22" s="2720" customFormat="1" ht="14.1" customHeight="1" x14ac:dyDescent="0.2">
      <c r="B410" s="2711"/>
      <c r="C410" s="2524" t="s">
        <v>607</v>
      </c>
      <c r="D410" s="2895" t="s">
        <v>287</v>
      </c>
      <c r="E410" s="2871" t="s">
        <v>312</v>
      </c>
      <c r="F410" s="2881"/>
      <c r="G410" s="2537" t="s">
        <v>298</v>
      </c>
      <c r="H410" s="2873">
        <v>10.5</v>
      </c>
      <c r="I410" s="2811">
        <f>'Upah &amp; Bahan'!$I$68</f>
        <v>11500</v>
      </c>
      <c r="J410" s="2729">
        <f>ROUND(H410*I410,2)</f>
        <v>120750</v>
      </c>
      <c r="K410" s="2730"/>
      <c r="L410" s="3177">
        <v>0.4879</v>
      </c>
      <c r="M410" s="2732" t="s">
        <v>2029</v>
      </c>
      <c r="N410" s="2729">
        <f t="shared" ref="N410:N423" si="27">L410*J410</f>
        <v>58913.925000000003</v>
      </c>
      <c r="O410" s="2716"/>
      <c r="Q410" s="2717"/>
      <c r="R410" s="2717"/>
      <c r="S410" s="2719"/>
      <c r="T410" s="2717"/>
      <c r="U410" s="2717"/>
      <c r="V410" s="2717"/>
    </row>
    <row r="411" spans="2:22" s="2720" customFormat="1" ht="14.1" customHeight="1" x14ac:dyDescent="0.2">
      <c r="B411" s="2711"/>
      <c r="C411" s="2733"/>
      <c r="D411" s="2733"/>
      <c r="E411" s="2739" t="s">
        <v>304</v>
      </c>
      <c r="F411" s="2739"/>
      <c r="G411" s="2727" t="s">
        <v>298</v>
      </c>
      <c r="H411" s="2740">
        <v>0.15</v>
      </c>
      <c r="I411" s="2811">
        <f>'Upah &amp; Bahan'!$I$92</f>
        <v>25500</v>
      </c>
      <c r="J411" s="2729">
        <f>ROUND(H411*I411,2)</f>
        <v>3825</v>
      </c>
      <c r="K411" s="2733"/>
      <c r="L411" s="3177">
        <v>0</v>
      </c>
      <c r="M411" s="2732"/>
      <c r="N411" s="2729">
        <f t="shared" si="27"/>
        <v>0</v>
      </c>
      <c r="O411" s="2716"/>
      <c r="Q411" s="2717"/>
      <c r="R411" s="2717"/>
      <c r="S411" s="2719"/>
      <c r="T411" s="2717"/>
      <c r="U411" s="2717"/>
      <c r="V411" s="2717"/>
    </row>
    <row r="412" spans="2:22" s="2720" customFormat="1" ht="14.1" customHeight="1" x14ac:dyDescent="0.2">
      <c r="B412" s="2711"/>
      <c r="C412" s="2537"/>
      <c r="D412" s="2733"/>
      <c r="E412" s="2736"/>
      <c r="F412" s="2741"/>
      <c r="G412" s="2742"/>
      <c r="H412" s="2743"/>
      <c r="I412" s="2741"/>
      <c r="J412" s="2813"/>
      <c r="K412" s="2729">
        <f>SUM(J410:J411)</f>
        <v>124575</v>
      </c>
      <c r="L412" s="3177"/>
      <c r="M412" s="2732"/>
      <c r="N412" s="2729">
        <f t="shared" si="27"/>
        <v>0</v>
      </c>
      <c r="O412" s="2716"/>
      <c r="Q412" s="2717"/>
      <c r="R412" s="2717"/>
      <c r="S412" s="2719"/>
      <c r="T412" s="2717"/>
      <c r="U412" s="2717"/>
      <c r="V412" s="2717"/>
    </row>
    <row r="413" spans="2:22" s="2720" customFormat="1" ht="14.1" customHeight="1" x14ac:dyDescent="0.2">
      <c r="B413" s="2711"/>
      <c r="C413" s="2524" t="s">
        <v>608</v>
      </c>
      <c r="D413" s="2725" t="s">
        <v>288</v>
      </c>
      <c r="E413" s="2739" t="s">
        <v>294</v>
      </c>
      <c r="F413" s="2739"/>
      <c r="G413" s="2727" t="s">
        <v>291</v>
      </c>
      <c r="H413" s="2740">
        <v>7.0000000000000007E-2</v>
      </c>
      <c r="I413" s="2811">
        <f>'Upah &amp; Bahan'!$I$24</f>
        <v>88300</v>
      </c>
      <c r="J413" s="2729">
        <f>ROUND(H413*I413,2)</f>
        <v>6181</v>
      </c>
      <c r="K413" s="2734"/>
      <c r="L413" s="3177">
        <f>VLOOKUP($E413,$D$1744:$G$1761,2,0)</f>
        <v>1</v>
      </c>
      <c r="M413" s="2731" t="str">
        <f>VLOOKUP($E413,$D$1744:$G$1761,3,0)</f>
        <v>WNI</v>
      </c>
      <c r="N413" s="2729">
        <f t="shared" si="27"/>
        <v>6181</v>
      </c>
      <c r="O413" s="2716"/>
      <c r="Q413" s="2717"/>
      <c r="R413" s="2717"/>
      <c r="S413" s="2719"/>
      <c r="T413" s="2717"/>
      <c r="U413" s="2717"/>
      <c r="V413" s="2717"/>
    </row>
    <row r="414" spans="2:22" s="2720" customFormat="1" ht="14.1" customHeight="1" x14ac:dyDescent="0.2">
      <c r="B414" s="2711"/>
      <c r="C414" s="2528"/>
      <c r="D414" s="2733"/>
      <c r="E414" s="2739" t="s">
        <v>328</v>
      </c>
      <c r="F414" s="2739"/>
      <c r="G414" s="2727" t="s">
        <v>291</v>
      </c>
      <c r="H414" s="2740">
        <v>7.0000000000000007E-2</v>
      </c>
      <c r="I414" s="2811">
        <f>'Upah &amp; Bahan'!$I$33</f>
        <v>90000</v>
      </c>
      <c r="J414" s="2729">
        <f>ROUND(H414*I414,2)</f>
        <v>6300</v>
      </c>
      <c r="K414" s="2734"/>
      <c r="L414" s="3177">
        <f>VLOOKUP($E414,$D$1744:$G$1761,2,0)</f>
        <v>1</v>
      </c>
      <c r="M414" s="2731" t="str">
        <f>VLOOKUP($E414,$D$1744:$G$1761,3,0)</f>
        <v>WNI</v>
      </c>
      <c r="N414" s="2729">
        <f t="shared" si="27"/>
        <v>6300</v>
      </c>
      <c r="O414" s="2716"/>
      <c r="Q414" s="2717"/>
      <c r="R414" s="2717"/>
      <c r="S414" s="2719"/>
      <c r="T414" s="2717"/>
      <c r="U414" s="2717"/>
      <c r="V414" s="2717"/>
    </row>
    <row r="415" spans="2:22" s="2720" customFormat="1" ht="14.1" customHeight="1" x14ac:dyDescent="0.2">
      <c r="B415" s="2711"/>
      <c r="C415" s="2528"/>
      <c r="D415" s="2733"/>
      <c r="E415" s="2739" t="s">
        <v>296</v>
      </c>
      <c r="F415" s="2739"/>
      <c r="G415" s="2727" t="s">
        <v>291</v>
      </c>
      <c r="H415" s="2740">
        <v>7.0000000000000001E-3</v>
      </c>
      <c r="I415" s="2814">
        <f>'Upah &amp; Bahan'!$I$27</f>
        <v>96000</v>
      </c>
      <c r="J415" s="2729">
        <f>ROUND(H415*I415,2)</f>
        <v>672</v>
      </c>
      <c r="K415" s="2733"/>
      <c r="L415" s="3177">
        <f>VLOOKUP($E415,$D$1744:$G$1761,2,0)</f>
        <v>1</v>
      </c>
      <c r="M415" s="2731" t="str">
        <f>VLOOKUP($E415,$D$1744:$G$1761,3,0)</f>
        <v>WNI</v>
      </c>
      <c r="N415" s="2729">
        <f t="shared" si="27"/>
        <v>672</v>
      </c>
      <c r="O415" s="2716"/>
      <c r="Q415" s="2717"/>
      <c r="R415" s="2717"/>
      <c r="S415" s="2719"/>
      <c r="T415" s="2717"/>
      <c r="U415" s="2717"/>
      <c r="V415" s="2717"/>
    </row>
    <row r="416" spans="2:22" s="2720" customFormat="1" ht="14.1" customHeight="1" x14ac:dyDescent="0.2">
      <c r="B416" s="2711"/>
      <c r="C416" s="2733"/>
      <c r="D416" s="2733"/>
      <c r="E416" s="2739" t="s">
        <v>290</v>
      </c>
      <c r="F416" s="2739"/>
      <c r="G416" s="2727" t="s">
        <v>291</v>
      </c>
      <c r="H416" s="2740">
        <v>4.0000000000000001E-3</v>
      </c>
      <c r="I416" s="2811">
        <f>'Upah &amp; Bahan'!$I$31</f>
        <v>90000</v>
      </c>
      <c r="J416" s="2729">
        <f>ROUND(H416*I416,2)</f>
        <v>360</v>
      </c>
      <c r="K416" s="2733"/>
      <c r="L416" s="3177">
        <f>VLOOKUP($E416,$D$1744:$G$1761,2,0)</f>
        <v>1</v>
      </c>
      <c r="M416" s="2731" t="str">
        <f>VLOOKUP($E416,$D$1744:$G$1761,3,0)</f>
        <v>WNI</v>
      </c>
      <c r="N416" s="2729">
        <f t="shared" si="27"/>
        <v>360</v>
      </c>
      <c r="O416" s="2716"/>
      <c r="Q416" s="2717"/>
      <c r="R416" s="2717"/>
      <c r="S416" s="2719"/>
      <c r="T416" s="2717"/>
      <c r="U416" s="2717"/>
      <c r="V416" s="2717"/>
    </row>
    <row r="417" spans="2:22" s="2720" customFormat="1" ht="14.1" customHeight="1" x14ac:dyDescent="0.2">
      <c r="B417" s="2711"/>
      <c r="C417" s="2536"/>
      <c r="D417" s="2536"/>
      <c r="E417" s="2736"/>
      <c r="F417" s="2741"/>
      <c r="G417" s="2742"/>
      <c r="H417" s="2743"/>
      <c r="I417" s="2812"/>
      <c r="J417" s="2813"/>
      <c r="K417" s="2732">
        <f>SUM(J413:J416)</f>
        <v>13513</v>
      </c>
      <c r="L417" s="3177"/>
      <c r="M417" s="2732"/>
      <c r="N417" s="2729">
        <f t="shared" si="27"/>
        <v>0</v>
      </c>
      <c r="O417" s="2716"/>
      <c r="Q417" s="2717"/>
      <c r="R417" s="2717"/>
      <c r="S417" s="2719"/>
      <c r="T417" s="2717"/>
      <c r="U417" s="2717"/>
      <c r="V417" s="2717"/>
    </row>
    <row r="418" spans="2:22" s="2720" customFormat="1" ht="14.1" customHeight="1" x14ac:dyDescent="0.2">
      <c r="B418" s="2711"/>
      <c r="C418" s="2528" t="s">
        <v>609</v>
      </c>
      <c r="D418" s="2725" t="s">
        <v>606</v>
      </c>
      <c r="E418" s="2739"/>
      <c r="F418" s="2739"/>
      <c r="G418" s="2727"/>
      <c r="H418" s="2740"/>
      <c r="I418" s="2814"/>
      <c r="J418" s="2729"/>
      <c r="K418" s="2730"/>
      <c r="L418" s="3177"/>
      <c r="M418" s="2732"/>
      <c r="N418" s="2729">
        <f t="shared" si="27"/>
        <v>0</v>
      </c>
      <c r="O418" s="2716"/>
      <c r="Q418" s="2717"/>
      <c r="R418" s="2717"/>
      <c r="S418" s="2719"/>
      <c r="T418" s="2717"/>
      <c r="U418" s="2717"/>
      <c r="V418" s="2717"/>
    </row>
    <row r="419" spans="2:22" s="2720" customFormat="1" ht="14.1" customHeight="1" x14ac:dyDescent="0.2">
      <c r="B419" s="2711"/>
      <c r="C419" s="2537"/>
      <c r="D419" s="2536"/>
      <c r="E419" s="2736"/>
      <c r="F419" s="2741"/>
      <c r="G419" s="2742"/>
      <c r="H419" s="2743"/>
      <c r="I419" s="2744"/>
      <c r="J419" s="2813"/>
      <c r="K419" s="2732">
        <f>SUM(J418:J418)</f>
        <v>0</v>
      </c>
      <c r="L419" s="3177"/>
      <c r="M419" s="2732"/>
      <c r="N419" s="2729">
        <f t="shared" si="27"/>
        <v>0</v>
      </c>
      <c r="O419" s="2716"/>
      <c r="Q419" s="2717"/>
      <c r="R419" s="2717"/>
      <c r="S419" s="2719"/>
      <c r="T419" s="2717"/>
      <c r="U419" s="2717"/>
      <c r="V419" s="2717"/>
    </row>
    <row r="420" spans="2:22" s="2720" customFormat="1" ht="14.1" customHeight="1" x14ac:dyDescent="0.2">
      <c r="B420" s="2711"/>
      <c r="C420" s="2727" t="s">
        <v>610</v>
      </c>
      <c r="D420" s="2738" t="s">
        <v>651</v>
      </c>
      <c r="E420" s="2741"/>
      <c r="F420" s="2741"/>
      <c r="G420" s="2742"/>
      <c r="H420" s="2743"/>
      <c r="I420" s="2744"/>
      <c r="J420" s="2745" t="s">
        <v>652</v>
      </c>
      <c r="K420" s="2732">
        <f>K412+K417+K419</f>
        <v>138088</v>
      </c>
      <c r="L420" s="3179">
        <f>N420/K423</f>
        <v>0.46415793062521393</v>
      </c>
      <c r="M420" s="2745"/>
      <c r="N420" s="2747">
        <f>SUM(N408:N419)*H423</f>
        <v>7242.692500000001</v>
      </c>
      <c r="O420" s="2716"/>
      <c r="Q420" s="2717"/>
      <c r="R420" s="2717"/>
      <c r="S420" s="2719"/>
      <c r="T420" s="2717"/>
      <c r="U420" s="2717"/>
      <c r="V420" s="2717"/>
    </row>
    <row r="421" spans="2:22" s="2720" customFormat="1" ht="14.1" customHeight="1" x14ac:dyDescent="0.2">
      <c r="B421" s="2711"/>
      <c r="C421" s="2537" t="s">
        <v>611</v>
      </c>
      <c r="D421" s="2738" t="s">
        <v>653</v>
      </c>
      <c r="E421" s="2741"/>
      <c r="F421" s="2748">
        <f>$F$42</f>
        <v>0.1</v>
      </c>
      <c r="G421" s="2727" t="s">
        <v>425</v>
      </c>
      <c r="H421" s="2748">
        <f>$H$42</f>
        <v>0.03</v>
      </c>
      <c r="I421" s="2749" t="s">
        <v>424</v>
      </c>
      <c r="J421" s="2732" t="s">
        <v>610</v>
      </c>
      <c r="K421" s="2750">
        <f>ROUND((K420*(F421+H421)),2)</f>
        <v>17951.439999999999</v>
      </c>
      <c r="L421" s="3177"/>
      <c r="M421" s="2732"/>
      <c r="N421" s="2732"/>
      <c r="O421" s="2716"/>
      <c r="Q421" s="2717"/>
      <c r="R421" s="2717"/>
      <c r="S421" s="2719"/>
      <c r="T421" s="2717"/>
      <c r="U421" s="2717"/>
      <c r="V421" s="2717"/>
    </row>
    <row r="422" spans="2:22" s="2720" customFormat="1" ht="14.1" customHeight="1" x14ac:dyDescent="0.2">
      <c r="B422" s="2711"/>
      <c r="C422" s="2880" t="s">
        <v>654</v>
      </c>
      <c r="D422" s="2752" t="s">
        <v>301</v>
      </c>
      <c r="E422" s="2815"/>
      <c r="F422" s="2815"/>
      <c r="G422" s="2815"/>
      <c r="H422" s="2816"/>
      <c r="I422" s="2815"/>
      <c r="J422" s="2755" t="s">
        <v>668</v>
      </c>
      <c r="K422" s="2756">
        <f>SUM(K420:K421)</f>
        <v>156039.44</v>
      </c>
      <c r="L422" s="2746"/>
      <c r="M422" s="2755"/>
      <c r="N422" s="2757"/>
      <c r="O422" s="2716"/>
      <c r="Q422" s="2717"/>
      <c r="R422" s="2717"/>
      <c r="S422" s="2719"/>
      <c r="T422" s="2717"/>
      <c r="U422" s="2717"/>
      <c r="V422" s="2717"/>
    </row>
    <row r="423" spans="2:22" s="2720" customFormat="1" ht="14.1" customHeight="1" x14ac:dyDescent="0.2">
      <c r="B423" s="2721"/>
      <c r="C423" s="2752"/>
      <c r="D423" s="2815" t="s">
        <v>420</v>
      </c>
      <c r="E423" s="2815"/>
      <c r="F423" s="2815"/>
      <c r="G423" s="2815"/>
      <c r="H423" s="2896">
        <v>0.1</v>
      </c>
      <c r="I423" s="2897">
        <f>K422</f>
        <v>156039.44</v>
      </c>
      <c r="J423" s="2815"/>
      <c r="K423" s="2898">
        <f>ROUND(H423*I423,2)</f>
        <v>15603.94</v>
      </c>
      <c r="L423" s="2731"/>
      <c r="M423" s="2732"/>
      <c r="N423" s="2729">
        <f t="shared" si="27"/>
        <v>0</v>
      </c>
      <c r="O423" s="2716"/>
      <c r="Q423" s="2717"/>
      <c r="R423" s="2717"/>
      <c r="S423" s="2719"/>
      <c r="T423" s="2717"/>
      <c r="U423" s="2717"/>
      <c r="V423" s="2717"/>
    </row>
    <row r="424" spans="2:22" x14ac:dyDescent="0.25">
      <c r="Q424" s="2717"/>
      <c r="R424" s="2717"/>
      <c r="S424" s="2719"/>
      <c r="T424" s="2717"/>
      <c r="U424" s="2717"/>
      <c r="V424" s="2717"/>
    </row>
    <row r="425" spans="2:22" s="2713" customFormat="1" ht="14.1" customHeight="1" x14ac:dyDescent="0.2">
      <c r="B425" s="2711">
        <f>B405+1</f>
        <v>23</v>
      </c>
      <c r="C425" s="2711"/>
      <c r="D425" s="2713" t="s">
        <v>1952</v>
      </c>
      <c r="H425" s="2714"/>
      <c r="K425" s="2715" t="s">
        <v>774</v>
      </c>
      <c r="L425" s="2715"/>
      <c r="M425" s="2715"/>
      <c r="N425" s="2715"/>
      <c r="O425" s="2713" t="str">
        <f>D426</f>
        <v>m2</v>
      </c>
      <c r="P425" s="2870">
        <f>K444</f>
        <v>115782.06</v>
      </c>
      <c r="Q425" s="2718">
        <f>L442</f>
        <v>0.94349124553493002</v>
      </c>
      <c r="R425" s="2717"/>
      <c r="S425" s="2719">
        <f>N442</f>
        <v>96672</v>
      </c>
      <c r="T425" s="2515">
        <f>U425+S425</f>
        <v>109239.36</v>
      </c>
      <c r="U425" s="2719">
        <f>S425*V425</f>
        <v>12567.36</v>
      </c>
      <c r="V425" s="2718">
        <f>$F$42+$H$42</f>
        <v>0.13</v>
      </c>
    </row>
    <row r="426" spans="2:22" s="2713" customFormat="1" ht="14.1" customHeight="1" x14ac:dyDescent="0.2">
      <c r="B426" s="2711"/>
      <c r="C426" s="2711"/>
      <c r="D426" s="2721" t="s">
        <v>338</v>
      </c>
      <c r="E426" s="2721"/>
      <c r="F426" s="2721"/>
      <c r="G426" s="2721"/>
      <c r="H426" s="2711"/>
      <c r="I426" s="2721"/>
      <c r="J426" s="2721"/>
      <c r="K426" s="2721"/>
      <c r="L426" s="2721"/>
      <c r="M426" s="2721"/>
      <c r="N426" s="2721"/>
      <c r="Q426" s="2717"/>
      <c r="R426" s="2717"/>
      <c r="S426" s="2719"/>
      <c r="T426" s="2717"/>
      <c r="U426" s="2717"/>
      <c r="V426" s="2717"/>
    </row>
    <row r="427" spans="2:22" s="2713" customFormat="1" ht="14.1" customHeight="1" x14ac:dyDescent="0.2">
      <c r="B427" s="2711"/>
      <c r="C427" s="2711"/>
      <c r="D427" s="2721"/>
      <c r="E427" s="2721"/>
      <c r="F427" s="2721"/>
      <c r="G427" s="2721"/>
      <c r="H427" s="2711"/>
      <c r="I427" s="2721"/>
      <c r="J427" s="2721"/>
      <c r="K427" s="2721"/>
      <c r="L427" s="2721"/>
      <c r="M427" s="2721"/>
      <c r="N427" s="2721"/>
      <c r="Q427" s="2717"/>
      <c r="R427" s="2717"/>
      <c r="S427" s="2719"/>
      <c r="T427" s="2717"/>
      <c r="U427" s="2717"/>
      <c r="V427" s="2717"/>
    </row>
    <row r="428" spans="2:22" s="2713" customFormat="1" ht="14.1" customHeight="1" x14ac:dyDescent="0.2">
      <c r="B428" s="2711"/>
      <c r="C428" s="2524"/>
      <c r="D428" s="3427" t="s">
        <v>280</v>
      </c>
      <c r="E428" s="3428"/>
      <c r="F428" s="2722"/>
      <c r="G428" s="3433" t="s">
        <v>281</v>
      </c>
      <c r="H428" s="3433" t="s">
        <v>282</v>
      </c>
      <c r="I428" s="2524" t="s">
        <v>283</v>
      </c>
      <c r="J428" s="2524" t="s">
        <v>284</v>
      </c>
      <c r="K428" s="2524" t="s">
        <v>340</v>
      </c>
      <c r="L428" s="2524" t="s">
        <v>2008</v>
      </c>
      <c r="M428" s="2524" t="s">
        <v>2009</v>
      </c>
      <c r="N428" s="2524" t="s">
        <v>284</v>
      </c>
      <c r="Q428" s="2717"/>
      <c r="R428" s="2717"/>
      <c r="S428" s="2719"/>
      <c r="T428" s="2717"/>
      <c r="U428" s="2717"/>
      <c r="V428" s="2717"/>
    </row>
    <row r="429" spans="2:22" s="2713" customFormat="1" ht="14.1" customHeight="1" x14ac:dyDescent="0.2">
      <c r="B429" s="2711"/>
      <c r="C429" s="2528" t="s">
        <v>669</v>
      </c>
      <c r="D429" s="3429"/>
      <c r="E429" s="3430"/>
      <c r="F429" s="2723"/>
      <c r="G429" s="3434"/>
      <c r="H429" s="3434"/>
      <c r="I429" s="2528" t="s">
        <v>285</v>
      </c>
      <c r="J429" s="2528" t="s">
        <v>286</v>
      </c>
      <c r="K429" s="2528" t="s">
        <v>286</v>
      </c>
      <c r="L429" s="2528" t="s">
        <v>2011</v>
      </c>
      <c r="M429" s="2528"/>
      <c r="N429" s="2528" t="s">
        <v>2013</v>
      </c>
      <c r="Q429" s="2717"/>
      <c r="R429" s="2717"/>
      <c r="S429" s="2719"/>
      <c r="T429" s="2717"/>
      <c r="U429" s="2717"/>
      <c r="V429" s="2717"/>
    </row>
    <row r="430" spans="2:22" s="2713" customFormat="1" ht="14.1" customHeight="1" x14ac:dyDescent="0.2">
      <c r="B430" s="2711"/>
      <c r="C430" s="2537"/>
      <c r="D430" s="3431"/>
      <c r="E430" s="3432"/>
      <c r="F430" s="2724"/>
      <c r="G430" s="3435"/>
      <c r="H430" s="3435"/>
      <c r="I430" s="2537" t="s">
        <v>286</v>
      </c>
      <c r="J430" s="2536"/>
      <c r="K430" s="2536"/>
      <c r="L430" s="2536"/>
      <c r="M430" s="2536"/>
      <c r="N430" s="2537" t="s">
        <v>286</v>
      </c>
      <c r="Q430" s="2717"/>
      <c r="R430" s="2717"/>
      <c r="S430" s="2719"/>
      <c r="T430" s="2717"/>
      <c r="U430" s="2717"/>
      <c r="V430" s="2717"/>
    </row>
    <row r="431" spans="2:22" s="2713" customFormat="1" ht="14.1" customHeight="1" x14ac:dyDescent="0.2">
      <c r="B431" s="2711"/>
      <c r="C431" s="2524" t="s">
        <v>607</v>
      </c>
      <c r="D431" s="2895" t="s">
        <v>287</v>
      </c>
      <c r="E431" s="2871" t="s">
        <v>314</v>
      </c>
      <c r="F431" s="2881"/>
      <c r="G431" s="2537" t="s">
        <v>293</v>
      </c>
      <c r="H431" s="2873">
        <f>0.04/2</f>
        <v>0.02</v>
      </c>
      <c r="I431" s="2874">
        <f>'Upah &amp; Bahan'!$I$94</f>
        <v>1100000</v>
      </c>
      <c r="J431" s="2729">
        <f>ROUND(H431*I431,2)</f>
        <v>22000</v>
      </c>
      <c r="K431" s="2730"/>
      <c r="L431" s="3177">
        <v>1</v>
      </c>
      <c r="M431" s="2732"/>
      <c r="N431" s="2729">
        <f t="shared" ref="N431:N441" si="28">L431*J431</f>
        <v>22000</v>
      </c>
      <c r="Q431" s="2717"/>
      <c r="R431" s="2717"/>
      <c r="S431" s="2719"/>
      <c r="T431" s="2717"/>
      <c r="U431" s="2717"/>
      <c r="V431" s="2717"/>
    </row>
    <row r="432" spans="2:22" s="2713" customFormat="1" ht="14.1" customHeight="1" x14ac:dyDescent="0.2">
      <c r="B432" s="2711"/>
      <c r="C432" s="2733"/>
      <c r="D432" s="2895"/>
      <c r="E432" s="2871" t="s">
        <v>315</v>
      </c>
      <c r="F432" s="2881"/>
      <c r="G432" s="2537" t="s">
        <v>298</v>
      </c>
      <c r="H432" s="2873">
        <v>0.3</v>
      </c>
      <c r="I432" s="2874">
        <f>'Upah &amp; Bahan'!$I$117</f>
        <v>17000</v>
      </c>
      <c r="J432" s="2729">
        <f>ROUND(H432*I432,2)</f>
        <v>5100</v>
      </c>
      <c r="K432" s="2734"/>
      <c r="L432" s="3177">
        <f>$L$350</f>
        <v>0</v>
      </c>
      <c r="M432" s="2732"/>
      <c r="N432" s="2729">
        <f t="shared" si="28"/>
        <v>0</v>
      </c>
      <c r="Q432" s="2717"/>
      <c r="R432" s="2717"/>
      <c r="S432" s="2719"/>
      <c r="T432" s="2717"/>
      <c r="U432" s="2717"/>
      <c r="V432" s="2717"/>
    </row>
    <row r="433" spans="2:22" s="2713" customFormat="1" ht="14.1" customHeight="1" x14ac:dyDescent="0.2">
      <c r="B433" s="2711"/>
      <c r="C433" s="2733"/>
      <c r="D433" s="2733"/>
      <c r="E433" s="2739" t="s">
        <v>316</v>
      </c>
      <c r="F433" s="2739"/>
      <c r="G433" s="2727" t="s">
        <v>392</v>
      </c>
      <c r="H433" s="2740">
        <v>0.1</v>
      </c>
      <c r="I433" s="2814">
        <f>'Upah &amp; Bahan'!$I$110</f>
        <v>6900</v>
      </c>
      <c r="J433" s="2729">
        <f>ROUND(H433*I433,2)</f>
        <v>690</v>
      </c>
      <c r="K433" s="2734"/>
      <c r="L433" s="3177">
        <v>0</v>
      </c>
      <c r="M433" s="2732"/>
      <c r="N433" s="2729">
        <f t="shared" si="28"/>
        <v>0</v>
      </c>
      <c r="Q433" s="2717"/>
      <c r="R433" s="2717"/>
      <c r="S433" s="2719"/>
      <c r="T433" s="2717"/>
      <c r="U433" s="2717"/>
      <c r="V433" s="2717"/>
    </row>
    <row r="434" spans="2:22" s="2713" customFormat="1" ht="14.1" customHeight="1" x14ac:dyDescent="0.2">
      <c r="B434" s="2711"/>
      <c r="C434" s="2537"/>
      <c r="D434" s="2733"/>
      <c r="E434" s="2736"/>
      <c r="F434" s="2741"/>
      <c r="G434" s="2742"/>
      <c r="H434" s="2743"/>
      <c r="I434" s="2744"/>
      <c r="J434" s="2813"/>
      <c r="K434" s="2729">
        <f>SUM(J431:J433)</f>
        <v>27790</v>
      </c>
      <c r="L434" s="3177"/>
      <c r="M434" s="2732"/>
      <c r="N434" s="2729">
        <f t="shared" si="28"/>
        <v>0</v>
      </c>
      <c r="Q434" s="2717"/>
      <c r="R434" s="2717"/>
      <c r="S434" s="2719"/>
      <c r="T434" s="2717"/>
      <c r="U434" s="2717"/>
      <c r="V434" s="2717"/>
    </row>
    <row r="435" spans="2:22" s="2713" customFormat="1" ht="14.1" customHeight="1" x14ac:dyDescent="0.2">
      <c r="B435" s="2711"/>
      <c r="C435" s="2524" t="s">
        <v>608</v>
      </c>
      <c r="D435" s="2725" t="s">
        <v>288</v>
      </c>
      <c r="E435" s="2739" t="s">
        <v>294</v>
      </c>
      <c r="F435" s="2739"/>
      <c r="G435" s="2727" t="s">
        <v>291</v>
      </c>
      <c r="H435" s="2740">
        <v>0.52</v>
      </c>
      <c r="I435" s="2814">
        <f>'Upah &amp; Bahan'!$I$24</f>
        <v>88300</v>
      </c>
      <c r="J435" s="2729">
        <f>ROUND(H435*I435,2)</f>
        <v>45916</v>
      </c>
      <c r="K435" s="2730"/>
      <c r="L435" s="3177">
        <f>VLOOKUP($E435,$D$1744:$G$1761,2,0)</f>
        <v>1</v>
      </c>
      <c r="M435" s="2731" t="str">
        <f>VLOOKUP($E435,$D$1744:$G$1761,3,0)</f>
        <v>WNI</v>
      </c>
      <c r="N435" s="2729">
        <f t="shared" si="28"/>
        <v>45916</v>
      </c>
      <c r="Q435" s="2717"/>
      <c r="R435" s="2717"/>
      <c r="S435" s="2719"/>
      <c r="T435" s="2717"/>
      <c r="U435" s="2717"/>
      <c r="V435" s="2717"/>
    </row>
    <row r="436" spans="2:22" s="2713" customFormat="1" ht="14.1" customHeight="1" x14ac:dyDescent="0.2">
      <c r="B436" s="2711"/>
      <c r="C436" s="2528"/>
      <c r="D436" s="2733"/>
      <c r="E436" s="2739" t="s">
        <v>327</v>
      </c>
      <c r="F436" s="2739"/>
      <c r="G436" s="2727" t="s">
        <v>291</v>
      </c>
      <c r="H436" s="2740">
        <v>0.26</v>
      </c>
      <c r="I436" s="2814">
        <f>'Upah &amp; Bahan'!$I$36</f>
        <v>92000</v>
      </c>
      <c r="J436" s="2729">
        <f>ROUND(H436*I436,2)</f>
        <v>23920</v>
      </c>
      <c r="K436" s="2734"/>
      <c r="L436" s="3177">
        <f>VLOOKUP($E436,$D$1744:$G$1761,2,0)</f>
        <v>1</v>
      </c>
      <c r="M436" s="2731" t="str">
        <f>VLOOKUP($E436,$D$1744:$G$1761,3,0)</f>
        <v>WNI</v>
      </c>
      <c r="N436" s="2729">
        <f t="shared" si="28"/>
        <v>23920</v>
      </c>
      <c r="Q436" s="2717"/>
      <c r="R436" s="2717"/>
      <c r="S436" s="2719"/>
      <c r="T436" s="2717"/>
      <c r="U436" s="2717"/>
      <c r="V436" s="2717"/>
    </row>
    <row r="437" spans="2:22" s="2713" customFormat="1" ht="14.1" customHeight="1" x14ac:dyDescent="0.2">
      <c r="B437" s="2711"/>
      <c r="C437" s="2733"/>
      <c r="D437" s="2733"/>
      <c r="E437" s="2739" t="s">
        <v>296</v>
      </c>
      <c r="F437" s="2739"/>
      <c r="G437" s="2727" t="s">
        <v>291</v>
      </c>
      <c r="H437" s="2740">
        <v>2.5999999999999999E-2</v>
      </c>
      <c r="I437" s="2814">
        <f>'Upah &amp; Bahan'!$I$30</f>
        <v>96000</v>
      </c>
      <c r="J437" s="2729">
        <f>ROUND(H437*I437,2)</f>
        <v>2496</v>
      </c>
      <c r="K437" s="2734"/>
      <c r="L437" s="3177">
        <f>VLOOKUP($E437,$D$1744:$G$1761,2,0)</f>
        <v>1</v>
      </c>
      <c r="M437" s="2731" t="str">
        <f>VLOOKUP($E437,$D$1744:$G$1761,3,0)</f>
        <v>WNI</v>
      </c>
      <c r="N437" s="2729">
        <f t="shared" si="28"/>
        <v>2496</v>
      </c>
      <c r="Q437" s="2717"/>
      <c r="R437" s="2717"/>
      <c r="S437" s="2719"/>
      <c r="T437" s="2717"/>
      <c r="U437" s="2717"/>
      <c r="V437" s="2717"/>
    </row>
    <row r="438" spans="2:22" s="2713" customFormat="1" ht="14.1" customHeight="1" x14ac:dyDescent="0.2">
      <c r="B438" s="2711"/>
      <c r="C438" s="2733"/>
      <c r="D438" s="2733"/>
      <c r="E438" s="2739" t="s">
        <v>290</v>
      </c>
      <c r="F438" s="2739"/>
      <c r="G438" s="2727" t="s">
        <v>291</v>
      </c>
      <c r="H438" s="2740">
        <v>2.5999999999999999E-2</v>
      </c>
      <c r="I438" s="2814">
        <f>'Upah &amp; Bahan'!$I$31</f>
        <v>90000</v>
      </c>
      <c r="J438" s="2729">
        <f>ROUND(H438*I438,2)</f>
        <v>2340</v>
      </c>
      <c r="K438" s="2733"/>
      <c r="L438" s="3177">
        <f>VLOOKUP($E438,$D$1744:$G$1761,2,0)</f>
        <v>1</v>
      </c>
      <c r="M438" s="2731" t="str">
        <f>VLOOKUP($E438,$D$1744:$G$1761,3,0)</f>
        <v>WNI</v>
      </c>
      <c r="N438" s="2729">
        <f t="shared" si="28"/>
        <v>2340</v>
      </c>
      <c r="Q438" s="2717"/>
      <c r="R438" s="2717"/>
      <c r="S438" s="2719"/>
      <c r="T438" s="2717"/>
      <c r="U438" s="2717"/>
      <c r="V438" s="2717"/>
    </row>
    <row r="439" spans="2:22" s="2713" customFormat="1" ht="14.1" customHeight="1" x14ac:dyDescent="0.2">
      <c r="B439" s="2711"/>
      <c r="C439" s="2536"/>
      <c r="D439" s="2536"/>
      <c r="E439" s="2736"/>
      <c r="F439" s="2741"/>
      <c r="G439" s="2742"/>
      <c r="H439" s="2743"/>
      <c r="I439" s="2744"/>
      <c r="J439" s="2813"/>
      <c r="K439" s="2732">
        <f>SUM(J435:J438)</f>
        <v>74672</v>
      </c>
      <c r="L439" s="3177"/>
      <c r="M439" s="2732"/>
      <c r="N439" s="2729">
        <f t="shared" si="28"/>
        <v>0</v>
      </c>
      <c r="Q439" s="2717"/>
      <c r="R439" s="2717"/>
      <c r="S439" s="2719"/>
      <c r="T439" s="2717"/>
      <c r="U439" s="2717"/>
      <c r="V439" s="2717"/>
    </row>
    <row r="440" spans="2:22" s="2721" customFormat="1" ht="14.1" customHeight="1" x14ac:dyDescent="0.2">
      <c r="B440" s="2711"/>
      <c r="C440" s="2528" t="s">
        <v>609</v>
      </c>
      <c r="D440" s="2725" t="s">
        <v>606</v>
      </c>
      <c r="E440" s="2739"/>
      <c r="F440" s="2739"/>
      <c r="G440" s="2727"/>
      <c r="H440" s="2740"/>
      <c r="I440" s="2814"/>
      <c r="J440" s="2729"/>
      <c r="K440" s="2730"/>
      <c r="L440" s="3177"/>
      <c r="M440" s="2732"/>
      <c r="N440" s="2729">
        <f t="shared" si="28"/>
        <v>0</v>
      </c>
      <c r="Q440" s="2717"/>
      <c r="R440" s="2717"/>
      <c r="S440" s="2719"/>
      <c r="T440" s="2717"/>
      <c r="U440" s="2717"/>
      <c r="V440" s="2717"/>
    </row>
    <row r="441" spans="2:22" s="2721" customFormat="1" ht="14.1" customHeight="1" x14ac:dyDescent="0.2">
      <c r="B441" s="2711"/>
      <c r="C441" s="2537"/>
      <c r="D441" s="2536"/>
      <c r="E441" s="2736"/>
      <c r="F441" s="2741"/>
      <c r="G441" s="2742"/>
      <c r="H441" s="2743"/>
      <c r="I441" s="2744"/>
      <c r="J441" s="2813"/>
      <c r="K441" s="2732">
        <f>SUM(J440:J440)</f>
        <v>0</v>
      </c>
      <c r="L441" s="3177"/>
      <c r="M441" s="2732"/>
      <c r="N441" s="2729">
        <f t="shared" si="28"/>
        <v>0</v>
      </c>
      <c r="Q441" s="2717"/>
      <c r="R441" s="2717"/>
      <c r="S441" s="2719"/>
      <c r="T441" s="2717"/>
      <c r="U441" s="2717"/>
      <c r="V441" s="2717"/>
    </row>
    <row r="442" spans="2:22" s="2721" customFormat="1" ht="14.1" customHeight="1" x14ac:dyDescent="0.2">
      <c r="B442" s="2711"/>
      <c r="C442" s="2727" t="s">
        <v>610</v>
      </c>
      <c r="D442" s="2738" t="s">
        <v>651</v>
      </c>
      <c r="E442" s="2741"/>
      <c r="F442" s="2741"/>
      <c r="G442" s="2742"/>
      <c r="H442" s="2743"/>
      <c r="I442" s="2744"/>
      <c r="J442" s="2745" t="s">
        <v>652</v>
      </c>
      <c r="K442" s="2732">
        <f>K434+K439+K441</f>
        <v>102462</v>
      </c>
      <c r="L442" s="3179">
        <f>N442/K442</f>
        <v>0.94349124553493002</v>
      </c>
      <c r="M442" s="2745"/>
      <c r="N442" s="2747">
        <f>SUM(N430:N441)</f>
        <v>96672</v>
      </c>
      <c r="Q442" s="2717"/>
      <c r="R442" s="2717"/>
      <c r="S442" s="2719"/>
      <c r="T442" s="2717"/>
      <c r="U442" s="2717"/>
      <c r="V442" s="2717"/>
    </row>
    <row r="443" spans="2:22" s="2721" customFormat="1" ht="14.1" customHeight="1" x14ac:dyDescent="0.2">
      <c r="B443" s="2711"/>
      <c r="C443" s="2537" t="s">
        <v>611</v>
      </c>
      <c r="D443" s="2738" t="s">
        <v>653</v>
      </c>
      <c r="E443" s="2741"/>
      <c r="F443" s="2748">
        <f>$F$42</f>
        <v>0.1</v>
      </c>
      <c r="G443" s="2727" t="s">
        <v>425</v>
      </c>
      <c r="H443" s="2748">
        <f>$H$42</f>
        <v>0.03</v>
      </c>
      <c r="I443" s="2749" t="s">
        <v>424</v>
      </c>
      <c r="J443" s="2732" t="s">
        <v>610</v>
      </c>
      <c r="K443" s="2750">
        <f>ROUND((K442*(F443+H443)),2)</f>
        <v>13320.06</v>
      </c>
      <c r="L443" s="2732"/>
      <c r="M443" s="2732"/>
      <c r="N443" s="2732"/>
      <c r="Q443" s="2717"/>
      <c r="R443" s="2717"/>
      <c r="S443" s="2719"/>
      <c r="T443" s="2717"/>
      <c r="U443" s="2717"/>
      <c r="V443" s="2717"/>
    </row>
    <row r="444" spans="2:22" s="2713" customFormat="1" ht="14.1" customHeight="1" x14ac:dyDescent="0.2">
      <c r="B444" s="2711"/>
      <c r="C444" s="2880" t="s">
        <v>654</v>
      </c>
      <c r="D444" s="2752" t="s">
        <v>301</v>
      </c>
      <c r="E444" s="2815"/>
      <c r="F444" s="2815"/>
      <c r="G444" s="2815"/>
      <c r="H444" s="2816"/>
      <c r="I444" s="2815"/>
      <c r="J444" s="2755" t="s">
        <v>668</v>
      </c>
      <c r="K444" s="2756">
        <f>SUM(K442:K443)</f>
        <v>115782.06</v>
      </c>
      <c r="L444" s="2746"/>
      <c r="M444" s="2755"/>
      <c r="N444" s="2757"/>
      <c r="Q444" s="2717"/>
      <c r="R444" s="2717"/>
      <c r="S444" s="2719"/>
      <c r="T444" s="2717"/>
      <c r="U444" s="2717"/>
      <c r="V444" s="2717"/>
    </row>
    <row r="445" spans="2:22" s="2713" customFormat="1" ht="14.1" customHeight="1" x14ac:dyDescent="0.2">
      <c r="B445" s="2714"/>
      <c r="C445" s="2714"/>
      <c r="G445" s="2714"/>
      <c r="H445" s="2882"/>
      <c r="I445" s="2899"/>
      <c r="J445" s="2900"/>
      <c r="K445" s="2900"/>
      <c r="L445" s="2900"/>
      <c r="M445" s="2900"/>
      <c r="N445" s="2900"/>
      <c r="Q445" s="2717"/>
      <c r="R445" s="2717"/>
      <c r="S445" s="2719"/>
      <c r="T445" s="2717"/>
      <c r="U445" s="2717"/>
      <c r="V445" s="2717"/>
    </row>
    <row r="446" spans="2:22" s="2721" customFormat="1" ht="14.1" customHeight="1" x14ac:dyDescent="0.2">
      <c r="B446" s="2711">
        <f>B425+1</f>
        <v>24</v>
      </c>
      <c r="C446" s="2711"/>
      <c r="D446" s="2713" t="s">
        <v>1668</v>
      </c>
      <c r="E446" s="2713"/>
      <c r="F446" s="2713"/>
      <c r="G446" s="2713"/>
      <c r="H446" s="2714"/>
      <c r="I446" s="2713"/>
      <c r="J446" s="2713"/>
      <c r="K446" s="2715" t="s">
        <v>1614</v>
      </c>
      <c r="L446" s="2715"/>
      <c r="M446" s="2715"/>
      <c r="N446" s="2715"/>
      <c r="O446" s="2721" t="str">
        <f>D447</f>
        <v>m2</v>
      </c>
      <c r="P446" s="2810">
        <f>K465</f>
        <v>118889.56</v>
      </c>
      <c r="Q446" s="2718">
        <f>L463</f>
        <v>0.94496825457172184</v>
      </c>
      <c r="R446" s="2717"/>
      <c r="S446" s="2719">
        <f>N463</f>
        <v>99422</v>
      </c>
      <c r="T446" s="2515">
        <f>U446+S446</f>
        <v>112346.86</v>
      </c>
      <c r="U446" s="2719">
        <f>S446*V446</f>
        <v>12924.86</v>
      </c>
      <c r="V446" s="2718">
        <f>$F$42+$H$42</f>
        <v>0.13</v>
      </c>
    </row>
    <row r="447" spans="2:22" s="2721" customFormat="1" ht="14.1" customHeight="1" x14ac:dyDescent="0.2">
      <c r="B447" s="2711"/>
      <c r="C447" s="2711"/>
      <c r="D447" s="2721" t="s">
        <v>338</v>
      </c>
      <c r="H447" s="2711"/>
      <c r="Q447" s="2717"/>
      <c r="R447" s="2717"/>
      <c r="S447" s="2719"/>
      <c r="T447" s="2717"/>
      <c r="U447" s="2717"/>
      <c r="V447" s="2717"/>
    </row>
    <row r="448" spans="2:22" s="2721" customFormat="1" ht="14.1" customHeight="1" x14ac:dyDescent="0.2">
      <c r="B448" s="2711"/>
      <c r="C448" s="2711"/>
      <c r="H448" s="2711"/>
      <c r="Q448" s="2717"/>
      <c r="R448" s="2717"/>
      <c r="S448" s="2719"/>
      <c r="T448" s="2717"/>
      <c r="U448" s="2717"/>
      <c r="V448" s="2717"/>
    </row>
    <row r="449" spans="2:22" s="2721" customFormat="1" ht="14.1" customHeight="1" x14ac:dyDescent="0.2">
      <c r="B449" s="2711"/>
      <c r="C449" s="2524"/>
      <c r="D449" s="3427" t="s">
        <v>280</v>
      </c>
      <c r="E449" s="3428"/>
      <c r="F449" s="2722"/>
      <c r="G449" s="3433" t="s">
        <v>281</v>
      </c>
      <c r="H449" s="3433" t="s">
        <v>282</v>
      </c>
      <c r="I449" s="2524" t="s">
        <v>283</v>
      </c>
      <c r="J449" s="2524" t="s">
        <v>284</v>
      </c>
      <c r="K449" s="2524" t="s">
        <v>340</v>
      </c>
      <c r="L449" s="2524" t="s">
        <v>2008</v>
      </c>
      <c r="M449" s="2524" t="s">
        <v>2009</v>
      </c>
      <c r="N449" s="2524" t="s">
        <v>284</v>
      </c>
      <c r="Q449" s="2717"/>
      <c r="R449" s="2717"/>
      <c r="S449" s="2719"/>
      <c r="T449" s="2717"/>
      <c r="U449" s="2717"/>
      <c r="V449" s="2717"/>
    </row>
    <row r="450" spans="2:22" s="2721" customFormat="1" ht="14.1" customHeight="1" x14ac:dyDescent="0.2">
      <c r="B450" s="2711"/>
      <c r="C450" s="2528" t="s">
        <v>669</v>
      </c>
      <c r="D450" s="3429"/>
      <c r="E450" s="3430"/>
      <c r="F450" s="2723"/>
      <c r="G450" s="3434"/>
      <c r="H450" s="3434"/>
      <c r="I450" s="2528" t="s">
        <v>285</v>
      </c>
      <c r="J450" s="2528" t="s">
        <v>286</v>
      </c>
      <c r="K450" s="2528" t="s">
        <v>286</v>
      </c>
      <c r="L450" s="2528" t="s">
        <v>2011</v>
      </c>
      <c r="M450" s="2528"/>
      <c r="N450" s="2528" t="s">
        <v>2013</v>
      </c>
      <c r="Q450" s="2717"/>
      <c r="R450" s="2717"/>
      <c r="S450" s="2719"/>
      <c r="T450" s="2717"/>
      <c r="U450" s="2717"/>
      <c r="V450" s="2717"/>
    </row>
    <row r="451" spans="2:22" s="2721" customFormat="1" ht="14.1" customHeight="1" x14ac:dyDescent="0.2">
      <c r="B451" s="2711"/>
      <c r="C451" s="2537"/>
      <c r="D451" s="3431"/>
      <c r="E451" s="3432"/>
      <c r="F451" s="2724"/>
      <c r="G451" s="3435"/>
      <c r="H451" s="3435"/>
      <c r="I451" s="2537" t="s">
        <v>286</v>
      </c>
      <c r="J451" s="2536"/>
      <c r="K451" s="2536"/>
      <c r="L451" s="2536"/>
      <c r="M451" s="2536"/>
      <c r="N451" s="2537" t="s">
        <v>286</v>
      </c>
      <c r="Q451" s="2717"/>
      <c r="R451" s="2717"/>
      <c r="S451" s="2719"/>
      <c r="T451" s="2717"/>
      <c r="U451" s="2717"/>
      <c r="V451" s="2717"/>
    </row>
    <row r="452" spans="2:22" s="2721" customFormat="1" ht="14.1" customHeight="1" x14ac:dyDescent="0.2">
      <c r="B452" s="2711"/>
      <c r="C452" s="2524" t="s">
        <v>607</v>
      </c>
      <c r="D452" s="2895" t="s">
        <v>287</v>
      </c>
      <c r="E452" s="2871" t="s">
        <v>314</v>
      </c>
      <c r="F452" s="2881"/>
      <c r="G452" s="2537" t="s">
        <v>293</v>
      </c>
      <c r="H452" s="2873">
        <f>0.045/2</f>
        <v>2.2499999999999999E-2</v>
      </c>
      <c r="I452" s="2874">
        <f>'Upah &amp; Bahan'!$I$94</f>
        <v>1100000</v>
      </c>
      <c r="J452" s="2729">
        <f t="shared" ref="J452:J454" si="29">ROUND(H452*I452,2)</f>
        <v>24750</v>
      </c>
      <c r="K452" s="2730"/>
      <c r="L452" s="3177">
        <v>1</v>
      </c>
      <c r="M452" s="2732"/>
      <c r="N452" s="2729">
        <f t="shared" ref="N452:N462" si="30">L452*J452</f>
        <v>24750</v>
      </c>
      <c r="Q452" s="2717"/>
      <c r="R452" s="2717"/>
      <c r="S452" s="2719"/>
      <c r="T452" s="2717"/>
      <c r="U452" s="2717"/>
      <c r="V452" s="2717"/>
    </row>
    <row r="453" spans="2:22" s="2721" customFormat="1" ht="14.1" customHeight="1" x14ac:dyDescent="0.2">
      <c r="B453" s="2711"/>
      <c r="C453" s="2733"/>
      <c r="D453" s="2895"/>
      <c r="E453" s="2871" t="s">
        <v>315</v>
      </c>
      <c r="F453" s="2881"/>
      <c r="G453" s="2537" t="s">
        <v>298</v>
      </c>
      <c r="H453" s="2873">
        <v>0.3</v>
      </c>
      <c r="I453" s="2874">
        <f>'Upah &amp; Bahan'!$I$117</f>
        <v>17000</v>
      </c>
      <c r="J453" s="2729">
        <f t="shared" si="29"/>
        <v>5100</v>
      </c>
      <c r="K453" s="2734"/>
      <c r="L453" s="3177">
        <f>$L$350</f>
        <v>0</v>
      </c>
      <c r="M453" s="2732"/>
      <c r="N453" s="2729">
        <f t="shared" si="30"/>
        <v>0</v>
      </c>
      <c r="Q453" s="2717"/>
      <c r="R453" s="2717"/>
      <c r="S453" s="2719"/>
      <c r="T453" s="2717"/>
      <c r="U453" s="2717"/>
      <c r="V453" s="2717"/>
    </row>
    <row r="454" spans="2:22" s="2721" customFormat="1" ht="14.1" customHeight="1" x14ac:dyDescent="0.2">
      <c r="B454" s="2711"/>
      <c r="C454" s="2733"/>
      <c r="D454" s="2733"/>
      <c r="E454" s="2739" t="s">
        <v>316</v>
      </c>
      <c r="F454" s="2739"/>
      <c r="G454" s="2727" t="s">
        <v>392</v>
      </c>
      <c r="H454" s="2740">
        <v>0.1</v>
      </c>
      <c r="I454" s="2814">
        <f>'Upah &amp; Bahan'!$I$110</f>
        <v>6900</v>
      </c>
      <c r="J454" s="2729">
        <f t="shared" si="29"/>
        <v>690</v>
      </c>
      <c r="K454" s="2734"/>
      <c r="L454" s="3177">
        <f>$L$433</f>
        <v>0</v>
      </c>
      <c r="M454" s="2732"/>
      <c r="N454" s="2729">
        <f t="shared" si="30"/>
        <v>0</v>
      </c>
      <c r="Q454" s="2717"/>
      <c r="R454" s="2717"/>
      <c r="S454" s="2719"/>
      <c r="T454" s="2717"/>
      <c r="U454" s="2717"/>
      <c r="V454" s="2717"/>
    </row>
    <row r="455" spans="2:22" s="2721" customFormat="1" ht="14.1" customHeight="1" x14ac:dyDescent="0.2">
      <c r="B455" s="2711"/>
      <c r="C455" s="2537"/>
      <c r="D455" s="2733"/>
      <c r="E455" s="2739"/>
      <c r="F455" s="2739"/>
      <c r="G455" s="2727"/>
      <c r="H455" s="2740"/>
      <c r="I455" s="2739"/>
      <c r="J455" s="2729"/>
      <c r="K455" s="2729">
        <f>SUM(J452:J454)</f>
        <v>30540</v>
      </c>
      <c r="L455" s="3177"/>
      <c r="M455" s="2732"/>
      <c r="N455" s="2729">
        <f t="shared" si="30"/>
        <v>0</v>
      </c>
      <c r="Q455" s="2717"/>
      <c r="R455" s="2717"/>
      <c r="S455" s="2719"/>
      <c r="T455" s="2717"/>
      <c r="U455" s="2717"/>
      <c r="V455" s="2717"/>
    </row>
    <row r="456" spans="2:22" s="2721" customFormat="1" ht="14.1" customHeight="1" x14ac:dyDescent="0.2">
      <c r="B456" s="2711"/>
      <c r="C456" s="2524" t="s">
        <v>608</v>
      </c>
      <c r="D456" s="2725" t="s">
        <v>288</v>
      </c>
      <c r="E456" s="2739" t="s">
        <v>294</v>
      </c>
      <c r="F456" s="2739"/>
      <c r="G456" s="2727" t="s">
        <v>291</v>
      </c>
      <c r="H456" s="2740">
        <v>0.52</v>
      </c>
      <c r="I456" s="2811">
        <f>'Upah &amp; Bahan'!$I$24</f>
        <v>88300</v>
      </c>
      <c r="J456" s="2729">
        <f>ROUND(H456*I456,2)</f>
        <v>45916</v>
      </c>
      <c r="K456" s="2734"/>
      <c r="L456" s="3177">
        <f>VLOOKUP($E456,$D$1744:$G$1761,2,0)</f>
        <v>1</v>
      </c>
      <c r="M456" s="2731" t="str">
        <f>VLOOKUP($E456,$D$1744:$G$1761,3,0)</f>
        <v>WNI</v>
      </c>
      <c r="N456" s="2729">
        <f t="shared" si="30"/>
        <v>45916</v>
      </c>
      <c r="Q456" s="2717"/>
      <c r="R456" s="2717"/>
      <c r="S456" s="2719"/>
      <c r="T456" s="2717"/>
      <c r="U456" s="2717"/>
      <c r="V456" s="2717"/>
    </row>
    <row r="457" spans="2:22" s="2721" customFormat="1" ht="14.1" customHeight="1" x14ac:dyDescent="0.2">
      <c r="B457" s="2711"/>
      <c r="C457" s="2733"/>
      <c r="D457" s="2733"/>
      <c r="E457" s="2739" t="s">
        <v>327</v>
      </c>
      <c r="F457" s="2739"/>
      <c r="G457" s="2727" t="s">
        <v>291</v>
      </c>
      <c r="H457" s="2740">
        <v>0.26</v>
      </c>
      <c r="I457" s="2811">
        <f>'Upah &amp; Bahan'!$I$36</f>
        <v>92000</v>
      </c>
      <c r="J457" s="2729">
        <f>ROUND(H457*I457,2)</f>
        <v>23920</v>
      </c>
      <c r="K457" s="2734"/>
      <c r="L457" s="3177">
        <f>VLOOKUP($E457,$D$1744:$G$1761,2,0)</f>
        <v>1</v>
      </c>
      <c r="M457" s="2731" t="str">
        <f>VLOOKUP($E457,$D$1744:$G$1761,3,0)</f>
        <v>WNI</v>
      </c>
      <c r="N457" s="2729">
        <f t="shared" si="30"/>
        <v>23920</v>
      </c>
      <c r="Q457" s="2717"/>
      <c r="R457" s="2717"/>
      <c r="S457" s="2719"/>
      <c r="T457" s="2717"/>
      <c r="U457" s="2717"/>
      <c r="V457" s="2717"/>
    </row>
    <row r="458" spans="2:22" s="2721" customFormat="1" ht="14.1" customHeight="1" x14ac:dyDescent="0.2">
      <c r="B458" s="2711"/>
      <c r="C458" s="2528"/>
      <c r="D458" s="2733"/>
      <c r="E458" s="2739" t="s">
        <v>296</v>
      </c>
      <c r="F458" s="2739"/>
      <c r="G458" s="2727" t="s">
        <v>291</v>
      </c>
      <c r="H458" s="2740">
        <v>2.5999999999999999E-2</v>
      </c>
      <c r="I458" s="2814">
        <f>'Upah &amp; Bahan'!$I$30</f>
        <v>96000</v>
      </c>
      <c r="J458" s="2729">
        <f>ROUND(H458*I458,2)</f>
        <v>2496</v>
      </c>
      <c r="K458" s="2733"/>
      <c r="L458" s="3177">
        <f>VLOOKUP($E458,$D$1744:$G$1761,2,0)</f>
        <v>1</v>
      </c>
      <c r="M458" s="2731" t="str">
        <f>VLOOKUP($E458,$D$1744:$G$1761,3,0)</f>
        <v>WNI</v>
      </c>
      <c r="N458" s="2729">
        <f t="shared" si="30"/>
        <v>2496</v>
      </c>
      <c r="Q458" s="2717"/>
      <c r="R458" s="2717"/>
      <c r="S458" s="2719"/>
      <c r="T458" s="2717"/>
      <c r="U458" s="2717"/>
      <c r="V458" s="2717"/>
    </row>
    <row r="459" spans="2:22" s="2721" customFormat="1" ht="14.1" customHeight="1" x14ac:dyDescent="0.2">
      <c r="B459" s="2711"/>
      <c r="C459" s="2528"/>
      <c r="D459" s="2733"/>
      <c r="E459" s="2739" t="s">
        <v>290</v>
      </c>
      <c r="F459" s="2739"/>
      <c r="G459" s="2727" t="s">
        <v>291</v>
      </c>
      <c r="H459" s="2740">
        <v>2.5999999999999999E-2</v>
      </c>
      <c r="I459" s="2811">
        <f>'Upah &amp; Bahan'!$I$31</f>
        <v>90000</v>
      </c>
      <c r="J459" s="2729">
        <f>ROUND(H459*I459,2)</f>
        <v>2340</v>
      </c>
      <c r="K459" s="2733"/>
      <c r="L459" s="3177">
        <f>VLOOKUP($E459,$D$1744:$G$1761,2,0)</f>
        <v>1</v>
      </c>
      <c r="M459" s="2731" t="str">
        <f>VLOOKUP($E459,$D$1744:$G$1761,3,0)</f>
        <v>WNI</v>
      </c>
      <c r="N459" s="2729">
        <f t="shared" si="30"/>
        <v>2340</v>
      </c>
      <c r="Q459" s="2717"/>
      <c r="R459" s="2717"/>
      <c r="S459" s="2719"/>
      <c r="T459" s="2717"/>
      <c r="U459" s="2717"/>
      <c r="V459" s="2717"/>
    </row>
    <row r="460" spans="2:22" s="2721" customFormat="1" ht="14.1" customHeight="1" x14ac:dyDescent="0.2">
      <c r="B460" s="2711"/>
      <c r="C460" s="2536"/>
      <c r="D460" s="2536"/>
      <c r="E460" s="2741"/>
      <c r="F460" s="2741"/>
      <c r="G460" s="2742"/>
      <c r="H460" s="2743"/>
      <c r="I460" s="2878"/>
      <c r="J460" s="2729"/>
      <c r="K460" s="2732">
        <f>SUM(J456:J459)</f>
        <v>74672</v>
      </c>
      <c r="L460" s="3177"/>
      <c r="M460" s="2732"/>
      <c r="N460" s="2729">
        <f t="shared" si="30"/>
        <v>0</v>
      </c>
      <c r="Q460" s="2717"/>
      <c r="R460" s="2717"/>
      <c r="S460" s="2719"/>
      <c r="T460" s="2717"/>
      <c r="U460" s="2717"/>
      <c r="V460" s="2717"/>
    </row>
    <row r="461" spans="2:22" s="2721" customFormat="1" ht="14.1" customHeight="1" x14ac:dyDescent="0.2">
      <c r="B461" s="2711"/>
      <c r="C461" s="2528" t="s">
        <v>609</v>
      </c>
      <c r="D461" s="2725" t="s">
        <v>606</v>
      </c>
      <c r="E461" s="2739"/>
      <c r="F461" s="2739"/>
      <c r="G461" s="2727"/>
      <c r="H461" s="2740"/>
      <c r="I461" s="2814"/>
      <c r="J461" s="2729"/>
      <c r="K461" s="2730"/>
      <c r="L461" s="3177"/>
      <c r="M461" s="2732"/>
      <c r="N461" s="2729">
        <f t="shared" si="30"/>
        <v>0</v>
      </c>
      <c r="Q461" s="2717"/>
      <c r="R461" s="2717"/>
      <c r="S461" s="2719"/>
      <c r="T461" s="2717"/>
      <c r="U461" s="2717"/>
      <c r="V461" s="2717"/>
    </row>
    <row r="462" spans="2:22" s="2721" customFormat="1" ht="14.1" customHeight="1" x14ac:dyDescent="0.2">
      <c r="B462" s="2711"/>
      <c r="C462" s="2537"/>
      <c r="D462" s="2536"/>
      <c r="E462" s="2741"/>
      <c r="F462" s="2741"/>
      <c r="G462" s="2742"/>
      <c r="H462" s="2743"/>
      <c r="I462" s="2901"/>
      <c r="J462" s="2729"/>
      <c r="K462" s="2732">
        <f>SUM(J461:J461)</f>
        <v>0</v>
      </c>
      <c r="L462" s="3177"/>
      <c r="M462" s="2732"/>
      <c r="N462" s="2729">
        <f t="shared" si="30"/>
        <v>0</v>
      </c>
      <c r="Q462" s="2717"/>
      <c r="R462" s="2717"/>
      <c r="S462" s="2719"/>
      <c r="T462" s="2717"/>
      <c r="U462" s="2717"/>
      <c r="V462" s="2717"/>
    </row>
    <row r="463" spans="2:22" s="2721" customFormat="1" ht="14.1" customHeight="1" x14ac:dyDescent="0.2">
      <c r="B463" s="2711"/>
      <c r="C463" s="2727" t="s">
        <v>610</v>
      </c>
      <c r="D463" s="2738" t="s">
        <v>651</v>
      </c>
      <c r="E463" s="2741"/>
      <c r="F463" s="2741"/>
      <c r="G463" s="2742"/>
      <c r="H463" s="2743"/>
      <c r="I463" s="2744"/>
      <c r="J463" s="2745" t="s">
        <v>652</v>
      </c>
      <c r="K463" s="2732">
        <f>K455+K460+K462</f>
        <v>105212</v>
      </c>
      <c r="L463" s="3179">
        <f>N463/K463</f>
        <v>0.94496825457172184</v>
      </c>
      <c r="M463" s="2745"/>
      <c r="N463" s="2747">
        <f>SUM(N451:N462)</f>
        <v>99422</v>
      </c>
      <c r="Q463" s="2717"/>
      <c r="R463" s="2717"/>
      <c r="S463" s="2719"/>
      <c r="T463" s="2717"/>
      <c r="U463" s="2717"/>
      <c r="V463" s="2717"/>
    </row>
    <row r="464" spans="2:22" s="2721" customFormat="1" ht="14.1" customHeight="1" x14ac:dyDescent="0.2">
      <c r="B464" s="2711"/>
      <c r="C464" s="2537" t="s">
        <v>611</v>
      </c>
      <c r="D464" s="2738" t="s">
        <v>653</v>
      </c>
      <c r="E464" s="2741"/>
      <c r="F464" s="2748">
        <f>$F$42</f>
        <v>0.1</v>
      </c>
      <c r="G464" s="2727" t="s">
        <v>425</v>
      </c>
      <c r="H464" s="2748">
        <f>$H$42</f>
        <v>0.03</v>
      </c>
      <c r="I464" s="2749" t="s">
        <v>424</v>
      </c>
      <c r="J464" s="2732" t="s">
        <v>610</v>
      </c>
      <c r="K464" s="2750">
        <f>ROUND((K463*(F464+H464)),2)</f>
        <v>13677.56</v>
      </c>
      <c r="L464" s="3177"/>
      <c r="M464" s="2732"/>
      <c r="N464" s="2732"/>
      <c r="Q464" s="2717"/>
      <c r="R464" s="2717"/>
      <c r="S464" s="2719"/>
      <c r="T464" s="2717"/>
      <c r="U464" s="2717"/>
      <c r="V464" s="2717"/>
    </row>
    <row r="465" spans="2:22" s="2721" customFormat="1" ht="14.1" customHeight="1" x14ac:dyDescent="0.2">
      <c r="B465" s="2711"/>
      <c r="C465" s="2880" t="s">
        <v>654</v>
      </c>
      <c r="D465" s="2752" t="s">
        <v>301</v>
      </c>
      <c r="E465" s="2815"/>
      <c r="F465" s="2815"/>
      <c r="G465" s="2815"/>
      <c r="H465" s="2816"/>
      <c r="I465" s="2815"/>
      <c r="J465" s="2755" t="s">
        <v>668</v>
      </c>
      <c r="K465" s="2756">
        <f>SUM(K463:K464)</f>
        <v>118889.56</v>
      </c>
      <c r="L465" s="3179"/>
      <c r="M465" s="2755"/>
      <c r="N465" s="2757"/>
      <c r="Q465" s="2717"/>
      <c r="R465" s="2717"/>
      <c r="S465" s="2719"/>
      <c r="T465" s="2717"/>
      <c r="U465" s="2717"/>
      <c r="V465" s="2717"/>
    </row>
    <row r="466" spans="2:22" x14ac:dyDescent="0.25">
      <c r="Q466" s="2717"/>
      <c r="R466" s="2717"/>
      <c r="S466" s="2719"/>
      <c r="T466" s="2717"/>
      <c r="U466" s="2717"/>
      <c r="V466" s="2717"/>
    </row>
    <row r="467" spans="2:22" s="2721" customFormat="1" ht="14.1" customHeight="1" x14ac:dyDescent="0.2">
      <c r="B467" s="2711">
        <f>B446+1</f>
        <v>25</v>
      </c>
      <c r="C467" s="2711"/>
      <c r="D467" s="2713" t="s">
        <v>1667</v>
      </c>
      <c r="E467" s="2713"/>
      <c r="F467" s="2713"/>
      <c r="G467" s="2713"/>
      <c r="H467" s="2714"/>
      <c r="I467" s="2713"/>
      <c r="J467" s="2713"/>
      <c r="K467" s="2715" t="s">
        <v>1069</v>
      </c>
      <c r="L467" s="2715"/>
      <c r="M467" s="2715"/>
      <c r="N467" s="2715"/>
      <c r="O467" s="2721" t="str">
        <f>D468</f>
        <v>m2</v>
      </c>
      <c r="P467" s="2810">
        <f>K490</f>
        <v>192050.28</v>
      </c>
      <c r="Q467" s="2718">
        <f>L488</f>
        <v>0.82830850337734474</v>
      </c>
      <c r="R467" s="2717"/>
      <c r="S467" s="2719">
        <f>N488</f>
        <v>140776</v>
      </c>
      <c r="T467" s="2515">
        <f>U467+S467</f>
        <v>159076.88</v>
      </c>
      <c r="U467" s="2719">
        <f>S467*V467</f>
        <v>18300.88</v>
      </c>
      <c r="V467" s="2718">
        <f>$F$42+$H$42</f>
        <v>0.13</v>
      </c>
    </row>
    <row r="468" spans="2:22" s="2721" customFormat="1" ht="14.1" customHeight="1" x14ac:dyDescent="0.2">
      <c r="B468" s="2711"/>
      <c r="C468" s="2711"/>
      <c r="D468" s="2721" t="s">
        <v>338</v>
      </c>
      <c r="H468" s="2711"/>
      <c r="Q468" s="2717"/>
      <c r="R468" s="2717"/>
      <c r="S468" s="2719"/>
      <c r="T468" s="2717"/>
      <c r="U468" s="2717"/>
      <c r="V468" s="2717"/>
    </row>
    <row r="469" spans="2:22" s="2721" customFormat="1" ht="14.1" customHeight="1" x14ac:dyDescent="0.2">
      <c r="B469" s="2711"/>
      <c r="C469" s="2711"/>
      <c r="H469" s="2711"/>
      <c r="Q469" s="2717"/>
      <c r="R469" s="2717"/>
      <c r="S469" s="2719"/>
      <c r="T469" s="2717"/>
      <c r="U469" s="2717"/>
      <c r="V469" s="2717"/>
    </row>
    <row r="470" spans="2:22" s="2721" customFormat="1" ht="14.1" customHeight="1" x14ac:dyDescent="0.2">
      <c r="B470" s="2711"/>
      <c r="C470" s="2524"/>
      <c r="D470" s="3427" t="s">
        <v>280</v>
      </c>
      <c r="E470" s="3428"/>
      <c r="F470" s="2722"/>
      <c r="G470" s="3433" t="s">
        <v>281</v>
      </c>
      <c r="H470" s="3433" t="s">
        <v>282</v>
      </c>
      <c r="I470" s="2524" t="s">
        <v>283</v>
      </c>
      <c r="J470" s="2524" t="s">
        <v>284</v>
      </c>
      <c r="K470" s="2524" t="s">
        <v>340</v>
      </c>
      <c r="L470" s="2524" t="s">
        <v>2008</v>
      </c>
      <c r="M470" s="2524" t="s">
        <v>2009</v>
      </c>
      <c r="N470" s="2524" t="s">
        <v>284</v>
      </c>
      <c r="Q470" s="2717"/>
      <c r="R470" s="2717"/>
      <c r="S470" s="2719"/>
      <c r="T470" s="2717"/>
      <c r="U470" s="2717"/>
      <c r="V470" s="2717"/>
    </row>
    <row r="471" spans="2:22" s="2721" customFormat="1" ht="14.1" customHeight="1" x14ac:dyDescent="0.2">
      <c r="B471" s="2711"/>
      <c r="C471" s="2528" t="s">
        <v>669</v>
      </c>
      <c r="D471" s="3429"/>
      <c r="E471" s="3430"/>
      <c r="F471" s="2723"/>
      <c r="G471" s="3434"/>
      <c r="H471" s="3434"/>
      <c r="I471" s="2528" t="s">
        <v>285</v>
      </c>
      <c r="J471" s="2528" t="s">
        <v>286</v>
      </c>
      <c r="K471" s="2528" t="s">
        <v>286</v>
      </c>
      <c r="L471" s="2528" t="s">
        <v>2011</v>
      </c>
      <c r="M471" s="2528"/>
      <c r="N471" s="2528" t="s">
        <v>2013</v>
      </c>
      <c r="Q471" s="2717"/>
      <c r="R471" s="2717"/>
      <c r="S471" s="2719"/>
      <c r="T471" s="2717"/>
      <c r="U471" s="2717"/>
      <c r="V471" s="2717"/>
    </row>
    <row r="472" spans="2:22" s="2721" customFormat="1" ht="14.1" customHeight="1" x14ac:dyDescent="0.2">
      <c r="B472" s="2711"/>
      <c r="C472" s="2537"/>
      <c r="D472" s="3431"/>
      <c r="E472" s="3432"/>
      <c r="F472" s="2724"/>
      <c r="G472" s="3435"/>
      <c r="H472" s="3435"/>
      <c r="I472" s="2537" t="s">
        <v>286</v>
      </c>
      <c r="J472" s="2536"/>
      <c r="K472" s="2536"/>
      <c r="L472" s="2536"/>
      <c r="M472" s="2536"/>
      <c r="N472" s="2537" t="s">
        <v>286</v>
      </c>
      <c r="Q472" s="2717"/>
      <c r="R472" s="2717"/>
      <c r="S472" s="2719"/>
      <c r="T472" s="2717"/>
      <c r="U472" s="2717"/>
      <c r="V472" s="2717"/>
    </row>
    <row r="473" spans="2:22" s="2721" customFormat="1" ht="14.1" customHeight="1" x14ac:dyDescent="0.2">
      <c r="B473" s="2711"/>
      <c r="C473" s="2524" t="s">
        <v>607</v>
      </c>
      <c r="D473" s="2895" t="s">
        <v>287</v>
      </c>
      <c r="E473" s="2871" t="s">
        <v>314</v>
      </c>
      <c r="F473" s="2881"/>
      <c r="G473" s="2537" t="s">
        <v>293</v>
      </c>
      <c r="H473" s="2873">
        <f>0.04/2</f>
        <v>0.02</v>
      </c>
      <c r="I473" s="2874">
        <f>'Upah &amp; Bahan'!I$94</f>
        <v>1100000</v>
      </c>
      <c r="J473" s="2729">
        <f t="shared" ref="J473:J478" si="31">ROUND(H473*I473,2)</f>
        <v>22000</v>
      </c>
      <c r="K473" s="2730"/>
      <c r="L473" s="3177">
        <v>1</v>
      </c>
      <c r="M473" s="2732"/>
      <c r="N473" s="2729">
        <f t="shared" ref="N473:N487" si="32">L473*J473</f>
        <v>22000</v>
      </c>
      <c r="Q473" s="2717"/>
      <c r="R473" s="2717"/>
      <c r="S473" s="2719"/>
      <c r="T473" s="2717"/>
      <c r="U473" s="2717"/>
      <c r="V473" s="2717"/>
    </row>
    <row r="474" spans="2:22" s="2721" customFormat="1" ht="14.1" customHeight="1" x14ac:dyDescent="0.2">
      <c r="B474" s="2711"/>
      <c r="C474" s="2733"/>
      <c r="D474" s="2895"/>
      <c r="E474" s="2871" t="s">
        <v>322</v>
      </c>
      <c r="F474" s="2881"/>
      <c r="G474" s="2537" t="s">
        <v>298</v>
      </c>
      <c r="H474" s="2873">
        <v>0.4</v>
      </c>
      <c r="I474" s="2874">
        <f>'Upah &amp; Bahan'!I$117</f>
        <v>17000</v>
      </c>
      <c r="J474" s="2729">
        <f t="shared" si="31"/>
        <v>6800</v>
      </c>
      <c r="K474" s="2734"/>
      <c r="L474" s="3177">
        <f>$L$350</f>
        <v>0</v>
      </c>
      <c r="M474" s="2732"/>
      <c r="N474" s="2729">
        <f t="shared" si="32"/>
        <v>0</v>
      </c>
      <c r="Q474" s="2717"/>
      <c r="R474" s="2717"/>
      <c r="S474" s="2719"/>
      <c r="T474" s="2717"/>
      <c r="U474" s="2717"/>
      <c r="V474" s="2717"/>
    </row>
    <row r="475" spans="2:22" s="2721" customFormat="1" ht="14.1" customHeight="1" x14ac:dyDescent="0.2">
      <c r="B475" s="2711"/>
      <c r="C475" s="2733"/>
      <c r="D475" s="2733"/>
      <c r="E475" s="2739" t="s">
        <v>316</v>
      </c>
      <c r="F475" s="2739"/>
      <c r="G475" s="2727" t="s">
        <v>392</v>
      </c>
      <c r="H475" s="2740">
        <v>0.2</v>
      </c>
      <c r="I475" s="2814">
        <f>'Upah &amp; Bahan'!I$110</f>
        <v>6900</v>
      </c>
      <c r="J475" s="2729">
        <f t="shared" si="31"/>
        <v>1380</v>
      </c>
      <c r="K475" s="2734"/>
      <c r="L475" s="3177">
        <f>$L$433</f>
        <v>0</v>
      </c>
      <c r="M475" s="2732"/>
      <c r="N475" s="2729">
        <f t="shared" si="32"/>
        <v>0</v>
      </c>
      <c r="Q475" s="2717"/>
      <c r="R475" s="2717"/>
      <c r="S475" s="2719"/>
      <c r="T475" s="2717"/>
      <c r="U475" s="2717"/>
      <c r="V475" s="2717"/>
    </row>
    <row r="476" spans="2:22" s="2721" customFormat="1" ht="14.1" customHeight="1" x14ac:dyDescent="0.2">
      <c r="B476" s="2711"/>
      <c r="C476" s="2733"/>
      <c r="D476" s="2733"/>
      <c r="E476" s="2739" t="s">
        <v>317</v>
      </c>
      <c r="F476" s="2739"/>
      <c r="G476" s="2727" t="s">
        <v>293</v>
      </c>
      <c r="H476" s="2740">
        <f>0.015/2</f>
        <v>7.4999999999999997E-3</v>
      </c>
      <c r="I476" s="2814">
        <f>'Upah &amp; Bahan'!I$95</f>
        <v>1600000</v>
      </c>
      <c r="J476" s="2729">
        <f t="shared" si="31"/>
        <v>12000</v>
      </c>
      <c r="K476" s="2733"/>
      <c r="L476" s="3177">
        <v>1</v>
      </c>
      <c r="M476" s="2732"/>
      <c r="N476" s="2729">
        <f t="shared" si="32"/>
        <v>12000</v>
      </c>
      <c r="Q476" s="2717"/>
      <c r="R476" s="2717"/>
      <c r="S476" s="2719"/>
      <c r="T476" s="2717"/>
      <c r="U476" s="2717"/>
      <c r="V476" s="2717"/>
    </row>
    <row r="477" spans="2:22" s="2721" customFormat="1" ht="14.1" customHeight="1" x14ac:dyDescent="0.2">
      <c r="B477" s="2711"/>
      <c r="C477" s="2733"/>
      <c r="D477" s="2733"/>
      <c r="E477" s="2739" t="s">
        <v>318</v>
      </c>
      <c r="F477" s="2739"/>
      <c r="G477" s="2727" t="s">
        <v>277</v>
      </c>
      <c r="H477" s="2740">
        <f>0.35/2</f>
        <v>0.17499999999999999</v>
      </c>
      <c r="I477" s="2814">
        <f>'Upah &amp; Bahan'!I$111</f>
        <v>120000</v>
      </c>
      <c r="J477" s="2729">
        <f t="shared" si="31"/>
        <v>21000</v>
      </c>
      <c r="K477" s="2733"/>
      <c r="L477" s="3177">
        <v>0</v>
      </c>
      <c r="M477" s="2732"/>
      <c r="N477" s="2729">
        <f t="shared" si="32"/>
        <v>0</v>
      </c>
      <c r="Q477" s="2717"/>
      <c r="R477" s="2717"/>
      <c r="S477" s="2719"/>
      <c r="T477" s="2717"/>
      <c r="U477" s="2717"/>
      <c r="V477" s="2717"/>
    </row>
    <row r="478" spans="2:22" s="2721" customFormat="1" ht="14.1" customHeight="1" x14ac:dyDescent="0.2">
      <c r="B478" s="2711"/>
      <c r="C478" s="2528"/>
      <c r="D478" s="2733"/>
      <c r="E478" s="2739" t="s">
        <v>319</v>
      </c>
      <c r="F478" s="2739"/>
      <c r="G478" s="2727" t="s">
        <v>274</v>
      </c>
      <c r="H478" s="2740">
        <f>2/2</f>
        <v>1</v>
      </c>
      <c r="I478" s="2814">
        <f>'Upah &amp; Bahan'!I$54</f>
        <v>12000</v>
      </c>
      <c r="J478" s="2729">
        <f t="shared" si="31"/>
        <v>12000</v>
      </c>
      <c r="K478" s="2733"/>
      <c r="L478" s="3177">
        <v>1</v>
      </c>
      <c r="M478" s="2732"/>
      <c r="N478" s="2729">
        <f t="shared" si="32"/>
        <v>12000</v>
      </c>
      <c r="Q478" s="2717"/>
      <c r="R478" s="2717"/>
      <c r="S478" s="2719"/>
      <c r="T478" s="2717"/>
      <c r="U478" s="2717"/>
      <c r="V478" s="2717"/>
    </row>
    <row r="479" spans="2:22" s="2721" customFormat="1" ht="14.1" customHeight="1" x14ac:dyDescent="0.2">
      <c r="B479" s="2711"/>
      <c r="C479" s="2733"/>
      <c r="D479" s="2733"/>
      <c r="E479" s="2739" t="s">
        <v>419</v>
      </c>
      <c r="F479" s="2739"/>
      <c r="G479" s="2727"/>
      <c r="H479" s="2740"/>
      <c r="I479" s="2739"/>
      <c r="J479" s="2729"/>
      <c r="K479" s="2735"/>
      <c r="L479" s="3177"/>
      <c r="M479" s="2732"/>
      <c r="N479" s="2729">
        <f t="shared" si="32"/>
        <v>0</v>
      </c>
      <c r="Q479" s="2717"/>
      <c r="R479" s="2717"/>
      <c r="S479" s="2719"/>
      <c r="T479" s="2717"/>
      <c r="U479" s="2717"/>
      <c r="V479" s="2717"/>
    </row>
    <row r="480" spans="2:22" s="2721" customFormat="1" ht="14.1" customHeight="1" x14ac:dyDescent="0.2">
      <c r="B480" s="2711"/>
      <c r="C480" s="2537"/>
      <c r="D480" s="2733"/>
      <c r="E480" s="2739"/>
      <c r="F480" s="2739"/>
      <c r="G480" s="2727"/>
      <c r="H480" s="2740"/>
      <c r="I480" s="2739"/>
      <c r="J480" s="2729"/>
      <c r="K480" s="2729">
        <f>SUM(J473:J479)</f>
        <v>75180</v>
      </c>
      <c r="L480" s="3177"/>
      <c r="M480" s="2732"/>
      <c r="N480" s="2729">
        <f t="shared" si="32"/>
        <v>0</v>
      </c>
      <c r="Q480" s="2717"/>
      <c r="R480" s="2717"/>
      <c r="S480" s="2719"/>
      <c r="T480" s="2717"/>
      <c r="U480" s="2717"/>
      <c r="V480" s="2717"/>
    </row>
    <row r="481" spans="2:22" s="2721" customFormat="1" ht="14.1" customHeight="1" x14ac:dyDescent="0.2">
      <c r="B481" s="2711"/>
      <c r="C481" s="2524" t="s">
        <v>608</v>
      </c>
      <c r="D481" s="2725" t="s">
        <v>288</v>
      </c>
      <c r="E481" s="2739" t="s">
        <v>294</v>
      </c>
      <c r="F481" s="2739"/>
      <c r="G481" s="2727" t="s">
        <v>291</v>
      </c>
      <c r="H481" s="2740">
        <v>0.66</v>
      </c>
      <c r="I481" s="2811">
        <f>'Upah &amp; Bahan'!I$24</f>
        <v>88300</v>
      </c>
      <c r="J481" s="2729">
        <f>ROUND(H481*I481,2)</f>
        <v>58278</v>
      </c>
      <c r="K481" s="2734"/>
      <c r="L481" s="3177">
        <f>VLOOKUP($E481,$D$1744:$G$1761,2,0)</f>
        <v>1</v>
      </c>
      <c r="M481" s="2731" t="str">
        <f>VLOOKUP($E481,$D$1744:$G$1761,3,0)</f>
        <v>WNI</v>
      </c>
      <c r="N481" s="2729">
        <f t="shared" si="32"/>
        <v>58278</v>
      </c>
      <c r="Q481" s="2717"/>
      <c r="R481" s="2717"/>
      <c r="S481" s="2719"/>
      <c r="T481" s="2717"/>
      <c r="U481" s="2717"/>
      <c r="V481" s="2717"/>
    </row>
    <row r="482" spans="2:22" s="2721" customFormat="1" ht="14.1" customHeight="1" x14ac:dyDescent="0.2">
      <c r="B482" s="2711"/>
      <c r="C482" s="2733"/>
      <c r="D482" s="2733"/>
      <c r="E482" s="2739" t="s">
        <v>327</v>
      </c>
      <c r="F482" s="2739"/>
      <c r="G482" s="2727" t="s">
        <v>291</v>
      </c>
      <c r="H482" s="2740">
        <v>0.33</v>
      </c>
      <c r="I482" s="2811">
        <f>'Upah &amp; Bahan'!I$36</f>
        <v>92000</v>
      </c>
      <c r="J482" s="2729">
        <f>ROUND(H482*I482,2)</f>
        <v>30360</v>
      </c>
      <c r="K482" s="2734"/>
      <c r="L482" s="3177">
        <f>VLOOKUP($E482,$D$1744:$G$1761,2,0)</f>
        <v>1</v>
      </c>
      <c r="M482" s="2731" t="str">
        <f>VLOOKUP($E482,$D$1744:$G$1761,3,0)</f>
        <v>WNI</v>
      </c>
      <c r="N482" s="2729">
        <f t="shared" si="32"/>
        <v>30360</v>
      </c>
      <c r="Q482" s="2717"/>
      <c r="R482" s="2717"/>
      <c r="S482" s="2719"/>
      <c r="T482" s="2717"/>
      <c r="U482" s="2717"/>
      <c r="V482" s="2717"/>
    </row>
    <row r="483" spans="2:22" s="2721" customFormat="1" ht="14.1" customHeight="1" x14ac:dyDescent="0.2">
      <c r="B483" s="2711"/>
      <c r="C483" s="2528"/>
      <c r="D483" s="2733"/>
      <c r="E483" s="2739" t="s">
        <v>296</v>
      </c>
      <c r="F483" s="2739"/>
      <c r="G483" s="2727" t="s">
        <v>291</v>
      </c>
      <c r="H483" s="2740">
        <v>3.3000000000000002E-2</v>
      </c>
      <c r="I483" s="2814">
        <f>'Upah &amp; Bahan'!I$30</f>
        <v>96000</v>
      </c>
      <c r="J483" s="2729">
        <f>ROUND(H483*I483,2)</f>
        <v>3168</v>
      </c>
      <c r="K483" s="2733"/>
      <c r="L483" s="3177">
        <f>VLOOKUP($E483,$D$1744:$G$1761,2,0)</f>
        <v>1</v>
      </c>
      <c r="M483" s="2731" t="str">
        <f>VLOOKUP($E483,$D$1744:$G$1761,3,0)</f>
        <v>WNI</v>
      </c>
      <c r="N483" s="2729">
        <f t="shared" si="32"/>
        <v>3168</v>
      </c>
      <c r="Q483" s="2717"/>
      <c r="R483" s="2717"/>
      <c r="S483" s="2719"/>
      <c r="T483" s="2717"/>
      <c r="U483" s="2717"/>
      <c r="V483" s="2717"/>
    </row>
    <row r="484" spans="2:22" s="2721" customFormat="1" ht="14.1" customHeight="1" x14ac:dyDescent="0.2">
      <c r="B484" s="2711"/>
      <c r="C484" s="2528"/>
      <c r="D484" s="2733"/>
      <c r="E484" s="2739" t="s">
        <v>290</v>
      </c>
      <c r="F484" s="2739"/>
      <c r="G484" s="2727" t="s">
        <v>291</v>
      </c>
      <c r="H484" s="2740">
        <v>3.3000000000000002E-2</v>
      </c>
      <c r="I484" s="2811">
        <f>'Upah &amp; Bahan'!I$31</f>
        <v>90000</v>
      </c>
      <c r="J484" s="2729">
        <f>ROUND(H484*I484,2)</f>
        <v>2970</v>
      </c>
      <c r="K484" s="2733"/>
      <c r="L484" s="3177">
        <f>VLOOKUP($E484,$D$1744:$G$1761,2,0)</f>
        <v>1</v>
      </c>
      <c r="M484" s="2731" t="str">
        <f>VLOOKUP($E484,$D$1744:$G$1761,3,0)</f>
        <v>WNI</v>
      </c>
      <c r="N484" s="2729">
        <f t="shared" si="32"/>
        <v>2970</v>
      </c>
      <c r="Q484" s="2717"/>
      <c r="R484" s="2717"/>
      <c r="S484" s="2719"/>
      <c r="T484" s="2717"/>
      <c r="U484" s="2717"/>
      <c r="V484" s="2717"/>
    </row>
    <row r="485" spans="2:22" s="2721" customFormat="1" ht="14.1" customHeight="1" x14ac:dyDescent="0.2">
      <c r="B485" s="2711"/>
      <c r="C485" s="2536"/>
      <c r="D485" s="2536"/>
      <c r="E485" s="2741"/>
      <c r="F485" s="2741"/>
      <c r="G485" s="2742"/>
      <c r="H485" s="2743"/>
      <c r="I485" s="2878"/>
      <c r="J485" s="2729"/>
      <c r="K485" s="2732">
        <f>SUM(J481:J484)</f>
        <v>94776</v>
      </c>
      <c r="L485" s="3177"/>
      <c r="M485" s="2732"/>
      <c r="N485" s="2729">
        <f t="shared" si="32"/>
        <v>0</v>
      </c>
      <c r="Q485" s="2717"/>
      <c r="R485" s="2717"/>
      <c r="S485" s="2719"/>
      <c r="T485" s="2717"/>
      <c r="U485" s="2717"/>
      <c r="V485" s="2717"/>
    </row>
    <row r="486" spans="2:22" s="2721" customFormat="1" ht="14.1" customHeight="1" x14ac:dyDescent="0.2">
      <c r="B486" s="2711"/>
      <c r="C486" s="2528" t="s">
        <v>609</v>
      </c>
      <c r="D486" s="2725" t="s">
        <v>606</v>
      </c>
      <c r="E486" s="2739"/>
      <c r="F486" s="2739"/>
      <c r="G486" s="2727"/>
      <c r="H486" s="2740"/>
      <c r="I486" s="2814"/>
      <c r="J486" s="2729"/>
      <c r="K486" s="2730"/>
      <c r="L486" s="3177"/>
      <c r="M486" s="2732"/>
      <c r="N486" s="2729">
        <f t="shared" si="32"/>
        <v>0</v>
      </c>
      <c r="Q486" s="2717"/>
      <c r="R486" s="2717"/>
      <c r="S486" s="2719"/>
      <c r="T486" s="2717"/>
      <c r="U486" s="2717"/>
      <c r="V486" s="2717"/>
    </row>
    <row r="487" spans="2:22" s="2721" customFormat="1" ht="14.1" customHeight="1" x14ac:dyDescent="0.2">
      <c r="B487" s="2711"/>
      <c r="C487" s="2537"/>
      <c r="D487" s="2536"/>
      <c r="E487" s="2741"/>
      <c r="F487" s="2741"/>
      <c r="G487" s="2742"/>
      <c r="H487" s="2743"/>
      <c r="I487" s="2901"/>
      <c r="J487" s="2729"/>
      <c r="K487" s="2732">
        <f>SUM(J486:J486)</f>
        <v>0</v>
      </c>
      <c r="L487" s="3177"/>
      <c r="M487" s="2732"/>
      <c r="N487" s="2729">
        <f t="shared" si="32"/>
        <v>0</v>
      </c>
      <c r="Q487" s="2717"/>
      <c r="R487" s="2717"/>
      <c r="S487" s="2719"/>
      <c r="T487" s="2717"/>
      <c r="U487" s="2717"/>
      <c r="V487" s="2717"/>
    </row>
    <row r="488" spans="2:22" s="2721" customFormat="1" ht="14.1" customHeight="1" x14ac:dyDescent="0.2">
      <c r="B488" s="2711"/>
      <c r="C488" s="2727" t="s">
        <v>610</v>
      </c>
      <c r="D488" s="2738" t="s">
        <v>651</v>
      </c>
      <c r="E488" s="2741"/>
      <c r="F488" s="2741"/>
      <c r="G488" s="2742"/>
      <c r="H488" s="2743"/>
      <c r="I488" s="2744"/>
      <c r="J488" s="2745" t="s">
        <v>652</v>
      </c>
      <c r="K488" s="2732">
        <f>K480+K485+K487</f>
        <v>169956</v>
      </c>
      <c r="L488" s="3179">
        <f>N488/K488</f>
        <v>0.82830850337734474</v>
      </c>
      <c r="M488" s="2745"/>
      <c r="N488" s="2747">
        <f>SUM(N473:N487)</f>
        <v>140776</v>
      </c>
      <c r="Q488" s="2717"/>
      <c r="R488" s="2717"/>
      <c r="S488" s="2719"/>
      <c r="T488" s="2717"/>
      <c r="U488" s="2717"/>
      <c r="V488" s="2717"/>
    </row>
    <row r="489" spans="2:22" s="2721" customFormat="1" ht="14.1" customHeight="1" x14ac:dyDescent="0.2">
      <c r="B489" s="2711"/>
      <c r="C489" s="2537" t="s">
        <v>611</v>
      </c>
      <c r="D489" s="2738" t="s">
        <v>653</v>
      </c>
      <c r="E489" s="2741"/>
      <c r="F489" s="2748">
        <f>$F$42</f>
        <v>0.1</v>
      </c>
      <c r="G489" s="2727" t="s">
        <v>425</v>
      </c>
      <c r="H489" s="2748">
        <f>$H$42</f>
        <v>0.03</v>
      </c>
      <c r="I489" s="2749" t="s">
        <v>424</v>
      </c>
      <c r="J489" s="2732" t="s">
        <v>610</v>
      </c>
      <c r="K489" s="2750">
        <f>ROUND((K488*(F489+H489)),2)</f>
        <v>22094.28</v>
      </c>
      <c r="L489" s="2732"/>
      <c r="M489" s="2732"/>
      <c r="N489" s="2732"/>
      <c r="Q489" s="2717"/>
      <c r="R489" s="2717"/>
      <c r="S489" s="2719"/>
      <c r="T489" s="2717"/>
      <c r="U489" s="2717"/>
      <c r="V489" s="2717"/>
    </row>
    <row r="490" spans="2:22" s="2721" customFormat="1" ht="14.1" customHeight="1" x14ac:dyDescent="0.2">
      <c r="B490" s="2711"/>
      <c r="C490" s="2880" t="s">
        <v>654</v>
      </c>
      <c r="D490" s="2752" t="s">
        <v>301</v>
      </c>
      <c r="E490" s="2815"/>
      <c r="F490" s="2815"/>
      <c r="G490" s="2815"/>
      <c r="H490" s="2816"/>
      <c r="I490" s="2815"/>
      <c r="J490" s="2755" t="s">
        <v>668</v>
      </c>
      <c r="K490" s="2756">
        <f>SUM(K488:K489)</f>
        <v>192050.28</v>
      </c>
      <c r="L490" s="2746"/>
      <c r="M490" s="2755"/>
      <c r="N490" s="2757"/>
      <c r="Q490" s="2717"/>
      <c r="R490" s="2717"/>
      <c r="S490" s="2719"/>
      <c r="T490" s="2717"/>
      <c r="U490" s="2717"/>
      <c r="V490" s="2717"/>
    </row>
    <row r="491" spans="2:22" x14ac:dyDescent="0.25">
      <c r="Q491" s="2717"/>
      <c r="R491" s="2717"/>
      <c r="S491" s="2719"/>
      <c r="T491" s="2717"/>
      <c r="U491" s="2717"/>
      <c r="V491" s="2717"/>
    </row>
    <row r="492" spans="2:22" s="2721" customFormat="1" ht="14.1" customHeight="1" x14ac:dyDescent="0.2">
      <c r="B492" s="2711">
        <f>B467+1</f>
        <v>26</v>
      </c>
      <c r="C492" s="2711"/>
      <c r="D492" s="2713" t="s">
        <v>1953</v>
      </c>
      <c r="E492" s="2713"/>
      <c r="F492" s="2713"/>
      <c r="G492" s="2713"/>
      <c r="H492" s="2714"/>
      <c r="I492" s="2713"/>
      <c r="J492" s="2713"/>
      <c r="K492" s="2715" t="s">
        <v>1070</v>
      </c>
      <c r="L492" s="2715"/>
      <c r="M492" s="2715"/>
      <c r="N492" s="2715"/>
      <c r="O492" s="2721" t="str">
        <f>D493</f>
        <v>m2</v>
      </c>
      <c r="P492" s="2810">
        <f>K515</f>
        <v>194762.28</v>
      </c>
      <c r="Q492" s="2718">
        <f>L513</f>
        <v>0.83069925038873027</v>
      </c>
      <c r="R492" s="2717"/>
      <c r="S492" s="2719">
        <f>N513</f>
        <v>143176</v>
      </c>
      <c r="T492" s="2515">
        <f>U492+S492</f>
        <v>161788.88</v>
      </c>
      <c r="U492" s="2719">
        <f>S492*V492</f>
        <v>18612.88</v>
      </c>
      <c r="V492" s="2718">
        <f>$F$42+$H$42</f>
        <v>0.13</v>
      </c>
    </row>
    <row r="493" spans="2:22" s="2721" customFormat="1" ht="14.1" customHeight="1" x14ac:dyDescent="0.2">
      <c r="B493" s="2711"/>
      <c r="C493" s="2711"/>
      <c r="D493" s="2721" t="s">
        <v>338</v>
      </c>
      <c r="H493" s="2711"/>
      <c r="Q493" s="2717"/>
      <c r="R493" s="2717"/>
      <c r="S493" s="2719"/>
      <c r="T493" s="2717"/>
      <c r="U493" s="2717"/>
      <c r="V493" s="2717"/>
    </row>
    <row r="494" spans="2:22" s="2721" customFormat="1" ht="14.1" customHeight="1" x14ac:dyDescent="0.2">
      <c r="B494" s="2711"/>
      <c r="C494" s="2711"/>
      <c r="H494" s="2711"/>
      <c r="Q494" s="2717"/>
      <c r="R494" s="2717"/>
      <c r="S494" s="2719"/>
      <c r="T494" s="2717"/>
      <c r="U494" s="2717"/>
      <c r="V494" s="2717"/>
    </row>
    <row r="495" spans="2:22" s="2721" customFormat="1" ht="14.1" customHeight="1" x14ac:dyDescent="0.2">
      <c r="B495" s="2711"/>
      <c r="C495" s="2524"/>
      <c r="D495" s="3427" t="s">
        <v>280</v>
      </c>
      <c r="E495" s="3428"/>
      <c r="F495" s="2722"/>
      <c r="G495" s="3433" t="s">
        <v>281</v>
      </c>
      <c r="H495" s="3433" t="s">
        <v>282</v>
      </c>
      <c r="I495" s="2524" t="s">
        <v>283</v>
      </c>
      <c r="J495" s="2524" t="s">
        <v>284</v>
      </c>
      <c r="K495" s="2524" t="s">
        <v>340</v>
      </c>
      <c r="L495" s="2524" t="s">
        <v>2008</v>
      </c>
      <c r="M495" s="2524" t="s">
        <v>2009</v>
      </c>
      <c r="N495" s="2524" t="s">
        <v>284</v>
      </c>
      <c r="Q495" s="2717"/>
      <c r="R495" s="2717"/>
      <c r="S495" s="2719"/>
      <c r="T495" s="2717"/>
      <c r="U495" s="2717"/>
      <c r="V495" s="2717"/>
    </row>
    <row r="496" spans="2:22" s="2721" customFormat="1" ht="14.1" customHeight="1" x14ac:dyDescent="0.2">
      <c r="B496" s="2711"/>
      <c r="C496" s="2528" t="s">
        <v>669</v>
      </c>
      <c r="D496" s="3429"/>
      <c r="E496" s="3430"/>
      <c r="F496" s="2723"/>
      <c r="G496" s="3434"/>
      <c r="H496" s="3434"/>
      <c r="I496" s="2528" t="s">
        <v>285</v>
      </c>
      <c r="J496" s="2528" t="s">
        <v>286</v>
      </c>
      <c r="K496" s="2528" t="s">
        <v>286</v>
      </c>
      <c r="L496" s="2528" t="s">
        <v>2011</v>
      </c>
      <c r="M496" s="2528"/>
      <c r="N496" s="2528" t="s">
        <v>2013</v>
      </c>
      <c r="Q496" s="2717"/>
      <c r="R496" s="2717"/>
      <c r="S496" s="2719"/>
      <c r="T496" s="2717"/>
      <c r="U496" s="2717"/>
      <c r="V496" s="2717"/>
    </row>
    <row r="497" spans="2:22" s="2721" customFormat="1" ht="14.1" customHeight="1" x14ac:dyDescent="0.2">
      <c r="B497" s="2711"/>
      <c r="C497" s="2537"/>
      <c r="D497" s="3431"/>
      <c r="E497" s="3432"/>
      <c r="F497" s="2724"/>
      <c r="G497" s="3435"/>
      <c r="H497" s="3435"/>
      <c r="I497" s="2537" t="s">
        <v>286</v>
      </c>
      <c r="J497" s="2536"/>
      <c r="K497" s="2536"/>
      <c r="L497" s="2536"/>
      <c r="M497" s="2536"/>
      <c r="N497" s="2537" t="s">
        <v>286</v>
      </c>
      <c r="Q497" s="2717"/>
      <c r="R497" s="2717"/>
      <c r="S497" s="2719"/>
      <c r="T497" s="2717"/>
      <c r="U497" s="2717"/>
      <c r="V497" s="2717"/>
    </row>
    <row r="498" spans="2:22" s="2721" customFormat="1" ht="14.1" customHeight="1" x14ac:dyDescent="0.2">
      <c r="B498" s="2711"/>
      <c r="C498" s="2524" t="s">
        <v>607</v>
      </c>
      <c r="D498" s="2895" t="s">
        <v>287</v>
      </c>
      <c r="E498" s="2871" t="s">
        <v>314</v>
      </c>
      <c r="F498" s="2881"/>
      <c r="G498" s="2537" t="s">
        <v>293</v>
      </c>
      <c r="H498" s="2873">
        <f>0.04/2</f>
        <v>0.02</v>
      </c>
      <c r="I498" s="2874">
        <f>'Upah &amp; Bahan'!$I$94</f>
        <v>1100000</v>
      </c>
      <c r="J498" s="2729">
        <f t="shared" ref="J498:J503" si="33">ROUND(H498*I498,2)</f>
        <v>22000</v>
      </c>
      <c r="K498" s="2730"/>
      <c r="L498" s="3177">
        <v>1</v>
      </c>
      <c r="M498" s="2732"/>
      <c r="N498" s="2729">
        <f t="shared" ref="N498:N512" si="34">L498*J498</f>
        <v>22000</v>
      </c>
      <c r="Q498" s="2717"/>
      <c r="R498" s="2717"/>
      <c r="S498" s="2719"/>
      <c r="T498" s="2717"/>
      <c r="U498" s="2717"/>
      <c r="V498" s="2717"/>
    </row>
    <row r="499" spans="2:22" s="2721" customFormat="1" ht="14.1" customHeight="1" x14ac:dyDescent="0.2">
      <c r="B499" s="2711"/>
      <c r="C499" s="2733"/>
      <c r="D499" s="2895"/>
      <c r="E499" s="2871" t="s">
        <v>322</v>
      </c>
      <c r="F499" s="2881"/>
      <c r="G499" s="2537" t="s">
        <v>298</v>
      </c>
      <c r="H499" s="2873">
        <v>0.4</v>
      </c>
      <c r="I499" s="2874">
        <f>'Upah &amp; Bahan'!$I$117</f>
        <v>17000</v>
      </c>
      <c r="J499" s="2729">
        <f t="shared" si="33"/>
        <v>6800</v>
      </c>
      <c r="K499" s="2734"/>
      <c r="L499" s="3177">
        <f>$L$350</f>
        <v>0</v>
      </c>
      <c r="M499" s="2732"/>
      <c r="N499" s="2729">
        <f t="shared" si="34"/>
        <v>0</v>
      </c>
      <c r="Q499" s="2717"/>
      <c r="R499" s="2717"/>
      <c r="S499" s="2719"/>
      <c r="T499" s="2717"/>
      <c r="U499" s="2717"/>
      <c r="V499" s="2717"/>
    </row>
    <row r="500" spans="2:22" s="2721" customFormat="1" ht="14.1" customHeight="1" x14ac:dyDescent="0.2">
      <c r="B500" s="2711"/>
      <c r="C500" s="2733"/>
      <c r="D500" s="2733"/>
      <c r="E500" s="2739" t="s">
        <v>316</v>
      </c>
      <c r="F500" s="2739"/>
      <c r="G500" s="2727" t="s">
        <v>392</v>
      </c>
      <c r="H500" s="2740">
        <v>0.2</v>
      </c>
      <c r="I500" s="2814">
        <f>'Upah &amp; Bahan'!$I$110</f>
        <v>6900</v>
      </c>
      <c r="J500" s="2729">
        <f t="shared" si="33"/>
        <v>1380</v>
      </c>
      <c r="K500" s="2734"/>
      <c r="L500" s="3177">
        <f>$L$433</f>
        <v>0</v>
      </c>
      <c r="M500" s="2732"/>
      <c r="N500" s="2729">
        <f t="shared" si="34"/>
        <v>0</v>
      </c>
      <c r="Q500" s="2717"/>
      <c r="R500" s="2717"/>
      <c r="S500" s="2719"/>
      <c r="T500" s="2717"/>
      <c r="U500" s="2717"/>
      <c r="V500" s="2717"/>
    </row>
    <row r="501" spans="2:22" s="2721" customFormat="1" ht="14.1" customHeight="1" x14ac:dyDescent="0.2">
      <c r="B501" s="2711"/>
      <c r="C501" s="2733"/>
      <c r="D501" s="2733"/>
      <c r="E501" s="2739" t="s">
        <v>317</v>
      </c>
      <c r="F501" s="2739"/>
      <c r="G501" s="2727" t="s">
        <v>293</v>
      </c>
      <c r="H501" s="2740">
        <f>0.018/2</f>
        <v>8.9999999999999993E-3</v>
      </c>
      <c r="I501" s="2814">
        <f>'Upah &amp; Bahan'!$I$95</f>
        <v>1600000</v>
      </c>
      <c r="J501" s="2729">
        <f t="shared" si="33"/>
        <v>14400</v>
      </c>
      <c r="K501" s="2733"/>
      <c r="L501" s="3177">
        <v>1</v>
      </c>
      <c r="M501" s="2732"/>
      <c r="N501" s="2729">
        <f t="shared" si="34"/>
        <v>14400</v>
      </c>
      <c r="Q501" s="2717"/>
      <c r="R501" s="2717"/>
      <c r="S501" s="2719"/>
      <c r="T501" s="2717"/>
      <c r="U501" s="2717"/>
      <c r="V501" s="2717"/>
    </row>
    <row r="502" spans="2:22" s="2721" customFormat="1" ht="14.1" customHeight="1" x14ac:dyDescent="0.2">
      <c r="B502" s="2711"/>
      <c r="C502" s="2733"/>
      <c r="D502" s="2733"/>
      <c r="E502" s="2739" t="s">
        <v>318</v>
      </c>
      <c r="F502" s="2739"/>
      <c r="G502" s="2727" t="s">
        <v>277</v>
      </c>
      <c r="H502" s="2740">
        <f>0.35/2</f>
        <v>0.17499999999999999</v>
      </c>
      <c r="I502" s="2814">
        <f>'Upah &amp; Bahan'!$I$111</f>
        <v>120000</v>
      </c>
      <c r="J502" s="2729">
        <f t="shared" si="33"/>
        <v>21000</v>
      </c>
      <c r="K502" s="2733"/>
      <c r="L502" s="3177">
        <v>0</v>
      </c>
      <c r="M502" s="2732"/>
      <c r="N502" s="2729">
        <f t="shared" si="34"/>
        <v>0</v>
      </c>
      <c r="Q502" s="2717"/>
      <c r="R502" s="2717"/>
      <c r="S502" s="2719"/>
      <c r="T502" s="2717"/>
      <c r="U502" s="2717"/>
      <c r="V502" s="2717"/>
    </row>
    <row r="503" spans="2:22" s="2721" customFormat="1" ht="14.1" customHeight="1" x14ac:dyDescent="0.2">
      <c r="B503" s="2711"/>
      <c r="C503" s="2528"/>
      <c r="D503" s="2733"/>
      <c r="E503" s="2739" t="s">
        <v>319</v>
      </c>
      <c r="F503" s="2739"/>
      <c r="G503" s="2727" t="s">
        <v>274</v>
      </c>
      <c r="H503" s="2740">
        <f>2/2</f>
        <v>1</v>
      </c>
      <c r="I503" s="2814">
        <f>'Upah &amp; Bahan'!$I$54</f>
        <v>12000</v>
      </c>
      <c r="J503" s="2729">
        <f t="shared" si="33"/>
        <v>12000</v>
      </c>
      <c r="K503" s="2733"/>
      <c r="L503" s="3177">
        <v>1</v>
      </c>
      <c r="M503" s="2732"/>
      <c r="N503" s="2729">
        <f t="shared" si="34"/>
        <v>12000</v>
      </c>
      <c r="Q503" s="2717"/>
      <c r="R503" s="2717"/>
      <c r="S503" s="2719"/>
      <c r="T503" s="2717"/>
      <c r="U503" s="2717"/>
      <c r="V503" s="2717"/>
    </row>
    <row r="504" spans="2:22" s="2721" customFormat="1" ht="14.1" customHeight="1" x14ac:dyDescent="0.2">
      <c r="B504" s="2711"/>
      <c r="C504" s="2733"/>
      <c r="D504" s="2733"/>
      <c r="E504" s="2739" t="s">
        <v>419</v>
      </c>
      <c r="F504" s="2739"/>
      <c r="G504" s="2727"/>
      <c r="H504" s="2740"/>
      <c r="I504" s="2902"/>
      <c r="J504" s="2729"/>
      <c r="K504" s="2536"/>
      <c r="L504" s="3177"/>
      <c r="M504" s="2732"/>
      <c r="N504" s="2729">
        <f t="shared" si="34"/>
        <v>0</v>
      </c>
      <c r="Q504" s="2717"/>
      <c r="R504" s="2717"/>
      <c r="S504" s="2719"/>
      <c r="T504" s="2717"/>
      <c r="U504" s="2717"/>
      <c r="V504" s="2717"/>
    </row>
    <row r="505" spans="2:22" s="2721" customFormat="1" ht="14.1" customHeight="1" x14ac:dyDescent="0.2">
      <c r="B505" s="2711"/>
      <c r="C505" s="2537"/>
      <c r="D505" s="2733"/>
      <c r="E505" s="2736"/>
      <c r="F505" s="2741"/>
      <c r="G505" s="2742"/>
      <c r="H505" s="2743"/>
      <c r="I505" s="2903"/>
      <c r="J505" s="2813"/>
      <c r="K505" s="2729">
        <f>SUM(J498:J504)</f>
        <v>77580</v>
      </c>
      <c r="L505" s="3177"/>
      <c r="M505" s="2732"/>
      <c r="N505" s="2729">
        <f t="shared" si="34"/>
        <v>0</v>
      </c>
      <c r="Q505" s="2717"/>
      <c r="R505" s="2717"/>
      <c r="S505" s="2719"/>
      <c r="T505" s="2717"/>
      <c r="U505" s="2717"/>
      <c r="V505" s="2717"/>
    </row>
    <row r="506" spans="2:22" s="2721" customFormat="1" ht="14.1" customHeight="1" x14ac:dyDescent="0.2">
      <c r="B506" s="2711"/>
      <c r="C506" s="2524" t="s">
        <v>608</v>
      </c>
      <c r="D506" s="2725" t="s">
        <v>288</v>
      </c>
      <c r="E506" s="2739" t="s">
        <v>294</v>
      </c>
      <c r="F506" s="2739"/>
      <c r="G506" s="2727" t="s">
        <v>291</v>
      </c>
      <c r="H506" s="2740">
        <v>0.66</v>
      </c>
      <c r="I506" s="2814">
        <f>'Upah &amp; Bahan'!$I$24</f>
        <v>88300</v>
      </c>
      <c r="J506" s="2729">
        <f>ROUND(H506*I506,2)</f>
        <v>58278</v>
      </c>
      <c r="K506" s="2730"/>
      <c r="L506" s="3177">
        <f>VLOOKUP($E506,$D$1744:$G$1761,2,0)</f>
        <v>1</v>
      </c>
      <c r="M506" s="2731" t="str">
        <f>VLOOKUP($E506,$D$1744:$G$1761,3,0)</f>
        <v>WNI</v>
      </c>
      <c r="N506" s="2729">
        <f t="shared" si="34"/>
        <v>58278</v>
      </c>
      <c r="Q506" s="2717"/>
      <c r="R506" s="2717"/>
      <c r="S506" s="2719"/>
      <c r="T506" s="2717"/>
      <c r="U506" s="2717"/>
      <c r="V506" s="2717"/>
    </row>
    <row r="507" spans="2:22" s="2721" customFormat="1" ht="14.1" customHeight="1" x14ac:dyDescent="0.2">
      <c r="B507" s="2711"/>
      <c r="C507" s="2733"/>
      <c r="D507" s="2733"/>
      <c r="E507" s="2739" t="s">
        <v>327</v>
      </c>
      <c r="F507" s="2739"/>
      <c r="G507" s="2727" t="s">
        <v>291</v>
      </c>
      <c r="H507" s="2740">
        <v>0.33</v>
      </c>
      <c r="I507" s="2814">
        <f>'Upah &amp; Bahan'!$I$36</f>
        <v>92000</v>
      </c>
      <c r="J507" s="2729">
        <f>ROUND(H507*I507,2)</f>
        <v>30360</v>
      </c>
      <c r="K507" s="2734"/>
      <c r="L507" s="3177">
        <f>VLOOKUP($E507,$D$1744:$G$1761,2,0)</f>
        <v>1</v>
      </c>
      <c r="M507" s="2731" t="str">
        <f>VLOOKUP($E507,$D$1744:$G$1761,3,0)</f>
        <v>WNI</v>
      </c>
      <c r="N507" s="2729">
        <f t="shared" si="34"/>
        <v>30360</v>
      </c>
      <c r="Q507" s="2717"/>
      <c r="R507" s="2717"/>
      <c r="S507" s="2719"/>
      <c r="T507" s="2717"/>
      <c r="U507" s="2717"/>
      <c r="V507" s="2717"/>
    </row>
    <row r="508" spans="2:22" s="2721" customFormat="1" ht="14.1" customHeight="1" x14ac:dyDescent="0.2">
      <c r="B508" s="2711"/>
      <c r="C508" s="2528"/>
      <c r="D508" s="2733"/>
      <c r="E508" s="2739" t="s">
        <v>296</v>
      </c>
      <c r="F508" s="2739"/>
      <c r="G508" s="2727" t="s">
        <v>291</v>
      </c>
      <c r="H508" s="2740">
        <v>3.3000000000000002E-2</v>
      </c>
      <c r="I508" s="2814">
        <f>'Upah &amp; Bahan'!$I$30</f>
        <v>96000</v>
      </c>
      <c r="J508" s="2729">
        <f>ROUND(H508*I508,2)</f>
        <v>3168</v>
      </c>
      <c r="K508" s="2734"/>
      <c r="L508" s="3177">
        <f>VLOOKUP($E508,$D$1744:$G$1761,2,0)</f>
        <v>1</v>
      </c>
      <c r="M508" s="2731" t="str">
        <f>VLOOKUP($E508,$D$1744:$G$1761,3,0)</f>
        <v>WNI</v>
      </c>
      <c r="N508" s="2729">
        <f t="shared" si="34"/>
        <v>3168</v>
      </c>
      <c r="Q508" s="2717"/>
      <c r="R508" s="2717"/>
      <c r="S508" s="2719"/>
      <c r="T508" s="2717"/>
      <c r="U508" s="2717"/>
      <c r="V508" s="2717"/>
    </row>
    <row r="509" spans="2:22" s="2721" customFormat="1" ht="14.1" customHeight="1" x14ac:dyDescent="0.2">
      <c r="B509" s="2711"/>
      <c r="C509" s="2528"/>
      <c r="D509" s="2733"/>
      <c r="E509" s="2739" t="s">
        <v>290</v>
      </c>
      <c r="F509" s="2739"/>
      <c r="G509" s="2727" t="s">
        <v>291</v>
      </c>
      <c r="H509" s="2740">
        <v>3.3000000000000002E-2</v>
      </c>
      <c r="I509" s="2814">
        <f>'Upah &amp; Bahan'!$I$31</f>
        <v>90000</v>
      </c>
      <c r="J509" s="2729">
        <f>ROUND(H509*I509,2)</f>
        <v>2970</v>
      </c>
      <c r="K509" s="2733"/>
      <c r="L509" s="3177">
        <f>VLOOKUP($E509,$D$1744:$G$1761,2,0)</f>
        <v>1</v>
      </c>
      <c r="M509" s="2731" t="str">
        <f>VLOOKUP($E509,$D$1744:$G$1761,3,0)</f>
        <v>WNI</v>
      </c>
      <c r="N509" s="2729">
        <f t="shared" si="34"/>
        <v>2970</v>
      </c>
      <c r="Q509" s="2717"/>
      <c r="R509" s="2717"/>
      <c r="S509" s="2719"/>
      <c r="T509" s="2717"/>
      <c r="U509" s="2717"/>
      <c r="V509" s="2717"/>
    </row>
    <row r="510" spans="2:22" s="2721" customFormat="1" ht="14.1" customHeight="1" x14ac:dyDescent="0.2">
      <c r="B510" s="2711"/>
      <c r="C510" s="2536"/>
      <c r="D510" s="2536"/>
      <c r="E510" s="2736"/>
      <c r="F510" s="2741"/>
      <c r="G510" s="2742"/>
      <c r="H510" s="2743"/>
      <c r="I510" s="2744"/>
      <c r="J510" s="2813"/>
      <c r="K510" s="2732">
        <f>SUM(J506:J509)</f>
        <v>94776</v>
      </c>
      <c r="L510" s="3177"/>
      <c r="M510" s="2732"/>
      <c r="N510" s="2729">
        <f t="shared" si="34"/>
        <v>0</v>
      </c>
      <c r="Q510" s="2717"/>
      <c r="R510" s="2717"/>
      <c r="S510" s="2719"/>
      <c r="T510" s="2717"/>
      <c r="U510" s="2717"/>
      <c r="V510" s="2717"/>
    </row>
    <row r="511" spans="2:22" s="2721" customFormat="1" ht="14.1" customHeight="1" x14ac:dyDescent="0.2">
      <c r="B511" s="2711"/>
      <c r="C511" s="2528" t="s">
        <v>609</v>
      </c>
      <c r="D511" s="2725" t="s">
        <v>606</v>
      </c>
      <c r="E511" s="2739"/>
      <c r="F511" s="2739"/>
      <c r="G511" s="2727"/>
      <c r="H511" s="2740"/>
      <c r="I511" s="2814"/>
      <c r="J511" s="2729"/>
      <c r="K511" s="2730"/>
      <c r="L511" s="3177"/>
      <c r="M511" s="2732"/>
      <c r="N511" s="2729">
        <f t="shared" si="34"/>
        <v>0</v>
      </c>
      <c r="Q511" s="2717"/>
      <c r="R511" s="2717"/>
      <c r="S511" s="2719"/>
      <c r="T511" s="2717"/>
      <c r="U511" s="2717"/>
      <c r="V511" s="2717"/>
    </row>
    <row r="512" spans="2:22" s="2721" customFormat="1" ht="14.1" customHeight="1" x14ac:dyDescent="0.2">
      <c r="B512" s="2711"/>
      <c r="C512" s="2537"/>
      <c r="D512" s="2536"/>
      <c r="E512" s="2736"/>
      <c r="F512" s="2741"/>
      <c r="G512" s="2742"/>
      <c r="H512" s="2743"/>
      <c r="I512" s="2744"/>
      <c r="J512" s="2813"/>
      <c r="K512" s="2732">
        <f>SUM(J511:J511)</f>
        <v>0</v>
      </c>
      <c r="L512" s="3177"/>
      <c r="M512" s="2732"/>
      <c r="N512" s="2729">
        <f t="shared" si="34"/>
        <v>0</v>
      </c>
      <c r="Q512" s="2717"/>
      <c r="R512" s="2717"/>
      <c r="S512" s="2719"/>
      <c r="T512" s="2717"/>
      <c r="U512" s="2717"/>
      <c r="V512" s="2717"/>
    </row>
    <row r="513" spans="2:22" s="2721" customFormat="1" ht="14.1" customHeight="1" x14ac:dyDescent="0.2">
      <c r="B513" s="2711"/>
      <c r="C513" s="2727" t="s">
        <v>610</v>
      </c>
      <c r="D513" s="2738" t="s">
        <v>651</v>
      </c>
      <c r="E513" s="2741"/>
      <c r="F513" s="2741"/>
      <c r="G513" s="2742"/>
      <c r="H513" s="2743"/>
      <c r="I513" s="2744"/>
      <c r="J513" s="2745" t="s">
        <v>652</v>
      </c>
      <c r="K513" s="2732">
        <f>K505+K510+K512</f>
        <v>172356</v>
      </c>
      <c r="L513" s="3179">
        <f>N513/K513</f>
        <v>0.83069925038873027</v>
      </c>
      <c r="M513" s="2745"/>
      <c r="N513" s="2747">
        <f>SUM(N497:N512)</f>
        <v>143176</v>
      </c>
      <c r="Q513" s="2717"/>
      <c r="R513" s="2717"/>
      <c r="S513" s="2719"/>
      <c r="T513" s="2717"/>
      <c r="U513" s="2717"/>
      <c r="V513" s="2717"/>
    </row>
    <row r="514" spans="2:22" s="2721" customFormat="1" ht="14.1" customHeight="1" x14ac:dyDescent="0.2">
      <c r="B514" s="2711"/>
      <c r="C514" s="2537" t="s">
        <v>611</v>
      </c>
      <c r="D514" s="2738" t="s">
        <v>653</v>
      </c>
      <c r="E514" s="2741"/>
      <c r="F514" s="2748">
        <f>$F$42</f>
        <v>0.1</v>
      </c>
      <c r="G514" s="2727" t="s">
        <v>425</v>
      </c>
      <c r="H514" s="2748">
        <f>$H$42</f>
        <v>0.03</v>
      </c>
      <c r="I514" s="2749" t="s">
        <v>424</v>
      </c>
      <c r="J514" s="2732" t="s">
        <v>610</v>
      </c>
      <c r="K514" s="2750">
        <f>ROUND((K513*(F514+H514)),2)</f>
        <v>22406.28</v>
      </c>
      <c r="L514" s="3177"/>
      <c r="M514" s="2732"/>
      <c r="N514" s="2732"/>
      <c r="Q514" s="2717"/>
      <c r="R514" s="2717"/>
      <c r="S514" s="2719"/>
      <c r="T514" s="2717"/>
      <c r="U514" s="2717"/>
      <c r="V514" s="2717"/>
    </row>
    <row r="515" spans="2:22" s="2721" customFormat="1" ht="14.1" customHeight="1" x14ac:dyDescent="0.2">
      <c r="B515" s="2711"/>
      <c r="C515" s="2880" t="s">
        <v>654</v>
      </c>
      <c r="D515" s="2752" t="s">
        <v>301</v>
      </c>
      <c r="E515" s="2815"/>
      <c r="F515" s="2815"/>
      <c r="G515" s="2815"/>
      <c r="H515" s="2816"/>
      <c r="I515" s="2815"/>
      <c r="J515" s="2755" t="s">
        <v>668</v>
      </c>
      <c r="K515" s="2756">
        <f>SUM(K513:K514)</f>
        <v>194762.28</v>
      </c>
      <c r="L515" s="2746"/>
      <c r="M515" s="2755"/>
      <c r="N515" s="2757"/>
      <c r="Q515" s="2717"/>
      <c r="R515" s="2717"/>
      <c r="S515" s="2719"/>
      <c r="T515" s="2717"/>
      <c r="U515" s="2717"/>
      <c r="V515" s="2717"/>
    </row>
    <row r="516" spans="2:22" x14ac:dyDescent="0.25">
      <c r="Q516" s="2717"/>
      <c r="R516" s="2717"/>
      <c r="S516" s="2719"/>
      <c r="T516" s="2717"/>
      <c r="U516" s="2717"/>
      <c r="V516" s="2717"/>
    </row>
    <row r="517" spans="2:22" s="2721" customFormat="1" ht="14.1" customHeight="1" x14ac:dyDescent="0.2">
      <c r="B517" s="2711">
        <f>B492+1</f>
        <v>27</v>
      </c>
      <c r="C517" s="2711"/>
      <c r="D517" s="2713" t="s">
        <v>1954</v>
      </c>
      <c r="E517" s="2713"/>
      <c r="F517" s="2713"/>
      <c r="G517" s="2713"/>
      <c r="H517" s="2714"/>
      <c r="I517" s="2713"/>
      <c r="J517" s="2713"/>
      <c r="K517" s="2715" t="s">
        <v>827</v>
      </c>
      <c r="L517" s="2715"/>
      <c r="M517" s="2715"/>
      <c r="N517" s="2715"/>
      <c r="O517" s="2721" t="str">
        <f>D518</f>
        <v>m2</v>
      </c>
      <c r="P517" s="2810">
        <f>K539</f>
        <v>242900.28</v>
      </c>
      <c r="Q517" s="2718">
        <f>L537</f>
        <v>0.76655687675617334</v>
      </c>
      <c r="R517" s="2717"/>
      <c r="S517" s="2719">
        <f>N537</f>
        <v>164776</v>
      </c>
      <c r="T517" s="2515">
        <f>U517+S517</f>
        <v>186196.88</v>
      </c>
      <c r="U517" s="2719">
        <f>S517*V517</f>
        <v>21420.880000000001</v>
      </c>
      <c r="V517" s="2718">
        <f>$F$42+$H$42</f>
        <v>0.13</v>
      </c>
    </row>
    <row r="518" spans="2:22" s="2721" customFormat="1" ht="14.1" customHeight="1" x14ac:dyDescent="0.2">
      <c r="B518" s="2711"/>
      <c r="C518" s="2711"/>
      <c r="D518" s="2721" t="s">
        <v>338</v>
      </c>
      <c r="H518" s="2711"/>
      <c r="Q518" s="2717"/>
      <c r="R518" s="2717"/>
      <c r="S518" s="2719"/>
      <c r="T518" s="2717"/>
      <c r="U518" s="2717"/>
      <c r="V518" s="2717"/>
    </row>
    <row r="519" spans="2:22" s="2721" customFormat="1" ht="14.1" customHeight="1" x14ac:dyDescent="0.2">
      <c r="B519" s="2711"/>
      <c r="C519" s="2524"/>
      <c r="D519" s="3427" t="s">
        <v>280</v>
      </c>
      <c r="E519" s="3428"/>
      <c r="F519" s="2722"/>
      <c r="G519" s="3433" t="s">
        <v>281</v>
      </c>
      <c r="H519" s="3433" t="s">
        <v>282</v>
      </c>
      <c r="I519" s="2524" t="s">
        <v>283</v>
      </c>
      <c r="J519" s="2524" t="s">
        <v>284</v>
      </c>
      <c r="K519" s="2524" t="s">
        <v>340</v>
      </c>
      <c r="L519" s="2524" t="s">
        <v>2008</v>
      </c>
      <c r="M519" s="2524" t="s">
        <v>2009</v>
      </c>
      <c r="N519" s="2524" t="s">
        <v>284</v>
      </c>
      <c r="Q519" s="2717"/>
      <c r="R519" s="2717"/>
      <c r="S519" s="2719"/>
      <c r="T519" s="2717"/>
      <c r="U519" s="2717"/>
      <c r="V519" s="2717"/>
    </row>
    <row r="520" spans="2:22" s="2721" customFormat="1" ht="14.1" customHeight="1" x14ac:dyDescent="0.2">
      <c r="B520" s="2711"/>
      <c r="C520" s="2528" t="s">
        <v>669</v>
      </c>
      <c r="D520" s="3429"/>
      <c r="E520" s="3430"/>
      <c r="F520" s="2723"/>
      <c r="G520" s="3434"/>
      <c r="H520" s="3434"/>
      <c r="I520" s="2528" t="s">
        <v>285</v>
      </c>
      <c r="J520" s="2528" t="s">
        <v>286</v>
      </c>
      <c r="K520" s="2528" t="s">
        <v>286</v>
      </c>
      <c r="L520" s="2528" t="s">
        <v>2011</v>
      </c>
      <c r="M520" s="2528"/>
      <c r="N520" s="2528" t="s">
        <v>2013</v>
      </c>
      <c r="Q520" s="2717"/>
      <c r="R520" s="2717"/>
      <c r="S520" s="2719"/>
      <c r="T520" s="2717"/>
      <c r="U520" s="2717"/>
      <c r="V520" s="2717"/>
    </row>
    <row r="521" spans="2:22" s="2721" customFormat="1" ht="14.1" customHeight="1" x14ac:dyDescent="0.2">
      <c r="B521" s="2711"/>
      <c r="C521" s="2537"/>
      <c r="D521" s="3431"/>
      <c r="E521" s="3432"/>
      <c r="F521" s="2724"/>
      <c r="G521" s="3435"/>
      <c r="H521" s="3435"/>
      <c r="I521" s="2537" t="s">
        <v>286</v>
      </c>
      <c r="J521" s="2536"/>
      <c r="K521" s="2536"/>
      <c r="L521" s="2536"/>
      <c r="M521" s="2536"/>
      <c r="N521" s="2537" t="s">
        <v>286</v>
      </c>
      <c r="Q521" s="2717"/>
      <c r="R521" s="2717"/>
      <c r="S521" s="2719"/>
      <c r="T521" s="2717"/>
      <c r="U521" s="2717"/>
      <c r="V521" s="2717"/>
    </row>
    <row r="522" spans="2:22" s="2721" customFormat="1" ht="14.1" customHeight="1" x14ac:dyDescent="0.2">
      <c r="B522" s="2711"/>
      <c r="C522" s="2524" t="s">
        <v>607</v>
      </c>
      <c r="D522" s="2895" t="s">
        <v>287</v>
      </c>
      <c r="E522" s="2871" t="s">
        <v>314</v>
      </c>
      <c r="F522" s="2881"/>
      <c r="G522" s="2537" t="s">
        <v>293</v>
      </c>
      <c r="H522" s="2873">
        <f>0.04/2</f>
        <v>0.02</v>
      </c>
      <c r="I522" s="2874">
        <f>'Upah &amp; Bahan'!$I$94</f>
        <v>1100000</v>
      </c>
      <c r="J522" s="2729">
        <f t="shared" ref="J522:J527" si="35">ROUND(H522*I522,2)</f>
        <v>22000</v>
      </c>
      <c r="K522" s="2730"/>
      <c r="L522" s="3177">
        <v>1</v>
      </c>
      <c r="M522" s="2732"/>
      <c r="N522" s="2729">
        <f t="shared" ref="N522:N536" si="36">L522*J522</f>
        <v>22000</v>
      </c>
      <c r="Q522" s="2717"/>
      <c r="R522" s="2717"/>
      <c r="S522" s="2719"/>
      <c r="T522" s="2717"/>
      <c r="U522" s="2717"/>
      <c r="V522" s="2717"/>
    </row>
    <row r="523" spans="2:22" s="2721" customFormat="1" ht="14.1" customHeight="1" x14ac:dyDescent="0.2">
      <c r="B523" s="2711"/>
      <c r="C523" s="2733"/>
      <c r="D523" s="2895"/>
      <c r="E523" s="2871" t="s">
        <v>322</v>
      </c>
      <c r="F523" s="2881"/>
      <c r="G523" s="2537" t="s">
        <v>298</v>
      </c>
      <c r="H523" s="2873">
        <v>0.4</v>
      </c>
      <c r="I523" s="2874">
        <f>'Upah &amp; Bahan'!$I$117</f>
        <v>17000</v>
      </c>
      <c r="J523" s="2729">
        <f t="shared" si="35"/>
        <v>6800</v>
      </c>
      <c r="K523" s="2734"/>
      <c r="L523" s="3177">
        <f>$L$350</f>
        <v>0</v>
      </c>
      <c r="M523" s="2732"/>
      <c r="N523" s="2729">
        <f t="shared" si="36"/>
        <v>0</v>
      </c>
      <c r="Q523" s="2717"/>
      <c r="R523" s="2717"/>
      <c r="S523" s="2719"/>
      <c r="T523" s="2717"/>
      <c r="U523" s="2717"/>
      <c r="V523" s="2717"/>
    </row>
    <row r="524" spans="2:22" s="2721" customFormat="1" ht="14.1" customHeight="1" x14ac:dyDescent="0.2">
      <c r="B524" s="2711"/>
      <c r="C524" s="2733"/>
      <c r="D524" s="2733"/>
      <c r="E524" s="2739" t="s">
        <v>316</v>
      </c>
      <c r="F524" s="2739"/>
      <c r="G524" s="2727" t="s">
        <v>392</v>
      </c>
      <c r="H524" s="2740">
        <v>0.2</v>
      </c>
      <c r="I524" s="2814">
        <f>'Upah &amp; Bahan'!$I$110</f>
        <v>6900</v>
      </c>
      <c r="J524" s="2729">
        <f t="shared" si="35"/>
        <v>1380</v>
      </c>
      <c r="K524" s="2734"/>
      <c r="L524" s="3177">
        <f>$L$433</f>
        <v>0</v>
      </c>
      <c r="M524" s="2732"/>
      <c r="N524" s="2729">
        <f t="shared" si="36"/>
        <v>0</v>
      </c>
      <c r="Q524" s="2717"/>
      <c r="R524" s="2717"/>
      <c r="S524" s="2719"/>
      <c r="T524" s="2717"/>
      <c r="U524" s="2717"/>
      <c r="V524" s="2717"/>
    </row>
    <row r="525" spans="2:22" s="2721" customFormat="1" ht="14.1" customHeight="1" x14ac:dyDescent="0.2">
      <c r="B525" s="2711"/>
      <c r="C525" s="2733"/>
      <c r="D525" s="2733"/>
      <c r="E525" s="2739" t="s">
        <v>317</v>
      </c>
      <c r="F525" s="2739"/>
      <c r="G525" s="2727" t="s">
        <v>293</v>
      </c>
      <c r="H525" s="2740">
        <f>0.015/2</f>
        <v>7.4999999999999997E-3</v>
      </c>
      <c r="I525" s="2814">
        <f>'Upah &amp; Bahan'!$I$95</f>
        <v>1600000</v>
      </c>
      <c r="J525" s="2729">
        <f t="shared" si="35"/>
        <v>12000</v>
      </c>
      <c r="K525" s="2733"/>
      <c r="L525" s="3177">
        <v>1</v>
      </c>
      <c r="M525" s="2732"/>
      <c r="N525" s="2729">
        <f t="shared" si="36"/>
        <v>12000</v>
      </c>
      <c r="Q525" s="2717"/>
      <c r="R525" s="2717"/>
      <c r="S525" s="2719"/>
      <c r="T525" s="2717"/>
      <c r="U525" s="2717"/>
      <c r="V525" s="2717"/>
    </row>
    <row r="526" spans="2:22" s="2721" customFormat="1" ht="14.1" customHeight="1" x14ac:dyDescent="0.2">
      <c r="B526" s="2711"/>
      <c r="C526" s="2733"/>
      <c r="D526" s="2733"/>
      <c r="E526" s="2739" t="s">
        <v>318</v>
      </c>
      <c r="F526" s="2739"/>
      <c r="G526" s="2727" t="s">
        <v>277</v>
      </c>
      <c r="H526" s="2740">
        <f>0.35</f>
        <v>0.35</v>
      </c>
      <c r="I526" s="2814">
        <f>'Upah &amp; Bahan'!$I$111</f>
        <v>120000</v>
      </c>
      <c r="J526" s="2729">
        <f t="shared" si="35"/>
        <v>42000</v>
      </c>
      <c r="K526" s="2733"/>
      <c r="L526" s="3177">
        <v>0</v>
      </c>
      <c r="M526" s="2732"/>
      <c r="N526" s="2729">
        <f t="shared" si="36"/>
        <v>0</v>
      </c>
      <c r="Q526" s="2717"/>
      <c r="R526" s="2717"/>
      <c r="S526" s="2719"/>
      <c r="T526" s="2717"/>
      <c r="U526" s="2717"/>
      <c r="V526" s="2717"/>
    </row>
    <row r="527" spans="2:22" s="2721" customFormat="1" ht="14.1" customHeight="1" x14ac:dyDescent="0.2">
      <c r="B527" s="2711"/>
      <c r="C527" s="2528"/>
      <c r="D527" s="2733"/>
      <c r="E527" s="2739" t="s">
        <v>319</v>
      </c>
      <c r="F527" s="2739"/>
      <c r="G527" s="2727" t="s">
        <v>274</v>
      </c>
      <c r="H527" s="2740">
        <f>6/2</f>
        <v>3</v>
      </c>
      <c r="I527" s="2814">
        <f>'Upah &amp; Bahan'!$I$54</f>
        <v>12000</v>
      </c>
      <c r="J527" s="2729">
        <f t="shared" si="35"/>
        <v>36000</v>
      </c>
      <c r="K527" s="2733"/>
      <c r="L527" s="3177">
        <v>1</v>
      </c>
      <c r="M527" s="2732"/>
      <c r="N527" s="2729">
        <f t="shared" si="36"/>
        <v>36000</v>
      </c>
      <c r="Q527" s="2717"/>
      <c r="R527" s="2717"/>
      <c r="S527" s="2719"/>
      <c r="T527" s="2717"/>
      <c r="U527" s="2717"/>
      <c r="V527" s="2717"/>
    </row>
    <row r="528" spans="2:22" s="2721" customFormat="1" ht="14.1" customHeight="1" x14ac:dyDescent="0.2">
      <c r="B528" s="2711"/>
      <c r="C528" s="2733"/>
      <c r="D528" s="2733"/>
      <c r="E528" s="2739" t="s">
        <v>419</v>
      </c>
      <c r="F528" s="2739"/>
      <c r="G528" s="2727"/>
      <c r="H528" s="2740"/>
      <c r="I528" s="2739"/>
      <c r="J528" s="2729"/>
      <c r="K528" s="2536"/>
      <c r="L528" s="3177"/>
      <c r="M528" s="2732"/>
      <c r="N528" s="2729">
        <f t="shared" si="36"/>
        <v>0</v>
      </c>
      <c r="Q528" s="2717"/>
      <c r="R528" s="2717"/>
      <c r="S528" s="2719"/>
      <c r="T528" s="2717"/>
      <c r="U528" s="2717"/>
      <c r="V528" s="2717"/>
    </row>
    <row r="529" spans="2:22" s="2721" customFormat="1" ht="14.1" customHeight="1" x14ac:dyDescent="0.2">
      <c r="B529" s="2711"/>
      <c r="C529" s="2537"/>
      <c r="D529" s="2733"/>
      <c r="E529" s="2736"/>
      <c r="F529" s="2741"/>
      <c r="G529" s="2742"/>
      <c r="H529" s="2743"/>
      <c r="I529" s="2741"/>
      <c r="J529" s="2813"/>
      <c r="K529" s="2729">
        <f>SUM(J522:J528)</f>
        <v>120180</v>
      </c>
      <c r="L529" s="3177"/>
      <c r="M529" s="2732"/>
      <c r="N529" s="2729">
        <f t="shared" si="36"/>
        <v>0</v>
      </c>
      <c r="Q529" s="2717"/>
      <c r="R529" s="2717"/>
      <c r="S529" s="2719"/>
      <c r="T529" s="2717"/>
      <c r="U529" s="2717"/>
      <c r="V529" s="2717"/>
    </row>
    <row r="530" spans="2:22" s="2721" customFormat="1" ht="14.1" customHeight="1" x14ac:dyDescent="0.2">
      <c r="B530" s="2711"/>
      <c r="C530" s="2524" t="s">
        <v>608</v>
      </c>
      <c r="D530" s="2725" t="s">
        <v>288</v>
      </c>
      <c r="E530" s="2739" t="s">
        <v>294</v>
      </c>
      <c r="F530" s="2739"/>
      <c r="G530" s="2727" t="s">
        <v>291</v>
      </c>
      <c r="H530" s="2740">
        <v>0.66</v>
      </c>
      <c r="I530" s="2811">
        <f>'Upah &amp; Bahan'!$I$24</f>
        <v>88300</v>
      </c>
      <c r="J530" s="2729">
        <f>ROUND(H530*I530,2)</f>
        <v>58278</v>
      </c>
      <c r="K530" s="2730"/>
      <c r="L530" s="3177">
        <f>VLOOKUP($E530,$D$1744:$G$1761,2,0)</f>
        <v>1</v>
      </c>
      <c r="M530" s="2731" t="str">
        <f>VLOOKUP($E530,$D$1744:$G$1761,3,0)</f>
        <v>WNI</v>
      </c>
      <c r="N530" s="2729">
        <f t="shared" si="36"/>
        <v>58278</v>
      </c>
      <c r="Q530" s="2717"/>
      <c r="R530" s="2717"/>
      <c r="S530" s="2719"/>
      <c r="T530" s="2717"/>
      <c r="U530" s="2717"/>
      <c r="V530" s="2717"/>
    </row>
    <row r="531" spans="2:22" s="2721" customFormat="1" ht="14.1" customHeight="1" x14ac:dyDescent="0.2">
      <c r="B531" s="2711"/>
      <c r="C531" s="2733"/>
      <c r="D531" s="2733"/>
      <c r="E531" s="2739" t="s">
        <v>327</v>
      </c>
      <c r="F531" s="2739"/>
      <c r="G531" s="2727" t="s">
        <v>291</v>
      </c>
      <c r="H531" s="2740">
        <v>0.33</v>
      </c>
      <c r="I531" s="2811">
        <f>'Upah &amp; Bahan'!$I$36</f>
        <v>92000</v>
      </c>
      <c r="J531" s="2729">
        <f>ROUND(H531*I531,2)</f>
        <v>30360</v>
      </c>
      <c r="K531" s="2734"/>
      <c r="L531" s="3177">
        <f>VLOOKUP($E531,$D$1744:$G$1761,2,0)</f>
        <v>1</v>
      </c>
      <c r="M531" s="2731" t="str">
        <f>VLOOKUP($E531,$D$1744:$G$1761,3,0)</f>
        <v>WNI</v>
      </c>
      <c r="N531" s="2729">
        <f t="shared" si="36"/>
        <v>30360</v>
      </c>
      <c r="Q531" s="2717"/>
      <c r="R531" s="2717"/>
      <c r="S531" s="2719"/>
      <c r="T531" s="2717"/>
      <c r="U531" s="2717"/>
      <c r="V531" s="2717"/>
    </row>
    <row r="532" spans="2:22" s="2721" customFormat="1" ht="14.1" customHeight="1" x14ac:dyDescent="0.2">
      <c r="B532" s="2711"/>
      <c r="C532" s="2528"/>
      <c r="D532" s="2733"/>
      <c r="E532" s="2739" t="s">
        <v>296</v>
      </c>
      <c r="F532" s="2739"/>
      <c r="G532" s="2727" t="s">
        <v>291</v>
      </c>
      <c r="H532" s="2740">
        <v>3.3000000000000002E-2</v>
      </c>
      <c r="I532" s="2811">
        <f>'Upah &amp; Bahan'!$I$30</f>
        <v>96000</v>
      </c>
      <c r="J532" s="2729">
        <f>ROUND(H532*I532,2)</f>
        <v>3168</v>
      </c>
      <c r="K532" s="2734"/>
      <c r="L532" s="3177">
        <f>VLOOKUP($E532,$D$1744:$G$1761,2,0)</f>
        <v>1</v>
      </c>
      <c r="M532" s="2731" t="str">
        <f>VLOOKUP($E532,$D$1744:$G$1761,3,0)</f>
        <v>WNI</v>
      </c>
      <c r="N532" s="2729">
        <f t="shared" si="36"/>
        <v>3168</v>
      </c>
      <c r="Q532" s="2717"/>
      <c r="R532" s="2717"/>
      <c r="S532" s="2719"/>
      <c r="T532" s="2717"/>
      <c r="U532" s="2717"/>
      <c r="V532" s="2717"/>
    </row>
    <row r="533" spans="2:22" s="2721" customFormat="1" ht="14.1" customHeight="1" x14ac:dyDescent="0.2">
      <c r="B533" s="2711"/>
      <c r="C533" s="2528"/>
      <c r="D533" s="2733"/>
      <c r="E533" s="2739" t="s">
        <v>290</v>
      </c>
      <c r="F533" s="2739"/>
      <c r="G533" s="2727" t="s">
        <v>291</v>
      </c>
      <c r="H533" s="2740">
        <v>3.3000000000000002E-2</v>
      </c>
      <c r="I533" s="2811">
        <f>'Upah &amp; Bahan'!$I$31</f>
        <v>90000</v>
      </c>
      <c r="J533" s="2729">
        <f>ROUND(H533*I533,2)</f>
        <v>2970</v>
      </c>
      <c r="K533" s="2733"/>
      <c r="L533" s="3177">
        <f>VLOOKUP($E533,$D$1744:$G$1761,2,0)</f>
        <v>1</v>
      </c>
      <c r="M533" s="2731" t="str">
        <f>VLOOKUP($E533,$D$1744:$G$1761,3,0)</f>
        <v>WNI</v>
      </c>
      <c r="N533" s="2729">
        <f t="shared" si="36"/>
        <v>2970</v>
      </c>
      <c r="Q533" s="2717"/>
      <c r="R533" s="2717"/>
      <c r="S533" s="2719"/>
      <c r="T533" s="2717"/>
      <c r="U533" s="2717"/>
      <c r="V533" s="2717"/>
    </row>
    <row r="534" spans="2:22" s="2721" customFormat="1" ht="14.1" customHeight="1" x14ac:dyDescent="0.2">
      <c r="B534" s="2711"/>
      <c r="C534" s="2536"/>
      <c r="D534" s="2536"/>
      <c r="E534" s="2736"/>
      <c r="F534" s="2741"/>
      <c r="G534" s="2742"/>
      <c r="H534" s="2743"/>
      <c r="I534" s="2812"/>
      <c r="J534" s="2813"/>
      <c r="K534" s="2732">
        <f>SUM(J530:J533)</f>
        <v>94776</v>
      </c>
      <c r="L534" s="3177"/>
      <c r="M534" s="2732"/>
      <c r="N534" s="2729">
        <f t="shared" si="36"/>
        <v>0</v>
      </c>
      <c r="Q534" s="2717"/>
      <c r="R534" s="2717"/>
      <c r="S534" s="2719"/>
      <c r="T534" s="2717"/>
      <c r="U534" s="2717"/>
      <c r="V534" s="2717"/>
    </row>
    <row r="535" spans="2:22" s="2721" customFormat="1" ht="14.1" customHeight="1" x14ac:dyDescent="0.2">
      <c r="B535" s="2711"/>
      <c r="C535" s="2528" t="s">
        <v>609</v>
      </c>
      <c r="D535" s="2725" t="s">
        <v>606</v>
      </c>
      <c r="E535" s="2739"/>
      <c r="F535" s="2739"/>
      <c r="G535" s="2727"/>
      <c r="H535" s="2740"/>
      <c r="I535" s="2814"/>
      <c r="J535" s="2729"/>
      <c r="K535" s="2730"/>
      <c r="L535" s="3177"/>
      <c r="M535" s="2732"/>
      <c r="N535" s="2729">
        <f t="shared" si="36"/>
        <v>0</v>
      </c>
      <c r="Q535" s="2717"/>
      <c r="R535" s="2717"/>
      <c r="S535" s="2719"/>
      <c r="T535" s="2717"/>
      <c r="U535" s="2717"/>
      <c r="V535" s="2717"/>
    </row>
    <row r="536" spans="2:22" s="2721" customFormat="1" ht="14.1" customHeight="1" x14ac:dyDescent="0.2">
      <c r="B536" s="2711"/>
      <c r="C536" s="2537"/>
      <c r="D536" s="2536"/>
      <c r="E536" s="2736"/>
      <c r="F536" s="2741"/>
      <c r="G536" s="2742"/>
      <c r="H536" s="2743"/>
      <c r="I536" s="2744"/>
      <c r="J536" s="2813"/>
      <c r="K536" s="2732">
        <f>SUM(J535:J535)</f>
        <v>0</v>
      </c>
      <c r="L536" s="3177"/>
      <c r="M536" s="2732"/>
      <c r="N536" s="2729">
        <f t="shared" si="36"/>
        <v>0</v>
      </c>
      <c r="Q536" s="2717"/>
      <c r="R536" s="2717"/>
      <c r="S536" s="2719"/>
      <c r="T536" s="2717"/>
      <c r="U536" s="2717"/>
      <c r="V536" s="2717"/>
    </row>
    <row r="537" spans="2:22" s="2721" customFormat="1" ht="14.1" customHeight="1" x14ac:dyDescent="0.2">
      <c r="B537" s="2711"/>
      <c r="C537" s="2727" t="s">
        <v>610</v>
      </c>
      <c r="D537" s="2738" t="s">
        <v>651</v>
      </c>
      <c r="E537" s="2741"/>
      <c r="F537" s="2741"/>
      <c r="G537" s="2742"/>
      <c r="H537" s="2743"/>
      <c r="I537" s="2744"/>
      <c r="J537" s="2745" t="s">
        <v>652</v>
      </c>
      <c r="K537" s="2732">
        <f>K529+K534+K536</f>
        <v>214956</v>
      </c>
      <c r="L537" s="3179">
        <f>N537/K537</f>
        <v>0.76655687675617334</v>
      </c>
      <c r="M537" s="2745"/>
      <c r="N537" s="2747">
        <f>SUM(N522:N536)</f>
        <v>164776</v>
      </c>
      <c r="Q537" s="2717"/>
      <c r="R537" s="2717"/>
      <c r="S537" s="2719"/>
      <c r="T537" s="2717"/>
      <c r="U537" s="2717"/>
      <c r="V537" s="2717"/>
    </row>
    <row r="538" spans="2:22" s="2721" customFormat="1" ht="14.1" customHeight="1" x14ac:dyDescent="0.2">
      <c r="B538" s="2711"/>
      <c r="C538" s="2537" t="s">
        <v>611</v>
      </c>
      <c r="D538" s="2738" t="s">
        <v>653</v>
      </c>
      <c r="E538" s="2741"/>
      <c r="F538" s="2748">
        <f>$F$42</f>
        <v>0.1</v>
      </c>
      <c r="G538" s="2727" t="s">
        <v>425</v>
      </c>
      <c r="H538" s="2748">
        <f>$H$42</f>
        <v>0.03</v>
      </c>
      <c r="I538" s="2749" t="s">
        <v>424</v>
      </c>
      <c r="J538" s="2732" t="s">
        <v>610</v>
      </c>
      <c r="K538" s="2750">
        <f>ROUND((K537*(F538+H538)),2)</f>
        <v>27944.28</v>
      </c>
      <c r="L538" s="2732"/>
      <c r="M538" s="2732"/>
      <c r="N538" s="2732"/>
      <c r="Q538" s="2717"/>
      <c r="R538" s="2717"/>
      <c r="S538" s="2719"/>
      <c r="T538" s="2717"/>
      <c r="U538" s="2717"/>
      <c r="V538" s="2717"/>
    </row>
    <row r="539" spans="2:22" s="2721" customFormat="1" ht="14.1" customHeight="1" x14ac:dyDescent="0.2">
      <c r="B539" s="2711"/>
      <c r="C539" s="2880" t="s">
        <v>654</v>
      </c>
      <c r="D539" s="2752" t="s">
        <v>301</v>
      </c>
      <c r="E539" s="2815"/>
      <c r="F539" s="2815"/>
      <c r="G539" s="2815"/>
      <c r="H539" s="2816"/>
      <c r="I539" s="2815"/>
      <c r="J539" s="2755" t="s">
        <v>668</v>
      </c>
      <c r="K539" s="2756">
        <f>SUM(K537:K538)</f>
        <v>242900.28</v>
      </c>
      <c r="L539" s="2746"/>
      <c r="M539" s="2755"/>
      <c r="N539" s="2757"/>
      <c r="Q539" s="2717"/>
      <c r="R539" s="2717"/>
      <c r="S539" s="2719"/>
      <c r="T539" s="2717"/>
      <c r="U539" s="2717"/>
      <c r="V539" s="2717"/>
    </row>
    <row r="540" spans="2:22" x14ac:dyDescent="0.25">
      <c r="Q540" s="2717"/>
      <c r="R540" s="2717"/>
      <c r="S540" s="2719"/>
      <c r="T540" s="2717"/>
      <c r="U540" s="2717"/>
      <c r="V540" s="2717"/>
    </row>
    <row r="541" spans="2:22" s="2721" customFormat="1" ht="14.1" customHeight="1" x14ac:dyDescent="0.2">
      <c r="B541" s="2711">
        <f>B517+1</f>
        <v>28</v>
      </c>
      <c r="C541" s="2711"/>
      <c r="D541" s="2713" t="s">
        <v>229</v>
      </c>
      <c r="E541" s="2713"/>
      <c r="F541" s="2713"/>
      <c r="G541" s="2713"/>
      <c r="H541" s="2714"/>
      <c r="I541" s="2713"/>
      <c r="J541" s="2713"/>
      <c r="K541" s="2715" t="s">
        <v>1071</v>
      </c>
      <c r="L541" s="2715"/>
      <c r="M541" s="2715"/>
      <c r="N541" s="2715"/>
      <c r="O541" s="2721" t="str">
        <f>D542</f>
        <v>m'</v>
      </c>
      <c r="P541" s="2810">
        <f>K566</f>
        <v>112610.15</v>
      </c>
      <c r="Q541" s="2718">
        <f>L564</f>
        <v>0.69870322613014901</v>
      </c>
      <c r="R541" s="2717"/>
      <c r="S541" s="2719">
        <f>N564</f>
        <v>69629.27</v>
      </c>
      <c r="T541" s="2515">
        <f>U541+S541</f>
        <v>78681.075100000002</v>
      </c>
      <c r="U541" s="2719">
        <f>S541*V541</f>
        <v>9051.8051000000014</v>
      </c>
      <c r="V541" s="2718">
        <f>$F$42+$H$42</f>
        <v>0.13</v>
      </c>
    </row>
    <row r="542" spans="2:22" s="2721" customFormat="1" ht="14.1" customHeight="1" x14ac:dyDescent="0.2">
      <c r="B542" s="2711"/>
      <c r="C542" s="2711"/>
      <c r="D542" s="2721" t="s">
        <v>247</v>
      </c>
      <c r="H542" s="2711"/>
      <c r="Q542" s="2717"/>
      <c r="R542" s="2717"/>
      <c r="S542" s="2719"/>
      <c r="T542" s="2717"/>
      <c r="U542" s="2717"/>
      <c r="V542" s="2717"/>
    </row>
    <row r="543" spans="2:22" s="2721" customFormat="1" ht="14.1" customHeight="1" x14ac:dyDescent="0.2">
      <c r="B543" s="2711"/>
      <c r="C543" s="2711"/>
      <c r="H543" s="2711"/>
      <c r="Q543" s="2717"/>
      <c r="R543" s="2717"/>
      <c r="S543" s="2719"/>
      <c r="T543" s="2717"/>
      <c r="U543" s="2717"/>
      <c r="V543" s="2717"/>
    </row>
    <row r="544" spans="2:22" s="2721" customFormat="1" ht="14.1" customHeight="1" x14ac:dyDescent="0.2">
      <c r="B544" s="2711"/>
      <c r="C544" s="2524"/>
      <c r="D544" s="3436" t="s">
        <v>280</v>
      </c>
      <c r="E544" s="3437"/>
      <c r="F544" s="2722"/>
      <c r="G544" s="3440" t="s">
        <v>281</v>
      </c>
      <c r="H544" s="3440" t="s">
        <v>282</v>
      </c>
      <c r="I544" s="2524" t="s">
        <v>283</v>
      </c>
      <c r="J544" s="2524" t="s">
        <v>284</v>
      </c>
      <c r="K544" s="2524" t="s">
        <v>340</v>
      </c>
      <c r="L544" s="2524" t="s">
        <v>2008</v>
      </c>
      <c r="M544" s="2524" t="s">
        <v>2009</v>
      </c>
      <c r="N544" s="2524" t="s">
        <v>284</v>
      </c>
      <c r="Q544" s="2717"/>
      <c r="R544" s="2717"/>
      <c r="S544" s="2719"/>
      <c r="T544" s="2717"/>
      <c r="U544" s="2717"/>
      <c r="V544" s="2717"/>
    </row>
    <row r="545" spans="2:25" s="2721" customFormat="1" ht="14.1" customHeight="1" x14ac:dyDescent="0.2">
      <c r="B545" s="2711"/>
      <c r="C545" s="2528" t="s">
        <v>669</v>
      </c>
      <c r="D545" s="3438"/>
      <c r="E545" s="3439"/>
      <c r="F545" s="2723"/>
      <c r="G545" s="3441"/>
      <c r="H545" s="3441"/>
      <c r="I545" s="2528" t="s">
        <v>285</v>
      </c>
      <c r="J545" s="2528" t="s">
        <v>286</v>
      </c>
      <c r="K545" s="2528" t="s">
        <v>286</v>
      </c>
      <c r="L545" s="2528" t="s">
        <v>2011</v>
      </c>
      <c r="M545" s="2528"/>
      <c r="N545" s="2528" t="s">
        <v>2013</v>
      </c>
      <c r="Q545" s="2717"/>
      <c r="R545" s="2717"/>
      <c r="S545" s="2719"/>
      <c r="T545" s="2717"/>
      <c r="U545" s="2717"/>
      <c r="V545" s="2717"/>
    </row>
    <row r="546" spans="2:25" s="2721" customFormat="1" ht="14.1" customHeight="1" x14ac:dyDescent="0.2">
      <c r="B546" s="2711"/>
      <c r="C546" s="2537"/>
      <c r="D546" s="3431"/>
      <c r="E546" s="3432"/>
      <c r="F546" s="2724"/>
      <c r="G546" s="3435"/>
      <c r="H546" s="3435"/>
      <c r="I546" s="2537" t="s">
        <v>286</v>
      </c>
      <c r="J546" s="2536"/>
      <c r="K546" s="2536"/>
      <c r="L546" s="2536"/>
      <c r="M546" s="2536"/>
      <c r="N546" s="2537" t="s">
        <v>286</v>
      </c>
      <c r="Q546" s="2717"/>
      <c r="R546" s="2717"/>
      <c r="S546" s="2719"/>
      <c r="T546" s="2717"/>
      <c r="U546" s="2717"/>
      <c r="V546" s="2717"/>
    </row>
    <row r="547" spans="2:25" s="2721" customFormat="1" ht="14.1" customHeight="1" x14ac:dyDescent="0.2">
      <c r="B547" s="2711"/>
      <c r="C547" s="2524" t="s">
        <v>607</v>
      </c>
      <c r="D547" s="2895" t="s">
        <v>287</v>
      </c>
      <c r="E547" s="2871" t="s">
        <v>314</v>
      </c>
      <c r="F547" s="2881"/>
      <c r="G547" s="2537" t="s">
        <v>293</v>
      </c>
      <c r="H547" s="2873">
        <v>0.02</v>
      </c>
      <c r="I547" s="2904">
        <f>'Upah &amp; Bahan'!$I$94</f>
        <v>1100000</v>
      </c>
      <c r="J547" s="2729">
        <f t="shared" ref="J547:J553" si="37">ROUND(H547*I547,2)</f>
        <v>22000</v>
      </c>
      <c r="K547" s="2730"/>
      <c r="L547" s="3177">
        <v>1</v>
      </c>
      <c r="M547" s="2732"/>
      <c r="N547" s="2729">
        <f t="shared" ref="N547:N563" si="38">L547*J547</f>
        <v>22000</v>
      </c>
      <c r="P547" s="2721">
        <v>2E-3</v>
      </c>
      <c r="Q547" s="2717"/>
      <c r="R547" s="2717"/>
      <c r="S547" s="2719"/>
      <c r="T547" s="2717"/>
      <c r="U547" s="2717"/>
      <c r="V547" s="2717"/>
      <c r="W547" s="2905">
        <f>P547-H547</f>
        <v>-1.8000000000000002E-2</v>
      </c>
    </row>
    <row r="548" spans="2:25" s="2721" customFormat="1" ht="14.1" customHeight="1" x14ac:dyDescent="0.2">
      <c r="B548" s="2711"/>
      <c r="C548" s="2528"/>
      <c r="D548" s="2895"/>
      <c r="E548" s="2871" t="s">
        <v>322</v>
      </c>
      <c r="F548" s="2881"/>
      <c r="G548" s="2537" t="s">
        <v>298</v>
      </c>
      <c r="H548" s="2873">
        <v>0.01</v>
      </c>
      <c r="I548" s="2904">
        <f>'Upah &amp; Bahan'!$I$117</f>
        <v>17000</v>
      </c>
      <c r="J548" s="2729">
        <f t="shared" si="37"/>
        <v>170</v>
      </c>
      <c r="K548" s="2734"/>
      <c r="L548" s="3177">
        <f>$L$350</f>
        <v>0</v>
      </c>
      <c r="M548" s="2732"/>
      <c r="N548" s="2729">
        <f t="shared" si="38"/>
        <v>0</v>
      </c>
      <c r="P548" s="2721">
        <v>0.01</v>
      </c>
      <c r="Q548" s="2717"/>
      <c r="R548" s="2717"/>
      <c r="S548" s="2719"/>
      <c r="T548" s="2717"/>
      <c r="U548" s="2717"/>
      <c r="V548" s="2717"/>
      <c r="W548" s="2905">
        <f t="shared" ref="W548:W560" si="39">P548-H548</f>
        <v>0</v>
      </c>
    </row>
    <row r="549" spans="2:25" s="2721" customFormat="1" ht="14.1" customHeight="1" x14ac:dyDescent="0.2">
      <c r="B549" s="2711"/>
      <c r="C549" s="2528"/>
      <c r="D549" s="2733"/>
      <c r="E549" s="2739" t="s">
        <v>323</v>
      </c>
      <c r="F549" s="2739"/>
      <c r="G549" s="2727" t="s">
        <v>298</v>
      </c>
      <c r="H549" s="2740">
        <v>3</v>
      </c>
      <c r="I549" s="2906">
        <f>'Upah &amp; Bahan'!$I$68</f>
        <v>11500</v>
      </c>
      <c r="J549" s="2729">
        <f t="shared" si="37"/>
        <v>34500</v>
      </c>
      <c r="K549" s="2734"/>
      <c r="L549" s="3177">
        <f>$L$410</f>
        <v>0.4879</v>
      </c>
      <c r="M549" s="2732" t="s">
        <v>2029</v>
      </c>
      <c r="N549" s="2729">
        <f t="shared" si="38"/>
        <v>16832.55</v>
      </c>
      <c r="P549" s="2721">
        <v>3</v>
      </c>
      <c r="Q549" s="2717"/>
      <c r="R549" s="2717"/>
      <c r="S549" s="2719"/>
      <c r="T549" s="2717"/>
      <c r="U549" s="2717"/>
      <c r="V549" s="2717"/>
      <c r="W549" s="2905">
        <f t="shared" si="39"/>
        <v>0</v>
      </c>
    </row>
    <row r="550" spans="2:25" s="2721" customFormat="1" ht="14.1" customHeight="1" x14ac:dyDescent="0.2">
      <c r="B550" s="2711"/>
      <c r="C550" s="2528"/>
      <c r="D550" s="2733"/>
      <c r="E550" s="2739" t="s">
        <v>325</v>
      </c>
      <c r="F550" s="2739"/>
      <c r="G550" s="2727" t="s">
        <v>298</v>
      </c>
      <c r="H550" s="2740">
        <v>0.45</v>
      </c>
      <c r="I550" s="2906">
        <f>'Upah &amp; Bahan'!$I$92</f>
        <v>25500</v>
      </c>
      <c r="J550" s="2729">
        <f t="shared" si="37"/>
        <v>11475</v>
      </c>
      <c r="K550" s="2734"/>
      <c r="L550" s="3177">
        <v>0</v>
      </c>
      <c r="M550" s="2732"/>
      <c r="N550" s="2729">
        <f t="shared" si="38"/>
        <v>0</v>
      </c>
      <c r="P550" s="2721">
        <v>4.4999999999999998E-2</v>
      </c>
      <c r="Q550" s="2717"/>
      <c r="R550" s="2717"/>
      <c r="S550" s="2719"/>
      <c r="T550" s="2717"/>
      <c r="U550" s="2717"/>
      <c r="V550" s="2717"/>
      <c r="W550" s="2905">
        <f t="shared" si="39"/>
        <v>-0.40500000000000003</v>
      </c>
    </row>
    <row r="551" spans="2:25" s="2721" customFormat="1" ht="14.1" customHeight="1" x14ac:dyDescent="0.2">
      <c r="B551" s="2711"/>
      <c r="C551" s="2528"/>
      <c r="D551" s="2733"/>
      <c r="E551" s="2739" t="s">
        <v>300</v>
      </c>
      <c r="F551" s="2739"/>
      <c r="G551" s="2727" t="s">
        <v>298</v>
      </c>
      <c r="H551" s="2740">
        <v>4</v>
      </c>
      <c r="I551" s="2906">
        <f>'Upah &amp; Bahan'!$I$118</f>
        <v>1200</v>
      </c>
      <c r="J551" s="2729">
        <f t="shared" si="37"/>
        <v>4800</v>
      </c>
      <c r="K551" s="2734"/>
      <c r="L551" s="3177">
        <f>$L$192</f>
        <v>0.85140000000000005</v>
      </c>
      <c r="M551" s="2732" t="s">
        <v>2029</v>
      </c>
      <c r="N551" s="2729">
        <f t="shared" si="38"/>
        <v>4086.7200000000003</v>
      </c>
      <c r="P551" s="2721">
        <v>4</v>
      </c>
      <c r="Q551" s="2717"/>
      <c r="R551" s="2717"/>
      <c r="S551" s="2719"/>
      <c r="T551" s="2717"/>
      <c r="U551" s="2717"/>
      <c r="V551" s="2717"/>
      <c r="W551" s="2905">
        <f t="shared" si="39"/>
        <v>0</v>
      </c>
    </row>
    <row r="552" spans="2:25" s="2721" customFormat="1" ht="14.1" customHeight="1" x14ac:dyDescent="0.2">
      <c r="B552" s="2711"/>
      <c r="C552" s="2528"/>
      <c r="D552" s="2733"/>
      <c r="E552" s="2739" t="s">
        <v>324</v>
      </c>
      <c r="F552" s="2739"/>
      <c r="G552" s="2727" t="s">
        <v>293</v>
      </c>
      <c r="H552" s="2740">
        <v>6.0000000000000001E-3</v>
      </c>
      <c r="I552" s="2906">
        <f>'Upah &amp; Bahan'!$I$120</f>
        <v>260000</v>
      </c>
      <c r="J552" s="2729">
        <f t="shared" si="37"/>
        <v>1560</v>
      </c>
      <c r="K552" s="2734"/>
      <c r="L552" s="3177">
        <v>1</v>
      </c>
      <c r="M552" s="2732"/>
      <c r="N552" s="2729">
        <f t="shared" si="38"/>
        <v>1560</v>
      </c>
      <c r="P552" s="2721">
        <v>6.0000000000000001E-3</v>
      </c>
      <c r="Q552" s="2717"/>
      <c r="R552" s="2717"/>
      <c r="S552" s="2719"/>
      <c r="T552" s="2717"/>
      <c r="U552" s="2717"/>
      <c r="V552" s="2717"/>
      <c r="W552" s="2905">
        <f t="shared" si="39"/>
        <v>0</v>
      </c>
      <c r="Y552" s="2810"/>
    </row>
    <row r="553" spans="2:25" s="2721" customFormat="1" ht="14.1" customHeight="1" x14ac:dyDescent="0.2">
      <c r="B553" s="2711"/>
      <c r="C553" s="2528"/>
      <c r="D553" s="2733"/>
      <c r="E553" s="2739" t="s">
        <v>326</v>
      </c>
      <c r="F553" s="2739"/>
      <c r="G553" s="2727" t="s">
        <v>293</v>
      </c>
      <c r="H553" s="2740">
        <v>8.9999999999999993E-3</v>
      </c>
      <c r="I553" s="2906">
        <f>'Upah &amp; Bahan'!$I$61</f>
        <v>270000</v>
      </c>
      <c r="J553" s="2729">
        <f t="shared" si="37"/>
        <v>2430</v>
      </c>
      <c r="K553" s="2734"/>
      <c r="L553" s="3177">
        <v>1</v>
      </c>
      <c r="M553" s="2732"/>
      <c r="N553" s="2729">
        <f t="shared" si="38"/>
        <v>2430</v>
      </c>
      <c r="P553" s="2721">
        <v>8.9999999999999993E-3</v>
      </c>
      <c r="Q553" s="2717"/>
      <c r="R553" s="2717"/>
      <c r="S553" s="2719"/>
      <c r="T553" s="2717"/>
      <c r="U553" s="2717"/>
      <c r="V553" s="2717"/>
      <c r="W553" s="2905">
        <f t="shared" si="39"/>
        <v>0</v>
      </c>
    </row>
    <row r="554" spans="2:25" s="2721" customFormat="1" ht="14.1" customHeight="1" x14ac:dyDescent="0.2">
      <c r="B554" s="2711"/>
      <c r="C554" s="2537"/>
      <c r="D554" s="2733"/>
      <c r="E554" s="2736"/>
      <c r="F554" s="2741"/>
      <c r="G554" s="2742"/>
      <c r="H554" s="2743"/>
      <c r="I554" s="2907"/>
      <c r="J554" s="2813"/>
      <c r="K554" s="2729">
        <f>SUM(J547:J553)</f>
        <v>76935</v>
      </c>
      <c r="L554" s="3177"/>
      <c r="M554" s="2732"/>
      <c r="N554" s="2729">
        <f t="shared" si="38"/>
        <v>0</v>
      </c>
      <c r="Q554" s="2717"/>
      <c r="R554" s="2717"/>
      <c r="S554" s="2719"/>
      <c r="T554" s="2717"/>
      <c r="U554" s="2717"/>
      <c r="V554" s="2717"/>
      <c r="W554" s="2905">
        <f t="shared" si="39"/>
        <v>0</v>
      </c>
    </row>
    <row r="555" spans="2:25" s="2721" customFormat="1" ht="14.1" customHeight="1" x14ac:dyDescent="0.2">
      <c r="B555" s="2711"/>
      <c r="C555" s="2524" t="s">
        <v>608</v>
      </c>
      <c r="D555" s="2725" t="s">
        <v>288</v>
      </c>
      <c r="E555" s="2739" t="s">
        <v>294</v>
      </c>
      <c r="F555" s="2739"/>
      <c r="G555" s="2727" t="s">
        <v>291</v>
      </c>
      <c r="H555" s="2740">
        <v>0.18</v>
      </c>
      <c r="I555" s="2906">
        <f>'Upah &amp; Bahan'!$I$24</f>
        <v>88300</v>
      </c>
      <c r="J555" s="2729">
        <f t="shared" ref="J555:J560" si="40">ROUND(H555*I555,2)</f>
        <v>15894</v>
      </c>
      <c r="K555" s="2730"/>
      <c r="L555" s="3177">
        <f t="shared" ref="L555:L560" si="41">VLOOKUP($E555,$D$1744:$G$1761,2,0)</f>
        <v>1</v>
      </c>
      <c r="M555" s="2731" t="str">
        <f t="shared" ref="M555:M560" si="42">VLOOKUP($E555,$D$1744:$G$1761,3,0)</f>
        <v>WNI</v>
      </c>
      <c r="N555" s="2729">
        <f t="shared" si="38"/>
        <v>15894</v>
      </c>
      <c r="P555" s="2721">
        <v>0.18</v>
      </c>
      <c r="Q555" s="2717"/>
      <c r="R555" s="2717"/>
      <c r="S555" s="2719"/>
      <c r="T555" s="2717"/>
      <c r="U555" s="2717"/>
      <c r="V555" s="2717"/>
      <c r="W555" s="2905">
        <f t="shared" si="39"/>
        <v>0</v>
      </c>
    </row>
    <row r="556" spans="2:25" s="2721" customFormat="1" ht="14.1" customHeight="1" x14ac:dyDescent="0.2">
      <c r="B556" s="2711"/>
      <c r="C556" s="2528"/>
      <c r="D556" s="2733"/>
      <c r="E556" s="2739" t="s">
        <v>313</v>
      </c>
      <c r="F556" s="2739"/>
      <c r="G556" s="2727" t="s">
        <v>291</v>
      </c>
      <c r="H556" s="2740">
        <v>0.02</v>
      </c>
      <c r="I556" s="2906">
        <f>'Upah &amp; Bahan'!$I$32</f>
        <v>90000</v>
      </c>
      <c r="J556" s="2729">
        <f t="shared" si="40"/>
        <v>1800</v>
      </c>
      <c r="K556" s="2734"/>
      <c r="L556" s="3177">
        <f t="shared" si="41"/>
        <v>1</v>
      </c>
      <c r="M556" s="2731" t="str">
        <f t="shared" si="42"/>
        <v>WNI</v>
      </c>
      <c r="N556" s="2729">
        <f t="shared" si="38"/>
        <v>1800</v>
      </c>
      <c r="P556" s="2721">
        <v>0.02</v>
      </c>
      <c r="Q556" s="2717"/>
      <c r="R556" s="2717"/>
      <c r="S556" s="2719"/>
      <c r="T556" s="2717"/>
      <c r="U556" s="2717"/>
      <c r="V556" s="2717"/>
      <c r="W556" s="2905">
        <f t="shared" si="39"/>
        <v>0</v>
      </c>
    </row>
    <row r="557" spans="2:25" s="2721" customFormat="1" ht="14.1" customHeight="1" x14ac:dyDescent="0.2">
      <c r="B557" s="2711"/>
      <c r="C557" s="2528"/>
      <c r="D557" s="2733"/>
      <c r="E557" s="2739" t="s">
        <v>327</v>
      </c>
      <c r="F557" s="2739"/>
      <c r="G557" s="2727" t="s">
        <v>291</v>
      </c>
      <c r="H557" s="2740">
        <v>0.02</v>
      </c>
      <c r="I557" s="2906">
        <f>'Upah &amp; Bahan'!$I$36</f>
        <v>92000</v>
      </c>
      <c r="J557" s="2729">
        <f t="shared" si="40"/>
        <v>1840</v>
      </c>
      <c r="K557" s="2734"/>
      <c r="L557" s="3177">
        <f t="shared" si="41"/>
        <v>1</v>
      </c>
      <c r="M557" s="2731" t="str">
        <f t="shared" si="42"/>
        <v>WNI</v>
      </c>
      <c r="N557" s="2729">
        <f t="shared" si="38"/>
        <v>1840</v>
      </c>
      <c r="P557" s="2721">
        <v>0.02</v>
      </c>
      <c r="Q557" s="2717"/>
      <c r="R557" s="2717"/>
      <c r="S557" s="2719"/>
      <c r="T557" s="2717"/>
      <c r="U557" s="2717"/>
      <c r="V557" s="2717"/>
      <c r="W557" s="2905">
        <f t="shared" si="39"/>
        <v>0</v>
      </c>
    </row>
    <row r="558" spans="2:25" s="2721" customFormat="1" ht="14.1" customHeight="1" x14ac:dyDescent="0.2">
      <c r="B558" s="2711"/>
      <c r="C558" s="2528"/>
      <c r="D558" s="2733"/>
      <c r="E558" s="2739" t="s">
        <v>328</v>
      </c>
      <c r="F558" s="2739"/>
      <c r="G558" s="2727" t="s">
        <v>291</v>
      </c>
      <c r="H558" s="2740">
        <v>0.02</v>
      </c>
      <c r="I558" s="2906">
        <f>'Upah &amp; Bahan'!$I$33</f>
        <v>90000</v>
      </c>
      <c r="J558" s="2729">
        <f t="shared" si="40"/>
        <v>1800</v>
      </c>
      <c r="K558" s="2733"/>
      <c r="L558" s="3177">
        <f t="shared" si="41"/>
        <v>1</v>
      </c>
      <c r="M558" s="2731" t="str">
        <f t="shared" si="42"/>
        <v>WNI</v>
      </c>
      <c r="N558" s="2729">
        <f t="shared" si="38"/>
        <v>1800</v>
      </c>
      <c r="P558" s="2721">
        <v>0.02</v>
      </c>
      <c r="Q558" s="2717"/>
      <c r="R558" s="2717"/>
      <c r="S558" s="2719"/>
      <c r="T558" s="2717"/>
      <c r="U558" s="2717"/>
      <c r="V558" s="2717"/>
      <c r="W558" s="2905">
        <f t="shared" si="39"/>
        <v>0</v>
      </c>
    </row>
    <row r="559" spans="2:25" s="2721" customFormat="1" ht="14.1" customHeight="1" x14ac:dyDescent="0.2">
      <c r="B559" s="2711"/>
      <c r="C559" s="2528"/>
      <c r="D559" s="2733"/>
      <c r="E559" s="2739" t="s">
        <v>296</v>
      </c>
      <c r="F559" s="2739"/>
      <c r="G559" s="2727" t="s">
        <v>291</v>
      </c>
      <c r="H559" s="2740">
        <v>6.0000000000000001E-3</v>
      </c>
      <c r="I559" s="2906">
        <f>'Upah &amp; Bahan'!$I$26</f>
        <v>96000</v>
      </c>
      <c r="J559" s="2729">
        <f t="shared" si="40"/>
        <v>576</v>
      </c>
      <c r="K559" s="2733"/>
      <c r="L559" s="3177">
        <f t="shared" si="41"/>
        <v>1</v>
      </c>
      <c r="M559" s="2731" t="str">
        <f t="shared" si="42"/>
        <v>WNI</v>
      </c>
      <c r="N559" s="2729">
        <f t="shared" si="38"/>
        <v>576</v>
      </c>
      <c r="P559" s="2721">
        <v>6.0000000000000001E-3</v>
      </c>
      <c r="Q559" s="2717"/>
      <c r="R559" s="2717"/>
      <c r="S559" s="2719"/>
      <c r="T559" s="2717"/>
      <c r="U559" s="2717"/>
      <c r="V559" s="2717"/>
      <c r="W559" s="2905">
        <f t="shared" si="39"/>
        <v>0</v>
      </c>
    </row>
    <row r="560" spans="2:25" s="2721" customFormat="1" ht="14.1" customHeight="1" x14ac:dyDescent="0.2">
      <c r="B560" s="2711"/>
      <c r="C560" s="2528"/>
      <c r="D560" s="2733"/>
      <c r="E560" s="2739" t="s">
        <v>290</v>
      </c>
      <c r="F560" s="2739"/>
      <c r="G560" s="2727" t="s">
        <v>291</v>
      </c>
      <c r="H560" s="2740">
        <v>8.9999999999999993E-3</v>
      </c>
      <c r="I560" s="2906">
        <f>'Upah &amp; Bahan'!$I$31</f>
        <v>90000</v>
      </c>
      <c r="J560" s="2729">
        <f t="shared" si="40"/>
        <v>810</v>
      </c>
      <c r="K560" s="2536"/>
      <c r="L560" s="3177">
        <f t="shared" si="41"/>
        <v>1</v>
      </c>
      <c r="M560" s="2731" t="str">
        <f t="shared" si="42"/>
        <v>WNI</v>
      </c>
      <c r="N560" s="2729">
        <f t="shared" si="38"/>
        <v>810</v>
      </c>
      <c r="P560" s="2721">
        <v>8.9999999999999993E-3</v>
      </c>
      <c r="Q560" s="2717"/>
      <c r="R560" s="2717"/>
      <c r="S560" s="2719"/>
      <c r="T560" s="2717"/>
      <c r="U560" s="2717"/>
      <c r="V560" s="2717"/>
      <c r="W560" s="2905">
        <f t="shared" si="39"/>
        <v>0</v>
      </c>
    </row>
    <row r="561" spans="2:22" s="2721" customFormat="1" ht="14.1" customHeight="1" x14ac:dyDescent="0.2">
      <c r="B561" s="2711"/>
      <c r="C561" s="2537"/>
      <c r="D561" s="2536"/>
      <c r="E561" s="2736"/>
      <c r="F561" s="2741"/>
      <c r="G561" s="2742"/>
      <c r="H561" s="2743"/>
      <c r="I561" s="2907"/>
      <c r="J561" s="2813"/>
      <c r="K561" s="2732">
        <f>SUM(J555:J560)</f>
        <v>22720</v>
      </c>
      <c r="L561" s="3177"/>
      <c r="M561" s="2732"/>
      <c r="N561" s="2729">
        <f t="shared" si="38"/>
        <v>0</v>
      </c>
      <c r="Q561" s="2717"/>
      <c r="R561" s="2717"/>
      <c r="S561" s="2719"/>
      <c r="T561" s="2717"/>
      <c r="U561" s="2717"/>
      <c r="V561" s="2717"/>
    </row>
    <row r="562" spans="2:22" s="2721" customFormat="1" ht="14.1" customHeight="1" x14ac:dyDescent="0.2">
      <c r="B562" s="2711"/>
      <c r="C562" s="2528" t="s">
        <v>609</v>
      </c>
      <c r="D562" s="2725" t="s">
        <v>606</v>
      </c>
      <c r="E562" s="2739"/>
      <c r="F562" s="2739"/>
      <c r="G562" s="2727"/>
      <c r="H562" s="2740"/>
      <c r="I562" s="2814"/>
      <c r="J562" s="2729"/>
      <c r="K562" s="2730"/>
      <c r="L562" s="3177"/>
      <c r="M562" s="2732"/>
      <c r="N562" s="2729">
        <f t="shared" si="38"/>
        <v>0</v>
      </c>
      <c r="Q562" s="2717"/>
      <c r="R562" s="2717"/>
      <c r="S562" s="2719"/>
      <c r="T562" s="2717"/>
      <c r="U562" s="2717"/>
      <c r="V562" s="2717"/>
    </row>
    <row r="563" spans="2:22" s="2721" customFormat="1" ht="14.1" customHeight="1" x14ac:dyDescent="0.2">
      <c r="B563" s="2711"/>
      <c r="C563" s="2537"/>
      <c r="D563" s="2536"/>
      <c r="E563" s="2736"/>
      <c r="F563" s="2741"/>
      <c r="G563" s="2742"/>
      <c r="H563" s="2743"/>
      <c r="I563" s="2744"/>
      <c r="J563" s="2813"/>
      <c r="K563" s="2732">
        <f>SUM(J562:J562)</f>
        <v>0</v>
      </c>
      <c r="L563" s="3177"/>
      <c r="M563" s="2732"/>
      <c r="N563" s="2729">
        <f t="shared" si="38"/>
        <v>0</v>
      </c>
      <c r="Q563" s="2717"/>
      <c r="R563" s="2717"/>
      <c r="S563" s="2719"/>
      <c r="T563" s="2717"/>
      <c r="U563" s="2717"/>
      <c r="V563" s="2717"/>
    </row>
    <row r="564" spans="2:22" s="2721" customFormat="1" ht="14.1" customHeight="1" x14ac:dyDescent="0.2">
      <c r="B564" s="2711"/>
      <c r="C564" s="2727" t="s">
        <v>610</v>
      </c>
      <c r="D564" s="2738" t="s">
        <v>651</v>
      </c>
      <c r="E564" s="2741"/>
      <c r="F564" s="2741"/>
      <c r="G564" s="2742"/>
      <c r="H564" s="2743"/>
      <c r="I564" s="2744"/>
      <c r="J564" s="2745" t="s">
        <v>652</v>
      </c>
      <c r="K564" s="2732">
        <f>K554+K561+K563</f>
        <v>99655</v>
      </c>
      <c r="L564" s="3179">
        <f>N564/K564</f>
        <v>0.69870322613014901</v>
      </c>
      <c r="M564" s="2745"/>
      <c r="N564" s="2747">
        <f>SUM(N546:N563)</f>
        <v>69629.27</v>
      </c>
      <c r="Q564" s="2717"/>
      <c r="R564" s="2717"/>
      <c r="S564" s="2719"/>
      <c r="T564" s="2717"/>
      <c r="U564" s="2717"/>
      <c r="V564" s="2717"/>
    </row>
    <row r="565" spans="2:22" s="2721" customFormat="1" ht="14.1" customHeight="1" x14ac:dyDescent="0.2">
      <c r="B565" s="2711"/>
      <c r="C565" s="2537" t="s">
        <v>611</v>
      </c>
      <c r="D565" s="2738" t="s">
        <v>653</v>
      </c>
      <c r="E565" s="2741"/>
      <c r="F565" s="2748">
        <f>$F$42</f>
        <v>0.1</v>
      </c>
      <c r="G565" s="2727" t="s">
        <v>425</v>
      </c>
      <c r="H565" s="2748">
        <f>$H$42</f>
        <v>0.03</v>
      </c>
      <c r="I565" s="2749" t="s">
        <v>424</v>
      </c>
      <c r="J565" s="2732" t="s">
        <v>610</v>
      </c>
      <c r="K565" s="2750">
        <f>ROUND((K564*(F565+H565)),2)</f>
        <v>12955.15</v>
      </c>
      <c r="L565" s="2732"/>
      <c r="M565" s="2732"/>
      <c r="N565" s="2732"/>
      <c r="Q565" s="2717"/>
      <c r="R565" s="2717"/>
      <c r="S565" s="2719"/>
      <c r="T565" s="2717"/>
      <c r="U565" s="2717"/>
      <c r="V565" s="2717"/>
    </row>
    <row r="566" spans="2:22" s="2721" customFormat="1" ht="14.1" customHeight="1" x14ac:dyDescent="0.2">
      <c r="B566" s="2711"/>
      <c r="C566" s="2880" t="s">
        <v>654</v>
      </c>
      <c r="D566" s="2752" t="s">
        <v>301</v>
      </c>
      <c r="E566" s="2815"/>
      <c r="F566" s="2815"/>
      <c r="G566" s="2815"/>
      <c r="H566" s="2816"/>
      <c r="I566" s="2815"/>
      <c r="J566" s="2755" t="s">
        <v>668</v>
      </c>
      <c r="K566" s="2756">
        <f>SUM(K564:K565)</f>
        <v>112610.15</v>
      </c>
      <c r="L566" s="2746"/>
      <c r="M566" s="2755"/>
      <c r="N566" s="2757"/>
      <c r="P566" s="2810"/>
      <c r="Q566" s="2717"/>
      <c r="R566" s="2717"/>
      <c r="S566" s="2719"/>
      <c r="T566" s="2717"/>
      <c r="U566" s="2717"/>
      <c r="V566" s="2717"/>
    </row>
    <row r="567" spans="2:22" s="2721" customFormat="1" ht="14.1" customHeight="1" x14ac:dyDescent="0.2">
      <c r="H567" s="2711"/>
      <c r="Q567" s="2717"/>
      <c r="R567" s="2717"/>
      <c r="S567" s="2719"/>
      <c r="T567" s="2717"/>
      <c r="U567" s="2717"/>
      <c r="V567" s="2717"/>
    </row>
    <row r="568" spans="2:22" s="2721" customFormat="1" ht="14.1" customHeight="1" x14ac:dyDescent="0.2">
      <c r="B568" s="2711">
        <f>B541+1</f>
        <v>29</v>
      </c>
      <c r="C568" s="2711"/>
      <c r="D568" s="2713" t="s">
        <v>471</v>
      </c>
      <c r="E568" s="2713"/>
      <c r="F568" s="2713"/>
      <c r="G568" s="2713"/>
      <c r="H568" s="2714"/>
      <c r="I568" s="2713"/>
      <c r="J568" s="2713"/>
      <c r="K568" s="2715" t="s">
        <v>1072</v>
      </c>
      <c r="L568" s="2715"/>
      <c r="M568" s="2715"/>
      <c r="N568" s="2715"/>
      <c r="O568" s="2721" t="str">
        <f>D569</f>
        <v>m'</v>
      </c>
      <c r="P568" s="2810">
        <f>K593</f>
        <v>109402.19</v>
      </c>
      <c r="Q568" s="2718">
        <f>L591</f>
        <v>0.75420720314079981</v>
      </c>
      <c r="R568" s="2717"/>
      <c r="S568" s="2719">
        <f>N591</f>
        <v>73019.399999999994</v>
      </c>
      <c r="T568" s="2515">
        <f>U568+S568</f>
        <v>82511.921999999991</v>
      </c>
      <c r="U568" s="2719">
        <f>S568*V568</f>
        <v>9492.521999999999</v>
      </c>
      <c r="V568" s="2718">
        <f>$F$42+$H$42</f>
        <v>0.13</v>
      </c>
    </row>
    <row r="569" spans="2:22" s="2721" customFormat="1" ht="14.1" customHeight="1" x14ac:dyDescent="0.2">
      <c r="B569" s="2711"/>
      <c r="C569" s="2711"/>
      <c r="D569" s="2721" t="s">
        <v>247</v>
      </c>
      <c r="H569" s="2711"/>
      <c r="Q569" s="2717"/>
      <c r="R569" s="2717"/>
      <c r="S569" s="2719"/>
      <c r="T569" s="2717"/>
      <c r="U569" s="2717"/>
      <c r="V569" s="2717"/>
    </row>
    <row r="570" spans="2:22" s="2721" customFormat="1" ht="14.1" customHeight="1" x14ac:dyDescent="0.2">
      <c r="B570" s="2711"/>
      <c r="C570" s="2711"/>
      <c r="H570" s="2711"/>
      <c r="Q570" s="2717"/>
      <c r="R570" s="2717"/>
      <c r="S570" s="2719"/>
      <c r="T570" s="2717"/>
      <c r="U570" s="2717"/>
      <c r="V570" s="2717"/>
    </row>
    <row r="571" spans="2:22" s="2721" customFormat="1" ht="14.1" customHeight="1" x14ac:dyDescent="0.2">
      <c r="B571" s="2711"/>
      <c r="C571" s="2524"/>
      <c r="D571" s="3436" t="s">
        <v>280</v>
      </c>
      <c r="E571" s="3437"/>
      <c r="F571" s="2722"/>
      <c r="G571" s="3440" t="s">
        <v>281</v>
      </c>
      <c r="H571" s="3440" t="s">
        <v>282</v>
      </c>
      <c r="I571" s="2524" t="s">
        <v>283</v>
      </c>
      <c r="J571" s="2524" t="s">
        <v>284</v>
      </c>
      <c r="K571" s="2524" t="s">
        <v>340</v>
      </c>
      <c r="L571" s="2524" t="s">
        <v>2008</v>
      </c>
      <c r="M571" s="2524" t="s">
        <v>2009</v>
      </c>
      <c r="N571" s="2524" t="s">
        <v>284</v>
      </c>
      <c r="Q571" s="2717"/>
      <c r="R571" s="2717"/>
      <c r="S571" s="2719"/>
      <c r="T571" s="2717"/>
      <c r="U571" s="2717"/>
      <c r="V571" s="2717"/>
    </row>
    <row r="572" spans="2:22" s="2721" customFormat="1" ht="14.1" customHeight="1" x14ac:dyDescent="0.2">
      <c r="B572" s="2711"/>
      <c r="C572" s="2528" t="s">
        <v>669</v>
      </c>
      <c r="D572" s="3438"/>
      <c r="E572" s="3439"/>
      <c r="F572" s="2723"/>
      <c r="G572" s="3441"/>
      <c r="H572" s="3441"/>
      <c r="I572" s="2528" t="s">
        <v>285</v>
      </c>
      <c r="J572" s="2528" t="s">
        <v>286</v>
      </c>
      <c r="K572" s="2528" t="s">
        <v>286</v>
      </c>
      <c r="L572" s="2528" t="s">
        <v>2011</v>
      </c>
      <c r="M572" s="2528"/>
      <c r="N572" s="2528" t="s">
        <v>2013</v>
      </c>
      <c r="Q572" s="2717"/>
      <c r="R572" s="2717"/>
      <c r="S572" s="2719"/>
      <c r="T572" s="2717"/>
      <c r="U572" s="2717"/>
      <c r="V572" s="2717"/>
    </row>
    <row r="573" spans="2:22" s="2721" customFormat="1" ht="14.1" customHeight="1" x14ac:dyDescent="0.2">
      <c r="B573" s="2711"/>
      <c r="C573" s="2537"/>
      <c r="D573" s="3431"/>
      <c r="E573" s="3432"/>
      <c r="F573" s="2724"/>
      <c r="G573" s="3435"/>
      <c r="H573" s="3435"/>
      <c r="I573" s="2537" t="s">
        <v>286</v>
      </c>
      <c r="J573" s="2536"/>
      <c r="K573" s="2536"/>
      <c r="L573" s="2536"/>
      <c r="M573" s="2536"/>
      <c r="N573" s="2537" t="s">
        <v>286</v>
      </c>
      <c r="Q573" s="2717"/>
      <c r="R573" s="2717"/>
      <c r="S573" s="2719"/>
      <c r="T573" s="2717"/>
      <c r="U573" s="2717"/>
      <c r="V573" s="2717"/>
    </row>
    <row r="574" spans="2:22" s="2721" customFormat="1" ht="14.1" customHeight="1" x14ac:dyDescent="0.2">
      <c r="B574" s="2711"/>
      <c r="C574" s="2524" t="s">
        <v>607</v>
      </c>
      <c r="D574" s="2895" t="s">
        <v>287</v>
      </c>
      <c r="E574" s="2871" t="s">
        <v>314</v>
      </c>
      <c r="F574" s="2881"/>
      <c r="G574" s="2537" t="s">
        <v>293</v>
      </c>
      <c r="H574" s="2873">
        <v>3.0000000000000001E-3</v>
      </c>
      <c r="I574" s="2904">
        <f>'Upah &amp; Bahan'!$I$94</f>
        <v>1100000</v>
      </c>
      <c r="J574" s="2729">
        <f t="shared" ref="J574:J580" si="43">ROUND(H574*I574,2)</f>
        <v>3300</v>
      </c>
      <c r="K574" s="2730"/>
      <c r="L574" s="3177">
        <v>1</v>
      </c>
      <c r="M574" s="2732"/>
      <c r="N574" s="2729">
        <f t="shared" ref="N574:N590" si="44">L574*J574</f>
        <v>3300</v>
      </c>
      <c r="Q574" s="2717"/>
      <c r="R574" s="2717"/>
      <c r="S574" s="2719"/>
      <c r="T574" s="2717"/>
      <c r="U574" s="2717"/>
      <c r="V574" s="2717"/>
    </row>
    <row r="575" spans="2:22" s="2721" customFormat="1" ht="14.1" customHeight="1" x14ac:dyDescent="0.2">
      <c r="B575" s="2711"/>
      <c r="C575" s="2528"/>
      <c r="D575" s="2895"/>
      <c r="E575" s="2871" t="s">
        <v>322</v>
      </c>
      <c r="F575" s="2881"/>
      <c r="G575" s="2537" t="s">
        <v>298</v>
      </c>
      <c r="H575" s="2873">
        <v>0.02</v>
      </c>
      <c r="I575" s="2904">
        <f>'Upah &amp; Bahan'!$I$117</f>
        <v>17000</v>
      </c>
      <c r="J575" s="2729">
        <f t="shared" si="43"/>
        <v>340</v>
      </c>
      <c r="K575" s="2734"/>
      <c r="L575" s="3177">
        <f>$L$350</f>
        <v>0</v>
      </c>
      <c r="M575" s="2732"/>
      <c r="N575" s="2729">
        <f t="shared" si="44"/>
        <v>0</v>
      </c>
      <c r="Q575" s="2717"/>
      <c r="R575" s="2717"/>
      <c r="S575" s="2719"/>
      <c r="T575" s="2717"/>
      <c r="U575" s="2717"/>
      <c r="V575" s="2717"/>
    </row>
    <row r="576" spans="2:22" s="2721" customFormat="1" ht="14.1" customHeight="1" x14ac:dyDescent="0.2">
      <c r="B576" s="2711"/>
      <c r="C576" s="2528"/>
      <c r="D576" s="2733"/>
      <c r="E576" s="2739" t="s">
        <v>323</v>
      </c>
      <c r="F576" s="2739"/>
      <c r="G576" s="2727" t="s">
        <v>298</v>
      </c>
      <c r="H576" s="2740">
        <v>3.6</v>
      </c>
      <c r="I576" s="2906">
        <f>'Upah &amp; Bahan'!$I$68</f>
        <v>11500</v>
      </c>
      <c r="J576" s="2729">
        <f t="shared" si="43"/>
        <v>41400</v>
      </c>
      <c r="K576" s="2733"/>
      <c r="L576" s="3177">
        <f>$L$410</f>
        <v>0.4879</v>
      </c>
      <c r="M576" s="2732" t="s">
        <v>2029</v>
      </c>
      <c r="N576" s="2729">
        <f t="shared" si="44"/>
        <v>20199.060000000001</v>
      </c>
      <c r="Q576" s="2717"/>
      <c r="R576" s="2717"/>
      <c r="S576" s="2719"/>
      <c r="T576" s="2717"/>
      <c r="U576" s="2717"/>
      <c r="V576" s="2717"/>
    </row>
    <row r="577" spans="2:22" s="2721" customFormat="1" ht="14.1" customHeight="1" x14ac:dyDescent="0.2">
      <c r="B577" s="2711"/>
      <c r="C577" s="2528"/>
      <c r="D577" s="2733"/>
      <c r="E577" s="2739" t="s">
        <v>325</v>
      </c>
      <c r="F577" s="2739"/>
      <c r="G577" s="2727" t="s">
        <v>298</v>
      </c>
      <c r="H577" s="2740">
        <v>0.05</v>
      </c>
      <c r="I577" s="2906">
        <f>'Upah &amp; Bahan'!$I$92</f>
        <v>25500</v>
      </c>
      <c r="J577" s="2729">
        <f t="shared" si="43"/>
        <v>1275</v>
      </c>
      <c r="K577" s="2733"/>
      <c r="L577" s="3177">
        <v>0</v>
      </c>
      <c r="M577" s="2732"/>
      <c r="N577" s="2729">
        <f t="shared" si="44"/>
        <v>0</v>
      </c>
      <c r="Q577" s="2717"/>
      <c r="R577" s="2717"/>
      <c r="S577" s="2719"/>
      <c r="T577" s="2717"/>
      <c r="U577" s="2717"/>
      <c r="V577" s="2717"/>
    </row>
    <row r="578" spans="2:22" s="2721" customFormat="1" ht="14.1" customHeight="1" x14ac:dyDescent="0.2">
      <c r="B578" s="2711"/>
      <c r="C578" s="2528"/>
      <c r="D578" s="2733"/>
      <c r="E578" s="2739" t="s">
        <v>300</v>
      </c>
      <c r="F578" s="2739"/>
      <c r="G578" s="2727" t="s">
        <v>298</v>
      </c>
      <c r="H578" s="2740">
        <v>5.5</v>
      </c>
      <c r="I578" s="2906">
        <f>'Upah &amp; Bahan'!$I$118</f>
        <v>1200</v>
      </c>
      <c r="J578" s="2729">
        <f t="shared" si="43"/>
        <v>6600</v>
      </c>
      <c r="K578" s="2733"/>
      <c r="L578" s="3177">
        <f>$L$192</f>
        <v>0.85140000000000005</v>
      </c>
      <c r="M578" s="2732" t="s">
        <v>2029</v>
      </c>
      <c r="N578" s="2729">
        <f t="shared" si="44"/>
        <v>5619.2400000000007</v>
      </c>
      <c r="Q578" s="2717"/>
      <c r="R578" s="2717"/>
      <c r="S578" s="2719"/>
      <c r="T578" s="2717"/>
      <c r="U578" s="2717"/>
      <c r="V578" s="2717"/>
    </row>
    <row r="579" spans="2:22" s="2721" customFormat="1" ht="14.1" customHeight="1" x14ac:dyDescent="0.2">
      <c r="B579" s="2711"/>
      <c r="C579" s="2528"/>
      <c r="D579" s="2733"/>
      <c r="E579" s="2739" t="s">
        <v>324</v>
      </c>
      <c r="F579" s="2739"/>
      <c r="G579" s="2727" t="s">
        <v>293</v>
      </c>
      <c r="H579" s="2740">
        <v>8.9999999999999993E-3</v>
      </c>
      <c r="I579" s="2906">
        <f>'Upah &amp; Bahan'!$I$120</f>
        <v>260000</v>
      </c>
      <c r="J579" s="2729">
        <f t="shared" si="43"/>
        <v>2340</v>
      </c>
      <c r="K579" s="2733"/>
      <c r="L579" s="3177">
        <v>1</v>
      </c>
      <c r="M579" s="2732"/>
      <c r="N579" s="2729">
        <f t="shared" si="44"/>
        <v>2340</v>
      </c>
      <c r="Q579" s="2717"/>
      <c r="R579" s="2717"/>
      <c r="S579" s="2719"/>
      <c r="T579" s="2717"/>
      <c r="U579" s="2717"/>
      <c r="V579" s="2717"/>
    </row>
    <row r="580" spans="2:22" s="2721" customFormat="1" ht="14.1" customHeight="1" x14ac:dyDescent="0.2">
      <c r="B580" s="2711"/>
      <c r="C580" s="2528"/>
      <c r="D580" s="2733"/>
      <c r="E580" s="2739" t="s">
        <v>326</v>
      </c>
      <c r="F580" s="2739"/>
      <c r="G580" s="2727" t="s">
        <v>293</v>
      </c>
      <c r="H580" s="2740">
        <v>1.4999999999999999E-2</v>
      </c>
      <c r="I580" s="2906">
        <f>'Upah &amp; Bahan'!$I$61</f>
        <v>270000</v>
      </c>
      <c r="J580" s="2729">
        <f t="shared" si="43"/>
        <v>4050</v>
      </c>
      <c r="K580" s="2733"/>
      <c r="L580" s="3177">
        <v>1</v>
      </c>
      <c r="M580" s="2732"/>
      <c r="N580" s="2729">
        <f t="shared" si="44"/>
        <v>4050</v>
      </c>
      <c r="Q580" s="2717"/>
      <c r="R580" s="2717"/>
      <c r="S580" s="2719"/>
      <c r="T580" s="2717"/>
      <c r="U580" s="2717"/>
      <c r="V580" s="2717"/>
    </row>
    <row r="581" spans="2:22" s="2721" customFormat="1" ht="14.1" customHeight="1" x14ac:dyDescent="0.2">
      <c r="B581" s="2711"/>
      <c r="C581" s="2537"/>
      <c r="D581" s="2733"/>
      <c r="E581" s="2736"/>
      <c r="F581" s="2741"/>
      <c r="G581" s="2742"/>
      <c r="H581" s="2743"/>
      <c r="I581" s="2907"/>
      <c r="J581" s="2813"/>
      <c r="K581" s="2729">
        <f>SUM(J574:J580)</f>
        <v>59305</v>
      </c>
      <c r="L581" s="3177"/>
      <c r="M581" s="2732"/>
      <c r="N581" s="2729">
        <f t="shared" si="44"/>
        <v>0</v>
      </c>
      <c r="Q581" s="2717"/>
      <c r="R581" s="2717"/>
      <c r="S581" s="2719"/>
      <c r="T581" s="2717"/>
      <c r="U581" s="2717"/>
      <c r="V581" s="2717"/>
    </row>
    <row r="582" spans="2:22" s="2721" customFormat="1" ht="14.1" customHeight="1" x14ac:dyDescent="0.2">
      <c r="B582" s="2711"/>
      <c r="C582" s="2524" t="s">
        <v>608</v>
      </c>
      <c r="D582" s="2725" t="s">
        <v>288</v>
      </c>
      <c r="E582" s="2739" t="s">
        <v>294</v>
      </c>
      <c r="F582" s="2739"/>
      <c r="G582" s="2727" t="s">
        <v>291</v>
      </c>
      <c r="H582" s="2740">
        <v>0.29699999999999999</v>
      </c>
      <c r="I582" s="2906">
        <f>'Upah &amp; Bahan'!$I$24</f>
        <v>88300</v>
      </c>
      <c r="J582" s="2729">
        <f t="shared" ref="J582:J587" si="45">ROUND(H582*I582,2)</f>
        <v>26225.1</v>
      </c>
      <c r="K582" s="2730"/>
      <c r="L582" s="3177">
        <f t="shared" ref="L582:L587" si="46">VLOOKUP($E582,$D$1744:$G$1761,2,0)</f>
        <v>1</v>
      </c>
      <c r="M582" s="2731" t="str">
        <f t="shared" ref="M582:M587" si="47">VLOOKUP($E582,$D$1744:$G$1761,3,0)</f>
        <v>WNI</v>
      </c>
      <c r="N582" s="2729">
        <f t="shared" si="44"/>
        <v>26225.1</v>
      </c>
      <c r="Q582" s="2717"/>
      <c r="R582" s="2717"/>
      <c r="S582" s="2719"/>
      <c r="T582" s="2717"/>
      <c r="U582" s="2717"/>
      <c r="V582" s="2717"/>
    </row>
    <row r="583" spans="2:22" s="2721" customFormat="1" ht="14.1" customHeight="1" x14ac:dyDescent="0.2">
      <c r="B583" s="2711"/>
      <c r="C583" s="2528"/>
      <c r="D583" s="2733"/>
      <c r="E583" s="2739" t="s">
        <v>313</v>
      </c>
      <c r="F583" s="2739"/>
      <c r="G583" s="2727" t="s">
        <v>291</v>
      </c>
      <c r="H583" s="2740">
        <v>3.3000000000000002E-2</v>
      </c>
      <c r="I583" s="2906">
        <f>'Upah &amp; Bahan'!$I$32</f>
        <v>90000</v>
      </c>
      <c r="J583" s="2729">
        <f t="shared" si="45"/>
        <v>2970</v>
      </c>
      <c r="K583" s="2734"/>
      <c r="L583" s="3177">
        <f t="shared" si="46"/>
        <v>1</v>
      </c>
      <c r="M583" s="2731" t="str">
        <f t="shared" si="47"/>
        <v>WNI</v>
      </c>
      <c r="N583" s="2729">
        <f t="shared" si="44"/>
        <v>2970</v>
      </c>
      <c r="Q583" s="2717"/>
      <c r="R583" s="2717"/>
      <c r="S583" s="2719"/>
      <c r="T583" s="2717"/>
      <c r="U583" s="2717"/>
      <c r="V583" s="2717"/>
    </row>
    <row r="584" spans="2:22" s="2721" customFormat="1" ht="14.1" customHeight="1" x14ac:dyDescent="0.2">
      <c r="B584" s="2711"/>
      <c r="C584" s="2528"/>
      <c r="D584" s="2733"/>
      <c r="E584" s="2739" t="s">
        <v>327</v>
      </c>
      <c r="F584" s="2739"/>
      <c r="G584" s="2727" t="s">
        <v>291</v>
      </c>
      <c r="H584" s="2740">
        <v>3.3000000000000002E-2</v>
      </c>
      <c r="I584" s="2906">
        <f>'Upah &amp; Bahan'!$I$36</f>
        <v>92000</v>
      </c>
      <c r="J584" s="2729">
        <f t="shared" si="45"/>
        <v>3036</v>
      </c>
      <c r="K584" s="2734"/>
      <c r="L584" s="3177">
        <f t="shared" si="46"/>
        <v>1</v>
      </c>
      <c r="M584" s="2731" t="str">
        <f t="shared" si="47"/>
        <v>WNI</v>
      </c>
      <c r="N584" s="2729">
        <f t="shared" si="44"/>
        <v>3036</v>
      </c>
      <c r="Q584" s="2717"/>
      <c r="R584" s="2717"/>
      <c r="S584" s="2719"/>
      <c r="T584" s="2717"/>
      <c r="U584" s="2717"/>
      <c r="V584" s="2717"/>
    </row>
    <row r="585" spans="2:22" s="2721" customFormat="1" ht="14.1" customHeight="1" x14ac:dyDescent="0.2">
      <c r="B585" s="2711"/>
      <c r="C585" s="2528"/>
      <c r="D585" s="2733"/>
      <c r="E585" s="2739" t="s">
        <v>328</v>
      </c>
      <c r="F585" s="2739"/>
      <c r="G585" s="2727" t="s">
        <v>291</v>
      </c>
      <c r="H585" s="2740">
        <v>3.3000000000000002E-2</v>
      </c>
      <c r="I585" s="2906">
        <f>'Upah &amp; Bahan'!$I$33</f>
        <v>90000</v>
      </c>
      <c r="J585" s="2729">
        <f t="shared" si="45"/>
        <v>2970</v>
      </c>
      <c r="K585" s="2733"/>
      <c r="L585" s="3177">
        <f t="shared" si="46"/>
        <v>1</v>
      </c>
      <c r="M585" s="2731" t="str">
        <f t="shared" si="47"/>
        <v>WNI</v>
      </c>
      <c r="N585" s="2729">
        <f t="shared" si="44"/>
        <v>2970</v>
      </c>
      <c r="Q585" s="2717"/>
      <c r="R585" s="2717"/>
      <c r="S585" s="2719"/>
      <c r="T585" s="2717"/>
      <c r="U585" s="2717"/>
      <c r="V585" s="2717"/>
    </row>
    <row r="586" spans="2:22" s="2721" customFormat="1" ht="14.1" customHeight="1" x14ac:dyDescent="0.2">
      <c r="B586" s="2711"/>
      <c r="C586" s="2528"/>
      <c r="D586" s="2733"/>
      <c r="E586" s="2739" t="s">
        <v>296</v>
      </c>
      <c r="F586" s="2739"/>
      <c r="G586" s="2727" t="s">
        <v>291</v>
      </c>
      <c r="H586" s="2740">
        <v>0.01</v>
      </c>
      <c r="I586" s="2906">
        <f>'Upah &amp; Bahan'!$I$26</f>
        <v>96000</v>
      </c>
      <c r="J586" s="2729">
        <f t="shared" si="45"/>
        <v>960</v>
      </c>
      <c r="K586" s="2733"/>
      <c r="L586" s="3177">
        <f t="shared" si="46"/>
        <v>1</v>
      </c>
      <c r="M586" s="2731" t="str">
        <f t="shared" si="47"/>
        <v>WNI</v>
      </c>
      <c r="N586" s="2729">
        <f t="shared" si="44"/>
        <v>960</v>
      </c>
      <c r="Q586" s="2717"/>
      <c r="R586" s="2717"/>
      <c r="S586" s="2719"/>
      <c r="T586" s="2717"/>
      <c r="U586" s="2717"/>
      <c r="V586" s="2717"/>
    </row>
    <row r="587" spans="2:22" s="2721" customFormat="1" ht="14.1" customHeight="1" x14ac:dyDescent="0.2">
      <c r="B587" s="2711"/>
      <c r="C587" s="2528"/>
      <c r="D587" s="2733"/>
      <c r="E587" s="2739" t="s">
        <v>290</v>
      </c>
      <c r="F587" s="2739"/>
      <c r="G587" s="2727" t="s">
        <v>291</v>
      </c>
      <c r="H587" s="2740">
        <v>1.4999999999999999E-2</v>
      </c>
      <c r="I587" s="2906">
        <f>'Upah &amp; Bahan'!$I$31</f>
        <v>90000</v>
      </c>
      <c r="J587" s="2729">
        <f t="shared" si="45"/>
        <v>1350</v>
      </c>
      <c r="K587" s="2536"/>
      <c r="L587" s="3177">
        <f t="shared" si="46"/>
        <v>1</v>
      </c>
      <c r="M587" s="2731" t="str">
        <f t="shared" si="47"/>
        <v>WNI</v>
      </c>
      <c r="N587" s="2729">
        <f t="shared" si="44"/>
        <v>1350</v>
      </c>
      <c r="Q587" s="2717"/>
      <c r="R587" s="2717"/>
      <c r="S587" s="2719"/>
      <c r="T587" s="2717"/>
      <c r="U587" s="2717"/>
      <c r="V587" s="2717"/>
    </row>
    <row r="588" spans="2:22" s="2721" customFormat="1" ht="14.1" customHeight="1" x14ac:dyDescent="0.2">
      <c r="B588" s="2711"/>
      <c r="C588" s="2537"/>
      <c r="D588" s="2536"/>
      <c r="E588" s="2736"/>
      <c r="F588" s="2741"/>
      <c r="G588" s="2742"/>
      <c r="H588" s="2743"/>
      <c r="I588" s="2907"/>
      <c r="J588" s="2908"/>
      <c r="K588" s="2732">
        <f>SUM(J582:J587)</f>
        <v>37511.1</v>
      </c>
      <c r="L588" s="3177"/>
      <c r="M588" s="2732"/>
      <c r="N588" s="2729">
        <f t="shared" si="44"/>
        <v>0</v>
      </c>
      <c r="Q588" s="2717"/>
      <c r="R588" s="2717"/>
      <c r="S588" s="2719"/>
      <c r="T588" s="2717"/>
      <c r="U588" s="2717"/>
      <c r="V588" s="2717"/>
    </row>
    <row r="589" spans="2:22" s="2721" customFormat="1" ht="14.1" customHeight="1" x14ac:dyDescent="0.2">
      <c r="B589" s="2711"/>
      <c r="C589" s="2528" t="s">
        <v>609</v>
      </c>
      <c r="D589" s="2725" t="s">
        <v>606</v>
      </c>
      <c r="E589" s="2739"/>
      <c r="F589" s="2739"/>
      <c r="G589" s="2727"/>
      <c r="H589" s="2740"/>
      <c r="I589" s="2814"/>
      <c r="J589" s="2729"/>
      <c r="K589" s="2730"/>
      <c r="L589" s="3177"/>
      <c r="M589" s="2732"/>
      <c r="N589" s="2729">
        <f t="shared" si="44"/>
        <v>0</v>
      </c>
      <c r="Q589" s="2717"/>
      <c r="R589" s="2717"/>
      <c r="S589" s="2719"/>
      <c r="T589" s="2717"/>
      <c r="U589" s="2717"/>
      <c r="V589" s="2717"/>
    </row>
    <row r="590" spans="2:22" s="2721" customFormat="1" ht="14.1" customHeight="1" x14ac:dyDescent="0.2">
      <c r="B590" s="2711"/>
      <c r="C590" s="2537"/>
      <c r="D590" s="2536"/>
      <c r="E590" s="2736"/>
      <c r="F590" s="2741"/>
      <c r="G590" s="2742"/>
      <c r="H590" s="2743"/>
      <c r="I590" s="2744"/>
      <c r="J590" s="2813"/>
      <c r="K590" s="2732">
        <f>SUM(J589:J589)</f>
        <v>0</v>
      </c>
      <c r="L590" s="3177"/>
      <c r="M590" s="2732"/>
      <c r="N590" s="2729">
        <f t="shared" si="44"/>
        <v>0</v>
      </c>
      <c r="Q590" s="2717"/>
      <c r="R590" s="2717"/>
      <c r="S590" s="2719"/>
      <c r="T590" s="2717"/>
      <c r="U590" s="2717"/>
      <c r="V590" s="2717"/>
    </row>
    <row r="591" spans="2:22" s="2721" customFormat="1" ht="14.1" customHeight="1" x14ac:dyDescent="0.2">
      <c r="B591" s="2711"/>
      <c r="C591" s="2727" t="s">
        <v>610</v>
      </c>
      <c r="D591" s="2738" t="s">
        <v>651</v>
      </c>
      <c r="E591" s="2741"/>
      <c r="F591" s="2741"/>
      <c r="G591" s="2742"/>
      <c r="H591" s="2743"/>
      <c r="I591" s="2744"/>
      <c r="J591" s="2745" t="s">
        <v>652</v>
      </c>
      <c r="K591" s="2732">
        <f>K581+K588+K590</f>
        <v>96816.1</v>
      </c>
      <c r="L591" s="3179">
        <f>N591/K591</f>
        <v>0.75420720314079981</v>
      </c>
      <c r="M591" s="2745"/>
      <c r="N591" s="2747">
        <f>SUM(N573:N590)</f>
        <v>73019.399999999994</v>
      </c>
      <c r="Q591" s="2717"/>
      <c r="R591" s="2717"/>
      <c r="S591" s="2719"/>
      <c r="T591" s="2717"/>
      <c r="U591" s="2717"/>
      <c r="V591" s="2717"/>
    </row>
    <row r="592" spans="2:22" s="2721" customFormat="1" ht="14.1" customHeight="1" x14ac:dyDescent="0.2">
      <c r="B592" s="2711"/>
      <c r="C592" s="2537" t="s">
        <v>611</v>
      </c>
      <c r="D592" s="2738" t="s">
        <v>653</v>
      </c>
      <c r="E592" s="2741"/>
      <c r="F592" s="2748">
        <f>$F$42</f>
        <v>0.1</v>
      </c>
      <c r="G592" s="2727" t="s">
        <v>425</v>
      </c>
      <c r="H592" s="2748">
        <f>$H$42</f>
        <v>0.03</v>
      </c>
      <c r="I592" s="2749" t="s">
        <v>424</v>
      </c>
      <c r="J592" s="2732" t="s">
        <v>610</v>
      </c>
      <c r="K592" s="2750">
        <f>ROUND((K591*(F592+H592)),2)</f>
        <v>12586.09</v>
      </c>
      <c r="L592" s="2732"/>
      <c r="M592" s="2732"/>
      <c r="N592" s="2732"/>
      <c r="Q592" s="2717"/>
      <c r="R592" s="2717"/>
      <c r="S592" s="2719"/>
      <c r="T592" s="2717"/>
      <c r="U592" s="2717"/>
      <c r="V592" s="2717"/>
    </row>
    <row r="593" spans="2:22" s="2721" customFormat="1" ht="14.1" customHeight="1" x14ac:dyDescent="0.2">
      <c r="B593" s="2711"/>
      <c r="C593" s="2880" t="s">
        <v>654</v>
      </c>
      <c r="D593" s="2752" t="s">
        <v>301</v>
      </c>
      <c r="E593" s="2815"/>
      <c r="F593" s="2815"/>
      <c r="G593" s="2815"/>
      <c r="H593" s="2816"/>
      <c r="I593" s="2815"/>
      <c r="J593" s="2755" t="s">
        <v>668</v>
      </c>
      <c r="K593" s="2756">
        <f>SUM(K591:K592)</f>
        <v>109402.19</v>
      </c>
      <c r="L593" s="2746"/>
      <c r="M593" s="2755"/>
      <c r="N593" s="2757"/>
      <c r="Q593" s="2717"/>
      <c r="R593" s="2717"/>
      <c r="S593" s="2719"/>
      <c r="T593" s="2717"/>
      <c r="U593" s="2717"/>
      <c r="V593" s="2717"/>
    </row>
    <row r="594" spans="2:22" s="2721" customFormat="1" ht="14.1" customHeight="1" x14ac:dyDescent="0.2">
      <c r="H594" s="2711"/>
      <c r="Q594" s="2717"/>
      <c r="R594" s="2717"/>
      <c r="S594" s="2719"/>
      <c r="T594" s="2717"/>
      <c r="U594" s="2717"/>
      <c r="V594" s="2717"/>
    </row>
    <row r="595" spans="2:22" s="2720" customFormat="1" ht="14.1" customHeight="1" x14ac:dyDescent="0.2">
      <c r="B595" s="2711">
        <f>B568+1</f>
        <v>30</v>
      </c>
      <c r="C595" s="2711"/>
      <c r="D595" s="2713" t="s">
        <v>786</v>
      </c>
      <c r="E595" s="2713"/>
      <c r="F595" s="2713"/>
      <c r="G595" s="2713"/>
      <c r="H595" s="2714"/>
      <c r="I595" s="2713"/>
      <c r="J595" s="2713"/>
      <c r="K595" s="2715" t="s">
        <v>787</v>
      </c>
      <c r="L595" s="2715"/>
      <c r="M595" s="2715"/>
      <c r="N595" s="2715"/>
      <c r="O595" s="2716" t="str">
        <f>D596</f>
        <v>m2</v>
      </c>
      <c r="P595" s="2717">
        <f>K612</f>
        <v>54047.9</v>
      </c>
      <c r="Q595" s="2718">
        <f>L610</f>
        <v>0.47799105164122929</v>
      </c>
      <c r="R595" s="2717"/>
      <c r="S595" s="2719">
        <f>N610</f>
        <v>22862.311999999998</v>
      </c>
      <c r="T595" s="2515">
        <f>U595+S595</f>
        <v>25834.412559999997</v>
      </c>
      <c r="U595" s="2719">
        <f>S595*V595</f>
        <v>2972.1005599999999</v>
      </c>
      <c r="V595" s="2718">
        <f>$F$42+$H$42</f>
        <v>0.13</v>
      </c>
    </row>
    <row r="596" spans="2:22" s="2720" customFormat="1" ht="14.1" customHeight="1" x14ac:dyDescent="0.2">
      <c r="B596" s="2711"/>
      <c r="C596" s="2711"/>
      <c r="D596" s="2721" t="s">
        <v>338</v>
      </c>
      <c r="E596" s="2721"/>
      <c r="F596" s="2721"/>
      <c r="G596" s="2721"/>
      <c r="H596" s="2711"/>
      <c r="I596" s="2721"/>
      <c r="J596" s="2721"/>
      <c r="K596" s="2721"/>
      <c r="L596" s="2721"/>
      <c r="M596" s="2721"/>
      <c r="N596" s="2721"/>
      <c r="O596" s="2716"/>
      <c r="Q596" s="2717"/>
      <c r="R596" s="2717"/>
      <c r="S596" s="2719"/>
      <c r="T596" s="2717"/>
      <c r="U596" s="2717"/>
      <c r="V596" s="2717"/>
    </row>
    <row r="597" spans="2:22" s="2720" customFormat="1" ht="14.1" customHeight="1" x14ac:dyDescent="0.2">
      <c r="B597" s="2711"/>
      <c r="C597" s="2524"/>
      <c r="D597" s="3427" t="s">
        <v>280</v>
      </c>
      <c r="E597" s="3428"/>
      <c r="F597" s="2722"/>
      <c r="G597" s="3433" t="s">
        <v>281</v>
      </c>
      <c r="H597" s="3433" t="s">
        <v>282</v>
      </c>
      <c r="I597" s="2524" t="s">
        <v>283</v>
      </c>
      <c r="J597" s="2524" t="s">
        <v>284</v>
      </c>
      <c r="K597" s="2524" t="s">
        <v>340</v>
      </c>
      <c r="L597" s="2524" t="s">
        <v>2008</v>
      </c>
      <c r="M597" s="2524" t="s">
        <v>2009</v>
      </c>
      <c r="N597" s="2524" t="s">
        <v>284</v>
      </c>
      <c r="O597" s="2716"/>
      <c r="Q597" s="2717"/>
      <c r="R597" s="2717"/>
      <c r="S597" s="2719"/>
      <c r="T597" s="2717"/>
      <c r="U597" s="2717"/>
      <c r="V597" s="2717"/>
    </row>
    <row r="598" spans="2:22" s="2720" customFormat="1" ht="14.1" customHeight="1" x14ac:dyDescent="0.2">
      <c r="B598" s="2711"/>
      <c r="C598" s="2528" t="s">
        <v>669</v>
      </c>
      <c r="D598" s="3429"/>
      <c r="E598" s="3430"/>
      <c r="F598" s="2723"/>
      <c r="G598" s="3434"/>
      <c r="H598" s="3434"/>
      <c r="I598" s="2528" t="s">
        <v>285</v>
      </c>
      <c r="J598" s="2528" t="s">
        <v>286</v>
      </c>
      <c r="K598" s="2528" t="s">
        <v>286</v>
      </c>
      <c r="L598" s="2528" t="s">
        <v>2011</v>
      </c>
      <c r="M598" s="2528"/>
      <c r="N598" s="2528" t="s">
        <v>2013</v>
      </c>
      <c r="O598" s="2716"/>
      <c r="Q598" s="2717"/>
      <c r="R598" s="2717"/>
      <c r="S598" s="2719"/>
      <c r="T598" s="2717"/>
      <c r="U598" s="2717"/>
      <c r="V598" s="2717"/>
    </row>
    <row r="599" spans="2:22" s="2720" customFormat="1" ht="14.1" customHeight="1" x14ac:dyDescent="0.2">
      <c r="B599" s="2711"/>
      <c r="C599" s="2537"/>
      <c r="D599" s="3431"/>
      <c r="E599" s="3432"/>
      <c r="F599" s="2724"/>
      <c r="G599" s="3435"/>
      <c r="H599" s="3435"/>
      <c r="I599" s="2537" t="s">
        <v>286</v>
      </c>
      <c r="J599" s="2536"/>
      <c r="K599" s="2536"/>
      <c r="L599" s="2536"/>
      <c r="M599" s="2536"/>
      <c r="N599" s="2537" t="s">
        <v>286</v>
      </c>
      <c r="O599" s="2716"/>
      <c r="Q599" s="2717"/>
      <c r="R599" s="2717"/>
      <c r="S599" s="2719"/>
      <c r="T599" s="2717"/>
      <c r="U599" s="2717"/>
      <c r="V599" s="2717"/>
    </row>
    <row r="600" spans="2:22" s="2720" customFormat="1" ht="14.1" customHeight="1" x14ac:dyDescent="0.2">
      <c r="B600" s="2711"/>
      <c r="C600" s="2524" t="s">
        <v>607</v>
      </c>
      <c r="D600" s="2733" t="s">
        <v>287</v>
      </c>
      <c r="E600" s="2739" t="s">
        <v>271</v>
      </c>
      <c r="F600" s="2739"/>
      <c r="G600" s="2727" t="s">
        <v>329</v>
      </c>
      <c r="H600" s="2740">
        <v>0.36399999999999999</v>
      </c>
      <c r="I600" s="2906">
        <f>'Upah &amp; Bahan'!$I$80</f>
        <v>85000</v>
      </c>
      <c r="J600" s="2729">
        <f>ROUND(H600*I600,2)</f>
        <v>30940</v>
      </c>
      <c r="K600" s="2730"/>
      <c r="L600" s="3177">
        <v>0.27479999999999999</v>
      </c>
      <c r="M600" s="2732"/>
      <c r="N600" s="2729">
        <f t="shared" ref="N600:N609" si="48">L600*J600</f>
        <v>8502.3119999999999</v>
      </c>
      <c r="O600" s="2716"/>
      <c r="Q600" s="2717"/>
      <c r="R600" s="2717"/>
      <c r="S600" s="2719"/>
      <c r="T600" s="2717"/>
      <c r="U600" s="2717"/>
      <c r="V600" s="2717"/>
    </row>
    <row r="601" spans="2:22" s="2720" customFormat="1" ht="14.1" customHeight="1" x14ac:dyDescent="0.2">
      <c r="B601" s="2711"/>
      <c r="C601" s="2528"/>
      <c r="D601" s="2733"/>
      <c r="E601" s="2739" t="s">
        <v>272</v>
      </c>
      <c r="F601" s="2739"/>
      <c r="G601" s="2727" t="s">
        <v>298</v>
      </c>
      <c r="H601" s="2740">
        <v>0.11</v>
      </c>
      <c r="I601" s="2906">
        <f>'Upah &amp; Bahan'!$I$116</f>
        <v>23000</v>
      </c>
      <c r="J601" s="2729">
        <f>ROUND(H601*I601,2)</f>
        <v>2530</v>
      </c>
      <c r="K601" s="2734"/>
      <c r="L601" s="3177">
        <v>0</v>
      </c>
      <c r="M601" s="2732"/>
      <c r="N601" s="2729">
        <f t="shared" si="48"/>
        <v>0</v>
      </c>
      <c r="O601" s="2716"/>
      <c r="Q601" s="2717"/>
      <c r="R601" s="2717"/>
      <c r="S601" s="2719"/>
      <c r="T601" s="2717"/>
      <c r="U601" s="2717"/>
      <c r="V601" s="2717"/>
    </row>
    <row r="602" spans="2:22" s="2720" customFormat="1" ht="14.1" customHeight="1" x14ac:dyDescent="0.2">
      <c r="B602" s="2711"/>
      <c r="C602" s="2537"/>
      <c r="D602" s="2733"/>
      <c r="E602" s="2736"/>
      <c r="F602" s="2741"/>
      <c r="G602" s="2742"/>
      <c r="H602" s="2743"/>
      <c r="I602" s="2907"/>
      <c r="J602" s="2813"/>
      <c r="K602" s="2729">
        <f>SUM(J600:J601)</f>
        <v>33470</v>
      </c>
      <c r="L602" s="3177"/>
      <c r="M602" s="2732"/>
      <c r="N602" s="2729">
        <f t="shared" si="48"/>
        <v>0</v>
      </c>
      <c r="O602" s="2716"/>
      <c r="Q602" s="2717"/>
      <c r="R602" s="2717"/>
      <c r="S602" s="2719"/>
      <c r="T602" s="2717"/>
      <c r="U602" s="2717"/>
      <c r="V602" s="2717"/>
    </row>
    <row r="603" spans="2:22" s="2720" customFormat="1" ht="14.1" customHeight="1" x14ac:dyDescent="0.2">
      <c r="B603" s="2711"/>
      <c r="C603" s="2524" t="s">
        <v>608</v>
      </c>
      <c r="D603" s="2725" t="s">
        <v>288</v>
      </c>
      <c r="E603" s="2739" t="s">
        <v>294</v>
      </c>
      <c r="F603" s="2739"/>
      <c r="G603" s="2727" t="s">
        <v>291</v>
      </c>
      <c r="H603" s="2740">
        <v>0.1</v>
      </c>
      <c r="I603" s="2906">
        <f>'Upah &amp; Bahan'!$I$24</f>
        <v>88300</v>
      </c>
      <c r="J603" s="2729">
        <f>ROUND(H603*I603,2)</f>
        <v>8830</v>
      </c>
      <c r="K603" s="2730"/>
      <c r="L603" s="3177">
        <f>VLOOKUP($E603,$D$1744:$G$1761,2,0)</f>
        <v>1</v>
      </c>
      <c r="M603" s="2731" t="str">
        <f>VLOOKUP($E603,$D$1744:$G$1761,3,0)</f>
        <v>WNI</v>
      </c>
      <c r="N603" s="2729">
        <f t="shared" si="48"/>
        <v>8830</v>
      </c>
      <c r="O603" s="2716"/>
      <c r="Q603" s="2717"/>
      <c r="R603" s="2717"/>
      <c r="S603" s="2719"/>
      <c r="T603" s="2717"/>
      <c r="U603" s="2717"/>
      <c r="V603" s="2717"/>
    </row>
    <row r="604" spans="2:22" s="2720" customFormat="1" ht="14.1" customHeight="1" x14ac:dyDescent="0.2">
      <c r="B604" s="2711"/>
      <c r="C604" s="2528"/>
      <c r="D604" s="2733"/>
      <c r="E604" s="2739" t="s">
        <v>334</v>
      </c>
      <c r="F604" s="2739"/>
      <c r="G604" s="2727" t="s">
        <v>291</v>
      </c>
      <c r="H604" s="2740">
        <v>0.05</v>
      </c>
      <c r="I604" s="2906">
        <f>'Upah &amp; Bahan'!$I$36</f>
        <v>92000</v>
      </c>
      <c r="J604" s="2729">
        <f>ROUND(H604*I604,2)</f>
        <v>4600</v>
      </c>
      <c r="K604" s="2734"/>
      <c r="L604" s="3177">
        <f>VLOOKUP($E604,$D$1744:$G$1761,2,0)</f>
        <v>1</v>
      </c>
      <c r="M604" s="2731" t="str">
        <f>VLOOKUP($E604,$D$1744:$G$1761,3,0)</f>
        <v>WNI</v>
      </c>
      <c r="N604" s="2729">
        <f t="shared" si="48"/>
        <v>4600</v>
      </c>
      <c r="O604" s="2716"/>
      <c r="Q604" s="2717"/>
      <c r="R604" s="2717"/>
      <c r="S604" s="2719"/>
      <c r="T604" s="2717"/>
      <c r="U604" s="2717"/>
      <c r="V604" s="2717"/>
    </row>
    <row r="605" spans="2:22" s="2720" customFormat="1" ht="14.1" customHeight="1" x14ac:dyDescent="0.2">
      <c r="B605" s="2711"/>
      <c r="C605" s="2528"/>
      <c r="D605" s="2733"/>
      <c r="E605" s="2739" t="s">
        <v>716</v>
      </c>
      <c r="F605" s="2739"/>
      <c r="G605" s="2727" t="s">
        <v>291</v>
      </c>
      <c r="H605" s="2740">
        <v>5.0000000000000001E-3</v>
      </c>
      <c r="I605" s="2906">
        <f>'Upah &amp; Bahan'!$I$30</f>
        <v>96000</v>
      </c>
      <c r="J605" s="2729">
        <f>ROUND(H605*I605,2)</f>
        <v>480</v>
      </c>
      <c r="K605" s="2734"/>
      <c r="L605" s="3177">
        <f>VLOOKUP($E605,$D$1744:$G$1761,2,0)</f>
        <v>1</v>
      </c>
      <c r="M605" s="2731" t="str">
        <f>VLOOKUP($E605,$D$1744:$G$1761,3,0)</f>
        <v>WNI</v>
      </c>
      <c r="N605" s="2729">
        <f t="shared" si="48"/>
        <v>480</v>
      </c>
      <c r="O605" s="2716"/>
      <c r="Q605" s="2717"/>
      <c r="R605" s="2717"/>
      <c r="S605" s="2719"/>
      <c r="T605" s="2717"/>
      <c r="U605" s="2717"/>
      <c r="V605" s="2717"/>
    </row>
    <row r="606" spans="2:22" s="2720" customFormat="1" ht="14.1" customHeight="1" x14ac:dyDescent="0.2">
      <c r="B606" s="2711"/>
      <c r="C606" s="2528"/>
      <c r="D606" s="2733"/>
      <c r="E606" s="2739" t="s">
        <v>290</v>
      </c>
      <c r="F606" s="2739"/>
      <c r="G606" s="2727" t="s">
        <v>291</v>
      </c>
      <c r="H606" s="2740">
        <v>5.0000000000000001E-3</v>
      </c>
      <c r="I606" s="2906">
        <f>'Upah &amp; Bahan'!$I$31</f>
        <v>90000</v>
      </c>
      <c r="J606" s="2729">
        <f>ROUND(H606*I606,2)</f>
        <v>450</v>
      </c>
      <c r="K606" s="2733"/>
      <c r="L606" s="3177">
        <f>VLOOKUP($E606,$D$1744:$G$1761,2,0)</f>
        <v>1</v>
      </c>
      <c r="M606" s="2731" t="str">
        <f>VLOOKUP($E606,$D$1744:$G$1761,3,0)</f>
        <v>WNI</v>
      </c>
      <c r="N606" s="2729">
        <f t="shared" si="48"/>
        <v>450</v>
      </c>
      <c r="O606" s="2716"/>
      <c r="Q606" s="2717"/>
      <c r="R606" s="2717"/>
      <c r="S606" s="2719"/>
      <c r="T606" s="2717"/>
      <c r="U606" s="2717"/>
      <c r="V606" s="2717"/>
    </row>
    <row r="607" spans="2:22" s="2720" customFormat="1" ht="14.1" customHeight="1" x14ac:dyDescent="0.2">
      <c r="B607" s="2711"/>
      <c r="C607" s="2537"/>
      <c r="D607" s="2536"/>
      <c r="E607" s="2736"/>
      <c r="F607" s="2741"/>
      <c r="G607" s="2742"/>
      <c r="H607" s="2743"/>
      <c r="I607" s="2907"/>
      <c r="J607" s="2813"/>
      <c r="K607" s="2732">
        <f>SUM(J603:J606)</f>
        <v>14360</v>
      </c>
      <c r="L607" s="3177"/>
      <c r="M607" s="2732"/>
      <c r="N607" s="2729">
        <f t="shared" si="48"/>
        <v>0</v>
      </c>
      <c r="O607" s="2716"/>
      <c r="Q607" s="2717"/>
      <c r="R607" s="2717"/>
      <c r="S607" s="2719"/>
      <c r="T607" s="2717"/>
      <c r="U607" s="2717"/>
      <c r="V607" s="2717"/>
    </row>
    <row r="608" spans="2:22" s="2720" customFormat="1" ht="14.1" customHeight="1" x14ac:dyDescent="0.2">
      <c r="B608" s="2711"/>
      <c r="C608" s="2528" t="s">
        <v>609</v>
      </c>
      <c r="D608" s="2725" t="s">
        <v>606</v>
      </c>
      <c r="E608" s="2739"/>
      <c r="F608" s="2739"/>
      <c r="G608" s="2727"/>
      <c r="H608" s="2740"/>
      <c r="I608" s="2814"/>
      <c r="J608" s="2729"/>
      <c r="K608" s="2730"/>
      <c r="L608" s="3177"/>
      <c r="M608" s="2732"/>
      <c r="N608" s="2729">
        <f t="shared" si="48"/>
        <v>0</v>
      </c>
      <c r="O608" s="2716"/>
      <c r="Q608" s="2717"/>
      <c r="R608" s="2717"/>
      <c r="S608" s="2719"/>
      <c r="T608" s="2717"/>
      <c r="U608" s="2717"/>
      <c r="V608" s="2717"/>
    </row>
    <row r="609" spans="2:22" s="2720" customFormat="1" ht="14.1" customHeight="1" x14ac:dyDescent="0.2">
      <c r="B609" s="2711"/>
      <c r="C609" s="2537"/>
      <c r="D609" s="2536"/>
      <c r="E609" s="2736"/>
      <c r="F609" s="2741"/>
      <c r="G609" s="2742"/>
      <c r="H609" s="2743"/>
      <c r="I609" s="2744"/>
      <c r="J609" s="2813"/>
      <c r="K609" s="2732">
        <f>SUM(J608:J608)</f>
        <v>0</v>
      </c>
      <c r="L609" s="3177"/>
      <c r="M609" s="2732"/>
      <c r="N609" s="2729">
        <f t="shared" si="48"/>
        <v>0</v>
      </c>
      <c r="O609" s="2716"/>
      <c r="Q609" s="2717"/>
      <c r="R609" s="2717"/>
      <c r="S609" s="2719"/>
      <c r="T609" s="2717"/>
      <c r="U609" s="2717"/>
      <c r="V609" s="2717"/>
    </row>
    <row r="610" spans="2:22" s="2720" customFormat="1" ht="14.1" customHeight="1" x14ac:dyDescent="0.2">
      <c r="B610" s="2711"/>
      <c r="C610" s="2727" t="s">
        <v>610</v>
      </c>
      <c r="D610" s="2738" t="s">
        <v>651</v>
      </c>
      <c r="E610" s="2741"/>
      <c r="F610" s="2741"/>
      <c r="G610" s="2742"/>
      <c r="H610" s="2743"/>
      <c r="I610" s="2744"/>
      <c r="J610" s="2745" t="s">
        <v>652</v>
      </c>
      <c r="K610" s="2732">
        <f>K602+K607+K609</f>
        <v>47830</v>
      </c>
      <c r="L610" s="3179">
        <f>N610/K610</f>
        <v>0.47799105164122929</v>
      </c>
      <c r="M610" s="2745"/>
      <c r="N610" s="2747">
        <f>SUM(N599:N609)</f>
        <v>22862.311999999998</v>
      </c>
      <c r="O610" s="2716"/>
      <c r="Q610" s="2717"/>
      <c r="R610" s="2717"/>
      <c r="S610" s="2719"/>
      <c r="T610" s="2717"/>
      <c r="U610" s="2717"/>
      <c r="V610" s="2717"/>
    </row>
    <row r="611" spans="2:22" s="2720" customFormat="1" ht="14.1" customHeight="1" x14ac:dyDescent="0.2">
      <c r="B611" s="2711"/>
      <c r="C611" s="2537" t="s">
        <v>611</v>
      </c>
      <c r="D611" s="2738" t="s">
        <v>653</v>
      </c>
      <c r="E611" s="2741"/>
      <c r="F611" s="2748">
        <f>$F$42</f>
        <v>0.1</v>
      </c>
      <c r="G611" s="2727" t="s">
        <v>425</v>
      </c>
      <c r="H611" s="2748">
        <f>$H$42</f>
        <v>0.03</v>
      </c>
      <c r="I611" s="2749" t="s">
        <v>424</v>
      </c>
      <c r="J611" s="2732" t="s">
        <v>610</v>
      </c>
      <c r="K611" s="2750">
        <f>ROUND((K610*(F611+H611)),2)</f>
        <v>6217.9</v>
      </c>
      <c r="L611" s="2732"/>
      <c r="M611" s="2732"/>
      <c r="N611" s="2732"/>
      <c r="O611" s="2716"/>
      <c r="Q611" s="2717"/>
      <c r="R611" s="2717"/>
      <c r="S611" s="2719"/>
      <c r="T611" s="2717"/>
      <c r="U611" s="2717"/>
      <c r="V611" s="2717"/>
    </row>
    <row r="612" spans="2:22" s="2720" customFormat="1" ht="14.1" customHeight="1" x14ac:dyDescent="0.2">
      <c r="B612" s="2711"/>
      <c r="C612" s="2880" t="s">
        <v>654</v>
      </c>
      <c r="D612" s="2752" t="s">
        <v>301</v>
      </c>
      <c r="E612" s="2815"/>
      <c r="F612" s="2815"/>
      <c r="G612" s="2815"/>
      <c r="H612" s="2816"/>
      <c r="I612" s="2815"/>
      <c r="J612" s="2755" t="s">
        <v>668</v>
      </c>
      <c r="K612" s="2756">
        <f>SUM(K610:K611)</f>
        <v>54047.9</v>
      </c>
      <c r="L612" s="2746"/>
      <c r="M612" s="2755"/>
      <c r="N612" s="2757"/>
      <c r="O612" s="2716"/>
      <c r="Q612" s="2717"/>
      <c r="R612" s="2717"/>
      <c r="S612" s="2719"/>
      <c r="T612" s="2717"/>
      <c r="U612" s="2717"/>
      <c r="V612" s="2717"/>
    </row>
    <row r="613" spans="2:22" x14ac:dyDescent="0.25">
      <c r="Q613" s="2717"/>
      <c r="R613" s="2717"/>
      <c r="S613" s="2719"/>
      <c r="T613" s="2717"/>
      <c r="U613" s="2717"/>
      <c r="V613" s="2717"/>
    </row>
    <row r="614" spans="2:22" s="2721" customFormat="1" ht="14.1" customHeight="1" x14ac:dyDescent="0.2">
      <c r="B614" s="2711">
        <f>B595+1</f>
        <v>31</v>
      </c>
      <c r="C614" s="2711"/>
      <c r="D614" s="2713" t="s">
        <v>1815</v>
      </c>
      <c r="E614" s="2713"/>
      <c r="F614" s="2713"/>
      <c r="G614" s="2713"/>
      <c r="H614" s="2714"/>
      <c r="I614" s="2713"/>
      <c r="J614" s="2713"/>
      <c r="K614" s="2715" t="s">
        <v>1271</v>
      </c>
      <c r="L614" s="2715"/>
      <c r="M614" s="2715"/>
      <c r="N614" s="2715"/>
      <c r="O614" s="2721" t="str">
        <f>D615</f>
        <v>m2</v>
      </c>
      <c r="P614" s="2810">
        <f>K631</f>
        <v>167579</v>
      </c>
      <c r="Q614" s="2718">
        <f>L629</f>
        <v>0.65594032366824007</v>
      </c>
      <c r="R614" s="2717"/>
      <c r="S614" s="2719">
        <f>N629</f>
        <v>97275.95</v>
      </c>
      <c r="T614" s="2515">
        <f>U614+S614</f>
        <v>109921.8235</v>
      </c>
      <c r="U614" s="2719">
        <f>S614*V614</f>
        <v>12645.8735</v>
      </c>
      <c r="V614" s="2718">
        <f>$F$42+$H$42</f>
        <v>0.13</v>
      </c>
    </row>
    <row r="615" spans="2:22" s="2721" customFormat="1" ht="14.1" customHeight="1" x14ac:dyDescent="0.2">
      <c r="B615" s="2711"/>
      <c r="C615" s="2711"/>
      <c r="D615" s="2721" t="s">
        <v>338</v>
      </c>
      <c r="H615" s="2711"/>
      <c r="Q615" s="2717"/>
      <c r="R615" s="2717"/>
      <c r="S615" s="2719"/>
      <c r="T615" s="2717"/>
      <c r="U615" s="2717"/>
      <c r="V615" s="2717"/>
    </row>
    <row r="616" spans="2:22" s="2721" customFormat="1" ht="14.1" customHeight="1" x14ac:dyDescent="0.2">
      <c r="B616" s="2711"/>
      <c r="C616" s="2524"/>
      <c r="D616" s="3427" t="s">
        <v>280</v>
      </c>
      <c r="E616" s="3428"/>
      <c r="F616" s="2722"/>
      <c r="G616" s="3433" t="s">
        <v>281</v>
      </c>
      <c r="H616" s="3433" t="s">
        <v>282</v>
      </c>
      <c r="I616" s="2524" t="s">
        <v>283</v>
      </c>
      <c r="J616" s="2524" t="s">
        <v>284</v>
      </c>
      <c r="K616" s="2524" t="s">
        <v>340</v>
      </c>
      <c r="L616" s="2524" t="s">
        <v>2008</v>
      </c>
      <c r="M616" s="2524" t="s">
        <v>2009</v>
      </c>
      <c r="N616" s="2524" t="s">
        <v>284</v>
      </c>
      <c r="Q616" s="2717"/>
      <c r="R616" s="2717"/>
      <c r="S616" s="2719"/>
      <c r="T616" s="2717"/>
      <c r="U616" s="2717"/>
      <c r="V616" s="2717"/>
    </row>
    <row r="617" spans="2:22" s="2721" customFormat="1" ht="14.1" customHeight="1" x14ac:dyDescent="0.2">
      <c r="B617" s="2711"/>
      <c r="C617" s="2528" t="s">
        <v>669</v>
      </c>
      <c r="D617" s="3429"/>
      <c r="E617" s="3430"/>
      <c r="F617" s="2723"/>
      <c r="G617" s="3434"/>
      <c r="H617" s="3434"/>
      <c r="I617" s="2528" t="s">
        <v>285</v>
      </c>
      <c r="J617" s="2528" t="s">
        <v>286</v>
      </c>
      <c r="K617" s="2528" t="s">
        <v>286</v>
      </c>
      <c r="L617" s="2528" t="s">
        <v>2011</v>
      </c>
      <c r="M617" s="2528"/>
      <c r="N617" s="2528" t="s">
        <v>2013</v>
      </c>
      <c r="Q617" s="2717"/>
      <c r="R617" s="2717"/>
      <c r="S617" s="2719"/>
      <c r="T617" s="2717"/>
      <c r="U617" s="2717"/>
      <c r="V617" s="2717"/>
    </row>
    <row r="618" spans="2:22" s="2721" customFormat="1" ht="14.1" customHeight="1" x14ac:dyDescent="0.2">
      <c r="B618" s="2711"/>
      <c r="C618" s="2537"/>
      <c r="D618" s="3431"/>
      <c r="E618" s="3432"/>
      <c r="F618" s="2724"/>
      <c r="G618" s="3435"/>
      <c r="H618" s="3435"/>
      <c r="I618" s="2537" t="s">
        <v>286</v>
      </c>
      <c r="J618" s="2536"/>
      <c r="K618" s="2536"/>
      <c r="L618" s="2536"/>
      <c r="M618" s="2536"/>
      <c r="N618" s="2537" t="s">
        <v>286</v>
      </c>
      <c r="Q618" s="2717"/>
      <c r="R618" s="2717"/>
      <c r="S618" s="2719"/>
      <c r="T618" s="2717"/>
      <c r="U618" s="2717"/>
      <c r="V618" s="2717"/>
    </row>
    <row r="619" spans="2:22" s="2721" customFormat="1" ht="14.1" customHeight="1" x14ac:dyDescent="0.2">
      <c r="B619" s="2711"/>
      <c r="C619" s="2524" t="s">
        <v>607</v>
      </c>
      <c r="D619" s="2733" t="s">
        <v>287</v>
      </c>
      <c r="E619" s="2739" t="s">
        <v>1960</v>
      </c>
      <c r="F619" s="2739"/>
      <c r="G619" s="2727" t="s">
        <v>247</v>
      </c>
      <c r="H619" s="2740">
        <v>5.05</v>
      </c>
      <c r="I619" s="2906">
        <f>'Upah &amp; Bahan'!I133</f>
        <v>26000</v>
      </c>
      <c r="J619" s="2729">
        <f>ROUND(H619*I619,2)</f>
        <v>131300</v>
      </c>
      <c r="K619" s="2730"/>
      <c r="L619" s="3177">
        <v>0.63149999999999995</v>
      </c>
      <c r="M619" s="2732" t="s">
        <v>2029</v>
      </c>
      <c r="N619" s="2729">
        <f t="shared" ref="N619:N628" si="49">L619*J619</f>
        <v>82915.95</v>
      </c>
      <c r="P619" s="2721">
        <f>4*0.2</f>
        <v>0.8</v>
      </c>
      <c r="Q619" s="2717"/>
      <c r="R619" s="2717"/>
      <c r="S619" s="2719"/>
      <c r="T619" s="2717"/>
      <c r="U619" s="2717"/>
      <c r="V619" s="2717"/>
    </row>
    <row r="620" spans="2:22" s="2721" customFormat="1" ht="14.1" customHeight="1" x14ac:dyDescent="0.2">
      <c r="B620" s="2711"/>
      <c r="C620" s="2528"/>
      <c r="D620" s="2733"/>
      <c r="E620" s="2739" t="s">
        <v>272</v>
      </c>
      <c r="F620" s="2739"/>
      <c r="G620" s="2727" t="s">
        <v>298</v>
      </c>
      <c r="H620" s="2740">
        <v>0.11</v>
      </c>
      <c r="I620" s="2906">
        <f>'Upah &amp; Bahan'!I114</f>
        <v>24000</v>
      </c>
      <c r="J620" s="2729">
        <f>ROUND(H620*I620,2)</f>
        <v>2640</v>
      </c>
      <c r="K620" s="2734"/>
      <c r="L620" s="3177">
        <v>0</v>
      </c>
      <c r="M620" s="2732"/>
      <c r="N620" s="2729">
        <f t="shared" si="49"/>
        <v>0</v>
      </c>
      <c r="P620" s="2721">
        <f>1/P619</f>
        <v>1.25</v>
      </c>
      <c r="Q620" s="2717"/>
      <c r="R620" s="2717"/>
      <c r="S620" s="2719"/>
      <c r="T620" s="2717"/>
      <c r="U620" s="2717"/>
      <c r="V620" s="2717"/>
    </row>
    <row r="621" spans="2:22" s="2721" customFormat="1" ht="14.1" customHeight="1" x14ac:dyDescent="0.2">
      <c r="B621" s="2711"/>
      <c r="C621" s="2537"/>
      <c r="D621" s="2733"/>
      <c r="E621" s="2736"/>
      <c r="F621" s="2741"/>
      <c r="G621" s="2742"/>
      <c r="H621" s="2743"/>
      <c r="I621" s="2907"/>
      <c r="J621" s="2813"/>
      <c r="K621" s="2729">
        <f>SUM(J619:J620)</f>
        <v>133940</v>
      </c>
      <c r="L621" s="3177"/>
      <c r="M621" s="2732"/>
      <c r="N621" s="2729">
        <f t="shared" si="49"/>
        <v>0</v>
      </c>
      <c r="P621" s="2721">
        <f>P620*0.05</f>
        <v>6.25E-2</v>
      </c>
      <c r="Q621" s="2717"/>
      <c r="R621" s="2717"/>
      <c r="S621" s="2719"/>
      <c r="T621" s="2717"/>
      <c r="U621" s="2717"/>
      <c r="V621" s="2717"/>
    </row>
    <row r="622" spans="2:22" s="2721" customFormat="1" ht="14.1" customHeight="1" x14ac:dyDescent="0.2">
      <c r="B622" s="2711"/>
      <c r="C622" s="2524" t="s">
        <v>608</v>
      </c>
      <c r="D622" s="2725" t="s">
        <v>288</v>
      </c>
      <c r="E622" s="2739" t="s">
        <v>294</v>
      </c>
      <c r="F622" s="2739"/>
      <c r="G622" s="2727" t="s">
        <v>291</v>
      </c>
      <c r="H622" s="2740">
        <v>0.1</v>
      </c>
      <c r="I622" s="2906">
        <f>'Upah &amp; Bahan'!$I$24</f>
        <v>88300</v>
      </c>
      <c r="J622" s="2729">
        <f>ROUND(H622*I622,2)</f>
        <v>8830</v>
      </c>
      <c r="K622" s="2730"/>
      <c r="L622" s="3177">
        <f>VLOOKUP($E622,$D$1744:$G$1761,2,0)</f>
        <v>1</v>
      </c>
      <c r="M622" s="2731" t="str">
        <f>VLOOKUP($E622,$D$1744:$G$1761,3,0)</f>
        <v>WNI</v>
      </c>
      <c r="N622" s="2729">
        <f t="shared" si="49"/>
        <v>8830</v>
      </c>
      <c r="P622" s="2721">
        <f>SUM(P620:P621)</f>
        <v>1.3125</v>
      </c>
      <c r="Q622" s="2717"/>
      <c r="R622" s="2717"/>
      <c r="S622" s="2719"/>
      <c r="T622" s="2717"/>
      <c r="U622" s="2717"/>
      <c r="V622" s="2717"/>
    </row>
    <row r="623" spans="2:22" s="2721" customFormat="1" ht="14.1" customHeight="1" x14ac:dyDescent="0.2">
      <c r="B623" s="2711"/>
      <c r="C623" s="2528"/>
      <c r="D623" s="2733"/>
      <c r="E623" s="2739" t="s">
        <v>327</v>
      </c>
      <c r="F623" s="2739"/>
      <c r="G623" s="2727" t="s">
        <v>291</v>
      </c>
      <c r="H623" s="2740">
        <v>0.05</v>
      </c>
      <c r="I623" s="2906">
        <f>'Upah &amp; Bahan'!$I$36</f>
        <v>92000</v>
      </c>
      <c r="J623" s="2729">
        <f>ROUND(H623*I623,2)</f>
        <v>4600</v>
      </c>
      <c r="K623" s="2734"/>
      <c r="L623" s="3177">
        <f>VLOOKUP($E623,$D$1744:$G$1761,2,0)</f>
        <v>1</v>
      </c>
      <c r="M623" s="2731" t="str">
        <f>VLOOKUP($E623,$D$1744:$G$1761,3,0)</f>
        <v>WNI</v>
      </c>
      <c r="N623" s="2729">
        <f t="shared" si="49"/>
        <v>4600</v>
      </c>
      <c r="Q623" s="2717"/>
      <c r="R623" s="2717"/>
      <c r="S623" s="2719"/>
      <c r="T623" s="2717"/>
      <c r="U623" s="2717"/>
      <c r="V623" s="2717"/>
    </row>
    <row r="624" spans="2:22" s="2721" customFormat="1" ht="14.1" customHeight="1" x14ac:dyDescent="0.2">
      <c r="B624" s="2711"/>
      <c r="C624" s="2528"/>
      <c r="D624" s="2733"/>
      <c r="E624" s="2739" t="s">
        <v>296</v>
      </c>
      <c r="F624" s="2739"/>
      <c r="G624" s="2727" t="s">
        <v>291</v>
      </c>
      <c r="H624" s="2740">
        <v>5.0000000000000001E-3</v>
      </c>
      <c r="I624" s="2906">
        <f>'Upah &amp; Bahan'!$I$30</f>
        <v>96000</v>
      </c>
      <c r="J624" s="2729">
        <f>ROUND(H624*I624,2)</f>
        <v>480</v>
      </c>
      <c r="K624" s="2734"/>
      <c r="L624" s="3177">
        <f>VLOOKUP($E624,$D$1744:$G$1761,2,0)</f>
        <v>1</v>
      </c>
      <c r="M624" s="2731" t="str">
        <f>VLOOKUP($E624,$D$1744:$G$1761,3,0)</f>
        <v>WNI</v>
      </c>
      <c r="N624" s="2729">
        <f t="shared" si="49"/>
        <v>480</v>
      </c>
      <c r="P624" s="2721">
        <v>1.3125</v>
      </c>
      <c r="Q624" s="2717"/>
      <c r="R624" s="2717"/>
      <c r="S624" s="2719"/>
      <c r="T624" s="2717"/>
      <c r="U624" s="2717"/>
      <c r="V624" s="2717"/>
    </row>
    <row r="625" spans="2:22" s="2721" customFormat="1" ht="14.1" customHeight="1" x14ac:dyDescent="0.2">
      <c r="B625" s="2711"/>
      <c r="C625" s="2528"/>
      <c r="D625" s="2733"/>
      <c r="E625" s="2739" t="s">
        <v>290</v>
      </c>
      <c r="F625" s="2739"/>
      <c r="G625" s="2727" t="s">
        <v>291</v>
      </c>
      <c r="H625" s="2740">
        <v>5.0000000000000001E-3</v>
      </c>
      <c r="I625" s="2906">
        <f>'Upah &amp; Bahan'!$I$31</f>
        <v>90000</v>
      </c>
      <c r="J625" s="2729">
        <f>ROUND(H625*I625,2)</f>
        <v>450</v>
      </c>
      <c r="K625" s="2733"/>
      <c r="L625" s="3177">
        <f>VLOOKUP($E625,$D$1744:$G$1761,2,0)</f>
        <v>1</v>
      </c>
      <c r="M625" s="2731" t="str">
        <f>VLOOKUP($E625,$D$1744:$G$1761,3,0)</f>
        <v>WNI</v>
      </c>
      <c r="N625" s="2729">
        <f t="shared" si="49"/>
        <v>450</v>
      </c>
      <c r="Q625" s="2717"/>
      <c r="R625" s="2717"/>
      <c r="S625" s="2719"/>
      <c r="T625" s="2717"/>
      <c r="U625" s="2717"/>
      <c r="V625" s="2717"/>
    </row>
    <row r="626" spans="2:22" s="2721" customFormat="1" ht="14.1" customHeight="1" x14ac:dyDescent="0.2">
      <c r="B626" s="2711"/>
      <c r="C626" s="2537"/>
      <c r="D626" s="2536"/>
      <c r="E626" s="2736"/>
      <c r="F626" s="2741"/>
      <c r="G626" s="2742"/>
      <c r="H626" s="2743"/>
      <c r="I626" s="2907"/>
      <c r="J626" s="2813"/>
      <c r="K626" s="2732">
        <f>SUM(J622:J625)</f>
        <v>14360</v>
      </c>
      <c r="L626" s="3177"/>
      <c r="M626" s="2732"/>
      <c r="N626" s="2729">
        <f t="shared" si="49"/>
        <v>0</v>
      </c>
      <c r="Q626" s="2717"/>
      <c r="R626" s="2717"/>
      <c r="S626" s="2719"/>
      <c r="T626" s="2717"/>
      <c r="U626" s="2717"/>
      <c r="V626" s="2717"/>
    </row>
    <row r="627" spans="2:22" s="2721" customFormat="1" ht="14.1" customHeight="1" x14ac:dyDescent="0.2">
      <c r="B627" s="2711"/>
      <c r="C627" s="2528" t="s">
        <v>609</v>
      </c>
      <c r="D627" s="2725" t="s">
        <v>606</v>
      </c>
      <c r="E627" s="2739"/>
      <c r="F627" s="2739"/>
      <c r="G627" s="2727"/>
      <c r="H627" s="2740"/>
      <c r="I627" s="2814"/>
      <c r="J627" s="2729"/>
      <c r="K627" s="2730"/>
      <c r="L627" s="3177"/>
      <c r="M627" s="2732"/>
      <c r="N627" s="2729">
        <f t="shared" si="49"/>
        <v>0</v>
      </c>
      <c r="Q627" s="2717"/>
      <c r="R627" s="2717"/>
      <c r="S627" s="2719"/>
      <c r="T627" s="2717"/>
      <c r="U627" s="2717"/>
      <c r="V627" s="2717"/>
    </row>
    <row r="628" spans="2:22" s="2721" customFormat="1" ht="14.1" customHeight="1" x14ac:dyDescent="0.2">
      <c r="B628" s="2711"/>
      <c r="C628" s="2537"/>
      <c r="D628" s="2536"/>
      <c r="E628" s="2736"/>
      <c r="F628" s="2741"/>
      <c r="G628" s="2742"/>
      <c r="H628" s="2743"/>
      <c r="I628" s="2744"/>
      <c r="J628" s="2813"/>
      <c r="K628" s="2732">
        <f>SUM(J627:J627)</f>
        <v>0</v>
      </c>
      <c r="L628" s="3177"/>
      <c r="M628" s="2732"/>
      <c r="N628" s="2729">
        <f t="shared" si="49"/>
        <v>0</v>
      </c>
      <c r="Q628" s="2717"/>
      <c r="R628" s="2717"/>
      <c r="S628" s="2719"/>
      <c r="T628" s="2717"/>
      <c r="U628" s="2717"/>
      <c r="V628" s="2717"/>
    </row>
    <row r="629" spans="2:22" s="2721" customFormat="1" ht="14.1" customHeight="1" x14ac:dyDescent="0.2">
      <c r="B629" s="2711"/>
      <c r="C629" s="2727" t="s">
        <v>610</v>
      </c>
      <c r="D629" s="2738" t="s">
        <v>651</v>
      </c>
      <c r="E629" s="2741"/>
      <c r="F629" s="2741"/>
      <c r="G629" s="2742"/>
      <c r="H629" s="2743"/>
      <c r="I629" s="2744"/>
      <c r="J629" s="2745" t="s">
        <v>652</v>
      </c>
      <c r="K629" s="2732">
        <f>K621+K626+K628</f>
        <v>148300</v>
      </c>
      <c r="L629" s="3179">
        <f>N629/K629</f>
        <v>0.65594032366824007</v>
      </c>
      <c r="M629" s="2745"/>
      <c r="N629" s="2747">
        <f>SUM(N618:N628)</f>
        <v>97275.95</v>
      </c>
      <c r="Q629" s="2717"/>
      <c r="R629" s="2717"/>
      <c r="S629" s="2719"/>
      <c r="T629" s="2717"/>
      <c r="U629" s="2717"/>
      <c r="V629" s="2717"/>
    </row>
    <row r="630" spans="2:22" s="2721" customFormat="1" ht="14.1" customHeight="1" x14ac:dyDescent="0.2">
      <c r="B630" s="2711"/>
      <c r="C630" s="2537" t="s">
        <v>611</v>
      </c>
      <c r="D630" s="2738" t="s">
        <v>653</v>
      </c>
      <c r="E630" s="2741"/>
      <c r="F630" s="2748">
        <f>$F$42</f>
        <v>0.1</v>
      </c>
      <c r="G630" s="2727" t="s">
        <v>425</v>
      </c>
      <c r="H630" s="2748">
        <f>$H$42</f>
        <v>0.03</v>
      </c>
      <c r="I630" s="2749" t="s">
        <v>424</v>
      </c>
      <c r="J630" s="2732" t="s">
        <v>610</v>
      </c>
      <c r="K630" s="2750">
        <f>ROUND((K629*(F630+H630)),2)</f>
        <v>19279</v>
      </c>
      <c r="L630" s="2732"/>
      <c r="M630" s="2732"/>
      <c r="N630" s="2732"/>
      <c r="Q630" s="2717"/>
      <c r="R630" s="2717"/>
      <c r="S630" s="2719"/>
      <c r="T630" s="2717"/>
      <c r="U630" s="2717"/>
      <c r="V630" s="2717"/>
    </row>
    <row r="631" spans="2:22" s="2721" customFormat="1" ht="14.1" customHeight="1" x14ac:dyDescent="0.2">
      <c r="B631" s="2711"/>
      <c r="C631" s="2880" t="s">
        <v>654</v>
      </c>
      <c r="D631" s="2752" t="s">
        <v>301</v>
      </c>
      <c r="E631" s="2815"/>
      <c r="F631" s="2815"/>
      <c r="G631" s="2815"/>
      <c r="H631" s="2816"/>
      <c r="I631" s="2815"/>
      <c r="J631" s="2755" t="s">
        <v>668</v>
      </c>
      <c r="K631" s="2756">
        <f>SUM(K629:K630)</f>
        <v>167579</v>
      </c>
      <c r="L631" s="2746"/>
      <c r="M631" s="2755"/>
      <c r="N631" s="2757"/>
      <c r="Q631" s="2717"/>
      <c r="R631" s="2717"/>
      <c r="S631" s="2719"/>
      <c r="T631" s="2717"/>
      <c r="U631" s="2717"/>
      <c r="V631" s="2717"/>
    </row>
    <row r="632" spans="2:22" x14ac:dyDescent="0.25">
      <c r="Q632" s="2717"/>
      <c r="R632" s="2717"/>
      <c r="S632" s="2719"/>
      <c r="T632" s="2717"/>
      <c r="U632" s="2717"/>
      <c r="V632" s="2717"/>
    </row>
    <row r="633" spans="2:22" s="2720" customFormat="1" ht="14.1" customHeight="1" x14ac:dyDescent="0.2">
      <c r="B633" s="2711">
        <f>B614+1</f>
        <v>32</v>
      </c>
      <c r="C633" s="2711"/>
      <c r="D633" s="2713" t="s">
        <v>667</v>
      </c>
      <c r="E633" s="2713"/>
      <c r="F633" s="2713"/>
      <c r="G633" s="2713"/>
      <c r="H633" s="2714"/>
      <c r="I633" s="2713"/>
      <c r="J633" s="2713"/>
      <c r="K633" s="2715" t="s">
        <v>1271</v>
      </c>
      <c r="L633" s="2715"/>
      <c r="M633" s="2715"/>
      <c r="N633" s="2715"/>
      <c r="O633" s="2716" t="str">
        <f>D634</f>
        <v>m'</v>
      </c>
      <c r="P633" s="2717">
        <f>K650</f>
        <v>30469.32</v>
      </c>
      <c r="Q633" s="2718">
        <f>L648</f>
        <v>0.58238985313751668</v>
      </c>
      <c r="R633" s="2717"/>
      <c r="S633" s="2719">
        <f>N648</f>
        <v>15703.56</v>
      </c>
      <c r="T633" s="2515">
        <f>U633+S633</f>
        <v>17745.022799999999</v>
      </c>
      <c r="U633" s="2719">
        <f>S633*V633</f>
        <v>2041.4628</v>
      </c>
      <c r="V633" s="2718">
        <f>$F$42+$H$42</f>
        <v>0.13</v>
      </c>
    </row>
    <row r="634" spans="2:22" s="2720" customFormat="1" ht="14.1" customHeight="1" x14ac:dyDescent="0.2">
      <c r="B634" s="2711"/>
      <c r="C634" s="2711"/>
      <c r="D634" s="2721" t="s">
        <v>247</v>
      </c>
      <c r="E634" s="2721"/>
      <c r="F634" s="2721"/>
      <c r="G634" s="2721"/>
      <c r="H634" s="2711"/>
      <c r="I634" s="2721"/>
      <c r="J634" s="2721"/>
      <c r="K634" s="2721"/>
      <c r="L634" s="2721"/>
      <c r="M634" s="2721"/>
      <c r="N634" s="2721"/>
      <c r="O634" s="2716"/>
      <c r="Q634" s="2717"/>
      <c r="R634" s="2717"/>
      <c r="S634" s="2719"/>
      <c r="T634" s="2717"/>
      <c r="U634" s="2717"/>
      <c r="V634" s="2717"/>
    </row>
    <row r="635" spans="2:22" s="2720" customFormat="1" ht="14.1" customHeight="1" x14ac:dyDescent="0.2">
      <c r="B635" s="2711"/>
      <c r="C635" s="2524"/>
      <c r="D635" s="3427" t="s">
        <v>280</v>
      </c>
      <c r="E635" s="3428"/>
      <c r="F635" s="2722"/>
      <c r="G635" s="3433" t="s">
        <v>281</v>
      </c>
      <c r="H635" s="3433" t="s">
        <v>282</v>
      </c>
      <c r="I635" s="2524" t="s">
        <v>283</v>
      </c>
      <c r="J635" s="2524" t="s">
        <v>284</v>
      </c>
      <c r="K635" s="2524" t="s">
        <v>340</v>
      </c>
      <c r="L635" s="2524" t="s">
        <v>2008</v>
      </c>
      <c r="M635" s="2524" t="s">
        <v>2009</v>
      </c>
      <c r="N635" s="2524" t="s">
        <v>284</v>
      </c>
      <c r="O635" s="2716"/>
      <c r="Q635" s="2717"/>
      <c r="R635" s="2717"/>
      <c r="S635" s="2719"/>
      <c r="T635" s="2717"/>
      <c r="U635" s="2717"/>
      <c r="V635" s="2717"/>
    </row>
    <row r="636" spans="2:22" s="2720" customFormat="1" ht="14.1" customHeight="1" x14ac:dyDescent="0.2">
      <c r="B636" s="2711"/>
      <c r="C636" s="2528" t="s">
        <v>669</v>
      </c>
      <c r="D636" s="3429"/>
      <c r="E636" s="3430"/>
      <c r="F636" s="2723"/>
      <c r="G636" s="3434"/>
      <c r="H636" s="3434"/>
      <c r="I636" s="2528" t="s">
        <v>285</v>
      </c>
      <c r="J636" s="2528" t="s">
        <v>286</v>
      </c>
      <c r="K636" s="2528" t="s">
        <v>286</v>
      </c>
      <c r="L636" s="2528" t="s">
        <v>2011</v>
      </c>
      <c r="M636" s="2528"/>
      <c r="N636" s="2528" t="s">
        <v>2013</v>
      </c>
      <c r="O636" s="2716"/>
      <c r="Q636" s="2717"/>
      <c r="R636" s="2717"/>
      <c r="S636" s="2719"/>
      <c r="T636" s="2717"/>
      <c r="U636" s="2717"/>
      <c r="V636" s="2717"/>
    </row>
    <row r="637" spans="2:22" s="2720" customFormat="1" ht="14.1" customHeight="1" x14ac:dyDescent="0.2">
      <c r="B637" s="2711"/>
      <c r="C637" s="2537"/>
      <c r="D637" s="3431"/>
      <c r="E637" s="3432"/>
      <c r="F637" s="2724"/>
      <c r="G637" s="3435"/>
      <c r="H637" s="3435"/>
      <c r="I637" s="2537" t="s">
        <v>286</v>
      </c>
      <c r="J637" s="2536"/>
      <c r="K637" s="2536"/>
      <c r="L637" s="2536"/>
      <c r="M637" s="2536"/>
      <c r="N637" s="2537" t="s">
        <v>286</v>
      </c>
      <c r="O637" s="2716"/>
      <c r="Q637" s="2717"/>
      <c r="R637" s="2717"/>
      <c r="S637" s="2719"/>
      <c r="T637" s="2717"/>
      <c r="U637" s="2717"/>
      <c r="V637" s="2717"/>
    </row>
    <row r="638" spans="2:22" s="2720" customFormat="1" ht="14.1" customHeight="1" x14ac:dyDescent="0.2">
      <c r="B638" s="2711"/>
      <c r="C638" s="2524" t="s">
        <v>607</v>
      </c>
      <c r="D638" s="2733" t="s">
        <v>287</v>
      </c>
      <c r="E638" s="2739" t="s">
        <v>397</v>
      </c>
      <c r="F638" s="2739"/>
      <c r="G638" s="2727" t="s">
        <v>247</v>
      </c>
      <c r="H638" s="2740">
        <v>1.05</v>
      </c>
      <c r="I638" s="2906">
        <f>'Upah &amp; Bahan'!$I$107</f>
        <v>14000</v>
      </c>
      <c r="J638" s="2729">
        <f>ROUND(H638*I638,2)</f>
        <v>14700</v>
      </c>
      <c r="K638" s="2730"/>
      <c r="L638" s="3177">
        <f>L600</f>
        <v>0.27479999999999999</v>
      </c>
      <c r="M638" s="2732"/>
      <c r="N638" s="2729">
        <f t="shared" ref="N638:N647" si="50">L638*J638</f>
        <v>4039.56</v>
      </c>
      <c r="O638" s="2716"/>
      <c r="Q638" s="2717"/>
      <c r="R638" s="2717"/>
      <c r="S638" s="2719"/>
      <c r="T638" s="2717"/>
      <c r="U638" s="2717"/>
      <c r="V638" s="2717"/>
    </row>
    <row r="639" spans="2:22" s="2720" customFormat="1" ht="14.1" customHeight="1" x14ac:dyDescent="0.2">
      <c r="B639" s="2711"/>
      <c r="C639" s="2528"/>
      <c r="D639" s="2733"/>
      <c r="E639" s="2739" t="s">
        <v>398</v>
      </c>
      <c r="F639" s="2739"/>
      <c r="G639" s="2727" t="s">
        <v>298</v>
      </c>
      <c r="H639" s="2740">
        <v>0.15</v>
      </c>
      <c r="I639" s="2906">
        <f>'Upah &amp; Bahan'!$I$149</f>
        <v>4000</v>
      </c>
      <c r="J639" s="2729">
        <f>ROUND(H639*I639,2)</f>
        <v>600</v>
      </c>
      <c r="K639" s="2734"/>
      <c r="L639" s="3177">
        <v>0</v>
      </c>
      <c r="M639" s="2732"/>
      <c r="N639" s="2729">
        <f t="shared" si="50"/>
        <v>0</v>
      </c>
      <c r="O639" s="2716"/>
      <c r="Q639" s="2717"/>
      <c r="R639" s="2717"/>
      <c r="S639" s="2719"/>
      <c r="T639" s="2717"/>
      <c r="U639" s="2717"/>
      <c r="V639" s="2717"/>
    </row>
    <row r="640" spans="2:22" s="2720" customFormat="1" ht="14.1" customHeight="1" x14ac:dyDescent="0.2">
      <c r="B640" s="2711"/>
      <c r="C640" s="2537"/>
      <c r="D640" s="2733"/>
      <c r="E640" s="2736"/>
      <c r="F640" s="2741"/>
      <c r="G640" s="2742"/>
      <c r="H640" s="2743"/>
      <c r="I640" s="2907"/>
      <c r="J640" s="2813"/>
      <c r="K640" s="2729">
        <f>SUM(J638:J639)</f>
        <v>15300</v>
      </c>
      <c r="L640" s="3177"/>
      <c r="M640" s="2732"/>
      <c r="N640" s="2729">
        <f t="shared" si="50"/>
        <v>0</v>
      </c>
      <c r="O640" s="2716"/>
      <c r="Q640" s="2717"/>
      <c r="R640" s="2717"/>
      <c r="S640" s="2719"/>
      <c r="T640" s="2717"/>
      <c r="U640" s="2717"/>
      <c r="V640" s="2717"/>
    </row>
    <row r="641" spans="2:22" s="2720" customFormat="1" ht="14.1" customHeight="1" x14ac:dyDescent="0.2">
      <c r="B641" s="2711"/>
      <c r="C641" s="2524" t="s">
        <v>608</v>
      </c>
      <c r="D641" s="2725" t="s">
        <v>288</v>
      </c>
      <c r="E641" s="2739" t="s">
        <v>294</v>
      </c>
      <c r="F641" s="2739"/>
      <c r="G641" s="2727" t="s">
        <v>291</v>
      </c>
      <c r="H641" s="2740">
        <v>0.06</v>
      </c>
      <c r="I641" s="2906">
        <f>'Upah &amp; Bahan'!$I$24</f>
        <v>88300</v>
      </c>
      <c r="J641" s="2729">
        <f>ROUND(H641*I641,2)</f>
        <v>5298</v>
      </c>
      <c r="K641" s="2730"/>
      <c r="L641" s="3177">
        <f>VLOOKUP($E641,$D$1744:$G$1761,2,0)</f>
        <v>1</v>
      </c>
      <c r="M641" s="2731" t="str">
        <f>VLOOKUP($E641,$D$1744:$G$1761,3,0)</f>
        <v>WNI</v>
      </c>
      <c r="N641" s="2729">
        <f t="shared" si="50"/>
        <v>5298</v>
      </c>
      <c r="O641" s="2716"/>
      <c r="Q641" s="2717"/>
      <c r="R641" s="2717"/>
      <c r="S641" s="2719"/>
      <c r="T641" s="2717"/>
      <c r="U641" s="2717"/>
      <c r="V641" s="2717"/>
    </row>
    <row r="642" spans="2:22" s="2720" customFormat="1" ht="14.1" customHeight="1" x14ac:dyDescent="0.2">
      <c r="B642" s="2711"/>
      <c r="C642" s="2528"/>
      <c r="D642" s="2733"/>
      <c r="E642" s="2739" t="s">
        <v>334</v>
      </c>
      <c r="F642" s="2739"/>
      <c r="G642" s="2727" t="s">
        <v>291</v>
      </c>
      <c r="H642" s="2740">
        <v>0.06</v>
      </c>
      <c r="I642" s="2906">
        <f>'Upah &amp; Bahan'!$I$36</f>
        <v>92000</v>
      </c>
      <c r="J642" s="2729">
        <f>ROUND(H642*I642,2)</f>
        <v>5520</v>
      </c>
      <c r="K642" s="2734"/>
      <c r="L642" s="3177">
        <f>VLOOKUP($E642,$D$1744:$G$1761,2,0)</f>
        <v>1</v>
      </c>
      <c r="M642" s="2731" t="str">
        <f>VLOOKUP($E642,$D$1744:$G$1761,3,0)</f>
        <v>WNI</v>
      </c>
      <c r="N642" s="2729">
        <f t="shared" si="50"/>
        <v>5520</v>
      </c>
      <c r="O642" s="2716"/>
      <c r="Q642" s="2717"/>
      <c r="R642" s="2717"/>
      <c r="S642" s="2719"/>
      <c r="T642" s="2717"/>
      <c r="U642" s="2717"/>
      <c r="V642" s="2717"/>
    </row>
    <row r="643" spans="2:22" s="2720" customFormat="1" ht="14.1" customHeight="1" x14ac:dyDescent="0.2">
      <c r="B643" s="2711"/>
      <c r="C643" s="2528"/>
      <c r="D643" s="2733"/>
      <c r="E643" s="2739" t="s">
        <v>716</v>
      </c>
      <c r="F643" s="2739"/>
      <c r="G643" s="2727" t="s">
        <v>291</v>
      </c>
      <c r="H643" s="2740">
        <v>6.0000000000000001E-3</v>
      </c>
      <c r="I643" s="2906">
        <f>'Upah &amp; Bahan'!$I$30</f>
        <v>96000</v>
      </c>
      <c r="J643" s="2729">
        <f>ROUND(H643*I643,2)</f>
        <v>576</v>
      </c>
      <c r="K643" s="2734"/>
      <c r="L643" s="3177">
        <f>VLOOKUP($E643,$D$1744:$G$1761,2,0)</f>
        <v>1</v>
      </c>
      <c r="M643" s="2731" t="str">
        <f>VLOOKUP($E643,$D$1744:$G$1761,3,0)</f>
        <v>WNI</v>
      </c>
      <c r="N643" s="2729">
        <f t="shared" si="50"/>
        <v>576</v>
      </c>
      <c r="O643" s="2716"/>
      <c r="Q643" s="2717"/>
      <c r="R643" s="2717"/>
      <c r="S643" s="2719"/>
      <c r="T643" s="2717"/>
      <c r="U643" s="2717"/>
      <c r="V643" s="2717"/>
    </row>
    <row r="644" spans="2:22" s="2720" customFormat="1" ht="14.1" customHeight="1" x14ac:dyDescent="0.2">
      <c r="B644" s="2711"/>
      <c r="C644" s="2528"/>
      <c r="D644" s="2733"/>
      <c r="E644" s="2739" t="s">
        <v>290</v>
      </c>
      <c r="F644" s="2739"/>
      <c r="G644" s="2727" t="s">
        <v>291</v>
      </c>
      <c r="H644" s="2740">
        <v>3.0000000000000001E-3</v>
      </c>
      <c r="I644" s="2906">
        <f>'Upah &amp; Bahan'!$I$31</f>
        <v>90000</v>
      </c>
      <c r="J644" s="2729">
        <f>ROUND(H644*I644,2)</f>
        <v>270</v>
      </c>
      <c r="K644" s="2733"/>
      <c r="L644" s="3177">
        <f>VLOOKUP($E644,$D$1744:$G$1761,2,0)</f>
        <v>1</v>
      </c>
      <c r="M644" s="2731" t="str">
        <f>VLOOKUP($E644,$D$1744:$G$1761,3,0)</f>
        <v>WNI</v>
      </c>
      <c r="N644" s="2729">
        <f t="shared" si="50"/>
        <v>270</v>
      </c>
      <c r="O644" s="2716"/>
      <c r="Q644" s="2717"/>
      <c r="R644" s="2717"/>
      <c r="S644" s="2719"/>
      <c r="T644" s="2717"/>
      <c r="U644" s="2717"/>
      <c r="V644" s="2717"/>
    </row>
    <row r="645" spans="2:22" s="2720" customFormat="1" ht="14.1" customHeight="1" x14ac:dyDescent="0.2">
      <c r="B645" s="2711"/>
      <c r="C645" s="2537"/>
      <c r="D645" s="2536"/>
      <c r="E645" s="2736"/>
      <c r="F645" s="2741"/>
      <c r="G645" s="2742"/>
      <c r="H645" s="2743"/>
      <c r="I645" s="2907"/>
      <c r="J645" s="2813"/>
      <c r="K645" s="2732">
        <f>SUM(J641:J644)</f>
        <v>11664</v>
      </c>
      <c r="L645" s="3177"/>
      <c r="M645" s="2732"/>
      <c r="N645" s="2729">
        <f t="shared" si="50"/>
        <v>0</v>
      </c>
      <c r="O645" s="2716"/>
      <c r="Q645" s="2717"/>
      <c r="R645" s="2717"/>
      <c r="S645" s="2719"/>
      <c r="T645" s="2717"/>
      <c r="U645" s="2717"/>
      <c r="V645" s="2717"/>
    </row>
    <row r="646" spans="2:22" s="2720" customFormat="1" ht="14.1" customHeight="1" x14ac:dyDescent="0.2">
      <c r="B646" s="2711"/>
      <c r="C646" s="2528" t="s">
        <v>609</v>
      </c>
      <c r="D646" s="2725" t="s">
        <v>606</v>
      </c>
      <c r="E646" s="2739"/>
      <c r="F646" s="2739"/>
      <c r="G646" s="2727"/>
      <c r="H646" s="2740"/>
      <c r="I646" s="2814"/>
      <c r="J646" s="2729"/>
      <c r="K646" s="2730"/>
      <c r="L646" s="3177"/>
      <c r="M646" s="2732"/>
      <c r="N646" s="2729">
        <f t="shared" si="50"/>
        <v>0</v>
      </c>
      <c r="O646" s="2716"/>
      <c r="Q646" s="2717"/>
      <c r="R646" s="2717"/>
      <c r="S646" s="2719"/>
      <c r="T646" s="2717"/>
      <c r="U646" s="2717"/>
      <c r="V646" s="2717"/>
    </row>
    <row r="647" spans="2:22" s="2720" customFormat="1" ht="14.1" customHeight="1" x14ac:dyDescent="0.2">
      <c r="B647" s="2711"/>
      <c r="C647" s="2537"/>
      <c r="D647" s="2536"/>
      <c r="E647" s="2736"/>
      <c r="F647" s="2741"/>
      <c r="G647" s="2742"/>
      <c r="H647" s="2743"/>
      <c r="I647" s="2744"/>
      <c r="J647" s="2813"/>
      <c r="K647" s="2732">
        <f>SUM(J646:J646)</f>
        <v>0</v>
      </c>
      <c r="L647" s="3177"/>
      <c r="M647" s="2732"/>
      <c r="N647" s="2729">
        <f t="shared" si="50"/>
        <v>0</v>
      </c>
      <c r="O647" s="2716"/>
      <c r="Q647" s="2717"/>
      <c r="R647" s="2717"/>
      <c r="S647" s="2719"/>
      <c r="T647" s="2717"/>
      <c r="U647" s="2717"/>
      <c r="V647" s="2717"/>
    </row>
    <row r="648" spans="2:22" s="2720" customFormat="1" ht="14.1" customHeight="1" x14ac:dyDescent="0.2">
      <c r="B648" s="2711"/>
      <c r="C648" s="2727" t="s">
        <v>610</v>
      </c>
      <c r="D648" s="2738" t="s">
        <v>651</v>
      </c>
      <c r="E648" s="2741"/>
      <c r="F648" s="2741"/>
      <c r="G648" s="2742"/>
      <c r="H648" s="2743"/>
      <c r="I648" s="2744"/>
      <c r="J648" s="2745" t="s">
        <v>652</v>
      </c>
      <c r="K648" s="2732">
        <f>K640+K645+K647</f>
        <v>26964</v>
      </c>
      <c r="L648" s="3179">
        <f>N648/K648</f>
        <v>0.58238985313751668</v>
      </c>
      <c r="M648" s="2745"/>
      <c r="N648" s="2747">
        <f>SUM(N637:N647)</f>
        <v>15703.56</v>
      </c>
      <c r="O648" s="2716"/>
      <c r="Q648" s="2717"/>
      <c r="R648" s="2717"/>
      <c r="S648" s="2719"/>
      <c r="T648" s="2717"/>
      <c r="U648" s="2717"/>
      <c r="V648" s="2717"/>
    </row>
    <row r="649" spans="2:22" s="2720" customFormat="1" ht="14.1" customHeight="1" x14ac:dyDescent="0.2">
      <c r="B649" s="2711"/>
      <c r="C649" s="2537" t="s">
        <v>611</v>
      </c>
      <c r="D649" s="2738" t="s">
        <v>653</v>
      </c>
      <c r="E649" s="2741"/>
      <c r="F649" s="2748">
        <f>$F$42</f>
        <v>0.1</v>
      </c>
      <c r="G649" s="2727" t="s">
        <v>425</v>
      </c>
      <c r="H649" s="2748">
        <f>$H$42</f>
        <v>0.03</v>
      </c>
      <c r="I649" s="2749" t="s">
        <v>424</v>
      </c>
      <c r="J649" s="2732" t="s">
        <v>610</v>
      </c>
      <c r="K649" s="2750">
        <f>ROUND((K648*(F649+H649)),2)</f>
        <v>3505.32</v>
      </c>
      <c r="L649" s="3177"/>
      <c r="M649" s="2732"/>
      <c r="N649" s="2732"/>
      <c r="O649" s="2716"/>
      <c r="Q649" s="2717"/>
      <c r="R649" s="2717"/>
      <c r="S649" s="2719"/>
      <c r="T649" s="2717"/>
      <c r="U649" s="2717"/>
      <c r="V649" s="2717"/>
    </row>
    <row r="650" spans="2:22" s="2720" customFormat="1" ht="14.1" customHeight="1" x14ac:dyDescent="0.2">
      <c r="B650" s="2711"/>
      <c r="C650" s="2880" t="s">
        <v>654</v>
      </c>
      <c r="D650" s="2752" t="s">
        <v>301</v>
      </c>
      <c r="E650" s="2815"/>
      <c r="F650" s="2815"/>
      <c r="G650" s="2815"/>
      <c r="H650" s="2816"/>
      <c r="I650" s="2815"/>
      <c r="J650" s="2755" t="s">
        <v>668</v>
      </c>
      <c r="K650" s="2756">
        <f>SUM(K648:K649)</f>
        <v>30469.32</v>
      </c>
      <c r="L650" s="2746"/>
      <c r="M650" s="2755"/>
      <c r="N650" s="2757"/>
      <c r="O650" s="2716"/>
      <c r="Q650" s="2717"/>
      <c r="R650" s="2717"/>
      <c r="S650" s="2719"/>
      <c r="T650" s="2717"/>
      <c r="U650" s="2717"/>
      <c r="V650" s="2717"/>
    </row>
    <row r="651" spans="2:22" x14ac:dyDescent="0.25">
      <c r="Q651" s="2717"/>
      <c r="R651" s="2717"/>
      <c r="S651" s="2719"/>
      <c r="T651" s="2717"/>
      <c r="U651" s="2717"/>
      <c r="V651" s="2717"/>
    </row>
    <row r="652" spans="2:22" s="2720" customFormat="1" ht="14.1" customHeight="1" x14ac:dyDescent="0.2">
      <c r="B652" s="2711">
        <f>B633+1</f>
        <v>33</v>
      </c>
      <c r="C652" s="2711"/>
      <c r="D652" s="2713" t="s">
        <v>1816</v>
      </c>
      <c r="E652" s="2713"/>
      <c r="F652" s="2713"/>
      <c r="G652" s="2713"/>
      <c r="H652" s="2714"/>
      <c r="I652" s="2713"/>
      <c r="J652" s="2713"/>
      <c r="K652" s="2715" t="s">
        <v>1271</v>
      </c>
      <c r="L652" s="2715"/>
      <c r="M652" s="2715"/>
      <c r="N652" s="2715"/>
      <c r="O652" s="2716" t="str">
        <f>D653</f>
        <v>m'</v>
      </c>
      <c r="P652" s="2717">
        <f>K669</f>
        <v>39690.120000000003</v>
      </c>
      <c r="Q652" s="2718">
        <f>L667</f>
        <v>0.74739921421250433</v>
      </c>
      <c r="R652" s="2717"/>
      <c r="S652" s="2719">
        <f>N667</f>
        <v>26251.65</v>
      </c>
      <c r="T652" s="2515">
        <f>U652+S652</f>
        <v>29664.364500000003</v>
      </c>
      <c r="U652" s="2719">
        <f>S652*V652</f>
        <v>3412.7145000000005</v>
      </c>
      <c r="V652" s="2718">
        <f>$F$42+$H$42</f>
        <v>0.13</v>
      </c>
    </row>
    <row r="653" spans="2:22" s="2720" customFormat="1" ht="14.1" customHeight="1" x14ac:dyDescent="0.2">
      <c r="B653" s="2711"/>
      <c r="C653" s="2711"/>
      <c r="D653" s="2721" t="s">
        <v>247</v>
      </c>
      <c r="E653" s="2721"/>
      <c r="F653" s="2721"/>
      <c r="G653" s="2721"/>
      <c r="H653" s="2711"/>
      <c r="I653" s="2721"/>
      <c r="J653" s="2721"/>
      <c r="K653" s="2721"/>
      <c r="L653" s="2721"/>
      <c r="M653" s="2721"/>
      <c r="N653" s="2721"/>
      <c r="O653" s="2716"/>
      <c r="Q653" s="2717"/>
      <c r="R653" s="2717"/>
      <c r="S653" s="2719"/>
      <c r="T653" s="2717"/>
      <c r="U653" s="2717"/>
      <c r="V653" s="2717"/>
    </row>
    <row r="654" spans="2:22" s="2720" customFormat="1" ht="14.1" customHeight="1" x14ac:dyDescent="0.2">
      <c r="B654" s="2711"/>
      <c r="C654" s="2524"/>
      <c r="D654" s="3427" t="s">
        <v>280</v>
      </c>
      <c r="E654" s="3428"/>
      <c r="F654" s="2722"/>
      <c r="G654" s="3433" t="s">
        <v>281</v>
      </c>
      <c r="H654" s="3433" t="s">
        <v>282</v>
      </c>
      <c r="I654" s="2524" t="s">
        <v>283</v>
      </c>
      <c r="J654" s="2524" t="s">
        <v>284</v>
      </c>
      <c r="K654" s="2524" t="s">
        <v>340</v>
      </c>
      <c r="L654" s="2524" t="s">
        <v>2008</v>
      </c>
      <c r="M654" s="2524" t="s">
        <v>2009</v>
      </c>
      <c r="N654" s="2524" t="s">
        <v>284</v>
      </c>
      <c r="O654" s="2716"/>
      <c r="Q654" s="2717"/>
      <c r="R654" s="2717"/>
      <c r="S654" s="2719"/>
      <c r="T654" s="2717"/>
      <c r="U654" s="2717"/>
      <c r="V654" s="2717"/>
    </row>
    <row r="655" spans="2:22" s="2720" customFormat="1" ht="14.1" customHeight="1" x14ac:dyDescent="0.2">
      <c r="B655" s="2711"/>
      <c r="C655" s="2528" t="s">
        <v>669</v>
      </c>
      <c r="D655" s="3429"/>
      <c r="E655" s="3430"/>
      <c r="F655" s="2723"/>
      <c r="G655" s="3434"/>
      <c r="H655" s="3434"/>
      <c r="I655" s="2528" t="s">
        <v>285</v>
      </c>
      <c r="J655" s="2528" t="s">
        <v>286</v>
      </c>
      <c r="K655" s="2528" t="s">
        <v>286</v>
      </c>
      <c r="L655" s="2528" t="s">
        <v>2011</v>
      </c>
      <c r="M655" s="2528"/>
      <c r="N655" s="2528" t="s">
        <v>2013</v>
      </c>
      <c r="O655" s="2716"/>
      <c r="Q655" s="2717"/>
      <c r="R655" s="2717"/>
      <c r="S655" s="2719"/>
      <c r="T655" s="2717"/>
      <c r="U655" s="2717"/>
      <c r="V655" s="2717"/>
    </row>
    <row r="656" spans="2:22" s="2720" customFormat="1" ht="14.1" customHeight="1" x14ac:dyDescent="0.2">
      <c r="B656" s="2711"/>
      <c r="C656" s="2537"/>
      <c r="D656" s="3431"/>
      <c r="E656" s="3432"/>
      <c r="F656" s="2724"/>
      <c r="G656" s="3435"/>
      <c r="H656" s="3435"/>
      <c r="I656" s="2537" t="s">
        <v>286</v>
      </c>
      <c r="J656" s="2536"/>
      <c r="K656" s="2536"/>
      <c r="L656" s="2536"/>
      <c r="M656" s="2536"/>
      <c r="N656" s="2537" t="s">
        <v>286</v>
      </c>
      <c r="O656" s="2716"/>
      <c r="Q656" s="2717"/>
      <c r="R656" s="2717"/>
      <c r="S656" s="2719"/>
      <c r="T656" s="2717"/>
      <c r="U656" s="2717"/>
      <c r="V656" s="2717"/>
    </row>
    <row r="657" spans="2:22" s="2720" customFormat="1" ht="14.1" customHeight="1" x14ac:dyDescent="0.2">
      <c r="B657" s="2711"/>
      <c r="C657" s="2524" t="s">
        <v>607</v>
      </c>
      <c r="D657" s="2733" t="s">
        <v>287</v>
      </c>
      <c r="E657" s="2739" t="s">
        <v>1632</v>
      </c>
      <c r="F657" s="2739"/>
      <c r="G657" s="2727" t="s">
        <v>247</v>
      </c>
      <c r="H657" s="2740">
        <v>1.05</v>
      </c>
      <c r="I657" s="2906">
        <f>'Upah &amp; Bahan'!I108</f>
        <v>22000</v>
      </c>
      <c r="J657" s="2729">
        <f>ROUND(H657*I657,2)</f>
        <v>23100</v>
      </c>
      <c r="K657" s="2730"/>
      <c r="L657" s="3177">
        <f>L619</f>
        <v>0.63149999999999995</v>
      </c>
      <c r="M657" s="2732" t="s">
        <v>2029</v>
      </c>
      <c r="N657" s="2729">
        <f t="shared" ref="N657:N666" si="51">L657*J657</f>
        <v>14587.65</v>
      </c>
      <c r="O657" s="2716"/>
      <c r="Q657" s="2717"/>
      <c r="R657" s="2717"/>
      <c r="S657" s="2719"/>
      <c r="T657" s="2717"/>
      <c r="U657" s="2717"/>
      <c r="V657" s="2717"/>
    </row>
    <row r="658" spans="2:22" s="2720" customFormat="1" ht="14.1" customHeight="1" x14ac:dyDescent="0.2">
      <c r="B658" s="2711"/>
      <c r="C658" s="2528"/>
      <c r="D658" s="2733"/>
      <c r="E658" s="2739" t="s">
        <v>272</v>
      </c>
      <c r="F658" s="2739"/>
      <c r="G658" s="2727" t="s">
        <v>298</v>
      </c>
      <c r="H658" s="2740">
        <v>1.4999999999999999E-2</v>
      </c>
      <c r="I658" s="2906">
        <f>'Upah &amp; Bahan'!$I$114</f>
        <v>24000</v>
      </c>
      <c r="J658" s="2729">
        <f>ROUND(H658*I658,2)</f>
        <v>360</v>
      </c>
      <c r="K658" s="2734"/>
      <c r="L658" s="3177">
        <v>0</v>
      </c>
      <c r="M658" s="2732"/>
      <c r="N658" s="2729">
        <f t="shared" si="51"/>
        <v>0</v>
      </c>
      <c r="O658" s="2716"/>
      <c r="Q658" s="2717"/>
      <c r="R658" s="2717"/>
      <c r="S658" s="2719"/>
      <c r="T658" s="2717"/>
      <c r="U658" s="2717"/>
      <c r="V658" s="2717"/>
    </row>
    <row r="659" spans="2:22" s="2720" customFormat="1" ht="14.1" customHeight="1" x14ac:dyDescent="0.2">
      <c r="B659" s="2711"/>
      <c r="C659" s="2537"/>
      <c r="D659" s="2733"/>
      <c r="E659" s="2736"/>
      <c r="F659" s="2741"/>
      <c r="G659" s="2742"/>
      <c r="H659" s="2743"/>
      <c r="I659" s="2907"/>
      <c r="J659" s="2813"/>
      <c r="K659" s="2729">
        <f>SUM(J657:J658)</f>
        <v>23460</v>
      </c>
      <c r="L659" s="3177"/>
      <c r="M659" s="2732"/>
      <c r="N659" s="2729">
        <f t="shared" si="51"/>
        <v>0</v>
      </c>
      <c r="O659" s="2716"/>
      <c r="Q659" s="2717"/>
      <c r="R659" s="2717"/>
      <c r="S659" s="2719"/>
      <c r="T659" s="2717"/>
      <c r="U659" s="2717"/>
      <c r="V659" s="2717"/>
    </row>
    <row r="660" spans="2:22" s="2720" customFormat="1" ht="14.1" customHeight="1" x14ac:dyDescent="0.2">
      <c r="B660" s="2711"/>
      <c r="C660" s="2524" t="s">
        <v>608</v>
      </c>
      <c r="D660" s="2725" t="s">
        <v>288</v>
      </c>
      <c r="E660" s="2739" t="s">
        <v>294</v>
      </c>
      <c r="F660" s="2739"/>
      <c r="G660" s="2727" t="s">
        <v>291</v>
      </c>
      <c r="H660" s="2740">
        <v>0.06</v>
      </c>
      <c r="I660" s="2906">
        <f>'Upah &amp; Bahan'!$I$24</f>
        <v>88300</v>
      </c>
      <c r="J660" s="2729">
        <f>ROUND(H660*I660,2)</f>
        <v>5298</v>
      </c>
      <c r="K660" s="2730"/>
      <c r="L660" s="3177">
        <f>VLOOKUP($E660,$D$1744:$G$1761,2,0)</f>
        <v>1</v>
      </c>
      <c r="M660" s="2731" t="str">
        <f>VLOOKUP($E660,$D$1744:$G$1761,3,0)</f>
        <v>WNI</v>
      </c>
      <c r="N660" s="2729">
        <f t="shared" si="51"/>
        <v>5298</v>
      </c>
      <c r="O660" s="2716"/>
      <c r="Q660" s="2717"/>
      <c r="R660" s="2717"/>
      <c r="S660" s="2719"/>
      <c r="T660" s="2717"/>
      <c r="U660" s="2717"/>
      <c r="V660" s="2717"/>
    </row>
    <row r="661" spans="2:22" s="2720" customFormat="1" ht="14.1" customHeight="1" x14ac:dyDescent="0.2">
      <c r="B661" s="2711"/>
      <c r="C661" s="2528"/>
      <c r="D661" s="2733"/>
      <c r="E661" s="2739" t="s">
        <v>334</v>
      </c>
      <c r="F661" s="2739"/>
      <c r="G661" s="2727" t="s">
        <v>291</v>
      </c>
      <c r="H661" s="2740">
        <v>0.06</v>
      </c>
      <c r="I661" s="2906">
        <f>'Upah &amp; Bahan'!$I$36</f>
        <v>92000</v>
      </c>
      <c r="J661" s="2729">
        <f>ROUND(H661*I661,2)</f>
        <v>5520</v>
      </c>
      <c r="K661" s="2734"/>
      <c r="L661" s="3177">
        <f>VLOOKUP($E661,$D$1744:$G$1761,2,0)</f>
        <v>1</v>
      </c>
      <c r="M661" s="2731" t="str">
        <f>VLOOKUP($E661,$D$1744:$G$1761,3,0)</f>
        <v>WNI</v>
      </c>
      <c r="N661" s="2729">
        <f t="shared" si="51"/>
        <v>5520</v>
      </c>
      <c r="O661" s="2716"/>
      <c r="Q661" s="2717"/>
      <c r="R661" s="2717"/>
      <c r="S661" s="2719"/>
      <c r="T661" s="2717"/>
      <c r="U661" s="2717"/>
      <c r="V661" s="2717"/>
    </row>
    <row r="662" spans="2:22" s="2720" customFormat="1" ht="14.1" customHeight="1" x14ac:dyDescent="0.2">
      <c r="B662" s="2711"/>
      <c r="C662" s="2528"/>
      <c r="D662" s="2733"/>
      <c r="E662" s="2739" t="s">
        <v>716</v>
      </c>
      <c r="F662" s="2739"/>
      <c r="G662" s="2727" t="s">
        <v>291</v>
      </c>
      <c r="H662" s="2740">
        <v>6.0000000000000001E-3</v>
      </c>
      <c r="I662" s="2906">
        <f>'Upah &amp; Bahan'!$I$30</f>
        <v>96000</v>
      </c>
      <c r="J662" s="2729">
        <f>ROUND(H662*I662,2)</f>
        <v>576</v>
      </c>
      <c r="K662" s="2734"/>
      <c r="L662" s="3177">
        <f>VLOOKUP($E662,$D$1744:$G$1761,2,0)</f>
        <v>1</v>
      </c>
      <c r="M662" s="2731" t="str">
        <f>VLOOKUP($E662,$D$1744:$G$1761,3,0)</f>
        <v>WNI</v>
      </c>
      <c r="N662" s="2729">
        <f t="shared" si="51"/>
        <v>576</v>
      </c>
      <c r="O662" s="2716"/>
      <c r="Q662" s="2717"/>
      <c r="R662" s="2717"/>
      <c r="S662" s="2719"/>
      <c r="T662" s="2717"/>
      <c r="U662" s="2717"/>
      <c r="V662" s="2717"/>
    </row>
    <row r="663" spans="2:22" s="2720" customFormat="1" ht="14.1" customHeight="1" x14ac:dyDescent="0.2">
      <c r="B663" s="2711"/>
      <c r="C663" s="2528"/>
      <c r="D663" s="2733"/>
      <c r="E663" s="2739" t="s">
        <v>290</v>
      </c>
      <c r="F663" s="2739"/>
      <c r="G663" s="2727" t="s">
        <v>291</v>
      </c>
      <c r="H663" s="2740">
        <v>3.0000000000000001E-3</v>
      </c>
      <c r="I663" s="2906">
        <f>'Upah &amp; Bahan'!$I$31</f>
        <v>90000</v>
      </c>
      <c r="J663" s="2729">
        <f>ROUND(H663*I663,2)</f>
        <v>270</v>
      </c>
      <c r="K663" s="2733"/>
      <c r="L663" s="3177">
        <f>VLOOKUP($E663,$D$1744:$G$1761,2,0)</f>
        <v>1</v>
      </c>
      <c r="M663" s="2731" t="str">
        <f>VLOOKUP($E663,$D$1744:$G$1761,3,0)</f>
        <v>WNI</v>
      </c>
      <c r="N663" s="2729">
        <f t="shared" si="51"/>
        <v>270</v>
      </c>
      <c r="O663" s="2716"/>
      <c r="Q663" s="2717"/>
      <c r="R663" s="2717"/>
      <c r="S663" s="2719"/>
      <c r="T663" s="2717"/>
      <c r="U663" s="2717"/>
      <c r="V663" s="2717"/>
    </row>
    <row r="664" spans="2:22" s="2720" customFormat="1" ht="14.1" customHeight="1" x14ac:dyDescent="0.2">
      <c r="B664" s="2711"/>
      <c r="C664" s="2537"/>
      <c r="D664" s="2536"/>
      <c r="E664" s="2736"/>
      <c r="F664" s="2741"/>
      <c r="G664" s="2742"/>
      <c r="H664" s="2743"/>
      <c r="I664" s="2907"/>
      <c r="J664" s="2813"/>
      <c r="K664" s="2732">
        <f>SUM(J660:J663)</f>
        <v>11664</v>
      </c>
      <c r="L664" s="3177"/>
      <c r="M664" s="2732"/>
      <c r="N664" s="2729">
        <f t="shared" si="51"/>
        <v>0</v>
      </c>
      <c r="O664" s="2716"/>
      <c r="Q664" s="2717"/>
      <c r="R664" s="2717"/>
      <c r="S664" s="2719"/>
      <c r="T664" s="2717"/>
      <c r="U664" s="2717"/>
      <c r="V664" s="2717"/>
    </row>
    <row r="665" spans="2:22" s="2720" customFormat="1" ht="14.1" customHeight="1" x14ac:dyDescent="0.2">
      <c r="B665" s="2711"/>
      <c r="C665" s="2528" t="s">
        <v>609</v>
      </c>
      <c r="D665" s="2725" t="s">
        <v>606</v>
      </c>
      <c r="E665" s="2739"/>
      <c r="F665" s="2739"/>
      <c r="G665" s="2727"/>
      <c r="H665" s="2740"/>
      <c r="I665" s="2814"/>
      <c r="J665" s="2729"/>
      <c r="K665" s="2730"/>
      <c r="L665" s="3177"/>
      <c r="M665" s="2732"/>
      <c r="N665" s="2729">
        <f t="shared" si="51"/>
        <v>0</v>
      </c>
      <c r="O665" s="2716"/>
      <c r="Q665" s="2717"/>
      <c r="R665" s="2717"/>
      <c r="S665" s="2719"/>
      <c r="T665" s="2717"/>
      <c r="U665" s="2717"/>
      <c r="V665" s="2717"/>
    </row>
    <row r="666" spans="2:22" s="2720" customFormat="1" ht="14.1" customHeight="1" x14ac:dyDescent="0.2">
      <c r="B666" s="2711"/>
      <c r="C666" s="2537"/>
      <c r="D666" s="2536"/>
      <c r="E666" s="2736"/>
      <c r="F666" s="2741"/>
      <c r="G666" s="2742"/>
      <c r="H666" s="2743"/>
      <c r="I666" s="2744"/>
      <c r="J666" s="2813"/>
      <c r="K666" s="2732">
        <f>SUM(J665:J665)</f>
        <v>0</v>
      </c>
      <c r="L666" s="3177"/>
      <c r="M666" s="2732"/>
      <c r="N666" s="2729">
        <f t="shared" si="51"/>
        <v>0</v>
      </c>
      <c r="O666" s="2716"/>
      <c r="Q666" s="2717"/>
      <c r="R666" s="2717"/>
      <c r="S666" s="2719"/>
      <c r="T666" s="2717"/>
      <c r="U666" s="2717"/>
      <c r="V666" s="2717"/>
    </row>
    <row r="667" spans="2:22" s="2720" customFormat="1" ht="14.1" customHeight="1" x14ac:dyDescent="0.2">
      <c r="B667" s="2711"/>
      <c r="C667" s="2727" t="s">
        <v>610</v>
      </c>
      <c r="D667" s="2738" t="s">
        <v>651</v>
      </c>
      <c r="E667" s="2741"/>
      <c r="F667" s="2741"/>
      <c r="G667" s="2742"/>
      <c r="H667" s="2743"/>
      <c r="I667" s="2744"/>
      <c r="J667" s="2745" t="s">
        <v>652</v>
      </c>
      <c r="K667" s="2732">
        <f>K659+K664+K666</f>
        <v>35124</v>
      </c>
      <c r="L667" s="3179">
        <f>N667/K667</f>
        <v>0.74739921421250433</v>
      </c>
      <c r="M667" s="2745"/>
      <c r="N667" s="2747">
        <f>SUM(N656:N666)</f>
        <v>26251.65</v>
      </c>
      <c r="O667" s="2716"/>
      <c r="Q667" s="2717"/>
      <c r="R667" s="2717"/>
      <c r="S667" s="2719"/>
      <c r="T667" s="2717"/>
      <c r="U667" s="2717"/>
      <c r="V667" s="2717"/>
    </row>
    <row r="668" spans="2:22" s="2720" customFormat="1" ht="14.1" customHeight="1" x14ac:dyDescent="0.2">
      <c r="B668" s="2711"/>
      <c r="C668" s="2537" t="s">
        <v>611</v>
      </c>
      <c r="D668" s="2738" t="s">
        <v>653</v>
      </c>
      <c r="E668" s="2741"/>
      <c r="F668" s="2748">
        <f>$F$42</f>
        <v>0.1</v>
      </c>
      <c r="G668" s="2727" t="s">
        <v>425</v>
      </c>
      <c r="H668" s="2748">
        <f>$H$42</f>
        <v>0.03</v>
      </c>
      <c r="I668" s="2749" t="s">
        <v>424</v>
      </c>
      <c r="J668" s="2732" t="s">
        <v>610</v>
      </c>
      <c r="K668" s="2750">
        <f>ROUND((K667*(F668+H668)),2)</f>
        <v>4566.12</v>
      </c>
      <c r="L668" s="2732"/>
      <c r="M668" s="2732"/>
      <c r="N668" s="2732"/>
      <c r="O668" s="2716"/>
      <c r="Q668" s="2717"/>
      <c r="R668" s="2717"/>
      <c r="S668" s="2719"/>
      <c r="T668" s="2717"/>
      <c r="U668" s="2717"/>
      <c r="V668" s="2717"/>
    </row>
    <row r="669" spans="2:22" s="2720" customFormat="1" ht="14.1" customHeight="1" x14ac:dyDescent="0.2">
      <c r="B669" s="2711"/>
      <c r="C669" s="2880" t="s">
        <v>654</v>
      </c>
      <c r="D669" s="2752" t="s">
        <v>301</v>
      </c>
      <c r="E669" s="2815"/>
      <c r="F669" s="2815"/>
      <c r="G669" s="2815"/>
      <c r="H669" s="2816"/>
      <c r="I669" s="2815"/>
      <c r="J669" s="2755" t="s">
        <v>668</v>
      </c>
      <c r="K669" s="2756">
        <f>SUM(K667:K668)</f>
        <v>39690.120000000003</v>
      </c>
      <c r="L669" s="2746"/>
      <c r="M669" s="2755"/>
      <c r="N669" s="2757"/>
      <c r="O669" s="2716"/>
      <c r="Q669" s="2717"/>
      <c r="R669" s="2717"/>
      <c r="S669" s="2719"/>
      <c r="T669" s="2717"/>
      <c r="U669" s="2717"/>
      <c r="V669" s="2717"/>
    </row>
    <row r="670" spans="2:22" x14ac:dyDescent="0.25">
      <c r="Q670" s="2717"/>
      <c r="R670" s="2717"/>
      <c r="S670" s="2719"/>
      <c r="T670" s="2717"/>
      <c r="U670" s="2717"/>
      <c r="V670" s="2717"/>
    </row>
    <row r="671" spans="2:22" s="2720" customFormat="1" ht="14.1" customHeight="1" x14ac:dyDescent="0.2">
      <c r="B671" s="2711">
        <f>B652+1</f>
        <v>34</v>
      </c>
      <c r="C671" s="2711"/>
      <c r="D671" s="2909" t="s">
        <v>783</v>
      </c>
      <c r="E671" s="2713"/>
      <c r="F671" s="2713"/>
      <c r="G671" s="2713"/>
      <c r="H671" s="2714"/>
      <c r="I671" s="2713"/>
      <c r="J671" s="2713"/>
      <c r="K671" s="2715" t="s">
        <v>767</v>
      </c>
      <c r="L671" s="2715"/>
      <c r="M671" s="2715"/>
      <c r="N671" s="2715"/>
      <c r="O671" s="2716" t="str">
        <f>D672</f>
        <v>m2</v>
      </c>
      <c r="P671" s="2717">
        <f>K689</f>
        <v>98134.85</v>
      </c>
      <c r="Q671" s="2718">
        <f>L687</f>
        <v>0.71051931602279927</v>
      </c>
      <c r="R671" s="2717"/>
      <c r="S671" s="2719">
        <f>N687</f>
        <v>61705.05</v>
      </c>
      <c r="T671" s="2515">
        <f>U671+S671</f>
        <v>69726.7065</v>
      </c>
      <c r="U671" s="2719">
        <f>S671*V671</f>
        <v>8021.656500000001</v>
      </c>
      <c r="V671" s="2718">
        <f>$F$42+$H$42</f>
        <v>0.13</v>
      </c>
    </row>
    <row r="672" spans="2:22" s="2720" customFormat="1" ht="14.1" customHeight="1" x14ac:dyDescent="0.2">
      <c r="B672" s="2711"/>
      <c r="C672" s="2711"/>
      <c r="D672" s="2721" t="s">
        <v>338</v>
      </c>
      <c r="E672" s="2721"/>
      <c r="F672" s="2721"/>
      <c r="G672" s="2721"/>
      <c r="H672" s="2711"/>
      <c r="I672" s="2721"/>
      <c r="J672" s="2721"/>
      <c r="K672" s="2721"/>
      <c r="L672" s="2721"/>
      <c r="M672" s="2721"/>
      <c r="N672" s="2721"/>
      <c r="O672" s="2716"/>
      <c r="Q672" s="2717"/>
      <c r="R672" s="2717"/>
      <c r="S672" s="2719"/>
      <c r="T672" s="2717"/>
      <c r="U672" s="2717"/>
      <c r="V672" s="2717"/>
    </row>
    <row r="673" spans="2:22" s="2720" customFormat="1" ht="14.1" customHeight="1" x14ac:dyDescent="0.2">
      <c r="B673" s="2711"/>
      <c r="C673" s="2524"/>
      <c r="D673" s="3427" t="s">
        <v>280</v>
      </c>
      <c r="E673" s="3428"/>
      <c r="F673" s="2722"/>
      <c r="G673" s="3433" t="s">
        <v>281</v>
      </c>
      <c r="H673" s="3433" t="s">
        <v>282</v>
      </c>
      <c r="I673" s="2524" t="s">
        <v>283</v>
      </c>
      <c r="J673" s="2524" t="s">
        <v>284</v>
      </c>
      <c r="K673" s="2524" t="s">
        <v>340</v>
      </c>
      <c r="L673" s="2524" t="s">
        <v>2008</v>
      </c>
      <c r="M673" s="2524" t="s">
        <v>2009</v>
      </c>
      <c r="N673" s="2524" t="s">
        <v>284</v>
      </c>
      <c r="O673" s="2716"/>
      <c r="Q673" s="2717"/>
      <c r="R673" s="2717"/>
      <c r="S673" s="2719"/>
      <c r="T673" s="2717"/>
      <c r="U673" s="2717"/>
      <c r="V673" s="2717"/>
    </row>
    <row r="674" spans="2:22" s="2720" customFormat="1" ht="14.1" customHeight="1" x14ac:dyDescent="0.2">
      <c r="B674" s="2711"/>
      <c r="C674" s="2528" t="s">
        <v>669</v>
      </c>
      <c r="D674" s="3429"/>
      <c r="E674" s="3430"/>
      <c r="F674" s="2723"/>
      <c r="G674" s="3434"/>
      <c r="H674" s="3434"/>
      <c r="I674" s="2528" t="s">
        <v>285</v>
      </c>
      <c r="J674" s="2528" t="s">
        <v>286</v>
      </c>
      <c r="K674" s="2528" t="s">
        <v>286</v>
      </c>
      <c r="L674" s="2528" t="s">
        <v>2011</v>
      </c>
      <c r="M674" s="2528"/>
      <c r="N674" s="2528" t="s">
        <v>2013</v>
      </c>
      <c r="O674" s="2716"/>
      <c r="Q674" s="2717"/>
      <c r="R674" s="2717"/>
      <c r="S674" s="2719"/>
      <c r="T674" s="2717"/>
      <c r="U674" s="2717"/>
      <c r="V674" s="2717"/>
    </row>
    <row r="675" spans="2:22" s="2720" customFormat="1" ht="14.1" customHeight="1" x14ac:dyDescent="0.2">
      <c r="B675" s="2711"/>
      <c r="C675" s="2537"/>
      <c r="D675" s="3431"/>
      <c r="E675" s="3432"/>
      <c r="F675" s="2724"/>
      <c r="G675" s="3435"/>
      <c r="H675" s="3435"/>
      <c r="I675" s="2537" t="s">
        <v>286</v>
      </c>
      <c r="J675" s="2536"/>
      <c r="K675" s="2536"/>
      <c r="L675" s="2536"/>
      <c r="M675" s="2536"/>
      <c r="N675" s="2537" t="s">
        <v>286</v>
      </c>
      <c r="O675" s="2716"/>
      <c r="Q675" s="2717"/>
      <c r="R675" s="2717"/>
      <c r="S675" s="2719"/>
      <c r="T675" s="2717"/>
      <c r="U675" s="2717"/>
      <c r="V675" s="2717"/>
    </row>
    <row r="676" spans="2:22" s="2720" customFormat="1" ht="14.1" customHeight="1" x14ac:dyDescent="0.2">
      <c r="B676" s="2711"/>
      <c r="C676" s="2524" t="s">
        <v>607</v>
      </c>
      <c r="D676" s="2733" t="s">
        <v>287</v>
      </c>
      <c r="E676" s="2910" t="s">
        <v>838</v>
      </c>
      <c r="F676" s="2739"/>
      <c r="G676" s="2727" t="s">
        <v>247</v>
      </c>
      <c r="H676" s="2911">
        <v>3.5</v>
      </c>
      <c r="I676" s="2906">
        <f>'Upah &amp; Bahan'!$I$70</f>
        <v>8600</v>
      </c>
      <c r="J676" s="2729">
        <f>ROUND(H676*I676,2)</f>
        <v>30100</v>
      </c>
      <c r="K676" s="2730"/>
      <c r="L676" s="3177">
        <v>0.45050000000000001</v>
      </c>
      <c r="M676" s="2732" t="s">
        <v>2029</v>
      </c>
      <c r="N676" s="2729">
        <f t="shared" ref="N676:N686" si="52">L676*J676</f>
        <v>13560.050000000001</v>
      </c>
      <c r="O676" s="2716"/>
      <c r="Q676" s="2717"/>
      <c r="R676" s="2717"/>
      <c r="S676" s="2719"/>
      <c r="T676" s="2717"/>
      <c r="U676" s="2717"/>
      <c r="V676" s="2717"/>
    </row>
    <row r="677" spans="2:22" s="2720" customFormat="1" ht="14.1" customHeight="1" x14ac:dyDescent="0.2">
      <c r="B677" s="2711"/>
      <c r="C677" s="2528"/>
      <c r="D677" s="2733"/>
      <c r="E677" s="2910" t="s">
        <v>759</v>
      </c>
      <c r="F677" s="2739"/>
      <c r="G677" s="2727" t="s">
        <v>273</v>
      </c>
      <c r="H677" s="2911">
        <v>1</v>
      </c>
      <c r="I677" s="2906">
        <f>I676</f>
        <v>8600</v>
      </c>
      <c r="J677" s="2729">
        <f>ROUND(H677*I677,2)</f>
        <v>8600</v>
      </c>
      <c r="K677" s="2734"/>
      <c r="L677" s="3177">
        <v>0</v>
      </c>
      <c r="M677" s="2732"/>
      <c r="N677" s="2729">
        <f t="shared" si="52"/>
        <v>0</v>
      </c>
      <c r="O677" s="2716"/>
      <c r="P677" s="2720">
        <f>12/(2.4*1.2)</f>
        <v>4.166666666666667</v>
      </c>
      <c r="Q677" s="2717"/>
      <c r="R677" s="2717"/>
      <c r="S677" s="2719"/>
      <c r="T677" s="2717"/>
      <c r="U677" s="2717"/>
      <c r="V677" s="2717"/>
    </row>
    <row r="678" spans="2:22" s="2720" customFormat="1" ht="14.1" customHeight="1" x14ac:dyDescent="0.2">
      <c r="B678" s="2711"/>
      <c r="C678" s="2528"/>
      <c r="D678" s="2733"/>
      <c r="E678" s="2910" t="s">
        <v>760</v>
      </c>
      <c r="F678" s="2739"/>
      <c r="G678" s="2727"/>
      <c r="H678" s="2911"/>
      <c r="I678" s="2906"/>
      <c r="J678" s="2729"/>
      <c r="K678" s="2734"/>
      <c r="L678" s="3177"/>
      <c r="M678" s="2732"/>
      <c r="N678" s="2729"/>
      <c r="O678" s="2716"/>
      <c r="Q678" s="2717"/>
      <c r="R678" s="2717"/>
      <c r="S678" s="2719"/>
      <c r="T678" s="2717"/>
      <c r="U678" s="2717"/>
      <c r="V678" s="2717"/>
    </row>
    <row r="679" spans="2:22" s="2720" customFormat="1" ht="14.1" customHeight="1" x14ac:dyDescent="0.2">
      <c r="B679" s="2711"/>
      <c r="C679" s="2537"/>
      <c r="D679" s="2733"/>
      <c r="E679" s="2736"/>
      <c r="F679" s="2741"/>
      <c r="G679" s="2742"/>
      <c r="H679" s="2743"/>
      <c r="I679" s="2907"/>
      <c r="J679" s="2813"/>
      <c r="K679" s="2729">
        <f>SUM(J676:J677)</f>
        <v>38700</v>
      </c>
      <c r="L679" s="3177"/>
      <c r="M679" s="2732"/>
      <c r="N679" s="2729">
        <f t="shared" si="52"/>
        <v>0</v>
      </c>
      <c r="O679" s="2716"/>
      <c r="Q679" s="2717"/>
      <c r="R679" s="2717"/>
      <c r="S679" s="2719"/>
      <c r="T679" s="2717"/>
      <c r="U679" s="2717"/>
      <c r="V679" s="2717"/>
    </row>
    <row r="680" spans="2:22" s="2720" customFormat="1" ht="14.1" customHeight="1" x14ac:dyDescent="0.2">
      <c r="B680" s="2711"/>
      <c r="C680" s="2524" t="s">
        <v>608</v>
      </c>
      <c r="D680" s="2725" t="s">
        <v>288</v>
      </c>
      <c r="E680" s="2739" t="s">
        <v>294</v>
      </c>
      <c r="F680" s="2739"/>
      <c r="G680" s="2727" t="s">
        <v>291</v>
      </c>
      <c r="H680" s="2740">
        <v>0.25</v>
      </c>
      <c r="I680" s="2906">
        <f>'Upah &amp; Bahan'!$I$24</f>
        <v>88300</v>
      </c>
      <c r="J680" s="2729">
        <f>ROUND(H680*I680,2)</f>
        <v>22075</v>
      </c>
      <c r="K680" s="2730"/>
      <c r="L680" s="3177">
        <f>VLOOKUP($E680,$D$1744:$G$1761,2,0)</f>
        <v>1</v>
      </c>
      <c r="M680" s="2731" t="str">
        <f>VLOOKUP($E680,$D$1744:$G$1761,3,0)</f>
        <v>WNI</v>
      </c>
      <c r="N680" s="2729">
        <f t="shared" si="52"/>
        <v>22075</v>
      </c>
      <c r="O680" s="2716"/>
      <c r="Q680" s="2717"/>
      <c r="R680" s="2717"/>
      <c r="S680" s="2719"/>
      <c r="T680" s="2717"/>
      <c r="U680" s="2717"/>
      <c r="V680" s="2717"/>
    </row>
    <row r="681" spans="2:22" s="2720" customFormat="1" ht="14.1" customHeight="1" x14ac:dyDescent="0.2">
      <c r="B681" s="2711"/>
      <c r="C681" s="2528"/>
      <c r="D681" s="2733"/>
      <c r="E681" s="2739" t="s">
        <v>249</v>
      </c>
      <c r="F681" s="2739"/>
      <c r="G681" s="2727" t="s">
        <v>291</v>
      </c>
      <c r="H681" s="2740">
        <v>0.25</v>
      </c>
      <c r="I681" s="2906">
        <f>'Upah &amp; Bahan'!$I$33</f>
        <v>90000</v>
      </c>
      <c r="J681" s="2729">
        <f>ROUND(H681*I681,2)</f>
        <v>22500</v>
      </c>
      <c r="K681" s="2734"/>
      <c r="L681" s="3177">
        <f>VLOOKUP($E681,$D$1744:$G$1761,2,0)</f>
        <v>1</v>
      </c>
      <c r="M681" s="2731" t="str">
        <f>VLOOKUP($E681,$D$1744:$G$1761,3,0)</f>
        <v>WNI</v>
      </c>
      <c r="N681" s="2729">
        <f t="shared" si="52"/>
        <v>22500</v>
      </c>
      <c r="O681" s="2716"/>
      <c r="Q681" s="2717"/>
      <c r="R681" s="2717"/>
      <c r="S681" s="2719"/>
      <c r="T681" s="2717"/>
      <c r="U681" s="2717"/>
      <c r="V681" s="2717"/>
    </row>
    <row r="682" spans="2:22" s="2720" customFormat="1" ht="14.1" customHeight="1" x14ac:dyDescent="0.2">
      <c r="B682" s="2711"/>
      <c r="C682" s="2528"/>
      <c r="D682" s="2733"/>
      <c r="E682" s="2739" t="s">
        <v>716</v>
      </c>
      <c r="F682" s="2739"/>
      <c r="G682" s="2727" t="s">
        <v>291</v>
      </c>
      <c r="H682" s="2740">
        <v>2.5000000000000001E-2</v>
      </c>
      <c r="I682" s="2906">
        <f>'Upah &amp; Bahan'!$I$27</f>
        <v>96000</v>
      </c>
      <c r="J682" s="2729">
        <f>ROUND(H682*I682,2)</f>
        <v>2400</v>
      </c>
      <c r="K682" s="2734"/>
      <c r="L682" s="3177">
        <f>VLOOKUP($E682,$D$1744:$G$1761,2,0)</f>
        <v>1</v>
      </c>
      <c r="M682" s="2731" t="str">
        <f>VLOOKUP($E682,$D$1744:$G$1761,3,0)</f>
        <v>WNI</v>
      </c>
      <c r="N682" s="2729">
        <f t="shared" si="52"/>
        <v>2400</v>
      </c>
      <c r="O682" s="2716"/>
      <c r="Q682" s="2717"/>
      <c r="R682" s="2717"/>
      <c r="S682" s="2719"/>
      <c r="T682" s="2717"/>
      <c r="U682" s="2717"/>
      <c r="V682" s="2717"/>
    </row>
    <row r="683" spans="2:22" s="2720" customFormat="1" ht="14.1" customHeight="1" x14ac:dyDescent="0.2">
      <c r="B683" s="2711"/>
      <c r="C683" s="2528"/>
      <c r="D683" s="2733"/>
      <c r="E683" s="2739" t="s">
        <v>290</v>
      </c>
      <c r="F683" s="2739"/>
      <c r="G683" s="2727" t="s">
        <v>291</v>
      </c>
      <c r="H683" s="2740">
        <v>1.2999999999999999E-2</v>
      </c>
      <c r="I683" s="2906">
        <f>'Upah &amp; Bahan'!$I$31</f>
        <v>90000</v>
      </c>
      <c r="J683" s="2729">
        <f>ROUND(H683*I683,2)</f>
        <v>1170</v>
      </c>
      <c r="K683" s="2733"/>
      <c r="L683" s="3177">
        <f>VLOOKUP($E683,$D$1744:$G$1761,2,0)</f>
        <v>1</v>
      </c>
      <c r="M683" s="2731" t="str">
        <f>VLOOKUP($E683,$D$1744:$G$1761,3,0)</f>
        <v>WNI</v>
      </c>
      <c r="N683" s="2729">
        <f t="shared" si="52"/>
        <v>1170</v>
      </c>
      <c r="O683" s="2716"/>
      <c r="Q683" s="2717"/>
      <c r="R683" s="2717"/>
      <c r="S683" s="2719"/>
      <c r="T683" s="2717"/>
      <c r="U683" s="2717"/>
      <c r="V683" s="2717"/>
    </row>
    <row r="684" spans="2:22" s="2720" customFormat="1" ht="14.1" customHeight="1" x14ac:dyDescent="0.2">
      <c r="B684" s="2711"/>
      <c r="C684" s="2537"/>
      <c r="D684" s="2536"/>
      <c r="E684" s="2736"/>
      <c r="F684" s="2741"/>
      <c r="G684" s="2742"/>
      <c r="H684" s="2743"/>
      <c r="I684" s="2907"/>
      <c r="J684" s="2813"/>
      <c r="K684" s="2732">
        <f>SUM(J680:J683)</f>
        <v>48145</v>
      </c>
      <c r="L684" s="3177"/>
      <c r="M684" s="2732"/>
      <c r="N684" s="2729">
        <f t="shared" si="52"/>
        <v>0</v>
      </c>
      <c r="O684" s="2716"/>
      <c r="Q684" s="2717"/>
      <c r="R684" s="2717"/>
      <c r="S684" s="2719"/>
      <c r="T684" s="2717"/>
      <c r="U684" s="2717"/>
      <c r="V684" s="2717"/>
    </row>
    <row r="685" spans="2:22" s="2720" customFormat="1" ht="14.1" customHeight="1" x14ac:dyDescent="0.2">
      <c r="B685" s="2711"/>
      <c r="C685" s="2528" t="s">
        <v>609</v>
      </c>
      <c r="D685" s="2725" t="s">
        <v>606</v>
      </c>
      <c r="E685" s="2739"/>
      <c r="F685" s="2739"/>
      <c r="G685" s="2727"/>
      <c r="H685" s="2740"/>
      <c r="I685" s="2814"/>
      <c r="J685" s="2729"/>
      <c r="K685" s="2730"/>
      <c r="L685" s="3177"/>
      <c r="M685" s="2732"/>
      <c r="N685" s="2729">
        <f t="shared" si="52"/>
        <v>0</v>
      </c>
      <c r="O685" s="2716"/>
      <c r="Q685" s="2717"/>
      <c r="R685" s="2717"/>
      <c r="S685" s="2719"/>
      <c r="T685" s="2717"/>
      <c r="U685" s="2717"/>
      <c r="V685" s="2717"/>
    </row>
    <row r="686" spans="2:22" s="2720" customFormat="1" ht="14.1" customHeight="1" x14ac:dyDescent="0.2">
      <c r="B686" s="2711"/>
      <c r="C686" s="2537"/>
      <c r="D686" s="2536"/>
      <c r="E686" s="2736"/>
      <c r="F686" s="2741"/>
      <c r="G686" s="2742"/>
      <c r="H686" s="2743"/>
      <c r="I686" s="2744"/>
      <c r="J686" s="2813"/>
      <c r="K686" s="2732">
        <f>SUM(J685:J685)</f>
        <v>0</v>
      </c>
      <c r="L686" s="3177"/>
      <c r="M686" s="2732"/>
      <c r="N686" s="2729">
        <f t="shared" si="52"/>
        <v>0</v>
      </c>
      <c r="O686" s="2716"/>
      <c r="Q686" s="2717"/>
      <c r="R686" s="2717"/>
      <c r="S686" s="2719"/>
      <c r="T686" s="2717"/>
      <c r="U686" s="2717"/>
      <c r="V686" s="2717"/>
    </row>
    <row r="687" spans="2:22" s="2720" customFormat="1" ht="14.1" customHeight="1" x14ac:dyDescent="0.2">
      <c r="B687" s="2711"/>
      <c r="C687" s="2727" t="s">
        <v>610</v>
      </c>
      <c r="D687" s="2738" t="s">
        <v>651</v>
      </c>
      <c r="E687" s="2741"/>
      <c r="F687" s="2741"/>
      <c r="G687" s="2742"/>
      <c r="H687" s="2743"/>
      <c r="I687" s="2744"/>
      <c r="J687" s="2745" t="s">
        <v>652</v>
      </c>
      <c r="K687" s="2732">
        <f>K679+K684+K686</f>
        <v>86845</v>
      </c>
      <c r="L687" s="3179">
        <f>N687/K687</f>
        <v>0.71051931602279927</v>
      </c>
      <c r="M687" s="2745"/>
      <c r="N687" s="2747">
        <f>SUM(N676:N686)</f>
        <v>61705.05</v>
      </c>
      <c r="O687" s="2716"/>
      <c r="Q687" s="2717"/>
      <c r="R687" s="2717"/>
      <c r="S687" s="2719"/>
      <c r="T687" s="2717"/>
      <c r="U687" s="2717"/>
      <c r="V687" s="2717"/>
    </row>
    <row r="688" spans="2:22" s="2720" customFormat="1" ht="14.1" customHeight="1" x14ac:dyDescent="0.2">
      <c r="B688" s="2711"/>
      <c r="C688" s="2537" t="s">
        <v>611</v>
      </c>
      <c r="D688" s="2738" t="s">
        <v>653</v>
      </c>
      <c r="E688" s="2741"/>
      <c r="F688" s="2748">
        <f>$F$42</f>
        <v>0.1</v>
      </c>
      <c r="G688" s="2727" t="s">
        <v>425</v>
      </c>
      <c r="H688" s="2748">
        <f>$H$42</f>
        <v>0.03</v>
      </c>
      <c r="I688" s="2749" t="s">
        <v>424</v>
      </c>
      <c r="J688" s="2732" t="s">
        <v>610</v>
      </c>
      <c r="K688" s="2750">
        <f>ROUND((K687*(F688+H688)),2)</f>
        <v>11289.85</v>
      </c>
      <c r="L688" s="3177"/>
      <c r="M688" s="2732"/>
      <c r="N688" s="2732"/>
      <c r="O688" s="2716"/>
      <c r="Q688" s="2717"/>
      <c r="R688" s="2717"/>
      <c r="S688" s="2719"/>
      <c r="T688" s="2717"/>
      <c r="U688" s="2717"/>
      <c r="V688" s="2717"/>
    </row>
    <row r="689" spans="2:22" s="2720" customFormat="1" ht="14.1" customHeight="1" x14ac:dyDescent="0.2">
      <c r="B689" s="2711"/>
      <c r="C689" s="2880" t="s">
        <v>654</v>
      </c>
      <c r="D689" s="2752" t="s">
        <v>301</v>
      </c>
      <c r="E689" s="2815"/>
      <c r="F689" s="2815"/>
      <c r="G689" s="2815"/>
      <c r="H689" s="2816"/>
      <c r="I689" s="2815"/>
      <c r="J689" s="2755" t="s">
        <v>668</v>
      </c>
      <c r="K689" s="2756">
        <f>SUM(K687:K688)</f>
        <v>98134.85</v>
      </c>
      <c r="L689" s="2746"/>
      <c r="M689" s="2755"/>
      <c r="N689" s="2757"/>
      <c r="O689" s="2716"/>
      <c r="Q689" s="2717"/>
      <c r="R689" s="2717"/>
      <c r="S689" s="2719"/>
      <c r="T689" s="2717"/>
      <c r="U689" s="2717"/>
      <c r="V689" s="2717"/>
    </row>
    <row r="690" spans="2:22" s="2720" customFormat="1" ht="14.1" customHeight="1" x14ac:dyDescent="0.2">
      <c r="B690" s="2867"/>
      <c r="C690" s="2867"/>
      <c r="E690" s="2868"/>
      <c r="F690" s="2868"/>
      <c r="G690" s="2868"/>
      <c r="H690" s="2869"/>
      <c r="I690" s="2868"/>
      <c r="J690" s="2869"/>
      <c r="K690" s="2868"/>
      <c r="L690" s="2868"/>
      <c r="M690" s="2868"/>
      <c r="N690" s="2868"/>
      <c r="O690" s="2716"/>
      <c r="Q690" s="2717"/>
      <c r="R690" s="2717"/>
      <c r="S690" s="2719"/>
      <c r="T690" s="2717"/>
      <c r="U690" s="2717"/>
      <c r="V690" s="2717"/>
    </row>
    <row r="691" spans="2:22" s="2720" customFormat="1" ht="14.1" customHeight="1" x14ac:dyDescent="0.2">
      <c r="B691" s="2711">
        <f>B671+1</f>
        <v>35</v>
      </c>
      <c r="C691" s="2711"/>
      <c r="D691" s="2713" t="s">
        <v>1080</v>
      </c>
      <c r="E691" s="2713"/>
      <c r="F691" s="2713"/>
      <c r="G691" s="2713"/>
      <c r="H691" s="2714"/>
      <c r="I691" s="2713"/>
      <c r="J691" s="2713"/>
      <c r="K691" s="2715" t="s">
        <v>753</v>
      </c>
      <c r="L691" s="2715"/>
      <c r="M691" s="2715"/>
      <c r="N691" s="2715"/>
      <c r="O691" s="2716" t="str">
        <f>D692</f>
        <v>m'</v>
      </c>
      <c r="P691" s="2717">
        <f>K709</f>
        <v>152243.43000000002</v>
      </c>
      <c r="Q691" s="2718">
        <f>L707</f>
        <v>0.52703841126649331</v>
      </c>
      <c r="R691" s="2717"/>
      <c r="S691" s="2719">
        <f>N707</f>
        <v>71007.199999999997</v>
      </c>
      <c r="T691" s="2515">
        <f>U691+S691</f>
        <v>80238.135999999999</v>
      </c>
      <c r="U691" s="2719">
        <f>S691*V691</f>
        <v>9230.9359999999997</v>
      </c>
      <c r="V691" s="2718">
        <f>$F$42+$H$42</f>
        <v>0.13</v>
      </c>
    </row>
    <row r="692" spans="2:22" s="2720" customFormat="1" ht="14.1" customHeight="1" x14ac:dyDescent="0.2">
      <c r="B692" s="2711"/>
      <c r="C692" s="2711"/>
      <c r="D692" s="2721" t="s">
        <v>247</v>
      </c>
      <c r="E692" s="2721"/>
      <c r="F692" s="2721"/>
      <c r="G692" s="2721"/>
      <c r="H692" s="2711"/>
      <c r="I692" s="2721"/>
      <c r="J692" s="2721"/>
      <c r="K692" s="2721"/>
      <c r="L692" s="2721"/>
      <c r="M692" s="2721"/>
      <c r="N692" s="2721"/>
      <c r="O692" s="2716"/>
      <c r="Q692" s="2717"/>
      <c r="R692" s="2717"/>
      <c r="S692" s="2719"/>
      <c r="T692" s="2717"/>
      <c r="U692" s="2717"/>
      <c r="V692" s="2717"/>
    </row>
    <row r="693" spans="2:22" s="2720" customFormat="1" ht="14.1" customHeight="1" x14ac:dyDescent="0.2">
      <c r="B693" s="2711"/>
      <c r="C693" s="2524"/>
      <c r="D693" s="3427" t="s">
        <v>280</v>
      </c>
      <c r="E693" s="3428"/>
      <c r="F693" s="2722"/>
      <c r="G693" s="3433" t="s">
        <v>281</v>
      </c>
      <c r="H693" s="3433" t="s">
        <v>282</v>
      </c>
      <c r="I693" s="2524" t="s">
        <v>283</v>
      </c>
      <c r="J693" s="2524" t="s">
        <v>284</v>
      </c>
      <c r="K693" s="2524" t="s">
        <v>340</v>
      </c>
      <c r="L693" s="2524" t="s">
        <v>2008</v>
      </c>
      <c r="M693" s="2524" t="s">
        <v>2009</v>
      </c>
      <c r="N693" s="2524" t="s">
        <v>284</v>
      </c>
      <c r="O693" s="2716"/>
      <c r="Q693" s="2717"/>
      <c r="R693" s="2717"/>
      <c r="S693" s="2719"/>
      <c r="T693" s="2717"/>
      <c r="U693" s="2717"/>
      <c r="V693" s="2717"/>
    </row>
    <row r="694" spans="2:22" s="2720" customFormat="1" ht="14.1" customHeight="1" x14ac:dyDescent="0.2">
      <c r="B694" s="2711"/>
      <c r="C694" s="2528" t="s">
        <v>669</v>
      </c>
      <c r="D694" s="3429"/>
      <c r="E694" s="3430"/>
      <c r="F694" s="2723"/>
      <c r="G694" s="3434"/>
      <c r="H694" s="3434"/>
      <c r="I694" s="2528" t="s">
        <v>285</v>
      </c>
      <c r="J694" s="2528" t="s">
        <v>286</v>
      </c>
      <c r="K694" s="2528" t="s">
        <v>286</v>
      </c>
      <c r="L694" s="2528" t="s">
        <v>2011</v>
      </c>
      <c r="M694" s="2528"/>
      <c r="N694" s="2528" t="s">
        <v>2013</v>
      </c>
      <c r="O694" s="2716"/>
      <c r="Q694" s="2717"/>
      <c r="R694" s="2717"/>
      <c r="S694" s="2719"/>
      <c r="T694" s="2717"/>
      <c r="U694" s="2717"/>
      <c r="V694" s="2717"/>
    </row>
    <row r="695" spans="2:22" s="2720" customFormat="1" ht="14.1" customHeight="1" x14ac:dyDescent="0.2">
      <c r="B695" s="2711"/>
      <c r="C695" s="2537"/>
      <c r="D695" s="3431"/>
      <c r="E695" s="3432"/>
      <c r="F695" s="2724"/>
      <c r="G695" s="3435"/>
      <c r="H695" s="3435"/>
      <c r="I695" s="2537" t="s">
        <v>286</v>
      </c>
      <c r="J695" s="2536"/>
      <c r="K695" s="2536"/>
      <c r="L695" s="2536"/>
      <c r="M695" s="2536"/>
      <c r="N695" s="2537" t="s">
        <v>286</v>
      </c>
      <c r="O695" s="2716"/>
      <c r="Q695" s="2717"/>
      <c r="R695" s="2717"/>
      <c r="S695" s="2719"/>
      <c r="T695" s="2717"/>
      <c r="U695" s="2717"/>
      <c r="V695" s="2717"/>
    </row>
    <row r="696" spans="2:22" s="2720" customFormat="1" ht="14.1" customHeight="1" x14ac:dyDescent="0.2">
      <c r="B696" s="2711"/>
      <c r="C696" s="2524" t="s">
        <v>607</v>
      </c>
      <c r="D696" s="2733" t="s">
        <v>287</v>
      </c>
      <c r="E696" s="2871" t="s">
        <v>576</v>
      </c>
      <c r="F696" s="2871"/>
      <c r="G696" s="2727" t="s">
        <v>309</v>
      </c>
      <c r="H696" s="2740">
        <v>1.1000000000000001</v>
      </c>
      <c r="I696" s="2906">
        <f>+'Upah &amp; Bahan'!$I$101</f>
        <v>110000</v>
      </c>
      <c r="J696" s="2729">
        <f>ROUND(H696*I696,2)</f>
        <v>121000</v>
      </c>
      <c r="K696" s="2725"/>
      <c r="L696" s="2731">
        <v>0.51849999999999996</v>
      </c>
      <c r="M696" s="2732" t="s">
        <v>2029</v>
      </c>
      <c r="N696" s="2729">
        <f t="shared" ref="N696:N706" si="53">L696*J696</f>
        <v>62738.499999999993</v>
      </c>
      <c r="O696" s="2716"/>
      <c r="Q696" s="2717"/>
      <c r="R696" s="2717"/>
      <c r="S696" s="2719"/>
      <c r="T696" s="2717"/>
      <c r="U696" s="2717"/>
      <c r="V696" s="2717"/>
    </row>
    <row r="697" spans="2:22" s="2720" customFormat="1" ht="14.1" customHeight="1" x14ac:dyDescent="0.2">
      <c r="B697" s="2711"/>
      <c r="C697" s="2733"/>
      <c r="D697" s="2733"/>
      <c r="E697" s="2871" t="s">
        <v>695</v>
      </c>
      <c r="F697" s="2871"/>
      <c r="G697" s="2727" t="s">
        <v>240</v>
      </c>
      <c r="H697" s="2740">
        <v>2</v>
      </c>
      <c r="I697" s="2906">
        <f>'Upah &amp; Bahan'!$I$115</f>
        <v>570</v>
      </c>
      <c r="J697" s="2729">
        <f>ROUND(H697*I697,2)</f>
        <v>1140</v>
      </c>
      <c r="K697" s="2733"/>
      <c r="L697" s="2731">
        <v>0</v>
      </c>
      <c r="M697" s="2732"/>
      <c r="N697" s="2729">
        <f t="shared" si="53"/>
        <v>0</v>
      </c>
      <c r="O697" s="2716"/>
      <c r="Q697" s="2717"/>
      <c r="R697" s="2717"/>
      <c r="S697" s="2719"/>
      <c r="T697" s="2717"/>
      <c r="U697" s="2717"/>
      <c r="V697" s="2717"/>
    </row>
    <row r="698" spans="2:22" s="2720" customFormat="1" ht="14.1" customHeight="1" x14ac:dyDescent="0.2">
      <c r="B698" s="2711"/>
      <c r="C698" s="2733"/>
      <c r="D698" s="2733"/>
      <c r="E698" s="2871" t="s">
        <v>307</v>
      </c>
      <c r="F698" s="2871"/>
      <c r="G698" s="2727" t="s">
        <v>256</v>
      </c>
      <c r="H698" s="2740">
        <v>0.06</v>
      </c>
      <c r="I698" s="2906">
        <f>'Upah &amp; Bahan'!$I$142</f>
        <v>72000</v>
      </c>
      <c r="J698" s="2729">
        <f>ROUND(H698*I698,2)</f>
        <v>4320</v>
      </c>
      <c r="K698" s="2536"/>
      <c r="L698" s="2731">
        <v>0</v>
      </c>
      <c r="M698" s="2732"/>
      <c r="N698" s="2729">
        <f t="shared" si="53"/>
        <v>0</v>
      </c>
      <c r="O698" s="2716"/>
      <c r="Q698" s="2717"/>
      <c r="R698" s="2717"/>
      <c r="S698" s="2719"/>
      <c r="T698" s="2717"/>
      <c r="U698" s="2717"/>
      <c r="V698" s="2717"/>
    </row>
    <row r="699" spans="2:22" s="2720" customFormat="1" ht="14.1" customHeight="1" x14ac:dyDescent="0.2">
      <c r="B699" s="2711"/>
      <c r="C699" s="2537"/>
      <c r="D699" s="2733"/>
      <c r="E699" s="2876"/>
      <c r="F699" s="2877"/>
      <c r="G699" s="2742"/>
      <c r="H699" s="2743"/>
      <c r="I699" s="2907"/>
      <c r="J699" s="2813"/>
      <c r="K699" s="2729">
        <f>SUM(J696:J698)</f>
        <v>126460</v>
      </c>
      <c r="L699" s="2731"/>
      <c r="M699" s="2732"/>
      <c r="N699" s="2729">
        <f t="shared" si="53"/>
        <v>0</v>
      </c>
      <c r="O699" s="2716"/>
      <c r="Q699" s="2717"/>
      <c r="R699" s="2717"/>
      <c r="S699" s="2719"/>
      <c r="T699" s="2717"/>
      <c r="U699" s="2717"/>
      <c r="V699" s="2717"/>
    </row>
    <row r="700" spans="2:22" s="2720" customFormat="1" ht="14.1" customHeight="1" x14ac:dyDescent="0.2">
      <c r="B700" s="2711"/>
      <c r="C700" s="2524" t="s">
        <v>608</v>
      </c>
      <c r="D700" s="2725" t="s">
        <v>288</v>
      </c>
      <c r="E700" s="2739" t="s">
        <v>294</v>
      </c>
      <c r="F700" s="2739"/>
      <c r="G700" s="2727" t="s">
        <v>291</v>
      </c>
      <c r="H700" s="2740">
        <v>4.2999999999999997E-2</v>
      </c>
      <c r="I700" s="2906">
        <f>'Upah &amp; Bahan'!$I$24</f>
        <v>88300</v>
      </c>
      <c r="J700" s="2729">
        <f>ROUND(H700*I700,2)</f>
        <v>3796.9</v>
      </c>
      <c r="K700" s="2725"/>
      <c r="L700" s="2731">
        <f>VLOOKUP($E700,$D$1744:$G$1761,2,0)</f>
        <v>1</v>
      </c>
      <c r="M700" s="2731" t="str">
        <f>VLOOKUP($E700,$D$1744:$G$1761,3,0)</f>
        <v>WNI</v>
      </c>
      <c r="N700" s="2729">
        <f t="shared" si="53"/>
        <v>3796.9</v>
      </c>
      <c r="O700" s="2716"/>
      <c r="Q700" s="2717"/>
      <c r="R700" s="2717"/>
      <c r="S700" s="2719"/>
      <c r="T700" s="2717"/>
      <c r="U700" s="2717"/>
      <c r="V700" s="2717"/>
    </row>
    <row r="701" spans="2:22" s="2720" customFormat="1" ht="14.1" customHeight="1" x14ac:dyDescent="0.2">
      <c r="B701" s="2711"/>
      <c r="C701" s="2528"/>
      <c r="D701" s="2733"/>
      <c r="E701" s="2739" t="s">
        <v>399</v>
      </c>
      <c r="F701" s="2739"/>
      <c r="G701" s="2727" t="s">
        <v>291</v>
      </c>
      <c r="H701" s="2740">
        <v>4.2999999999999997E-2</v>
      </c>
      <c r="I701" s="2906">
        <f>'Upah &amp; Bahan'!$I$33</f>
        <v>90000</v>
      </c>
      <c r="J701" s="2729">
        <f>ROUND(H701*I701,2)</f>
        <v>3870</v>
      </c>
      <c r="K701" s="2734"/>
      <c r="L701" s="2731">
        <f>VLOOKUP($E701,$D$1744:$G$1761,2,0)</f>
        <v>1</v>
      </c>
      <c r="M701" s="2731" t="str">
        <f>VLOOKUP($E701,$D$1744:$G$1761,3,0)</f>
        <v>WNI</v>
      </c>
      <c r="N701" s="2729">
        <f t="shared" si="53"/>
        <v>3870</v>
      </c>
      <c r="O701" s="2716"/>
      <c r="Q701" s="2717"/>
      <c r="R701" s="2717"/>
      <c r="S701" s="2719"/>
      <c r="T701" s="2717"/>
      <c r="U701" s="2717"/>
      <c r="V701" s="2717"/>
    </row>
    <row r="702" spans="2:22" s="2720" customFormat="1" ht="14.1" customHeight="1" x14ac:dyDescent="0.2">
      <c r="B702" s="2711"/>
      <c r="C702" s="2733"/>
      <c r="D702" s="2733"/>
      <c r="E702" s="2739" t="s">
        <v>296</v>
      </c>
      <c r="F702" s="2739"/>
      <c r="G702" s="2727" t="s">
        <v>291</v>
      </c>
      <c r="H702" s="2889">
        <v>4.3E-3</v>
      </c>
      <c r="I702" s="2906">
        <f>'Upah &amp; Bahan'!$I$27</f>
        <v>96000</v>
      </c>
      <c r="J702" s="2729">
        <f>ROUND(H702*I702,2)</f>
        <v>412.8</v>
      </c>
      <c r="K702" s="2734"/>
      <c r="L702" s="2731">
        <f>VLOOKUP($E702,$D$1744:$G$1761,2,0)</f>
        <v>1</v>
      </c>
      <c r="M702" s="2731" t="str">
        <f>VLOOKUP($E702,$D$1744:$G$1761,3,0)</f>
        <v>WNI</v>
      </c>
      <c r="N702" s="2729">
        <f t="shared" si="53"/>
        <v>412.8</v>
      </c>
      <c r="O702" s="2716"/>
      <c r="Q702" s="2717"/>
      <c r="R702" s="2717"/>
      <c r="S702" s="2719"/>
      <c r="T702" s="2717"/>
      <c r="U702" s="2717"/>
      <c r="V702" s="2717"/>
    </row>
    <row r="703" spans="2:22" s="2720" customFormat="1" ht="14.1" customHeight="1" x14ac:dyDescent="0.2">
      <c r="B703" s="2711"/>
      <c r="C703" s="2733"/>
      <c r="D703" s="2733"/>
      <c r="E703" s="2739" t="s">
        <v>290</v>
      </c>
      <c r="F703" s="2739"/>
      <c r="G703" s="2727" t="s">
        <v>291</v>
      </c>
      <c r="H703" s="2889">
        <v>2.0999999999999999E-3</v>
      </c>
      <c r="I703" s="2906">
        <f>'Upah &amp; Bahan'!$I$31</f>
        <v>90000</v>
      </c>
      <c r="J703" s="2729">
        <f>ROUND(H703*I703,2)</f>
        <v>189</v>
      </c>
      <c r="K703" s="2734"/>
      <c r="L703" s="2731">
        <f>VLOOKUP($E703,$D$1744:$G$1761,2,0)</f>
        <v>1</v>
      </c>
      <c r="M703" s="2731" t="str">
        <f>VLOOKUP($E703,$D$1744:$G$1761,3,0)</f>
        <v>WNI</v>
      </c>
      <c r="N703" s="2729">
        <f t="shared" si="53"/>
        <v>189</v>
      </c>
      <c r="O703" s="2716"/>
      <c r="Q703" s="2717"/>
      <c r="R703" s="2717"/>
      <c r="S703" s="2719"/>
      <c r="T703" s="2717"/>
      <c r="U703" s="2717"/>
      <c r="V703" s="2717"/>
    </row>
    <row r="704" spans="2:22" s="2720" customFormat="1" ht="14.1" customHeight="1" x14ac:dyDescent="0.2">
      <c r="B704" s="2711"/>
      <c r="C704" s="2537"/>
      <c r="D704" s="2536"/>
      <c r="E704" s="2736"/>
      <c r="F704" s="2741"/>
      <c r="G704" s="2742"/>
      <c r="H704" s="2743"/>
      <c r="I704" s="2907"/>
      <c r="J704" s="2813"/>
      <c r="K704" s="2732">
        <f>SUM(J700:J703)</f>
        <v>8268.7000000000007</v>
      </c>
      <c r="L704" s="2731"/>
      <c r="M704" s="2732"/>
      <c r="N704" s="2729">
        <f t="shared" si="53"/>
        <v>0</v>
      </c>
      <c r="O704" s="2716"/>
      <c r="Q704" s="2717"/>
      <c r="R704" s="2717"/>
      <c r="S704" s="2719"/>
      <c r="T704" s="2717"/>
      <c r="U704" s="2717"/>
      <c r="V704" s="2717"/>
    </row>
    <row r="705" spans="2:22" s="2720" customFormat="1" ht="14.1" customHeight="1" x14ac:dyDescent="0.2">
      <c r="B705" s="2711"/>
      <c r="C705" s="2528" t="s">
        <v>609</v>
      </c>
      <c r="D705" s="2725" t="s">
        <v>606</v>
      </c>
      <c r="E705" s="2739"/>
      <c r="F705" s="2739"/>
      <c r="G705" s="2727"/>
      <c r="H705" s="2740"/>
      <c r="I705" s="2814"/>
      <c r="J705" s="2729"/>
      <c r="K705" s="2730"/>
      <c r="L705" s="2731"/>
      <c r="M705" s="2732"/>
      <c r="N705" s="2729">
        <f t="shared" si="53"/>
        <v>0</v>
      </c>
      <c r="O705" s="2716"/>
      <c r="Q705" s="2717"/>
      <c r="R705" s="2717"/>
      <c r="S705" s="2719"/>
      <c r="T705" s="2717"/>
      <c r="U705" s="2717"/>
      <c r="V705" s="2717"/>
    </row>
    <row r="706" spans="2:22" s="2720" customFormat="1" ht="14.1" customHeight="1" x14ac:dyDescent="0.2">
      <c r="B706" s="2711"/>
      <c r="C706" s="2537"/>
      <c r="D706" s="2536"/>
      <c r="E706" s="2736"/>
      <c r="F706" s="2741"/>
      <c r="G706" s="2742"/>
      <c r="H706" s="2743"/>
      <c r="I706" s="2744"/>
      <c r="J706" s="2813"/>
      <c r="K706" s="2732">
        <f>SUM(J705:J705)</f>
        <v>0</v>
      </c>
      <c r="L706" s="2731"/>
      <c r="M706" s="2732"/>
      <c r="N706" s="2729">
        <f t="shared" si="53"/>
        <v>0</v>
      </c>
      <c r="O706" s="2716"/>
      <c r="Q706" s="2717"/>
      <c r="R706" s="2717"/>
      <c r="S706" s="2719"/>
      <c r="T706" s="2717"/>
      <c r="U706" s="2717"/>
      <c r="V706" s="2717"/>
    </row>
    <row r="707" spans="2:22" s="2720" customFormat="1" ht="14.1" customHeight="1" x14ac:dyDescent="0.2">
      <c r="B707" s="2711"/>
      <c r="C707" s="2727" t="s">
        <v>610</v>
      </c>
      <c r="D707" s="2738" t="s">
        <v>651</v>
      </c>
      <c r="E707" s="2741"/>
      <c r="F707" s="2741"/>
      <c r="G707" s="2742"/>
      <c r="H707" s="2743"/>
      <c r="I707" s="2744"/>
      <c r="J707" s="2745" t="s">
        <v>652</v>
      </c>
      <c r="K707" s="2732">
        <f>K699+K704+K706</f>
        <v>134728.70000000001</v>
      </c>
      <c r="L707" s="2746">
        <f>N707/K707</f>
        <v>0.52703841126649331</v>
      </c>
      <c r="M707" s="2745"/>
      <c r="N707" s="2747">
        <f>SUM(N696:N706)</f>
        <v>71007.199999999997</v>
      </c>
      <c r="O707" s="2716"/>
      <c r="Q707" s="2717"/>
      <c r="R707" s="2717"/>
      <c r="S707" s="2719"/>
      <c r="T707" s="2717"/>
      <c r="U707" s="2717"/>
      <c r="V707" s="2717"/>
    </row>
    <row r="708" spans="2:22" s="2720" customFormat="1" ht="14.1" customHeight="1" x14ac:dyDescent="0.2">
      <c r="B708" s="2711"/>
      <c r="C708" s="2537" t="s">
        <v>611</v>
      </c>
      <c r="D708" s="2738" t="s">
        <v>653</v>
      </c>
      <c r="E708" s="2741"/>
      <c r="F708" s="2748">
        <f>$F$42</f>
        <v>0.1</v>
      </c>
      <c r="G708" s="2727" t="s">
        <v>425</v>
      </c>
      <c r="H708" s="2748">
        <f>$H$42</f>
        <v>0.03</v>
      </c>
      <c r="I708" s="2749" t="s">
        <v>424</v>
      </c>
      <c r="J708" s="2732" t="s">
        <v>610</v>
      </c>
      <c r="K708" s="2750">
        <f>ROUND((K707*(F708+H708)),2)</f>
        <v>17514.73</v>
      </c>
      <c r="L708" s="2732"/>
      <c r="M708" s="2732"/>
      <c r="N708" s="2732"/>
      <c r="O708" s="2716"/>
      <c r="Q708" s="2717"/>
      <c r="R708" s="2717"/>
      <c r="S708" s="2719"/>
      <c r="T708" s="2717"/>
      <c r="U708" s="2717"/>
      <c r="V708" s="2717"/>
    </row>
    <row r="709" spans="2:22" s="2720" customFormat="1" ht="14.1" customHeight="1" x14ac:dyDescent="0.2">
      <c r="B709" s="2711"/>
      <c r="C709" s="2880" t="s">
        <v>654</v>
      </c>
      <c r="D709" s="2752" t="s">
        <v>301</v>
      </c>
      <c r="E709" s="2815"/>
      <c r="F709" s="2815"/>
      <c r="G709" s="2815"/>
      <c r="H709" s="2816"/>
      <c r="I709" s="2815"/>
      <c r="J709" s="2755" t="s">
        <v>668</v>
      </c>
      <c r="K709" s="2756">
        <f>SUM(K707:K708)</f>
        <v>152243.43000000002</v>
      </c>
      <c r="L709" s="2746"/>
      <c r="M709" s="2755"/>
      <c r="N709" s="2757"/>
      <c r="O709" s="2716"/>
      <c r="Q709" s="2717"/>
      <c r="R709" s="2717"/>
      <c r="S709" s="2719"/>
      <c r="T709" s="2717"/>
      <c r="U709" s="2717"/>
      <c r="V709" s="2717"/>
    </row>
    <row r="710" spans="2:22" x14ac:dyDescent="0.25">
      <c r="Q710" s="2717"/>
      <c r="R710" s="2717"/>
      <c r="S710" s="2719"/>
      <c r="T710" s="2717"/>
      <c r="U710" s="2717"/>
      <c r="V710" s="2717"/>
    </row>
    <row r="711" spans="2:22" s="2721" customFormat="1" ht="14.1" customHeight="1" x14ac:dyDescent="0.2">
      <c r="B711" s="2711">
        <f>B691+1</f>
        <v>36</v>
      </c>
      <c r="C711" s="2711"/>
      <c r="D711" s="2713" t="s">
        <v>1829</v>
      </c>
      <c r="E711" s="2713"/>
      <c r="F711" s="2713"/>
      <c r="G711" s="2713"/>
      <c r="H711" s="2714"/>
      <c r="I711" s="2713"/>
      <c r="J711" s="2713"/>
      <c r="K711" s="2715" t="s">
        <v>1081</v>
      </c>
      <c r="L711" s="2715"/>
      <c r="M711" s="2715"/>
      <c r="N711" s="2715"/>
      <c r="O711" s="2721" t="str">
        <f>D712</f>
        <v>m2</v>
      </c>
      <c r="P711" s="2810">
        <f>K729</f>
        <v>765224.14</v>
      </c>
      <c r="Q711" s="2718">
        <f>L727</f>
        <v>0.53012493548703865</v>
      </c>
      <c r="R711" s="2717"/>
      <c r="S711" s="2719">
        <f>N727</f>
        <v>358995.04</v>
      </c>
      <c r="T711" s="2515">
        <f>U711+S711</f>
        <v>405664.39519999997</v>
      </c>
      <c r="U711" s="2719">
        <f>S711*V711</f>
        <v>46669.355199999998</v>
      </c>
      <c r="V711" s="2718">
        <f>$F$42+$H$42</f>
        <v>0.13</v>
      </c>
    </row>
    <row r="712" spans="2:22" s="2721" customFormat="1" ht="14.1" customHeight="1" x14ac:dyDescent="0.2">
      <c r="B712" s="2711"/>
      <c r="C712" s="2711"/>
      <c r="D712" s="2721" t="s">
        <v>338</v>
      </c>
      <c r="H712" s="2711"/>
      <c r="Q712" s="2717"/>
      <c r="R712" s="2717"/>
      <c r="S712" s="2719"/>
      <c r="T712" s="2717"/>
      <c r="U712" s="2717"/>
      <c r="V712" s="2717"/>
    </row>
    <row r="713" spans="2:22" s="2721" customFormat="1" ht="14.1" customHeight="1" x14ac:dyDescent="0.2">
      <c r="B713" s="2711"/>
      <c r="C713" s="2711"/>
      <c r="H713" s="2711"/>
      <c r="Q713" s="2717"/>
      <c r="R713" s="2717"/>
      <c r="S713" s="2719"/>
      <c r="T713" s="2717"/>
      <c r="U713" s="2717"/>
      <c r="V713" s="2717"/>
    </row>
    <row r="714" spans="2:22" s="2721" customFormat="1" ht="14.1" customHeight="1" x14ac:dyDescent="0.2">
      <c r="B714" s="2711"/>
      <c r="C714" s="2524"/>
      <c r="D714" s="3427" t="s">
        <v>280</v>
      </c>
      <c r="E714" s="3428"/>
      <c r="F714" s="2722"/>
      <c r="G714" s="3433" t="s">
        <v>281</v>
      </c>
      <c r="H714" s="3433" t="s">
        <v>282</v>
      </c>
      <c r="I714" s="2524" t="s">
        <v>283</v>
      </c>
      <c r="J714" s="2524" t="s">
        <v>284</v>
      </c>
      <c r="K714" s="2524" t="s">
        <v>340</v>
      </c>
      <c r="L714" s="2524" t="s">
        <v>2008</v>
      </c>
      <c r="M714" s="2524" t="s">
        <v>2009</v>
      </c>
      <c r="N714" s="2524" t="s">
        <v>284</v>
      </c>
      <c r="Q714" s="2717"/>
      <c r="R714" s="2717"/>
      <c r="S714" s="2719"/>
      <c r="T714" s="2717"/>
      <c r="U714" s="2717"/>
      <c r="V714" s="2717"/>
    </row>
    <row r="715" spans="2:22" s="2721" customFormat="1" ht="14.1" customHeight="1" x14ac:dyDescent="0.2">
      <c r="B715" s="2711"/>
      <c r="C715" s="2528" t="s">
        <v>669</v>
      </c>
      <c r="D715" s="3429"/>
      <c r="E715" s="3430"/>
      <c r="F715" s="2723"/>
      <c r="G715" s="3434"/>
      <c r="H715" s="3434"/>
      <c r="I715" s="2528" t="s">
        <v>285</v>
      </c>
      <c r="J715" s="2528" t="s">
        <v>286</v>
      </c>
      <c r="K715" s="2528" t="s">
        <v>286</v>
      </c>
      <c r="L715" s="2528" t="s">
        <v>2011</v>
      </c>
      <c r="M715" s="2528"/>
      <c r="N715" s="2528" t="s">
        <v>2013</v>
      </c>
      <c r="Q715" s="2717"/>
      <c r="R715" s="2717"/>
      <c r="S715" s="2719"/>
      <c r="T715" s="2717"/>
      <c r="U715" s="2717"/>
      <c r="V715" s="2717"/>
    </row>
    <row r="716" spans="2:22" s="2721" customFormat="1" ht="14.1" customHeight="1" x14ac:dyDescent="0.2">
      <c r="B716" s="2711"/>
      <c r="C716" s="2537"/>
      <c r="D716" s="3431"/>
      <c r="E716" s="3432"/>
      <c r="F716" s="2724"/>
      <c r="G716" s="3435"/>
      <c r="H716" s="3435"/>
      <c r="I716" s="2537" t="s">
        <v>286</v>
      </c>
      <c r="J716" s="2536"/>
      <c r="K716" s="2536"/>
      <c r="L716" s="2536"/>
      <c r="M716" s="2536"/>
      <c r="N716" s="2537" t="s">
        <v>286</v>
      </c>
      <c r="Q716" s="2717"/>
      <c r="R716" s="2717"/>
      <c r="S716" s="2719"/>
      <c r="T716" s="2717"/>
      <c r="U716" s="2717"/>
      <c r="V716" s="2717"/>
    </row>
    <row r="717" spans="2:22" s="2721" customFormat="1" ht="14.1" customHeight="1" x14ac:dyDescent="0.2">
      <c r="B717" s="2711"/>
      <c r="C717" s="2524" t="s">
        <v>607</v>
      </c>
      <c r="D717" s="2733" t="s">
        <v>287</v>
      </c>
      <c r="E717" s="2871" t="s">
        <v>574</v>
      </c>
      <c r="F717" s="2871"/>
      <c r="G717" s="2727" t="s">
        <v>309</v>
      </c>
      <c r="H717" s="2740">
        <v>4.4000000000000004</v>
      </c>
      <c r="I717" s="2729">
        <f>'Upah &amp; Bahan'!I138</f>
        <v>119000</v>
      </c>
      <c r="J717" s="2729">
        <f>ROUND(H717*I717,2)</f>
        <v>523600</v>
      </c>
      <c r="K717" s="2725"/>
      <c r="L717" s="2731">
        <f>L696</f>
        <v>0.51849999999999996</v>
      </c>
      <c r="M717" s="2732" t="s">
        <v>2029</v>
      </c>
      <c r="N717" s="2729">
        <f t="shared" ref="N717:N726" si="54">L717*J717</f>
        <v>271486.59999999998</v>
      </c>
      <c r="Q717" s="2717"/>
      <c r="R717" s="2717"/>
      <c r="S717" s="2719"/>
      <c r="T717" s="2717"/>
      <c r="U717" s="2717"/>
      <c r="V717" s="2717"/>
    </row>
    <row r="718" spans="2:22" s="2721" customFormat="1" ht="14.1" customHeight="1" x14ac:dyDescent="0.2">
      <c r="B718" s="2711"/>
      <c r="C718" s="2733"/>
      <c r="D718" s="2733"/>
      <c r="E718" s="2871" t="s">
        <v>257</v>
      </c>
      <c r="F718" s="2871"/>
      <c r="G718" s="2727" t="s">
        <v>309</v>
      </c>
      <c r="H718" s="2740">
        <v>14.6</v>
      </c>
      <c r="I718" s="2729">
        <f>'Upah &amp; Bahan'!$I$50</f>
        <v>9400</v>
      </c>
      <c r="J718" s="2729">
        <f>ROUND(H718*I718,2)</f>
        <v>137240</v>
      </c>
      <c r="K718" s="2733"/>
      <c r="L718" s="2731">
        <f>$L$717</f>
        <v>0.51849999999999996</v>
      </c>
      <c r="M718" s="2732" t="s">
        <v>2029</v>
      </c>
      <c r="N718" s="2729">
        <f t="shared" si="54"/>
        <v>71158.939999999988</v>
      </c>
      <c r="Q718" s="2717"/>
      <c r="R718" s="2717"/>
      <c r="S718" s="2719"/>
      <c r="T718" s="2717"/>
      <c r="U718" s="2717"/>
      <c r="V718" s="2717"/>
    </row>
    <row r="719" spans="2:22" s="2721" customFormat="1" ht="14.1" customHeight="1" x14ac:dyDescent="0.2">
      <c r="B719" s="2711"/>
      <c r="C719" s="2537"/>
      <c r="D719" s="2733"/>
      <c r="E719" s="2876"/>
      <c r="F719" s="2877"/>
      <c r="G719" s="2742"/>
      <c r="H719" s="2743"/>
      <c r="I719" s="2842"/>
      <c r="J719" s="2813"/>
      <c r="K719" s="2729">
        <f>SUM(J717:J718)</f>
        <v>660840</v>
      </c>
      <c r="L719" s="2731"/>
      <c r="M719" s="2732"/>
      <c r="N719" s="2729">
        <f t="shared" si="54"/>
        <v>0</v>
      </c>
      <c r="Q719" s="2717"/>
      <c r="R719" s="2717"/>
      <c r="S719" s="2719"/>
      <c r="T719" s="2717"/>
      <c r="U719" s="2717"/>
      <c r="V719" s="2717"/>
    </row>
    <row r="720" spans="2:22" s="2721" customFormat="1" ht="14.1" customHeight="1" x14ac:dyDescent="0.2">
      <c r="B720" s="2711"/>
      <c r="C720" s="2524" t="s">
        <v>608</v>
      </c>
      <c r="D720" s="2725" t="s">
        <v>288</v>
      </c>
      <c r="E720" s="2739" t="s">
        <v>294</v>
      </c>
      <c r="F720" s="2739"/>
      <c r="G720" s="2727" t="s">
        <v>291</v>
      </c>
      <c r="H720" s="2740">
        <v>8.5000000000000006E-2</v>
      </c>
      <c r="I720" s="2729">
        <f>'Upah &amp; Bahan'!$I$24</f>
        <v>88300</v>
      </c>
      <c r="J720" s="2729">
        <f>ROUND(H720*I720,2)</f>
        <v>7505.5</v>
      </c>
      <c r="K720" s="2725"/>
      <c r="L720" s="2731">
        <f>VLOOKUP($E720,$D$1744:$G$1761,2,0)</f>
        <v>1</v>
      </c>
      <c r="M720" s="2731" t="str">
        <f>VLOOKUP($E720,$D$1744:$G$1761,3,0)</f>
        <v>WNI</v>
      </c>
      <c r="N720" s="2729">
        <f t="shared" si="54"/>
        <v>7505.5</v>
      </c>
      <c r="Q720" s="2717"/>
      <c r="R720" s="2717"/>
      <c r="S720" s="2719"/>
      <c r="T720" s="2717"/>
      <c r="U720" s="2717"/>
      <c r="V720" s="2717"/>
    </row>
    <row r="721" spans="2:22" s="2721" customFormat="1" ht="14.1" customHeight="1" x14ac:dyDescent="0.2">
      <c r="B721" s="2711"/>
      <c r="C721" s="2733"/>
      <c r="D721" s="2733"/>
      <c r="E721" s="2739" t="s">
        <v>399</v>
      </c>
      <c r="F721" s="2739"/>
      <c r="G721" s="2727" t="s">
        <v>291</v>
      </c>
      <c r="H721" s="2740">
        <v>8.5000000000000006E-2</v>
      </c>
      <c r="I721" s="2729">
        <f>'Upah &amp; Bahan'!$I$33</f>
        <v>90000</v>
      </c>
      <c r="J721" s="2729">
        <f>ROUND(H721*I721,2)</f>
        <v>7650</v>
      </c>
      <c r="K721" s="2734"/>
      <c r="L721" s="2731">
        <f>VLOOKUP($E721,$D$1744:$G$1761,2,0)</f>
        <v>1</v>
      </c>
      <c r="M721" s="2731" t="str">
        <f>VLOOKUP($E721,$D$1744:$G$1761,3,0)</f>
        <v>WNI</v>
      </c>
      <c r="N721" s="2729">
        <f t="shared" si="54"/>
        <v>7650</v>
      </c>
      <c r="Q721" s="2717"/>
      <c r="R721" s="2717"/>
      <c r="S721" s="2719"/>
      <c r="T721" s="2717"/>
      <c r="U721" s="2717"/>
      <c r="V721" s="2717"/>
    </row>
    <row r="722" spans="2:22" s="2721" customFormat="1" ht="14.1" customHeight="1" x14ac:dyDescent="0.2">
      <c r="B722" s="2711"/>
      <c r="C722" s="2528"/>
      <c r="D722" s="2733"/>
      <c r="E722" s="2739" t="s">
        <v>296</v>
      </c>
      <c r="F722" s="2739"/>
      <c r="G722" s="2727" t="s">
        <v>291</v>
      </c>
      <c r="H722" s="2889">
        <v>8.5000000000000006E-3</v>
      </c>
      <c r="I722" s="2732">
        <f>'Upah &amp; Bahan'!$I$27</f>
        <v>96000</v>
      </c>
      <c r="J722" s="2729">
        <f>ROUND(H722*I722,2)</f>
        <v>816</v>
      </c>
      <c r="K722" s="2734"/>
      <c r="L722" s="2731">
        <f>VLOOKUP($E722,$D$1744:$G$1761,2,0)</f>
        <v>1</v>
      </c>
      <c r="M722" s="2731" t="str">
        <f>VLOOKUP($E722,$D$1744:$G$1761,3,0)</f>
        <v>WNI</v>
      </c>
      <c r="N722" s="2729">
        <f t="shared" si="54"/>
        <v>816</v>
      </c>
      <c r="Q722" s="2717"/>
      <c r="R722" s="2717"/>
      <c r="S722" s="2719"/>
      <c r="T722" s="2717"/>
      <c r="U722" s="2717"/>
      <c r="V722" s="2717"/>
    </row>
    <row r="723" spans="2:22" s="2721" customFormat="1" ht="14.1" customHeight="1" x14ac:dyDescent="0.2">
      <c r="B723" s="2711"/>
      <c r="C723" s="2733"/>
      <c r="D723" s="2733"/>
      <c r="E723" s="2739" t="s">
        <v>290</v>
      </c>
      <c r="F723" s="2739"/>
      <c r="G723" s="2727" t="s">
        <v>291</v>
      </c>
      <c r="H723" s="2889">
        <v>4.1999999999999997E-3</v>
      </c>
      <c r="I723" s="2729">
        <f>'Upah &amp; Bahan'!$I$31</f>
        <v>90000</v>
      </c>
      <c r="J723" s="2729">
        <f>ROUND(H723*I723,2)</f>
        <v>378</v>
      </c>
      <c r="K723" s="2734"/>
      <c r="L723" s="2731">
        <f>VLOOKUP($E723,$D$1744:$G$1761,2,0)</f>
        <v>1</v>
      </c>
      <c r="M723" s="2731" t="str">
        <f>VLOOKUP($E723,$D$1744:$G$1761,3,0)</f>
        <v>WNI</v>
      </c>
      <c r="N723" s="2729">
        <f t="shared" si="54"/>
        <v>378</v>
      </c>
      <c r="Q723" s="2717"/>
      <c r="R723" s="2717"/>
      <c r="S723" s="2719"/>
      <c r="T723" s="2717"/>
      <c r="U723" s="2717"/>
      <c r="V723" s="2717"/>
    </row>
    <row r="724" spans="2:22" s="2721" customFormat="1" ht="14.1" customHeight="1" x14ac:dyDescent="0.2">
      <c r="B724" s="2711"/>
      <c r="C724" s="2537"/>
      <c r="D724" s="2536"/>
      <c r="E724" s="2736"/>
      <c r="F724" s="2741"/>
      <c r="G724" s="2742"/>
      <c r="H724" s="2912"/>
      <c r="I724" s="2842"/>
      <c r="J724" s="2913"/>
      <c r="K724" s="2732">
        <f>SUM(J720:J723)</f>
        <v>16349.5</v>
      </c>
      <c r="L724" s="2731"/>
      <c r="M724" s="2732"/>
      <c r="N724" s="2729">
        <f t="shared" si="54"/>
        <v>0</v>
      </c>
      <c r="Q724" s="2717"/>
      <c r="R724" s="2717"/>
      <c r="S724" s="2719"/>
      <c r="T724" s="2717"/>
      <c r="U724" s="2717"/>
      <c r="V724" s="2717"/>
    </row>
    <row r="725" spans="2:22" s="2721" customFormat="1" ht="14.1" customHeight="1" x14ac:dyDescent="0.2">
      <c r="B725" s="2711"/>
      <c r="C725" s="2528" t="s">
        <v>609</v>
      </c>
      <c r="D725" s="2725" t="s">
        <v>606</v>
      </c>
      <c r="E725" s="2739"/>
      <c r="F725" s="2739"/>
      <c r="G725" s="2727"/>
      <c r="H725" s="2740"/>
      <c r="I725" s="2814"/>
      <c r="J725" s="2729"/>
      <c r="K725" s="2730"/>
      <c r="L725" s="2731"/>
      <c r="M725" s="2732"/>
      <c r="N725" s="2729">
        <f t="shared" si="54"/>
        <v>0</v>
      </c>
      <c r="Q725" s="2717"/>
      <c r="R725" s="2717"/>
      <c r="S725" s="2719"/>
      <c r="T725" s="2717"/>
      <c r="U725" s="2717"/>
      <c r="V725" s="2717"/>
    </row>
    <row r="726" spans="2:22" s="2721" customFormat="1" ht="14.1" customHeight="1" x14ac:dyDescent="0.2">
      <c r="B726" s="2711"/>
      <c r="C726" s="2536"/>
      <c r="D726" s="2536"/>
      <c r="E726" s="2736"/>
      <c r="F726" s="2741"/>
      <c r="G726" s="2742"/>
      <c r="H726" s="2743"/>
      <c r="I726" s="2744"/>
      <c r="J726" s="2813"/>
      <c r="K726" s="2732">
        <f>SUM(J725:J725)</f>
        <v>0</v>
      </c>
      <c r="L726" s="2731"/>
      <c r="M726" s="2732"/>
      <c r="N726" s="2729">
        <f t="shared" si="54"/>
        <v>0</v>
      </c>
      <c r="Q726" s="2717"/>
      <c r="R726" s="2717"/>
      <c r="S726" s="2719"/>
      <c r="T726" s="2717"/>
      <c r="U726" s="2717"/>
      <c r="V726" s="2717"/>
    </row>
    <row r="727" spans="2:22" s="2721" customFormat="1" ht="14.1" customHeight="1" x14ac:dyDescent="0.2">
      <c r="B727" s="2711"/>
      <c r="C727" s="2537" t="s">
        <v>610</v>
      </c>
      <c r="D727" s="2738" t="s">
        <v>651</v>
      </c>
      <c r="E727" s="2741"/>
      <c r="F727" s="2741"/>
      <c r="G727" s="2742"/>
      <c r="H727" s="2743"/>
      <c r="I727" s="2744"/>
      <c r="J727" s="2745" t="s">
        <v>652</v>
      </c>
      <c r="K727" s="2732">
        <f>K719+K724+K726</f>
        <v>677189.5</v>
      </c>
      <c r="L727" s="2746">
        <f>N727/K727</f>
        <v>0.53012493548703865</v>
      </c>
      <c r="M727" s="2745"/>
      <c r="N727" s="2747">
        <f>SUM(N716:N726)</f>
        <v>358995.04</v>
      </c>
      <c r="Q727" s="2717"/>
      <c r="R727" s="2717"/>
      <c r="S727" s="2719"/>
      <c r="T727" s="2717"/>
      <c r="U727" s="2717"/>
      <c r="V727" s="2717"/>
    </row>
    <row r="728" spans="2:22" s="2721" customFormat="1" ht="14.1" customHeight="1" x14ac:dyDescent="0.2">
      <c r="B728" s="2711"/>
      <c r="C728" s="2537" t="s">
        <v>611</v>
      </c>
      <c r="D728" s="2738" t="s">
        <v>653</v>
      </c>
      <c r="E728" s="2741"/>
      <c r="F728" s="2748">
        <f>$F$42</f>
        <v>0.1</v>
      </c>
      <c r="G728" s="2727" t="s">
        <v>425</v>
      </c>
      <c r="H728" s="2748">
        <f>$H$42</f>
        <v>0.03</v>
      </c>
      <c r="I728" s="2749" t="s">
        <v>424</v>
      </c>
      <c r="J728" s="2732" t="s">
        <v>610</v>
      </c>
      <c r="K728" s="2750">
        <f>ROUND((K727*(F728+H728)),2)</f>
        <v>88034.64</v>
      </c>
      <c r="L728" s="2732"/>
      <c r="M728" s="2732"/>
      <c r="N728" s="2732"/>
      <c r="Q728" s="2717"/>
      <c r="R728" s="2717"/>
      <c r="S728" s="2719"/>
      <c r="T728" s="2717"/>
      <c r="U728" s="2717"/>
      <c r="V728" s="2717"/>
    </row>
    <row r="729" spans="2:22" s="2721" customFormat="1" ht="14.1" customHeight="1" x14ac:dyDescent="0.2">
      <c r="B729" s="2711"/>
      <c r="C729" s="2880" t="s">
        <v>654</v>
      </c>
      <c r="D729" s="2752" t="s">
        <v>301</v>
      </c>
      <c r="E729" s="2815"/>
      <c r="F729" s="2815"/>
      <c r="G729" s="2815"/>
      <c r="H729" s="2816"/>
      <c r="I729" s="2815"/>
      <c r="J729" s="2755" t="s">
        <v>668</v>
      </c>
      <c r="K729" s="2756">
        <f>SUM(K727:K728)</f>
        <v>765224.14</v>
      </c>
      <c r="L729" s="2746"/>
      <c r="M729" s="2755"/>
      <c r="N729" s="2757"/>
      <c r="Q729" s="2717"/>
      <c r="R729" s="2717"/>
      <c r="S729" s="2719"/>
      <c r="T729" s="2717"/>
      <c r="U729" s="2717"/>
      <c r="V729" s="2717"/>
    </row>
    <row r="730" spans="2:22" x14ac:dyDescent="0.25">
      <c r="Q730" s="2717"/>
      <c r="R730" s="2717"/>
      <c r="S730" s="2719"/>
      <c r="T730" s="2717"/>
      <c r="U730" s="2717"/>
      <c r="V730" s="2717"/>
    </row>
    <row r="731" spans="2:22" s="2720" customFormat="1" ht="14.1" customHeight="1" x14ac:dyDescent="0.2">
      <c r="B731" s="2711">
        <f>B711+1</f>
        <v>37</v>
      </c>
      <c r="C731" s="2711"/>
      <c r="D731" s="2713" t="s">
        <v>1965</v>
      </c>
      <c r="E731" s="2713"/>
      <c r="F731" s="2713"/>
      <c r="G731" s="2713"/>
      <c r="H731" s="2714"/>
      <c r="I731" s="2713"/>
      <c r="J731" s="2713"/>
      <c r="K731" s="2715" t="s">
        <v>720</v>
      </c>
      <c r="L731" s="2715"/>
      <c r="M731" s="2715"/>
      <c r="N731" s="2715"/>
      <c r="O731" s="2716" t="str">
        <f>D732</f>
        <v>m2</v>
      </c>
      <c r="P731" s="2717">
        <f>K751</f>
        <v>853707.66</v>
      </c>
      <c r="Q731" s="2718">
        <f>L749</f>
        <v>0.47846365322798945</v>
      </c>
      <c r="R731" s="2717"/>
      <c r="S731" s="2719">
        <f>N749</f>
        <v>361476.18000000005</v>
      </c>
      <c r="T731" s="2515">
        <f>U731+S731</f>
        <v>408468.08340000006</v>
      </c>
      <c r="U731" s="2719">
        <f>S731*V731</f>
        <v>46991.90340000001</v>
      </c>
      <c r="V731" s="2718">
        <f>$F$42+$H$42</f>
        <v>0.13</v>
      </c>
    </row>
    <row r="732" spans="2:22" s="2720" customFormat="1" ht="14.1" customHeight="1" x14ac:dyDescent="0.2">
      <c r="B732" s="2711"/>
      <c r="C732" s="2711"/>
      <c r="D732" s="2721" t="s">
        <v>338</v>
      </c>
      <c r="E732" s="2721"/>
      <c r="F732" s="2721"/>
      <c r="G732" s="2721"/>
      <c r="H732" s="2711"/>
      <c r="I732" s="2721"/>
      <c r="J732" s="2721"/>
      <c r="K732" s="2721"/>
      <c r="L732" s="2721"/>
      <c r="M732" s="2721"/>
      <c r="N732" s="2721"/>
      <c r="O732" s="2716"/>
      <c r="Q732" s="2717"/>
      <c r="R732" s="2717"/>
      <c r="S732" s="2719"/>
      <c r="T732" s="2717"/>
      <c r="U732" s="2717"/>
      <c r="V732" s="2717"/>
    </row>
    <row r="733" spans="2:22" s="2720" customFormat="1" ht="14.1" customHeight="1" x14ac:dyDescent="0.2">
      <c r="B733" s="2711"/>
      <c r="C733" s="2524"/>
      <c r="D733" s="3427" t="s">
        <v>280</v>
      </c>
      <c r="E733" s="3428"/>
      <c r="F733" s="2722"/>
      <c r="G733" s="3433" t="s">
        <v>281</v>
      </c>
      <c r="H733" s="3433" t="s">
        <v>282</v>
      </c>
      <c r="I733" s="2524" t="s">
        <v>283</v>
      </c>
      <c r="J733" s="2524" t="s">
        <v>284</v>
      </c>
      <c r="K733" s="2524" t="s">
        <v>340</v>
      </c>
      <c r="L733" s="2524" t="s">
        <v>2008</v>
      </c>
      <c r="M733" s="2524" t="s">
        <v>2009</v>
      </c>
      <c r="N733" s="2524" t="s">
        <v>284</v>
      </c>
      <c r="O733" s="2716"/>
      <c r="Q733" s="2717"/>
      <c r="R733" s="2717"/>
      <c r="S733" s="2719"/>
      <c r="T733" s="2717"/>
      <c r="U733" s="2717"/>
      <c r="V733" s="2717"/>
    </row>
    <row r="734" spans="2:22" s="2720" customFormat="1" ht="14.1" customHeight="1" x14ac:dyDescent="0.2">
      <c r="B734" s="2711"/>
      <c r="C734" s="2528" t="s">
        <v>669</v>
      </c>
      <c r="D734" s="3429"/>
      <c r="E734" s="3430"/>
      <c r="F734" s="2723"/>
      <c r="G734" s="3434"/>
      <c r="H734" s="3434"/>
      <c r="I734" s="2528" t="s">
        <v>285</v>
      </c>
      <c r="J734" s="2528" t="s">
        <v>286</v>
      </c>
      <c r="K734" s="2528" t="s">
        <v>286</v>
      </c>
      <c r="L734" s="2528" t="s">
        <v>2011</v>
      </c>
      <c r="M734" s="2528"/>
      <c r="N734" s="2528" t="s">
        <v>2013</v>
      </c>
      <c r="O734" s="2716"/>
      <c r="Q734" s="2717"/>
      <c r="R734" s="2717"/>
      <c r="S734" s="2719"/>
      <c r="T734" s="2717"/>
      <c r="U734" s="2717"/>
      <c r="V734" s="2717"/>
    </row>
    <row r="735" spans="2:22" s="2720" customFormat="1" ht="14.1" customHeight="1" x14ac:dyDescent="0.2">
      <c r="B735" s="2711"/>
      <c r="C735" s="2537"/>
      <c r="D735" s="3431"/>
      <c r="E735" s="3432"/>
      <c r="F735" s="2724"/>
      <c r="G735" s="3435"/>
      <c r="H735" s="3435"/>
      <c r="I735" s="2537" t="s">
        <v>286</v>
      </c>
      <c r="J735" s="2536"/>
      <c r="K735" s="2536"/>
      <c r="L735" s="2536"/>
      <c r="M735" s="2536"/>
      <c r="N735" s="2537" t="s">
        <v>286</v>
      </c>
      <c r="O735" s="2716"/>
      <c r="Q735" s="2717"/>
      <c r="R735" s="2717"/>
      <c r="S735" s="2719"/>
      <c r="T735" s="2717"/>
      <c r="U735" s="2717"/>
      <c r="V735" s="2717"/>
    </row>
    <row r="736" spans="2:22" s="2720" customFormat="1" ht="14.1" customHeight="1" x14ac:dyDescent="0.2">
      <c r="B736" s="2711"/>
      <c r="C736" s="2524" t="s">
        <v>607</v>
      </c>
      <c r="D736" s="2733" t="s">
        <v>287</v>
      </c>
      <c r="E736" s="2871" t="s">
        <v>574</v>
      </c>
      <c r="F736" s="2871"/>
      <c r="G736" s="2727" t="s">
        <v>309</v>
      </c>
      <c r="H736" s="2740">
        <v>4.0999999999999996</v>
      </c>
      <c r="I736" s="2750">
        <f>'Upah &amp; Bahan'!$I$138</f>
        <v>119000</v>
      </c>
      <c r="J736" s="2729">
        <f>ROUND(H736*I736,2)</f>
        <v>487900</v>
      </c>
      <c r="K736" s="2725"/>
      <c r="L736" s="2731">
        <f>$L$717</f>
        <v>0.51849999999999996</v>
      </c>
      <c r="M736" s="2732" t="s">
        <v>2029</v>
      </c>
      <c r="N736" s="2729">
        <f t="shared" ref="N736:N748" si="55">L736*J736</f>
        <v>252976.15</v>
      </c>
      <c r="O736" s="2716"/>
      <c r="Q736" s="2717"/>
      <c r="R736" s="2717"/>
      <c r="S736" s="2719"/>
      <c r="T736" s="2717"/>
      <c r="U736" s="2717"/>
      <c r="V736" s="2717"/>
    </row>
    <row r="737" spans="2:22" s="2720" customFormat="1" ht="14.1" customHeight="1" x14ac:dyDescent="0.2">
      <c r="B737" s="2711"/>
      <c r="C737" s="2733"/>
      <c r="D737" s="2733"/>
      <c r="E737" s="2871" t="s">
        <v>575</v>
      </c>
      <c r="F737" s="2871"/>
      <c r="G737" s="2727" t="s">
        <v>338</v>
      </c>
      <c r="H737" s="2740">
        <v>1.1000000000000001</v>
      </c>
      <c r="I737" s="2750">
        <f>+'Upah &amp; Bahan'!$I$90</f>
        <v>116000</v>
      </c>
      <c r="J737" s="2729">
        <f>ROUND(H737*I737,2)</f>
        <v>127600</v>
      </c>
      <c r="K737" s="2733"/>
      <c r="L737" s="2731">
        <v>0.57130000000000003</v>
      </c>
      <c r="M737" s="2732" t="s">
        <v>2029</v>
      </c>
      <c r="N737" s="2729">
        <f t="shared" si="55"/>
        <v>72897.88</v>
      </c>
      <c r="O737" s="2716"/>
      <c r="Q737" s="2717"/>
      <c r="R737" s="2717"/>
      <c r="S737" s="2719"/>
      <c r="T737" s="2717"/>
      <c r="U737" s="2717"/>
      <c r="V737" s="2717"/>
    </row>
    <row r="738" spans="2:22" s="2720" customFormat="1" ht="14.1" customHeight="1" x14ac:dyDescent="0.2">
      <c r="B738" s="2711"/>
      <c r="C738" s="2733"/>
      <c r="D738" s="2733"/>
      <c r="E738" s="2871" t="s">
        <v>576</v>
      </c>
      <c r="F738" s="2871"/>
      <c r="G738" s="2727" t="s">
        <v>309</v>
      </c>
      <c r="H738" s="2740">
        <v>4.5</v>
      </c>
      <c r="I738" s="2750">
        <f>'Upah &amp; Bahan'!$I$137</f>
        <v>8200</v>
      </c>
      <c r="J738" s="2729">
        <f>ROUND(H738*I738,2)</f>
        <v>36900</v>
      </c>
      <c r="K738" s="2733"/>
      <c r="L738" s="2731">
        <f>$L$717</f>
        <v>0.51849999999999996</v>
      </c>
      <c r="M738" s="2732" t="s">
        <v>2029</v>
      </c>
      <c r="N738" s="2729">
        <f t="shared" si="55"/>
        <v>19132.649999999998</v>
      </c>
      <c r="O738" s="2716"/>
      <c r="Q738" s="2717"/>
      <c r="R738" s="2717"/>
      <c r="S738" s="2719"/>
      <c r="T738" s="2717"/>
      <c r="U738" s="2717"/>
      <c r="V738" s="2717"/>
    </row>
    <row r="739" spans="2:22" s="2720" customFormat="1" ht="14.1" customHeight="1" x14ac:dyDescent="0.2">
      <c r="B739" s="2711"/>
      <c r="C739" s="2733"/>
      <c r="D739" s="2733"/>
      <c r="E739" s="2871" t="s">
        <v>255</v>
      </c>
      <c r="F739" s="2871"/>
      <c r="G739" s="2727" t="s">
        <v>258</v>
      </c>
      <c r="H739" s="2740">
        <v>0.27</v>
      </c>
      <c r="I739" s="2750">
        <f>'Upah &amp; Bahan'!$I$142</f>
        <v>72000</v>
      </c>
      <c r="J739" s="2729">
        <f>ROUND(H739*I739,2)</f>
        <v>19440</v>
      </c>
      <c r="K739" s="2733"/>
      <c r="L739" s="2731">
        <v>0</v>
      </c>
      <c r="M739" s="2732"/>
      <c r="N739" s="2729">
        <f t="shared" si="55"/>
        <v>0</v>
      </c>
      <c r="O739" s="2716"/>
      <c r="Q739" s="2717"/>
      <c r="R739" s="2717"/>
      <c r="S739" s="2719"/>
      <c r="T739" s="2717"/>
      <c r="U739" s="2717"/>
      <c r="V739" s="2717"/>
    </row>
    <row r="740" spans="2:22" s="2720" customFormat="1" ht="14.1" customHeight="1" x14ac:dyDescent="0.2">
      <c r="B740" s="2711"/>
      <c r="C740" s="2733"/>
      <c r="D740" s="2733"/>
      <c r="E740" s="2876" t="s">
        <v>577</v>
      </c>
      <c r="F740" s="2871"/>
      <c r="G740" s="2727" t="s">
        <v>273</v>
      </c>
      <c r="H740" s="2740">
        <v>1</v>
      </c>
      <c r="I740" s="2750">
        <f>+(SUM(J736:J739)*10%)</f>
        <v>67184</v>
      </c>
      <c r="J740" s="2729">
        <f>ROUND(H740*I740,2)</f>
        <v>67184</v>
      </c>
      <c r="K740" s="2536"/>
      <c r="L740" s="2731">
        <v>0</v>
      </c>
      <c r="M740" s="2732"/>
      <c r="N740" s="2729">
        <f t="shared" si="55"/>
        <v>0</v>
      </c>
      <c r="O740" s="2716"/>
      <c r="Q740" s="2717"/>
      <c r="R740" s="2717"/>
      <c r="S740" s="2719"/>
      <c r="T740" s="2717"/>
      <c r="U740" s="2717"/>
      <c r="V740" s="2717"/>
    </row>
    <row r="741" spans="2:22" s="2720" customFormat="1" ht="14.1" customHeight="1" x14ac:dyDescent="0.2">
      <c r="B741" s="2711"/>
      <c r="C741" s="2537"/>
      <c r="D741" s="2733"/>
      <c r="E741" s="2876"/>
      <c r="F741" s="2877"/>
      <c r="G741" s="2742"/>
      <c r="H741" s="2743"/>
      <c r="I741" s="2914"/>
      <c r="J741" s="2813"/>
      <c r="K741" s="2729">
        <f>SUM(J736:J740)</f>
        <v>739024</v>
      </c>
      <c r="L741" s="2731"/>
      <c r="M741" s="2732"/>
      <c r="N741" s="2729">
        <f t="shared" si="55"/>
        <v>0</v>
      </c>
      <c r="O741" s="2716"/>
      <c r="Q741" s="2717"/>
      <c r="R741" s="2717"/>
      <c r="S741" s="2719"/>
      <c r="T741" s="2717"/>
      <c r="U741" s="2717"/>
      <c r="V741" s="2717"/>
    </row>
    <row r="742" spans="2:22" s="2720" customFormat="1" ht="14.1" customHeight="1" x14ac:dyDescent="0.2">
      <c r="B742" s="2711"/>
      <c r="C742" s="2524" t="s">
        <v>608</v>
      </c>
      <c r="D742" s="2725" t="s">
        <v>288</v>
      </c>
      <c r="E742" s="2739" t="s">
        <v>294</v>
      </c>
      <c r="F742" s="2739"/>
      <c r="G742" s="2727" t="s">
        <v>291</v>
      </c>
      <c r="H742" s="2740">
        <v>8.5000000000000006E-2</v>
      </c>
      <c r="I742" s="2750">
        <f>'Upah &amp; Bahan'!$I$24</f>
        <v>88300</v>
      </c>
      <c r="J742" s="2729">
        <f>ROUND(H742*I742,2)</f>
        <v>7505.5</v>
      </c>
      <c r="K742" s="2725"/>
      <c r="L742" s="2731">
        <f>VLOOKUP($E742,$D$1744:$G$1861,2,0)</f>
        <v>1</v>
      </c>
      <c r="M742" s="2731" t="str">
        <f>VLOOKUP($E742,$D$1744:$G$1861,3,0)</f>
        <v>WNI</v>
      </c>
      <c r="N742" s="2729">
        <f t="shared" ref="N742" si="56">L742*J742</f>
        <v>7505.5</v>
      </c>
      <c r="O742" s="2716"/>
      <c r="Q742" s="2717"/>
      <c r="R742" s="2717"/>
      <c r="S742" s="2719"/>
      <c r="T742" s="2717"/>
      <c r="U742" s="2717"/>
      <c r="V742" s="2717"/>
    </row>
    <row r="743" spans="2:22" s="2720" customFormat="1" ht="14.1" customHeight="1" x14ac:dyDescent="0.2">
      <c r="B743" s="2711"/>
      <c r="C743" s="2733"/>
      <c r="D743" s="2733"/>
      <c r="E743" s="2739" t="s">
        <v>400</v>
      </c>
      <c r="F743" s="2739"/>
      <c r="G743" s="2727" t="s">
        <v>291</v>
      </c>
      <c r="H743" s="2740">
        <v>8.5000000000000006E-2</v>
      </c>
      <c r="I743" s="2750">
        <f>'Upah &amp; Bahan'!$I$33</f>
        <v>90000</v>
      </c>
      <c r="J743" s="2729">
        <f>ROUND(H743*I743,2)</f>
        <v>7650</v>
      </c>
      <c r="K743" s="2734"/>
      <c r="L743" s="2731">
        <f>VLOOKUP($E743,$D$1744:$G$1861,2,0)</f>
        <v>1</v>
      </c>
      <c r="M743" s="2731" t="str">
        <f>VLOOKUP($E743,$D$1744:$G$1861,3,0)</f>
        <v>WNI</v>
      </c>
      <c r="N743" s="2729">
        <f t="shared" si="55"/>
        <v>7650</v>
      </c>
      <c r="O743" s="2716"/>
      <c r="Q743" s="2717"/>
      <c r="R743" s="2717"/>
      <c r="S743" s="2719"/>
      <c r="T743" s="2717"/>
      <c r="U743" s="2717"/>
      <c r="V743" s="2717"/>
    </row>
    <row r="744" spans="2:22" s="2720" customFormat="1" ht="14.1" customHeight="1" x14ac:dyDescent="0.2">
      <c r="B744" s="2711"/>
      <c r="C744" s="2733"/>
      <c r="D744" s="2733"/>
      <c r="E744" s="2739" t="s">
        <v>296</v>
      </c>
      <c r="F744" s="2739"/>
      <c r="G744" s="2727" t="s">
        <v>291</v>
      </c>
      <c r="H744" s="2740">
        <v>8.9999999999999993E-3</v>
      </c>
      <c r="I744" s="2915">
        <f>'Upah &amp; Bahan'!$I$27</f>
        <v>96000</v>
      </c>
      <c r="J744" s="2729">
        <f>ROUND(H744*I744,2)</f>
        <v>864</v>
      </c>
      <c r="K744" s="2734"/>
      <c r="L744" s="2731">
        <f>VLOOKUP($E744,$D$1744:$G$1861,2,0)</f>
        <v>1</v>
      </c>
      <c r="M744" s="2731" t="str">
        <f>VLOOKUP($E744,$D$1744:$G$1861,3,0)</f>
        <v>WNI</v>
      </c>
      <c r="N744" s="2729">
        <f t="shared" ref="N744:N745" si="57">L744*J744</f>
        <v>864</v>
      </c>
      <c r="O744" s="2716"/>
      <c r="Q744" s="2717"/>
      <c r="R744" s="2717"/>
      <c r="S744" s="2719"/>
      <c r="T744" s="2717"/>
      <c r="U744" s="2717"/>
      <c r="V744" s="2717"/>
    </row>
    <row r="745" spans="2:22" s="2909" customFormat="1" ht="14.1" customHeight="1" x14ac:dyDescent="0.2">
      <c r="B745" s="2711"/>
      <c r="C745" s="2733"/>
      <c r="D745" s="2733"/>
      <c r="E745" s="2739" t="s">
        <v>290</v>
      </c>
      <c r="F745" s="2739"/>
      <c r="G745" s="2727" t="s">
        <v>291</v>
      </c>
      <c r="H745" s="2740">
        <v>5.0000000000000001E-3</v>
      </c>
      <c r="I745" s="2750">
        <f>'Upah &amp; Bahan'!$I$31</f>
        <v>90000</v>
      </c>
      <c r="J745" s="2729">
        <f>ROUND(H745*I745,2)</f>
        <v>450</v>
      </c>
      <c r="K745" s="2734"/>
      <c r="L745" s="2731">
        <f>VLOOKUP($E745,$D$1744:$G$1861,2,0)</f>
        <v>1</v>
      </c>
      <c r="M745" s="2731" t="str">
        <f>VLOOKUP($E745,$D$1744:$G$1861,3,0)</f>
        <v>WNI</v>
      </c>
      <c r="N745" s="2729">
        <f t="shared" si="57"/>
        <v>450</v>
      </c>
      <c r="Q745" s="2717"/>
      <c r="R745" s="2717"/>
      <c r="S745" s="2719"/>
      <c r="T745" s="2717"/>
      <c r="U745" s="2717"/>
      <c r="V745" s="2717"/>
    </row>
    <row r="746" spans="2:22" s="2909" customFormat="1" ht="14.1" customHeight="1" x14ac:dyDescent="0.2">
      <c r="B746" s="2711"/>
      <c r="C746" s="2537"/>
      <c r="D746" s="2536"/>
      <c r="E746" s="2736"/>
      <c r="F746" s="2741"/>
      <c r="G746" s="2742"/>
      <c r="H746" s="2743"/>
      <c r="I746" s="2842"/>
      <c r="J746" s="2916"/>
      <c r="K746" s="2732">
        <f>SUM(J742:J745)</f>
        <v>16469.5</v>
      </c>
      <c r="L746" s="2731"/>
      <c r="M746" s="2732"/>
      <c r="N746" s="2729">
        <f t="shared" si="55"/>
        <v>0</v>
      </c>
      <c r="Q746" s="2717"/>
      <c r="R746" s="2717"/>
      <c r="S746" s="2719"/>
      <c r="T746" s="2717"/>
      <c r="U746" s="2717"/>
      <c r="V746" s="2717"/>
    </row>
    <row r="747" spans="2:22" s="2909" customFormat="1" ht="14.1" customHeight="1" x14ac:dyDescent="0.2">
      <c r="B747" s="2711"/>
      <c r="C747" s="2528" t="s">
        <v>609</v>
      </c>
      <c r="D747" s="2725" t="s">
        <v>606</v>
      </c>
      <c r="E747" s="2739"/>
      <c r="F747" s="2739"/>
      <c r="G747" s="2727"/>
      <c r="H747" s="2740"/>
      <c r="I747" s="2814"/>
      <c r="J747" s="2729"/>
      <c r="K747" s="2730"/>
      <c r="L747" s="2731"/>
      <c r="M747" s="2732"/>
      <c r="N747" s="2729">
        <f t="shared" si="55"/>
        <v>0</v>
      </c>
      <c r="Q747" s="2717"/>
      <c r="R747" s="2717"/>
      <c r="S747" s="2719"/>
      <c r="T747" s="2717"/>
      <c r="U747" s="2717"/>
      <c r="V747" s="2717"/>
    </row>
    <row r="748" spans="2:22" s="2909" customFormat="1" ht="14.1" customHeight="1" x14ac:dyDescent="0.2">
      <c r="B748" s="2711"/>
      <c r="C748" s="2536"/>
      <c r="D748" s="2536"/>
      <c r="E748" s="2736"/>
      <c r="F748" s="2741"/>
      <c r="G748" s="2742"/>
      <c r="H748" s="2743"/>
      <c r="I748" s="2744"/>
      <c r="J748" s="2813"/>
      <c r="K748" s="2732">
        <f>SUM(J747:J747)</f>
        <v>0</v>
      </c>
      <c r="L748" s="2731"/>
      <c r="M748" s="2732"/>
      <c r="N748" s="2729">
        <f t="shared" si="55"/>
        <v>0</v>
      </c>
      <c r="Q748" s="2717"/>
      <c r="R748" s="2717"/>
      <c r="S748" s="2719"/>
      <c r="T748" s="2717"/>
      <c r="U748" s="2717"/>
      <c r="V748" s="2717"/>
    </row>
    <row r="749" spans="2:22" s="2909" customFormat="1" ht="14.1" customHeight="1" x14ac:dyDescent="0.2">
      <c r="B749" s="2711"/>
      <c r="C749" s="2537" t="s">
        <v>610</v>
      </c>
      <c r="D749" s="2738" t="s">
        <v>651</v>
      </c>
      <c r="E749" s="2741"/>
      <c r="F749" s="2741"/>
      <c r="G749" s="2742"/>
      <c r="H749" s="2743"/>
      <c r="I749" s="2744"/>
      <c r="J749" s="2745" t="s">
        <v>652</v>
      </c>
      <c r="K749" s="2732">
        <f>K741+K746+K748</f>
        <v>755493.5</v>
      </c>
      <c r="L749" s="2746">
        <f>N749/K749</f>
        <v>0.47846365322798945</v>
      </c>
      <c r="M749" s="2745"/>
      <c r="N749" s="2747">
        <f>SUM(N736:N748)</f>
        <v>361476.18000000005</v>
      </c>
      <c r="Q749" s="2717"/>
      <c r="R749" s="2717"/>
      <c r="S749" s="2719"/>
      <c r="T749" s="2717"/>
      <c r="U749" s="2717"/>
      <c r="V749" s="2717"/>
    </row>
    <row r="750" spans="2:22" s="2909" customFormat="1" ht="14.1" customHeight="1" x14ac:dyDescent="0.2">
      <c r="B750" s="2711"/>
      <c r="C750" s="2537" t="s">
        <v>611</v>
      </c>
      <c r="D750" s="2738" t="s">
        <v>653</v>
      </c>
      <c r="E750" s="2741"/>
      <c r="F750" s="2748">
        <f>$F$42</f>
        <v>0.1</v>
      </c>
      <c r="G750" s="2727" t="s">
        <v>425</v>
      </c>
      <c r="H750" s="2748">
        <f>$H$42</f>
        <v>0.03</v>
      </c>
      <c r="I750" s="2749" t="s">
        <v>424</v>
      </c>
      <c r="J750" s="2732" t="s">
        <v>610</v>
      </c>
      <c r="K750" s="2750">
        <f>ROUND((K749*(F750+H750)),2)</f>
        <v>98214.16</v>
      </c>
      <c r="L750" s="2732"/>
      <c r="M750" s="2732"/>
      <c r="N750" s="2732"/>
      <c r="Q750" s="2717"/>
      <c r="R750" s="2717"/>
      <c r="S750" s="2719"/>
      <c r="T750" s="2717"/>
      <c r="U750" s="2717"/>
      <c r="V750" s="2717"/>
    </row>
    <row r="751" spans="2:22" s="2909" customFormat="1" ht="14.1" customHeight="1" x14ac:dyDescent="0.2">
      <c r="B751" s="2711"/>
      <c r="C751" s="2880" t="s">
        <v>654</v>
      </c>
      <c r="D751" s="2752" t="s">
        <v>301</v>
      </c>
      <c r="E751" s="2815"/>
      <c r="F751" s="2815"/>
      <c r="G751" s="2815"/>
      <c r="H751" s="2816"/>
      <c r="I751" s="2815"/>
      <c r="J751" s="2755" t="s">
        <v>668</v>
      </c>
      <c r="K751" s="2756">
        <f>SUM(K749:K750)</f>
        <v>853707.66</v>
      </c>
      <c r="L751" s="2746"/>
      <c r="M751" s="2755"/>
      <c r="N751" s="2757"/>
      <c r="Q751" s="2717"/>
      <c r="R751" s="2717"/>
      <c r="S751" s="2719"/>
      <c r="T751" s="2717"/>
      <c r="U751" s="2717"/>
      <c r="V751" s="2717"/>
    </row>
    <row r="752" spans="2:22" x14ac:dyDescent="0.25">
      <c r="Q752" s="2717"/>
      <c r="R752" s="2717"/>
      <c r="S752" s="2719"/>
      <c r="T752" s="2717"/>
      <c r="U752" s="2717"/>
      <c r="V752" s="2717"/>
    </row>
    <row r="753" spans="2:22" s="2909" customFormat="1" ht="14.1" customHeight="1" x14ac:dyDescent="0.2">
      <c r="B753" s="2711">
        <f>B731+1</f>
        <v>38</v>
      </c>
      <c r="C753" s="2711"/>
      <c r="D753" s="2713" t="s">
        <v>1633</v>
      </c>
      <c r="E753" s="2713"/>
      <c r="F753" s="2713"/>
      <c r="G753" s="2713"/>
      <c r="H753" s="2714"/>
      <c r="I753" s="2713"/>
      <c r="J753" s="2713"/>
      <c r="K753" s="2715" t="s">
        <v>720</v>
      </c>
      <c r="L753" s="2715"/>
      <c r="M753" s="2715"/>
      <c r="N753" s="2715"/>
      <c r="O753" s="2909" t="str">
        <f>D754</f>
        <v>m2</v>
      </c>
      <c r="P753" s="2917">
        <f>K773</f>
        <v>845503.86</v>
      </c>
      <c r="Q753" s="2718">
        <f>L771</f>
        <v>0.47806680668534629</v>
      </c>
      <c r="R753" s="2717"/>
      <c r="S753" s="2719">
        <f>N771</f>
        <v>357705.60000000003</v>
      </c>
      <c r="T753" s="2515">
        <f>U753+S753</f>
        <v>404207.32800000004</v>
      </c>
      <c r="U753" s="2719">
        <f>S753*V753</f>
        <v>46501.728000000003</v>
      </c>
      <c r="V753" s="2718">
        <f>$F$42+$H$42</f>
        <v>0.13</v>
      </c>
    </row>
    <row r="754" spans="2:22" s="2909" customFormat="1" ht="14.1" customHeight="1" x14ac:dyDescent="0.2">
      <c r="B754" s="2711"/>
      <c r="C754" s="2711"/>
      <c r="D754" s="2721" t="s">
        <v>338</v>
      </c>
      <c r="E754" s="2721"/>
      <c r="F754" s="2721"/>
      <c r="G754" s="2721"/>
      <c r="H754" s="2711"/>
      <c r="I754" s="2721"/>
      <c r="J754" s="2721"/>
      <c r="K754" s="2721"/>
      <c r="L754" s="2721"/>
      <c r="M754" s="2721"/>
      <c r="N754" s="2721"/>
      <c r="Q754" s="2717"/>
      <c r="R754" s="2717"/>
      <c r="S754" s="2719"/>
      <c r="T754" s="2717"/>
      <c r="U754" s="2717"/>
      <c r="V754" s="2717"/>
    </row>
    <row r="755" spans="2:22" s="2909" customFormat="1" ht="14.1" customHeight="1" x14ac:dyDescent="0.2">
      <c r="B755" s="2711"/>
      <c r="C755" s="2524"/>
      <c r="D755" s="3427" t="s">
        <v>280</v>
      </c>
      <c r="E755" s="3428"/>
      <c r="F755" s="2722"/>
      <c r="G755" s="3433" t="s">
        <v>281</v>
      </c>
      <c r="H755" s="3433" t="s">
        <v>282</v>
      </c>
      <c r="I755" s="2524" t="s">
        <v>283</v>
      </c>
      <c r="J755" s="2524" t="s">
        <v>284</v>
      </c>
      <c r="K755" s="2524" t="s">
        <v>340</v>
      </c>
      <c r="L755" s="2524" t="s">
        <v>2008</v>
      </c>
      <c r="M755" s="2524" t="s">
        <v>2009</v>
      </c>
      <c r="N755" s="2524" t="s">
        <v>284</v>
      </c>
      <c r="Q755" s="2717"/>
      <c r="R755" s="2717"/>
      <c r="S755" s="2719"/>
      <c r="T755" s="2717"/>
      <c r="U755" s="2717"/>
      <c r="V755" s="2717"/>
    </row>
    <row r="756" spans="2:22" s="2909" customFormat="1" ht="14.1" customHeight="1" x14ac:dyDescent="0.2">
      <c r="B756" s="2711"/>
      <c r="C756" s="2528" t="s">
        <v>669</v>
      </c>
      <c r="D756" s="3429"/>
      <c r="E756" s="3430"/>
      <c r="F756" s="2723"/>
      <c r="G756" s="3434"/>
      <c r="H756" s="3434"/>
      <c r="I756" s="2528" t="s">
        <v>285</v>
      </c>
      <c r="J756" s="2528" t="s">
        <v>286</v>
      </c>
      <c r="K756" s="2528" t="s">
        <v>286</v>
      </c>
      <c r="L756" s="2528" t="s">
        <v>2011</v>
      </c>
      <c r="M756" s="2528"/>
      <c r="N756" s="2528" t="s">
        <v>2013</v>
      </c>
      <c r="Q756" s="2717"/>
      <c r="R756" s="2717"/>
      <c r="S756" s="2719"/>
      <c r="T756" s="2717"/>
      <c r="U756" s="2717"/>
      <c r="V756" s="2717"/>
    </row>
    <row r="757" spans="2:22" s="2909" customFormat="1" ht="14.1" customHeight="1" x14ac:dyDescent="0.2">
      <c r="B757" s="2711"/>
      <c r="C757" s="2537"/>
      <c r="D757" s="3431"/>
      <c r="E757" s="3432"/>
      <c r="F757" s="2724"/>
      <c r="G757" s="3435"/>
      <c r="H757" s="3435"/>
      <c r="I757" s="2537" t="s">
        <v>286</v>
      </c>
      <c r="J757" s="2536"/>
      <c r="K757" s="2536"/>
      <c r="L757" s="2536"/>
      <c r="M757" s="2536"/>
      <c r="N757" s="2537" t="s">
        <v>286</v>
      </c>
      <c r="Q757" s="2717"/>
      <c r="R757" s="2717"/>
      <c r="S757" s="2719"/>
      <c r="T757" s="2717"/>
      <c r="U757" s="2717"/>
      <c r="V757" s="2717"/>
    </row>
    <row r="758" spans="2:22" s="2909" customFormat="1" ht="14.1" customHeight="1" x14ac:dyDescent="0.2">
      <c r="B758" s="2711"/>
      <c r="C758" s="2524" t="s">
        <v>607</v>
      </c>
      <c r="D758" s="2733" t="s">
        <v>287</v>
      </c>
      <c r="E758" s="2871" t="s">
        <v>574</v>
      </c>
      <c r="F758" s="2871"/>
      <c r="G758" s="2727" t="s">
        <v>309</v>
      </c>
      <c r="H758" s="2740">
        <v>4.0999999999999996</v>
      </c>
      <c r="I758" s="2811">
        <f>'Upah &amp; Bahan'!$I$138</f>
        <v>119000</v>
      </c>
      <c r="J758" s="2729">
        <f>ROUND(H758*I758,2)</f>
        <v>487900</v>
      </c>
      <c r="K758" s="2725"/>
      <c r="L758" s="2731">
        <f>$L$717</f>
        <v>0.51849999999999996</v>
      </c>
      <c r="M758" s="2732" t="s">
        <v>2029</v>
      </c>
      <c r="N758" s="2729">
        <f t="shared" ref="N758:N770" si="58">L758*J758</f>
        <v>252976.15</v>
      </c>
      <c r="Q758" s="2717"/>
      <c r="R758" s="2717"/>
      <c r="S758" s="2719"/>
      <c r="T758" s="2717"/>
      <c r="U758" s="2717"/>
      <c r="V758" s="2717"/>
    </row>
    <row r="759" spans="2:22" s="2909" customFormat="1" ht="14.1" customHeight="1" x14ac:dyDescent="0.2">
      <c r="B759" s="2711"/>
      <c r="C759" s="2733"/>
      <c r="D759" s="2733"/>
      <c r="E759" s="2871" t="s">
        <v>578</v>
      </c>
      <c r="F759" s="2871"/>
      <c r="G759" s="2727" t="s">
        <v>338</v>
      </c>
      <c r="H759" s="2740">
        <v>1.1000000000000001</v>
      </c>
      <c r="I759" s="2811">
        <f>'Upah &amp; Bahan'!I91</f>
        <v>110000</v>
      </c>
      <c r="J759" s="2729">
        <f>ROUND(H759*I759,2)</f>
        <v>121000</v>
      </c>
      <c r="K759" s="2733"/>
      <c r="L759" s="2731">
        <f>$L$737</f>
        <v>0.57130000000000003</v>
      </c>
      <c r="M759" s="2732" t="s">
        <v>2029</v>
      </c>
      <c r="N759" s="2729">
        <f t="shared" si="58"/>
        <v>69127.3</v>
      </c>
      <c r="Q759" s="2717"/>
      <c r="R759" s="2717"/>
      <c r="S759" s="2719"/>
      <c r="T759" s="2717"/>
      <c r="U759" s="2717"/>
      <c r="V759" s="2717"/>
    </row>
    <row r="760" spans="2:22" s="2909" customFormat="1" ht="14.1" customHeight="1" x14ac:dyDescent="0.2">
      <c r="B760" s="2711"/>
      <c r="C760" s="2733"/>
      <c r="D760" s="2733"/>
      <c r="E760" s="2871" t="s">
        <v>809</v>
      </c>
      <c r="F760" s="2871"/>
      <c r="G760" s="2727" t="s">
        <v>309</v>
      </c>
      <c r="H760" s="2740">
        <v>4.5</v>
      </c>
      <c r="I760" s="2811">
        <f>'Upah &amp; Bahan'!$I$137</f>
        <v>8200</v>
      </c>
      <c r="J760" s="2729">
        <f>ROUND(H760*I760,2)</f>
        <v>36900</v>
      </c>
      <c r="K760" s="2733"/>
      <c r="L760" s="2731">
        <f>$L$717</f>
        <v>0.51849999999999996</v>
      </c>
      <c r="M760" s="2732" t="s">
        <v>2029</v>
      </c>
      <c r="N760" s="2729">
        <f t="shared" si="58"/>
        <v>19132.649999999998</v>
      </c>
      <c r="Q760" s="2717"/>
      <c r="R760" s="2717"/>
      <c r="S760" s="2719"/>
      <c r="T760" s="2717"/>
      <c r="U760" s="2717"/>
      <c r="V760" s="2717"/>
    </row>
    <row r="761" spans="2:22" s="2909" customFormat="1" ht="14.1" customHeight="1" x14ac:dyDescent="0.2">
      <c r="B761" s="2711"/>
      <c r="C761" s="2733"/>
      <c r="D761" s="2733"/>
      <c r="E761" s="2871" t="s">
        <v>255</v>
      </c>
      <c r="F761" s="2871"/>
      <c r="G761" s="2727" t="s">
        <v>258</v>
      </c>
      <c r="H761" s="2740">
        <v>0.27</v>
      </c>
      <c r="I761" s="2811">
        <f>'Upah &amp; Bahan'!$I$142</f>
        <v>72000</v>
      </c>
      <c r="J761" s="2729">
        <f>ROUND(H761*I761,2)</f>
        <v>19440</v>
      </c>
      <c r="K761" s="2733"/>
      <c r="L761" s="2731">
        <v>0</v>
      </c>
      <c r="M761" s="2732"/>
      <c r="N761" s="2729">
        <f t="shared" si="58"/>
        <v>0</v>
      </c>
      <c r="Q761" s="2717"/>
      <c r="R761" s="2717"/>
      <c r="S761" s="2719"/>
      <c r="T761" s="2717"/>
      <c r="U761" s="2717"/>
      <c r="V761" s="2717"/>
    </row>
    <row r="762" spans="2:22" s="2909" customFormat="1" ht="14.1" customHeight="1" x14ac:dyDescent="0.2">
      <c r="B762" s="2711"/>
      <c r="C762" s="2733"/>
      <c r="D762" s="2733"/>
      <c r="E762" s="2876" t="s">
        <v>577</v>
      </c>
      <c r="F762" s="2871"/>
      <c r="G762" s="2727" t="s">
        <v>273</v>
      </c>
      <c r="H762" s="2740">
        <v>1</v>
      </c>
      <c r="I762" s="2811">
        <f>+(SUM(J758:J761)*10%)</f>
        <v>66524</v>
      </c>
      <c r="J762" s="2729">
        <f>ROUND(H762*I762,2)</f>
        <v>66524</v>
      </c>
      <c r="K762" s="2536"/>
      <c r="L762" s="2731">
        <v>0</v>
      </c>
      <c r="M762" s="2732"/>
      <c r="N762" s="2729">
        <f t="shared" si="58"/>
        <v>0</v>
      </c>
      <c r="Q762" s="2717"/>
      <c r="R762" s="2717"/>
      <c r="S762" s="2719"/>
      <c r="T762" s="2717"/>
      <c r="U762" s="2717"/>
      <c r="V762" s="2717"/>
    </row>
    <row r="763" spans="2:22" s="2909" customFormat="1" ht="14.1" customHeight="1" x14ac:dyDescent="0.2">
      <c r="B763" s="2711"/>
      <c r="C763" s="2537"/>
      <c r="D763" s="2733"/>
      <c r="E763" s="2876"/>
      <c r="F763" s="2877"/>
      <c r="G763" s="2742"/>
      <c r="H763" s="2743"/>
      <c r="I763" s="2741"/>
      <c r="J763" s="2813"/>
      <c r="K763" s="2729">
        <f>SUM(J758:J762)</f>
        <v>731764</v>
      </c>
      <c r="L763" s="2731"/>
      <c r="M763" s="2732"/>
      <c r="N763" s="2729">
        <f t="shared" si="58"/>
        <v>0</v>
      </c>
      <c r="Q763" s="2717"/>
      <c r="R763" s="2717"/>
      <c r="S763" s="2719"/>
      <c r="T763" s="2717"/>
      <c r="U763" s="2717"/>
      <c r="V763" s="2717"/>
    </row>
    <row r="764" spans="2:22" s="2909" customFormat="1" ht="14.1" customHeight="1" x14ac:dyDescent="0.2">
      <c r="B764" s="2711"/>
      <c r="C764" s="2524" t="s">
        <v>608</v>
      </c>
      <c r="D764" s="2725" t="s">
        <v>288</v>
      </c>
      <c r="E764" s="2739" t="s">
        <v>294</v>
      </c>
      <c r="F764" s="2739"/>
      <c r="G764" s="2727" t="s">
        <v>291</v>
      </c>
      <c r="H764" s="2740">
        <v>8.5000000000000006E-2</v>
      </c>
      <c r="I764" s="2729">
        <f>'Upah &amp; Bahan'!$I$24</f>
        <v>88300</v>
      </c>
      <c r="J764" s="2729">
        <f>ROUND(H764*I764,2)</f>
        <v>7505.5</v>
      </c>
      <c r="K764" s="2725"/>
      <c r="L764" s="2731">
        <f>VLOOKUP($E764,$D$1744:$G$1861,2,0)</f>
        <v>1</v>
      </c>
      <c r="M764" s="2731" t="str">
        <f>VLOOKUP($E764,$D$1744:$G$1861,3,0)</f>
        <v>WNI</v>
      </c>
      <c r="N764" s="2729">
        <f t="shared" si="58"/>
        <v>7505.5</v>
      </c>
      <c r="Q764" s="2717"/>
      <c r="R764" s="2717"/>
      <c r="S764" s="2719"/>
      <c r="T764" s="2717"/>
      <c r="U764" s="2717"/>
      <c r="V764" s="2717"/>
    </row>
    <row r="765" spans="2:22" s="2909" customFormat="1" ht="14.1" customHeight="1" x14ac:dyDescent="0.2">
      <c r="B765" s="2711"/>
      <c r="C765" s="2733"/>
      <c r="D765" s="2733"/>
      <c r="E765" s="2739" t="s">
        <v>400</v>
      </c>
      <c r="F765" s="2739"/>
      <c r="G765" s="2727" t="s">
        <v>291</v>
      </c>
      <c r="H765" s="2740">
        <v>8.5000000000000006E-2</v>
      </c>
      <c r="I765" s="2729">
        <f>'Upah &amp; Bahan'!$I$33</f>
        <v>90000</v>
      </c>
      <c r="J765" s="2729">
        <f>ROUND(H765*I765,2)</f>
        <v>7650</v>
      </c>
      <c r="K765" s="2734"/>
      <c r="L765" s="2731">
        <f>VLOOKUP($E765,$D$1744:$G$1861,2,0)</f>
        <v>1</v>
      </c>
      <c r="M765" s="2731" t="str">
        <f>VLOOKUP($E765,$D$1744:$G$1861,3,0)</f>
        <v>WNI</v>
      </c>
      <c r="N765" s="2729">
        <f t="shared" si="58"/>
        <v>7650</v>
      </c>
      <c r="Q765" s="2717"/>
      <c r="R765" s="2717"/>
      <c r="S765" s="2719"/>
      <c r="T765" s="2717"/>
      <c r="U765" s="2717"/>
      <c r="V765" s="2717"/>
    </row>
    <row r="766" spans="2:22" s="2909" customFormat="1" ht="14.1" customHeight="1" x14ac:dyDescent="0.2">
      <c r="B766" s="2711"/>
      <c r="C766" s="2733"/>
      <c r="D766" s="2733"/>
      <c r="E766" s="2739" t="s">
        <v>716</v>
      </c>
      <c r="F766" s="2739"/>
      <c r="G766" s="2727" t="s">
        <v>291</v>
      </c>
      <c r="H766" s="2740">
        <v>8.9999999999999993E-3</v>
      </c>
      <c r="I766" s="2732">
        <f>'Upah &amp; Bahan'!$I$27</f>
        <v>96000</v>
      </c>
      <c r="J766" s="2729">
        <f>ROUND(H766*I766,2)</f>
        <v>864</v>
      </c>
      <c r="K766" s="2734"/>
      <c r="L766" s="2731">
        <f>VLOOKUP($E766,$D$1744:$G$1861,2,0)</f>
        <v>1</v>
      </c>
      <c r="M766" s="2731" t="str">
        <f>VLOOKUP($E766,$D$1744:$G$1861,3,0)</f>
        <v>WNI</v>
      </c>
      <c r="N766" s="2729">
        <f t="shared" si="58"/>
        <v>864</v>
      </c>
      <c r="Q766" s="2717"/>
      <c r="R766" s="2717"/>
      <c r="S766" s="2719"/>
      <c r="T766" s="2717"/>
      <c r="U766" s="2717"/>
      <c r="V766" s="2717"/>
    </row>
    <row r="767" spans="2:22" s="2909" customFormat="1" ht="14.1" customHeight="1" x14ac:dyDescent="0.2">
      <c r="B767" s="2711"/>
      <c r="C767" s="2733"/>
      <c r="D767" s="2733"/>
      <c r="E767" s="2739" t="s">
        <v>290</v>
      </c>
      <c r="F767" s="2739"/>
      <c r="G767" s="2727" t="s">
        <v>291</v>
      </c>
      <c r="H767" s="2740">
        <v>5.0000000000000001E-3</v>
      </c>
      <c r="I767" s="2729">
        <f>'Upah &amp; Bahan'!$I$31</f>
        <v>90000</v>
      </c>
      <c r="J767" s="2729">
        <f>ROUND(H767*I767,2)</f>
        <v>450</v>
      </c>
      <c r="K767" s="2734"/>
      <c r="L767" s="2731">
        <f>VLOOKUP($E767,$D$1744:$G$1861,2,0)</f>
        <v>1</v>
      </c>
      <c r="M767" s="2731" t="str">
        <f>VLOOKUP($E767,$D$1744:$G$1861,3,0)</f>
        <v>WNI</v>
      </c>
      <c r="N767" s="2729">
        <f t="shared" si="58"/>
        <v>450</v>
      </c>
      <c r="Q767" s="2717"/>
      <c r="R767" s="2717"/>
      <c r="S767" s="2719"/>
      <c r="T767" s="2717"/>
      <c r="U767" s="2717"/>
      <c r="V767" s="2717"/>
    </row>
    <row r="768" spans="2:22" s="2909" customFormat="1" ht="14.1" customHeight="1" x14ac:dyDescent="0.2">
      <c r="B768" s="2711"/>
      <c r="C768" s="2537"/>
      <c r="D768" s="2536"/>
      <c r="E768" s="2736"/>
      <c r="F768" s="2741"/>
      <c r="G768" s="2742"/>
      <c r="H768" s="2743"/>
      <c r="I768" s="2842"/>
      <c r="J768" s="2916"/>
      <c r="K768" s="2732">
        <f>SUM(J764:J767)</f>
        <v>16469.5</v>
      </c>
      <c r="L768" s="2731"/>
      <c r="M768" s="2732"/>
      <c r="N768" s="2729">
        <f t="shared" si="58"/>
        <v>0</v>
      </c>
      <c r="Q768" s="2717"/>
      <c r="R768" s="2717"/>
      <c r="S768" s="2719"/>
      <c r="T768" s="2717"/>
      <c r="U768" s="2717"/>
      <c r="V768" s="2717"/>
    </row>
    <row r="769" spans="2:22" s="2909" customFormat="1" ht="14.1" customHeight="1" x14ac:dyDescent="0.2">
      <c r="B769" s="2711"/>
      <c r="C769" s="2528" t="s">
        <v>609</v>
      </c>
      <c r="D769" s="2725" t="s">
        <v>606</v>
      </c>
      <c r="E769" s="2739"/>
      <c r="F769" s="2739"/>
      <c r="G769" s="2727"/>
      <c r="H769" s="2740"/>
      <c r="I769" s="2814"/>
      <c r="J769" s="2729"/>
      <c r="K769" s="2730"/>
      <c r="L769" s="2731"/>
      <c r="M769" s="2732"/>
      <c r="N769" s="2729">
        <f t="shared" si="58"/>
        <v>0</v>
      </c>
      <c r="Q769" s="2717"/>
      <c r="R769" s="2717"/>
      <c r="S769" s="2719"/>
      <c r="T769" s="2717"/>
      <c r="U769" s="2717"/>
      <c r="V769" s="2717"/>
    </row>
    <row r="770" spans="2:22" s="2909" customFormat="1" ht="14.1" customHeight="1" x14ac:dyDescent="0.2">
      <c r="B770" s="2711"/>
      <c r="C770" s="2536"/>
      <c r="D770" s="2536"/>
      <c r="E770" s="2736"/>
      <c r="F770" s="2741"/>
      <c r="G770" s="2742"/>
      <c r="H770" s="2743"/>
      <c r="I770" s="2744"/>
      <c r="J770" s="2813"/>
      <c r="K770" s="2732">
        <f>SUM(J769:J769)</f>
        <v>0</v>
      </c>
      <c r="L770" s="2731"/>
      <c r="M770" s="2732"/>
      <c r="N770" s="2729">
        <f t="shared" si="58"/>
        <v>0</v>
      </c>
      <c r="Q770" s="2717"/>
      <c r="R770" s="2717"/>
      <c r="S770" s="2719"/>
      <c r="T770" s="2717"/>
      <c r="U770" s="2717"/>
      <c r="V770" s="2717"/>
    </row>
    <row r="771" spans="2:22" s="2909" customFormat="1" ht="14.1" customHeight="1" x14ac:dyDescent="0.2">
      <c r="B771" s="2711"/>
      <c r="C771" s="2537" t="s">
        <v>610</v>
      </c>
      <c r="D771" s="2738" t="s">
        <v>651</v>
      </c>
      <c r="E771" s="2741"/>
      <c r="F771" s="2741"/>
      <c r="G771" s="2742"/>
      <c r="H771" s="2743"/>
      <c r="I771" s="2744"/>
      <c r="J771" s="2745" t="s">
        <v>652</v>
      </c>
      <c r="K771" s="2732">
        <f>K763+K768+K770</f>
        <v>748233.5</v>
      </c>
      <c r="L771" s="2746">
        <f>N771/K771</f>
        <v>0.47806680668534629</v>
      </c>
      <c r="M771" s="2745"/>
      <c r="N771" s="2747">
        <f>SUM(N758:N770)</f>
        <v>357705.60000000003</v>
      </c>
      <c r="Q771" s="2717"/>
      <c r="R771" s="2717"/>
      <c r="S771" s="2719"/>
      <c r="T771" s="2717"/>
      <c r="U771" s="2717"/>
      <c r="V771" s="2717"/>
    </row>
    <row r="772" spans="2:22" s="2909" customFormat="1" ht="14.1" customHeight="1" x14ac:dyDescent="0.2">
      <c r="B772" s="2711"/>
      <c r="C772" s="2537" t="s">
        <v>611</v>
      </c>
      <c r="D772" s="2738" t="s">
        <v>653</v>
      </c>
      <c r="E772" s="2741"/>
      <c r="F772" s="2748">
        <f>$F$42</f>
        <v>0.1</v>
      </c>
      <c r="G772" s="2727" t="s">
        <v>425</v>
      </c>
      <c r="H772" s="2748">
        <f>$H$42</f>
        <v>0.03</v>
      </c>
      <c r="I772" s="2749" t="s">
        <v>424</v>
      </c>
      <c r="J772" s="2732" t="s">
        <v>610</v>
      </c>
      <c r="K772" s="2750">
        <f>ROUND((K771*(F772+H772)),2)</f>
        <v>97270.36</v>
      </c>
      <c r="L772" s="2732"/>
      <c r="M772" s="2732"/>
      <c r="N772" s="2732"/>
      <c r="Q772" s="2717"/>
      <c r="R772" s="2717"/>
      <c r="S772" s="2719"/>
      <c r="T772" s="2717"/>
      <c r="U772" s="2717"/>
      <c r="V772" s="2717"/>
    </row>
    <row r="773" spans="2:22" s="2909" customFormat="1" ht="14.1" customHeight="1" x14ac:dyDescent="0.2">
      <c r="B773" s="2711"/>
      <c r="C773" s="2880" t="s">
        <v>654</v>
      </c>
      <c r="D773" s="2752" t="s">
        <v>301</v>
      </c>
      <c r="E773" s="2815"/>
      <c r="F773" s="2815"/>
      <c r="G773" s="2815"/>
      <c r="H773" s="2816"/>
      <c r="I773" s="2815"/>
      <c r="J773" s="2755" t="s">
        <v>668</v>
      </c>
      <c r="K773" s="2756">
        <f>SUM(K771:K772)</f>
        <v>845503.86</v>
      </c>
      <c r="L773" s="2746"/>
      <c r="M773" s="2755"/>
      <c r="N773" s="2757"/>
      <c r="Q773" s="2717"/>
      <c r="R773" s="2717"/>
      <c r="S773" s="2719"/>
      <c r="T773" s="2717"/>
      <c r="U773" s="2717"/>
      <c r="V773" s="2717"/>
    </row>
    <row r="774" spans="2:22" x14ac:dyDescent="0.25">
      <c r="Q774" s="2717"/>
      <c r="R774" s="2717"/>
      <c r="S774" s="2719"/>
      <c r="T774" s="2717"/>
      <c r="U774" s="2717"/>
      <c r="V774" s="2717"/>
    </row>
    <row r="775" spans="2:22" s="2922" customFormat="1" ht="14.1" customHeight="1" x14ac:dyDescent="0.2">
      <c r="B775" s="2711">
        <f>B753+1</f>
        <v>39</v>
      </c>
      <c r="C775" s="2625"/>
      <c r="D775" s="2513" t="s">
        <v>1955</v>
      </c>
      <c r="E775" s="2918"/>
      <c r="F775" s="2918"/>
      <c r="G775" s="2918"/>
      <c r="H775" s="2625"/>
      <c r="I775" s="2918"/>
      <c r="J775" s="2918"/>
      <c r="K775" s="2919" t="s">
        <v>767</v>
      </c>
      <c r="L775" s="2919"/>
      <c r="M775" s="2919"/>
      <c r="N775" s="2919"/>
      <c r="O775" s="2920" t="str">
        <f>D776</f>
        <v>m2</v>
      </c>
      <c r="P775" s="2921">
        <f>K795</f>
        <v>210845.94</v>
      </c>
      <c r="Q775" s="2718">
        <f>L793</f>
        <v>0.45788799844557021</v>
      </c>
      <c r="R775" s="2717"/>
      <c r="S775" s="2719">
        <f>N793</f>
        <v>85437.014844999998</v>
      </c>
      <c r="T775" s="2515">
        <f>U775+S775</f>
        <v>96543.826774849993</v>
      </c>
      <c r="U775" s="2719">
        <f>S775*V775</f>
        <v>11106.811929850001</v>
      </c>
      <c r="V775" s="2718">
        <f>$F$42+$H$42</f>
        <v>0.13</v>
      </c>
    </row>
    <row r="776" spans="2:22" s="2922" customFormat="1" ht="14.1" customHeight="1" x14ac:dyDescent="0.2">
      <c r="B776" s="2625"/>
      <c r="C776" s="2625"/>
      <c r="D776" s="2918" t="s">
        <v>338</v>
      </c>
      <c r="E776" s="2918"/>
      <c r="F776" s="2918"/>
      <c r="G776" s="2918"/>
      <c r="H776" s="2625"/>
      <c r="I776" s="2918"/>
      <c r="J776" s="2918"/>
      <c r="K776" s="2918"/>
      <c r="L776" s="2918"/>
      <c r="M776" s="2918"/>
      <c r="N776" s="2918"/>
      <c r="O776" s="2920"/>
      <c r="Q776" s="2717"/>
      <c r="R776" s="2717"/>
      <c r="S776" s="2719"/>
      <c r="T776" s="2717"/>
      <c r="U776" s="2717"/>
      <c r="V776" s="2717"/>
    </row>
    <row r="777" spans="2:22" s="2922" customFormat="1" ht="14.1" customHeight="1" x14ac:dyDescent="0.2">
      <c r="B777" s="2625"/>
      <c r="C777" s="2618"/>
      <c r="D777" s="3458" t="s">
        <v>280</v>
      </c>
      <c r="E777" s="3459"/>
      <c r="F777" s="2923"/>
      <c r="G777" s="3464" t="s">
        <v>281</v>
      </c>
      <c r="H777" s="3464" t="s">
        <v>282</v>
      </c>
      <c r="I777" s="2618" t="s">
        <v>283</v>
      </c>
      <c r="J777" s="2618" t="s">
        <v>284</v>
      </c>
      <c r="K777" s="2618" t="s">
        <v>340</v>
      </c>
      <c r="L777" s="2524" t="s">
        <v>2008</v>
      </c>
      <c r="M777" s="2524" t="s">
        <v>2009</v>
      </c>
      <c r="N777" s="2524" t="s">
        <v>284</v>
      </c>
      <c r="O777" s="2920"/>
      <c r="Q777" s="2717"/>
      <c r="R777" s="2717"/>
      <c r="S777" s="2719"/>
      <c r="T777" s="2717"/>
      <c r="U777" s="2717"/>
      <c r="V777" s="2717"/>
    </row>
    <row r="778" spans="2:22" s="2922" customFormat="1" ht="14.1" customHeight="1" x14ac:dyDescent="0.2">
      <c r="B778" s="2625"/>
      <c r="C778" s="2924" t="s">
        <v>669</v>
      </c>
      <c r="D778" s="3460"/>
      <c r="E778" s="3461"/>
      <c r="F778" s="2925"/>
      <c r="G778" s="3465"/>
      <c r="H778" s="3465"/>
      <c r="I778" s="2924" t="s">
        <v>285</v>
      </c>
      <c r="J778" s="2924" t="s">
        <v>286</v>
      </c>
      <c r="K778" s="2924" t="s">
        <v>286</v>
      </c>
      <c r="L778" s="2528" t="s">
        <v>2011</v>
      </c>
      <c r="M778" s="2528"/>
      <c r="N778" s="2528" t="s">
        <v>2013</v>
      </c>
      <c r="O778" s="2920"/>
      <c r="Q778" s="2717"/>
      <c r="R778" s="2717"/>
      <c r="S778" s="2719"/>
      <c r="T778" s="2717"/>
      <c r="U778" s="2717"/>
      <c r="V778" s="2717"/>
    </row>
    <row r="779" spans="2:22" s="2922" customFormat="1" ht="14.1" customHeight="1" x14ac:dyDescent="0.2">
      <c r="B779" s="2625"/>
      <c r="C779" s="2926"/>
      <c r="D779" s="3462"/>
      <c r="E779" s="3463"/>
      <c r="F779" s="2927"/>
      <c r="G779" s="3466"/>
      <c r="H779" s="3466"/>
      <c r="I779" s="2926" t="s">
        <v>286</v>
      </c>
      <c r="J779" s="2928"/>
      <c r="K779" s="2928"/>
      <c r="L779" s="2536"/>
      <c r="M779" s="2536"/>
      <c r="N779" s="2537" t="s">
        <v>286</v>
      </c>
      <c r="O779" s="2920"/>
      <c r="Q779" s="2717"/>
      <c r="R779" s="2717"/>
      <c r="S779" s="2719"/>
      <c r="T779" s="2717"/>
      <c r="U779" s="2717"/>
      <c r="V779" s="2717"/>
    </row>
    <row r="780" spans="2:22" s="2922" customFormat="1" ht="14.1" customHeight="1" x14ac:dyDescent="0.2">
      <c r="B780" s="2625"/>
      <c r="C780" s="2618" t="s">
        <v>607</v>
      </c>
      <c r="D780" s="2929" t="s">
        <v>287</v>
      </c>
      <c r="E780" s="2794" t="s">
        <v>1956</v>
      </c>
      <c r="F780" s="2930"/>
      <c r="G780" s="2780" t="s">
        <v>329</v>
      </c>
      <c r="H780" s="2795">
        <f>0.364*2</f>
        <v>0.72799999999999998</v>
      </c>
      <c r="I780" s="2931">
        <f>'Upah &amp; Bahan'!I80</f>
        <v>85000</v>
      </c>
      <c r="J780" s="2932">
        <f>ROUND(H780*I780,2)</f>
        <v>61880</v>
      </c>
      <c r="K780" s="2933"/>
      <c r="L780" s="3177">
        <v>0.30320000000000003</v>
      </c>
      <c r="M780" s="2732" t="s">
        <v>2029</v>
      </c>
      <c r="N780" s="2729">
        <f t="shared" ref="N780:N792" si="59">L780*J780</f>
        <v>18762.016000000003</v>
      </c>
      <c r="O780" s="2920"/>
      <c r="P780" s="2922">
        <v>0.27479999999999999</v>
      </c>
      <c r="Q780" s="2717"/>
      <c r="R780" s="2717"/>
      <c r="S780" s="2719"/>
      <c r="T780" s="2717"/>
      <c r="U780" s="2717"/>
      <c r="V780" s="2717"/>
    </row>
    <row r="781" spans="2:22" s="2922" customFormat="1" ht="14.1" customHeight="1" x14ac:dyDescent="0.2">
      <c r="B781" s="2625"/>
      <c r="C781" s="2924"/>
      <c r="D781" s="2929"/>
      <c r="E781" s="2794" t="s">
        <v>1957</v>
      </c>
      <c r="F781" s="2930"/>
      <c r="G781" s="2780" t="s">
        <v>247</v>
      </c>
      <c r="H781" s="2795">
        <v>4</v>
      </c>
      <c r="I781" s="2931">
        <f>'Upah &amp; Bahan'!I53</f>
        <v>20833.333333333332</v>
      </c>
      <c r="J781" s="2932">
        <f>ROUND(H781*I781,2)</f>
        <v>83333.33</v>
      </c>
      <c r="K781" s="2934"/>
      <c r="L781" s="3177">
        <v>0.34649999999999997</v>
      </c>
      <c r="M781" s="2732" t="s">
        <v>2029</v>
      </c>
      <c r="N781" s="2729">
        <f t="shared" si="59"/>
        <v>28874.998844999998</v>
      </c>
      <c r="O781" s="2920"/>
      <c r="P781" s="2922">
        <f>12/(2.4*1.2)</f>
        <v>4.166666666666667</v>
      </c>
      <c r="Q781" s="2717"/>
      <c r="R781" s="2717"/>
      <c r="S781" s="2719"/>
      <c r="T781" s="2717"/>
      <c r="U781" s="2717"/>
      <c r="V781" s="2717"/>
    </row>
    <row r="782" spans="2:22" s="2922" customFormat="1" ht="14.1" customHeight="1" x14ac:dyDescent="0.2">
      <c r="B782" s="2625"/>
      <c r="C782" s="2924"/>
      <c r="D782" s="2929"/>
      <c r="E782" s="2794" t="s">
        <v>267</v>
      </c>
      <c r="F782" s="2930"/>
      <c r="G782" s="2780" t="s">
        <v>298</v>
      </c>
      <c r="H782" s="2795">
        <v>0.14899999999999999</v>
      </c>
      <c r="I782" s="2931">
        <f>'Upah &amp; Bahan'!I114</f>
        <v>24000</v>
      </c>
      <c r="J782" s="2932">
        <f>ROUND(H782*I782,2)</f>
        <v>3576</v>
      </c>
      <c r="K782" s="2934"/>
      <c r="L782" s="3177">
        <v>0</v>
      </c>
      <c r="M782" s="2732"/>
      <c r="N782" s="2729">
        <f t="shared" si="59"/>
        <v>0</v>
      </c>
      <c r="O782" s="2920"/>
      <c r="Q782" s="2717"/>
      <c r="R782" s="2717"/>
      <c r="S782" s="2719"/>
      <c r="T782" s="2717"/>
      <c r="U782" s="2717"/>
      <c r="V782" s="2717"/>
    </row>
    <row r="783" spans="2:22" s="2922" customFormat="1" ht="14.1" customHeight="1" x14ac:dyDescent="0.2">
      <c r="B783" s="2625"/>
      <c r="C783" s="2926"/>
      <c r="D783" s="2929"/>
      <c r="E783" s="2791"/>
      <c r="F783" s="2935"/>
      <c r="G783" s="2787"/>
      <c r="H783" s="2792"/>
      <c r="I783" s="2936"/>
      <c r="J783" s="2937"/>
      <c r="K783" s="2932">
        <f>SUM(J780:J782)</f>
        <v>148789.33000000002</v>
      </c>
      <c r="L783" s="3177"/>
      <c r="M783" s="2732"/>
      <c r="N783" s="2729">
        <f t="shared" si="59"/>
        <v>0</v>
      </c>
      <c r="O783" s="2920"/>
      <c r="Q783" s="2717"/>
      <c r="R783" s="2717"/>
      <c r="S783" s="2719"/>
      <c r="T783" s="2717"/>
      <c r="U783" s="2717"/>
      <c r="V783" s="2717"/>
    </row>
    <row r="784" spans="2:22" s="2922" customFormat="1" ht="14.1" customHeight="1" x14ac:dyDescent="0.2">
      <c r="B784" s="2625"/>
      <c r="C784" s="2618" t="s">
        <v>608</v>
      </c>
      <c r="D784" s="2938" t="s">
        <v>288</v>
      </c>
      <c r="E784" s="2794" t="s">
        <v>294</v>
      </c>
      <c r="F784" s="2930"/>
      <c r="G784" s="2780" t="s">
        <v>291</v>
      </c>
      <c r="H784" s="2795">
        <v>0.3</v>
      </c>
      <c r="I784" s="2729">
        <f>'Upah &amp; Bahan'!$I$24</f>
        <v>88300</v>
      </c>
      <c r="J784" s="2932">
        <f>ROUND(H784*I784,2)</f>
        <v>26490</v>
      </c>
      <c r="K784" s="2933"/>
      <c r="L784" s="3177">
        <f>VLOOKUP($E784,$D$1744:$G$1761,2,0)</f>
        <v>1</v>
      </c>
      <c r="M784" s="2731" t="str">
        <f>VLOOKUP($E784,$D$1744:$G$1761,3,0)</f>
        <v>WNI</v>
      </c>
      <c r="N784" s="2729">
        <f t="shared" si="59"/>
        <v>26490</v>
      </c>
      <c r="O784" s="2920"/>
      <c r="Q784" s="2717"/>
      <c r="R784" s="2717"/>
      <c r="S784" s="2719"/>
      <c r="T784" s="2717"/>
      <c r="U784" s="2717"/>
      <c r="V784" s="2717"/>
    </row>
    <row r="785" spans="2:22" s="2922" customFormat="1" ht="14.1" customHeight="1" x14ac:dyDescent="0.2">
      <c r="B785" s="2625"/>
      <c r="C785" s="2924"/>
      <c r="D785" s="2929"/>
      <c r="E785" s="2794" t="s">
        <v>295</v>
      </c>
      <c r="F785" s="2930"/>
      <c r="G785" s="2780" t="s">
        <v>291</v>
      </c>
      <c r="H785" s="2795">
        <v>0.1</v>
      </c>
      <c r="I785" s="2729">
        <f>'Upah &amp; Bahan'!$I$33</f>
        <v>90000</v>
      </c>
      <c r="J785" s="2932">
        <f>ROUND(H785*I785,2)</f>
        <v>9000</v>
      </c>
      <c r="K785" s="2934"/>
      <c r="L785" s="3177">
        <f>VLOOKUP($E785,$D$1744:$G$1761,2,0)</f>
        <v>1</v>
      </c>
      <c r="M785" s="2731" t="str">
        <f>VLOOKUP($E785,$D$1744:$G$1761,3,0)</f>
        <v>WNI</v>
      </c>
      <c r="N785" s="2729">
        <f t="shared" si="59"/>
        <v>9000</v>
      </c>
      <c r="O785" s="2920"/>
      <c r="Q785" s="2717"/>
      <c r="R785" s="2717"/>
      <c r="S785" s="2719"/>
      <c r="T785" s="2717"/>
      <c r="U785" s="2717"/>
      <c r="V785" s="2717"/>
    </row>
    <row r="786" spans="2:22" s="2922" customFormat="1" ht="14.1" customHeight="1" x14ac:dyDescent="0.2">
      <c r="B786" s="2625"/>
      <c r="C786" s="2924"/>
      <c r="D786" s="2929"/>
      <c r="E786" s="2794" t="s">
        <v>296</v>
      </c>
      <c r="F786" s="2930"/>
      <c r="G786" s="2780" t="s">
        <v>291</v>
      </c>
      <c r="H786" s="2795">
        <v>0.01</v>
      </c>
      <c r="I786" s="2732">
        <f>'Upah &amp; Bahan'!$I$27</f>
        <v>96000</v>
      </c>
      <c r="J786" s="2932">
        <f>ROUND(H786*I786,2)</f>
        <v>960</v>
      </c>
      <c r="K786" s="2934"/>
      <c r="L786" s="3177">
        <f>VLOOKUP($E786,$D$1744:$G$1761,2,0)</f>
        <v>1</v>
      </c>
      <c r="M786" s="2731" t="str">
        <f>VLOOKUP($E786,$D$1744:$G$1761,3,0)</f>
        <v>WNI</v>
      </c>
      <c r="N786" s="2729">
        <f t="shared" si="59"/>
        <v>960</v>
      </c>
      <c r="O786" s="2920"/>
      <c r="Q786" s="2717"/>
      <c r="R786" s="2717"/>
      <c r="S786" s="2719"/>
      <c r="T786" s="2717"/>
      <c r="U786" s="2717"/>
      <c r="V786" s="2717"/>
    </row>
    <row r="787" spans="2:22" s="2922" customFormat="1" ht="14.1" customHeight="1" x14ac:dyDescent="0.2">
      <c r="B787" s="2625"/>
      <c r="C787" s="2924"/>
      <c r="D787" s="2929"/>
      <c r="E787" s="2794" t="s">
        <v>290</v>
      </c>
      <c r="F787" s="2930"/>
      <c r="G787" s="2780" t="s">
        <v>291</v>
      </c>
      <c r="H787" s="2795">
        <v>1.4999999999999999E-2</v>
      </c>
      <c r="I787" s="2729">
        <f>'Upah &amp; Bahan'!$I$31</f>
        <v>90000</v>
      </c>
      <c r="J787" s="2932">
        <f>ROUND(H787*I787,2)</f>
        <v>1350</v>
      </c>
      <c r="K787" s="2929"/>
      <c r="L787" s="3177">
        <f>VLOOKUP($E787,$D$1744:$G$1761,2,0)</f>
        <v>1</v>
      </c>
      <c r="M787" s="2731" t="str">
        <f>VLOOKUP($E787,$D$1744:$G$1761,3,0)</f>
        <v>WNI</v>
      </c>
      <c r="N787" s="2729">
        <f t="shared" si="59"/>
        <v>1350</v>
      </c>
      <c r="O787" s="2920"/>
      <c r="Q787" s="2717"/>
      <c r="R787" s="2717"/>
      <c r="S787" s="2719"/>
      <c r="T787" s="2717"/>
      <c r="U787" s="2717"/>
      <c r="V787" s="2717"/>
    </row>
    <row r="788" spans="2:22" s="2922" customFormat="1" ht="14.1" customHeight="1" x14ac:dyDescent="0.2">
      <c r="B788" s="2625"/>
      <c r="C788" s="2926"/>
      <c r="D788" s="2928"/>
      <c r="E788" s="2939"/>
      <c r="F788" s="2935"/>
      <c r="G788" s="2940"/>
      <c r="H788" s="2941"/>
      <c r="I788" s="2936"/>
      <c r="J788" s="2937"/>
      <c r="K788" s="2942">
        <f>SUM(J784:J787)</f>
        <v>37800</v>
      </c>
      <c r="L788" s="2731"/>
      <c r="M788" s="2732"/>
      <c r="N788" s="2729">
        <f t="shared" si="59"/>
        <v>0</v>
      </c>
      <c r="O788" s="2920"/>
      <c r="Q788" s="2717"/>
      <c r="R788" s="2717"/>
      <c r="S788" s="2719"/>
      <c r="T788" s="2717"/>
      <c r="U788" s="2717"/>
      <c r="V788" s="2717"/>
    </row>
    <row r="789" spans="2:22" s="2922" customFormat="1" ht="14.1" customHeight="1" x14ac:dyDescent="0.2">
      <c r="B789" s="2625"/>
      <c r="C789" s="2924" t="s">
        <v>609</v>
      </c>
      <c r="D789" s="2938" t="s">
        <v>606</v>
      </c>
      <c r="E789" s="2930"/>
      <c r="F789" s="2930"/>
      <c r="G789" s="2633"/>
      <c r="H789" s="2943"/>
      <c r="I789" s="2944"/>
      <c r="J789" s="2932"/>
      <c r="K789" s="2933"/>
      <c r="L789" s="2731"/>
      <c r="M789" s="2732"/>
      <c r="N789" s="2729">
        <f t="shared" si="59"/>
        <v>0</v>
      </c>
      <c r="O789" s="2920"/>
      <c r="Q789" s="2717"/>
      <c r="R789" s="2717"/>
      <c r="S789" s="2719"/>
      <c r="T789" s="2717"/>
      <c r="U789" s="2717"/>
      <c r="V789" s="2717"/>
    </row>
    <row r="790" spans="2:22" s="2922" customFormat="1" ht="14.1" customHeight="1" x14ac:dyDescent="0.2">
      <c r="B790" s="2625"/>
      <c r="C790" s="2924"/>
      <c r="D790" s="2929"/>
      <c r="E790" s="2939"/>
      <c r="F790" s="2935"/>
      <c r="G790" s="2940"/>
      <c r="H790" s="2941"/>
      <c r="I790" s="2945"/>
      <c r="J790" s="2937"/>
      <c r="K790" s="2933"/>
      <c r="L790" s="2731"/>
      <c r="M790" s="2732"/>
      <c r="N790" s="2729">
        <f t="shared" si="59"/>
        <v>0</v>
      </c>
      <c r="O790" s="2920"/>
      <c r="Q790" s="2717"/>
      <c r="R790" s="2717"/>
      <c r="S790" s="2719"/>
      <c r="T790" s="2717"/>
      <c r="U790" s="2717"/>
      <c r="V790" s="2717"/>
    </row>
    <row r="791" spans="2:22" s="2922" customFormat="1" ht="14.1" customHeight="1" x14ac:dyDescent="0.2">
      <c r="B791" s="2625"/>
      <c r="C791" s="2924"/>
      <c r="D791" s="2929"/>
      <c r="E791" s="2939"/>
      <c r="F791" s="2935"/>
      <c r="G791" s="2940"/>
      <c r="H791" s="2941"/>
      <c r="I791" s="2945"/>
      <c r="J791" s="2937"/>
      <c r="K791" s="2933"/>
      <c r="L791" s="2731"/>
      <c r="M791" s="2732"/>
      <c r="N791" s="2729">
        <f t="shared" si="59"/>
        <v>0</v>
      </c>
      <c r="O791" s="2920"/>
      <c r="Q791" s="2717"/>
      <c r="R791" s="2717"/>
      <c r="S791" s="2719"/>
      <c r="T791" s="2717"/>
      <c r="U791" s="2717"/>
      <c r="V791" s="2717"/>
    </row>
    <row r="792" spans="2:22" s="2922" customFormat="1" ht="14.1" customHeight="1" x14ac:dyDescent="0.2">
      <c r="B792" s="2625"/>
      <c r="C792" s="2926"/>
      <c r="D792" s="2928"/>
      <c r="E792" s="2939"/>
      <c r="F792" s="2935"/>
      <c r="G792" s="2940"/>
      <c r="H792" s="2941"/>
      <c r="I792" s="2945"/>
      <c r="J792" s="2937"/>
      <c r="K792" s="2942">
        <f>SUM(J789:J789)</f>
        <v>0</v>
      </c>
      <c r="L792" s="2731"/>
      <c r="M792" s="2732"/>
      <c r="N792" s="2729">
        <f t="shared" si="59"/>
        <v>0</v>
      </c>
      <c r="O792" s="2920"/>
      <c r="Q792" s="2717"/>
      <c r="R792" s="2717"/>
      <c r="S792" s="2719"/>
      <c r="T792" s="2717"/>
      <c r="U792" s="2717"/>
      <c r="V792" s="2717"/>
    </row>
    <row r="793" spans="2:22" s="2922" customFormat="1" ht="14.1" customHeight="1" x14ac:dyDescent="0.2">
      <c r="B793" s="2625"/>
      <c r="C793" s="2633" t="s">
        <v>610</v>
      </c>
      <c r="D793" s="2946" t="s">
        <v>651</v>
      </c>
      <c r="E793" s="2935"/>
      <c r="F793" s="2935"/>
      <c r="G793" s="2940"/>
      <c r="H793" s="2941"/>
      <c r="I793" s="2945"/>
      <c r="J793" s="2947" t="s">
        <v>652</v>
      </c>
      <c r="K793" s="2942">
        <f>K783+K788+K792</f>
        <v>186589.33000000002</v>
      </c>
      <c r="L793" s="2746">
        <f>N793/K793</f>
        <v>0.45788799844557021</v>
      </c>
      <c r="M793" s="2745"/>
      <c r="N793" s="2747">
        <f>SUM(N780:N792)</f>
        <v>85437.014844999998</v>
      </c>
      <c r="O793" s="2920"/>
      <c r="Q793" s="2717"/>
      <c r="R793" s="2717"/>
      <c r="S793" s="2719"/>
      <c r="T793" s="2717"/>
      <c r="U793" s="2717"/>
      <c r="V793" s="2717"/>
    </row>
    <row r="794" spans="2:22" s="2922" customFormat="1" ht="14.1" customHeight="1" x14ac:dyDescent="0.2">
      <c r="B794" s="2625"/>
      <c r="C794" s="2926" t="s">
        <v>611</v>
      </c>
      <c r="D794" s="2946" t="s">
        <v>653</v>
      </c>
      <c r="E794" s="2935"/>
      <c r="F794" s="2748">
        <f>$F$42</f>
        <v>0.1</v>
      </c>
      <c r="G794" s="2727" t="s">
        <v>425</v>
      </c>
      <c r="H794" s="2748">
        <f>$H$42</f>
        <v>0.03</v>
      </c>
      <c r="I794" s="2948" t="s">
        <v>424</v>
      </c>
      <c r="J794" s="2942" t="s">
        <v>610</v>
      </c>
      <c r="K794" s="2949">
        <f>ROUND((K793*(F794+H794)),2)</f>
        <v>24256.61</v>
      </c>
      <c r="L794" s="2732"/>
      <c r="M794" s="2732"/>
      <c r="N794" s="2732"/>
      <c r="O794" s="2920"/>
      <c r="Q794" s="2717"/>
      <c r="R794" s="2717"/>
      <c r="S794" s="2719"/>
      <c r="T794" s="2717"/>
      <c r="U794" s="2717"/>
      <c r="V794" s="2717"/>
    </row>
    <row r="795" spans="2:22" s="2922" customFormat="1" ht="14.1" customHeight="1" x14ac:dyDescent="0.2">
      <c r="B795" s="2625"/>
      <c r="C795" s="2950" t="s">
        <v>654</v>
      </c>
      <c r="D795" s="2951" t="s">
        <v>301</v>
      </c>
      <c r="E795" s="2952"/>
      <c r="F795" s="2952"/>
      <c r="G795" s="2952"/>
      <c r="H795" s="2953"/>
      <c r="I795" s="2952"/>
      <c r="J795" s="2954" t="s">
        <v>668</v>
      </c>
      <c r="K795" s="2955">
        <f>SUM(K793:K794)</f>
        <v>210845.94</v>
      </c>
      <c r="L795" s="2746"/>
      <c r="M795" s="2755"/>
      <c r="N795" s="2757"/>
      <c r="O795" s="2920"/>
      <c r="Q795" s="2717"/>
      <c r="R795" s="2717"/>
      <c r="S795" s="2719"/>
      <c r="T795" s="2717"/>
      <c r="U795" s="2717"/>
      <c r="V795" s="2717"/>
    </row>
    <row r="796" spans="2:22" x14ac:dyDescent="0.25">
      <c r="Q796" s="2717"/>
      <c r="R796" s="2717"/>
      <c r="S796" s="2719"/>
      <c r="T796" s="2717"/>
      <c r="U796" s="2717"/>
      <c r="V796" s="2717"/>
    </row>
    <row r="797" spans="2:22" s="2721" customFormat="1" ht="14.1" customHeight="1" x14ac:dyDescent="0.2">
      <c r="B797" s="2711">
        <f>B775+1</f>
        <v>40</v>
      </c>
      <c r="C797" s="2711"/>
      <c r="D797" s="2713" t="s">
        <v>1810</v>
      </c>
      <c r="E797" s="2713"/>
      <c r="F797" s="2713"/>
      <c r="G797" s="2713"/>
      <c r="H797" s="2714"/>
      <c r="I797" s="2713"/>
      <c r="J797" s="2713"/>
      <c r="K797" s="2715" t="s">
        <v>808</v>
      </c>
      <c r="L797" s="2715"/>
      <c r="M797" s="2715"/>
      <c r="N797" s="2715"/>
      <c r="O797" s="2721" t="str">
        <f>D798</f>
        <v>m'</v>
      </c>
      <c r="P797" s="2810">
        <f>K817</f>
        <v>38068.57</v>
      </c>
      <c r="Q797" s="2718">
        <f>L815</f>
        <v>0.83654205230193834</v>
      </c>
      <c r="R797" s="2717"/>
      <c r="S797" s="2719">
        <f>N815</f>
        <v>28182.265200000002</v>
      </c>
      <c r="T797" s="2515">
        <f>U797+S797</f>
        <v>31845.959676000002</v>
      </c>
      <c r="U797" s="2719">
        <f>S797*V797</f>
        <v>3663.6944760000001</v>
      </c>
      <c r="V797" s="2718">
        <f>$F$42+$H$42</f>
        <v>0.13</v>
      </c>
    </row>
    <row r="798" spans="2:22" s="2721" customFormat="1" ht="14.1" customHeight="1" x14ac:dyDescent="0.2">
      <c r="B798" s="2711"/>
      <c r="C798" s="2711"/>
      <c r="D798" s="2721" t="s">
        <v>247</v>
      </c>
      <c r="H798" s="2711"/>
      <c r="Q798" s="2717"/>
      <c r="R798" s="2717"/>
      <c r="S798" s="2719"/>
      <c r="T798" s="2717"/>
      <c r="U798" s="2717"/>
      <c r="V798" s="2717"/>
    </row>
    <row r="799" spans="2:22" s="2721" customFormat="1" ht="14.1" customHeight="1" x14ac:dyDescent="0.2">
      <c r="B799" s="2711"/>
      <c r="C799" s="2711"/>
      <c r="H799" s="2711"/>
      <c r="Q799" s="2717"/>
      <c r="R799" s="2717"/>
      <c r="S799" s="2719"/>
      <c r="T799" s="2717"/>
      <c r="U799" s="2717"/>
      <c r="V799" s="2717"/>
    </row>
    <row r="800" spans="2:22" s="2721" customFormat="1" ht="14.1" customHeight="1" x14ac:dyDescent="0.2">
      <c r="B800" s="2711"/>
      <c r="C800" s="2524"/>
      <c r="D800" s="3427" t="s">
        <v>280</v>
      </c>
      <c r="E800" s="3428"/>
      <c r="F800" s="2722"/>
      <c r="G800" s="3433" t="s">
        <v>281</v>
      </c>
      <c r="H800" s="3433" t="s">
        <v>282</v>
      </c>
      <c r="I800" s="2524" t="s">
        <v>283</v>
      </c>
      <c r="J800" s="2524" t="s">
        <v>284</v>
      </c>
      <c r="K800" s="2524" t="s">
        <v>340</v>
      </c>
      <c r="L800" s="2524" t="s">
        <v>2008</v>
      </c>
      <c r="M800" s="2524" t="s">
        <v>2009</v>
      </c>
      <c r="N800" s="2524" t="s">
        <v>284</v>
      </c>
      <c r="Q800" s="2717"/>
      <c r="R800" s="2717"/>
      <c r="S800" s="2719"/>
      <c r="T800" s="2717"/>
      <c r="U800" s="2717"/>
      <c r="V800" s="2717"/>
    </row>
    <row r="801" spans="2:23" s="2721" customFormat="1" ht="14.1" customHeight="1" x14ac:dyDescent="0.2">
      <c r="B801" s="2711"/>
      <c r="C801" s="2528" t="s">
        <v>669</v>
      </c>
      <c r="D801" s="3429"/>
      <c r="E801" s="3430"/>
      <c r="F801" s="2723"/>
      <c r="G801" s="3434"/>
      <c r="H801" s="3434"/>
      <c r="I801" s="2528" t="s">
        <v>285</v>
      </c>
      <c r="J801" s="2528" t="s">
        <v>286</v>
      </c>
      <c r="K801" s="2528" t="s">
        <v>286</v>
      </c>
      <c r="L801" s="2528" t="s">
        <v>2011</v>
      </c>
      <c r="M801" s="2528"/>
      <c r="N801" s="2528" t="s">
        <v>2013</v>
      </c>
      <c r="Q801" s="2717"/>
      <c r="R801" s="2717"/>
      <c r="S801" s="2719"/>
      <c r="T801" s="2717"/>
      <c r="U801" s="2717"/>
      <c r="V801" s="2717"/>
    </row>
    <row r="802" spans="2:23" s="2721" customFormat="1" ht="14.1" customHeight="1" x14ac:dyDescent="0.2">
      <c r="B802" s="2711"/>
      <c r="C802" s="2537"/>
      <c r="D802" s="3431"/>
      <c r="E802" s="3432"/>
      <c r="F802" s="2724"/>
      <c r="G802" s="3435"/>
      <c r="H802" s="3435"/>
      <c r="I802" s="2537" t="s">
        <v>286</v>
      </c>
      <c r="J802" s="2536"/>
      <c r="K802" s="2536"/>
      <c r="L802" s="2536"/>
      <c r="M802" s="2536"/>
      <c r="N802" s="2537" t="s">
        <v>286</v>
      </c>
      <c r="Q802" s="2717"/>
      <c r="R802" s="2717"/>
      <c r="S802" s="2719"/>
      <c r="T802" s="2717"/>
      <c r="U802" s="2717"/>
      <c r="V802" s="2717"/>
    </row>
    <row r="803" spans="2:23" s="2721" customFormat="1" ht="14.1" customHeight="1" x14ac:dyDescent="0.2">
      <c r="B803" s="2711"/>
      <c r="C803" s="2524" t="s">
        <v>607</v>
      </c>
      <c r="D803" s="2733" t="s">
        <v>287</v>
      </c>
      <c r="E803" s="2739" t="s">
        <v>1644</v>
      </c>
      <c r="F803" s="2739"/>
      <c r="G803" s="2727" t="s">
        <v>240</v>
      </c>
      <c r="H803" s="2740">
        <v>1.7</v>
      </c>
      <c r="I803" s="2729">
        <f>'Upah &amp; Bahan'!$I$136</f>
        <v>7500</v>
      </c>
      <c r="J803" s="2729">
        <f>ROUND(H803*I803,2)</f>
        <v>12750</v>
      </c>
      <c r="K803" s="2730"/>
      <c r="L803" s="3177">
        <v>0.69620000000000004</v>
      </c>
      <c r="M803" s="2732" t="s">
        <v>2029</v>
      </c>
      <c r="N803" s="2729">
        <f t="shared" ref="N803:N814" si="60">L803*J803</f>
        <v>8876.5500000000011</v>
      </c>
      <c r="P803" s="2721">
        <f>'Upah &amp; Bahan'!I79</f>
        <v>120000</v>
      </c>
      <c r="Q803" s="2717">
        <v>0.78610000000000002</v>
      </c>
      <c r="R803" s="2717"/>
      <c r="S803" s="2719"/>
      <c r="T803" s="2717"/>
      <c r="U803" s="2717"/>
      <c r="V803" s="2717"/>
    </row>
    <row r="804" spans="2:23" s="2721" customFormat="1" ht="14.1" customHeight="1" x14ac:dyDescent="0.2">
      <c r="B804" s="2711"/>
      <c r="C804" s="2733"/>
      <c r="D804" s="2733"/>
      <c r="E804" s="2739" t="s">
        <v>300</v>
      </c>
      <c r="F804" s="2739"/>
      <c r="G804" s="2727" t="s">
        <v>298</v>
      </c>
      <c r="H804" s="2740">
        <v>1.1399999999999999</v>
      </c>
      <c r="I804" s="2811">
        <f>'Upah &amp; Bahan'!$I$118</f>
        <v>1200</v>
      </c>
      <c r="J804" s="2729">
        <f>ROUND(H804*I804,2)</f>
        <v>1368</v>
      </c>
      <c r="K804" s="2734"/>
      <c r="L804" s="3177">
        <f>$L$192</f>
        <v>0.85140000000000005</v>
      </c>
      <c r="M804" s="2732" t="s">
        <v>2029</v>
      </c>
      <c r="N804" s="2729">
        <f t="shared" si="60"/>
        <v>1164.7152000000001</v>
      </c>
      <c r="P804" s="2721">
        <f>0.1*0.6</f>
        <v>0.06</v>
      </c>
      <c r="Q804" s="2717"/>
      <c r="R804" s="2717"/>
      <c r="S804" s="2719"/>
      <c r="T804" s="2717"/>
      <c r="U804" s="2717"/>
      <c r="V804" s="2717"/>
      <c r="W804" s="2721">
        <f>0.6/0.1</f>
        <v>5.9999999999999991</v>
      </c>
    </row>
    <row r="805" spans="2:23" s="2721" customFormat="1" ht="14.1" customHeight="1" x14ac:dyDescent="0.2">
      <c r="B805" s="2711"/>
      <c r="C805" s="2733"/>
      <c r="D805" s="2733"/>
      <c r="E805" s="2739" t="s">
        <v>331</v>
      </c>
      <c r="F805" s="2739"/>
      <c r="G805" s="2727" t="s">
        <v>293</v>
      </c>
      <c r="H805" s="2740">
        <v>3.0000000000000001E-3</v>
      </c>
      <c r="I805" s="2811">
        <f>'Upah &amp; Bahan'!$I$121</f>
        <v>260000</v>
      </c>
      <c r="J805" s="2729">
        <f>ROUND(H805*I805,2)</f>
        <v>780</v>
      </c>
      <c r="K805" s="2733"/>
      <c r="L805" s="3177">
        <v>1</v>
      </c>
      <c r="M805" s="2732"/>
      <c r="N805" s="2729">
        <f t="shared" si="60"/>
        <v>780</v>
      </c>
      <c r="P805" s="2721">
        <f>0.6*0.6</f>
        <v>0.36</v>
      </c>
      <c r="Q805" s="2717"/>
      <c r="R805" s="2717"/>
      <c r="S805" s="2719"/>
      <c r="T805" s="2717"/>
      <c r="U805" s="2717"/>
      <c r="V805" s="2717"/>
    </row>
    <row r="806" spans="2:23" s="2721" customFormat="1" ht="14.1" customHeight="1" x14ac:dyDescent="0.2">
      <c r="B806" s="2711"/>
      <c r="C806" s="2733"/>
      <c r="D806" s="2733"/>
      <c r="E806" s="2739" t="s">
        <v>339</v>
      </c>
      <c r="F806" s="2739"/>
      <c r="G806" s="2727" t="s">
        <v>298</v>
      </c>
      <c r="H806" s="2740">
        <v>0.1</v>
      </c>
      <c r="I806" s="2811">
        <f>'Upah &amp; Bahan'!$I$119</f>
        <v>14300</v>
      </c>
      <c r="J806" s="2729">
        <f>ROUND(H806*I806,2)</f>
        <v>1430</v>
      </c>
      <c r="K806" s="2536"/>
      <c r="L806" s="3177">
        <v>0</v>
      </c>
      <c r="M806" s="2732"/>
      <c r="N806" s="2729">
        <f t="shared" si="60"/>
        <v>0</v>
      </c>
      <c r="P806" s="2721">
        <f>1/P805</f>
        <v>2.7777777777777777</v>
      </c>
      <c r="Q806" s="2717"/>
      <c r="R806" s="2717"/>
      <c r="S806" s="2719"/>
      <c r="T806" s="2717"/>
      <c r="U806" s="2717"/>
      <c r="V806" s="2717"/>
    </row>
    <row r="807" spans="2:23" s="2721" customFormat="1" ht="14.1" customHeight="1" x14ac:dyDescent="0.2">
      <c r="B807" s="2711"/>
      <c r="C807" s="2537"/>
      <c r="D807" s="2733"/>
      <c r="E807" s="2736"/>
      <c r="F807" s="2741"/>
      <c r="G807" s="2742"/>
      <c r="H807" s="2743"/>
      <c r="I807" s="2812"/>
      <c r="J807" s="2813"/>
      <c r="K807" s="2729">
        <f>SUM(J803:J806)</f>
        <v>16328</v>
      </c>
      <c r="L807" s="3177"/>
      <c r="M807" s="2732"/>
      <c r="N807" s="2729">
        <f t="shared" si="60"/>
        <v>0</v>
      </c>
      <c r="P807" s="2721">
        <f>P803/P806</f>
        <v>43200</v>
      </c>
      <c r="Q807" s="2717"/>
      <c r="R807" s="2717"/>
      <c r="S807" s="2719"/>
      <c r="T807" s="2717"/>
      <c r="U807" s="2717"/>
      <c r="V807" s="2717"/>
    </row>
    <row r="808" spans="2:23" s="2721" customFormat="1" ht="14.1" customHeight="1" x14ac:dyDescent="0.2">
      <c r="B808" s="2711"/>
      <c r="C808" s="2524" t="s">
        <v>608</v>
      </c>
      <c r="D808" s="2725" t="s">
        <v>288</v>
      </c>
      <c r="E808" s="2739" t="s">
        <v>294</v>
      </c>
      <c r="F808" s="2739"/>
      <c r="G808" s="2727" t="s">
        <v>291</v>
      </c>
      <c r="H808" s="2740">
        <v>0.09</v>
      </c>
      <c r="I808" s="2811">
        <f>'Upah &amp; Bahan'!$I$24</f>
        <v>88300</v>
      </c>
      <c r="J808" s="2729">
        <f>ROUND(H808*I808,2)</f>
        <v>7947</v>
      </c>
      <c r="K808" s="2730"/>
      <c r="L808" s="3177">
        <f>VLOOKUP($E808,$D$1744:$G$1761,2,0)</f>
        <v>1</v>
      </c>
      <c r="M808" s="2731" t="str">
        <f>VLOOKUP($E808,$D$1744:$G$1761,3,0)</f>
        <v>WNI</v>
      </c>
      <c r="N808" s="2729">
        <f t="shared" si="60"/>
        <v>7947</v>
      </c>
      <c r="P808" s="2892">
        <f>P807/W804</f>
        <v>7200.0000000000009</v>
      </c>
      <c r="Q808" s="2717"/>
      <c r="R808" s="2717"/>
      <c r="S808" s="2719"/>
      <c r="T808" s="2717"/>
      <c r="U808" s="2717"/>
      <c r="V808" s="2717"/>
    </row>
    <row r="809" spans="2:23" s="2721" customFormat="1" ht="14.1" customHeight="1" x14ac:dyDescent="0.2">
      <c r="B809" s="2711"/>
      <c r="C809" s="2733"/>
      <c r="D809" s="2733"/>
      <c r="E809" s="2739" t="s">
        <v>295</v>
      </c>
      <c r="F809" s="2739"/>
      <c r="G809" s="2727" t="s">
        <v>291</v>
      </c>
      <c r="H809" s="2740">
        <v>0.09</v>
      </c>
      <c r="I809" s="2811">
        <f>'Upah &amp; Bahan'!$I$32</f>
        <v>90000</v>
      </c>
      <c r="J809" s="2729">
        <f>ROUND(H809*I809,2)</f>
        <v>8100</v>
      </c>
      <c r="K809" s="2734"/>
      <c r="L809" s="3177">
        <f>VLOOKUP($E809,$D$1744:$G$1761,2,0)</f>
        <v>1</v>
      </c>
      <c r="M809" s="2731" t="str">
        <f>VLOOKUP($E809,$D$1744:$G$1761,3,0)</f>
        <v>WNI</v>
      </c>
      <c r="N809" s="2729">
        <f t="shared" si="60"/>
        <v>8100</v>
      </c>
      <c r="Q809" s="2717"/>
      <c r="R809" s="2717"/>
      <c r="S809" s="2719"/>
      <c r="T809" s="2717"/>
      <c r="U809" s="2717"/>
      <c r="V809" s="2717"/>
    </row>
    <row r="810" spans="2:23" s="2721" customFormat="1" ht="14.1" customHeight="1" x14ac:dyDescent="0.2">
      <c r="B810" s="2711"/>
      <c r="C810" s="2733"/>
      <c r="D810" s="2733"/>
      <c r="E810" s="2739" t="s">
        <v>296</v>
      </c>
      <c r="F810" s="2739"/>
      <c r="G810" s="2727" t="s">
        <v>291</v>
      </c>
      <c r="H810" s="2740">
        <v>8.9999999999999993E-3</v>
      </c>
      <c r="I810" s="2814">
        <f>'Upah &amp; Bahan'!$I$26</f>
        <v>96000</v>
      </c>
      <c r="J810" s="2729">
        <f>ROUND(H810*I810,2)</f>
        <v>864</v>
      </c>
      <c r="K810" s="2734"/>
      <c r="L810" s="3177">
        <f>VLOOKUP($E810,$D$1744:$G$1761,2,0)</f>
        <v>1</v>
      </c>
      <c r="M810" s="2731" t="str">
        <f>VLOOKUP($E810,$D$1744:$G$1761,3,0)</f>
        <v>WNI</v>
      </c>
      <c r="N810" s="2729">
        <f t="shared" si="60"/>
        <v>864</v>
      </c>
      <c r="Q810" s="2717"/>
      <c r="R810" s="2717"/>
      <c r="S810" s="2719"/>
      <c r="T810" s="2717"/>
      <c r="U810" s="2717"/>
      <c r="V810" s="2717"/>
    </row>
    <row r="811" spans="2:23" s="2721" customFormat="1" ht="14.1" customHeight="1" x14ac:dyDescent="0.2">
      <c r="B811" s="2711"/>
      <c r="C811" s="2733"/>
      <c r="D811" s="2733"/>
      <c r="E811" s="2739" t="s">
        <v>290</v>
      </c>
      <c r="F811" s="2739"/>
      <c r="G811" s="2727" t="s">
        <v>291</v>
      </c>
      <c r="H811" s="2740">
        <v>5.0000000000000001E-3</v>
      </c>
      <c r="I811" s="2811">
        <f>'Upah &amp; Bahan'!$I$31</f>
        <v>90000</v>
      </c>
      <c r="J811" s="2729">
        <f>ROUND(H811*I811,2)</f>
        <v>450</v>
      </c>
      <c r="K811" s="2733"/>
      <c r="L811" s="3177">
        <f>VLOOKUP($E811,$D$1744:$G$1761,2,0)</f>
        <v>1</v>
      </c>
      <c r="M811" s="2731" t="str">
        <f>VLOOKUP($E811,$D$1744:$G$1761,3,0)</f>
        <v>WNI</v>
      </c>
      <c r="N811" s="2729">
        <f t="shared" si="60"/>
        <v>450</v>
      </c>
      <c r="Q811" s="2717"/>
      <c r="R811" s="2717"/>
      <c r="S811" s="2719"/>
      <c r="T811" s="2717"/>
      <c r="U811" s="2717"/>
      <c r="V811" s="2717"/>
    </row>
    <row r="812" spans="2:23" s="2721" customFormat="1" ht="14.1" customHeight="1" x14ac:dyDescent="0.2">
      <c r="B812" s="2711"/>
      <c r="C812" s="2537"/>
      <c r="D812" s="2536"/>
      <c r="E812" s="2736"/>
      <c r="F812" s="2741"/>
      <c r="G812" s="2742"/>
      <c r="H812" s="2743"/>
      <c r="I812" s="2812"/>
      <c r="J812" s="2813"/>
      <c r="K812" s="2732">
        <f>SUM(J808:J811)</f>
        <v>17361</v>
      </c>
      <c r="L812" s="2731"/>
      <c r="M812" s="2732"/>
      <c r="N812" s="2729">
        <f t="shared" si="60"/>
        <v>0</v>
      </c>
      <c r="Q812" s="2717"/>
      <c r="R812" s="2717"/>
      <c r="S812" s="2719"/>
      <c r="T812" s="2717"/>
      <c r="U812" s="2717"/>
      <c r="V812" s="2717"/>
    </row>
    <row r="813" spans="2:23" s="2721" customFormat="1" ht="14.1" customHeight="1" x14ac:dyDescent="0.2">
      <c r="B813" s="2711"/>
      <c r="C813" s="2528" t="s">
        <v>609</v>
      </c>
      <c r="D813" s="2725" t="s">
        <v>606</v>
      </c>
      <c r="E813" s="2739"/>
      <c r="F813" s="2739"/>
      <c r="G813" s="2727"/>
      <c r="H813" s="2740"/>
      <c r="I813" s="2814"/>
      <c r="J813" s="2729"/>
      <c r="K813" s="2730"/>
      <c r="L813" s="2731"/>
      <c r="M813" s="2732"/>
      <c r="N813" s="2729">
        <f t="shared" si="60"/>
        <v>0</v>
      </c>
      <c r="Q813" s="2717"/>
      <c r="R813" s="2717"/>
      <c r="S813" s="2719"/>
      <c r="T813" s="2717"/>
      <c r="U813" s="2717"/>
      <c r="V813" s="2717"/>
    </row>
    <row r="814" spans="2:23" s="2721" customFormat="1" ht="14.1" customHeight="1" x14ac:dyDescent="0.2">
      <c r="B814" s="2711"/>
      <c r="C814" s="2536"/>
      <c r="D814" s="2536"/>
      <c r="E814" s="2736"/>
      <c r="F814" s="2741"/>
      <c r="G814" s="2742"/>
      <c r="H814" s="2743"/>
      <c r="I814" s="2744"/>
      <c r="J814" s="2813"/>
      <c r="K814" s="2732">
        <f>SUM(J813:J813)</f>
        <v>0</v>
      </c>
      <c r="L814" s="2731"/>
      <c r="M814" s="2732"/>
      <c r="N814" s="2729">
        <f t="shared" si="60"/>
        <v>0</v>
      </c>
      <c r="Q814" s="2717"/>
      <c r="R814" s="2717"/>
      <c r="S814" s="2719"/>
      <c r="T814" s="2717"/>
      <c r="U814" s="2717"/>
      <c r="V814" s="2717"/>
    </row>
    <row r="815" spans="2:23" s="2721" customFormat="1" ht="14.1" customHeight="1" x14ac:dyDescent="0.2">
      <c r="B815" s="2711"/>
      <c r="C815" s="2537" t="s">
        <v>610</v>
      </c>
      <c r="D815" s="2738" t="s">
        <v>651</v>
      </c>
      <c r="E815" s="2741"/>
      <c r="F815" s="2741"/>
      <c r="G815" s="2742"/>
      <c r="H815" s="2743"/>
      <c r="I815" s="2744"/>
      <c r="J815" s="2745" t="s">
        <v>652</v>
      </c>
      <c r="K815" s="2732">
        <f>K807+K812+K814</f>
        <v>33689</v>
      </c>
      <c r="L815" s="2746">
        <f>N815/K815</f>
        <v>0.83654205230193834</v>
      </c>
      <c r="M815" s="2745"/>
      <c r="N815" s="2747">
        <f>SUM(N803:N814)</f>
        <v>28182.265200000002</v>
      </c>
      <c r="Q815" s="2717"/>
      <c r="R815" s="2717"/>
      <c r="S815" s="2719"/>
      <c r="T815" s="2717"/>
      <c r="U815" s="2717"/>
      <c r="V815" s="2717"/>
    </row>
    <row r="816" spans="2:23" s="2721" customFormat="1" ht="14.1" customHeight="1" x14ac:dyDescent="0.2">
      <c r="B816" s="2711"/>
      <c r="C816" s="2537" t="s">
        <v>611</v>
      </c>
      <c r="D816" s="2738" t="s">
        <v>653</v>
      </c>
      <c r="E816" s="2741"/>
      <c r="F816" s="2748">
        <v>0.1</v>
      </c>
      <c r="G816" s="2727" t="s">
        <v>425</v>
      </c>
      <c r="H816" s="2748">
        <v>0.03</v>
      </c>
      <c r="I816" s="2749" t="s">
        <v>424</v>
      </c>
      <c r="J816" s="2732" t="s">
        <v>610</v>
      </c>
      <c r="K816" s="2750">
        <f>ROUND((K815*(F816+H816)),2)</f>
        <v>4379.57</v>
      </c>
      <c r="L816" s="2732"/>
      <c r="M816" s="2732"/>
      <c r="N816" s="2732"/>
      <c r="Q816" s="2717"/>
      <c r="R816" s="2717"/>
      <c r="S816" s="2719"/>
      <c r="T816" s="2717"/>
      <c r="U816" s="2717"/>
      <c r="V816" s="2717"/>
    </row>
    <row r="817" spans="2:22" s="2721" customFormat="1" ht="14.1" customHeight="1" x14ac:dyDescent="0.2">
      <c r="B817" s="2711"/>
      <c r="C817" s="2880" t="s">
        <v>654</v>
      </c>
      <c r="D817" s="2752" t="s">
        <v>301</v>
      </c>
      <c r="E817" s="2815"/>
      <c r="F817" s="2815"/>
      <c r="G817" s="2815"/>
      <c r="H817" s="2816"/>
      <c r="I817" s="2815"/>
      <c r="J817" s="2755" t="s">
        <v>668</v>
      </c>
      <c r="K817" s="2756">
        <f>SUM(K815:K816)</f>
        <v>38068.57</v>
      </c>
      <c r="L817" s="2746"/>
      <c r="M817" s="2755"/>
      <c r="N817" s="2757"/>
      <c r="Q817" s="2717"/>
      <c r="R817" s="2717"/>
      <c r="S817" s="2719"/>
      <c r="T817" s="2717"/>
      <c r="U817" s="2717"/>
      <c r="V817" s="2717"/>
    </row>
    <row r="818" spans="2:22" s="2721" customFormat="1" ht="14.1" customHeight="1" x14ac:dyDescent="0.2">
      <c r="H818" s="2711"/>
      <c r="Q818" s="2717"/>
      <c r="R818" s="2717"/>
      <c r="S818" s="2719"/>
      <c r="T818" s="2717"/>
      <c r="U818" s="2717"/>
      <c r="V818" s="2717"/>
    </row>
    <row r="819" spans="2:22" s="2713" customFormat="1" ht="14.1" customHeight="1" x14ac:dyDescent="0.2">
      <c r="B819" s="2711">
        <f>B797+1</f>
        <v>41</v>
      </c>
      <c r="C819" s="2711"/>
      <c r="D819" s="2713" t="s">
        <v>1809</v>
      </c>
      <c r="H819" s="2714"/>
      <c r="K819" s="2715" t="s">
        <v>757</v>
      </c>
      <c r="L819" s="2715"/>
      <c r="M819" s="2715"/>
      <c r="N819" s="2715"/>
      <c r="O819" s="2713" t="str">
        <f>D820</f>
        <v>m2</v>
      </c>
      <c r="P819" s="2870">
        <f>K839</f>
        <v>186829.68</v>
      </c>
      <c r="Q819" s="2718">
        <f>L837</f>
        <v>0.83020878695504929</v>
      </c>
      <c r="R819" s="2717"/>
      <c r="S819" s="2719">
        <f>N837</f>
        <v>137263.40000000002</v>
      </c>
      <c r="T819" s="2515">
        <f>U819+S819</f>
        <v>155107.64200000002</v>
      </c>
      <c r="U819" s="2719">
        <f>S819*V819</f>
        <v>17844.242000000002</v>
      </c>
      <c r="V819" s="2718">
        <f>$F$42+$H$42</f>
        <v>0.13</v>
      </c>
    </row>
    <row r="820" spans="2:22" s="2713" customFormat="1" ht="14.1" customHeight="1" x14ac:dyDescent="0.2">
      <c r="B820" s="2711"/>
      <c r="C820" s="2711"/>
      <c r="D820" s="2721" t="s">
        <v>338</v>
      </c>
      <c r="E820" s="2721"/>
      <c r="F820" s="2721"/>
      <c r="G820" s="2721"/>
      <c r="H820" s="2711"/>
      <c r="I820" s="2721"/>
      <c r="J820" s="2721"/>
      <c r="K820" s="2721"/>
      <c r="L820" s="2721"/>
      <c r="M820" s="2721"/>
      <c r="N820" s="2721"/>
      <c r="Q820" s="2717"/>
      <c r="R820" s="2717"/>
      <c r="S820" s="2719"/>
      <c r="T820" s="2717"/>
      <c r="U820" s="2717"/>
      <c r="V820" s="2717"/>
    </row>
    <row r="821" spans="2:22" s="2713" customFormat="1" ht="14.1" customHeight="1" x14ac:dyDescent="0.2">
      <c r="B821" s="2711"/>
      <c r="C821" s="2711"/>
      <c r="D821" s="2721"/>
      <c r="E821" s="2721"/>
      <c r="F821" s="2721"/>
      <c r="G821" s="2721"/>
      <c r="H821" s="2711"/>
      <c r="I821" s="2721"/>
      <c r="J821" s="2721"/>
      <c r="K821" s="2721"/>
      <c r="L821" s="2721"/>
      <c r="M821" s="2721"/>
      <c r="N821" s="2721"/>
      <c r="Q821" s="2717"/>
      <c r="R821" s="2717"/>
      <c r="S821" s="2719"/>
      <c r="T821" s="2717"/>
      <c r="U821" s="2717"/>
      <c r="V821" s="2717"/>
    </row>
    <row r="822" spans="2:22" s="2713" customFormat="1" ht="14.1" customHeight="1" x14ac:dyDescent="0.2">
      <c r="B822" s="2711"/>
      <c r="C822" s="2524"/>
      <c r="D822" s="3427" t="s">
        <v>280</v>
      </c>
      <c r="E822" s="3428"/>
      <c r="F822" s="2722"/>
      <c r="G822" s="3433" t="s">
        <v>281</v>
      </c>
      <c r="H822" s="3433" t="s">
        <v>282</v>
      </c>
      <c r="I822" s="2524" t="s">
        <v>283</v>
      </c>
      <c r="J822" s="2524" t="s">
        <v>284</v>
      </c>
      <c r="K822" s="2524" t="s">
        <v>340</v>
      </c>
      <c r="L822" s="2524" t="s">
        <v>2008</v>
      </c>
      <c r="M822" s="2524" t="s">
        <v>2009</v>
      </c>
      <c r="N822" s="2524" t="s">
        <v>284</v>
      </c>
      <c r="Q822" s="2717"/>
      <c r="R822" s="2717"/>
      <c r="S822" s="2719"/>
      <c r="T822" s="2717"/>
      <c r="U822" s="2717"/>
      <c r="V822" s="2717"/>
    </row>
    <row r="823" spans="2:22" s="2713" customFormat="1" ht="14.1" customHeight="1" x14ac:dyDescent="0.2">
      <c r="B823" s="2711"/>
      <c r="C823" s="2528" t="s">
        <v>669</v>
      </c>
      <c r="D823" s="3429"/>
      <c r="E823" s="3430"/>
      <c r="F823" s="2723"/>
      <c r="G823" s="3434"/>
      <c r="H823" s="3434"/>
      <c r="I823" s="2528" t="s">
        <v>285</v>
      </c>
      <c r="J823" s="2528" t="s">
        <v>286</v>
      </c>
      <c r="K823" s="2528" t="s">
        <v>286</v>
      </c>
      <c r="L823" s="2528" t="s">
        <v>2011</v>
      </c>
      <c r="M823" s="2528"/>
      <c r="N823" s="2528" t="s">
        <v>2013</v>
      </c>
      <c r="Q823" s="2717"/>
      <c r="R823" s="2717"/>
      <c r="S823" s="2719"/>
      <c r="T823" s="2717"/>
      <c r="U823" s="2717"/>
      <c r="V823" s="2717"/>
    </row>
    <row r="824" spans="2:22" s="2713" customFormat="1" ht="14.1" customHeight="1" x14ac:dyDescent="0.2">
      <c r="B824" s="2711"/>
      <c r="C824" s="2537"/>
      <c r="D824" s="3431"/>
      <c r="E824" s="3432"/>
      <c r="F824" s="2724"/>
      <c r="G824" s="3435"/>
      <c r="H824" s="3435"/>
      <c r="I824" s="2537" t="s">
        <v>286</v>
      </c>
      <c r="J824" s="2536"/>
      <c r="K824" s="2536"/>
      <c r="L824" s="2536"/>
      <c r="M824" s="2536"/>
      <c r="N824" s="2537" t="s">
        <v>286</v>
      </c>
      <c r="Q824" s="2717"/>
      <c r="R824" s="2717"/>
      <c r="S824" s="2719"/>
      <c r="T824" s="2717"/>
      <c r="U824" s="2717"/>
      <c r="V824" s="2717"/>
    </row>
    <row r="825" spans="2:22" s="2713" customFormat="1" ht="14.1" customHeight="1" x14ac:dyDescent="0.2">
      <c r="B825" s="2711"/>
      <c r="C825" s="2524" t="s">
        <v>607</v>
      </c>
      <c r="D825" s="2733" t="s">
        <v>287</v>
      </c>
      <c r="E825" s="2739" t="s">
        <v>590</v>
      </c>
      <c r="F825" s="2739"/>
      <c r="G825" s="2727" t="s">
        <v>1073</v>
      </c>
      <c r="H825" s="2740">
        <v>1.05</v>
      </c>
      <c r="I825" s="2811">
        <f>'Upah &amp; Bahan'!$I$97</f>
        <v>60000</v>
      </c>
      <c r="J825" s="2729">
        <f>ROUND(H825*I825,2)</f>
        <v>63000</v>
      </c>
      <c r="K825" s="2730"/>
      <c r="L825" s="3177">
        <f>$L$803</f>
        <v>0.69620000000000004</v>
      </c>
      <c r="M825" s="2732" t="s">
        <v>2029</v>
      </c>
      <c r="N825" s="2729">
        <f t="shared" ref="N825:N836" si="61">L825*J825</f>
        <v>43860.600000000006</v>
      </c>
      <c r="Q825" s="2717"/>
      <c r="R825" s="2717"/>
      <c r="S825" s="2719"/>
      <c r="T825" s="2717"/>
      <c r="U825" s="2717"/>
      <c r="V825" s="2717"/>
    </row>
    <row r="826" spans="2:22" s="2713" customFormat="1" ht="14.1" customHeight="1" x14ac:dyDescent="0.2">
      <c r="B826" s="2711"/>
      <c r="C826" s="2733"/>
      <c r="D826" s="2733"/>
      <c r="E826" s="2739" t="s">
        <v>300</v>
      </c>
      <c r="F826" s="2739"/>
      <c r="G826" s="2727" t="s">
        <v>298</v>
      </c>
      <c r="H826" s="2740">
        <v>10</v>
      </c>
      <c r="I826" s="2811">
        <f>'Upah &amp; Bahan'!$I$118</f>
        <v>1200</v>
      </c>
      <c r="J826" s="2729">
        <f>ROUND(H826*I826,2)</f>
        <v>12000</v>
      </c>
      <c r="K826" s="2734"/>
      <c r="L826" s="3177">
        <f>$L$192</f>
        <v>0.85140000000000005</v>
      </c>
      <c r="M826" s="2732" t="s">
        <v>2029</v>
      </c>
      <c r="N826" s="2729">
        <f t="shared" si="61"/>
        <v>10216.800000000001</v>
      </c>
      <c r="Q826" s="2717"/>
      <c r="R826" s="2717"/>
      <c r="S826" s="2719"/>
      <c r="T826" s="2717"/>
      <c r="U826" s="2717"/>
      <c r="V826" s="2717"/>
    </row>
    <row r="827" spans="2:22" s="2713" customFormat="1" ht="14.1" customHeight="1" x14ac:dyDescent="0.2">
      <c r="B827" s="2711"/>
      <c r="C827" s="2733"/>
      <c r="D827" s="2733"/>
      <c r="E827" s="2739" t="s">
        <v>331</v>
      </c>
      <c r="F827" s="2739"/>
      <c r="G827" s="2727" t="s">
        <v>293</v>
      </c>
      <c r="H827" s="2740">
        <v>4.4999999999999998E-2</v>
      </c>
      <c r="I827" s="2811">
        <f>'Upah &amp; Bahan'!$I$121</f>
        <v>260000</v>
      </c>
      <c r="J827" s="2729">
        <f>ROUND(H827*I827,2)</f>
        <v>11700</v>
      </c>
      <c r="K827" s="2733"/>
      <c r="L827" s="3180">
        <v>1</v>
      </c>
      <c r="M827" s="2732"/>
      <c r="N827" s="2729">
        <f t="shared" si="61"/>
        <v>11700</v>
      </c>
      <c r="Q827" s="2717"/>
      <c r="R827" s="2717"/>
      <c r="S827" s="2719"/>
      <c r="T827" s="2717"/>
      <c r="U827" s="2717"/>
      <c r="V827" s="2717"/>
    </row>
    <row r="828" spans="2:22" s="2713" customFormat="1" ht="14.1" customHeight="1" x14ac:dyDescent="0.2">
      <c r="B828" s="2711"/>
      <c r="C828" s="2528"/>
      <c r="D828" s="2733"/>
      <c r="E828" s="2739" t="s">
        <v>339</v>
      </c>
      <c r="F828" s="2739"/>
      <c r="G828" s="2727" t="s">
        <v>298</v>
      </c>
      <c r="H828" s="2740">
        <v>0.5</v>
      </c>
      <c r="I828" s="2811">
        <f>'Upah &amp; Bahan'!$I$119</f>
        <v>14300</v>
      </c>
      <c r="J828" s="2729">
        <f>ROUND(H828*I828,2)</f>
        <v>7150</v>
      </c>
      <c r="K828" s="2536"/>
      <c r="L828" s="3180">
        <v>0</v>
      </c>
      <c r="M828" s="2732"/>
      <c r="N828" s="2729">
        <f t="shared" si="61"/>
        <v>0</v>
      </c>
      <c r="Q828" s="2717"/>
      <c r="R828" s="2717"/>
      <c r="S828" s="2719"/>
      <c r="T828" s="2717"/>
      <c r="U828" s="2717"/>
      <c r="V828" s="2717"/>
    </row>
    <row r="829" spans="2:22" s="2713" customFormat="1" ht="14.1" customHeight="1" x14ac:dyDescent="0.2">
      <c r="B829" s="2711"/>
      <c r="C829" s="2537"/>
      <c r="D829" s="2733"/>
      <c r="E829" s="2736"/>
      <c r="F829" s="2741"/>
      <c r="G829" s="2742"/>
      <c r="H829" s="2743"/>
      <c r="I829" s="2812"/>
      <c r="J829" s="2813"/>
      <c r="K829" s="2729">
        <f>SUM(J825:J828)</f>
        <v>93850</v>
      </c>
      <c r="L829" s="3180"/>
      <c r="M829" s="2732"/>
      <c r="N829" s="2729">
        <f t="shared" si="61"/>
        <v>0</v>
      </c>
      <c r="Q829" s="2717"/>
      <c r="R829" s="2717"/>
      <c r="S829" s="2719"/>
      <c r="T829" s="2717"/>
      <c r="U829" s="2717"/>
      <c r="V829" s="2717"/>
    </row>
    <row r="830" spans="2:22" s="2713" customFormat="1" ht="14.1" customHeight="1" x14ac:dyDescent="0.2">
      <c r="B830" s="2711"/>
      <c r="C830" s="2524" t="s">
        <v>608</v>
      </c>
      <c r="D830" s="2725" t="s">
        <v>288</v>
      </c>
      <c r="E830" s="2739" t="s">
        <v>294</v>
      </c>
      <c r="F830" s="2739"/>
      <c r="G830" s="2727" t="s">
        <v>291</v>
      </c>
      <c r="H830" s="2740">
        <v>0.5</v>
      </c>
      <c r="I830" s="2811">
        <f>'Upah &amp; Bahan'!$I$24</f>
        <v>88300</v>
      </c>
      <c r="J830" s="2729">
        <f>ROUND(H830*I830,2)</f>
        <v>44150</v>
      </c>
      <c r="K830" s="2730"/>
      <c r="L830" s="3180">
        <f>VLOOKUP($E830,$D$1744:$G$1761,2,0)</f>
        <v>1</v>
      </c>
      <c r="M830" s="2731" t="str">
        <f>VLOOKUP($E830,$D$1744:$G$1761,3,0)</f>
        <v>WNI</v>
      </c>
      <c r="N830" s="2729">
        <f t="shared" si="61"/>
        <v>44150</v>
      </c>
      <c r="Q830" s="2717"/>
      <c r="R830" s="2717"/>
      <c r="S830" s="2719"/>
      <c r="T830" s="2717"/>
      <c r="U830" s="2717"/>
      <c r="V830" s="2717"/>
    </row>
    <row r="831" spans="2:22" s="2713" customFormat="1" ht="14.1" customHeight="1" x14ac:dyDescent="0.2">
      <c r="B831" s="2711"/>
      <c r="C831" s="2733"/>
      <c r="D831" s="2733"/>
      <c r="E831" s="2739" t="s">
        <v>295</v>
      </c>
      <c r="F831" s="2739"/>
      <c r="G831" s="2727" t="s">
        <v>291</v>
      </c>
      <c r="H831" s="2740">
        <v>0.25</v>
      </c>
      <c r="I831" s="2811">
        <f>'Upah &amp; Bahan'!$I$32</f>
        <v>90000</v>
      </c>
      <c r="J831" s="2729">
        <f>ROUND(H831*I831,2)</f>
        <v>22500</v>
      </c>
      <c r="K831" s="2734"/>
      <c r="L831" s="3180">
        <f>VLOOKUP($E831,$D$1744:$G$1761,2,0)</f>
        <v>1</v>
      </c>
      <c r="M831" s="2731" t="str">
        <f>VLOOKUP($E831,$D$1744:$G$1761,3,0)</f>
        <v>WNI</v>
      </c>
      <c r="N831" s="2729">
        <f t="shared" si="61"/>
        <v>22500</v>
      </c>
      <c r="Q831" s="2717"/>
      <c r="R831" s="2717"/>
      <c r="S831" s="2719"/>
      <c r="T831" s="2717"/>
      <c r="U831" s="2717"/>
      <c r="V831" s="2717"/>
    </row>
    <row r="832" spans="2:22" s="2713" customFormat="1" ht="14.1" customHeight="1" x14ac:dyDescent="0.2">
      <c r="B832" s="2711"/>
      <c r="C832" s="2733"/>
      <c r="D832" s="2733"/>
      <c r="E832" s="2739" t="s">
        <v>296</v>
      </c>
      <c r="F832" s="2739"/>
      <c r="G832" s="2727" t="s">
        <v>291</v>
      </c>
      <c r="H832" s="2740">
        <v>2.5999999999999999E-2</v>
      </c>
      <c r="I832" s="2814">
        <f>'Upah &amp; Bahan'!$I$26</f>
        <v>96000</v>
      </c>
      <c r="J832" s="2729">
        <f>ROUND(H832*I832,2)</f>
        <v>2496</v>
      </c>
      <c r="K832" s="2734"/>
      <c r="L832" s="3180">
        <f>VLOOKUP($E832,$D$1744:$G$1761,2,0)</f>
        <v>1</v>
      </c>
      <c r="M832" s="2731" t="str">
        <f>VLOOKUP($E832,$D$1744:$G$1761,3,0)</f>
        <v>WNI</v>
      </c>
      <c r="N832" s="2729">
        <f t="shared" si="61"/>
        <v>2496</v>
      </c>
      <c r="Q832" s="2717"/>
      <c r="R832" s="2717"/>
      <c r="S832" s="2719"/>
      <c r="T832" s="2717"/>
      <c r="U832" s="2717"/>
      <c r="V832" s="2717"/>
    </row>
    <row r="833" spans="2:22" s="2713" customFormat="1" ht="14.1" customHeight="1" x14ac:dyDescent="0.2">
      <c r="B833" s="2711"/>
      <c r="C833" s="2733"/>
      <c r="D833" s="2733"/>
      <c r="E833" s="2739" t="s">
        <v>290</v>
      </c>
      <c r="F833" s="2739"/>
      <c r="G833" s="2727" t="s">
        <v>291</v>
      </c>
      <c r="H833" s="2740">
        <v>2.5999999999999999E-2</v>
      </c>
      <c r="I833" s="2811">
        <f>'Upah &amp; Bahan'!$I$31</f>
        <v>90000</v>
      </c>
      <c r="J833" s="2729">
        <f>ROUND(H833*I833,2)</f>
        <v>2340</v>
      </c>
      <c r="K833" s="2733"/>
      <c r="L833" s="3180">
        <f>VLOOKUP($E833,$D$1744:$G$1761,2,0)</f>
        <v>1</v>
      </c>
      <c r="M833" s="2731" t="str">
        <f>VLOOKUP($E833,$D$1744:$G$1761,3,0)</f>
        <v>WNI</v>
      </c>
      <c r="N833" s="2729">
        <f t="shared" si="61"/>
        <v>2340</v>
      </c>
      <c r="Q833" s="2717"/>
      <c r="R833" s="2717"/>
      <c r="S833" s="2719"/>
      <c r="T833" s="2717"/>
      <c r="U833" s="2717"/>
      <c r="V833" s="2717"/>
    </row>
    <row r="834" spans="2:22" s="2713" customFormat="1" ht="14.1" customHeight="1" x14ac:dyDescent="0.2">
      <c r="B834" s="2711"/>
      <c r="C834" s="2537"/>
      <c r="D834" s="2536"/>
      <c r="E834" s="2736"/>
      <c r="F834" s="2741"/>
      <c r="G834" s="2742"/>
      <c r="H834" s="2743"/>
      <c r="I834" s="2812"/>
      <c r="J834" s="2813"/>
      <c r="K834" s="2732">
        <f>SUM(J830:J833)</f>
        <v>71486</v>
      </c>
      <c r="L834" s="3180"/>
      <c r="M834" s="2732"/>
      <c r="N834" s="2729">
        <f t="shared" si="61"/>
        <v>0</v>
      </c>
      <c r="Q834" s="2717"/>
      <c r="R834" s="2717"/>
      <c r="S834" s="2719"/>
      <c r="T834" s="2717"/>
      <c r="U834" s="2717"/>
      <c r="V834" s="2717"/>
    </row>
    <row r="835" spans="2:22" s="2721" customFormat="1" ht="14.1" customHeight="1" x14ac:dyDescent="0.2">
      <c r="B835" s="2711"/>
      <c r="C835" s="2528" t="s">
        <v>609</v>
      </c>
      <c r="D835" s="2725" t="s">
        <v>606</v>
      </c>
      <c r="E835" s="2739"/>
      <c r="F835" s="2739"/>
      <c r="G835" s="2727"/>
      <c r="H835" s="2740"/>
      <c r="I835" s="2814"/>
      <c r="J835" s="2729"/>
      <c r="K835" s="2730"/>
      <c r="L835" s="2731"/>
      <c r="M835" s="2732"/>
      <c r="N835" s="2729">
        <f t="shared" si="61"/>
        <v>0</v>
      </c>
      <c r="Q835" s="2717"/>
      <c r="R835" s="2717"/>
      <c r="S835" s="2719"/>
      <c r="T835" s="2717"/>
      <c r="U835" s="2717"/>
      <c r="V835" s="2717"/>
    </row>
    <row r="836" spans="2:22" s="2721" customFormat="1" ht="14.1" customHeight="1" x14ac:dyDescent="0.2">
      <c r="B836" s="2711"/>
      <c r="C836" s="2536"/>
      <c r="D836" s="2536"/>
      <c r="E836" s="2736"/>
      <c r="F836" s="2741"/>
      <c r="G836" s="2742"/>
      <c r="H836" s="2743"/>
      <c r="I836" s="2744"/>
      <c r="J836" s="2813"/>
      <c r="K836" s="2732">
        <f>SUM(J835:J835)</f>
        <v>0</v>
      </c>
      <c r="L836" s="2731"/>
      <c r="M836" s="2732"/>
      <c r="N836" s="2729">
        <f t="shared" si="61"/>
        <v>0</v>
      </c>
      <c r="Q836" s="2717"/>
      <c r="R836" s="2717"/>
      <c r="S836" s="2719"/>
      <c r="T836" s="2717"/>
      <c r="U836" s="2717"/>
      <c r="V836" s="2717"/>
    </row>
    <row r="837" spans="2:22" s="2721" customFormat="1" ht="14.1" customHeight="1" x14ac:dyDescent="0.2">
      <c r="B837" s="2711"/>
      <c r="C837" s="2537" t="s">
        <v>610</v>
      </c>
      <c r="D837" s="2738" t="s">
        <v>651</v>
      </c>
      <c r="E837" s="2741"/>
      <c r="F837" s="2741"/>
      <c r="G837" s="2742"/>
      <c r="H837" s="2743"/>
      <c r="I837" s="2744"/>
      <c r="J837" s="2745" t="s">
        <v>652</v>
      </c>
      <c r="K837" s="2732">
        <f>K829+K834+K836</f>
        <v>165336</v>
      </c>
      <c r="L837" s="2746">
        <f>N837/K837</f>
        <v>0.83020878695504929</v>
      </c>
      <c r="M837" s="2745"/>
      <c r="N837" s="2747">
        <f>SUM(N825:N836)</f>
        <v>137263.40000000002</v>
      </c>
      <c r="Q837" s="2717"/>
      <c r="R837" s="2717"/>
      <c r="S837" s="2719"/>
      <c r="T837" s="2717"/>
      <c r="U837" s="2717"/>
      <c r="V837" s="2717"/>
    </row>
    <row r="838" spans="2:22" s="2721" customFormat="1" ht="14.1" customHeight="1" x14ac:dyDescent="0.2">
      <c r="B838" s="2711"/>
      <c r="C838" s="2537" t="s">
        <v>611</v>
      </c>
      <c r="D838" s="2738" t="s">
        <v>653</v>
      </c>
      <c r="E838" s="2741"/>
      <c r="F838" s="2748">
        <f>$F$42</f>
        <v>0.1</v>
      </c>
      <c r="G838" s="2727" t="s">
        <v>425</v>
      </c>
      <c r="H838" s="2748">
        <f>$H$42</f>
        <v>0.03</v>
      </c>
      <c r="I838" s="2749" t="s">
        <v>424</v>
      </c>
      <c r="J838" s="2732" t="s">
        <v>610</v>
      </c>
      <c r="K838" s="2750">
        <f>ROUND((K837*(F838+H838)),2)</f>
        <v>21493.68</v>
      </c>
      <c r="L838" s="2732"/>
      <c r="M838" s="2732"/>
      <c r="N838" s="2732"/>
      <c r="Q838" s="2717"/>
      <c r="R838" s="2717"/>
      <c r="S838" s="2719"/>
      <c r="T838" s="2717"/>
      <c r="U838" s="2717"/>
      <c r="V838" s="2717"/>
    </row>
    <row r="839" spans="2:22" s="2713" customFormat="1" ht="14.1" customHeight="1" x14ac:dyDescent="0.2">
      <c r="B839" s="2711"/>
      <c r="C839" s="2880" t="s">
        <v>654</v>
      </c>
      <c r="D839" s="2752" t="s">
        <v>301</v>
      </c>
      <c r="E839" s="2815"/>
      <c r="F839" s="2815"/>
      <c r="G839" s="2815"/>
      <c r="H839" s="2816"/>
      <c r="I839" s="2815"/>
      <c r="J839" s="2755" t="s">
        <v>668</v>
      </c>
      <c r="K839" s="2756">
        <f>SUM(K837:K838)</f>
        <v>186829.68</v>
      </c>
      <c r="L839" s="2746"/>
      <c r="M839" s="2755"/>
      <c r="N839" s="2757"/>
      <c r="Q839" s="2717"/>
      <c r="R839" s="2717"/>
      <c r="S839" s="2719"/>
      <c r="T839" s="2717"/>
      <c r="U839" s="2717"/>
      <c r="V839" s="2717"/>
    </row>
    <row r="840" spans="2:22" x14ac:dyDescent="0.25">
      <c r="Q840" s="2717"/>
      <c r="R840" s="2717"/>
      <c r="S840" s="2719"/>
      <c r="T840" s="2717"/>
      <c r="U840" s="2717"/>
      <c r="V840" s="2717"/>
    </row>
    <row r="841" spans="2:22" s="2721" customFormat="1" ht="14.1" customHeight="1" x14ac:dyDescent="0.2">
      <c r="B841" s="2711">
        <f>B819+1</f>
        <v>42</v>
      </c>
      <c r="C841" s="2711"/>
      <c r="D841" s="2713" t="s">
        <v>2000</v>
      </c>
      <c r="E841" s="2713"/>
      <c r="F841" s="2713"/>
      <c r="G841" s="2713"/>
      <c r="H841" s="2714"/>
      <c r="I841" s="2713"/>
      <c r="J841" s="2713"/>
      <c r="K841" s="2715" t="s">
        <v>758</v>
      </c>
      <c r="L841" s="2715"/>
      <c r="M841" s="2715"/>
      <c r="N841" s="2715"/>
      <c r="O841" s="2721" t="str">
        <f>D842</f>
        <v>m2</v>
      </c>
      <c r="P841" s="2810">
        <f>K859</f>
        <v>362752.6</v>
      </c>
      <c r="Q841" s="2718">
        <f>L857</f>
        <v>0.99347311693975449</v>
      </c>
      <c r="R841" s="2717"/>
      <c r="S841" s="2719">
        <f>N857</f>
        <v>318924.74</v>
      </c>
      <c r="T841" s="2515">
        <f>U841+S841</f>
        <v>360384.95620000002</v>
      </c>
      <c r="U841" s="2719">
        <f>S841*V841</f>
        <v>41460.216200000003</v>
      </c>
      <c r="V841" s="2718">
        <f>$F$42+$H$42</f>
        <v>0.13</v>
      </c>
    </row>
    <row r="842" spans="2:22" s="2721" customFormat="1" ht="14.1" customHeight="1" x14ac:dyDescent="0.2">
      <c r="B842" s="2711"/>
      <c r="C842" s="2711"/>
      <c r="D842" s="2721" t="s">
        <v>338</v>
      </c>
      <c r="H842" s="2711"/>
      <c r="Q842" s="2717"/>
      <c r="R842" s="2717"/>
      <c r="S842" s="2719"/>
      <c r="T842" s="2717"/>
      <c r="U842" s="2717"/>
      <c r="V842" s="2717"/>
    </row>
    <row r="843" spans="2:22" s="2721" customFormat="1" ht="14.1" customHeight="1" x14ac:dyDescent="0.2">
      <c r="B843" s="2711"/>
      <c r="C843" s="2524"/>
      <c r="D843" s="3427" t="s">
        <v>280</v>
      </c>
      <c r="E843" s="3428"/>
      <c r="F843" s="2722"/>
      <c r="G843" s="3433" t="s">
        <v>281</v>
      </c>
      <c r="H843" s="3433" t="s">
        <v>282</v>
      </c>
      <c r="I843" s="2524" t="s">
        <v>283</v>
      </c>
      <c r="J843" s="2524" t="s">
        <v>284</v>
      </c>
      <c r="K843" s="2524" t="s">
        <v>340</v>
      </c>
      <c r="L843" s="2524" t="s">
        <v>2008</v>
      </c>
      <c r="M843" s="2524" t="s">
        <v>2009</v>
      </c>
      <c r="N843" s="2524" t="s">
        <v>284</v>
      </c>
      <c r="Q843" s="2717"/>
      <c r="R843" s="2717"/>
      <c r="S843" s="2719"/>
      <c r="T843" s="2717"/>
      <c r="U843" s="2717"/>
      <c r="V843" s="2717"/>
    </row>
    <row r="844" spans="2:22" s="2721" customFormat="1" ht="14.1" customHeight="1" x14ac:dyDescent="0.2">
      <c r="B844" s="2711"/>
      <c r="C844" s="2528" t="s">
        <v>669</v>
      </c>
      <c r="D844" s="3429"/>
      <c r="E844" s="3430"/>
      <c r="F844" s="2723"/>
      <c r="G844" s="3434"/>
      <c r="H844" s="3434"/>
      <c r="I844" s="2528" t="s">
        <v>285</v>
      </c>
      <c r="J844" s="2528" t="s">
        <v>286</v>
      </c>
      <c r="K844" s="2528" t="s">
        <v>286</v>
      </c>
      <c r="L844" s="2528" t="s">
        <v>2011</v>
      </c>
      <c r="M844" s="2528"/>
      <c r="N844" s="2528" t="s">
        <v>2013</v>
      </c>
      <c r="Q844" s="2717"/>
      <c r="R844" s="2717"/>
      <c r="S844" s="2719"/>
      <c r="T844" s="2717"/>
      <c r="U844" s="2717"/>
      <c r="V844" s="2717"/>
    </row>
    <row r="845" spans="2:22" s="2721" customFormat="1" ht="14.1" customHeight="1" x14ac:dyDescent="0.2">
      <c r="B845" s="2711"/>
      <c r="C845" s="2537"/>
      <c r="D845" s="3431"/>
      <c r="E845" s="3432"/>
      <c r="F845" s="2724"/>
      <c r="G845" s="3435"/>
      <c r="H845" s="3435"/>
      <c r="I845" s="2537" t="s">
        <v>286</v>
      </c>
      <c r="J845" s="2536"/>
      <c r="K845" s="2536"/>
      <c r="L845" s="2536"/>
      <c r="M845" s="2536"/>
      <c r="N845" s="2537" t="s">
        <v>286</v>
      </c>
      <c r="Q845" s="2717"/>
      <c r="R845" s="2717"/>
      <c r="S845" s="2719"/>
      <c r="T845" s="2717"/>
      <c r="U845" s="2717"/>
      <c r="V845" s="2717"/>
    </row>
    <row r="846" spans="2:22" s="2721" customFormat="1" ht="14.1" customHeight="1" x14ac:dyDescent="0.2">
      <c r="B846" s="2711"/>
      <c r="C846" s="2524" t="s">
        <v>607</v>
      </c>
      <c r="D846" s="2733" t="s">
        <v>287</v>
      </c>
      <c r="E846" s="2739" t="s">
        <v>710</v>
      </c>
      <c r="F846" s="2739"/>
      <c r="G846" s="2727" t="s">
        <v>338</v>
      </c>
      <c r="H846" s="2740">
        <v>1.1000000000000001</v>
      </c>
      <c r="I846" s="2814">
        <f>'Upah &amp; Bahan'!$I$56</f>
        <v>180000</v>
      </c>
      <c r="J846" s="2729">
        <f>ROUND(H846*I846,2)</f>
        <v>198000</v>
      </c>
      <c r="K846" s="2730"/>
      <c r="L846" s="3180">
        <v>1</v>
      </c>
      <c r="M846" s="2732"/>
      <c r="N846" s="2729">
        <f t="shared" ref="N846:N856" si="62">L846*J846</f>
        <v>198000</v>
      </c>
      <c r="Q846" s="2717"/>
      <c r="R846" s="2717"/>
      <c r="S846" s="2719"/>
      <c r="T846" s="2717"/>
      <c r="U846" s="2717"/>
      <c r="V846" s="2717"/>
    </row>
    <row r="847" spans="2:22" s="2721" customFormat="1" ht="14.1" customHeight="1" x14ac:dyDescent="0.2">
      <c r="B847" s="2711"/>
      <c r="C847" s="2733"/>
      <c r="D847" s="2733"/>
      <c r="E847" s="2739" t="s">
        <v>300</v>
      </c>
      <c r="F847" s="2739"/>
      <c r="G847" s="2727" t="s">
        <v>298</v>
      </c>
      <c r="H847" s="2740">
        <v>11.75</v>
      </c>
      <c r="I847" s="2814">
        <f>'Upah &amp; Bahan'!$I$118</f>
        <v>1200</v>
      </c>
      <c r="J847" s="2729">
        <f>ROUND(H847*I847,2)</f>
        <v>14100</v>
      </c>
      <c r="K847" s="2734"/>
      <c r="L847" s="3180">
        <f>$L$192</f>
        <v>0.85140000000000005</v>
      </c>
      <c r="M847" s="2732" t="s">
        <v>2029</v>
      </c>
      <c r="N847" s="2729">
        <f t="shared" si="62"/>
        <v>12004.74</v>
      </c>
      <c r="Q847" s="2717"/>
      <c r="R847" s="2717"/>
      <c r="S847" s="2719"/>
      <c r="T847" s="2717"/>
      <c r="U847" s="2717"/>
      <c r="V847" s="2717"/>
    </row>
    <row r="848" spans="2:22" s="2721" customFormat="1" ht="14.1" customHeight="1" x14ac:dyDescent="0.2">
      <c r="B848" s="2711"/>
      <c r="C848" s="2733"/>
      <c r="D848" s="2733"/>
      <c r="E848" s="2739" t="s">
        <v>239</v>
      </c>
      <c r="F848" s="2739"/>
      <c r="G848" s="2727" t="s">
        <v>293</v>
      </c>
      <c r="H848" s="2740">
        <v>3.5000000000000003E-2</v>
      </c>
      <c r="I848" s="2814">
        <f>'Upah &amp; Bahan'!$I$121</f>
        <v>260000</v>
      </c>
      <c r="J848" s="2729">
        <f>ROUND(H848*I848,2)</f>
        <v>9100</v>
      </c>
      <c r="K848" s="2734"/>
      <c r="L848" s="3180">
        <v>1</v>
      </c>
      <c r="M848" s="2732"/>
      <c r="N848" s="2729">
        <f t="shared" si="62"/>
        <v>9100</v>
      </c>
      <c r="Q848" s="2717"/>
      <c r="R848" s="2717"/>
      <c r="S848" s="2719"/>
      <c r="T848" s="2717"/>
      <c r="U848" s="2717"/>
      <c r="V848" s="2717"/>
    </row>
    <row r="849" spans="2:22" s="2721" customFormat="1" ht="14.1" customHeight="1" x14ac:dyDescent="0.2">
      <c r="B849" s="2711"/>
      <c r="C849" s="2537"/>
      <c r="D849" s="2733"/>
      <c r="E849" s="2736"/>
      <c r="F849" s="2741"/>
      <c r="G849" s="2742"/>
      <c r="H849" s="2743"/>
      <c r="I849" s="2744"/>
      <c r="J849" s="2813"/>
      <c r="K849" s="2729">
        <f>SUM(J846:J848)</f>
        <v>221200</v>
      </c>
      <c r="L849" s="3180"/>
      <c r="M849" s="2732"/>
      <c r="N849" s="2729">
        <f t="shared" si="62"/>
        <v>0</v>
      </c>
      <c r="Q849" s="2717"/>
      <c r="R849" s="2717"/>
      <c r="S849" s="2719"/>
      <c r="T849" s="2717"/>
      <c r="U849" s="2717"/>
      <c r="V849" s="2717"/>
    </row>
    <row r="850" spans="2:22" s="2721" customFormat="1" ht="14.1" customHeight="1" x14ac:dyDescent="0.2">
      <c r="B850" s="2711"/>
      <c r="C850" s="2524" t="s">
        <v>608</v>
      </c>
      <c r="D850" s="2725" t="s">
        <v>288</v>
      </c>
      <c r="E850" s="2739" t="s">
        <v>294</v>
      </c>
      <c r="F850" s="2739"/>
      <c r="G850" s="2727" t="s">
        <v>291</v>
      </c>
      <c r="H850" s="2740">
        <v>0.7</v>
      </c>
      <c r="I850" s="2814">
        <f>'Upah &amp; Bahan'!$I$24</f>
        <v>88300</v>
      </c>
      <c r="J850" s="2729">
        <f>ROUND(H850*I850,2)</f>
        <v>61810</v>
      </c>
      <c r="K850" s="2730"/>
      <c r="L850" s="3180">
        <f>VLOOKUP($E850,$D$1744:$G$1761,2,0)</f>
        <v>1</v>
      </c>
      <c r="M850" s="2731" t="str">
        <f>VLOOKUP($E850,$D$1744:$G$1761,3,0)</f>
        <v>WNI</v>
      </c>
      <c r="N850" s="2729">
        <f t="shared" si="62"/>
        <v>61810</v>
      </c>
      <c r="Q850" s="2717"/>
      <c r="R850" s="2717"/>
      <c r="S850" s="2719"/>
      <c r="T850" s="2717"/>
      <c r="U850" s="2717"/>
      <c r="V850" s="2717"/>
    </row>
    <row r="851" spans="2:22" s="2721" customFormat="1" ht="14.1" customHeight="1" x14ac:dyDescent="0.2">
      <c r="B851" s="2711"/>
      <c r="C851" s="2733"/>
      <c r="D851" s="2733"/>
      <c r="E851" s="2739" t="s">
        <v>295</v>
      </c>
      <c r="F851" s="2739"/>
      <c r="G851" s="2727" t="s">
        <v>291</v>
      </c>
      <c r="H851" s="2740">
        <v>0.35</v>
      </c>
      <c r="I851" s="2814">
        <f>'Upah &amp; Bahan'!$I$32</f>
        <v>90000</v>
      </c>
      <c r="J851" s="2729">
        <f>ROUND(H851*I851,2)</f>
        <v>31500</v>
      </c>
      <c r="K851" s="2734"/>
      <c r="L851" s="3180">
        <f>VLOOKUP($E851,$D$1744:$G$1761,2,0)</f>
        <v>1</v>
      </c>
      <c r="M851" s="2731" t="str">
        <f>VLOOKUP($E851,$D$1744:$G$1761,3,0)</f>
        <v>WNI</v>
      </c>
      <c r="N851" s="2729">
        <f t="shared" si="62"/>
        <v>31500</v>
      </c>
      <c r="Q851" s="2717"/>
      <c r="R851" s="2717"/>
      <c r="S851" s="2719"/>
      <c r="T851" s="2717"/>
      <c r="U851" s="2717"/>
      <c r="V851" s="2717"/>
    </row>
    <row r="852" spans="2:22" s="2721" customFormat="1" ht="14.1" customHeight="1" x14ac:dyDescent="0.2">
      <c r="B852" s="2711"/>
      <c r="C852" s="2733"/>
      <c r="D852" s="2733"/>
      <c r="E852" s="2739" t="s">
        <v>296</v>
      </c>
      <c r="F852" s="2739"/>
      <c r="G852" s="2727" t="s">
        <v>291</v>
      </c>
      <c r="H852" s="2740">
        <v>3.5000000000000003E-2</v>
      </c>
      <c r="I852" s="2814">
        <f>'Upah &amp; Bahan'!$I$26</f>
        <v>96000</v>
      </c>
      <c r="J852" s="2729">
        <f>ROUND(H852*I852,2)</f>
        <v>3360</v>
      </c>
      <c r="K852" s="2734"/>
      <c r="L852" s="3180">
        <f>VLOOKUP($E852,$D$1744:$G$1761,2,0)</f>
        <v>1</v>
      </c>
      <c r="M852" s="2731" t="str">
        <f>VLOOKUP($E852,$D$1744:$G$1761,3,0)</f>
        <v>WNI</v>
      </c>
      <c r="N852" s="2729">
        <f t="shared" si="62"/>
        <v>3360</v>
      </c>
      <c r="Q852" s="2717"/>
      <c r="R852" s="2717"/>
      <c r="S852" s="2719"/>
      <c r="T852" s="2717"/>
      <c r="U852" s="2717"/>
      <c r="V852" s="2717"/>
    </row>
    <row r="853" spans="2:22" s="2721" customFormat="1" ht="14.1" customHeight="1" x14ac:dyDescent="0.2">
      <c r="B853" s="2711"/>
      <c r="C853" s="2733"/>
      <c r="D853" s="2733"/>
      <c r="E853" s="2739" t="s">
        <v>290</v>
      </c>
      <c r="F853" s="2739"/>
      <c r="G853" s="2727" t="s">
        <v>291</v>
      </c>
      <c r="H853" s="2740">
        <v>3.5000000000000003E-2</v>
      </c>
      <c r="I853" s="2814">
        <f>'Upah &amp; Bahan'!$I$31</f>
        <v>90000</v>
      </c>
      <c r="J853" s="2729">
        <f>ROUND(H853*I853,2)</f>
        <v>3150</v>
      </c>
      <c r="K853" s="2735"/>
      <c r="L853" s="3180">
        <f>VLOOKUP($E853,$D$1744:$G$1761,2,0)</f>
        <v>1</v>
      </c>
      <c r="M853" s="2731" t="str">
        <f>VLOOKUP($E853,$D$1744:$G$1761,3,0)</f>
        <v>WNI</v>
      </c>
      <c r="N853" s="2729">
        <f t="shared" si="62"/>
        <v>3150</v>
      </c>
      <c r="Q853" s="2717"/>
      <c r="R853" s="2717"/>
      <c r="S853" s="2719"/>
      <c r="T853" s="2717"/>
      <c r="U853" s="2717"/>
      <c r="V853" s="2717"/>
    </row>
    <row r="854" spans="2:22" s="2721" customFormat="1" ht="14.1" customHeight="1" x14ac:dyDescent="0.2">
      <c r="B854" s="2711"/>
      <c r="C854" s="2536"/>
      <c r="D854" s="2536"/>
      <c r="E854" s="2736"/>
      <c r="F854" s="2741"/>
      <c r="G854" s="2742"/>
      <c r="H854" s="2743"/>
      <c r="I854" s="2744"/>
      <c r="J854" s="2813"/>
      <c r="K854" s="2891">
        <f>SUM(J850:J853)</f>
        <v>99820</v>
      </c>
      <c r="L854" s="2731"/>
      <c r="M854" s="2732"/>
      <c r="N854" s="2729">
        <f t="shared" si="62"/>
        <v>0</v>
      </c>
      <c r="Q854" s="2717"/>
      <c r="R854" s="2717"/>
      <c r="S854" s="2719"/>
      <c r="T854" s="2717"/>
      <c r="U854" s="2717"/>
      <c r="V854" s="2717"/>
    </row>
    <row r="855" spans="2:22" s="2721" customFormat="1" ht="14.1" customHeight="1" x14ac:dyDescent="0.2">
      <c r="B855" s="2711"/>
      <c r="C855" s="2528" t="s">
        <v>609</v>
      </c>
      <c r="D855" s="2725" t="s">
        <v>606</v>
      </c>
      <c r="E855" s="2739"/>
      <c r="F855" s="2739"/>
      <c r="G855" s="2727"/>
      <c r="H855" s="2740"/>
      <c r="I855" s="2814"/>
      <c r="J855" s="2729"/>
      <c r="K855" s="2730"/>
      <c r="L855" s="2731"/>
      <c r="M855" s="2732"/>
      <c r="N855" s="2729">
        <f t="shared" si="62"/>
        <v>0</v>
      </c>
      <c r="Q855" s="2717"/>
      <c r="R855" s="2717"/>
      <c r="S855" s="2719"/>
      <c r="T855" s="2717"/>
      <c r="U855" s="2717"/>
      <c r="V855" s="2717"/>
    </row>
    <row r="856" spans="2:22" s="2721" customFormat="1" ht="14.1" customHeight="1" x14ac:dyDescent="0.2">
      <c r="B856" s="2711"/>
      <c r="C856" s="2537"/>
      <c r="D856" s="2536"/>
      <c r="E856" s="2736"/>
      <c r="F856" s="2741"/>
      <c r="G856" s="2742"/>
      <c r="H856" s="2743"/>
      <c r="I856" s="2744"/>
      <c r="J856" s="2813"/>
      <c r="K856" s="2732">
        <f>SUM(J855:J855)</f>
        <v>0</v>
      </c>
      <c r="L856" s="2731"/>
      <c r="M856" s="2732"/>
      <c r="N856" s="2729">
        <f t="shared" si="62"/>
        <v>0</v>
      </c>
      <c r="Q856" s="2717"/>
      <c r="R856" s="2717"/>
      <c r="S856" s="2719"/>
      <c r="T856" s="2717"/>
      <c r="U856" s="2717"/>
      <c r="V856" s="2717"/>
    </row>
    <row r="857" spans="2:22" s="2721" customFormat="1" ht="14.1" customHeight="1" x14ac:dyDescent="0.2">
      <c r="B857" s="2711"/>
      <c r="C857" s="2537" t="s">
        <v>610</v>
      </c>
      <c r="D857" s="2738" t="s">
        <v>651</v>
      </c>
      <c r="E857" s="2741"/>
      <c r="F857" s="2741"/>
      <c r="G857" s="2742"/>
      <c r="H857" s="2743"/>
      <c r="I857" s="2744"/>
      <c r="J857" s="2745" t="s">
        <v>652</v>
      </c>
      <c r="K857" s="2732">
        <f>K849+K854+K856</f>
        <v>321020</v>
      </c>
      <c r="L857" s="2746">
        <f>N857/K857</f>
        <v>0.99347311693975449</v>
      </c>
      <c r="M857" s="2745"/>
      <c r="N857" s="2747">
        <f>SUM(N846:N856)</f>
        <v>318924.74</v>
      </c>
      <c r="Q857" s="2717"/>
      <c r="R857" s="2717"/>
      <c r="S857" s="2719"/>
      <c r="T857" s="2717"/>
      <c r="U857" s="2717"/>
      <c r="V857" s="2717"/>
    </row>
    <row r="858" spans="2:22" s="2721" customFormat="1" ht="14.1" customHeight="1" x14ac:dyDescent="0.2">
      <c r="B858" s="2711"/>
      <c r="C858" s="2537" t="s">
        <v>611</v>
      </c>
      <c r="D858" s="2738" t="s">
        <v>653</v>
      </c>
      <c r="E858" s="2741"/>
      <c r="F858" s="2748">
        <f>$F$42</f>
        <v>0.1</v>
      </c>
      <c r="G858" s="2727" t="s">
        <v>425</v>
      </c>
      <c r="H858" s="2748">
        <f>$H$42</f>
        <v>0.03</v>
      </c>
      <c r="I858" s="2749" t="s">
        <v>424</v>
      </c>
      <c r="J858" s="2732" t="s">
        <v>610</v>
      </c>
      <c r="K858" s="2750">
        <f>ROUND((K857*(F858+H858)),2)</f>
        <v>41732.6</v>
      </c>
      <c r="L858" s="2732"/>
      <c r="M858" s="2732"/>
      <c r="N858" s="2732"/>
      <c r="Q858" s="2717"/>
      <c r="R858" s="2717"/>
      <c r="S858" s="2719"/>
      <c r="T858" s="2717"/>
      <c r="U858" s="2717"/>
      <c r="V858" s="2717"/>
    </row>
    <row r="859" spans="2:22" s="2721" customFormat="1" ht="14.1" customHeight="1" x14ac:dyDescent="0.2">
      <c r="B859" s="2711"/>
      <c r="C859" s="2880" t="s">
        <v>654</v>
      </c>
      <c r="D859" s="2752" t="s">
        <v>301</v>
      </c>
      <c r="E859" s="2815"/>
      <c r="F859" s="2815"/>
      <c r="G859" s="2815"/>
      <c r="H859" s="2816"/>
      <c r="I859" s="2815"/>
      <c r="J859" s="2755" t="s">
        <v>668</v>
      </c>
      <c r="K859" s="2756">
        <f>SUM(K857:K858)</f>
        <v>362752.6</v>
      </c>
      <c r="L859" s="2746"/>
      <c r="M859" s="2755"/>
      <c r="N859" s="2757"/>
      <c r="Q859" s="2717"/>
      <c r="R859" s="2717"/>
      <c r="S859" s="2719"/>
      <c r="T859" s="2717"/>
      <c r="U859" s="2717"/>
      <c r="V859" s="2717"/>
    </row>
    <row r="860" spans="2:22" x14ac:dyDescent="0.25">
      <c r="Q860" s="2717"/>
      <c r="R860" s="2717"/>
      <c r="S860" s="2719"/>
      <c r="T860" s="2717"/>
      <c r="U860" s="2717"/>
      <c r="V860" s="2717"/>
    </row>
    <row r="861" spans="2:22" s="2909" customFormat="1" ht="14.1" customHeight="1" x14ac:dyDescent="0.2">
      <c r="B861" s="2711">
        <f>B841+1</f>
        <v>43</v>
      </c>
      <c r="C861" s="2711"/>
      <c r="D861" s="2713" t="s">
        <v>1806</v>
      </c>
      <c r="E861" s="2713"/>
      <c r="F861" s="2713"/>
      <c r="G861" s="2713"/>
      <c r="H861" s="2714"/>
      <c r="I861" s="2713"/>
      <c r="J861" s="2713"/>
      <c r="K861" s="2715" t="s">
        <v>720</v>
      </c>
      <c r="L861" s="2715"/>
      <c r="M861" s="2715"/>
      <c r="N861" s="2715"/>
      <c r="O861" s="2909" t="str">
        <f>D862</f>
        <v>m2</v>
      </c>
      <c r="P861" s="2917">
        <f>K880</f>
        <v>245041.63</v>
      </c>
      <c r="Q861" s="2718">
        <f>L878</f>
        <v>0.81409874983283448</v>
      </c>
      <c r="R861" s="2717"/>
      <c r="S861" s="2719">
        <f>N878</f>
        <v>176538.128</v>
      </c>
      <c r="T861" s="2515">
        <f>U861+S861</f>
        <v>199488.08463999999</v>
      </c>
      <c r="U861" s="2719">
        <f>S861*V861</f>
        <v>22949.95664</v>
      </c>
      <c r="V861" s="2718">
        <f>$F$42+$H$42</f>
        <v>0.13</v>
      </c>
    </row>
    <row r="862" spans="2:22" s="2909" customFormat="1" ht="14.1" customHeight="1" x14ac:dyDescent="0.2">
      <c r="B862" s="2711"/>
      <c r="C862" s="2711"/>
      <c r="D862" s="2721" t="s">
        <v>338</v>
      </c>
      <c r="E862" s="2721"/>
      <c r="F862" s="2721"/>
      <c r="G862" s="2721"/>
      <c r="H862" s="2711"/>
      <c r="I862" s="2721"/>
      <c r="J862" s="2721"/>
      <c r="K862" s="2721"/>
      <c r="L862" s="2721"/>
      <c r="M862" s="2721"/>
      <c r="N862" s="2721"/>
      <c r="Q862" s="2717"/>
      <c r="R862" s="2717"/>
      <c r="S862" s="2719"/>
      <c r="T862" s="2717"/>
      <c r="U862" s="2717"/>
      <c r="V862" s="2717"/>
    </row>
    <row r="863" spans="2:22" s="2909" customFormat="1" ht="14.1" customHeight="1" x14ac:dyDescent="0.2">
      <c r="B863" s="2711"/>
      <c r="C863" s="2524"/>
      <c r="D863" s="3436" t="s">
        <v>280</v>
      </c>
      <c r="E863" s="3437"/>
      <c r="F863" s="2722"/>
      <c r="G863" s="3440" t="s">
        <v>281</v>
      </c>
      <c r="H863" s="3440" t="s">
        <v>282</v>
      </c>
      <c r="I863" s="2524" t="s">
        <v>283</v>
      </c>
      <c r="J863" s="2524" t="s">
        <v>284</v>
      </c>
      <c r="K863" s="2524" t="s">
        <v>340</v>
      </c>
      <c r="L863" s="2524" t="s">
        <v>2008</v>
      </c>
      <c r="M863" s="2524" t="s">
        <v>2009</v>
      </c>
      <c r="N863" s="2524" t="s">
        <v>284</v>
      </c>
      <c r="Q863" s="2717"/>
      <c r="R863" s="2717"/>
      <c r="S863" s="2719"/>
      <c r="T863" s="2717"/>
      <c r="U863" s="2717"/>
      <c r="V863" s="2717"/>
    </row>
    <row r="864" spans="2:22" s="2909" customFormat="1" ht="14.1" customHeight="1" x14ac:dyDescent="0.2">
      <c r="B864" s="2711"/>
      <c r="C864" s="2528" t="s">
        <v>669</v>
      </c>
      <c r="D864" s="3438"/>
      <c r="E864" s="3439"/>
      <c r="F864" s="2723"/>
      <c r="G864" s="3441"/>
      <c r="H864" s="3441"/>
      <c r="I864" s="2528" t="s">
        <v>285</v>
      </c>
      <c r="J864" s="2528" t="s">
        <v>286</v>
      </c>
      <c r="K864" s="2528" t="s">
        <v>286</v>
      </c>
      <c r="L864" s="2528" t="s">
        <v>2011</v>
      </c>
      <c r="M864" s="2528"/>
      <c r="N864" s="2528" t="s">
        <v>2013</v>
      </c>
      <c r="Q864" s="2717"/>
      <c r="R864" s="2717"/>
      <c r="S864" s="2719"/>
      <c r="T864" s="2717"/>
      <c r="U864" s="2717"/>
      <c r="V864" s="2717"/>
    </row>
    <row r="865" spans="2:23" s="2909" customFormat="1" ht="14.1" customHeight="1" x14ac:dyDescent="0.2">
      <c r="B865" s="2711"/>
      <c r="C865" s="2537"/>
      <c r="D865" s="3431"/>
      <c r="E865" s="3432"/>
      <c r="F865" s="2724"/>
      <c r="G865" s="3435"/>
      <c r="H865" s="3435"/>
      <c r="I865" s="2537" t="s">
        <v>286</v>
      </c>
      <c r="J865" s="2536"/>
      <c r="K865" s="2536"/>
      <c r="L865" s="2536"/>
      <c r="M865" s="2536"/>
      <c r="N865" s="2537" t="s">
        <v>286</v>
      </c>
      <c r="Q865" s="2717"/>
      <c r="R865" s="2717"/>
      <c r="S865" s="2719"/>
      <c r="T865" s="2717"/>
      <c r="U865" s="2717"/>
      <c r="V865" s="2717"/>
    </row>
    <row r="866" spans="2:23" s="2909" customFormat="1" ht="14.1" customHeight="1" x14ac:dyDescent="0.2">
      <c r="B866" s="2711"/>
      <c r="C866" s="2524" t="s">
        <v>607</v>
      </c>
      <c r="D866" s="2733" t="s">
        <v>287</v>
      </c>
      <c r="E866" s="2739" t="s">
        <v>586</v>
      </c>
      <c r="F866" s="2739"/>
      <c r="G866" s="2727" t="s">
        <v>240</v>
      </c>
      <c r="H866" s="2740">
        <v>3.1</v>
      </c>
      <c r="I866" s="2811">
        <f>+'Upah &amp; Bahan'!$I$79/H866</f>
        <v>38709.677419354841</v>
      </c>
      <c r="J866" s="2729">
        <f>ROUND(H866*I866,2)</f>
        <v>120000</v>
      </c>
      <c r="K866" s="2730"/>
      <c r="L866" s="3177">
        <f>$L$803</f>
        <v>0.69620000000000004</v>
      </c>
      <c r="M866" s="2732" t="s">
        <v>2029</v>
      </c>
      <c r="N866" s="2729">
        <f t="shared" ref="N866:N877" si="63">L866*J866</f>
        <v>83544</v>
      </c>
      <c r="P866" s="2909">
        <f>0.6*0.6</f>
        <v>0.36</v>
      </c>
      <c r="Q866" s="2717"/>
      <c r="R866" s="2717"/>
      <c r="S866" s="2719"/>
      <c r="T866" s="2717"/>
      <c r="U866" s="2717"/>
      <c r="V866" s="2717"/>
      <c r="W866" s="2909">
        <f>1/P866</f>
        <v>2.7777777777777777</v>
      </c>
    </row>
    <row r="867" spans="2:23" s="2909" customFormat="1" ht="14.1" customHeight="1" x14ac:dyDescent="0.2">
      <c r="B867" s="2711"/>
      <c r="C867" s="2733"/>
      <c r="D867" s="2733"/>
      <c r="E867" s="2739" t="s">
        <v>300</v>
      </c>
      <c r="F867" s="2739"/>
      <c r="G867" s="2727" t="s">
        <v>298</v>
      </c>
      <c r="H867" s="2740">
        <v>9.6</v>
      </c>
      <c r="I867" s="2811">
        <f>'Upah &amp; Bahan'!$I$118</f>
        <v>1200</v>
      </c>
      <c r="J867" s="2729">
        <f>ROUND(H867*I867,2)</f>
        <v>11520</v>
      </c>
      <c r="K867" s="2734"/>
      <c r="L867" s="3177">
        <f>$L$192</f>
        <v>0.85140000000000005</v>
      </c>
      <c r="M867" s="2732" t="s">
        <v>2029</v>
      </c>
      <c r="N867" s="2729">
        <f t="shared" si="63"/>
        <v>9808.1280000000006</v>
      </c>
      <c r="P867" s="2909">
        <v>1.44</v>
      </c>
      <c r="Q867" s="2717"/>
      <c r="R867" s="2717"/>
      <c r="S867" s="2719"/>
      <c r="T867" s="2717"/>
      <c r="U867" s="2717"/>
      <c r="V867" s="2717"/>
      <c r="W867" s="2909">
        <v>1.05</v>
      </c>
    </row>
    <row r="868" spans="2:23" s="2909" customFormat="1" ht="14.1" customHeight="1" x14ac:dyDescent="0.2">
      <c r="B868" s="2711"/>
      <c r="C868" s="2733"/>
      <c r="D868" s="2733"/>
      <c r="E868" s="2739" t="s">
        <v>331</v>
      </c>
      <c r="F868" s="2739"/>
      <c r="G868" s="2727" t="s">
        <v>293</v>
      </c>
      <c r="H868" s="2740">
        <v>4.4999999999999998E-2</v>
      </c>
      <c r="I868" s="2811">
        <f>'Upah &amp; Bahan'!$I$121</f>
        <v>260000</v>
      </c>
      <c r="J868" s="2729">
        <f>ROUND(H868*I868,2)</f>
        <v>11700</v>
      </c>
      <c r="K868" s="2733"/>
      <c r="L868" s="3180">
        <v>1</v>
      </c>
      <c r="M868" s="2732"/>
      <c r="N868" s="2729">
        <f t="shared" si="63"/>
        <v>11700</v>
      </c>
      <c r="P868" s="2917">
        <f>P867*J866</f>
        <v>172800</v>
      </c>
      <c r="Q868" s="2717"/>
      <c r="R868" s="2717"/>
      <c r="S868" s="2719"/>
      <c r="T868" s="2717"/>
      <c r="U868" s="2717"/>
      <c r="V868" s="2717"/>
      <c r="W868" s="2909">
        <f>W866*W867</f>
        <v>2.9166666666666665</v>
      </c>
    </row>
    <row r="869" spans="2:23" s="2909" customFormat="1" ht="14.1" customHeight="1" x14ac:dyDescent="0.2">
      <c r="B869" s="2711"/>
      <c r="C869" s="2528"/>
      <c r="D869" s="2733"/>
      <c r="E869" s="2739" t="s">
        <v>339</v>
      </c>
      <c r="F869" s="2739"/>
      <c r="G869" s="2727" t="s">
        <v>298</v>
      </c>
      <c r="H869" s="2740">
        <v>0.15</v>
      </c>
      <c r="I869" s="2811">
        <f>'Upah &amp; Bahan'!$I$119</f>
        <v>14300</v>
      </c>
      <c r="J869" s="2729">
        <f>ROUND(H869*I869,2)</f>
        <v>2145</v>
      </c>
      <c r="K869" s="2536"/>
      <c r="L869" s="3180">
        <v>0</v>
      </c>
      <c r="M869" s="2732"/>
      <c r="N869" s="2729">
        <f t="shared" si="63"/>
        <v>0</v>
      </c>
      <c r="Q869" s="2717"/>
      <c r="R869" s="2717"/>
      <c r="S869" s="2719"/>
      <c r="T869" s="2717"/>
      <c r="U869" s="2717"/>
      <c r="V869" s="2717"/>
    </row>
    <row r="870" spans="2:23" s="2909" customFormat="1" ht="14.1" customHeight="1" x14ac:dyDescent="0.2">
      <c r="B870" s="2711"/>
      <c r="C870" s="2537"/>
      <c r="D870" s="2733"/>
      <c r="E870" s="2736"/>
      <c r="F870" s="2741"/>
      <c r="G870" s="2742"/>
      <c r="H870" s="2743"/>
      <c r="I870" s="2812"/>
      <c r="J870" s="2813"/>
      <c r="K870" s="2729">
        <f>SUM(J866:J869)</f>
        <v>145365</v>
      </c>
      <c r="L870" s="3180"/>
      <c r="M870" s="2732"/>
      <c r="N870" s="2729">
        <f t="shared" si="63"/>
        <v>0</v>
      </c>
      <c r="Q870" s="2717"/>
      <c r="R870" s="2717"/>
      <c r="S870" s="2719"/>
      <c r="T870" s="2717"/>
      <c r="U870" s="2717"/>
      <c r="V870" s="2717"/>
    </row>
    <row r="871" spans="2:23" s="2909" customFormat="1" ht="14.1" customHeight="1" x14ac:dyDescent="0.2">
      <c r="B871" s="2711"/>
      <c r="C871" s="2524" t="s">
        <v>608</v>
      </c>
      <c r="D871" s="2725" t="s">
        <v>288</v>
      </c>
      <c r="E871" s="2739" t="s">
        <v>294</v>
      </c>
      <c r="F871" s="2739"/>
      <c r="G871" s="2727" t="s">
        <v>291</v>
      </c>
      <c r="H871" s="2740">
        <v>0.5</v>
      </c>
      <c r="I871" s="2811">
        <f>'Upah &amp; Bahan'!$I$24</f>
        <v>88300</v>
      </c>
      <c r="J871" s="2729">
        <f>ROUND(H871*I871,2)</f>
        <v>44150</v>
      </c>
      <c r="K871" s="2730"/>
      <c r="L871" s="3180">
        <f>VLOOKUP($E871,$D$1744:$G$1761,2,0)</f>
        <v>1</v>
      </c>
      <c r="M871" s="2731" t="str">
        <f>VLOOKUP($E871,$D$1744:$G$1761,3,0)</f>
        <v>WNI</v>
      </c>
      <c r="N871" s="2729">
        <f t="shared" si="63"/>
        <v>44150</v>
      </c>
      <c r="Q871" s="2717"/>
      <c r="R871" s="2717"/>
      <c r="S871" s="2719"/>
      <c r="T871" s="2717"/>
      <c r="U871" s="2717"/>
      <c r="V871" s="2717"/>
    </row>
    <row r="872" spans="2:23" s="2909" customFormat="1" ht="14.1" customHeight="1" x14ac:dyDescent="0.2">
      <c r="B872" s="2711"/>
      <c r="C872" s="2733"/>
      <c r="D872" s="2733"/>
      <c r="E872" s="2739" t="s">
        <v>295</v>
      </c>
      <c r="F872" s="2739"/>
      <c r="G872" s="2727" t="s">
        <v>291</v>
      </c>
      <c r="H872" s="2740">
        <v>0.25</v>
      </c>
      <c r="I872" s="2811">
        <f>'Upah &amp; Bahan'!$I$32</f>
        <v>90000</v>
      </c>
      <c r="J872" s="2729">
        <f>ROUND(H872*I872,2)</f>
        <v>22500</v>
      </c>
      <c r="K872" s="2734"/>
      <c r="L872" s="3180">
        <f>VLOOKUP($E872,$D$1744:$G$1761,2,0)</f>
        <v>1</v>
      </c>
      <c r="M872" s="2731" t="str">
        <f>VLOOKUP($E872,$D$1744:$G$1761,3,0)</f>
        <v>WNI</v>
      </c>
      <c r="N872" s="2729">
        <f t="shared" si="63"/>
        <v>22500</v>
      </c>
      <c r="Q872" s="2717"/>
      <c r="R872" s="2717"/>
      <c r="S872" s="2719"/>
      <c r="T872" s="2717"/>
      <c r="U872" s="2717"/>
      <c r="V872" s="2717"/>
    </row>
    <row r="873" spans="2:23" s="2909" customFormat="1" ht="14.1" customHeight="1" x14ac:dyDescent="0.2">
      <c r="B873" s="2711"/>
      <c r="C873" s="2733"/>
      <c r="D873" s="2733"/>
      <c r="E873" s="2739" t="s">
        <v>296</v>
      </c>
      <c r="F873" s="2739"/>
      <c r="G873" s="2727" t="s">
        <v>291</v>
      </c>
      <c r="H873" s="2740">
        <v>2.5999999999999999E-2</v>
      </c>
      <c r="I873" s="2814">
        <f>'Upah &amp; Bahan'!$I$26</f>
        <v>96000</v>
      </c>
      <c r="J873" s="2729">
        <f>ROUND(H873*I873,2)</f>
        <v>2496</v>
      </c>
      <c r="K873" s="2734"/>
      <c r="L873" s="3180">
        <f>VLOOKUP($E873,$D$1744:$G$1761,2,0)</f>
        <v>1</v>
      </c>
      <c r="M873" s="2731" t="str">
        <f>VLOOKUP($E873,$D$1744:$G$1761,3,0)</f>
        <v>WNI</v>
      </c>
      <c r="N873" s="2729">
        <f t="shared" si="63"/>
        <v>2496</v>
      </c>
      <c r="Q873" s="2717"/>
      <c r="R873" s="2717"/>
      <c r="S873" s="2719"/>
      <c r="T873" s="2717"/>
      <c r="U873" s="2717"/>
      <c r="V873" s="2717"/>
    </row>
    <row r="874" spans="2:23" s="2909" customFormat="1" ht="14.1" customHeight="1" x14ac:dyDescent="0.2">
      <c r="B874" s="2711"/>
      <c r="C874" s="2733"/>
      <c r="D874" s="2733"/>
      <c r="E874" s="2739" t="s">
        <v>290</v>
      </c>
      <c r="F874" s="2739"/>
      <c r="G874" s="2727" t="s">
        <v>291</v>
      </c>
      <c r="H874" s="2740">
        <v>2.5999999999999999E-2</v>
      </c>
      <c r="I874" s="2811">
        <f>'Upah &amp; Bahan'!$I$31</f>
        <v>90000</v>
      </c>
      <c r="J874" s="2729">
        <f>ROUND(H874*I874,2)</f>
        <v>2340</v>
      </c>
      <c r="K874" s="2733"/>
      <c r="L874" s="3180">
        <f>VLOOKUP($E874,$D$1744:$G$1761,2,0)</f>
        <v>1</v>
      </c>
      <c r="M874" s="2731" t="str">
        <f>VLOOKUP($E874,$D$1744:$G$1761,3,0)</f>
        <v>WNI</v>
      </c>
      <c r="N874" s="2729">
        <f t="shared" si="63"/>
        <v>2340</v>
      </c>
      <c r="Q874" s="2717"/>
      <c r="R874" s="2717"/>
      <c r="S874" s="2719"/>
      <c r="T874" s="2717"/>
      <c r="U874" s="2717"/>
      <c r="V874" s="2717"/>
    </row>
    <row r="875" spans="2:23" s="2909" customFormat="1" ht="14.1" customHeight="1" x14ac:dyDescent="0.2">
      <c r="B875" s="2711"/>
      <c r="C875" s="2537"/>
      <c r="D875" s="2536"/>
      <c r="E875" s="2736"/>
      <c r="F875" s="2741"/>
      <c r="G875" s="2742"/>
      <c r="H875" s="2743"/>
      <c r="I875" s="2812"/>
      <c r="J875" s="2813"/>
      <c r="K875" s="2732">
        <f>SUM(J871:J874)</f>
        <v>71486</v>
      </c>
      <c r="L875" s="2731"/>
      <c r="M875" s="2732"/>
      <c r="N875" s="2729">
        <f t="shared" si="63"/>
        <v>0</v>
      </c>
      <c r="Q875" s="2717"/>
      <c r="R875" s="2717"/>
      <c r="S875" s="2719"/>
      <c r="T875" s="2717"/>
      <c r="U875" s="2717"/>
      <c r="V875" s="2717"/>
    </row>
    <row r="876" spans="2:23" s="2909" customFormat="1" ht="14.1" customHeight="1" x14ac:dyDescent="0.2">
      <c r="B876" s="2711"/>
      <c r="C876" s="2528" t="s">
        <v>609</v>
      </c>
      <c r="D876" s="2725" t="s">
        <v>606</v>
      </c>
      <c r="E876" s="2739"/>
      <c r="F876" s="2739"/>
      <c r="G876" s="2727"/>
      <c r="H876" s="2740"/>
      <c r="I876" s="2814"/>
      <c r="J876" s="2729"/>
      <c r="K876" s="2730"/>
      <c r="L876" s="2731"/>
      <c r="M876" s="2732"/>
      <c r="N876" s="2729">
        <f t="shared" si="63"/>
        <v>0</v>
      </c>
      <c r="Q876" s="2717"/>
      <c r="R876" s="2717"/>
      <c r="S876" s="2719"/>
      <c r="T876" s="2717"/>
      <c r="U876" s="2717"/>
      <c r="V876" s="2717"/>
    </row>
    <row r="877" spans="2:23" s="2909" customFormat="1" ht="14.1" customHeight="1" x14ac:dyDescent="0.2">
      <c r="B877" s="2711"/>
      <c r="C877" s="2536"/>
      <c r="D877" s="2536"/>
      <c r="E877" s="2736"/>
      <c r="F877" s="2741"/>
      <c r="G877" s="2742"/>
      <c r="H877" s="2743"/>
      <c r="I877" s="2744"/>
      <c r="J877" s="2813"/>
      <c r="K877" s="2732">
        <f>SUM(J876:J876)</f>
        <v>0</v>
      </c>
      <c r="L877" s="2731"/>
      <c r="M877" s="2732"/>
      <c r="N877" s="2729">
        <f t="shared" si="63"/>
        <v>0</v>
      </c>
      <c r="Q877" s="2717"/>
      <c r="R877" s="2717"/>
      <c r="S877" s="2719"/>
      <c r="T877" s="2717"/>
      <c r="U877" s="2717"/>
      <c r="V877" s="2717"/>
    </row>
    <row r="878" spans="2:23" s="2909" customFormat="1" ht="14.1" customHeight="1" x14ac:dyDescent="0.2">
      <c r="B878" s="2711"/>
      <c r="C878" s="2537" t="s">
        <v>610</v>
      </c>
      <c r="D878" s="2738" t="s">
        <v>651</v>
      </c>
      <c r="E878" s="2741"/>
      <c r="F878" s="2741"/>
      <c r="G878" s="2742"/>
      <c r="H878" s="2743"/>
      <c r="I878" s="2744"/>
      <c r="J878" s="2745" t="s">
        <v>652</v>
      </c>
      <c r="K878" s="2732">
        <f>K870+K875+K877</f>
        <v>216851</v>
      </c>
      <c r="L878" s="2746">
        <f>N878/K878</f>
        <v>0.81409874983283448</v>
      </c>
      <c r="M878" s="2745"/>
      <c r="N878" s="2747">
        <f>SUM(N866:N877)</f>
        <v>176538.128</v>
      </c>
      <c r="Q878" s="2717"/>
      <c r="R878" s="2717"/>
      <c r="S878" s="2719"/>
      <c r="T878" s="2717"/>
      <c r="U878" s="2717"/>
      <c r="V878" s="2717"/>
    </row>
    <row r="879" spans="2:23" s="2909" customFormat="1" ht="14.1" customHeight="1" x14ac:dyDescent="0.2">
      <c r="B879" s="2711"/>
      <c r="C879" s="2537" t="s">
        <v>611</v>
      </c>
      <c r="D879" s="2738" t="s">
        <v>653</v>
      </c>
      <c r="E879" s="2741"/>
      <c r="F879" s="2748">
        <f>$F$42</f>
        <v>0.1</v>
      </c>
      <c r="G879" s="2727" t="s">
        <v>425</v>
      </c>
      <c r="H879" s="2748">
        <f>$H$42</f>
        <v>0.03</v>
      </c>
      <c r="I879" s="2749" t="s">
        <v>424</v>
      </c>
      <c r="J879" s="2732" t="s">
        <v>610</v>
      </c>
      <c r="K879" s="2750">
        <f>ROUND((K878*(F879+H879)),2)</f>
        <v>28190.63</v>
      </c>
      <c r="L879" s="2732"/>
      <c r="M879" s="2732"/>
      <c r="N879" s="2732"/>
      <c r="Q879" s="2717"/>
      <c r="R879" s="2717"/>
      <c r="S879" s="2719"/>
      <c r="T879" s="2717"/>
      <c r="U879" s="2717"/>
      <c r="V879" s="2717"/>
    </row>
    <row r="880" spans="2:23" s="2909" customFormat="1" ht="14.1" customHeight="1" x14ac:dyDescent="0.2">
      <c r="B880" s="2711"/>
      <c r="C880" s="2880" t="s">
        <v>654</v>
      </c>
      <c r="D880" s="2752" t="s">
        <v>301</v>
      </c>
      <c r="E880" s="2815"/>
      <c r="F880" s="2815"/>
      <c r="G880" s="2815"/>
      <c r="H880" s="2816"/>
      <c r="I880" s="2815"/>
      <c r="J880" s="2755" t="s">
        <v>668</v>
      </c>
      <c r="K880" s="2756">
        <f>SUM(K878:K879)</f>
        <v>245041.63</v>
      </c>
      <c r="L880" s="2746"/>
      <c r="M880" s="2755"/>
      <c r="N880" s="2757"/>
      <c r="Q880" s="2717"/>
      <c r="R880" s="2717"/>
      <c r="S880" s="2719"/>
      <c r="T880" s="2717"/>
      <c r="U880" s="2717"/>
      <c r="V880" s="2717"/>
    </row>
    <row r="881" spans="2:22" x14ac:dyDescent="0.25">
      <c r="Q881" s="2717"/>
      <c r="R881" s="2717"/>
      <c r="S881" s="2719"/>
      <c r="T881" s="2717"/>
      <c r="U881" s="2717"/>
      <c r="V881" s="2717"/>
    </row>
    <row r="882" spans="2:22" s="2909" customFormat="1" ht="14.1" customHeight="1" x14ac:dyDescent="0.2">
      <c r="B882" s="2711">
        <f>B861+1</f>
        <v>44</v>
      </c>
      <c r="C882" s="2711"/>
      <c r="D882" s="2713" t="s">
        <v>1498</v>
      </c>
      <c r="E882" s="2713"/>
      <c r="F882" s="2713"/>
      <c r="G882" s="2713"/>
      <c r="H882" s="2714"/>
      <c r="I882" s="2713"/>
      <c r="J882" s="2713"/>
      <c r="K882" s="2715" t="s">
        <v>720</v>
      </c>
      <c r="L882" s="2715"/>
      <c r="M882" s="2715"/>
      <c r="N882" s="2715"/>
      <c r="O882" s="2909" t="str">
        <f>D883</f>
        <v>m2</v>
      </c>
      <c r="P882" s="2917">
        <f>K901</f>
        <v>301541.63</v>
      </c>
      <c r="Q882" s="2718">
        <f>L899</f>
        <v>0.79200800446691222</v>
      </c>
      <c r="R882" s="2717"/>
      <c r="S882" s="2719">
        <f>N899</f>
        <v>211348.128</v>
      </c>
      <c r="T882" s="2515">
        <f>U882+S882</f>
        <v>238823.38464</v>
      </c>
      <c r="U882" s="2719">
        <f>S882*V882</f>
        <v>27475.25664</v>
      </c>
      <c r="V882" s="2718">
        <f>$F$42+$H$42</f>
        <v>0.13</v>
      </c>
    </row>
    <row r="883" spans="2:22" s="2909" customFormat="1" ht="14.1" customHeight="1" x14ac:dyDescent="0.2">
      <c r="B883" s="2711"/>
      <c r="C883" s="2711"/>
      <c r="D883" s="2721" t="s">
        <v>338</v>
      </c>
      <c r="E883" s="2721"/>
      <c r="F883" s="2721"/>
      <c r="G883" s="2721"/>
      <c r="H883" s="2711"/>
      <c r="I883" s="2721"/>
      <c r="J883" s="2721"/>
      <c r="K883" s="2721"/>
      <c r="L883" s="2721"/>
      <c r="M883" s="2721"/>
      <c r="N883" s="2721"/>
      <c r="Q883" s="2717"/>
      <c r="R883" s="2717"/>
      <c r="S883" s="2719"/>
      <c r="T883" s="2717"/>
      <c r="U883" s="2717"/>
      <c r="V883" s="2717"/>
    </row>
    <row r="884" spans="2:22" s="2909" customFormat="1" ht="14.1" customHeight="1" x14ac:dyDescent="0.2">
      <c r="B884" s="2711"/>
      <c r="C884" s="2524"/>
      <c r="D884" s="3436" t="s">
        <v>280</v>
      </c>
      <c r="E884" s="3437"/>
      <c r="F884" s="2722"/>
      <c r="G884" s="3440" t="s">
        <v>281</v>
      </c>
      <c r="H884" s="3440" t="s">
        <v>282</v>
      </c>
      <c r="I884" s="2524" t="s">
        <v>283</v>
      </c>
      <c r="J884" s="2524" t="s">
        <v>284</v>
      </c>
      <c r="K884" s="2524" t="s">
        <v>340</v>
      </c>
      <c r="L884" s="2524" t="s">
        <v>2008</v>
      </c>
      <c r="M884" s="2524" t="s">
        <v>2009</v>
      </c>
      <c r="N884" s="2524" t="s">
        <v>284</v>
      </c>
      <c r="Q884" s="2717"/>
      <c r="R884" s="2717"/>
      <c r="S884" s="2719"/>
      <c r="T884" s="2717"/>
      <c r="U884" s="2717"/>
      <c r="V884" s="2717"/>
    </row>
    <row r="885" spans="2:22" s="2909" customFormat="1" ht="14.1" customHeight="1" x14ac:dyDescent="0.2">
      <c r="B885" s="2711"/>
      <c r="C885" s="2528" t="s">
        <v>669</v>
      </c>
      <c r="D885" s="3438"/>
      <c r="E885" s="3439"/>
      <c r="F885" s="2723"/>
      <c r="G885" s="3441"/>
      <c r="H885" s="3441"/>
      <c r="I885" s="2528" t="s">
        <v>285</v>
      </c>
      <c r="J885" s="2528" t="s">
        <v>286</v>
      </c>
      <c r="K885" s="2528" t="s">
        <v>286</v>
      </c>
      <c r="L885" s="2528" t="s">
        <v>2011</v>
      </c>
      <c r="M885" s="2528"/>
      <c r="N885" s="2528" t="s">
        <v>2013</v>
      </c>
      <c r="Q885" s="2717"/>
      <c r="R885" s="2717"/>
      <c r="S885" s="2719"/>
      <c r="T885" s="2717"/>
      <c r="U885" s="2717"/>
      <c r="V885" s="2717"/>
    </row>
    <row r="886" spans="2:22" s="2909" customFormat="1" ht="14.1" customHeight="1" x14ac:dyDescent="0.2">
      <c r="B886" s="2711"/>
      <c r="C886" s="2537"/>
      <c r="D886" s="3431"/>
      <c r="E886" s="3432"/>
      <c r="F886" s="2724"/>
      <c r="G886" s="3435"/>
      <c r="H886" s="3435"/>
      <c r="I886" s="2537" t="s">
        <v>286</v>
      </c>
      <c r="J886" s="2536"/>
      <c r="K886" s="2536"/>
      <c r="L886" s="2536"/>
      <c r="M886" s="2536"/>
      <c r="N886" s="2537" t="s">
        <v>286</v>
      </c>
      <c r="Q886" s="2717"/>
      <c r="R886" s="2717"/>
      <c r="S886" s="2719"/>
      <c r="T886" s="2717"/>
      <c r="U886" s="2717"/>
      <c r="V886" s="2717"/>
    </row>
    <row r="887" spans="2:22" s="2909" customFormat="1" ht="14.1" customHeight="1" x14ac:dyDescent="0.2">
      <c r="B887" s="2711"/>
      <c r="C887" s="2524" t="s">
        <v>607</v>
      </c>
      <c r="D887" s="2733" t="s">
        <v>287</v>
      </c>
      <c r="E887" s="2739" t="s">
        <v>806</v>
      </c>
      <c r="F887" s="2739"/>
      <c r="G887" s="2727" t="s">
        <v>240</v>
      </c>
      <c r="H887" s="2740">
        <v>3.1</v>
      </c>
      <c r="I887" s="2811">
        <f>'Upah &amp; Bahan'!I78/H887</f>
        <v>54838.709677419356</v>
      </c>
      <c r="J887" s="2729">
        <f>ROUND(H887*I887,2)</f>
        <v>170000</v>
      </c>
      <c r="K887" s="2730"/>
      <c r="L887" s="3180">
        <f>$L$803</f>
        <v>0.69620000000000004</v>
      </c>
      <c r="M887" s="2732" t="s">
        <v>2029</v>
      </c>
      <c r="N887" s="2729">
        <f t="shared" ref="N887:N898" si="64">L887*J887</f>
        <v>118354</v>
      </c>
      <c r="Q887" s="2717"/>
      <c r="R887" s="2717"/>
      <c r="S887" s="2719"/>
      <c r="T887" s="2717"/>
      <c r="U887" s="2717"/>
      <c r="V887" s="2717"/>
    </row>
    <row r="888" spans="2:22" s="2909" customFormat="1" ht="14.1" customHeight="1" x14ac:dyDescent="0.2">
      <c r="B888" s="2711"/>
      <c r="C888" s="2733"/>
      <c r="D888" s="2733"/>
      <c r="E888" s="2739" t="s">
        <v>300</v>
      </c>
      <c r="F888" s="2739"/>
      <c r="G888" s="2727" t="s">
        <v>298</v>
      </c>
      <c r="H888" s="2740">
        <v>9.6</v>
      </c>
      <c r="I888" s="2811">
        <f>'Upah &amp; Bahan'!$I$118</f>
        <v>1200</v>
      </c>
      <c r="J888" s="2729">
        <f>ROUND(H888*I888,2)</f>
        <v>11520</v>
      </c>
      <c r="K888" s="2734"/>
      <c r="L888" s="3180">
        <f>$L$192</f>
        <v>0.85140000000000005</v>
      </c>
      <c r="M888" s="2732" t="s">
        <v>2029</v>
      </c>
      <c r="N888" s="2729">
        <f t="shared" si="64"/>
        <v>9808.1280000000006</v>
      </c>
      <c r="Q888" s="2717"/>
      <c r="R888" s="2717"/>
      <c r="S888" s="2719"/>
      <c r="T888" s="2717"/>
      <c r="U888" s="2717"/>
      <c r="V888" s="2717"/>
    </row>
    <row r="889" spans="2:22" s="2909" customFormat="1" ht="14.1" customHeight="1" x14ac:dyDescent="0.2">
      <c r="B889" s="2711"/>
      <c r="C889" s="2733"/>
      <c r="D889" s="2733"/>
      <c r="E889" s="2739" t="s">
        <v>331</v>
      </c>
      <c r="F889" s="2739"/>
      <c r="G889" s="2727" t="s">
        <v>293</v>
      </c>
      <c r="H889" s="2740">
        <v>4.4999999999999998E-2</v>
      </c>
      <c r="I889" s="2811">
        <f>'Upah &amp; Bahan'!$I$121</f>
        <v>260000</v>
      </c>
      <c r="J889" s="2729">
        <f>ROUND(H889*I889,2)</f>
        <v>11700</v>
      </c>
      <c r="K889" s="2733"/>
      <c r="L889" s="3180">
        <v>1</v>
      </c>
      <c r="M889" s="2732"/>
      <c r="N889" s="2729">
        <f t="shared" si="64"/>
        <v>11700</v>
      </c>
      <c r="Q889" s="2717"/>
      <c r="R889" s="2717"/>
      <c r="S889" s="2719"/>
      <c r="T889" s="2717"/>
      <c r="U889" s="2717"/>
      <c r="V889" s="2717"/>
    </row>
    <row r="890" spans="2:22" s="2909" customFormat="1" ht="14.1" customHeight="1" x14ac:dyDescent="0.2">
      <c r="B890" s="2711"/>
      <c r="C890" s="2528"/>
      <c r="D890" s="2733"/>
      <c r="E890" s="2739" t="s">
        <v>339</v>
      </c>
      <c r="F890" s="2739"/>
      <c r="G890" s="2727" t="s">
        <v>298</v>
      </c>
      <c r="H890" s="2740">
        <v>0.15</v>
      </c>
      <c r="I890" s="2811">
        <f>'Upah &amp; Bahan'!$I$119</f>
        <v>14300</v>
      </c>
      <c r="J890" s="2729">
        <f>ROUND(H890*I890,2)</f>
        <v>2145</v>
      </c>
      <c r="K890" s="2536"/>
      <c r="L890" s="3180">
        <v>0</v>
      </c>
      <c r="M890" s="2732"/>
      <c r="N890" s="2729">
        <f t="shared" si="64"/>
        <v>0</v>
      </c>
      <c r="Q890" s="2717"/>
      <c r="R890" s="2717"/>
      <c r="S890" s="2719"/>
      <c r="T890" s="2717"/>
      <c r="U890" s="2717"/>
      <c r="V890" s="2717"/>
    </row>
    <row r="891" spans="2:22" s="2909" customFormat="1" ht="14.1" customHeight="1" x14ac:dyDescent="0.2">
      <c r="B891" s="2711"/>
      <c r="C891" s="2537"/>
      <c r="D891" s="2733"/>
      <c r="E891" s="2736"/>
      <c r="F891" s="2741"/>
      <c r="G891" s="2742"/>
      <c r="H891" s="2743"/>
      <c r="I891" s="2812"/>
      <c r="J891" s="2813"/>
      <c r="K891" s="2729">
        <f>SUM(J887:J890)</f>
        <v>195365</v>
      </c>
      <c r="L891" s="3180"/>
      <c r="M891" s="2732"/>
      <c r="N891" s="2729">
        <f t="shared" si="64"/>
        <v>0</v>
      </c>
      <c r="Q891" s="2717"/>
      <c r="R891" s="2717"/>
      <c r="S891" s="2719"/>
      <c r="T891" s="2717"/>
      <c r="U891" s="2717"/>
      <c r="V891" s="2717"/>
    </row>
    <row r="892" spans="2:22" s="2909" customFormat="1" ht="14.1" customHeight="1" x14ac:dyDescent="0.2">
      <c r="B892" s="2711"/>
      <c r="C892" s="2524" t="s">
        <v>608</v>
      </c>
      <c r="D892" s="2725" t="s">
        <v>288</v>
      </c>
      <c r="E892" s="2739" t="s">
        <v>294</v>
      </c>
      <c r="F892" s="2739"/>
      <c r="G892" s="2727" t="s">
        <v>291</v>
      </c>
      <c r="H892" s="2740">
        <v>0.5</v>
      </c>
      <c r="I892" s="2811">
        <f>'Upah &amp; Bahan'!$I$24</f>
        <v>88300</v>
      </c>
      <c r="J892" s="2729">
        <f>ROUND(H892*I892,2)</f>
        <v>44150</v>
      </c>
      <c r="K892" s="2730"/>
      <c r="L892" s="3180">
        <f>VLOOKUP($E892,$D$1744:$G$1761,2,0)</f>
        <v>1</v>
      </c>
      <c r="M892" s="2731" t="str">
        <f>VLOOKUP($E892,$D$1744:$G$1761,3,0)</f>
        <v>WNI</v>
      </c>
      <c r="N892" s="2729">
        <f t="shared" si="64"/>
        <v>44150</v>
      </c>
      <c r="Q892" s="2717"/>
      <c r="R892" s="2717"/>
      <c r="S892" s="2719"/>
      <c r="T892" s="2717"/>
      <c r="U892" s="2717"/>
      <c r="V892" s="2717"/>
    </row>
    <row r="893" spans="2:22" s="2909" customFormat="1" ht="14.1" customHeight="1" x14ac:dyDescent="0.2">
      <c r="B893" s="2711"/>
      <c r="C893" s="2733"/>
      <c r="D893" s="2733"/>
      <c r="E893" s="2739" t="s">
        <v>295</v>
      </c>
      <c r="F893" s="2739"/>
      <c r="G893" s="2727" t="s">
        <v>291</v>
      </c>
      <c r="H893" s="2740">
        <v>0.25</v>
      </c>
      <c r="I893" s="2811">
        <f>'Upah &amp; Bahan'!$I$32</f>
        <v>90000</v>
      </c>
      <c r="J893" s="2729">
        <f>ROUND(H893*I893,2)</f>
        <v>22500</v>
      </c>
      <c r="K893" s="2734"/>
      <c r="L893" s="3180">
        <f>VLOOKUP($E893,$D$1744:$G$1761,2,0)</f>
        <v>1</v>
      </c>
      <c r="M893" s="2731" t="str">
        <f>VLOOKUP($E893,$D$1744:$G$1761,3,0)</f>
        <v>WNI</v>
      </c>
      <c r="N893" s="2729">
        <f t="shared" si="64"/>
        <v>22500</v>
      </c>
      <c r="Q893" s="2717"/>
      <c r="R893" s="2717"/>
      <c r="S893" s="2719"/>
      <c r="T893" s="2717"/>
      <c r="U893" s="2717"/>
      <c r="V893" s="2717"/>
    </row>
    <row r="894" spans="2:22" s="2909" customFormat="1" ht="14.1" customHeight="1" x14ac:dyDescent="0.2">
      <c r="B894" s="2711"/>
      <c r="C894" s="2733"/>
      <c r="D894" s="2733"/>
      <c r="E894" s="2739" t="s">
        <v>296</v>
      </c>
      <c r="F894" s="2739"/>
      <c r="G894" s="2727" t="s">
        <v>291</v>
      </c>
      <c r="H894" s="2740">
        <v>2.5999999999999999E-2</v>
      </c>
      <c r="I894" s="2814">
        <f>'Upah &amp; Bahan'!$I$26</f>
        <v>96000</v>
      </c>
      <c r="J894" s="2729">
        <f>ROUND(H894*I894,2)</f>
        <v>2496</v>
      </c>
      <c r="K894" s="2734"/>
      <c r="L894" s="3180">
        <f>VLOOKUP($E894,$D$1744:$G$1761,2,0)</f>
        <v>1</v>
      </c>
      <c r="M894" s="2731" t="str">
        <f>VLOOKUP($E894,$D$1744:$G$1761,3,0)</f>
        <v>WNI</v>
      </c>
      <c r="N894" s="2729">
        <f t="shared" si="64"/>
        <v>2496</v>
      </c>
      <c r="Q894" s="2717"/>
      <c r="R894" s="2717"/>
      <c r="S894" s="2719"/>
      <c r="T894" s="2717"/>
      <c r="U894" s="2717"/>
      <c r="V894" s="2717"/>
    </row>
    <row r="895" spans="2:22" s="2909" customFormat="1" ht="14.1" customHeight="1" x14ac:dyDescent="0.2">
      <c r="B895" s="2711"/>
      <c r="C895" s="2733"/>
      <c r="D895" s="2733"/>
      <c r="E895" s="2739" t="s">
        <v>290</v>
      </c>
      <c r="F895" s="2739"/>
      <c r="G895" s="2727" t="s">
        <v>291</v>
      </c>
      <c r="H895" s="2740">
        <v>2.5999999999999999E-2</v>
      </c>
      <c r="I895" s="2811">
        <f>'Upah &amp; Bahan'!$I$31</f>
        <v>90000</v>
      </c>
      <c r="J895" s="2729">
        <f>ROUND(H895*I895,2)</f>
        <v>2340</v>
      </c>
      <c r="K895" s="2733"/>
      <c r="L895" s="3180">
        <f>VLOOKUP($E895,$D$1744:$G$1761,2,0)</f>
        <v>1</v>
      </c>
      <c r="M895" s="2731" t="str">
        <f>VLOOKUP($E895,$D$1744:$G$1761,3,0)</f>
        <v>WNI</v>
      </c>
      <c r="N895" s="2729">
        <f t="shared" si="64"/>
        <v>2340</v>
      </c>
      <c r="Q895" s="2717"/>
      <c r="R895" s="2717"/>
      <c r="S895" s="2719"/>
      <c r="T895" s="2717"/>
      <c r="U895" s="2717"/>
      <c r="V895" s="2717"/>
    </row>
    <row r="896" spans="2:22" s="2909" customFormat="1" ht="14.1" customHeight="1" x14ac:dyDescent="0.2">
      <c r="B896" s="2711"/>
      <c r="C896" s="2537"/>
      <c r="D896" s="2536"/>
      <c r="E896" s="2736"/>
      <c r="F896" s="2741"/>
      <c r="G896" s="2742"/>
      <c r="H896" s="2743"/>
      <c r="I896" s="2812"/>
      <c r="J896" s="2813"/>
      <c r="K896" s="2732">
        <f>SUM(J892:J895)</f>
        <v>71486</v>
      </c>
      <c r="L896" s="2731"/>
      <c r="M896" s="2732"/>
      <c r="N896" s="2729">
        <f t="shared" si="64"/>
        <v>0</v>
      </c>
      <c r="Q896" s="2717"/>
      <c r="R896" s="2717"/>
      <c r="S896" s="2719"/>
      <c r="T896" s="2717"/>
      <c r="U896" s="2717"/>
      <c r="V896" s="2717"/>
    </row>
    <row r="897" spans="2:23" s="2909" customFormat="1" ht="14.1" customHeight="1" x14ac:dyDescent="0.2">
      <c r="B897" s="2711"/>
      <c r="C897" s="2528" t="s">
        <v>609</v>
      </c>
      <c r="D897" s="2725" t="s">
        <v>606</v>
      </c>
      <c r="E897" s="2739"/>
      <c r="F897" s="2739"/>
      <c r="G897" s="2727"/>
      <c r="H897" s="2740"/>
      <c r="I897" s="2814"/>
      <c r="J897" s="2729"/>
      <c r="K897" s="2730"/>
      <c r="L897" s="2731"/>
      <c r="M897" s="2732"/>
      <c r="N897" s="2729">
        <f t="shared" si="64"/>
        <v>0</v>
      </c>
      <c r="Q897" s="2717"/>
      <c r="R897" s="2717"/>
      <c r="S897" s="2719"/>
      <c r="T897" s="2717"/>
      <c r="U897" s="2717"/>
      <c r="V897" s="2717"/>
    </row>
    <row r="898" spans="2:23" s="2909" customFormat="1" ht="14.1" customHeight="1" x14ac:dyDescent="0.2">
      <c r="B898" s="2711"/>
      <c r="C898" s="2536"/>
      <c r="D898" s="2536"/>
      <c r="E898" s="2736"/>
      <c r="F898" s="2741"/>
      <c r="G898" s="2742"/>
      <c r="H898" s="2743"/>
      <c r="I898" s="2744"/>
      <c r="J898" s="2813"/>
      <c r="K898" s="2732">
        <f>SUM(J897:J897)</f>
        <v>0</v>
      </c>
      <c r="L898" s="2731"/>
      <c r="M898" s="2732"/>
      <c r="N898" s="2729">
        <f t="shared" si="64"/>
        <v>0</v>
      </c>
      <c r="Q898" s="2717"/>
      <c r="R898" s="2717"/>
      <c r="S898" s="2719"/>
      <c r="T898" s="2717"/>
      <c r="U898" s="2717"/>
      <c r="V898" s="2717"/>
    </row>
    <row r="899" spans="2:23" s="2909" customFormat="1" ht="14.1" customHeight="1" x14ac:dyDescent="0.2">
      <c r="B899" s="2711"/>
      <c r="C899" s="2537" t="s">
        <v>610</v>
      </c>
      <c r="D899" s="2738" t="s">
        <v>651</v>
      </c>
      <c r="E899" s="2741"/>
      <c r="F899" s="2741"/>
      <c r="G899" s="2742"/>
      <c r="H899" s="2743"/>
      <c r="I899" s="2744"/>
      <c r="J899" s="2745" t="s">
        <v>652</v>
      </c>
      <c r="K899" s="2732">
        <f>K891+K896+K898</f>
        <v>266851</v>
      </c>
      <c r="L899" s="2746">
        <f>N899/K899</f>
        <v>0.79200800446691222</v>
      </c>
      <c r="M899" s="2745"/>
      <c r="N899" s="2747">
        <f>SUM(N887:N898)</f>
        <v>211348.128</v>
      </c>
      <c r="Q899" s="2717"/>
      <c r="R899" s="2717"/>
      <c r="S899" s="2719"/>
      <c r="T899" s="2717"/>
      <c r="U899" s="2717"/>
      <c r="V899" s="2717"/>
    </row>
    <row r="900" spans="2:23" s="2909" customFormat="1" ht="14.1" customHeight="1" x14ac:dyDescent="0.2">
      <c r="B900" s="2711"/>
      <c r="C900" s="2537" t="s">
        <v>611</v>
      </c>
      <c r="D900" s="2738" t="s">
        <v>653</v>
      </c>
      <c r="E900" s="2741"/>
      <c r="F900" s="2748">
        <f>$F$42</f>
        <v>0.1</v>
      </c>
      <c r="G900" s="2727" t="s">
        <v>425</v>
      </c>
      <c r="H900" s="2748">
        <f>$H$42</f>
        <v>0.03</v>
      </c>
      <c r="I900" s="2749" t="s">
        <v>424</v>
      </c>
      <c r="J900" s="2732" t="s">
        <v>610</v>
      </c>
      <c r="K900" s="2750">
        <f>ROUND((K899*(F900+H900)),2)</f>
        <v>34690.629999999997</v>
      </c>
      <c r="L900" s="2732"/>
      <c r="M900" s="2732"/>
      <c r="N900" s="2732"/>
      <c r="Q900" s="2717"/>
      <c r="R900" s="2717"/>
      <c r="S900" s="2719"/>
      <c r="T900" s="2717"/>
      <c r="U900" s="2717"/>
      <c r="V900" s="2717"/>
    </row>
    <row r="901" spans="2:23" s="2909" customFormat="1" ht="14.1" customHeight="1" x14ac:dyDescent="0.2">
      <c r="B901" s="2711"/>
      <c r="C901" s="2880" t="s">
        <v>654</v>
      </c>
      <c r="D901" s="2752" t="s">
        <v>301</v>
      </c>
      <c r="E901" s="2815"/>
      <c r="F901" s="2815"/>
      <c r="G901" s="2815"/>
      <c r="H901" s="2816"/>
      <c r="I901" s="2815"/>
      <c r="J901" s="2755" t="s">
        <v>668</v>
      </c>
      <c r="K901" s="2756">
        <f>SUM(K899:K900)</f>
        <v>301541.63</v>
      </c>
      <c r="L901" s="2746"/>
      <c r="M901" s="2755"/>
      <c r="N901" s="2757"/>
      <c r="Q901" s="2717"/>
      <c r="R901" s="2717"/>
      <c r="S901" s="2719"/>
      <c r="T901" s="2717"/>
      <c r="U901" s="2717"/>
      <c r="V901" s="2717"/>
    </row>
    <row r="902" spans="2:23" s="2909" customFormat="1" ht="14.1" customHeight="1" x14ac:dyDescent="0.2">
      <c r="B902" s="2711"/>
      <c r="C902" s="2888"/>
      <c r="D902" s="2887"/>
      <c r="E902" s="2887"/>
      <c r="F902" s="2887"/>
      <c r="G902" s="2887"/>
      <c r="H902" s="2888"/>
      <c r="I902" s="2887"/>
      <c r="J902" s="2956"/>
      <c r="K902" s="2957"/>
      <c r="L902" s="2957"/>
      <c r="M902" s="2957"/>
      <c r="N902" s="2957"/>
      <c r="Q902" s="2717"/>
      <c r="R902" s="2717"/>
      <c r="S902" s="2719"/>
      <c r="T902" s="2717"/>
      <c r="U902" s="2717"/>
      <c r="V902" s="2717"/>
    </row>
    <row r="903" spans="2:23" s="2909" customFormat="1" ht="14.1" customHeight="1" x14ac:dyDescent="0.2">
      <c r="B903" s="2711">
        <f>B882+1</f>
        <v>45</v>
      </c>
      <c r="C903" s="2711"/>
      <c r="D903" s="2713" t="s">
        <v>1808</v>
      </c>
      <c r="E903" s="2713"/>
      <c r="F903" s="2713"/>
      <c r="G903" s="2713"/>
      <c r="H903" s="2714"/>
      <c r="I903" s="2713"/>
      <c r="J903" s="2713"/>
      <c r="K903" s="2715" t="s">
        <v>720</v>
      </c>
      <c r="L903" s="2715"/>
      <c r="M903" s="2715"/>
      <c r="N903" s="2715"/>
      <c r="O903" s="2909" t="str">
        <f>D904</f>
        <v>m2</v>
      </c>
      <c r="P903" s="2917">
        <f>K922</f>
        <v>281318.25</v>
      </c>
      <c r="Q903" s="2718">
        <f>L920</f>
        <v>0.85772412757045269</v>
      </c>
      <c r="R903" s="2717"/>
      <c r="S903" s="2719">
        <f>N920</f>
        <v>213534.024</v>
      </c>
      <c r="T903" s="2515">
        <f>U903+S903</f>
        <v>241293.44712</v>
      </c>
      <c r="U903" s="2719">
        <f>S903*V903</f>
        <v>27759.423120000003</v>
      </c>
      <c r="V903" s="2718">
        <f>$F$42+$H$42</f>
        <v>0.13</v>
      </c>
    </row>
    <row r="904" spans="2:23" s="2909" customFormat="1" ht="14.1" customHeight="1" x14ac:dyDescent="0.2">
      <c r="B904" s="2711"/>
      <c r="C904" s="2711"/>
      <c r="D904" s="2721" t="s">
        <v>338</v>
      </c>
      <c r="E904" s="2721"/>
      <c r="F904" s="2721"/>
      <c r="G904" s="2721"/>
      <c r="H904" s="2711"/>
      <c r="I904" s="2721"/>
      <c r="J904" s="2721"/>
      <c r="K904" s="2721"/>
      <c r="L904" s="2721"/>
      <c r="M904" s="2721"/>
      <c r="N904" s="2721"/>
      <c r="Q904" s="2717"/>
      <c r="R904" s="2717"/>
      <c r="S904" s="2719"/>
      <c r="T904" s="2717"/>
      <c r="U904" s="2717"/>
      <c r="V904" s="2717"/>
    </row>
    <row r="905" spans="2:23" s="2909" customFormat="1" ht="14.1" customHeight="1" x14ac:dyDescent="0.2">
      <c r="B905" s="2711"/>
      <c r="C905" s="2524"/>
      <c r="D905" s="3436" t="s">
        <v>280</v>
      </c>
      <c r="E905" s="3437"/>
      <c r="F905" s="2722"/>
      <c r="G905" s="3440" t="s">
        <v>281</v>
      </c>
      <c r="H905" s="3440" t="s">
        <v>282</v>
      </c>
      <c r="I905" s="2524" t="s">
        <v>283</v>
      </c>
      <c r="J905" s="2524" t="s">
        <v>284</v>
      </c>
      <c r="K905" s="2524" t="s">
        <v>340</v>
      </c>
      <c r="L905" s="2524" t="s">
        <v>2008</v>
      </c>
      <c r="M905" s="2524" t="s">
        <v>2009</v>
      </c>
      <c r="N905" s="2524" t="s">
        <v>284</v>
      </c>
      <c r="Q905" s="2717"/>
      <c r="R905" s="2717"/>
      <c r="S905" s="2719"/>
      <c r="T905" s="2717"/>
      <c r="U905" s="2717"/>
      <c r="V905" s="2717"/>
    </row>
    <row r="906" spans="2:23" s="2909" customFormat="1" ht="14.1" customHeight="1" x14ac:dyDescent="0.2">
      <c r="B906" s="2711"/>
      <c r="C906" s="2528" t="s">
        <v>669</v>
      </c>
      <c r="D906" s="3438"/>
      <c r="E906" s="3439"/>
      <c r="F906" s="2723"/>
      <c r="G906" s="3441"/>
      <c r="H906" s="3441"/>
      <c r="I906" s="2528" t="s">
        <v>285</v>
      </c>
      <c r="J906" s="2528" t="s">
        <v>286</v>
      </c>
      <c r="K906" s="2528" t="s">
        <v>286</v>
      </c>
      <c r="L906" s="2528" t="s">
        <v>2011</v>
      </c>
      <c r="M906" s="2528"/>
      <c r="N906" s="2528" t="s">
        <v>2013</v>
      </c>
      <c r="Q906" s="2717"/>
      <c r="R906" s="2717"/>
      <c r="S906" s="2719"/>
      <c r="T906" s="2717"/>
      <c r="U906" s="2717"/>
      <c r="V906" s="2717"/>
    </row>
    <row r="907" spans="2:23" s="2909" customFormat="1" ht="14.1" customHeight="1" x14ac:dyDescent="0.2">
      <c r="B907" s="2711"/>
      <c r="C907" s="2537"/>
      <c r="D907" s="3431"/>
      <c r="E907" s="3432"/>
      <c r="F907" s="2724"/>
      <c r="G907" s="3435"/>
      <c r="H907" s="3435"/>
      <c r="I907" s="2537" t="s">
        <v>286</v>
      </c>
      <c r="J907" s="2536"/>
      <c r="K907" s="2536"/>
      <c r="L907" s="2536"/>
      <c r="M907" s="2536"/>
      <c r="N907" s="2537" t="s">
        <v>286</v>
      </c>
      <c r="Q907" s="2717"/>
      <c r="R907" s="2717"/>
      <c r="S907" s="2719"/>
      <c r="T907" s="2717"/>
      <c r="U907" s="2717"/>
      <c r="V907" s="2717"/>
    </row>
    <row r="908" spans="2:23" s="2909" customFormat="1" ht="14.1" customHeight="1" x14ac:dyDescent="0.2">
      <c r="B908" s="2711"/>
      <c r="C908" s="2524" t="s">
        <v>607</v>
      </c>
      <c r="D908" s="2733" t="s">
        <v>287</v>
      </c>
      <c r="E908" s="2739" t="s">
        <v>587</v>
      </c>
      <c r="F908" s="2739"/>
      <c r="G908" s="2727" t="s">
        <v>240</v>
      </c>
      <c r="H908" s="2740">
        <v>5.83</v>
      </c>
      <c r="I908" s="2811">
        <f>+'Upah &amp; Bahan'!$I$98/5.83</f>
        <v>17495.711835334478</v>
      </c>
      <c r="J908" s="2729">
        <f>ROUND(H908*I908,2)</f>
        <v>102000</v>
      </c>
      <c r="K908" s="2730"/>
      <c r="L908" s="3180">
        <f>$L$803</f>
        <v>0.69620000000000004</v>
      </c>
      <c r="M908" s="2732" t="s">
        <v>2029</v>
      </c>
      <c r="N908" s="2729">
        <f t="shared" ref="N908:N919" si="65">L908*J908</f>
        <v>71012.400000000009</v>
      </c>
      <c r="P908" s="2909">
        <v>1.05</v>
      </c>
      <c r="Q908" s="2717"/>
      <c r="R908" s="2717"/>
      <c r="S908" s="2719"/>
      <c r="T908" s="2717"/>
      <c r="U908" s="2717"/>
      <c r="V908" s="2717"/>
      <c r="W908" s="2909">
        <f>1/(0.3*0.6)</f>
        <v>5.5555555555555554</v>
      </c>
    </row>
    <row r="909" spans="2:23" s="2909" customFormat="1" ht="14.1" customHeight="1" x14ac:dyDescent="0.2">
      <c r="B909" s="2711"/>
      <c r="C909" s="2528"/>
      <c r="D909" s="2733"/>
      <c r="E909" s="2739" t="s">
        <v>300</v>
      </c>
      <c r="F909" s="2739"/>
      <c r="G909" s="2727" t="s">
        <v>298</v>
      </c>
      <c r="H909" s="2740">
        <v>9.3000000000000007</v>
      </c>
      <c r="I909" s="2811">
        <f>'Upah &amp; Bahan'!$I$118</f>
        <v>1200</v>
      </c>
      <c r="J909" s="2729">
        <f>ROUND(H909*I909,2)</f>
        <v>11160</v>
      </c>
      <c r="K909" s="2734"/>
      <c r="L909" s="3180">
        <f>$L$192</f>
        <v>0.85140000000000005</v>
      </c>
      <c r="M909" s="2732" t="s">
        <v>2029</v>
      </c>
      <c r="N909" s="2729">
        <f t="shared" si="65"/>
        <v>9501.6239999999998</v>
      </c>
      <c r="P909" s="2909">
        <f>P908*W908</f>
        <v>5.833333333333333</v>
      </c>
      <c r="Q909" s="2717"/>
      <c r="R909" s="2717"/>
      <c r="S909" s="2719"/>
      <c r="T909" s="2717"/>
      <c r="U909" s="2717"/>
      <c r="V909" s="2717"/>
    </row>
    <row r="910" spans="2:23" s="2909" customFormat="1" ht="14.1" customHeight="1" x14ac:dyDescent="0.2">
      <c r="B910" s="2711"/>
      <c r="C910" s="2733"/>
      <c r="D910" s="2733"/>
      <c r="E910" s="2739" t="s">
        <v>331</v>
      </c>
      <c r="F910" s="2739"/>
      <c r="G910" s="2727" t="s">
        <v>293</v>
      </c>
      <c r="H910" s="2740">
        <v>1.7999999999999999E-2</v>
      </c>
      <c r="I910" s="2811">
        <f>'Upah &amp; Bahan'!$I$121</f>
        <v>260000</v>
      </c>
      <c r="J910" s="2729">
        <f>ROUND(H910*I910,2)</f>
        <v>4680</v>
      </c>
      <c r="K910" s="2733"/>
      <c r="L910" s="3180">
        <v>1</v>
      </c>
      <c r="M910" s="2732"/>
      <c r="N910" s="2729">
        <f t="shared" si="65"/>
        <v>4680</v>
      </c>
      <c r="Q910" s="2717"/>
      <c r="R910" s="2717"/>
      <c r="S910" s="2719"/>
      <c r="T910" s="2717"/>
      <c r="U910" s="2717"/>
      <c r="V910" s="2717"/>
    </row>
    <row r="911" spans="2:23" s="2909" customFormat="1" ht="14.1" customHeight="1" x14ac:dyDescent="0.2">
      <c r="B911" s="2711"/>
      <c r="C911" s="2733"/>
      <c r="D911" s="2733"/>
      <c r="E911" s="2739" t="s">
        <v>339</v>
      </c>
      <c r="F911" s="2739"/>
      <c r="G911" s="2727" t="s">
        <v>298</v>
      </c>
      <c r="H911" s="2740">
        <v>0.19400000000000001</v>
      </c>
      <c r="I911" s="2811">
        <f>'Upah &amp; Bahan'!$I$119</f>
        <v>14300</v>
      </c>
      <c r="J911" s="2729">
        <f>ROUND(H911*I911,2)</f>
        <v>2774.2</v>
      </c>
      <c r="K911" s="2536"/>
      <c r="L911" s="3180">
        <v>0</v>
      </c>
      <c r="M911" s="2732"/>
      <c r="N911" s="2729">
        <f t="shared" si="65"/>
        <v>0</v>
      </c>
      <c r="Q911" s="2717"/>
      <c r="R911" s="2717"/>
      <c r="S911" s="2719"/>
      <c r="T911" s="2717"/>
      <c r="U911" s="2717"/>
      <c r="V911" s="2717"/>
    </row>
    <row r="912" spans="2:23" s="2909" customFormat="1" ht="14.1" customHeight="1" x14ac:dyDescent="0.2">
      <c r="B912" s="2711"/>
      <c r="C912" s="2537"/>
      <c r="D912" s="2733"/>
      <c r="E912" s="2736"/>
      <c r="F912" s="2741"/>
      <c r="G912" s="2742"/>
      <c r="H912" s="2743"/>
      <c r="I912" s="2812"/>
      <c r="J912" s="2813"/>
      <c r="K912" s="2729">
        <f>SUM(J908:J911)</f>
        <v>120614.2</v>
      </c>
      <c r="L912" s="3180"/>
      <c r="M912" s="2732"/>
      <c r="N912" s="2729">
        <f t="shared" si="65"/>
        <v>0</v>
      </c>
      <c r="Q912" s="2717"/>
      <c r="R912" s="2717"/>
      <c r="S912" s="2719"/>
      <c r="T912" s="2717"/>
      <c r="U912" s="2717"/>
      <c r="V912" s="2717"/>
    </row>
    <row r="913" spans="2:22" s="2909" customFormat="1" ht="14.1" customHeight="1" x14ac:dyDescent="0.2">
      <c r="B913" s="2711"/>
      <c r="C913" s="2524" t="s">
        <v>608</v>
      </c>
      <c r="D913" s="2725" t="s">
        <v>288</v>
      </c>
      <c r="E913" s="2739" t="s">
        <v>294</v>
      </c>
      <c r="F913" s="2739"/>
      <c r="G913" s="2727" t="s">
        <v>291</v>
      </c>
      <c r="H913" s="2740">
        <v>0.9</v>
      </c>
      <c r="I913" s="2811">
        <f>'Upah &amp; Bahan'!$I$24</f>
        <v>88300</v>
      </c>
      <c r="J913" s="2729">
        <f>ROUND(H913*I913,2)</f>
        <v>79470</v>
      </c>
      <c r="K913" s="2730"/>
      <c r="L913" s="3180">
        <f>VLOOKUP($E913,$D$1744:$G$1761,2,0)</f>
        <v>1</v>
      </c>
      <c r="M913" s="2731" t="str">
        <f>VLOOKUP($E913,$D$1744:$G$1761,3,0)</f>
        <v>WNI</v>
      </c>
      <c r="N913" s="2729">
        <f t="shared" si="65"/>
        <v>79470</v>
      </c>
      <c r="Q913" s="2717"/>
      <c r="R913" s="2717"/>
      <c r="S913" s="2719"/>
      <c r="T913" s="2717"/>
      <c r="U913" s="2717"/>
      <c r="V913" s="2717"/>
    </row>
    <row r="914" spans="2:22" s="2909" customFormat="1" ht="14.1" customHeight="1" x14ac:dyDescent="0.2">
      <c r="B914" s="2711"/>
      <c r="C914" s="2528"/>
      <c r="D914" s="2733"/>
      <c r="E914" s="2739" t="s">
        <v>295</v>
      </c>
      <c r="F914" s="2739"/>
      <c r="G914" s="2727" t="s">
        <v>291</v>
      </c>
      <c r="H914" s="2740">
        <v>0.45</v>
      </c>
      <c r="I914" s="2811">
        <f>'Upah &amp; Bahan'!$I$32</f>
        <v>90000</v>
      </c>
      <c r="J914" s="2729">
        <f>ROUND(H914*I914,2)</f>
        <v>40500</v>
      </c>
      <c r="K914" s="2734"/>
      <c r="L914" s="3180">
        <f>VLOOKUP($E914,$D$1744:$G$1761,2,0)</f>
        <v>1</v>
      </c>
      <c r="M914" s="2731" t="str">
        <f>VLOOKUP($E914,$D$1744:$G$1761,3,0)</f>
        <v>WNI</v>
      </c>
      <c r="N914" s="2729">
        <f t="shared" si="65"/>
        <v>40500</v>
      </c>
      <c r="Q914" s="2717"/>
      <c r="R914" s="2717"/>
      <c r="S914" s="2719"/>
      <c r="T914" s="2717"/>
      <c r="U914" s="2717"/>
      <c r="V914" s="2717"/>
    </row>
    <row r="915" spans="2:22" s="2909" customFormat="1" ht="14.1" customHeight="1" x14ac:dyDescent="0.2">
      <c r="B915" s="2711"/>
      <c r="C915" s="2733"/>
      <c r="D915" s="2733"/>
      <c r="E915" s="2739" t="s">
        <v>296</v>
      </c>
      <c r="F915" s="2739"/>
      <c r="G915" s="2727" t="s">
        <v>291</v>
      </c>
      <c r="H915" s="2740">
        <v>4.4999999999999998E-2</v>
      </c>
      <c r="I915" s="2814">
        <f>'Upah &amp; Bahan'!$I$26</f>
        <v>96000</v>
      </c>
      <c r="J915" s="2729">
        <f>ROUND(H915*I915,2)</f>
        <v>4320</v>
      </c>
      <c r="K915" s="2734"/>
      <c r="L915" s="3180">
        <f>VLOOKUP($E915,$D$1744:$G$1761,2,0)</f>
        <v>1</v>
      </c>
      <c r="M915" s="2731" t="str">
        <f>VLOOKUP($E915,$D$1744:$G$1761,3,0)</f>
        <v>WNI</v>
      </c>
      <c r="N915" s="2729">
        <f t="shared" si="65"/>
        <v>4320</v>
      </c>
      <c r="Q915" s="2717"/>
      <c r="R915" s="2717"/>
      <c r="S915" s="2719"/>
      <c r="T915" s="2717"/>
      <c r="U915" s="2717"/>
      <c r="V915" s="2717"/>
    </row>
    <row r="916" spans="2:22" s="2909" customFormat="1" ht="14.1" customHeight="1" x14ac:dyDescent="0.2">
      <c r="B916" s="2711"/>
      <c r="C916" s="2733"/>
      <c r="D916" s="2733"/>
      <c r="E916" s="2739" t="s">
        <v>290</v>
      </c>
      <c r="F916" s="2739"/>
      <c r="G916" s="2727" t="s">
        <v>291</v>
      </c>
      <c r="H916" s="2740">
        <v>4.4999999999999998E-2</v>
      </c>
      <c r="I916" s="2811">
        <f>'Upah &amp; Bahan'!$I$31</f>
        <v>90000</v>
      </c>
      <c r="J916" s="2729">
        <f>ROUND(H916*I916,2)</f>
        <v>4050</v>
      </c>
      <c r="K916" s="2733"/>
      <c r="L916" s="3180">
        <f>VLOOKUP($E916,$D$1744:$G$1761,2,0)</f>
        <v>1</v>
      </c>
      <c r="M916" s="2731" t="str">
        <f>VLOOKUP($E916,$D$1744:$G$1761,3,0)</f>
        <v>WNI</v>
      </c>
      <c r="N916" s="2729">
        <f t="shared" si="65"/>
        <v>4050</v>
      </c>
      <c r="Q916" s="2717"/>
      <c r="R916" s="2717"/>
      <c r="S916" s="2719"/>
      <c r="T916" s="2717"/>
      <c r="U916" s="2717"/>
      <c r="V916" s="2717"/>
    </row>
    <row r="917" spans="2:22" s="2909" customFormat="1" ht="14.1" customHeight="1" x14ac:dyDescent="0.2">
      <c r="B917" s="2711"/>
      <c r="C917" s="2537"/>
      <c r="D917" s="2536"/>
      <c r="E917" s="2736"/>
      <c r="F917" s="2741"/>
      <c r="G917" s="2742"/>
      <c r="H917" s="2743"/>
      <c r="I917" s="2812"/>
      <c r="J917" s="2813"/>
      <c r="K917" s="2732">
        <f>SUM(J913:J916)</f>
        <v>128340</v>
      </c>
      <c r="L917" s="2731"/>
      <c r="M917" s="2732"/>
      <c r="N917" s="2729">
        <f t="shared" si="65"/>
        <v>0</v>
      </c>
      <c r="Q917" s="2717"/>
      <c r="R917" s="2717"/>
      <c r="S917" s="2719"/>
      <c r="T917" s="2717"/>
      <c r="U917" s="2717"/>
      <c r="V917" s="2717"/>
    </row>
    <row r="918" spans="2:22" s="2909" customFormat="1" ht="14.1" customHeight="1" x14ac:dyDescent="0.2">
      <c r="B918" s="2711"/>
      <c r="C918" s="2528" t="s">
        <v>609</v>
      </c>
      <c r="D918" s="2725" t="s">
        <v>606</v>
      </c>
      <c r="E918" s="2739"/>
      <c r="F918" s="2739"/>
      <c r="G918" s="2727"/>
      <c r="H918" s="2740"/>
      <c r="I918" s="2814"/>
      <c r="J918" s="2729"/>
      <c r="K918" s="2730"/>
      <c r="L918" s="2731"/>
      <c r="M918" s="2732"/>
      <c r="N918" s="2729">
        <f t="shared" si="65"/>
        <v>0</v>
      </c>
      <c r="Q918" s="2717"/>
      <c r="R918" s="2717"/>
      <c r="S918" s="2719"/>
      <c r="T918" s="2717"/>
      <c r="U918" s="2717"/>
      <c r="V918" s="2717"/>
    </row>
    <row r="919" spans="2:22" s="2909" customFormat="1" ht="14.1" customHeight="1" x14ac:dyDescent="0.2">
      <c r="B919" s="2711"/>
      <c r="C919" s="2537"/>
      <c r="D919" s="2536"/>
      <c r="E919" s="2736"/>
      <c r="F919" s="2741"/>
      <c r="G919" s="2742"/>
      <c r="H919" s="2743"/>
      <c r="I919" s="2744"/>
      <c r="J919" s="2813"/>
      <c r="K919" s="2732">
        <f>SUM(J918:J918)</f>
        <v>0</v>
      </c>
      <c r="L919" s="2731"/>
      <c r="M919" s="2732"/>
      <c r="N919" s="2729">
        <f t="shared" si="65"/>
        <v>0</v>
      </c>
      <c r="Q919" s="2717"/>
      <c r="R919" s="2717"/>
      <c r="S919" s="2719"/>
      <c r="T919" s="2717"/>
      <c r="U919" s="2717"/>
      <c r="V919" s="2717"/>
    </row>
    <row r="920" spans="2:22" s="2909" customFormat="1" ht="14.1" customHeight="1" x14ac:dyDescent="0.2">
      <c r="B920" s="2711"/>
      <c r="C920" s="2537" t="s">
        <v>610</v>
      </c>
      <c r="D920" s="2738" t="s">
        <v>651</v>
      </c>
      <c r="E920" s="2741"/>
      <c r="F920" s="2741"/>
      <c r="G920" s="2742"/>
      <c r="H920" s="2743"/>
      <c r="I920" s="2744"/>
      <c r="J920" s="2745" t="s">
        <v>652</v>
      </c>
      <c r="K920" s="2732">
        <f>K912+K917+K919</f>
        <v>248954.2</v>
      </c>
      <c r="L920" s="2746">
        <f>N920/K920</f>
        <v>0.85772412757045269</v>
      </c>
      <c r="M920" s="2745"/>
      <c r="N920" s="2747">
        <f>SUM(N908:N919)</f>
        <v>213534.024</v>
      </c>
      <c r="Q920" s="2717"/>
      <c r="R920" s="2717"/>
      <c r="S920" s="2719"/>
      <c r="T920" s="2717"/>
      <c r="U920" s="2717"/>
      <c r="V920" s="2717"/>
    </row>
    <row r="921" spans="2:22" s="2909" customFormat="1" ht="14.1" customHeight="1" x14ac:dyDescent="0.2">
      <c r="B921" s="2711"/>
      <c r="C921" s="2537" t="s">
        <v>611</v>
      </c>
      <c r="D921" s="2738" t="s">
        <v>653</v>
      </c>
      <c r="E921" s="2741"/>
      <c r="F921" s="2748">
        <f>$F$42</f>
        <v>0.1</v>
      </c>
      <c r="G921" s="2727" t="s">
        <v>425</v>
      </c>
      <c r="H921" s="2748">
        <f>$H$42</f>
        <v>0.03</v>
      </c>
      <c r="I921" s="2749" t="s">
        <v>424</v>
      </c>
      <c r="J921" s="2732" t="s">
        <v>610</v>
      </c>
      <c r="K921" s="2750">
        <f>ROUND((K920*(F921+H921)),2)</f>
        <v>32364.05</v>
      </c>
      <c r="L921" s="2732"/>
      <c r="M921" s="2732"/>
      <c r="N921" s="2732"/>
      <c r="Q921" s="2717"/>
      <c r="R921" s="2717"/>
      <c r="S921" s="2719"/>
      <c r="T921" s="2717"/>
      <c r="U921" s="2717"/>
      <c r="V921" s="2717"/>
    </row>
    <row r="922" spans="2:22" s="2909" customFormat="1" ht="14.1" customHeight="1" x14ac:dyDescent="0.2">
      <c r="B922" s="2711"/>
      <c r="C922" s="2880" t="s">
        <v>654</v>
      </c>
      <c r="D922" s="2752" t="s">
        <v>301</v>
      </c>
      <c r="E922" s="2815"/>
      <c r="F922" s="2815"/>
      <c r="G922" s="2815"/>
      <c r="H922" s="2816"/>
      <c r="I922" s="2815"/>
      <c r="J922" s="2755" t="s">
        <v>668</v>
      </c>
      <c r="K922" s="2756">
        <f>SUM(K920:K921)</f>
        <v>281318.25</v>
      </c>
      <c r="L922" s="2746"/>
      <c r="M922" s="2755"/>
      <c r="N922" s="2757"/>
      <c r="Q922" s="2717"/>
      <c r="R922" s="2717"/>
      <c r="S922" s="2719"/>
      <c r="T922" s="2717"/>
      <c r="U922" s="2717"/>
      <c r="V922" s="2717"/>
    </row>
    <row r="923" spans="2:22" x14ac:dyDescent="0.25">
      <c r="Q923" s="2717"/>
      <c r="R923" s="2717"/>
      <c r="S923" s="2719"/>
      <c r="T923" s="2717"/>
      <c r="U923" s="2717"/>
      <c r="V923" s="2717"/>
    </row>
    <row r="924" spans="2:22" s="2721" customFormat="1" ht="14.1" customHeight="1" x14ac:dyDescent="0.2">
      <c r="B924" s="2711">
        <f>B903+1</f>
        <v>46</v>
      </c>
      <c r="C924" s="2711"/>
      <c r="D924" s="2909" t="s">
        <v>814</v>
      </c>
      <c r="E924" s="2713"/>
      <c r="F924" s="2713"/>
      <c r="G924" s="2713"/>
      <c r="H924" s="2714"/>
      <c r="I924" s="2713"/>
      <c r="J924" s="2713"/>
      <c r="K924" s="2715" t="s">
        <v>720</v>
      </c>
      <c r="L924" s="2715"/>
      <c r="M924" s="2715"/>
      <c r="N924" s="2715"/>
      <c r="O924" s="2721" t="str">
        <f>D925</f>
        <v>m'</v>
      </c>
      <c r="P924" s="2810">
        <f>K943</f>
        <v>65535.37</v>
      </c>
      <c r="Q924" s="2718">
        <f>L941</f>
        <v>0.7887839071382633</v>
      </c>
      <c r="R924" s="2717"/>
      <c r="S924" s="2719">
        <f>N941</f>
        <v>45746.232600000003</v>
      </c>
      <c r="T924" s="2515">
        <f>U924+S924</f>
        <v>51693.242838000006</v>
      </c>
      <c r="U924" s="2719">
        <f>S924*V924</f>
        <v>5947.0102380000008</v>
      </c>
      <c r="V924" s="2718">
        <f>$F$42+$H$42</f>
        <v>0.13</v>
      </c>
    </row>
    <row r="925" spans="2:22" s="2721" customFormat="1" ht="14.1" customHeight="1" x14ac:dyDescent="0.2">
      <c r="B925" s="2711"/>
      <c r="C925" s="2711"/>
      <c r="D925" s="2721" t="s">
        <v>247</v>
      </c>
      <c r="H925" s="2711"/>
      <c r="Q925" s="2717"/>
      <c r="R925" s="2717"/>
      <c r="S925" s="2719"/>
      <c r="T925" s="2717"/>
      <c r="U925" s="2717"/>
      <c r="V925" s="2717"/>
    </row>
    <row r="926" spans="2:22" s="2721" customFormat="1" ht="14.1" customHeight="1" x14ac:dyDescent="0.2">
      <c r="B926" s="2711"/>
      <c r="C926" s="2524"/>
      <c r="D926" s="3436" t="s">
        <v>280</v>
      </c>
      <c r="E926" s="3437"/>
      <c r="F926" s="2722"/>
      <c r="G926" s="3440" t="s">
        <v>281</v>
      </c>
      <c r="H926" s="3440" t="s">
        <v>282</v>
      </c>
      <c r="I926" s="2524" t="s">
        <v>283</v>
      </c>
      <c r="J926" s="2524" t="s">
        <v>284</v>
      </c>
      <c r="K926" s="2524" t="s">
        <v>340</v>
      </c>
      <c r="L926" s="2524" t="s">
        <v>2008</v>
      </c>
      <c r="M926" s="2524" t="s">
        <v>2009</v>
      </c>
      <c r="N926" s="2524" t="s">
        <v>284</v>
      </c>
      <c r="Q926" s="2717"/>
      <c r="R926" s="2717"/>
      <c r="S926" s="2719"/>
      <c r="T926" s="2717"/>
      <c r="U926" s="2717"/>
      <c r="V926" s="2717"/>
    </row>
    <row r="927" spans="2:22" s="2721" customFormat="1" ht="14.1" customHeight="1" x14ac:dyDescent="0.2">
      <c r="B927" s="2711"/>
      <c r="C927" s="2528" t="s">
        <v>669</v>
      </c>
      <c r="D927" s="3438"/>
      <c r="E927" s="3439"/>
      <c r="F927" s="2723"/>
      <c r="G927" s="3441"/>
      <c r="H927" s="3441"/>
      <c r="I927" s="2528" t="s">
        <v>285</v>
      </c>
      <c r="J927" s="2528" t="s">
        <v>286</v>
      </c>
      <c r="K927" s="2528" t="s">
        <v>286</v>
      </c>
      <c r="L927" s="2528" t="s">
        <v>2011</v>
      </c>
      <c r="M927" s="2528"/>
      <c r="N927" s="2528" t="s">
        <v>2013</v>
      </c>
      <c r="Q927" s="2717"/>
      <c r="R927" s="2717"/>
      <c r="S927" s="2719"/>
      <c r="T927" s="2717"/>
      <c r="U927" s="2717"/>
      <c r="V927" s="2717"/>
    </row>
    <row r="928" spans="2:22" s="2721" customFormat="1" ht="14.1" customHeight="1" x14ac:dyDescent="0.2">
      <c r="B928" s="2711"/>
      <c r="C928" s="2537"/>
      <c r="D928" s="3431"/>
      <c r="E928" s="3432"/>
      <c r="F928" s="2724"/>
      <c r="G928" s="3435"/>
      <c r="H928" s="3435"/>
      <c r="I928" s="2537" t="s">
        <v>286</v>
      </c>
      <c r="J928" s="2536"/>
      <c r="K928" s="2536"/>
      <c r="L928" s="2536"/>
      <c r="M928" s="2536"/>
      <c r="N928" s="2537" t="s">
        <v>286</v>
      </c>
      <c r="Q928" s="2717"/>
      <c r="R928" s="2717"/>
      <c r="S928" s="2719"/>
      <c r="T928" s="2717"/>
      <c r="U928" s="2717"/>
      <c r="V928" s="2717"/>
    </row>
    <row r="929" spans="2:24" s="2721" customFormat="1" ht="14.1" customHeight="1" x14ac:dyDescent="0.2">
      <c r="B929" s="2711"/>
      <c r="C929" s="2524" t="s">
        <v>607</v>
      </c>
      <c r="D929" s="2733" t="s">
        <v>287</v>
      </c>
      <c r="E929" s="2739" t="s">
        <v>600</v>
      </c>
      <c r="F929" s="2739"/>
      <c r="G929" s="2727" t="s">
        <v>240</v>
      </c>
      <c r="H929" s="2740">
        <v>2.625</v>
      </c>
      <c r="I929" s="2729">
        <f>'Upah &amp; Bahan'!I135</f>
        <v>15000</v>
      </c>
      <c r="J929" s="2729">
        <f>ROUND(H929*I929,2)</f>
        <v>39375</v>
      </c>
      <c r="K929" s="2730"/>
      <c r="L929" s="3180">
        <f>$L$803</f>
        <v>0.69620000000000004</v>
      </c>
      <c r="M929" s="2732" t="s">
        <v>2029</v>
      </c>
      <c r="N929" s="2729">
        <f t="shared" ref="N929:N940" si="66">L929*J929</f>
        <v>27412.875</v>
      </c>
      <c r="P929" s="2721">
        <f>1/0.4</f>
        <v>2.5</v>
      </c>
      <c r="Q929" s="2717"/>
      <c r="R929" s="2717"/>
      <c r="S929" s="2719"/>
      <c r="T929" s="2717"/>
      <c r="U929" s="2717"/>
      <c r="V929" s="2717"/>
      <c r="W929" s="2721">
        <v>1.05</v>
      </c>
      <c r="X929" s="2721">
        <f>P929*W929</f>
        <v>2.625</v>
      </c>
    </row>
    <row r="930" spans="2:24" s="2721" customFormat="1" ht="14.1" customHeight="1" x14ac:dyDescent="0.2">
      <c r="B930" s="2711"/>
      <c r="C930" s="2733"/>
      <c r="D930" s="2733"/>
      <c r="E930" s="2739" t="s">
        <v>300</v>
      </c>
      <c r="F930" s="2739"/>
      <c r="G930" s="2727" t="s">
        <v>298</v>
      </c>
      <c r="H930" s="2740">
        <v>0.56999999999999995</v>
      </c>
      <c r="I930" s="2811">
        <f>'Upah &amp; Bahan'!$I$118</f>
        <v>1200</v>
      </c>
      <c r="J930" s="2729">
        <f>ROUND(H930*I930,2)</f>
        <v>684</v>
      </c>
      <c r="K930" s="2734"/>
      <c r="L930" s="3180">
        <f>$L$192</f>
        <v>0.85140000000000005</v>
      </c>
      <c r="M930" s="2732" t="s">
        <v>2029</v>
      </c>
      <c r="N930" s="2729">
        <f t="shared" si="66"/>
        <v>582.35760000000005</v>
      </c>
      <c r="Q930" s="2717"/>
      <c r="R930" s="2717"/>
      <c r="S930" s="2719"/>
      <c r="T930" s="2717"/>
      <c r="U930" s="2717"/>
      <c r="V930" s="2717"/>
    </row>
    <row r="931" spans="2:24" s="2721" customFormat="1" ht="14.1" customHeight="1" x14ac:dyDescent="0.2">
      <c r="B931" s="2711"/>
      <c r="C931" s="2733"/>
      <c r="D931" s="2733"/>
      <c r="E931" s="2739" t="s">
        <v>331</v>
      </c>
      <c r="F931" s="2739"/>
      <c r="G931" s="2727" t="s">
        <v>293</v>
      </c>
      <c r="H931" s="2889">
        <v>1.5E-3</v>
      </c>
      <c r="I931" s="2811">
        <f>'Upah &amp; Bahan'!$I$121</f>
        <v>260000</v>
      </c>
      <c r="J931" s="2729">
        <f>ROUND(H931*I931,2)</f>
        <v>390</v>
      </c>
      <c r="K931" s="2733"/>
      <c r="L931" s="3180">
        <v>1</v>
      </c>
      <c r="M931" s="2732"/>
      <c r="N931" s="2729">
        <f t="shared" si="66"/>
        <v>390</v>
      </c>
      <c r="Q931" s="2717"/>
      <c r="R931" s="2717"/>
      <c r="S931" s="2719"/>
      <c r="T931" s="2717"/>
      <c r="U931" s="2717"/>
      <c r="V931" s="2717"/>
    </row>
    <row r="932" spans="2:24" s="2721" customFormat="1" ht="14.1" customHeight="1" x14ac:dyDescent="0.2">
      <c r="B932" s="2711"/>
      <c r="C932" s="2528"/>
      <c r="D932" s="2733"/>
      <c r="E932" s="2739" t="s">
        <v>339</v>
      </c>
      <c r="F932" s="2739"/>
      <c r="G932" s="2727" t="s">
        <v>298</v>
      </c>
      <c r="H932" s="2740">
        <v>1.2999999999999999E-2</v>
      </c>
      <c r="I932" s="2811">
        <f>'Upah &amp; Bahan'!$I$119</f>
        <v>14300</v>
      </c>
      <c r="J932" s="2729">
        <f>ROUND(H932*I932,2)</f>
        <v>185.9</v>
      </c>
      <c r="K932" s="2536"/>
      <c r="L932" s="3180">
        <v>0</v>
      </c>
      <c r="M932" s="2732"/>
      <c r="N932" s="2729">
        <f t="shared" si="66"/>
        <v>0</v>
      </c>
      <c r="Q932" s="2717"/>
      <c r="R932" s="2717"/>
      <c r="S932" s="2719"/>
      <c r="T932" s="2717"/>
      <c r="U932" s="2717"/>
      <c r="V932" s="2717"/>
    </row>
    <row r="933" spans="2:24" s="2721" customFormat="1" ht="14.1" customHeight="1" x14ac:dyDescent="0.2">
      <c r="B933" s="2711"/>
      <c r="C933" s="2537"/>
      <c r="D933" s="2733"/>
      <c r="E933" s="2736"/>
      <c r="F933" s="2741"/>
      <c r="G933" s="2742"/>
      <c r="H933" s="2743"/>
      <c r="I933" s="2812"/>
      <c r="J933" s="2813"/>
      <c r="K933" s="2729">
        <f>SUM(J929:J932)</f>
        <v>40634.9</v>
      </c>
      <c r="L933" s="3180"/>
      <c r="M933" s="2732"/>
      <c r="N933" s="2729">
        <f t="shared" si="66"/>
        <v>0</v>
      </c>
      <c r="Q933" s="2717"/>
      <c r="R933" s="2717"/>
      <c r="S933" s="2719"/>
      <c r="T933" s="2717"/>
      <c r="U933" s="2717"/>
      <c r="V933" s="2717"/>
    </row>
    <row r="934" spans="2:24" s="2721" customFormat="1" ht="14.1" customHeight="1" x14ac:dyDescent="0.2">
      <c r="B934" s="2711"/>
      <c r="C934" s="2524" t="s">
        <v>608</v>
      </c>
      <c r="D934" s="2725" t="s">
        <v>288</v>
      </c>
      <c r="E934" s="2739" t="s">
        <v>294</v>
      </c>
      <c r="F934" s="2739"/>
      <c r="G934" s="2727" t="s">
        <v>291</v>
      </c>
      <c r="H934" s="2740">
        <v>0.09</v>
      </c>
      <c r="I934" s="2811">
        <f>'Upah &amp; Bahan'!$I$24</f>
        <v>88300</v>
      </c>
      <c r="J934" s="2729">
        <f>ROUND(H934*I934,2)</f>
        <v>7947</v>
      </c>
      <c r="K934" s="2730"/>
      <c r="L934" s="3180">
        <f>VLOOKUP($E934,$D$1744:$G$1761,2,0)</f>
        <v>1</v>
      </c>
      <c r="M934" s="2731" t="str">
        <f>VLOOKUP($E934,$D$1744:$G$1761,3,0)</f>
        <v>WNI</v>
      </c>
      <c r="N934" s="2729">
        <f t="shared" si="66"/>
        <v>7947</v>
      </c>
      <c r="Q934" s="2717"/>
      <c r="R934" s="2717"/>
      <c r="S934" s="2719"/>
      <c r="T934" s="2717"/>
      <c r="U934" s="2717"/>
      <c r="V934" s="2717"/>
    </row>
    <row r="935" spans="2:24" s="2721" customFormat="1" ht="14.1" customHeight="1" x14ac:dyDescent="0.2">
      <c r="B935" s="2711"/>
      <c r="C935" s="2733"/>
      <c r="D935" s="2733"/>
      <c r="E935" s="2739" t="s">
        <v>295</v>
      </c>
      <c r="F935" s="2739"/>
      <c r="G935" s="2727" t="s">
        <v>291</v>
      </c>
      <c r="H935" s="2740">
        <v>0.09</v>
      </c>
      <c r="I935" s="2811">
        <f>'Upah &amp; Bahan'!$I$32</f>
        <v>90000</v>
      </c>
      <c r="J935" s="2729">
        <f>ROUND(H935*I935,2)</f>
        <v>8100</v>
      </c>
      <c r="K935" s="2734"/>
      <c r="L935" s="3180">
        <f>VLOOKUP($E935,$D$1744:$G$1761,2,0)</f>
        <v>1</v>
      </c>
      <c r="M935" s="2731" t="str">
        <f>VLOOKUP($E935,$D$1744:$G$1761,3,0)</f>
        <v>WNI</v>
      </c>
      <c r="N935" s="2729">
        <f t="shared" si="66"/>
        <v>8100</v>
      </c>
      <c r="Q935" s="2717"/>
      <c r="R935" s="2717"/>
      <c r="S935" s="2719"/>
      <c r="T935" s="2717"/>
      <c r="U935" s="2717"/>
      <c r="V935" s="2717"/>
    </row>
    <row r="936" spans="2:24" s="2721" customFormat="1" ht="14.1" customHeight="1" x14ac:dyDescent="0.2">
      <c r="B936" s="2711"/>
      <c r="C936" s="2733"/>
      <c r="D936" s="2733"/>
      <c r="E936" s="2739" t="s">
        <v>296</v>
      </c>
      <c r="F936" s="2739"/>
      <c r="G936" s="2727" t="s">
        <v>291</v>
      </c>
      <c r="H936" s="2740">
        <v>8.9999999999999993E-3</v>
      </c>
      <c r="I936" s="2814">
        <f>'Upah &amp; Bahan'!$I$26</f>
        <v>96000</v>
      </c>
      <c r="J936" s="2729">
        <f>ROUND(H936*I936,2)</f>
        <v>864</v>
      </c>
      <c r="K936" s="2734"/>
      <c r="L936" s="3180">
        <f>VLOOKUP($E936,$D$1744:$G$1761,2,0)</f>
        <v>1</v>
      </c>
      <c r="M936" s="2731" t="str">
        <f>VLOOKUP($E936,$D$1744:$G$1761,3,0)</f>
        <v>WNI</v>
      </c>
      <c r="N936" s="2729">
        <f t="shared" si="66"/>
        <v>864</v>
      </c>
      <c r="Q936" s="2717"/>
      <c r="R936" s="2717"/>
      <c r="S936" s="2719"/>
      <c r="T936" s="2717"/>
      <c r="U936" s="2717"/>
      <c r="V936" s="2717"/>
    </row>
    <row r="937" spans="2:24" s="2721" customFormat="1" ht="14.1" customHeight="1" x14ac:dyDescent="0.2">
      <c r="B937" s="2711"/>
      <c r="C937" s="2733"/>
      <c r="D937" s="2733"/>
      <c r="E937" s="2739" t="s">
        <v>290</v>
      </c>
      <c r="F937" s="2739"/>
      <c r="G937" s="2727" t="s">
        <v>291</v>
      </c>
      <c r="H937" s="2740">
        <v>5.0000000000000001E-3</v>
      </c>
      <c r="I937" s="2811">
        <f>'Upah &amp; Bahan'!$I$31</f>
        <v>90000</v>
      </c>
      <c r="J937" s="2729">
        <f>ROUND(H937*I937,2)</f>
        <v>450</v>
      </c>
      <c r="K937" s="2733"/>
      <c r="L937" s="3180">
        <f>VLOOKUP($E937,$D$1744:$G$1761,2,0)</f>
        <v>1</v>
      </c>
      <c r="M937" s="2731" t="str">
        <f>VLOOKUP($E937,$D$1744:$G$1761,3,0)</f>
        <v>WNI</v>
      </c>
      <c r="N937" s="2729">
        <f t="shared" si="66"/>
        <v>450</v>
      </c>
      <c r="Q937" s="2717"/>
      <c r="R937" s="2717"/>
      <c r="S937" s="2719"/>
      <c r="T937" s="2717"/>
      <c r="U937" s="2717"/>
      <c r="V937" s="2717"/>
    </row>
    <row r="938" spans="2:24" s="2721" customFormat="1" ht="14.1" customHeight="1" x14ac:dyDescent="0.2">
      <c r="B938" s="2711"/>
      <c r="C938" s="2537"/>
      <c r="D938" s="2536"/>
      <c r="E938" s="2736"/>
      <c r="F938" s="2741"/>
      <c r="G938" s="2742"/>
      <c r="H938" s="2743"/>
      <c r="I938" s="2812"/>
      <c r="J938" s="2813"/>
      <c r="K938" s="2732">
        <f>SUM(J934:J937)</f>
        <v>17361</v>
      </c>
      <c r="L938" s="2731"/>
      <c r="M938" s="2732"/>
      <c r="N938" s="2729">
        <f t="shared" si="66"/>
        <v>0</v>
      </c>
      <c r="Q938" s="2717"/>
      <c r="R938" s="2717"/>
      <c r="S938" s="2719"/>
      <c r="T938" s="2717"/>
      <c r="U938" s="2717"/>
      <c r="V938" s="2717"/>
    </row>
    <row r="939" spans="2:24" s="2721" customFormat="1" ht="14.1" customHeight="1" x14ac:dyDescent="0.2">
      <c r="B939" s="2711"/>
      <c r="C939" s="2528" t="s">
        <v>609</v>
      </c>
      <c r="D939" s="2725" t="s">
        <v>606</v>
      </c>
      <c r="E939" s="2739"/>
      <c r="F939" s="2739"/>
      <c r="G939" s="2727"/>
      <c r="H939" s="2740"/>
      <c r="I939" s="2814"/>
      <c r="J939" s="2729"/>
      <c r="K939" s="2730"/>
      <c r="L939" s="2731"/>
      <c r="M939" s="2732"/>
      <c r="N939" s="2729">
        <f t="shared" si="66"/>
        <v>0</v>
      </c>
      <c r="Q939" s="2717"/>
      <c r="R939" s="2717"/>
      <c r="S939" s="2719"/>
      <c r="T939" s="2717"/>
      <c r="U939" s="2717"/>
      <c r="V939" s="2717"/>
    </row>
    <row r="940" spans="2:24" s="2721" customFormat="1" ht="14.1" customHeight="1" x14ac:dyDescent="0.2">
      <c r="B940" s="2711"/>
      <c r="C940" s="2536"/>
      <c r="D940" s="2536"/>
      <c r="E940" s="2736"/>
      <c r="F940" s="2741"/>
      <c r="G940" s="2742"/>
      <c r="H940" s="2743"/>
      <c r="I940" s="2744"/>
      <c r="J940" s="2813"/>
      <c r="K940" s="2732">
        <f>SUM(J939:J939)</f>
        <v>0</v>
      </c>
      <c r="L940" s="2731"/>
      <c r="M940" s="2732"/>
      <c r="N940" s="2729">
        <f t="shared" si="66"/>
        <v>0</v>
      </c>
      <c r="Q940" s="2717"/>
      <c r="R940" s="2717"/>
      <c r="S940" s="2719"/>
      <c r="T940" s="2717"/>
      <c r="U940" s="2717"/>
      <c r="V940" s="2717"/>
    </row>
    <row r="941" spans="2:24" s="2721" customFormat="1" ht="14.1" customHeight="1" x14ac:dyDescent="0.2">
      <c r="B941" s="2711"/>
      <c r="C941" s="2537" t="s">
        <v>610</v>
      </c>
      <c r="D941" s="2738" t="s">
        <v>651</v>
      </c>
      <c r="E941" s="2741"/>
      <c r="F941" s="2741"/>
      <c r="G941" s="2742"/>
      <c r="H941" s="2743"/>
      <c r="I941" s="2744"/>
      <c r="J941" s="2745" t="s">
        <v>652</v>
      </c>
      <c r="K941" s="2732">
        <f>K933+K938+K940</f>
        <v>57995.9</v>
      </c>
      <c r="L941" s="2746">
        <f>N941/K941</f>
        <v>0.7887839071382633</v>
      </c>
      <c r="M941" s="2745"/>
      <c r="N941" s="2747">
        <f>SUM(N929:N940)</f>
        <v>45746.232600000003</v>
      </c>
      <c r="Q941" s="2717"/>
      <c r="R941" s="2717"/>
      <c r="S941" s="2719"/>
      <c r="T941" s="2717"/>
      <c r="U941" s="2717"/>
      <c r="V941" s="2717"/>
    </row>
    <row r="942" spans="2:24" s="2721" customFormat="1" ht="14.1" customHeight="1" x14ac:dyDescent="0.2">
      <c r="B942" s="2711"/>
      <c r="C942" s="2537" t="s">
        <v>611</v>
      </c>
      <c r="D942" s="2738" t="s">
        <v>653</v>
      </c>
      <c r="E942" s="2741"/>
      <c r="F942" s="2748">
        <f>$F$42</f>
        <v>0.1</v>
      </c>
      <c r="G942" s="2727" t="s">
        <v>425</v>
      </c>
      <c r="H942" s="2748">
        <f>$H$42</f>
        <v>0.03</v>
      </c>
      <c r="I942" s="2749" t="s">
        <v>424</v>
      </c>
      <c r="J942" s="2732" t="s">
        <v>610</v>
      </c>
      <c r="K942" s="2750">
        <f>ROUND((K941*(F942+H942)),2)</f>
        <v>7539.47</v>
      </c>
      <c r="L942" s="2732"/>
      <c r="M942" s="2732"/>
      <c r="N942" s="2732"/>
      <c r="Q942" s="2717"/>
      <c r="R942" s="2717"/>
      <c r="S942" s="2719"/>
      <c r="T942" s="2717"/>
      <c r="U942" s="2717"/>
      <c r="V942" s="2717"/>
    </row>
    <row r="943" spans="2:24" s="2721" customFormat="1" ht="14.1" customHeight="1" x14ac:dyDescent="0.2">
      <c r="B943" s="2711"/>
      <c r="C943" s="2880" t="s">
        <v>654</v>
      </c>
      <c r="D943" s="2752" t="s">
        <v>301</v>
      </c>
      <c r="E943" s="2815"/>
      <c r="F943" s="2815"/>
      <c r="G943" s="2815"/>
      <c r="H943" s="2816"/>
      <c r="I943" s="2815"/>
      <c r="J943" s="2755" t="s">
        <v>668</v>
      </c>
      <c r="K943" s="2756">
        <f>SUM(K941:K942)</f>
        <v>65535.37</v>
      </c>
      <c r="L943" s="2746"/>
      <c r="M943" s="2755"/>
      <c r="N943" s="2757"/>
      <c r="Q943" s="2717"/>
      <c r="R943" s="2717"/>
      <c r="S943" s="2719"/>
      <c r="T943" s="2717"/>
      <c r="U943" s="2717"/>
      <c r="V943" s="2717"/>
    </row>
    <row r="944" spans="2:24" x14ac:dyDescent="0.25">
      <c r="Q944" s="2717"/>
      <c r="R944" s="2717"/>
      <c r="S944" s="2719"/>
      <c r="T944" s="2717"/>
      <c r="U944" s="2717"/>
      <c r="V944" s="2717"/>
    </row>
    <row r="945" spans="1:22" s="2721" customFormat="1" ht="14.1" customHeight="1" x14ac:dyDescent="0.2">
      <c r="A945" s="3182"/>
      <c r="B945" s="2711">
        <f>B924+1</f>
        <v>47</v>
      </c>
      <c r="C945" s="2711"/>
      <c r="D945" s="2713" t="s">
        <v>1963</v>
      </c>
      <c r="E945" s="2713"/>
      <c r="F945" s="2713"/>
      <c r="G945" s="2713"/>
      <c r="H945" s="2714"/>
      <c r="I945" s="2713"/>
      <c r="J945" s="2713"/>
      <c r="K945" s="2919" t="s">
        <v>720</v>
      </c>
      <c r="L945" s="2919"/>
      <c r="M945" s="2919"/>
      <c r="N945" s="2919"/>
      <c r="O945" s="2721" t="str">
        <f>D946</f>
        <v>m2</v>
      </c>
      <c r="P945" s="2810">
        <f>K962</f>
        <v>108751.2</v>
      </c>
      <c r="Q945" s="2718">
        <f>L960</f>
        <v>0.57070756442227766</v>
      </c>
      <c r="R945" s="2717"/>
      <c r="S945" s="2719">
        <f>N960</f>
        <v>54924.896000000001</v>
      </c>
      <c r="T945" s="2515">
        <f>U945+S945</f>
        <v>62065.13248</v>
      </c>
      <c r="U945" s="2719">
        <f>S945*V945</f>
        <v>7140.2364800000005</v>
      </c>
      <c r="V945" s="2718">
        <f>$F$42+$H$42</f>
        <v>0.13</v>
      </c>
    </row>
    <row r="946" spans="1:22" s="2721" customFormat="1" ht="14.1" customHeight="1" x14ac:dyDescent="0.2">
      <c r="B946" s="2711"/>
      <c r="C946" s="2711"/>
      <c r="D946" s="2721" t="s">
        <v>338</v>
      </c>
      <c r="H946" s="2711"/>
      <c r="Q946" s="2717"/>
      <c r="R946" s="2717"/>
      <c r="S946" s="2719"/>
      <c r="T946" s="2717"/>
      <c r="U946" s="2717"/>
      <c r="V946" s="2717"/>
    </row>
    <row r="947" spans="1:22" s="2721" customFormat="1" ht="14.1" customHeight="1" x14ac:dyDescent="0.2">
      <c r="B947" s="2711"/>
      <c r="C947" s="2524"/>
      <c r="D947" s="3427" t="s">
        <v>280</v>
      </c>
      <c r="E947" s="3428"/>
      <c r="F947" s="2722"/>
      <c r="G947" s="3433" t="s">
        <v>281</v>
      </c>
      <c r="H947" s="3433" t="s">
        <v>282</v>
      </c>
      <c r="I947" s="2524" t="s">
        <v>283</v>
      </c>
      <c r="J947" s="2524" t="s">
        <v>284</v>
      </c>
      <c r="K947" s="2524" t="s">
        <v>340</v>
      </c>
      <c r="L947" s="2524" t="s">
        <v>2008</v>
      </c>
      <c r="M947" s="2524" t="s">
        <v>2009</v>
      </c>
      <c r="N947" s="2524" t="s">
        <v>284</v>
      </c>
      <c r="Q947" s="2717"/>
      <c r="R947" s="2717"/>
      <c r="S947" s="2719"/>
      <c r="T947" s="2717"/>
      <c r="U947" s="2717"/>
      <c r="V947" s="2717"/>
    </row>
    <row r="948" spans="1:22" s="2721" customFormat="1" ht="14.1" customHeight="1" x14ac:dyDescent="0.2">
      <c r="B948" s="2711"/>
      <c r="C948" s="2528" t="s">
        <v>669</v>
      </c>
      <c r="D948" s="3429"/>
      <c r="E948" s="3430"/>
      <c r="F948" s="2723"/>
      <c r="G948" s="3434"/>
      <c r="H948" s="3434"/>
      <c r="I948" s="2528" t="s">
        <v>285</v>
      </c>
      <c r="J948" s="2528" t="s">
        <v>286</v>
      </c>
      <c r="K948" s="2528" t="s">
        <v>286</v>
      </c>
      <c r="L948" s="2528" t="s">
        <v>2011</v>
      </c>
      <c r="M948" s="2528"/>
      <c r="N948" s="2528" t="s">
        <v>2013</v>
      </c>
      <c r="Q948" s="2717"/>
      <c r="R948" s="2717"/>
      <c r="S948" s="2719"/>
      <c r="T948" s="2717"/>
      <c r="U948" s="2717"/>
      <c r="V948" s="2717"/>
    </row>
    <row r="949" spans="1:22" s="2721" customFormat="1" ht="14.1" customHeight="1" x14ac:dyDescent="0.2">
      <c r="B949" s="2711"/>
      <c r="C949" s="2537"/>
      <c r="D949" s="3431"/>
      <c r="E949" s="3432"/>
      <c r="F949" s="2724"/>
      <c r="G949" s="3435"/>
      <c r="H949" s="3435"/>
      <c r="I949" s="2537" t="s">
        <v>286</v>
      </c>
      <c r="J949" s="2536"/>
      <c r="K949" s="2536"/>
      <c r="L949" s="2536"/>
      <c r="M949" s="2536"/>
      <c r="N949" s="2537" t="s">
        <v>286</v>
      </c>
      <c r="Q949" s="2717"/>
      <c r="R949" s="2717"/>
      <c r="S949" s="2719"/>
      <c r="T949" s="2717"/>
      <c r="U949" s="2717"/>
      <c r="V949" s="2717"/>
    </row>
    <row r="950" spans="1:22" s="2721" customFormat="1" ht="14.1" customHeight="1" x14ac:dyDescent="0.2">
      <c r="B950" s="2711"/>
      <c r="C950" s="2524" t="s">
        <v>607</v>
      </c>
      <c r="D950" s="2733" t="s">
        <v>287</v>
      </c>
      <c r="E950" s="2739" t="s">
        <v>1962</v>
      </c>
      <c r="F950" s="2739"/>
      <c r="G950" s="2727" t="s">
        <v>338</v>
      </c>
      <c r="H950" s="2740">
        <v>0.748</v>
      </c>
      <c r="I950" s="2814">
        <f>'Upah &amp; Bahan'!$I$51</f>
        <v>92000</v>
      </c>
      <c r="J950" s="2729">
        <f>ROUND(H950*I950,2)</f>
        <v>68816</v>
      </c>
      <c r="K950" s="2730"/>
      <c r="L950" s="3180">
        <v>0.50600000000000001</v>
      </c>
      <c r="M950" s="2732" t="s">
        <v>2029</v>
      </c>
      <c r="N950" s="2729">
        <f t="shared" ref="N950:N959" si="67">L950*J950</f>
        <v>34820.896000000001</v>
      </c>
      <c r="Q950" s="2717"/>
      <c r="R950" s="2717"/>
      <c r="S950" s="2719"/>
      <c r="T950" s="2717"/>
      <c r="U950" s="2717"/>
      <c r="V950" s="2717"/>
    </row>
    <row r="951" spans="1:22" s="2721" customFormat="1" ht="14.1" customHeight="1" x14ac:dyDescent="0.2">
      <c r="B951" s="2711"/>
      <c r="C951" s="2733"/>
      <c r="D951" s="2733"/>
      <c r="E951" s="2958" t="s">
        <v>711</v>
      </c>
      <c r="F951" s="2739"/>
      <c r="G951" s="2727" t="s">
        <v>265</v>
      </c>
      <c r="H951" s="2740">
        <v>9.15</v>
      </c>
      <c r="I951" s="2814">
        <f>'Upah &amp; Bahan'!$I$113</f>
        <v>800</v>
      </c>
      <c r="J951" s="2729">
        <f>ROUND(H951*I951,2)</f>
        <v>7320</v>
      </c>
      <c r="K951" s="2734"/>
      <c r="L951" s="3180">
        <v>0</v>
      </c>
      <c r="M951" s="2732"/>
      <c r="N951" s="2729">
        <f t="shared" si="67"/>
        <v>0</v>
      </c>
      <c r="Q951" s="2717"/>
      <c r="R951" s="2717"/>
      <c r="S951" s="2719"/>
      <c r="T951" s="2717"/>
      <c r="U951" s="2717"/>
      <c r="V951" s="2717"/>
    </row>
    <row r="952" spans="1:22" s="2721" customFormat="1" ht="14.1" customHeight="1" x14ac:dyDescent="0.2">
      <c r="B952" s="2711"/>
      <c r="C952" s="2537"/>
      <c r="D952" s="2733"/>
      <c r="E952" s="2736"/>
      <c r="F952" s="2741"/>
      <c r="G952" s="2742"/>
      <c r="H952" s="2743"/>
      <c r="I952" s="2744"/>
      <c r="J952" s="2813"/>
      <c r="K952" s="2729">
        <f>SUM(J950:J951)</f>
        <v>76136</v>
      </c>
      <c r="L952" s="3180"/>
      <c r="M952" s="2732"/>
      <c r="N952" s="2729">
        <f t="shared" si="67"/>
        <v>0</v>
      </c>
      <c r="Q952" s="2717"/>
      <c r="R952" s="2717"/>
      <c r="S952" s="2719"/>
      <c r="T952" s="2717"/>
      <c r="U952" s="2717"/>
      <c r="V952" s="2717"/>
    </row>
    <row r="953" spans="1:22" s="2721" customFormat="1" ht="14.1" customHeight="1" x14ac:dyDescent="0.2">
      <c r="B953" s="2711"/>
      <c r="C953" s="2524" t="s">
        <v>608</v>
      </c>
      <c r="D953" s="2725" t="s">
        <v>288</v>
      </c>
      <c r="E953" s="2739" t="s">
        <v>294</v>
      </c>
      <c r="F953" s="2739"/>
      <c r="G953" s="2727" t="s">
        <v>291</v>
      </c>
      <c r="H953" s="2740">
        <v>0.14000000000000001</v>
      </c>
      <c r="I953" s="2814">
        <f>'Upah &amp; Bahan'!$I$24</f>
        <v>88300</v>
      </c>
      <c r="J953" s="2729">
        <f>ROUND(H953*I953,2)</f>
        <v>12362</v>
      </c>
      <c r="K953" s="2730"/>
      <c r="L953" s="3180">
        <f>VLOOKUP($E953,$D$1744:$G$1761,2,0)</f>
        <v>1</v>
      </c>
      <c r="M953" s="2731" t="str">
        <f>VLOOKUP($E953,$D$1744:$G$1761,3,0)</f>
        <v>WNI</v>
      </c>
      <c r="N953" s="2729">
        <f t="shared" si="67"/>
        <v>12362</v>
      </c>
      <c r="Q953" s="2717"/>
      <c r="R953" s="2717"/>
      <c r="S953" s="2719"/>
      <c r="T953" s="2717"/>
      <c r="U953" s="2717"/>
      <c r="V953" s="2717"/>
    </row>
    <row r="954" spans="1:22" s="2721" customFormat="1" ht="14.1" customHeight="1" x14ac:dyDescent="0.2">
      <c r="B954" s="2711"/>
      <c r="C954" s="2733"/>
      <c r="D954" s="2733"/>
      <c r="E954" s="2739" t="s">
        <v>327</v>
      </c>
      <c r="F954" s="2739"/>
      <c r="G954" s="2727" t="s">
        <v>291</v>
      </c>
      <c r="H954" s="2740">
        <v>7.0000000000000007E-2</v>
      </c>
      <c r="I954" s="2814">
        <f>'Upah &amp; Bahan'!$I$36</f>
        <v>92000</v>
      </c>
      <c r="J954" s="2729">
        <f>ROUND(H954*I954,2)</f>
        <v>6440</v>
      </c>
      <c r="K954" s="2734"/>
      <c r="L954" s="3180">
        <f>VLOOKUP($E954,$D$1744:$G$1761,2,0)</f>
        <v>1</v>
      </c>
      <c r="M954" s="2731" t="str">
        <f>VLOOKUP($E954,$D$1744:$G$1761,3,0)</f>
        <v>WNI</v>
      </c>
      <c r="N954" s="2729">
        <f t="shared" si="67"/>
        <v>6440</v>
      </c>
      <c r="Q954" s="2717"/>
      <c r="R954" s="2717"/>
      <c r="S954" s="2719"/>
      <c r="T954" s="2717"/>
      <c r="U954" s="2717"/>
      <c r="V954" s="2717"/>
    </row>
    <row r="955" spans="1:22" s="2721" customFormat="1" ht="14.1" customHeight="1" x14ac:dyDescent="0.2">
      <c r="B955" s="2711"/>
      <c r="C955" s="2733"/>
      <c r="D955" s="2733"/>
      <c r="E955" s="2739" t="s">
        <v>296</v>
      </c>
      <c r="F955" s="2739"/>
      <c r="G955" s="2727" t="s">
        <v>291</v>
      </c>
      <c r="H955" s="2740">
        <v>7.0000000000000001E-3</v>
      </c>
      <c r="I955" s="2814">
        <f>'Upah &amp; Bahan'!$I$30</f>
        <v>96000</v>
      </c>
      <c r="J955" s="2729">
        <f>ROUND(H955*I955,2)</f>
        <v>672</v>
      </c>
      <c r="K955" s="2734"/>
      <c r="L955" s="3180">
        <f>VLOOKUP($E955,$D$1744:$G$1761,2,0)</f>
        <v>1</v>
      </c>
      <c r="M955" s="2731" t="str">
        <f>VLOOKUP($E955,$D$1744:$G$1761,3,0)</f>
        <v>WNI</v>
      </c>
      <c r="N955" s="2729">
        <f t="shared" si="67"/>
        <v>672</v>
      </c>
      <c r="Q955" s="2717"/>
      <c r="R955" s="2717"/>
      <c r="S955" s="2719"/>
      <c r="T955" s="2717"/>
      <c r="U955" s="2717"/>
      <c r="V955" s="2717"/>
    </row>
    <row r="956" spans="1:22" s="2721" customFormat="1" ht="14.1" customHeight="1" x14ac:dyDescent="0.2">
      <c r="B956" s="2711"/>
      <c r="C956" s="2733"/>
      <c r="D956" s="2733"/>
      <c r="E956" s="2739" t="s">
        <v>290</v>
      </c>
      <c r="F956" s="2739"/>
      <c r="G956" s="2727" t="s">
        <v>291</v>
      </c>
      <c r="H956" s="2740">
        <v>7.0000000000000001E-3</v>
      </c>
      <c r="I956" s="2814">
        <f>'Upah &amp; Bahan'!$I$31</f>
        <v>90000</v>
      </c>
      <c r="J956" s="2729">
        <f>ROUND(H956*I956,2)</f>
        <v>630</v>
      </c>
      <c r="K956" s="2735"/>
      <c r="L956" s="3180">
        <f>VLOOKUP($E956,$D$1744:$G$1761,2,0)</f>
        <v>1</v>
      </c>
      <c r="M956" s="2731" t="str">
        <f>VLOOKUP($E956,$D$1744:$G$1761,3,0)</f>
        <v>WNI</v>
      </c>
      <c r="N956" s="2729">
        <f t="shared" si="67"/>
        <v>630</v>
      </c>
      <c r="Q956" s="2717"/>
      <c r="R956" s="2717"/>
      <c r="S956" s="2719"/>
      <c r="T956" s="2717"/>
      <c r="U956" s="2717"/>
      <c r="V956" s="2717"/>
    </row>
    <row r="957" spans="1:22" s="2721" customFormat="1" ht="14.1" customHeight="1" x14ac:dyDescent="0.2">
      <c r="B957" s="2711"/>
      <c r="C957" s="2536"/>
      <c r="D957" s="2536"/>
      <c r="E957" s="2736"/>
      <c r="F957" s="2741"/>
      <c r="G957" s="2742"/>
      <c r="H957" s="2743"/>
      <c r="I957" s="2744"/>
      <c r="J957" s="2813"/>
      <c r="K957" s="2891">
        <f>SUM(J953:J956)</f>
        <v>20104</v>
      </c>
      <c r="L957" s="3180"/>
      <c r="M957" s="2732"/>
      <c r="N957" s="2729">
        <f t="shared" si="67"/>
        <v>0</v>
      </c>
      <c r="Q957" s="2717"/>
      <c r="R957" s="2717"/>
      <c r="S957" s="2719"/>
      <c r="T957" s="2717"/>
      <c r="U957" s="2717"/>
      <c r="V957" s="2717"/>
    </row>
    <row r="958" spans="1:22" s="2721" customFormat="1" ht="14.1" customHeight="1" x14ac:dyDescent="0.2">
      <c r="B958" s="2711"/>
      <c r="C958" s="2528" t="s">
        <v>609</v>
      </c>
      <c r="D958" s="2725" t="s">
        <v>606</v>
      </c>
      <c r="E958" s="2739"/>
      <c r="F958" s="2739"/>
      <c r="G958" s="2727"/>
      <c r="H958" s="2740"/>
      <c r="I958" s="2814"/>
      <c r="J958" s="2729"/>
      <c r="K958" s="2730"/>
      <c r="L958" s="3180"/>
      <c r="M958" s="2732"/>
      <c r="N958" s="2729">
        <f t="shared" si="67"/>
        <v>0</v>
      </c>
      <c r="Q958" s="2717"/>
      <c r="R958" s="2717"/>
      <c r="S958" s="2719"/>
      <c r="T958" s="2717"/>
      <c r="U958" s="2717"/>
      <c r="V958" s="2717"/>
    </row>
    <row r="959" spans="1:22" s="2721" customFormat="1" ht="14.1" customHeight="1" x14ac:dyDescent="0.2">
      <c r="B959" s="2711"/>
      <c r="C959" s="2537"/>
      <c r="D959" s="2536"/>
      <c r="E959" s="2736"/>
      <c r="F959" s="2741"/>
      <c r="G959" s="2742"/>
      <c r="H959" s="2743"/>
      <c r="I959" s="2744"/>
      <c r="J959" s="2813"/>
      <c r="K959" s="2732">
        <f>SUM(J958:J958)</f>
        <v>0</v>
      </c>
      <c r="L959" s="3180"/>
      <c r="M959" s="2732"/>
      <c r="N959" s="2729">
        <f t="shared" si="67"/>
        <v>0</v>
      </c>
      <c r="Q959" s="2717"/>
      <c r="R959" s="2717"/>
      <c r="S959" s="2719"/>
      <c r="T959" s="2717"/>
      <c r="U959" s="2717"/>
      <c r="V959" s="2717"/>
    </row>
    <row r="960" spans="1:22" s="2721" customFormat="1" ht="14.1" customHeight="1" x14ac:dyDescent="0.2">
      <c r="B960" s="2711"/>
      <c r="C960" s="2537" t="s">
        <v>610</v>
      </c>
      <c r="D960" s="2738" t="s">
        <v>651</v>
      </c>
      <c r="E960" s="2741"/>
      <c r="F960" s="2741"/>
      <c r="G960" s="2742"/>
      <c r="H960" s="2743"/>
      <c r="I960" s="2744"/>
      <c r="J960" s="2745" t="s">
        <v>652</v>
      </c>
      <c r="K960" s="2732">
        <f>K952+K957+K959</f>
        <v>96240</v>
      </c>
      <c r="L960" s="3181">
        <f>N960/K960</f>
        <v>0.57070756442227766</v>
      </c>
      <c r="M960" s="2745"/>
      <c r="N960" s="2747">
        <f>SUM(N949:N959)</f>
        <v>54924.896000000001</v>
      </c>
      <c r="Q960" s="2717"/>
      <c r="R960" s="2717"/>
      <c r="S960" s="2719"/>
      <c r="T960" s="2717"/>
      <c r="U960" s="2717"/>
      <c r="V960" s="2717"/>
    </row>
    <row r="961" spans="2:22" s="2721" customFormat="1" ht="14.1" customHeight="1" x14ac:dyDescent="0.2">
      <c r="B961" s="2711"/>
      <c r="C961" s="2537" t="s">
        <v>611</v>
      </c>
      <c r="D961" s="2738" t="s">
        <v>653</v>
      </c>
      <c r="E961" s="2741"/>
      <c r="F961" s="2748">
        <f>$F$42</f>
        <v>0.1</v>
      </c>
      <c r="G961" s="2727" t="s">
        <v>425</v>
      </c>
      <c r="H961" s="2748">
        <f>$H$42</f>
        <v>0.03</v>
      </c>
      <c r="I961" s="2749" t="s">
        <v>424</v>
      </c>
      <c r="J961" s="2732" t="s">
        <v>610</v>
      </c>
      <c r="K961" s="2750">
        <f>ROUND((K960*(F961+H961)),2)</f>
        <v>12511.2</v>
      </c>
      <c r="L961" s="2732"/>
      <c r="M961" s="2732"/>
      <c r="N961" s="2732"/>
      <c r="Q961" s="2717"/>
      <c r="R961" s="2717"/>
      <c r="S961" s="2719"/>
      <c r="T961" s="2717"/>
      <c r="U961" s="2717"/>
      <c r="V961" s="2717"/>
    </row>
    <row r="962" spans="2:22" s="2721" customFormat="1" ht="14.1" customHeight="1" x14ac:dyDescent="0.2">
      <c r="B962" s="2711"/>
      <c r="C962" s="2880" t="s">
        <v>654</v>
      </c>
      <c r="D962" s="2752" t="s">
        <v>301</v>
      </c>
      <c r="E962" s="2815"/>
      <c r="F962" s="2815"/>
      <c r="G962" s="2815"/>
      <c r="H962" s="2816"/>
      <c r="I962" s="2815"/>
      <c r="J962" s="2755" t="s">
        <v>668</v>
      </c>
      <c r="K962" s="2756">
        <f>SUM(K960:K961)</f>
        <v>108751.2</v>
      </c>
      <c r="L962" s="2746"/>
      <c r="M962" s="2755"/>
      <c r="N962" s="2757"/>
      <c r="Q962" s="2717"/>
      <c r="R962" s="2717"/>
      <c r="S962" s="2719"/>
      <c r="T962" s="2717"/>
      <c r="U962" s="2717"/>
      <c r="V962" s="2717"/>
    </row>
    <row r="963" spans="2:22" s="2721" customFormat="1" ht="14.1" customHeight="1" x14ac:dyDescent="0.2">
      <c r="H963" s="2711"/>
      <c r="Q963" s="2717"/>
      <c r="R963" s="2717"/>
      <c r="S963" s="2719"/>
      <c r="T963" s="2717"/>
      <c r="U963" s="2717"/>
      <c r="V963" s="2717"/>
    </row>
    <row r="964" spans="2:22" s="2721" customFormat="1" ht="14.1" customHeight="1" x14ac:dyDescent="0.2">
      <c r="B964" s="2711">
        <f>B945+1</f>
        <v>48</v>
      </c>
      <c r="C964" s="2711"/>
      <c r="D964" s="2713" t="s">
        <v>1822</v>
      </c>
      <c r="E964" s="2713"/>
      <c r="F964" s="2713"/>
      <c r="G964" s="2713"/>
      <c r="H964" s="2714"/>
      <c r="I964" s="2713"/>
      <c r="J964" s="2713"/>
      <c r="K964" s="2715" t="s">
        <v>761</v>
      </c>
      <c r="L964" s="2715"/>
      <c r="M964" s="2715"/>
      <c r="N964" s="2715"/>
      <c r="O964" s="2721" t="str">
        <f>D965</f>
        <v>m'</v>
      </c>
      <c r="P964" s="2810">
        <f>K981</f>
        <v>66180.710000000006</v>
      </c>
      <c r="Q964" s="2718">
        <f>L979</f>
        <v>0.67431317977700755</v>
      </c>
      <c r="R964" s="2717"/>
      <c r="S964" s="2719">
        <f>N979</f>
        <v>39492.5</v>
      </c>
      <c r="T964" s="2515">
        <f>U964+S964</f>
        <v>44626.525000000001</v>
      </c>
      <c r="U964" s="2719">
        <f>S964*V964</f>
        <v>5134.0250000000005</v>
      </c>
      <c r="V964" s="2718">
        <f>$F$42+$H$42</f>
        <v>0.13</v>
      </c>
    </row>
    <row r="965" spans="2:22" s="2721" customFormat="1" ht="14.1" customHeight="1" x14ac:dyDescent="0.2">
      <c r="B965" s="2711"/>
      <c r="C965" s="2711"/>
      <c r="D965" s="2721" t="s">
        <v>247</v>
      </c>
      <c r="H965" s="2711"/>
      <c r="Q965" s="2717"/>
      <c r="R965" s="2717"/>
      <c r="S965" s="2719"/>
      <c r="T965" s="2717"/>
      <c r="U965" s="2717"/>
      <c r="V965" s="2717"/>
    </row>
    <row r="966" spans="2:22" s="2721" customFormat="1" ht="14.1" customHeight="1" x14ac:dyDescent="0.2">
      <c r="B966" s="2711"/>
      <c r="C966" s="2524"/>
      <c r="D966" s="3427" t="s">
        <v>280</v>
      </c>
      <c r="E966" s="3428"/>
      <c r="F966" s="2722"/>
      <c r="G966" s="3433" t="s">
        <v>281</v>
      </c>
      <c r="H966" s="3433" t="s">
        <v>282</v>
      </c>
      <c r="I966" s="2524" t="s">
        <v>283</v>
      </c>
      <c r="J966" s="2524" t="s">
        <v>284</v>
      </c>
      <c r="K966" s="2524" t="s">
        <v>340</v>
      </c>
      <c r="L966" s="2524" t="s">
        <v>2008</v>
      </c>
      <c r="M966" s="2524" t="s">
        <v>2009</v>
      </c>
      <c r="N966" s="2524" t="s">
        <v>284</v>
      </c>
      <c r="Q966" s="2717"/>
      <c r="R966" s="2717"/>
      <c r="S966" s="2719"/>
      <c r="T966" s="2717"/>
      <c r="U966" s="2717"/>
      <c r="V966" s="2717"/>
    </row>
    <row r="967" spans="2:22" s="2721" customFormat="1" ht="14.1" customHeight="1" x14ac:dyDescent="0.2">
      <c r="B967" s="2711"/>
      <c r="C967" s="2528" t="s">
        <v>669</v>
      </c>
      <c r="D967" s="3429"/>
      <c r="E967" s="3430"/>
      <c r="F967" s="2723"/>
      <c r="G967" s="3434"/>
      <c r="H967" s="3434"/>
      <c r="I967" s="2528" t="s">
        <v>285</v>
      </c>
      <c r="J967" s="2528" t="s">
        <v>286</v>
      </c>
      <c r="K967" s="2528" t="s">
        <v>286</v>
      </c>
      <c r="L967" s="2528" t="s">
        <v>2011</v>
      </c>
      <c r="M967" s="2528"/>
      <c r="N967" s="2528" t="s">
        <v>2013</v>
      </c>
      <c r="Q967" s="2717"/>
      <c r="R967" s="2717"/>
      <c r="S967" s="2719"/>
      <c r="T967" s="2717"/>
      <c r="U967" s="2717"/>
      <c r="V967" s="2717"/>
    </row>
    <row r="968" spans="2:22" s="2721" customFormat="1" ht="14.1" customHeight="1" x14ac:dyDescent="0.2">
      <c r="B968" s="2711"/>
      <c r="C968" s="2537"/>
      <c r="D968" s="3431"/>
      <c r="E968" s="3432"/>
      <c r="F968" s="2724"/>
      <c r="G968" s="3435"/>
      <c r="H968" s="3435"/>
      <c r="I968" s="2537" t="s">
        <v>286</v>
      </c>
      <c r="J968" s="2536"/>
      <c r="K968" s="2536"/>
      <c r="L968" s="2536"/>
      <c r="M968" s="2536"/>
      <c r="N968" s="2537" t="s">
        <v>286</v>
      </c>
      <c r="Q968" s="2717"/>
      <c r="R968" s="2717"/>
      <c r="S968" s="2719"/>
      <c r="T968" s="2717"/>
      <c r="U968" s="2717"/>
      <c r="V968" s="2717"/>
    </row>
    <row r="969" spans="2:22" s="2721" customFormat="1" ht="14.1" customHeight="1" x14ac:dyDescent="0.2">
      <c r="B969" s="2711"/>
      <c r="C969" s="2524" t="s">
        <v>607</v>
      </c>
      <c r="D969" s="2733" t="s">
        <v>287</v>
      </c>
      <c r="E969" s="2739" t="s">
        <v>712</v>
      </c>
      <c r="F969" s="2739"/>
      <c r="G969" s="2727" t="s">
        <v>247</v>
      </c>
      <c r="H969" s="2740">
        <v>1.05</v>
      </c>
      <c r="I969" s="2814">
        <f>'Upah &amp; Bahan'!I52</f>
        <v>35000</v>
      </c>
      <c r="J969" s="2729">
        <f>ROUND(H969*I969,2)</f>
        <v>36750</v>
      </c>
      <c r="K969" s="2730"/>
      <c r="L969" s="3180">
        <f>L950</f>
        <v>0.50600000000000001</v>
      </c>
      <c r="M969" s="2732" t="s">
        <v>2029</v>
      </c>
      <c r="N969" s="2729">
        <f t="shared" ref="N969:N978" si="68">L969*J969</f>
        <v>18595.5</v>
      </c>
      <c r="Q969" s="2717"/>
      <c r="R969" s="2717"/>
      <c r="S969" s="2719"/>
      <c r="T969" s="2717"/>
      <c r="U969" s="2717"/>
      <c r="V969" s="2717"/>
    </row>
    <row r="970" spans="2:22" s="2721" customFormat="1" ht="14.1" customHeight="1" x14ac:dyDescent="0.2">
      <c r="B970" s="2711"/>
      <c r="C970" s="2733"/>
      <c r="D970" s="2733"/>
      <c r="E970" s="2958" t="s">
        <v>711</v>
      </c>
      <c r="F970" s="2739"/>
      <c r="G970" s="2727" t="s">
        <v>298</v>
      </c>
      <c r="H970" s="2740">
        <v>0.04</v>
      </c>
      <c r="I970" s="2814">
        <f>'Upah &amp; Bahan'!$I$112</f>
        <v>23000</v>
      </c>
      <c r="J970" s="2729">
        <f>ROUND(H970*I970,2)</f>
        <v>920</v>
      </c>
      <c r="K970" s="2734"/>
      <c r="L970" s="3180">
        <v>0</v>
      </c>
      <c r="M970" s="2732"/>
      <c r="N970" s="2729">
        <f t="shared" si="68"/>
        <v>0</v>
      </c>
      <c r="Q970" s="2717"/>
      <c r="R970" s="2717"/>
      <c r="S970" s="2719"/>
      <c r="T970" s="2717"/>
      <c r="U970" s="2717"/>
      <c r="V970" s="2717"/>
    </row>
    <row r="971" spans="2:22" s="2721" customFormat="1" ht="14.1" customHeight="1" x14ac:dyDescent="0.2">
      <c r="B971" s="2711"/>
      <c r="C971" s="2537"/>
      <c r="D971" s="2733"/>
      <c r="E971" s="2736"/>
      <c r="F971" s="2741"/>
      <c r="G971" s="2742"/>
      <c r="H971" s="2743"/>
      <c r="I971" s="2744"/>
      <c r="J971" s="2813"/>
      <c r="K971" s="2729">
        <f>SUM(J969:J970)</f>
        <v>37670</v>
      </c>
      <c r="L971" s="3180"/>
      <c r="M971" s="2732"/>
      <c r="N971" s="2729">
        <f t="shared" si="68"/>
        <v>0</v>
      </c>
      <c r="Q971" s="2717"/>
      <c r="R971" s="2717"/>
      <c r="S971" s="2719"/>
      <c r="T971" s="2717"/>
      <c r="U971" s="2717"/>
      <c r="V971" s="2717"/>
    </row>
    <row r="972" spans="2:22" s="2721" customFormat="1" ht="14.1" customHeight="1" x14ac:dyDescent="0.2">
      <c r="B972" s="2711"/>
      <c r="C972" s="2524" t="s">
        <v>608</v>
      </c>
      <c r="D972" s="2725" t="s">
        <v>288</v>
      </c>
      <c r="E972" s="2739" t="s">
        <v>294</v>
      </c>
      <c r="F972" s="2739"/>
      <c r="G972" s="2727" t="s">
        <v>291</v>
      </c>
      <c r="H972" s="2740">
        <v>0.15</v>
      </c>
      <c r="I972" s="2814">
        <f>'Upah &amp; Bahan'!$I$24</f>
        <v>88300</v>
      </c>
      <c r="J972" s="2729">
        <f>ROUND(H972*I972,2)</f>
        <v>13245</v>
      </c>
      <c r="K972" s="2730"/>
      <c r="L972" s="3180">
        <f>VLOOKUP($E972,$D$1744:$G$1761,2,0)</f>
        <v>1</v>
      </c>
      <c r="M972" s="2731" t="str">
        <f>VLOOKUP($E972,$D$1744:$G$1761,3,0)</f>
        <v>WNI</v>
      </c>
      <c r="N972" s="2729">
        <f t="shared" si="68"/>
        <v>13245</v>
      </c>
      <c r="Q972" s="2717"/>
      <c r="R972" s="2717"/>
      <c r="S972" s="2719"/>
      <c r="T972" s="2717"/>
      <c r="U972" s="2717"/>
      <c r="V972" s="2717"/>
    </row>
    <row r="973" spans="2:22" s="2721" customFormat="1" ht="14.1" customHeight="1" x14ac:dyDescent="0.2">
      <c r="B973" s="2711"/>
      <c r="C973" s="2733"/>
      <c r="D973" s="2733"/>
      <c r="E973" s="2739" t="s">
        <v>327</v>
      </c>
      <c r="F973" s="2739"/>
      <c r="G973" s="2727" t="s">
        <v>291</v>
      </c>
      <c r="H973" s="2740">
        <v>7.0000000000000007E-2</v>
      </c>
      <c r="I973" s="2814">
        <f>'Upah &amp; Bahan'!$I$36</f>
        <v>92000</v>
      </c>
      <c r="J973" s="2729">
        <f>ROUND(H973*I973,2)</f>
        <v>6440</v>
      </c>
      <c r="K973" s="2734"/>
      <c r="L973" s="3180">
        <f>VLOOKUP($E973,$D$1744:$G$1761,2,0)</f>
        <v>1</v>
      </c>
      <c r="M973" s="2731" t="str">
        <f>VLOOKUP($E973,$D$1744:$G$1761,3,0)</f>
        <v>WNI</v>
      </c>
      <c r="N973" s="2729">
        <f t="shared" si="68"/>
        <v>6440</v>
      </c>
      <c r="Q973" s="2717"/>
      <c r="R973" s="2717"/>
      <c r="S973" s="2719"/>
      <c r="T973" s="2717"/>
      <c r="U973" s="2717"/>
      <c r="V973" s="2717"/>
    </row>
    <row r="974" spans="2:22" s="2721" customFormat="1" ht="14.1" customHeight="1" x14ac:dyDescent="0.2">
      <c r="B974" s="2711"/>
      <c r="C974" s="2733"/>
      <c r="D974" s="2733"/>
      <c r="E974" s="2739" t="s">
        <v>296</v>
      </c>
      <c r="F974" s="2739"/>
      <c r="G974" s="2727" t="s">
        <v>291</v>
      </c>
      <c r="H974" s="2740">
        <v>7.0000000000000001E-3</v>
      </c>
      <c r="I974" s="2814">
        <f>'Upah &amp; Bahan'!$I$30</f>
        <v>96000</v>
      </c>
      <c r="J974" s="2729">
        <f>ROUND(H974*I974,2)</f>
        <v>672</v>
      </c>
      <c r="K974" s="2734"/>
      <c r="L974" s="3180">
        <f>VLOOKUP($E974,$D$1744:$G$1761,2,0)</f>
        <v>1</v>
      </c>
      <c r="M974" s="2731" t="str">
        <f>VLOOKUP($E974,$D$1744:$G$1761,3,0)</f>
        <v>WNI</v>
      </c>
      <c r="N974" s="2729">
        <f t="shared" si="68"/>
        <v>672</v>
      </c>
      <c r="Q974" s="2717"/>
      <c r="R974" s="2717"/>
      <c r="S974" s="2719"/>
      <c r="T974" s="2717"/>
      <c r="U974" s="2717"/>
      <c r="V974" s="2717"/>
    </row>
    <row r="975" spans="2:22" s="2721" customFormat="1" ht="14.1" customHeight="1" x14ac:dyDescent="0.2">
      <c r="B975" s="2711"/>
      <c r="C975" s="2733"/>
      <c r="D975" s="2733"/>
      <c r="E975" s="2739" t="s">
        <v>290</v>
      </c>
      <c r="F975" s="2739"/>
      <c r="G975" s="2727" t="s">
        <v>291</v>
      </c>
      <c r="H975" s="2740">
        <v>6.0000000000000001E-3</v>
      </c>
      <c r="I975" s="2814">
        <f>'Upah &amp; Bahan'!$I$31</f>
        <v>90000</v>
      </c>
      <c r="J975" s="2729">
        <f>ROUND(H975*I975,2)</f>
        <v>540</v>
      </c>
      <c r="K975" s="2735"/>
      <c r="L975" s="3180">
        <f>VLOOKUP($E975,$D$1744:$G$1761,2,0)</f>
        <v>1</v>
      </c>
      <c r="M975" s="2731" t="str">
        <f>VLOOKUP($E975,$D$1744:$G$1761,3,0)</f>
        <v>WNI</v>
      </c>
      <c r="N975" s="2729">
        <f t="shared" si="68"/>
        <v>540</v>
      </c>
      <c r="Q975" s="2717"/>
      <c r="R975" s="2717"/>
      <c r="S975" s="2719"/>
      <c r="T975" s="2717"/>
      <c r="U975" s="2717"/>
      <c r="V975" s="2717"/>
    </row>
    <row r="976" spans="2:22" s="2721" customFormat="1" ht="14.1" customHeight="1" x14ac:dyDescent="0.2">
      <c r="B976" s="2711"/>
      <c r="C976" s="2536"/>
      <c r="D976" s="2536"/>
      <c r="E976" s="2736"/>
      <c r="F976" s="2741"/>
      <c r="G976" s="2742"/>
      <c r="H976" s="2743"/>
      <c r="I976" s="2744"/>
      <c r="J976" s="2813"/>
      <c r="K976" s="2891">
        <f>SUM(J972:J975)</f>
        <v>20897</v>
      </c>
      <c r="L976" s="3180"/>
      <c r="M976" s="2732"/>
      <c r="N976" s="2729">
        <f t="shared" si="68"/>
        <v>0</v>
      </c>
      <c r="Q976" s="2717"/>
      <c r="R976" s="2717"/>
      <c r="S976" s="2719"/>
      <c r="T976" s="2717"/>
      <c r="U976" s="2717"/>
      <c r="V976" s="2717"/>
    </row>
    <row r="977" spans="2:22" s="2721" customFormat="1" ht="14.1" customHeight="1" x14ac:dyDescent="0.2">
      <c r="B977" s="2711"/>
      <c r="C977" s="2528" t="s">
        <v>609</v>
      </c>
      <c r="D977" s="2725" t="s">
        <v>606</v>
      </c>
      <c r="E977" s="2739"/>
      <c r="F977" s="2739"/>
      <c r="G977" s="2727"/>
      <c r="H977" s="2740"/>
      <c r="I977" s="2814"/>
      <c r="J977" s="2729"/>
      <c r="K977" s="2730"/>
      <c r="L977" s="3180"/>
      <c r="M977" s="2732"/>
      <c r="N977" s="2729">
        <f t="shared" si="68"/>
        <v>0</v>
      </c>
      <c r="Q977" s="2717"/>
      <c r="R977" s="2717"/>
      <c r="S977" s="2719"/>
      <c r="T977" s="2717"/>
      <c r="U977" s="2717"/>
      <c r="V977" s="2717"/>
    </row>
    <row r="978" spans="2:22" s="2721" customFormat="1" ht="14.1" customHeight="1" x14ac:dyDescent="0.2">
      <c r="B978" s="2711"/>
      <c r="C978" s="2537"/>
      <c r="D978" s="2536"/>
      <c r="E978" s="2736"/>
      <c r="F978" s="2741"/>
      <c r="G978" s="2742"/>
      <c r="H978" s="2743"/>
      <c r="I978" s="2744"/>
      <c r="J978" s="2813"/>
      <c r="K978" s="2732">
        <f>SUM(J977:J977)</f>
        <v>0</v>
      </c>
      <c r="L978" s="3180"/>
      <c r="M978" s="2732"/>
      <c r="N978" s="2729">
        <f t="shared" si="68"/>
        <v>0</v>
      </c>
      <c r="Q978" s="2717"/>
      <c r="R978" s="2717"/>
      <c r="S978" s="2719"/>
      <c r="T978" s="2717"/>
      <c r="U978" s="2717"/>
      <c r="V978" s="2717"/>
    </row>
    <row r="979" spans="2:22" s="2721" customFormat="1" ht="14.1" customHeight="1" x14ac:dyDescent="0.2">
      <c r="B979" s="2711"/>
      <c r="C979" s="2537" t="s">
        <v>610</v>
      </c>
      <c r="D979" s="2738" t="s">
        <v>651</v>
      </c>
      <c r="E979" s="2741"/>
      <c r="F979" s="2741"/>
      <c r="G979" s="2742"/>
      <c r="H979" s="2743"/>
      <c r="I979" s="2744"/>
      <c r="J979" s="2745" t="s">
        <v>652</v>
      </c>
      <c r="K979" s="2732">
        <f>K971+K976+K978</f>
        <v>58567</v>
      </c>
      <c r="L979" s="3181">
        <f>N979/K979</f>
        <v>0.67431317977700755</v>
      </c>
      <c r="M979" s="2745"/>
      <c r="N979" s="2747">
        <f>SUM(N968:N978)</f>
        <v>39492.5</v>
      </c>
      <c r="Q979" s="2717"/>
      <c r="R979" s="2717"/>
      <c r="S979" s="2719"/>
      <c r="T979" s="2717"/>
      <c r="U979" s="2717"/>
      <c r="V979" s="2717"/>
    </row>
    <row r="980" spans="2:22" s="2721" customFormat="1" ht="14.1" customHeight="1" x14ac:dyDescent="0.2">
      <c r="B980" s="2711"/>
      <c r="C980" s="2537" t="s">
        <v>611</v>
      </c>
      <c r="D980" s="2738" t="s">
        <v>653</v>
      </c>
      <c r="E980" s="2741"/>
      <c r="F980" s="2748">
        <f>$F$42</f>
        <v>0.1</v>
      </c>
      <c r="G980" s="2727" t="s">
        <v>425</v>
      </c>
      <c r="H980" s="2748">
        <f>$H$42</f>
        <v>0.03</v>
      </c>
      <c r="I980" s="2749" t="s">
        <v>424</v>
      </c>
      <c r="J980" s="2732" t="s">
        <v>610</v>
      </c>
      <c r="K980" s="2750">
        <f>ROUND((K979*(F980+H980)),2)</f>
        <v>7613.71</v>
      </c>
      <c r="L980" s="2732"/>
      <c r="M980" s="2732"/>
      <c r="N980" s="2732"/>
      <c r="Q980" s="2717"/>
      <c r="R980" s="2717"/>
      <c r="S980" s="2719"/>
      <c r="T980" s="2717"/>
      <c r="U980" s="2717"/>
      <c r="V980" s="2717"/>
    </row>
    <row r="981" spans="2:22" s="2721" customFormat="1" ht="14.1" customHeight="1" x14ac:dyDescent="0.2">
      <c r="B981" s="2711"/>
      <c r="C981" s="2880" t="s">
        <v>654</v>
      </c>
      <c r="D981" s="2752" t="s">
        <v>301</v>
      </c>
      <c r="E981" s="2815"/>
      <c r="F981" s="2815"/>
      <c r="G981" s="2815"/>
      <c r="H981" s="2816"/>
      <c r="I981" s="2815"/>
      <c r="J981" s="2755" t="s">
        <v>668</v>
      </c>
      <c r="K981" s="2756">
        <f>SUM(K979:K980)</f>
        <v>66180.710000000006</v>
      </c>
      <c r="L981" s="2746"/>
      <c r="M981" s="2755"/>
      <c r="N981" s="2757"/>
      <c r="Q981" s="2717"/>
      <c r="R981" s="2717"/>
      <c r="S981" s="2719"/>
      <c r="T981" s="2717"/>
      <c r="U981" s="2717"/>
      <c r="V981" s="2717"/>
    </row>
    <row r="982" spans="2:22" x14ac:dyDescent="0.25">
      <c r="Q982" s="2717"/>
      <c r="R982" s="2717"/>
      <c r="S982" s="2719"/>
      <c r="T982" s="2717"/>
      <c r="U982" s="2717"/>
      <c r="V982" s="2717"/>
    </row>
    <row r="983" spans="2:22" s="2721" customFormat="1" ht="12.95" customHeight="1" x14ac:dyDescent="0.2">
      <c r="B983" s="2711">
        <f>B964+1</f>
        <v>49</v>
      </c>
      <c r="C983" s="2711"/>
      <c r="D983" s="2712" t="s">
        <v>2033</v>
      </c>
      <c r="E983" s="2713"/>
      <c r="F983" s="2713"/>
      <c r="G983" s="2713"/>
      <c r="H983" s="2714"/>
      <c r="I983" s="2713"/>
      <c r="J983" s="2713"/>
      <c r="K983" s="2715" t="s">
        <v>1084</v>
      </c>
      <c r="L983" s="2715"/>
      <c r="M983" s="2715"/>
      <c r="N983" s="2715"/>
      <c r="O983" s="2721" t="str">
        <f>D984</f>
        <v>m2</v>
      </c>
      <c r="P983" s="2810">
        <f>K999</f>
        <v>38843.75</v>
      </c>
      <c r="Q983" s="2718">
        <f>L997</f>
        <v>0.55403636363636366</v>
      </c>
      <c r="R983" s="2717"/>
      <c r="S983" s="2719">
        <f>N997</f>
        <v>19045</v>
      </c>
      <c r="T983" s="2515">
        <f>U983+S983</f>
        <v>21520.85</v>
      </c>
      <c r="U983" s="2719">
        <f>S983*V983</f>
        <v>2475.85</v>
      </c>
      <c r="V983" s="2718">
        <f>$F$42+$H$42</f>
        <v>0.13</v>
      </c>
    </row>
    <row r="984" spans="2:22" s="2721" customFormat="1" ht="12.95" customHeight="1" x14ac:dyDescent="0.2">
      <c r="B984" s="2711"/>
      <c r="C984" s="2711"/>
      <c r="D984" s="2721" t="s">
        <v>338</v>
      </c>
      <c r="H984" s="2711"/>
      <c r="Q984" s="2717"/>
      <c r="R984" s="2717"/>
      <c r="S984" s="2719"/>
      <c r="T984" s="2717"/>
      <c r="U984" s="2717"/>
      <c r="V984" s="2717"/>
    </row>
    <row r="985" spans="2:22" s="2721" customFormat="1" ht="12.95" customHeight="1" x14ac:dyDescent="0.2">
      <c r="B985" s="2711"/>
      <c r="C985" s="2524"/>
      <c r="D985" s="3427" t="s">
        <v>280</v>
      </c>
      <c r="E985" s="3428"/>
      <c r="F985" s="2722"/>
      <c r="G985" s="3433" t="s">
        <v>281</v>
      </c>
      <c r="H985" s="3433" t="s">
        <v>282</v>
      </c>
      <c r="I985" s="2524" t="s">
        <v>283</v>
      </c>
      <c r="J985" s="2524" t="s">
        <v>284</v>
      </c>
      <c r="K985" s="2524" t="s">
        <v>340</v>
      </c>
      <c r="L985" s="2524" t="s">
        <v>2008</v>
      </c>
      <c r="M985" s="2524" t="s">
        <v>2009</v>
      </c>
      <c r="N985" s="2524" t="s">
        <v>284</v>
      </c>
      <c r="Q985" s="2717"/>
      <c r="R985" s="2717"/>
      <c r="S985" s="2719"/>
      <c r="T985" s="2717"/>
      <c r="U985" s="2717"/>
      <c r="V985" s="2717"/>
    </row>
    <row r="986" spans="2:22" s="2721" customFormat="1" ht="12.95" customHeight="1" x14ac:dyDescent="0.2">
      <c r="B986" s="2711"/>
      <c r="C986" s="2528" t="s">
        <v>669</v>
      </c>
      <c r="D986" s="3429"/>
      <c r="E986" s="3430"/>
      <c r="F986" s="2723"/>
      <c r="G986" s="3434"/>
      <c r="H986" s="3434"/>
      <c r="I986" s="2528" t="s">
        <v>285</v>
      </c>
      <c r="J986" s="2528" t="s">
        <v>286</v>
      </c>
      <c r="K986" s="2528" t="s">
        <v>286</v>
      </c>
      <c r="L986" s="2528" t="s">
        <v>2011</v>
      </c>
      <c r="M986" s="2528"/>
      <c r="N986" s="2528" t="s">
        <v>2013</v>
      </c>
      <c r="Q986" s="2717"/>
      <c r="R986" s="2717"/>
      <c r="S986" s="2719"/>
      <c r="T986" s="2717"/>
      <c r="U986" s="2717"/>
      <c r="V986" s="2717"/>
    </row>
    <row r="987" spans="2:22" s="2721" customFormat="1" ht="12.95" customHeight="1" x14ac:dyDescent="0.2">
      <c r="B987" s="2711"/>
      <c r="C987" s="2537"/>
      <c r="D987" s="3431"/>
      <c r="E987" s="3432"/>
      <c r="F987" s="2724"/>
      <c r="G987" s="3435"/>
      <c r="H987" s="3435"/>
      <c r="I987" s="2537" t="s">
        <v>286</v>
      </c>
      <c r="J987" s="2536"/>
      <c r="K987" s="2536"/>
      <c r="L987" s="2536"/>
      <c r="M987" s="2536"/>
      <c r="N987" s="2537" t="s">
        <v>286</v>
      </c>
      <c r="Q987" s="2717"/>
      <c r="R987" s="2717"/>
      <c r="S987" s="2719"/>
      <c r="T987" s="2717"/>
      <c r="U987" s="2717"/>
      <c r="V987" s="2717"/>
    </row>
    <row r="988" spans="2:22" s="2721" customFormat="1" ht="12.95" customHeight="1" x14ac:dyDescent="0.2">
      <c r="B988" s="2711"/>
      <c r="C988" s="2524" t="s">
        <v>607</v>
      </c>
      <c r="D988" s="2725" t="s">
        <v>287</v>
      </c>
      <c r="E988" s="2739" t="s">
        <v>450</v>
      </c>
      <c r="F988" s="2739"/>
      <c r="G988" s="2727" t="s">
        <v>338</v>
      </c>
      <c r="H988" s="2740">
        <v>1.05</v>
      </c>
      <c r="I988" s="2729">
        <f>'Upah &amp; Bahan'!$I$49</f>
        <v>14600</v>
      </c>
      <c r="J988" s="2729">
        <f>ROUND(H988*I988,2)</f>
        <v>15330</v>
      </c>
      <c r="K988" s="2730"/>
      <c r="L988" s="3180">
        <v>0</v>
      </c>
      <c r="M988" s="2732"/>
      <c r="N988" s="2729">
        <f t="shared" ref="N988:N996" si="69">L988*J988</f>
        <v>0</v>
      </c>
      <c r="Q988" s="2717"/>
      <c r="R988" s="2717"/>
      <c r="S988" s="2719"/>
      <c r="T988" s="2717"/>
      <c r="U988" s="2717"/>
      <c r="V988" s="2717"/>
    </row>
    <row r="989" spans="2:22" s="2721" customFormat="1" ht="12.95" customHeight="1" x14ac:dyDescent="0.2">
      <c r="B989" s="2711"/>
      <c r="C989" s="2537"/>
      <c r="D989" s="2536"/>
      <c r="E989" s="2736"/>
      <c r="F989" s="2741"/>
      <c r="G989" s="2742"/>
      <c r="H989" s="2743"/>
      <c r="I989" s="2842"/>
      <c r="J989" s="2813"/>
      <c r="K989" s="2729">
        <f>SUM(J988:J988)</f>
        <v>15330</v>
      </c>
      <c r="L989" s="3180"/>
      <c r="M989" s="2732"/>
      <c r="N989" s="2729">
        <f t="shared" si="69"/>
        <v>0</v>
      </c>
      <c r="Q989" s="2717"/>
      <c r="R989" s="2717"/>
      <c r="S989" s="2719"/>
      <c r="T989" s="2717"/>
      <c r="U989" s="2717"/>
      <c r="V989" s="2717"/>
    </row>
    <row r="990" spans="2:22" s="2721" customFormat="1" ht="12.95" customHeight="1" x14ac:dyDescent="0.2">
      <c r="B990" s="2711"/>
      <c r="C990" s="2524" t="s">
        <v>608</v>
      </c>
      <c r="D990" s="2725" t="s">
        <v>288</v>
      </c>
      <c r="E990" s="2739" t="s">
        <v>294</v>
      </c>
      <c r="F990" s="2739"/>
      <c r="G990" s="2727" t="s">
        <v>291</v>
      </c>
      <c r="H990" s="2740">
        <v>0.15</v>
      </c>
      <c r="I990" s="2729">
        <f>'Upah &amp; Bahan'!$I$24</f>
        <v>88300</v>
      </c>
      <c r="J990" s="2729">
        <f>ROUND(H990*I990,2)</f>
        <v>13245</v>
      </c>
      <c r="K990" s="2730"/>
      <c r="L990" s="3180">
        <f>VLOOKUP($E990,$D$1744:$G$1761,2,0)</f>
        <v>1</v>
      </c>
      <c r="M990" s="2731" t="str">
        <f>VLOOKUP($E990,$D$1744:$G$1761,3,0)</f>
        <v>WNI</v>
      </c>
      <c r="N990" s="2729">
        <f t="shared" si="69"/>
        <v>13245</v>
      </c>
      <c r="Q990" s="2717"/>
      <c r="R990" s="2717"/>
      <c r="S990" s="2719"/>
      <c r="T990" s="2717"/>
      <c r="U990" s="2717"/>
      <c r="V990" s="2717"/>
    </row>
    <row r="991" spans="2:22" s="2721" customFormat="1" ht="12.95" customHeight="1" x14ac:dyDescent="0.2">
      <c r="B991" s="2711"/>
      <c r="C991" s="2528"/>
      <c r="D991" s="2733"/>
      <c r="E991" s="2739" t="s">
        <v>327</v>
      </c>
      <c r="F991" s="2739"/>
      <c r="G991" s="2727" t="s">
        <v>291</v>
      </c>
      <c r="H991" s="2740">
        <v>0.05</v>
      </c>
      <c r="I991" s="2729">
        <f>'Upah &amp; Bahan'!$I$36</f>
        <v>92000</v>
      </c>
      <c r="J991" s="2729">
        <f>ROUND(H991*I991,2)</f>
        <v>4600</v>
      </c>
      <c r="K991" s="2734"/>
      <c r="L991" s="3180">
        <f>VLOOKUP($E991,$D$1744:$G$1761,2,0)</f>
        <v>1</v>
      </c>
      <c r="M991" s="2731" t="str">
        <f>VLOOKUP($E991,$D$1744:$G$1761,3,0)</f>
        <v>WNI</v>
      </c>
      <c r="N991" s="2729">
        <f t="shared" si="69"/>
        <v>4600</v>
      </c>
      <c r="Q991" s="2717"/>
      <c r="R991" s="2717"/>
      <c r="S991" s="2719"/>
      <c r="T991" s="2717"/>
      <c r="U991" s="2717"/>
      <c r="V991" s="2717"/>
    </row>
    <row r="992" spans="2:22" s="2721" customFormat="1" ht="12.95" customHeight="1" x14ac:dyDescent="0.2">
      <c r="B992" s="2711"/>
      <c r="C992" s="2528"/>
      <c r="D992" s="2733"/>
      <c r="E992" s="2739" t="s">
        <v>296</v>
      </c>
      <c r="F992" s="2739"/>
      <c r="G992" s="2727" t="s">
        <v>291</v>
      </c>
      <c r="H992" s="2740">
        <v>5.0000000000000001E-3</v>
      </c>
      <c r="I992" s="2729">
        <f>'Upah &amp; Bahan'!$I$30</f>
        <v>96000</v>
      </c>
      <c r="J992" s="2729">
        <f>ROUND(H992*I992,2)</f>
        <v>480</v>
      </c>
      <c r="K992" s="2734"/>
      <c r="L992" s="3180">
        <f>VLOOKUP($E992,$D$1744:$G$1761,2,0)</f>
        <v>1</v>
      </c>
      <c r="M992" s="2731" t="str">
        <f>VLOOKUP($E992,$D$1744:$G$1761,3,0)</f>
        <v>WNI</v>
      </c>
      <c r="N992" s="2729">
        <f t="shared" si="69"/>
        <v>480</v>
      </c>
      <c r="Q992" s="2717"/>
      <c r="R992" s="2717"/>
      <c r="S992" s="2719"/>
      <c r="T992" s="2717"/>
      <c r="U992" s="2717"/>
      <c r="V992" s="2717"/>
    </row>
    <row r="993" spans="2:22" s="2721" customFormat="1" ht="12.95" customHeight="1" x14ac:dyDescent="0.2">
      <c r="B993" s="2711"/>
      <c r="C993" s="2528"/>
      <c r="D993" s="2733"/>
      <c r="E993" s="2739" t="s">
        <v>290</v>
      </c>
      <c r="F993" s="2739"/>
      <c r="G993" s="2727" t="s">
        <v>291</v>
      </c>
      <c r="H993" s="2740">
        <v>8.0000000000000002E-3</v>
      </c>
      <c r="I993" s="2729">
        <f>'Upah &amp; Bahan'!$I$31</f>
        <v>90000</v>
      </c>
      <c r="J993" s="2729">
        <f>ROUND(H993*I993,2)</f>
        <v>720</v>
      </c>
      <c r="K993" s="2733"/>
      <c r="L993" s="3180">
        <f>VLOOKUP($E993,$D$1744:$G$1761,2,0)</f>
        <v>1</v>
      </c>
      <c r="M993" s="2731" t="str">
        <f>VLOOKUP($E993,$D$1744:$G$1761,3,0)</f>
        <v>WNI</v>
      </c>
      <c r="N993" s="2729">
        <f t="shared" si="69"/>
        <v>720</v>
      </c>
      <c r="Q993" s="2717"/>
      <c r="R993" s="2717"/>
      <c r="S993" s="2719"/>
      <c r="T993" s="2717"/>
      <c r="U993" s="2717"/>
      <c r="V993" s="2717"/>
    </row>
    <row r="994" spans="2:22" s="2721" customFormat="1" ht="12.95" customHeight="1" x14ac:dyDescent="0.2">
      <c r="B994" s="2711"/>
      <c r="C994" s="2537"/>
      <c r="D994" s="2536"/>
      <c r="E994" s="2736"/>
      <c r="F994" s="2741"/>
      <c r="G994" s="2742"/>
      <c r="H994" s="2743"/>
      <c r="I994" s="2842"/>
      <c r="J994" s="2813"/>
      <c r="K994" s="2732">
        <f>SUM(J990:J993)</f>
        <v>19045</v>
      </c>
      <c r="L994" s="3180"/>
      <c r="M994" s="2732"/>
      <c r="N994" s="2729">
        <f t="shared" si="69"/>
        <v>0</v>
      </c>
      <c r="Q994" s="2717"/>
      <c r="R994" s="2717"/>
      <c r="S994" s="2719"/>
      <c r="T994" s="2717"/>
      <c r="U994" s="2717"/>
      <c r="V994" s="2717"/>
    </row>
    <row r="995" spans="2:22" s="2721" customFormat="1" ht="12.95" customHeight="1" x14ac:dyDescent="0.2">
      <c r="B995" s="2711"/>
      <c r="C995" s="2524" t="s">
        <v>609</v>
      </c>
      <c r="D995" s="2725" t="s">
        <v>606</v>
      </c>
      <c r="E995" s="2739"/>
      <c r="F995" s="2739"/>
      <c r="G995" s="2727"/>
      <c r="H995" s="2740"/>
      <c r="I995" s="2814"/>
      <c r="J995" s="2729"/>
      <c r="K995" s="2730"/>
      <c r="L995" s="3180"/>
      <c r="M995" s="2732"/>
      <c r="N995" s="2729">
        <f t="shared" si="69"/>
        <v>0</v>
      </c>
      <c r="Q995" s="2717"/>
      <c r="R995" s="2717"/>
      <c r="S995" s="2719"/>
      <c r="T995" s="2717"/>
      <c r="U995" s="2717"/>
      <c r="V995" s="2717"/>
    </row>
    <row r="996" spans="2:22" s="2721" customFormat="1" ht="12.95" customHeight="1" x14ac:dyDescent="0.2">
      <c r="B996" s="2711"/>
      <c r="C996" s="2537"/>
      <c r="D996" s="2536"/>
      <c r="E996" s="2736"/>
      <c r="F996" s="2741"/>
      <c r="G996" s="2742"/>
      <c r="H996" s="2743"/>
      <c r="I996" s="2744"/>
      <c r="J996" s="2813"/>
      <c r="K996" s="2732">
        <f>SUM(J995:J995)</f>
        <v>0</v>
      </c>
      <c r="L996" s="3180"/>
      <c r="M996" s="2732"/>
      <c r="N996" s="2729">
        <f t="shared" si="69"/>
        <v>0</v>
      </c>
      <c r="Q996" s="2717"/>
      <c r="R996" s="2717"/>
      <c r="S996" s="2719"/>
      <c r="T996" s="2717"/>
      <c r="U996" s="2717"/>
      <c r="V996" s="2717"/>
    </row>
    <row r="997" spans="2:22" s="2721" customFormat="1" ht="12.95" customHeight="1" x14ac:dyDescent="0.2">
      <c r="B997" s="2711"/>
      <c r="C997" s="2727" t="s">
        <v>610</v>
      </c>
      <c r="D997" s="2738" t="s">
        <v>651</v>
      </c>
      <c r="E997" s="2741"/>
      <c r="F997" s="2741"/>
      <c r="G997" s="2742"/>
      <c r="H997" s="2743"/>
      <c r="I997" s="2744"/>
      <c r="J997" s="2745" t="s">
        <v>652</v>
      </c>
      <c r="K997" s="2732">
        <f>K989+K994+K996</f>
        <v>34375</v>
      </c>
      <c r="L997" s="3181">
        <f>N997/K997</f>
        <v>0.55403636363636366</v>
      </c>
      <c r="M997" s="2745"/>
      <c r="N997" s="2747">
        <f>SUM(N986:N996)</f>
        <v>19045</v>
      </c>
      <c r="Q997" s="2717"/>
      <c r="R997" s="2717"/>
      <c r="S997" s="2719"/>
      <c r="T997" s="2717"/>
      <c r="U997" s="2717"/>
      <c r="V997" s="2717"/>
    </row>
    <row r="998" spans="2:22" s="2721" customFormat="1" ht="12.95" customHeight="1" x14ac:dyDescent="0.2">
      <c r="B998" s="2711"/>
      <c r="C998" s="2727" t="s">
        <v>611</v>
      </c>
      <c r="D998" s="2738" t="s">
        <v>653</v>
      </c>
      <c r="E998" s="2741"/>
      <c r="F998" s="2748">
        <f>$F$42</f>
        <v>0.1</v>
      </c>
      <c r="G998" s="2727" t="s">
        <v>425</v>
      </c>
      <c r="H998" s="2748">
        <f>$H$42</f>
        <v>0.03</v>
      </c>
      <c r="I998" s="2749" t="s">
        <v>424</v>
      </c>
      <c r="J998" s="2732" t="s">
        <v>610</v>
      </c>
      <c r="K998" s="2750">
        <f>ROUND((K997*(F998+H998)),2)</f>
        <v>4468.75</v>
      </c>
      <c r="L998" s="2732"/>
      <c r="M998" s="2732"/>
      <c r="N998" s="2732"/>
      <c r="Q998" s="2717"/>
      <c r="R998" s="2717"/>
      <c r="S998" s="2719"/>
      <c r="T998" s="2717"/>
      <c r="U998" s="2717"/>
      <c r="V998" s="2717"/>
    </row>
    <row r="999" spans="2:22" s="2721" customFormat="1" ht="12.95" customHeight="1" x14ac:dyDescent="0.2">
      <c r="B999" s="2711"/>
      <c r="C999" s="2880" t="s">
        <v>654</v>
      </c>
      <c r="D999" s="2752" t="s">
        <v>301</v>
      </c>
      <c r="E999" s="2815"/>
      <c r="F999" s="2815"/>
      <c r="G999" s="2815"/>
      <c r="H999" s="2816"/>
      <c r="I999" s="2815"/>
      <c r="J999" s="2755" t="s">
        <v>668</v>
      </c>
      <c r="K999" s="2756">
        <f>SUM(K997:K998)</f>
        <v>38843.75</v>
      </c>
      <c r="L999" s="2746"/>
      <c r="M999" s="2755"/>
      <c r="N999" s="2757"/>
      <c r="Q999" s="2717"/>
      <c r="R999" s="2717"/>
      <c r="S999" s="2719"/>
      <c r="T999" s="2717"/>
      <c r="U999" s="2717"/>
      <c r="V999" s="2717"/>
    </row>
    <row r="1000" spans="2:22" x14ac:dyDescent="0.25">
      <c r="Q1000" s="2717"/>
      <c r="R1000" s="2717"/>
      <c r="S1000" s="2719"/>
      <c r="T1000" s="2717"/>
      <c r="U1000" s="2717"/>
      <c r="V1000" s="2717"/>
    </row>
    <row r="1001" spans="2:22" s="2721" customFormat="1" ht="14.1" customHeight="1" x14ac:dyDescent="0.2">
      <c r="B1001" s="2711">
        <f>B983+1</f>
        <v>50</v>
      </c>
      <c r="C1001" s="2711"/>
      <c r="D1001" s="2712" t="s">
        <v>1848</v>
      </c>
      <c r="E1001" s="2713"/>
      <c r="F1001" s="2713"/>
      <c r="G1001" s="2713"/>
      <c r="H1001" s="2714"/>
      <c r="I1001" s="2713"/>
      <c r="J1001" s="2713"/>
      <c r="K1001" s="2715" t="s">
        <v>768</v>
      </c>
      <c r="L1001" s="2715"/>
      <c r="M1001" s="2715"/>
      <c r="N1001" s="2715"/>
      <c r="O1001" s="2721" t="str">
        <f>D1002</f>
        <v>bh</v>
      </c>
      <c r="P1001" s="2810">
        <f>K1019</f>
        <v>3373897.5</v>
      </c>
      <c r="Q1001" s="2718">
        <f>L1017</f>
        <v>0.46447123838231602</v>
      </c>
      <c r="R1001" s="2717"/>
      <c r="S1001" s="2719">
        <f>N1017</f>
        <v>1386795</v>
      </c>
      <c r="T1001" s="2515">
        <f>U1001+S1001</f>
        <v>1567078.35</v>
      </c>
      <c r="U1001" s="2719">
        <f>S1001*V1001</f>
        <v>180283.35</v>
      </c>
      <c r="V1001" s="2718">
        <f>$F$42+$H$42</f>
        <v>0.13</v>
      </c>
    </row>
    <row r="1002" spans="2:22" s="2721" customFormat="1" ht="14.1" customHeight="1" x14ac:dyDescent="0.2">
      <c r="B1002" s="2711"/>
      <c r="C1002" s="2711"/>
      <c r="D1002" s="2721" t="s">
        <v>268</v>
      </c>
      <c r="H1002" s="2711"/>
      <c r="Q1002" s="2717"/>
      <c r="R1002" s="2717"/>
      <c r="S1002" s="2719"/>
      <c r="T1002" s="2717"/>
      <c r="U1002" s="2717"/>
      <c r="V1002" s="2717"/>
    </row>
    <row r="1003" spans="2:22" s="2721" customFormat="1" ht="14.1" customHeight="1" x14ac:dyDescent="0.2">
      <c r="B1003" s="2711"/>
      <c r="C1003" s="2524"/>
      <c r="D1003" s="3427" t="s">
        <v>280</v>
      </c>
      <c r="E1003" s="3428"/>
      <c r="F1003" s="2722"/>
      <c r="G1003" s="3433" t="s">
        <v>281</v>
      </c>
      <c r="H1003" s="3433" t="s">
        <v>282</v>
      </c>
      <c r="I1003" s="2524" t="s">
        <v>283</v>
      </c>
      <c r="J1003" s="2524" t="s">
        <v>284</v>
      </c>
      <c r="K1003" s="2524" t="s">
        <v>340</v>
      </c>
      <c r="L1003" s="2524" t="s">
        <v>2008</v>
      </c>
      <c r="M1003" s="2524" t="s">
        <v>2009</v>
      </c>
      <c r="N1003" s="2524" t="s">
        <v>284</v>
      </c>
      <c r="Q1003" s="2717"/>
      <c r="R1003" s="2717"/>
      <c r="S1003" s="2719"/>
      <c r="T1003" s="2717"/>
      <c r="U1003" s="2717"/>
      <c r="V1003" s="2717"/>
    </row>
    <row r="1004" spans="2:22" s="2721" customFormat="1" ht="14.1" customHeight="1" x14ac:dyDescent="0.2">
      <c r="B1004" s="2711"/>
      <c r="C1004" s="2528" t="s">
        <v>669</v>
      </c>
      <c r="D1004" s="3429"/>
      <c r="E1004" s="3430"/>
      <c r="F1004" s="2723"/>
      <c r="G1004" s="3434"/>
      <c r="H1004" s="3434"/>
      <c r="I1004" s="2528" t="s">
        <v>285</v>
      </c>
      <c r="J1004" s="2528" t="s">
        <v>286</v>
      </c>
      <c r="K1004" s="2528" t="s">
        <v>286</v>
      </c>
      <c r="L1004" s="2528" t="s">
        <v>2011</v>
      </c>
      <c r="M1004" s="2528"/>
      <c r="N1004" s="2528" t="s">
        <v>2013</v>
      </c>
      <c r="Q1004" s="2717"/>
      <c r="R1004" s="2717"/>
      <c r="S1004" s="2719"/>
      <c r="T1004" s="2717"/>
      <c r="U1004" s="2717"/>
      <c r="V1004" s="2717"/>
    </row>
    <row r="1005" spans="2:22" s="2721" customFormat="1" ht="14.1" customHeight="1" x14ac:dyDescent="0.2">
      <c r="B1005" s="2711"/>
      <c r="C1005" s="2537"/>
      <c r="D1005" s="3431"/>
      <c r="E1005" s="3432"/>
      <c r="F1005" s="2724"/>
      <c r="G1005" s="3435"/>
      <c r="H1005" s="3435"/>
      <c r="I1005" s="2537" t="s">
        <v>286</v>
      </c>
      <c r="J1005" s="2536"/>
      <c r="K1005" s="2536"/>
      <c r="L1005" s="2536"/>
      <c r="M1005" s="2536"/>
      <c r="N1005" s="2537" t="s">
        <v>286</v>
      </c>
      <c r="Q1005" s="2717"/>
      <c r="R1005" s="2717"/>
      <c r="S1005" s="2719"/>
      <c r="T1005" s="2717"/>
      <c r="U1005" s="2717"/>
      <c r="V1005" s="2717"/>
    </row>
    <row r="1006" spans="2:22" s="2721" customFormat="1" ht="14.1" customHeight="1" x14ac:dyDescent="0.2">
      <c r="B1006" s="2711"/>
      <c r="C1006" s="2524" t="s">
        <v>607</v>
      </c>
      <c r="D1006" s="2725" t="s">
        <v>287</v>
      </c>
      <c r="E1006" s="2726" t="s">
        <v>417</v>
      </c>
      <c r="F1006" s="2726"/>
      <c r="G1006" s="2727" t="s">
        <v>275</v>
      </c>
      <c r="H1006" s="2728">
        <v>1</v>
      </c>
      <c r="I1006" s="2729">
        <f>'Upah &amp; Bahan'!$I$73</f>
        <v>2150000</v>
      </c>
      <c r="J1006" s="2729">
        <f>ROUND(H1006*I1006,2)</f>
        <v>2150000</v>
      </c>
      <c r="K1006" s="2730"/>
      <c r="L1006" s="3177">
        <v>0.30630000000000002</v>
      </c>
      <c r="M1006" s="2732" t="s">
        <v>2029</v>
      </c>
      <c r="N1006" s="2729">
        <f t="shared" ref="N1006:N1016" si="70">L1006*J1006</f>
        <v>658545</v>
      </c>
      <c r="Q1006" s="2717"/>
      <c r="R1006" s="2717"/>
      <c r="S1006" s="2719"/>
      <c r="T1006" s="2717"/>
      <c r="U1006" s="2717"/>
      <c r="V1006" s="2717"/>
    </row>
    <row r="1007" spans="2:22" s="2721" customFormat="1" ht="14.1" customHeight="1" x14ac:dyDescent="0.2">
      <c r="B1007" s="2711"/>
      <c r="C1007" s="2528"/>
      <c r="D1007" s="2733"/>
      <c r="E1007" s="2726" t="s">
        <v>375</v>
      </c>
      <c r="F1007" s="2726"/>
      <c r="G1007" s="2727" t="s">
        <v>273</v>
      </c>
      <c r="H1007" s="2728">
        <v>1</v>
      </c>
      <c r="I1007" s="2729">
        <f>I1006*20%</f>
        <v>430000</v>
      </c>
      <c r="J1007" s="2729">
        <f>ROUND(H1007*I1007,2)</f>
        <v>430000</v>
      </c>
      <c r="K1007" s="2735"/>
      <c r="L1007" s="3177">
        <v>0.75</v>
      </c>
      <c r="M1007" s="2732" t="s">
        <v>2030</v>
      </c>
      <c r="N1007" s="2729">
        <f t="shared" si="70"/>
        <v>322500</v>
      </c>
      <c r="Q1007" s="2717"/>
      <c r="R1007" s="2717"/>
      <c r="S1007" s="2719"/>
      <c r="T1007" s="2717"/>
      <c r="U1007" s="2717"/>
      <c r="V1007" s="2717"/>
    </row>
    <row r="1008" spans="2:22" s="2721" customFormat="1" ht="14.1" customHeight="1" x14ac:dyDescent="0.2">
      <c r="B1008" s="2711"/>
      <c r="C1008" s="2733"/>
      <c r="D1008" s="2733"/>
      <c r="E1008" s="2726" t="s">
        <v>418</v>
      </c>
      <c r="F1008" s="2726"/>
      <c r="G1008" s="2727"/>
      <c r="H1008" s="2728"/>
      <c r="I1008" s="2729"/>
      <c r="J1008" s="2729"/>
      <c r="K1008" s="2735"/>
      <c r="L1008" s="3177"/>
      <c r="M1008" s="2732"/>
      <c r="N1008" s="2729">
        <f t="shared" si="70"/>
        <v>0</v>
      </c>
      <c r="Q1008" s="2717"/>
      <c r="R1008" s="2717"/>
      <c r="S1008" s="2719"/>
      <c r="T1008" s="2717"/>
      <c r="U1008" s="2717"/>
      <c r="V1008" s="2717"/>
    </row>
    <row r="1009" spans="2:22" s="2721" customFormat="1" ht="14.1" customHeight="1" x14ac:dyDescent="0.2">
      <c r="B1009" s="2711"/>
      <c r="C1009" s="2537"/>
      <c r="D1009" s="2733"/>
      <c r="E1009" s="2984"/>
      <c r="F1009" s="2985"/>
      <c r="G1009" s="2742"/>
      <c r="H1009" s="2986"/>
      <c r="I1009" s="2842"/>
      <c r="J1009" s="2813"/>
      <c r="K1009" s="2729">
        <f>SUM(J1006:J1008)</f>
        <v>2580000</v>
      </c>
      <c r="L1009" s="3177"/>
      <c r="M1009" s="2732"/>
      <c r="N1009" s="2729">
        <f t="shared" si="70"/>
        <v>0</v>
      </c>
      <c r="Q1009" s="2717"/>
      <c r="R1009" s="2717"/>
      <c r="S1009" s="2719"/>
      <c r="T1009" s="2717"/>
      <c r="U1009" s="2717"/>
      <c r="V1009" s="2717"/>
    </row>
    <row r="1010" spans="2:22" s="2721" customFormat="1" ht="14.1" customHeight="1" x14ac:dyDescent="0.2">
      <c r="B1010" s="2711"/>
      <c r="C1010" s="2524" t="s">
        <v>608</v>
      </c>
      <c r="D1010" s="2725" t="s">
        <v>288</v>
      </c>
      <c r="E1010" s="2726" t="s">
        <v>289</v>
      </c>
      <c r="F1010" s="2726"/>
      <c r="G1010" s="2727" t="s">
        <v>291</v>
      </c>
      <c r="H1010" s="2728">
        <v>3.3</v>
      </c>
      <c r="I1010" s="2729">
        <f>'Upah &amp; Bahan'!$I$24</f>
        <v>88300</v>
      </c>
      <c r="J1010" s="2729">
        <f>ROUND(H1010*I1010,2)</f>
        <v>291390</v>
      </c>
      <c r="K1010" s="2730"/>
      <c r="L1010" s="3177">
        <f t="shared" ref="L1010:L1013" si="71">VLOOKUP($E1010,$D$1744:$G$1761,2,0)</f>
        <v>1</v>
      </c>
      <c r="M1010" s="2731" t="str">
        <f t="shared" ref="M1010:M1013" si="72">VLOOKUP($E1010,$D$1744:$G$1761,3,0)</f>
        <v>WNI</v>
      </c>
      <c r="N1010" s="2729">
        <f t="shared" si="70"/>
        <v>291390</v>
      </c>
      <c r="Q1010" s="2717"/>
      <c r="R1010" s="2717"/>
      <c r="S1010" s="2719"/>
      <c r="T1010" s="2717"/>
      <c r="U1010" s="2717"/>
      <c r="V1010" s="2717"/>
    </row>
    <row r="1011" spans="2:22" s="2721" customFormat="1" ht="14.1" customHeight="1" x14ac:dyDescent="0.2">
      <c r="B1011" s="2711"/>
      <c r="C1011" s="2528"/>
      <c r="D1011" s="2733"/>
      <c r="E1011" s="2726" t="s">
        <v>370</v>
      </c>
      <c r="F1011" s="2726"/>
      <c r="G1011" s="2727" t="s">
        <v>291</v>
      </c>
      <c r="H1011" s="2728">
        <v>1.1000000000000001</v>
      </c>
      <c r="I1011" s="2729">
        <f>'Upah &amp; Bahan'!$I$32</f>
        <v>90000</v>
      </c>
      <c r="J1011" s="2729">
        <f>ROUND(H1011*I1011,2)</f>
        <v>99000</v>
      </c>
      <c r="K1011" s="2734"/>
      <c r="L1011" s="3177">
        <f t="shared" si="71"/>
        <v>1</v>
      </c>
      <c r="M1011" s="2731" t="str">
        <f t="shared" si="72"/>
        <v>WNI</v>
      </c>
      <c r="N1011" s="2729">
        <f t="shared" si="70"/>
        <v>99000</v>
      </c>
      <c r="Q1011" s="2717"/>
      <c r="R1011" s="2717"/>
      <c r="S1011" s="2719"/>
      <c r="T1011" s="2717"/>
      <c r="U1011" s="2717"/>
      <c r="V1011" s="2717"/>
    </row>
    <row r="1012" spans="2:22" s="2721" customFormat="1" ht="14.1" customHeight="1" x14ac:dyDescent="0.2">
      <c r="B1012" s="2711"/>
      <c r="C1012" s="2528"/>
      <c r="D1012" s="2733"/>
      <c r="E1012" s="2726" t="s">
        <v>716</v>
      </c>
      <c r="F1012" s="2726"/>
      <c r="G1012" s="2727" t="s">
        <v>291</v>
      </c>
      <c r="H1012" s="2728">
        <v>0.01</v>
      </c>
      <c r="I1012" s="2729">
        <f>'Upah &amp; Bahan'!$I$26</f>
        <v>96000</v>
      </c>
      <c r="J1012" s="2729">
        <f>ROUND(H1012*I1012,2)</f>
        <v>960</v>
      </c>
      <c r="K1012" s="2734"/>
      <c r="L1012" s="3177">
        <f t="shared" si="71"/>
        <v>1</v>
      </c>
      <c r="M1012" s="2731" t="str">
        <f t="shared" si="72"/>
        <v>WNI</v>
      </c>
      <c r="N1012" s="2729">
        <f t="shared" si="70"/>
        <v>960</v>
      </c>
      <c r="Q1012" s="2717"/>
      <c r="R1012" s="2717"/>
      <c r="S1012" s="2719"/>
      <c r="T1012" s="2717"/>
      <c r="U1012" s="2717"/>
      <c r="V1012" s="2717"/>
    </row>
    <row r="1013" spans="2:22" s="2721" customFormat="1" ht="14.1" customHeight="1" x14ac:dyDescent="0.2">
      <c r="B1013" s="2711"/>
      <c r="C1013" s="2733"/>
      <c r="D1013" s="2733"/>
      <c r="E1013" s="2726" t="s">
        <v>290</v>
      </c>
      <c r="F1013" s="2726"/>
      <c r="G1013" s="2727" t="s">
        <v>291</v>
      </c>
      <c r="H1013" s="2728">
        <v>0.16</v>
      </c>
      <c r="I1013" s="2729">
        <f>'Upah &amp; Bahan'!$I$31</f>
        <v>90000</v>
      </c>
      <c r="J1013" s="2729">
        <f>ROUND(H1013*I1013,2)</f>
        <v>14400</v>
      </c>
      <c r="K1013" s="2733"/>
      <c r="L1013" s="3177">
        <f t="shared" si="71"/>
        <v>1</v>
      </c>
      <c r="M1013" s="2731" t="str">
        <f t="shared" si="72"/>
        <v>WNI</v>
      </c>
      <c r="N1013" s="2729">
        <f t="shared" si="70"/>
        <v>14400</v>
      </c>
      <c r="Q1013" s="2717"/>
      <c r="R1013" s="2717"/>
      <c r="S1013" s="2719"/>
      <c r="T1013" s="2717"/>
      <c r="U1013" s="2717"/>
      <c r="V1013" s="2717"/>
    </row>
    <row r="1014" spans="2:22" s="2721" customFormat="1" ht="14.1" customHeight="1" x14ac:dyDescent="0.2">
      <c r="B1014" s="2711"/>
      <c r="C1014" s="2537"/>
      <c r="D1014" s="2536"/>
      <c r="E1014" s="2736"/>
      <c r="F1014" s="2741"/>
      <c r="G1014" s="2742"/>
      <c r="H1014" s="2743"/>
      <c r="I1014" s="2842"/>
      <c r="J1014" s="2813"/>
      <c r="K1014" s="2732">
        <f>SUM(J1010:J1013)</f>
        <v>405750</v>
      </c>
      <c r="L1014" s="3177"/>
      <c r="M1014" s="2732"/>
      <c r="N1014" s="2729">
        <f t="shared" si="70"/>
        <v>0</v>
      </c>
      <c r="Q1014" s="2717"/>
      <c r="R1014" s="2717"/>
      <c r="S1014" s="2719"/>
      <c r="T1014" s="2717"/>
      <c r="U1014" s="2717"/>
      <c r="V1014" s="2717"/>
    </row>
    <row r="1015" spans="2:22" s="2721" customFormat="1" ht="14.1" customHeight="1" x14ac:dyDescent="0.2">
      <c r="B1015" s="2711"/>
      <c r="C1015" s="2524" t="s">
        <v>609</v>
      </c>
      <c r="D1015" s="2725" t="s">
        <v>606</v>
      </c>
      <c r="E1015" s="2739"/>
      <c r="F1015" s="2739"/>
      <c r="G1015" s="2727"/>
      <c r="H1015" s="2740"/>
      <c r="I1015" s="2814"/>
      <c r="J1015" s="2729"/>
      <c r="K1015" s="2730"/>
      <c r="L1015" s="3177"/>
      <c r="M1015" s="2732"/>
      <c r="N1015" s="2729">
        <f t="shared" si="70"/>
        <v>0</v>
      </c>
      <c r="Q1015" s="2717"/>
      <c r="R1015" s="2717"/>
      <c r="S1015" s="2719"/>
      <c r="T1015" s="2717"/>
      <c r="U1015" s="2717"/>
      <c r="V1015" s="2717"/>
    </row>
    <row r="1016" spans="2:22" s="2721" customFormat="1" ht="14.1" customHeight="1" x14ac:dyDescent="0.2">
      <c r="B1016" s="2711"/>
      <c r="C1016" s="2537"/>
      <c r="D1016" s="2536"/>
      <c r="E1016" s="2736"/>
      <c r="F1016" s="2741"/>
      <c r="G1016" s="2742"/>
      <c r="H1016" s="2743"/>
      <c r="I1016" s="2744"/>
      <c r="J1016" s="2813"/>
      <c r="K1016" s="2732">
        <f>SUM(J1015:J1015)</f>
        <v>0</v>
      </c>
      <c r="L1016" s="3177"/>
      <c r="M1016" s="2732"/>
      <c r="N1016" s="2729">
        <f t="shared" si="70"/>
        <v>0</v>
      </c>
      <c r="Q1016" s="2717"/>
      <c r="R1016" s="2717"/>
      <c r="S1016" s="2719"/>
      <c r="T1016" s="2717"/>
      <c r="U1016" s="2717"/>
      <c r="V1016" s="2717"/>
    </row>
    <row r="1017" spans="2:22" s="2721" customFormat="1" ht="14.1" customHeight="1" x14ac:dyDescent="0.2">
      <c r="B1017" s="2711"/>
      <c r="C1017" s="2727" t="s">
        <v>610</v>
      </c>
      <c r="D1017" s="2738" t="s">
        <v>651</v>
      </c>
      <c r="E1017" s="2741"/>
      <c r="F1017" s="2741"/>
      <c r="G1017" s="2742"/>
      <c r="H1017" s="2743"/>
      <c r="I1017" s="2744"/>
      <c r="J1017" s="2745" t="s">
        <v>652</v>
      </c>
      <c r="K1017" s="2732">
        <f>K1009+K1014+K1016</f>
        <v>2985750</v>
      </c>
      <c r="L1017" s="3179">
        <f>N1017/K1017</f>
        <v>0.46447123838231602</v>
      </c>
      <c r="M1017" s="2745"/>
      <c r="N1017" s="2747">
        <f>SUM(N1006:N1016)</f>
        <v>1386795</v>
      </c>
      <c r="Q1017" s="2717"/>
      <c r="R1017" s="2717"/>
      <c r="S1017" s="2719"/>
      <c r="T1017" s="2717"/>
      <c r="U1017" s="2717"/>
      <c r="V1017" s="2717"/>
    </row>
    <row r="1018" spans="2:22" s="2721" customFormat="1" ht="14.1" customHeight="1" x14ac:dyDescent="0.2">
      <c r="B1018" s="2711"/>
      <c r="C1018" s="2727" t="s">
        <v>611</v>
      </c>
      <c r="D1018" s="2738" t="s">
        <v>653</v>
      </c>
      <c r="E1018" s="2741"/>
      <c r="F1018" s="2748">
        <f>$F$42</f>
        <v>0.1</v>
      </c>
      <c r="G1018" s="2727" t="s">
        <v>425</v>
      </c>
      <c r="H1018" s="2748">
        <f>$H$42</f>
        <v>0.03</v>
      </c>
      <c r="I1018" s="2749" t="s">
        <v>424</v>
      </c>
      <c r="J1018" s="2732" t="s">
        <v>610</v>
      </c>
      <c r="K1018" s="2750">
        <f>ROUND((K1017*(F1018+H1018)),2)</f>
        <v>388147.5</v>
      </c>
      <c r="L1018" s="2732"/>
      <c r="M1018" s="2732"/>
      <c r="N1018" s="2732"/>
      <c r="Q1018" s="2717"/>
      <c r="R1018" s="2717"/>
      <c r="S1018" s="2719"/>
      <c r="T1018" s="2717"/>
      <c r="U1018" s="2717"/>
      <c r="V1018" s="2717"/>
    </row>
    <row r="1019" spans="2:22" s="2721" customFormat="1" ht="14.1" customHeight="1" x14ac:dyDescent="0.2">
      <c r="B1019" s="2711"/>
      <c r="C1019" s="2880" t="s">
        <v>654</v>
      </c>
      <c r="D1019" s="2752" t="s">
        <v>301</v>
      </c>
      <c r="E1019" s="2815"/>
      <c r="F1019" s="2815"/>
      <c r="G1019" s="2815"/>
      <c r="H1019" s="2816"/>
      <c r="I1019" s="2815"/>
      <c r="J1019" s="2755" t="s">
        <v>668</v>
      </c>
      <c r="K1019" s="2756">
        <f>SUM(K1017:K1018)</f>
        <v>3373897.5</v>
      </c>
      <c r="L1019" s="2746"/>
      <c r="M1019" s="2755"/>
      <c r="N1019" s="2757"/>
      <c r="Q1019" s="2717"/>
      <c r="R1019" s="2717"/>
      <c r="S1019" s="2719"/>
      <c r="T1019" s="2717"/>
      <c r="U1019" s="2717"/>
      <c r="V1019" s="2717"/>
    </row>
    <row r="1020" spans="2:22" x14ac:dyDescent="0.25">
      <c r="Q1020" s="2717"/>
      <c r="R1020" s="2717"/>
      <c r="S1020" s="2719"/>
      <c r="T1020" s="2717"/>
      <c r="U1020" s="2717"/>
      <c r="V1020" s="2717"/>
    </row>
    <row r="1021" spans="2:22" s="2721" customFormat="1" ht="14.1" customHeight="1" x14ac:dyDescent="0.2">
      <c r="B1021" s="2711">
        <f>B1001+1</f>
        <v>51</v>
      </c>
      <c r="C1021" s="2711"/>
      <c r="D1021" s="2712" t="s">
        <v>452</v>
      </c>
      <c r="E1021" s="2713"/>
      <c r="F1021" s="2713"/>
      <c r="G1021" s="2713"/>
      <c r="H1021" s="2714"/>
      <c r="I1021" s="2713"/>
      <c r="J1021" s="2713"/>
      <c r="K1021" s="2715" t="s">
        <v>775</v>
      </c>
      <c r="L1021" s="2715"/>
      <c r="M1021" s="2715"/>
      <c r="N1021" s="2715"/>
      <c r="O1021" s="2721" t="str">
        <f>D1022</f>
        <v>bh</v>
      </c>
      <c r="P1021" s="2810">
        <f>K1039</f>
        <v>578447</v>
      </c>
      <c r="Q1021" s="2718">
        <f>L1037</f>
        <v>0.8547178745848798</v>
      </c>
      <c r="R1021" s="2717"/>
      <c r="S1021" s="2719">
        <f>N1037</f>
        <v>437530.07999999996</v>
      </c>
      <c r="T1021" s="2515">
        <f>U1021+S1021</f>
        <v>494408.99039999995</v>
      </c>
      <c r="U1021" s="2719">
        <f>S1021*V1021</f>
        <v>56878.910399999993</v>
      </c>
      <c r="V1021" s="2718">
        <f>$F$42+$H$42</f>
        <v>0.13</v>
      </c>
    </row>
    <row r="1022" spans="2:22" s="2721" customFormat="1" ht="14.1" customHeight="1" x14ac:dyDescent="0.2">
      <c r="B1022" s="2711"/>
      <c r="C1022" s="2711"/>
      <c r="D1022" s="2721" t="s">
        <v>268</v>
      </c>
      <c r="H1022" s="2711"/>
      <c r="Q1022" s="2717"/>
      <c r="R1022" s="2717"/>
      <c r="S1022" s="2719"/>
      <c r="T1022" s="2717"/>
      <c r="U1022" s="2717"/>
      <c r="V1022" s="2717"/>
    </row>
    <row r="1023" spans="2:22" s="2721" customFormat="1" ht="14.1" customHeight="1" x14ac:dyDescent="0.2">
      <c r="B1023" s="2711"/>
      <c r="C1023" s="2524"/>
      <c r="D1023" s="3427" t="s">
        <v>280</v>
      </c>
      <c r="E1023" s="3428"/>
      <c r="F1023" s="2722"/>
      <c r="G1023" s="3433" t="s">
        <v>281</v>
      </c>
      <c r="H1023" s="3433" t="s">
        <v>282</v>
      </c>
      <c r="I1023" s="2524" t="s">
        <v>283</v>
      </c>
      <c r="J1023" s="2524" t="s">
        <v>284</v>
      </c>
      <c r="K1023" s="2524" t="s">
        <v>340</v>
      </c>
      <c r="L1023" s="2524" t="s">
        <v>2008</v>
      </c>
      <c r="M1023" s="2524" t="s">
        <v>2009</v>
      </c>
      <c r="N1023" s="2524" t="s">
        <v>284</v>
      </c>
      <c r="Q1023" s="2717"/>
      <c r="R1023" s="2717"/>
      <c r="S1023" s="2719"/>
      <c r="T1023" s="2717"/>
      <c r="U1023" s="2717"/>
      <c r="V1023" s="2717"/>
    </row>
    <row r="1024" spans="2:22" s="2721" customFormat="1" ht="14.1" customHeight="1" x14ac:dyDescent="0.2">
      <c r="B1024" s="2711"/>
      <c r="C1024" s="2528" t="s">
        <v>669</v>
      </c>
      <c r="D1024" s="3429"/>
      <c r="E1024" s="3430"/>
      <c r="F1024" s="2723"/>
      <c r="G1024" s="3434"/>
      <c r="H1024" s="3434"/>
      <c r="I1024" s="2528" t="s">
        <v>285</v>
      </c>
      <c r="J1024" s="2528" t="s">
        <v>286</v>
      </c>
      <c r="K1024" s="2528" t="s">
        <v>286</v>
      </c>
      <c r="L1024" s="2528" t="s">
        <v>2011</v>
      </c>
      <c r="M1024" s="2528"/>
      <c r="N1024" s="2528" t="s">
        <v>2013</v>
      </c>
      <c r="Q1024" s="2717"/>
      <c r="R1024" s="2717"/>
      <c r="S1024" s="2719"/>
      <c r="T1024" s="2717"/>
      <c r="U1024" s="2717"/>
      <c r="V1024" s="2717"/>
    </row>
    <row r="1025" spans="2:22" s="2721" customFormat="1" ht="14.1" customHeight="1" x14ac:dyDescent="0.2">
      <c r="B1025" s="2711"/>
      <c r="C1025" s="2537"/>
      <c r="D1025" s="3431"/>
      <c r="E1025" s="3432"/>
      <c r="F1025" s="2724"/>
      <c r="G1025" s="3435"/>
      <c r="H1025" s="3435"/>
      <c r="I1025" s="2537" t="s">
        <v>286</v>
      </c>
      <c r="J1025" s="2536"/>
      <c r="K1025" s="2536"/>
      <c r="L1025" s="2536"/>
      <c r="M1025" s="2536"/>
      <c r="N1025" s="2537" t="s">
        <v>286</v>
      </c>
      <c r="Q1025" s="2717"/>
      <c r="R1025" s="2717"/>
      <c r="S1025" s="2719"/>
      <c r="T1025" s="2717"/>
      <c r="U1025" s="2717"/>
      <c r="V1025" s="2717"/>
    </row>
    <row r="1026" spans="2:22" s="2721" customFormat="1" ht="14.1" customHeight="1" x14ac:dyDescent="0.2">
      <c r="B1026" s="2711"/>
      <c r="C1026" s="2524" t="s">
        <v>607</v>
      </c>
      <c r="D1026" s="2725" t="s">
        <v>287</v>
      </c>
      <c r="E1026" s="2726" t="s">
        <v>777</v>
      </c>
      <c r="F1026" s="2726"/>
      <c r="G1026" s="2727" t="s">
        <v>275</v>
      </c>
      <c r="H1026" s="2728">
        <v>1</v>
      </c>
      <c r="I1026" s="2729">
        <f>'Upah &amp; Bahan'!I74</f>
        <v>250000</v>
      </c>
      <c r="J1026" s="2729">
        <f>ROUND(H1026*I1026,2)</f>
        <v>250000</v>
      </c>
      <c r="K1026" s="2730"/>
      <c r="L1026" s="3177">
        <v>0.70679999999999998</v>
      </c>
      <c r="M1026" s="2732" t="s">
        <v>2029</v>
      </c>
      <c r="N1026" s="2729">
        <f t="shared" ref="N1026:N1036" si="73">L1026*J1026</f>
        <v>176700</v>
      </c>
      <c r="Q1026" s="2717"/>
      <c r="R1026" s="2717"/>
      <c r="S1026" s="2719"/>
      <c r="T1026" s="2717"/>
      <c r="U1026" s="2717"/>
      <c r="V1026" s="2717"/>
    </row>
    <row r="1027" spans="2:22" s="2721" customFormat="1" ht="14.1" customHeight="1" x14ac:dyDescent="0.2">
      <c r="B1027" s="2711"/>
      <c r="C1027" s="2528"/>
      <c r="D1027" s="2733"/>
      <c r="E1027" s="2726" t="s">
        <v>300</v>
      </c>
      <c r="F1027" s="2726"/>
      <c r="G1027" s="2727" t="s">
        <v>298</v>
      </c>
      <c r="H1027" s="2728">
        <v>6</v>
      </c>
      <c r="I1027" s="2729">
        <f>'Upah &amp; Bahan'!$I$118</f>
        <v>1200</v>
      </c>
      <c r="J1027" s="2729">
        <f>ROUND(H1027*I1027,2)</f>
        <v>7200</v>
      </c>
      <c r="K1027" s="2734"/>
      <c r="L1027" s="3177">
        <f>$L$192</f>
        <v>0.85140000000000005</v>
      </c>
      <c r="M1027" s="2732" t="s">
        <v>2029</v>
      </c>
      <c r="N1027" s="2729">
        <f t="shared" si="73"/>
        <v>6130.08</v>
      </c>
      <c r="Q1027" s="2717"/>
      <c r="R1027" s="2717"/>
      <c r="S1027" s="2719"/>
      <c r="T1027" s="2717"/>
      <c r="U1027" s="2717"/>
      <c r="V1027" s="2717"/>
    </row>
    <row r="1028" spans="2:22" s="2721" customFormat="1" ht="14.1" customHeight="1" x14ac:dyDescent="0.2">
      <c r="B1028" s="2711"/>
      <c r="C1028" s="2733"/>
      <c r="D1028" s="2733"/>
      <c r="E1028" s="2726" t="s">
        <v>379</v>
      </c>
      <c r="F1028" s="2726"/>
      <c r="G1028" s="2727" t="s">
        <v>293</v>
      </c>
      <c r="H1028" s="2728">
        <v>0.01</v>
      </c>
      <c r="I1028" s="2729">
        <f>'Upah &amp; Bahan'!$I$121</f>
        <v>260000</v>
      </c>
      <c r="J1028" s="2729">
        <f>ROUND(H1028*I1028,2)</f>
        <v>2600</v>
      </c>
      <c r="K1028" s="2735"/>
      <c r="L1028" s="3177">
        <v>1</v>
      </c>
      <c r="M1028" s="2732"/>
      <c r="N1028" s="2729">
        <f t="shared" si="73"/>
        <v>2600</v>
      </c>
      <c r="Q1028" s="2717"/>
      <c r="R1028" s="2717"/>
      <c r="S1028" s="2719"/>
      <c r="T1028" s="2717"/>
      <c r="U1028" s="2717"/>
      <c r="V1028" s="2717"/>
    </row>
    <row r="1029" spans="2:22" s="2721" customFormat="1" ht="14.1" customHeight="1" x14ac:dyDescent="0.2">
      <c r="B1029" s="2711"/>
      <c r="C1029" s="2537"/>
      <c r="D1029" s="2733"/>
      <c r="E1029" s="2984"/>
      <c r="F1029" s="2985"/>
      <c r="G1029" s="2742"/>
      <c r="H1029" s="2986"/>
      <c r="I1029" s="2842"/>
      <c r="J1029" s="2813"/>
      <c r="K1029" s="2729">
        <f>SUM(J1026:J1028)</f>
        <v>259800</v>
      </c>
      <c r="L1029" s="3177"/>
      <c r="M1029" s="2732"/>
      <c r="N1029" s="2729">
        <f t="shared" si="73"/>
        <v>0</v>
      </c>
      <c r="Q1029" s="2717"/>
      <c r="R1029" s="2717"/>
      <c r="S1029" s="2719"/>
      <c r="T1029" s="2717"/>
      <c r="U1029" s="2717"/>
      <c r="V1029" s="2717"/>
    </row>
    <row r="1030" spans="2:22" s="2721" customFormat="1" ht="14.1" customHeight="1" x14ac:dyDescent="0.2">
      <c r="B1030" s="2711"/>
      <c r="C1030" s="2524" t="s">
        <v>608</v>
      </c>
      <c r="D1030" s="2725" t="s">
        <v>288</v>
      </c>
      <c r="E1030" s="2726" t="s">
        <v>289</v>
      </c>
      <c r="F1030" s="2726"/>
      <c r="G1030" s="2727" t="s">
        <v>291</v>
      </c>
      <c r="H1030" s="2728">
        <v>1</v>
      </c>
      <c r="I1030" s="2729">
        <f>'Upah &amp; Bahan'!$I$24</f>
        <v>88300</v>
      </c>
      <c r="J1030" s="2729">
        <f>ROUND(H1030*I1030,2)</f>
        <v>88300</v>
      </c>
      <c r="K1030" s="2730"/>
      <c r="L1030" s="3177">
        <f t="shared" ref="L1030:L1033" si="74">VLOOKUP($E1030,$D$1744:$G$1761,2,0)</f>
        <v>1</v>
      </c>
      <c r="M1030" s="2731" t="str">
        <f t="shared" ref="M1030:M1033" si="75">VLOOKUP($E1030,$D$1744:$G$1761,3,0)</f>
        <v>WNI</v>
      </c>
      <c r="N1030" s="2729">
        <f t="shared" si="73"/>
        <v>88300</v>
      </c>
      <c r="Q1030" s="2717"/>
      <c r="R1030" s="2717"/>
      <c r="S1030" s="2719"/>
      <c r="T1030" s="2717"/>
      <c r="U1030" s="2717"/>
      <c r="V1030" s="2717"/>
    </row>
    <row r="1031" spans="2:22" s="2721" customFormat="1" ht="14.1" customHeight="1" x14ac:dyDescent="0.2">
      <c r="B1031" s="2711"/>
      <c r="C1031" s="2528"/>
      <c r="D1031" s="2733"/>
      <c r="E1031" s="2726" t="s">
        <v>370</v>
      </c>
      <c r="F1031" s="2726"/>
      <c r="G1031" s="2727" t="s">
        <v>291</v>
      </c>
      <c r="H1031" s="2728">
        <v>1.5</v>
      </c>
      <c r="I1031" s="2729">
        <f>'Upah &amp; Bahan'!$I$32</f>
        <v>90000</v>
      </c>
      <c r="J1031" s="2729">
        <f>ROUND(H1031*I1031,2)</f>
        <v>135000</v>
      </c>
      <c r="K1031" s="2734"/>
      <c r="L1031" s="3177">
        <f t="shared" si="74"/>
        <v>1</v>
      </c>
      <c r="M1031" s="2731" t="str">
        <f t="shared" si="75"/>
        <v>WNI</v>
      </c>
      <c r="N1031" s="2729">
        <f t="shared" si="73"/>
        <v>135000</v>
      </c>
      <c r="Q1031" s="2717"/>
      <c r="R1031" s="2717"/>
      <c r="S1031" s="2719"/>
      <c r="T1031" s="2717"/>
      <c r="U1031" s="2717"/>
      <c r="V1031" s="2717"/>
    </row>
    <row r="1032" spans="2:22" s="2721" customFormat="1" ht="14.1" customHeight="1" x14ac:dyDescent="0.2">
      <c r="B1032" s="2711"/>
      <c r="C1032" s="2528"/>
      <c r="D1032" s="2733"/>
      <c r="E1032" s="2726" t="s">
        <v>716</v>
      </c>
      <c r="F1032" s="2726"/>
      <c r="G1032" s="2727" t="s">
        <v>291</v>
      </c>
      <c r="H1032" s="2728">
        <v>0.15</v>
      </c>
      <c r="I1032" s="2729">
        <f>'Upah &amp; Bahan'!$I$26</f>
        <v>96000</v>
      </c>
      <c r="J1032" s="2729">
        <f>ROUND(H1032*I1032,2)</f>
        <v>14400</v>
      </c>
      <c r="K1032" s="2734"/>
      <c r="L1032" s="3177">
        <f t="shared" si="74"/>
        <v>1</v>
      </c>
      <c r="M1032" s="2731" t="str">
        <f t="shared" si="75"/>
        <v>WNI</v>
      </c>
      <c r="N1032" s="2729">
        <f t="shared" si="73"/>
        <v>14400</v>
      </c>
      <c r="Q1032" s="2717"/>
      <c r="R1032" s="2717"/>
      <c r="S1032" s="2719"/>
      <c r="T1032" s="2717"/>
      <c r="U1032" s="2717"/>
      <c r="V1032" s="2717"/>
    </row>
    <row r="1033" spans="2:22" s="2721" customFormat="1" ht="14.1" customHeight="1" x14ac:dyDescent="0.2">
      <c r="B1033" s="2711"/>
      <c r="C1033" s="2733"/>
      <c r="D1033" s="2733"/>
      <c r="E1033" s="2726" t="s">
        <v>290</v>
      </c>
      <c r="F1033" s="2726"/>
      <c r="G1033" s="2727" t="s">
        <v>291</v>
      </c>
      <c r="H1033" s="2728">
        <v>0.16</v>
      </c>
      <c r="I1033" s="2729">
        <f>'Upah &amp; Bahan'!$I$31</f>
        <v>90000</v>
      </c>
      <c r="J1033" s="2729">
        <f>ROUND(H1033*I1033,2)</f>
        <v>14400</v>
      </c>
      <c r="K1033" s="2733"/>
      <c r="L1033" s="3177">
        <f t="shared" si="74"/>
        <v>1</v>
      </c>
      <c r="M1033" s="2731" t="str">
        <f t="shared" si="75"/>
        <v>WNI</v>
      </c>
      <c r="N1033" s="2729">
        <f t="shared" si="73"/>
        <v>14400</v>
      </c>
      <c r="Q1033" s="2717"/>
      <c r="R1033" s="2717"/>
      <c r="S1033" s="2719"/>
      <c r="T1033" s="2717"/>
      <c r="U1033" s="2717"/>
      <c r="V1033" s="2717"/>
    </row>
    <row r="1034" spans="2:22" s="2721" customFormat="1" ht="14.1" customHeight="1" x14ac:dyDescent="0.2">
      <c r="B1034" s="2711"/>
      <c r="C1034" s="2537"/>
      <c r="D1034" s="2536"/>
      <c r="E1034" s="2736"/>
      <c r="F1034" s="2741"/>
      <c r="G1034" s="2742"/>
      <c r="H1034" s="2743"/>
      <c r="I1034" s="2842"/>
      <c r="J1034" s="2813"/>
      <c r="K1034" s="2732">
        <f>SUM(J1030:J1033)</f>
        <v>252100</v>
      </c>
      <c r="L1034" s="3177"/>
      <c r="M1034" s="2732"/>
      <c r="N1034" s="2729">
        <f t="shared" si="73"/>
        <v>0</v>
      </c>
      <c r="Q1034" s="2717"/>
      <c r="R1034" s="2717"/>
      <c r="S1034" s="2719"/>
      <c r="T1034" s="2717"/>
      <c r="U1034" s="2717"/>
      <c r="V1034" s="2717"/>
    </row>
    <row r="1035" spans="2:22" s="2721" customFormat="1" ht="14.1" customHeight="1" x14ac:dyDescent="0.2">
      <c r="B1035" s="2711"/>
      <c r="C1035" s="2524" t="s">
        <v>609</v>
      </c>
      <c r="D1035" s="2725" t="s">
        <v>606</v>
      </c>
      <c r="E1035" s="2739"/>
      <c r="F1035" s="2739"/>
      <c r="G1035" s="2727"/>
      <c r="H1035" s="2740"/>
      <c r="I1035" s="2814"/>
      <c r="J1035" s="2729"/>
      <c r="K1035" s="2730"/>
      <c r="L1035" s="3177"/>
      <c r="M1035" s="2732"/>
      <c r="N1035" s="2729">
        <f t="shared" si="73"/>
        <v>0</v>
      </c>
      <c r="Q1035" s="2717"/>
      <c r="R1035" s="2717"/>
      <c r="S1035" s="2719"/>
      <c r="T1035" s="2717"/>
      <c r="U1035" s="2717"/>
      <c r="V1035" s="2717"/>
    </row>
    <row r="1036" spans="2:22" s="2721" customFormat="1" ht="14.1" customHeight="1" x14ac:dyDescent="0.2">
      <c r="B1036" s="2711"/>
      <c r="C1036" s="2537"/>
      <c r="D1036" s="2536"/>
      <c r="E1036" s="2736"/>
      <c r="F1036" s="2741"/>
      <c r="G1036" s="2742"/>
      <c r="H1036" s="2743"/>
      <c r="I1036" s="2744"/>
      <c r="J1036" s="2813"/>
      <c r="K1036" s="2732">
        <f>SUM(J1035:J1035)</f>
        <v>0</v>
      </c>
      <c r="L1036" s="3177"/>
      <c r="M1036" s="2732"/>
      <c r="N1036" s="2729">
        <f t="shared" si="73"/>
        <v>0</v>
      </c>
      <c r="Q1036" s="2717"/>
      <c r="R1036" s="2717"/>
      <c r="S1036" s="2719"/>
      <c r="T1036" s="2717"/>
      <c r="U1036" s="2717"/>
      <c r="V1036" s="2717"/>
    </row>
    <row r="1037" spans="2:22" s="2721" customFormat="1" ht="14.1" customHeight="1" x14ac:dyDescent="0.2">
      <c r="B1037" s="2711"/>
      <c r="C1037" s="2727" t="s">
        <v>610</v>
      </c>
      <c r="D1037" s="2738" t="s">
        <v>651</v>
      </c>
      <c r="E1037" s="2741"/>
      <c r="F1037" s="2741"/>
      <c r="G1037" s="2742"/>
      <c r="H1037" s="2743"/>
      <c r="I1037" s="2744"/>
      <c r="J1037" s="2745" t="s">
        <v>652</v>
      </c>
      <c r="K1037" s="2732">
        <f>K1029+K1034+K1036</f>
        <v>511900</v>
      </c>
      <c r="L1037" s="3179">
        <f>N1037/K1037</f>
        <v>0.8547178745848798</v>
      </c>
      <c r="M1037" s="2745"/>
      <c r="N1037" s="2747">
        <f>SUM(N1026:N1036)</f>
        <v>437530.07999999996</v>
      </c>
      <c r="Q1037" s="2717"/>
      <c r="R1037" s="2717"/>
      <c r="S1037" s="2719"/>
      <c r="T1037" s="2717"/>
      <c r="U1037" s="2717"/>
      <c r="V1037" s="2717"/>
    </row>
    <row r="1038" spans="2:22" s="2721" customFormat="1" ht="14.1" customHeight="1" x14ac:dyDescent="0.2">
      <c r="B1038" s="2711"/>
      <c r="C1038" s="2727" t="s">
        <v>611</v>
      </c>
      <c r="D1038" s="2738" t="s">
        <v>653</v>
      </c>
      <c r="E1038" s="2741"/>
      <c r="F1038" s="2748">
        <f>$F$42</f>
        <v>0.1</v>
      </c>
      <c r="G1038" s="2727" t="s">
        <v>425</v>
      </c>
      <c r="H1038" s="2748">
        <f>$H$42</f>
        <v>0.03</v>
      </c>
      <c r="I1038" s="2749" t="s">
        <v>424</v>
      </c>
      <c r="J1038" s="2732" t="s">
        <v>610</v>
      </c>
      <c r="K1038" s="2750">
        <f>ROUND((K1037*(F1038+H1038)),2)</f>
        <v>66547</v>
      </c>
      <c r="L1038" s="2732"/>
      <c r="M1038" s="2732"/>
      <c r="N1038" s="2732"/>
      <c r="Q1038" s="2717"/>
      <c r="R1038" s="2717"/>
      <c r="S1038" s="2719"/>
      <c r="T1038" s="2717"/>
      <c r="U1038" s="2717"/>
      <c r="V1038" s="2717"/>
    </row>
    <row r="1039" spans="2:22" s="2721" customFormat="1" ht="14.1" customHeight="1" x14ac:dyDescent="0.2">
      <c r="B1039" s="2711"/>
      <c r="C1039" s="2880" t="s">
        <v>654</v>
      </c>
      <c r="D1039" s="2752" t="s">
        <v>301</v>
      </c>
      <c r="E1039" s="2815"/>
      <c r="F1039" s="2815"/>
      <c r="G1039" s="2815"/>
      <c r="H1039" s="2816"/>
      <c r="I1039" s="2815"/>
      <c r="J1039" s="2755" t="s">
        <v>668</v>
      </c>
      <c r="K1039" s="2756">
        <f>SUM(K1037:K1038)</f>
        <v>578447</v>
      </c>
      <c r="L1039" s="2746"/>
      <c r="M1039" s="2755"/>
      <c r="N1039" s="2757"/>
      <c r="Q1039" s="2717"/>
      <c r="R1039" s="2717"/>
      <c r="S1039" s="2719"/>
      <c r="T1039" s="2717"/>
      <c r="U1039" s="2717"/>
      <c r="V1039" s="2717"/>
    </row>
    <row r="1040" spans="2:22" s="2721" customFormat="1" ht="14.1" customHeight="1" x14ac:dyDescent="0.2">
      <c r="H1040" s="2711"/>
      <c r="Q1040" s="2717"/>
      <c r="R1040" s="2717"/>
      <c r="S1040" s="2719"/>
      <c r="T1040" s="2717"/>
      <c r="U1040" s="2717"/>
      <c r="V1040" s="2717"/>
    </row>
    <row r="1041" spans="2:22" s="2721" customFormat="1" ht="14.1" customHeight="1" x14ac:dyDescent="0.2">
      <c r="B1041" s="2711">
        <f>B1021+1</f>
        <v>52</v>
      </c>
      <c r="C1041" s="2711"/>
      <c r="D1041" s="2712" t="s">
        <v>1645</v>
      </c>
      <c r="E1041" s="2713"/>
      <c r="F1041" s="2713"/>
      <c r="G1041" s="2713"/>
      <c r="H1041" s="2714"/>
      <c r="I1041" s="2713"/>
      <c r="J1041" s="2713"/>
      <c r="K1041" s="2715" t="s">
        <v>776</v>
      </c>
      <c r="L1041" s="2715"/>
      <c r="M1041" s="2715"/>
      <c r="N1041" s="2715"/>
      <c r="O1041" s="2721" t="str">
        <f>D1042</f>
        <v>bh</v>
      </c>
      <c r="P1041" s="2810">
        <f>K1061</f>
        <v>1376407.8</v>
      </c>
      <c r="Q1041" s="2718">
        <f>L1059</f>
        <v>0.71936118089420875</v>
      </c>
      <c r="R1041" s="2717"/>
      <c r="S1041" s="2719">
        <f>N1059</f>
        <v>876225.08</v>
      </c>
      <c r="T1041" s="2515">
        <f>U1041+S1041</f>
        <v>990134.34039999999</v>
      </c>
      <c r="U1041" s="2719">
        <f>S1041*V1041</f>
        <v>113909.2604</v>
      </c>
      <c r="V1041" s="2718">
        <f>$F$42+$H$42</f>
        <v>0.13</v>
      </c>
    </row>
    <row r="1042" spans="2:22" s="2721" customFormat="1" ht="14.1" customHeight="1" x14ac:dyDescent="0.2">
      <c r="B1042" s="2711"/>
      <c r="C1042" s="2711"/>
      <c r="D1042" s="2721" t="s">
        <v>268</v>
      </c>
      <c r="H1042" s="2711"/>
      <c r="Q1042" s="2717"/>
      <c r="R1042" s="2717"/>
      <c r="S1042" s="2719"/>
      <c r="T1042" s="2717"/>
      <c r="U1042" s="2717"/>
      <c r="V1042" s="2717"/>
    </row>
    <row r="1043" spans="2:22" s="2721" customFormat="1" ht="14.1" customHeight="1" x14ac:dyDescent="0.2">
      <c r="B1043" s="2711"/>
      <c r="C1043" s="2524"/>
      <c r="D1043" s="3427" t="s">
        <v>280</v>
      </c>
      <c r="E1043" s="3428"/>
      <c r="F1043" s="2722"/>
      <c r="G1043" s="3433" t="s">
        <v>281</v>
      </c>
      <c r="H1043" s="3433" t="s">
        <v>282</v>
      </c>
      <c r="I1043" s="2524" t="s">
        <v>283</v>
      </c>
      <c r="J1043" s="2524" t="s">
        <v>284</v>
      </c>
      <c r="K1043" s="2524" t="s">
        <v>340</v>
      </c>
      <c r="L1043" s="2524" t="s">
        <v>2008</v>
      </c>
      <c r="M1043" s="2524" t="s">
        <v>2009</v>
      </c>
      <c r="N1043" s="2524" t="s">
        <v>284</v>
      </c>
      <c r="Q1043" s="2717"/>
      <c r="R1043" s="2717"/>
      <c r="S1043" s="2719"/>
      <c r="T1043" s="2717"/>
      <c r="U1043" s="2717"/>
      <c r="V1043" s="2717"/>
    </row>
    <row r="1044" spans="2:22" s="2721" customFormat="1" ht="14.1" customHeight="1" x14ac:dyDescent="0.2">
      <c r="B1044" s="2711"/>
      <c r="C1044" s="2528" t="s">
        <v>669</v>
      </c>
      <c r="D1044" s="3429"/>
      <c r="E1044" s="3430"/>
      <c r="F1044" s="2723"/>
      <c r="G1044" s="3434"/>
      <c r="H1044" s="3434"/>
      <c r="I1044" s="2528" t="s">
        <v>285</v>
      </c>
      <c r="J1044" s="2528" t="s">
        <v>286</v>
      </c>
      <c r="K1044" s="2528" t="s">
        <v>286</v>
      </c>
      <c r="L1044" s="2528" t="s">
        <v>2011</v>
      </c>
      <c r="M1044" s="2528"/>
      <c r="N1044" s="2528" t="s">
        <v>2013</v>
      </c>
      <c r="Q1044" s="2717"/>
      <c r="R1044" s="2717"/>
      <c r="S1044" s="2719"/>
      <c r="T1044" s="2717"/>
      <c r="U1044" s="2717"/>
      <c r="V1044" s="2717"/>
    </row>
    <row r="1045" spans="2:22" s="2721" customFormat="1" ht="14.1" customHeight="1" x14ac:dyDescent="0.2">
      <c r="B1045" s="2711"/>
      <c r="C1045" s="2537"/>
      <c r="D1045" s="3431"/>
      <c r="E1045" s="3432"/>
      <c r="F1045" s="2724"/>
      <c r="G1045" s="3435"/>
      <c r="H1045" s="3435"/>
      <c r="I1045" s="2537" t="s">
        <v>286</v>
      </c>
      <c r="J1045" s="2536"/>
      <c r="K1045" s="2536"/>
      <c r="L1045" s="2536"/>
      <c r="M1045" s="2536"/>
      <c r="N1045" s="2537" t="s">
        <v>286</v>
      </c>
      <c r="Q1045" s="2717"/>
      <c r="R1045" s="2717"/>
      <c r="S1045" s="2719"/>
      <c r="T1045" s="2717"/>
      <c r="U1045" s="2717"/>
      <c r="V1045" s="2717"/>
    </row>
    <row r="1046" spans="2:22" s="2721" customFormat="1" ht="14.1" customHeight="1" x14ac:dyDescent="0.2">
      <c r="B1046" s="2711"/>
      <c r="C1046" s="2524" t="s">
        <v>607</v>
      </c>
      <c r="D1046" s="2725" t="s">
        <v>287</v>
      </c>
      <c r="E1046" s="2726" t="s">
        <v>408</v>
      </c>
      <c r="F1046" s="2726"/>
      <c r="G1046" s="2727" t="s">
        <v>275</v>
      </c>
      <c r="H1046" s="2728">
        <v>1</v>
      </c>
      <c r="I1046" s="2729">
        <f>'Upah &amp; Bahan'!$I$150</f>
        <v>850000</v>
      </c>
      <c r="J1046" s="2729">
        <f>ROUND(H1046*I1046,2)</f>
        <v>850000</v>
      </c>
      <c r="K1046" s="2730"/>
      <c r="L1046" s="3177">
        <v>0.62909999999999999</v>
      </c>
      <c r="M1046" s="2732" t="s">
        <v>2029</v>
      </c>
      <c r="N1046" s="2729">
        <f t="shared" ref="N1046:N1058" si="76">L1046*J1046</f>
        <v>534735</v>
      </c>
      <c r="Q1046" s="2717"/>
      <c r="R1046" s="2717"/>
      <c r="S1046" s="2719"/>
      <c r="T1046" s="2717"/>
      <c r="U1046" s="2717"/>
      <c r="V1046" s="2717"/>
    </row>
    <row r="1047" spans="2:22" s="2721" customFormat="1" ht="14.1" customHeight="1" x14ac:dyDescent="0.2">
      <c r="B1047" s="2711"/>
      <c r="C1047" s="2528"/>
      <c r="D1047" s="2733"/>
      <c r="E1047" s="2726" t="s">
        <v>375</v>
      </c>
      <c r="F1047" s="2726"/>
      <c r="G1047" s="2727" t="s">
        <v>268</v>
      </c>
      <c r="H1047" s="2728">
        <v>1</v>
      </c>
      <c r="I1047" s="2729">
        <f>I1046*0.12</f>
        <v>102000</v>
      </c>
      <c r="J1047" s="2729">
        <f>ROUND(H1047*I1047,2)</f>
        <v>102000</v>
      </c>
      <c r="K1047" s="2734"/>
      <c r="L1047" s="3177">
        <v>0.75</v>
      </c>
      <c r="M1047" s="2732" t="s">
        <v>2030</v>
      </c>
      <c r="N1047" s="2729">
        <f t="shared" si="76"/>
        <v>76500</v>
      </c>
      <c r="Q1047" s="2717"/>
      <c r="R1047" s="2717"/>
      <c r="S1047" s="2719"/>
      <c r="T1047" s="2717"/>
      <c r="U1047" s="2717"/>
      <c r="V1047" s="2717"/>
    </row>
    <row r="1048" spans="2:22" s="2721" customFormat="1" ht="14.1" customHeight="1" x14ac:dyDescent="0.2">
      <c r="B1048" s="2711"/>
      <c r="C1048" s="2528"/>
      <c r="D1048" s="2733"/>
      <c r="E1048" s="2726" t="s">
        <v>409</v>
      </c>
      <c r="F1048" s="2726"/>
      <c r="G1048" s="2727"/>
      <c r="H1048" s="2728"/>
      <c r="I1048" s="2729"/>
      <c r="J1048" s="2729"/>
      <c r="K1048" s="2734"/>
      <c r="L1048" s="3177"/>
      <c r="M1048" s="2732"/>
      <c r="N1048" s="2729">
        <f t="shared" si="76"/>
        <v>0</v>
      </c>
      <c r="Q1048" s="2717"/>
      <c r="R1048" s="2717"/>
      <c r="S1048" s="2719"/>
      <c r="T1048" s="2717"/>
      <c r="U1048" s="2717"/>
      <c r="V1048" s="2717"/>
    </row>
    <row r="1049" spans="2:22" s="2721" customFormat="1" ht="14.1" customHeight="1" x14ac:dyDescent="0.2">
      <c r="B1049" s="2711"/>
      <c r="C1049" s="2528"/>
      <c r="D1049" s="2733"/>
      <c r="E1049" s="2726" t="s">
        <v>300</v>
      </c>
      <c r="F1049" s="2726"/>
      <c r="G1049" s="2727" t="s">
        <v>298</v>
      </c>
      <c r="H1049" s="2728">
        <v>6</v>
      </c>
      <c r="I1049" s="2729">
        <f>'Upah &amp; Bahan'!$I$118</f>
        <v>1200</v>
      </c>
      <c r="J1049" s="2729">
        <f>ROUND(H1049*I1049,2)</f>
        <v>7200</v>
      </c>
      <c r="K1049" s="2734"/>
      <c r="L1049" s="3177">
        <f>$L$192</f>
        <v>0.85140000000000005</v>
      </c>
      <c r="M1049" s="2732" t="s">
        <v>2029</v>
      </c>
      <c r="N1049" s="2729">
        <f t="shared" si="76"/>
        <v>6130.08</v>
      </c>
      <c r="Q1049" s="2717"/>
      <c r="R1049" s="2717"/>
      <c r="S1049" s="2719"/>
      <c r="T1049" s="2717"/>
      <c r="U1049" s="2717"/>
      <c r="V1049" s="2717"/>
    </row>
    <row r="1050" spans="2:22" s="2721" customFormat="1" ht="14.1" customHeight="1" x14ac:dyDescent="0.2">
      <c r="B1050" s="2711"/>
      <c r="C1050" s="2528"/>
      <c r="D1050" s="2733"/>
      <c r="E1050" s="2726" t="s">
        <v>379</v>
      </c>
      <c r="F1050" s="2726"/>
      <c r="G1050" s="2727" t="s">
        <v>293</v>
      </c>
      <c r="H1050" s="2728">
        <v>0.01</v>
      </c>
      <c r="I1050" s="2729">
        <f>'Upah &amp; Bahan'!$I$121</f>
        <v>260000</v>
      </c>
      <c r="J1050" s="2729">
        <f>ROUND(H1050*I1050,2)</f>
        <v>2600</v>
      </c>
      <c r="K1050" s="2735"/>
      <c r="L1050" s="3177">
        <v>1</v>
      </c>
      <c r="M1050" s="2732"/>
      <c r="N1050" s="2729">
        <f t="shared" si="76"/>
        <v>2600</v>
      </c>
      <c r="Q1050" s="2717"/>
      <c r="R1050" s="2717"/>
      <c r="S1050" s="2719"/>
      <c r="T1050" s="2717"/>
      <c r="U1050" s="2717"/>
      <c r="V1050" s="2717"/>
    </row>
    <row r="1051" spans="2:22" s="2721" customFormat="1" ht="14.1" customHeight="1" x14ac:dyDescent="0.2">
      <c r="B1051" s="2711"/>
      <c r="C1051" s="2537"/>
      <c r="D1051" s="2733"/>
      <c r="E1051" s="2984"/>
      <c r="F1051" s="2985"/>
      <c r="G1051" s="2742"/>
      <c r="H1051" s="2986"/>
      <c r="I1051" s="2842"/>
      <c r="J1051" s="2813"/>
      <c r="K1051" s="2729">
        <f>SUM(J1046:J1050)</f>
        <v>961800</v>
      </c>
      <c r="L1051" s="3177"/>
      <c r="M1051" s="2732"/>
      <c r="N1051" s="2729">
        <f t="shared" si="76"/>
        <v>0</v>
      </c>
      <c r="Q1051" s="2717"/>
      <c r="R1051" s="2717"/>
      <c r="S1051" s="2719"/>
      <c r="T1051" s="2717"/>
      <c r="U1051" s="2717"/>
      <c r="V1051" s="2717"/>
    </row>
    <row r="1052" spans="2:22" s="2721" customFormat="1" ht="14.1" customHeight="1" x14ac:dyDescent="0.2">
      <c r="B1052" s="2711"/>
      <c r="C1052" s="2524" t="s">
        <v>608</v>
      </c>
      <c r="D1052" s="2725" t="s">
        <v>288</v>
      </c>
      <c r="E1052" s="2726" t="s">
        <v>289</v>
      </c>
      <c r="F1052" s="2726"/>
      <c r="G1052" s="2727" t="s">
        <v>291</v>
      </c>
      <c r="H1052" s="2728">
        <v>1.2</v>
      </c>
      <c r="I1052" s="2729">
        <f>'Upah &amp; Bahan'!$I$24</f>
        <v>88300</v>
      </c>
      <c r="J1052" s="2729">
        <f>ROUND(H1052*I1052,2)</f>
        <v>105960</v>
      </c>
      <c r="K1052" s="2730"/>
      <c r="L1052" s="3177">
        <f t="shared" ref="L1052:L1055" si="77">VLOOKUP($E1052,$D$1744:$G$1761,2,0)</f>
        <v>1</v>
      </c>
      <c r="M1052" s="2731" t="str">
        <f t="shared" ref="M1052:M1055" si="78">VLOOKUP($E1052,$D$1744:$G$1761,3,0)</f>
        <v>WNI</v>
      </c>
      <c r="N1052" s="2729">
        <f t="shared" si="76"/>
        <v>105960</v>
      </c>
      <c r="Q1052" s="2717"/>
      <c r="R1052" s="2717"/>
      <c r="S1052" s="2719"/>
      <c r="T1052" s="2717"/>
      <c r="U1052" s="2717"/>
      <c r="V1052" s="2717"/>
    </row>
    <row r="1053" spans="2:22" s="2721" customFormat="1" ht="14.1" customHeight="1" x14ac:dyDescent="0.2">
      <c r="B1053" s="2711"/>
      <c r="C1053" s="2528"/>
      <c r="D1053" s="2733"/>
      <c r="E1053" s="2726" t="s">
        <v>370</v>
      </c>
      <c r="F1053" s="2726"/>
      <c r="G1053" s="2727" t="s">
        <v>291</v>
      </c>
      <c r="H1053" s="2728">
        <v>1.45</v>
      </c>
      <c r="I1053" s="2729">
        <f>'Upah &amp; Bahan'!$I$32</f>
        <v>90000</v>
      </c>
      <c r="J1053" s="2729">
        <f>ROUND(H1053*I1053,2)</f>
        <v>130500</v>
      </c>
      <c r="K1053" s="2734"/>
      <c r="L1053" s="3177">
        <f t="shared" si="77"/>
        <v>1</v>
      </c>
      <c r="M1053" s="2731" t="str">
        <f t="shared" si="78"/>
        <v>WNI</v>
      </c>
      <c r="N1053" s="2729">
        <f t="shared" si="76"/>
        <v>130500</v>
      </c>
      <c r="Q1053" s="2717"/>
      <c r="R1053" s="2717"/>
      <c r="S1053" s="2719"/>
      <c r="T1053" s="2717"/>
      <c r="U1053" s="2717"/>
      <c r="V1053" s="2717"/>
    </row>
    <row r="1054" spans="2:22" s="2721" customFormat="1" ht="14.1" customHeight="1" x14ac:dyDescent="0.2">
      <c r="B1054" s="2711"/>
      <c r="C1054" s="2528"/>
      <c r="D1054" s="2733"/>
      <c r="E1054" s="2726" t="s">
        <v>716</v>
      </c>
      <c r="F1054" s="2726"/>
      <c r="G1054" s="2727" t="s">
        <v>291</v>
      </c>
      <c r="H1054" s="2728">
        <v>0.15</v>
      </c>
      <c r="I1054" s="2729">
        <f>'Upah &amp; Bahan'!$I$26</f>
        <v>96000</v>
      </c>
      <c r="J1054" s="2729">
        <f>ROUND(H1054*I1054,2)</f>
        <v>14400</v>
      </c>
      <c r="K1054" s="2734"/>
      <c r="L1054" s="3177">
        <f t="shared" si="77"/>
        <v>1</v>
      </c>
      <c r="M1054" s="2731" t="str">
        <f t="shared" si="78"/>
        <v>WNI</v>
      </c>
      <c r="N1054" s="2729">
        <f t="shared" si="76"/>
        <v>14400</v>
      </c>
      <c r="Q1054" s="2717"/>
      <c r="R1054" s="2717"/>
      <c r="S1054" s="2719"/>
      <c r="T1054" s="2717"/>
      <c r="U1054" s="2717"/>
      <c r="V1054" s="2717"/>
    </row>
    <row r="1055" spans="2:22" s="2721" customFormat="1" ht="14.1" customHeight="1" x14ac:dyDescent="0.2">
      <c r="B1055" s="2711"/>
      <c r="C1055" s="2528"/>
      <c r="D1055" s="2733"/>
      <c r="E1055" s="2726" t="s">
        <v>290</v>
      </c>
      <c r="F1055" s="2726"/>
      <c r="G1055" s="2727" t="s">
        <v>291</v>
      </c>
      <c r="H1055" s="2728">
        <v>0.06</v>
      </c>
      <c r="I1055" s="2729">
        <f>'Upah &amp; Bahan'!$I$31</f>
        <v>90000</v>
      </c>
      <c r="J1055" s="2729">
        <f>ROUND(H1055*I1055,2)</f>
        <v>5400</v>
      </c>
      <c r="K1055" s="2733"/>
      <c r="L1055" s="3177">
        <f t="shared" si="77"/>
        <v>1</v>
      </c>
      <c r="M1055" s="2731" t="str">
        <f t="shared" si="78"/>
        <v>WNI</v>
      </c>
      <c r="N1055" s="2729">
        <f t="shared" si="76"/>
        <v>5400</v>
      </c>
      <c r="Q1055" s="2717"/>
      <c r="R1055" s="2717"/>
      <c r="S1055" s="2719"/>
      <c r="T1055" s="2717"/>
      <c r="U1055" s="2717"/>
      <c r="V1055" s="2717"/>
    </row>
    <row r="1056" spans="2:22" s="2721" customFormat="1" ht="14.1" customHeight="1" x14ac:dyDescent="0.2">
      <c r="B1056" s="2711"/>
      <c r="C1056" s="2537"/>
      <c r="D1056" s="2536"/>
      <c r="E1056" s="2736"/>
      <c r="F1056" s="2741"/>
      <c r="G1056" s="2742"/>
      <c r="H1056" s="2743"/>
      <c r="I1056" s="2842"/>
      <c r="J1056" s="2813"/>
      <c r="K1056" s="2732">
        <f>SUM(J1052:J1055)</f>
        <v>256260</v>
      </c>
      <c r="L1056" s="3177"/>
      <c r="M1056" s="2732"/>
      <c r="N1056" s="2729">
        <f t="shared" si="76"/>
        <v>0</v>
      </c>
      <c r="Q1056" s="2717"/>
      <c r="R1056" s="2717"/>
      <c r="S1056" s="2719"/>
      <c r="T1056" s="2717"/>
      <c r="U1056" s="2717"/>
      <c r="V1056" s="2717"/>
    </row>
    <row r="1057" spans="2:22" s="2721" customFormat="1" ht="14.1" customHeight="1" x14ac:dyDescent="0.2">
      <c r="B1057" s="2711"/>
      <c r="C1057" s="2524" t="s">
        <v>609</v>
      </c>
      <c r="D1057" s="2725" t="s">
        <v>606</v>
      </c>
      <c r="E1057" s="2739"/>
      <c r="F1057" s="2739"/>
      <c r="G1057" s="2727"/>
      <c r="H1057" s="2740"/>
      <c r="I1057" s="2814"/>
      <c r="J1057" s="2729"/>
      <c r="K1057" s="2730"/>
      <c r="L1057" s="3177"/>
      <c r="M1057" s="2732"/>
      <c r="N1057" s="2729">
        <f t="shared" si="76"/>
        <v>0</v>
      </c>
      <c r="Q1057" s="2717"/>
      <c r="R1057" s="2717"/>
      <c r="S1057" s="2719"/>
      <c r="T1057" s="2717"/>
      <c r="U1057" s="2717"/>
      <c r="V1057" s="2717"/>
    </row>
    <row r="1058" spans="2:22" s="2721" customFormat="1" ht="14.1" customHeight="1" x14ac:dyDescent="0.2">
      <c r="B1058" s="2711"/>
      <c r="C1058" s="2537"/>
      <c r="D1058" s="2536"/>
      <c r="E1058" s="2736"/>
      <c r="F1058" s="2741"/>
      <c r="G1058" s="2742"/>
      <c r="H1058" s="2743"/>
      <c r="I1058" s="2744"/>
      <c r="J1058" s="2813"/>
      <c r="K1058" s="2732">
        <f>SUM(J1057:J1057)</f>
        <v>0</v>
      </c>
      <c r="L1058" s="3177"/>
      <c r="M1058" s="2732"/>
      <c r="N1058" s="2729">
        <f t="shared" si="76"/>
        <v>0</v>
      </c>
      <c r="Q1058" s="2717"/>
      <c r="R1058" s="2717"/>
      <c r="S1058" s="2719"/>
      <c r="T1058" s="2717"/>
      <c r="U1058" s="2717"/>
      <c r="V1058" s="2717"/>
    </row>
    <row r="1059" spans="2:22" s="2721" customFormat="1" ht="14.1" customHeight="1" x14ac:dyDescent="0.2">
      <c r="B1059" s="2711"/>
      <c r="C1059" s="2727" t="s">
        <v>610</v>
      </c>
      <c r="D1059" s="2738" t="s">
        <v>651</v>
      </c>
      <c r="E1059" s="2741"/>
      <c r="F1059" s="2741"/>
      <c r="G1059" s="2742"/>
      <c r="H1059" s="2743"/>
      <c r="I1059" s="2744"/>
      <c r="J1059" s="2745" t="s">
        <v>652</v>
      </c>
      <c r="K1059" s="2732">
        <f>K1051+K1056+K1058</f>
        <v>1218060</v>
      </c>
      <c r="L1059" s="3179">
        <f>N1059/K1059</f>
        <v>0.71936118089420875</v>
      </c>
      <c r="M1059" s="2745"/>
      <c r="N1059" s="2747">
        <f>SUM(N1045:N1058)</f>
        <v>876225.08</v>
      </c>
      <c r="Q1059" s="2717"/>
      <c r="R1059" s="2717"/>
      <c r="S1059" s="2719"/>
      <c r="T1059" s="2717"/>
      <c r="U1059" s="2717"/>
      <c r="V1059" s="2717"/>
    </row>
    <row r="1060" spans="2:22" s="2721" customFormat="1" ht="14.1" customHeight="1" x14ac:dyDescent="0.2">
      <c r="B1060" s="2711"/>
      <c r="C1060" s="2727" t="s">
        <v>611</v>
      </c>
      <c r="D1060" s="2738" t="s">
        <v>653</v>
      </c>
      <c r="E1060" s="2741"/>
      <c r="F1060" s="2748">
        <f>$F$42</f>
        <v>0.1</v>
      </c>
      <c r="G1060" s="2727" t="s">
        <v>425</v>
      </c>
      <c r="H1060" s="2748">
        <f>$H$42</f>
        <v>0.03</v>
      </c>
      <c r="I1060" s="2749" t="s">
        <v>424</v>
      </c>
      <c r="J1060" s="2732" t="s">
        <v>610</v>
      </c>
      <c r="K1060" s="2750">
        <f>ROUND((K1059*(F1060+H1060)),2)</f>
        <v>158347.79999999999</v>
      </c>
      <c r="L1060" s="2732"/>
      <c r="M1060" s="2732"/>
      <c r="N1060" s="2732"/>
      <c r="Q1060" s="2717"/>
      <c r="R1060" s="2717"/>
      <c r="S1060" s="2719"/>
      <c r="T1060" s="2717"/>
      <c r="U1060" s="2717"/>
      <c r="V1060" s="2717"/>
    </row>
    <row r="1061" spans="2:22" s="2721" customFormat="1" ht="14.1" customHeight="1" x14ac:dyDescent="0.2">
      <c r="B1061" s="2711"/>
      <c r="C1061" s="2880" t="s">
        <v>654</v>
      </c>
      <c r="D1061" s="2752" t="s">
        <v>301</v>
      </c>
      <c r="E1061" s="2815"/>
      <c r="F1061" s="2815"/>
      <c r="G1061" s="2815"/>
      <c r="H1061" s="2816"/>
      <c r="I1061" s="2815"/>
      <c r="J1061" s="2755" t="s">
        <v>668</v>
      </c>
      <c r="K1061" s="2756">
        <f>SUM(K1059:K1060)</f>
        <v>1376407.8</v>
      </c>
      <c r="L1061" s="2746"/>
      <c r="M1061" s="2755"/>
      <c r="N1061" s="2757"/>
      <c r="Q1061" s="2717"/>
      <c r="R1061" s="2717"/>
      <c r="S1061" s="2719"/>
      <c r="T1061" s="2717"/>
      <c r="U1061" s="2717"/>
      <c r="V1061" s="2717"/>
    </row>
    <row r="1062" spans="2:22" x14ac:dyDescent="0.25">
      <c r="Q1062" s="2717"/>
      <c r="R1062" s="2717"/>
      <c r="S1062" s="2719"/>
      <c r="T1062" s="2717"/>
      <c r="U1062" s="2717"/>
      <c r="V1062" s="2717"/>
    </row>
    <row r="1063" spans="2:22" s="2721" customFormat="1" ht="14.1" customHeight="1" x14ac:dyDescent="0.2">
      <c r="B1063" s="2711">
        <f>B1041+1</f>
        <v>53</v>
      </c>
      <c r="C1063" s="2711"/>
      <c r="D1063" s="2712" t="s">
        <v>2034</v>
      </c>
      <c r="E1063" s="2713"/>
      <c r="F1063" s="2713"/>
      <c r="G1063" s="2713"/>
      <c r="H1063" s="2714"/>
      <c r="I1063" s="2713"/>
      <c r="J1063" s="2713"/>
      <c r="K1063" s="2715" t="s">
        <v>778</v>
      </c>
      <c r="L1063" s="2715"/>
      <c r="M1063" s="2715"/>
      <c r="N1063" s="2715"/>
      <c r="O1063" s="2721" t="str">
        <f>D1064</f>
        <v>bh</v>
      </c>
      <c r="P1063" s="2810">
        <f>K1079</f>
        <v>120111.09</v>
      </c>
      <c r="Q1063" s="2718">
        <f>L1077</f>
        <v>0.10624406122698578</v>
      </c>
      <c r="R1063" s="2717"/>
      <c r="S1063" s="2719">
        <f>N1077</f>
        <v>11293</v>
      </c>
      <c r="T1063" s="2515">
        <f>U1063+S1063</f>
        <v>12761.09</v>
      </c>
      <c r="U1063" s="2719">
        <f>S1063*V1063</f>
        <v>1468.0900000000001</v>
      </c>
      <c r="V1063" s="2718">
        <f>$F$42+$H$42</f>
        <v>0.13</v>
      </c>
    </row>
    <row r="1064" spans="2:22" s="2721" customFormat="1" ht="14.1" customHeight="1" x14ac:dyDescent="0.2">
      <c r="B1064" s="2711"/>
      <c r="C1064" s="2711"/>
      <c r="D1064" s="2721" t="s">
        <v>268</v>
      </c>
      <c r="H1064" s="2711"/>
      <c r="Q1064" s="2717"/>
      <c r="R1064" s="2717"/>
      <c r="S1064" s="2719"/>
      <c r="T1064" s="2717"/>
      <c r="U1064" s="2717"/>
      <c r="V1064" s="2717"/>
    </row>
    <row r="1065" spans="2:22" s="2721" customFormat="1" ht="14.1" customHeight="1" x14ac:dyDescent="0.2">
      <c r="B1065" s="2711"/>
      <c r="C1065" s="2524"/>
      <c r="D1065" s="3427" t="s">
        <v>280</v>
      </c>
      <c r="E1065" s="3428"/>
      <c r="F1065" s="2722"/>
      <c r="G1065" s="3433" t="s">
        <v>281</v>
      </c>
      <c r="H1065" s="3433" t="s">
        <v>282</v>
      </c>
      <c r="I1065" s="2524" t="s">
        <v>283</v>
      </c>
      <c r="J1065" s="2524" t="s">
        <v>284</v>
      </c>
      <c r="K1065" s="2524" t="s">
        <v>340</v>
      </c>
      <c r="L1065" s="2524" t="s">
        <v>2008</v>
      </c>
      <c r="M1065" s="2524" t="s">
        <v>2009</v>
      </c>
      <c r="N1065" s="2524" t="s">
        <v>284</v>
      </c>
      <c r="Q1065" s="2717"/>
      <c r="R1065" s="2717"/>
      <c r="S1065" s="2719"/>
      <c r="T1065" s="2717"/>
      <c r="U1065" s="2717"/>
      <c r="V1065" s="2717"/>
    </row>
    <row r="1066" spans="2:22" s="2721" customFormat="1" ht="14.1" customHeight="1" x14ac:dyDescent="0.2">
      <c r="B1066" s="2711"/>
      <c r="C1066" s="2528" t="s">
        <v>669</v>
      </c>
      <c r="D1066" s="3429"/>
      <c r="E1066" s="3430"/>
      <c r="F1066" s="2723"/>
      <c r="G1066" s="3434"/>
      <c r="H1066" s="3434"/>
      <c r="I1066" s="2528" t="s">
        <v>285</v>
      </c>
      <c r="J1066" s="2528" t="s">
        <v>286</v>
      </c>
      <c r="K1066" s="2528" t="s">
        <v>286</v>
      </c>
      <c r="L1066" s="2528" t="s">
        <v>2011</v>
      </c>
      <c r="M1066" s="2528"/>
      <c r="N1066" s="2528" t="s">
        <v>2013</v>
      </c>
      <c r="Q1066" s="2717"/>
      <c r="R1066" s="2717"/>
      <c r="S1066" s="2719"/>
      <c r="T1066" s="2717"/>
      <c r="U1066" s="2717"/>
      <c r="V1066" s="2717"/>
    </row>
    <row r="1067" spans="2:22" s="2721" customFormat="1" ht="14.1" customHeight="1" x14ac:dyDescent="0.2">
      <c r="B1067" s="2711"/>
      <c r="C1067" s="2537"/>
      <c r="D1067" s="3431"/>
      <c r="E1067" s="3432"/>
      <c r="F1067" s="2724"/>
      <c r="G1067" s="3435"/>
      <c r="H1067" s="3435"/>
      <c r="I1067" s="2537" t="s">
        <v>286</v>
      </c>
      <c r="J1067" s="2536"/>
      <c r="K1067" s="2536"/>
      <c r="L1067" s="2536"/>
      <c r="M1067" s="2536"/>
      <c r="N1067" s="2537" t="s">
        <v>286</v>
      </c>
      <c r="Q1067" s="2717"/>
      <c r="R1067" s="2717"/>
      <c r="S1067" s="2719"/>
      <c r="T1067" s="2717"/>
      <c r="U1067" s="2717"/>
      <c r="V1067" s="2717"/>
    </row>
    <row r="1068" spans="2:22" s="2721" customFormat="1" ht="14.1" customHeight="1" x14ac:dyDescent="0.2">
      <c r="B1068" s="2711"/>
      <c r="C1068" s="2524" t="s">
        <v>607</v>
      </c>
      <c r="D1068" s="2725" t="s">
        <v>287</v>
      </c>
      <c r="E1068" s="2987" t="s">
        <v>779</v>
      </c>
      <c r="F1068" s="2726"/>
      <c r="G1068" s="2727" t="s">
        <v>275</v>
      </c>
      <c r="H1068" s="2728">
        <v>1</v>
      </c>
      <c r="I1068" s="2729">
        <f>'Upah &amp; Bahan'!$I$77</f>
        <v>95000</v>
      </c>
      <c r="J1068" s="2729">
        <f>ROUND(H1068*I1068,2)</f>
        <v>95000</v>
      </c>
      <c r="K1068" s="2730"/>
      <c r="L1068" s="3177">
        <v>0</v>
      </c>
      <c r="M1068" s="2732"/>
      <c r="N1068" s="2729">
        <f t="shared" ref="N1068:N1076" si="79">L1068*J1068</f>
        <v>0</v>
      </c>
      <c r="Q1068" s="2717"/>
      <c r="R1068" s="2717"/>
      <c r="S1068" s="2719"/>
      <c r="T1068" s="2717"/>
      <c r="U1068" s="2717"/>
      <c r="V1068" s="2717"/>
    </row>
    <row r="1069" spans="2:22" s="2721" customFormat="1" ht="14.1" customHeight="1" x14ac:dyDescent="0.2">
      <c r="B1069" s="2711"/>
      <c r="C1069" s="2537"/>
      <c r="D1069" s="2733"/>
      <c r="E1069" s="2984"/>
      <c r="F1069" s="2985"/>
      <c r="G1069" s="2742"/>
      <c r="H1069" s="2986"/>
      <c r="I1069" s="2842"/>
      <c r="J1069" s="2813"/>
      <c r="K1069" s="2729">
        <f>SUM(J1068:J1068)</f>
        <v>95000</v>
      </c>
      <c r="L1069" s="3177"/>
      <c r="M1069" s="2732"/>
      <c r="N1069" s="2729">
        <f t="shared" si="79"/>
        <v>0</v>
      </c>
      <c r="Q1069" s="2717"/>
      <c r="R1069" s="2717"/>
      <c r="S1069" s="2719"/>
      <c r="T1069" s="2717"/>
      <c r="U1069" s="2717"/>
      <c r="V1069" s="2717"/>
    </row>
    <row r="1070" spans="2:22" s="2721" customFormat="1" ht="14.1" customHeight="1" x14ac:dyDescent="0.2">
      <c r="B1070" s="2711"/>
      <c r="C1070" s="2524" t="s">
        <v>608</v>
      </c>
      <c r="D1070" s="2725" t="s">
        <v>288</v>
      </c>
      <c r="E1070" s="2726" t="s">
        <v>289</v>
      </c>
      <c r="F1070" s="2726"/>
      <c r="G1070" s="2727" t="s">
        <v>291</v>
      </c>
      <c r="H1070" s="2728">
        <v>0.01</v>
      </c>
      <c r="I1070" s="2729">
        <f>'Upah &amp; Bahan'!$I$24</f>
        <v>88300</v>
      </c>
      <c r="J1070" s="2729">
        <f>ROUND(H1070*I1070,2)</f>
        <v>883</v>
      </c>
      <c r="K1070" s="2730"/>
      <c r="L1070" s="3177">
        <f t="shared" ref="L1070:L1073" si="80">VLOOKUP($E1070,$D$1744:$G$1761,2,0)</f>
        <v>1</v>
      </c>
      <c r="M1070" s="2731" t="str">
        <f t="shared" ref="M1070:M1073" si="81">VLOOKUP($E1070,$D$1744:$G$1761,3,0)</f>
        <v>WNI</v>
      </c>
      <c r="N1070" s="2729">
        <f t="shared" si="79"/>
        <v>883</v>
      </c>
      <c r="Q1070" s="2717"/>
      <c r="R1070" s="2717"/>
      <c r="S1070" s="2719"/>
      <c r="T1070" s="2717"/>
      <c r="U1070" s="2717"/>
      <c r="V1070" s="2717"/>
    </row>
    <row r="1071" spans="2:22" s="2721" customFormat="1" ht="14.1" customHeight="1" x14ac:dyDescent="0.2">
      <c r="B1071" s="2711"/>
      <c r="C1071" s="2528"/>
      <c r="D1071" s="2733"/>
      <c r="E1071" s="2726" t="s">
        <v>370</v>
      </c>
      <c r="F1071" s="2726"/>
      <c r="G1071" s="2727" t="s">
        <v>291</v>
      </c>
      <c r="H1071" s="2728">
        <v>0.1</v>
      </c>
      <c r="I1071" s="2729">
        <f>'Upah &amp; Bahan'!$I$32</f>
        <v>90000</v>
      </c>
      <c r="J1071" s="2729">
        <f>ROUND(H1071*I1071,2)</f>
        <v>9000</v>
      </c>
      <c r="K1071" s="2734"/>
      <c r="L1071" s="3177">
        <f t="shared" si="80"/>
        <v>1</v>
      </c>
      <c r="M1071" s="2731" t="str">
        <f t="shared" si="81"/>
        <v>WNI</v>
      </c>
      <c r="N1071" s="2729">
        <f t="shared" si="79"/>
        <v>9000</v>
      </c>
      <c r="Q1071" s="2717"/>
      <c r="R1071" s="2717"/>
      <c r="S1071" s="2719"/>
      <c r="T1071" s="2717"/>
      <c r="U1071" s="2717"/>
      <c r="V1071" s="2717"/>
    </row>
    <row r="1072" spans="2:22" s="2721" customFormat="1" ht="14.1" customHeight="1" x14ac:dyDescent="0.2">
      <c r="B1072" s="2711"/>
      <c r="C1072" s="2528"/>
      <c r="D1072" s="2733"/>
      <c r="E1072" s="2726" t="s">
        <v>716</v>
      </c>
      <c r="F1072" s="2726"/>
      <c r="G1072" s="2727" t="s">
        <v>291</v>
      </c>
      <c r="H1072" s="2728">
        <v>0.01</v>
      </c>
      <c r="I1072" s="2729">
        <f>'Upah &amp; Bahan'!$I$26</f>
        <v>96000</v>
      </c>
      <c r="J1072" s="2729">
        <f>ROUND(H1072*I1072,2)</f>
        <v>960</v>
      </c>
      <c r="K1072" s="2734"/>
      <c r="L1072" s="3177">
        <f t="shared" si="80"/>
        <v>1</v>
      </c>
      <c r="M1072" s="2731" t="str">
        <f t="shared" si="81"/>
        <v>WNI</v>
      </c>
      <c r="N1072" s="2729">
        <f t="shared" si="79"/>
        <v>960</v>
      </c>
      <c r="Q1072" s="2717"/>
      <c r="R1072" s="2717"/>
      <c r="S1072" s="2719"/>
      <c r="T1072" s="2717"/>
      <c r="U1072" s="2717"/>
      <c r="V1072" s="2717"/>
    </row>
    <row r="1073" spans="2:22" s="2721" customFormat="1" ht="14.1" customHeight="1" x14ac:dyDescent="0.2">
      <c r="B1073" s="2711"/>
      <c r="C1073" s="2528"/>
      <c r="D1073" s="2733"/>
      <c r="E1073" s="2726" t="s">
        <v>290</v>
      </c>
      <c r="F1073" s="2726"/>
      <c r="G1073" s="2727" t="s">
        <v>291</v>
      </c>
      <c r="H1073" s="2728">
        <v>5.0000000000000001E-3</v>
      </c>
      <c r="I1073" s="2729">
        <f>'Upah &amp; Bahan'!$I$31</f>
        <v>90000</v>
      </c>
      <c r="J1073" s="2729">
        <f>ROUND(H1073*I1073,2)</f>
        <v>450</v>
      </c>
      <c r="K1073" s="2733"/>
      <c r="L1073" s="3177">
        <f t="shared" si="80"/>
        <v>1</v>
      </c>
      <c r="M1073" s="2731" t="str">
        <f t="shared" si="81"/>
        <v>WNI</v>
      </c>
      <c r="N1073" s="2729">
        <f t="shared" si="79"/>
        <v>450</v>
      </c>
      <c r="Q1073" s="2717"/>
      <c r="R1073" s="2717"/>
      <c r="S1073" s="2719"/>
      <c r="T1073" s="2717"/>
      <c r="U1073" s="2717"/>
      <c r="V1073" s="2717"/>
    </row>
    <row r="1074" spans="2:22" s="2721" customFormat="1" ht="14.1" customHeight="1" x14ac:dyDescent="0.2">
      <c r="B1074" s="2711"/>
      <c r="C1074" s="2537"/>
      <c r="D1074" s="2536"/>
      <c r="E1074" s="2736"/>
      <c r="F1074" s="2741"/>
      <c r="G1074" s="2742"/>
      <c r="H1074" s="2743"/>
      <c r="I1074" s="2842"/>
      <c r="J1074" s="2813"/>
      <c r="K1074" s="2732">
        <f>SUM(J1070:J1073)</f>
        <v>11293</v>
      </c>
      <c r="L1074" s="3177"/>
      <c r="M1074" s="2732"/>
      <c r="N1074" s="2729">
        <f t="shared" si="79"/>
        <v>0</v>
      </c>
      <c r="Q1074" s="2717"/>
      <c r="R1074" s="2717"/>
      <c r="S1074" s="2719"/>
      <c r="T1074" s="2717"/>
      <c r="U1074" s="2717"/>
      <c r="V1074" s="2717"/>
    </row>
    <row r="1075" spans="2:22" s="2721" customFormat="1" ht="14.1" customHeight="1" x14ac:dyDescent="0.2">
      <c r="B1075" s="2711"/>
      <c r="C1075" s="2524" t="s">
        <v>609</v>
      </c>
      <c r="D1075" s="2725" t="s">
        <v>606</v>
      </c>
      <c r="E1075" s="2739"/>
      <c r="F1075" s="2739"/>
      <c r="G1075" s="2727"/>
      <c r="H1075" s="2740"/>
      <c r="I1075" s="2814"/>
      <c r="J1075" s="2729"/>
      <c r="K1075" s="2730"/>
      <c r="L1075" s="3177"/>
      <c r="M1075" s="2732"/>
      <c r="N1075" s="2729">
        <f t="shared" si="79"/>
        <v>0</v>
      </c>
      <c r="Q1075" s="2717"/>
      <c r="R1075" s="2717"/>
      <c r="S1075" s="2719"/>
      <c r="T1075" s="2717"/>
      <c r="U1075" s="2717"/>
      <c r="V1075" s="2717"/>
    </row>
    <row r="1076" spans="2:22" s="2721" customFormat="1" ht="14.1" customHeight="1" x14ac:dyDescent="0.2">
      <c r="B1076" s="2711"/>
      <c r="C1076" s="2537"/>
      <c r="D1076" s="2536"/>
      <c r="E1076" s="2736"/>
      <c r="F1076" s="2741"/>
      <c r="G1076" s="2742"/>
      <c r="H1076" s="2743"/>
      <c r="I1076" s="2744"/>
      <c r="J1076" s="2813"/>
      <c r="K1076" s="2732">
        <f>SUM(J1075:J1075)</f>
        <v>0</v>
      </c>
      <c r="L1076" s="3177"/>
      <c r="M1076" s="2732"/>
      <c r="N1076" s="2729">
        <f t="shared" si="79"/>
        <v>0</v>
      </c>
      <c r="Q1076" s="2717"/>
      <c r="R1076" s="2717"/>
      <c r="S1076" s="2719"/>
      <c r="T1076" s="2717"/>
      <c r="U1076" s="2717"/>
      <c r="V1076" s="2717"/>
    </row>
    <row r="1077" spans="2:22" s="2721" customFormat="1" ht="14.1" customHeight="1" x14ac:dyDescent="0.2">
      <c r="B1077" s="2711"/>
      <c r="C1077" s="2727" t="s">
        <v>610</v>
      </c>
      <c r="D1077" s="2738" t="s">
        <v>651</v>
      </c>
      <c r="E1077" s="2741"/>
      <c r="F1077" s="2741"/>
      <c r="G1077" s="2742"/>
      <c r="H1077" s="2743"/>
      <c r="I1077" s="2744"/>
      <c r="J1077" s="2745" t="s">
        <v>652</v>
      </c>
      <c r="K1077" s="2732">
        <f>K1069+K1074+K1076</f>
        <v>106293</v>
      </c>
      <c r="L1077" s="3179">
        <f>N1077/K1077</f>
        <v>0.10624406122698578</v>
      </c>
      <c r="M1077" s="2745"/>
      <c r="N1077" s="2747">
        <f>SUM(N1066:N1076)</f>
        <v>11293</v>
      </c>
      <c r="Q1077" s="2717"/>
      <c r="R1077" s="2717"/>
      <c r="S1077" s="2719"/>
      <c r="T1077" s="2717"/>
      <c r="U1077" s="2717"/>
      <c r="V1077" s="2717"/>
    </row>
    <row r="1078" spans="2:22" s="2721" customFormat="1" ht="14.1" customHeight="1" x14ac:dyDescent="0.2">
      <c r="B1078" s="2711"/>
      <c r="C1078" s="2727" t="s">
        <v>611</v>
      </c>
      <c r="D1078" s="2738" t="s">
        <v>653</v>
      </c>
      <c r="E1078" s="2741"/>
      <c r="F1078" s="2748">
        <f>$F$42</f>
        <v>0.1</v>
      </c>
      <c r="G1078" s="2727" t="s">
        <v>425</v>
      </c>
      <c r="H1078" s="2748">
        <f>$H$42</f>
        <v>0.03</v>
      </c>
      <c r="I1078" s="2749" t="s">
        <v>424</v>
      </c>
      <c r="J1078" s="2732" t="s">
        <v>610</v>
      </c>
      <c r="K1078" s="2750">
        <f>ROUND((K1077*(F1078+H1078)),2)</f>
        <v>13818.09</v>
      </c>
      <c r="L1078" s="2732"/>
      <c r="M1078" s="2732"/>
      <c r="N1078" s="2732"/>
      <c r="Q1078" s="2717"/>
      <c r="R1078" s="2717"/>
      <c r="S1078" s="2719"/>
      <c r="T1078" s="2717"/>
      <c r="U1078" s="2717"/>
      <c r="V1078" s="2717"/>
    </row>
    <row r="1079" spans="2:22" s="2721" customFormat="1" ht="14.1" customHeight="1" x14ac:dyDescent="0.2">
      <c r="B1079" s="2711"/>
      <c r="C1079" s="2880" t="s">
        <v>654</v>
      </c>
      <c r="D1079" s="2752" t="s">
        <v>301</v>
      </c>
      <c r="E1079" s="2815"/>
      <c r="F1079" s="2815"/>
      <c r="G1079" s="2815"/>
      <c r="H1079" s="2816"/>
      <c r="I1079" s="2815"/>
      <c r="J1079" s="2755" t="s">
        <v>668</v>
      </c>
      <c r="K1079" s="2756">
        <f>SUM(K1077:K1078)</f>
        <v>120111.09</v>
      </c>
      <c r="L1079" s="2746"/>
      <c r="M1079" s="2755"/>
      <c r="N1079" s="2757"/>
      <c r="Q1079" s="2717"/>
      <c r="R1079" s="2717"/>
      <c r="S1079" s="2719"/>
      <c r="T1079" s="2717"/>
      <c r="U1079" s="2717"/>
      <c r="V1079" s="2717"/>
    </row>
    <row r="1080" spans="2:22" s="2721" customFormat="1" ht="14.1" customHeight="1" x14ac:dyDescent="0.2">
      <c r="H1080" s="2711"/>
      <c r="Q1080" s="2717"/>
      <c r="R1080" s="2717"/>
      <c r="S1080" s="2719"/>
      <c r="T1080" s="2717"/>
      <c r="U1080" s="2717"/>
      <c r="V1080" s="2717"/>
    </row>
    <row r="1081" spans="2:22" s="2721" customFormat="1" ht="14.1" customHeight="1" x14ac:dyDescent="0.2">
      <c r="B1081" s="2711">
        <f>B1063+1</f>
        <v>54</v>
      </c>
      <c r="C1081" s="2711"/>
      <c r="D1081" s="2712" t="s">
        <v>455</v>
      </c>
      <c r="E1081" s="2713"/>
      <c r="F1081" s="2713"/>
      <c r="G1081" s="2713"/>
      <c r="H1081" s="2714"/>
      <c r="I1081" s="2713"/>
      <c r="J1081" s="2713"/>
      <c r="K1081" s="2715" t="s">
        <v>769</v>
      </c>
      <c r="L1081" s="2715"/>
      <c r="M1081" s="2715"/>
      <c r="N1081" s="2715"/>
      <c r="O1081" s="2721" t="str">
        <f>D1082</f>
        <v>m'</v>
      </c>
      <c r="P1081" s="2810">
        <f>K1098</f>
        <v>24034.87</v>
      </c>
      <c r="Q1081" s="2718">
        <f>L1096</f>
        <v>0.94560353176804668</v>
      </c>
      <c r="R1081" s="2717"/>
      <c r="S1081" s="2719">
        <f>N1096</f>
        <v>20112.797999999999</v>
      </c>
      <c r="T1081" s="2515">
        <f>U1081+S1081</f>
        <v>22727.461739999999</v>
      </c>
      <c r="U1081" s="2719">
        <f>S1081*V1081</f>
        <v>2614.66374</v>
      </c>
      <c r="V1081" s="2718">
        <f>$F$42+$H$42</f>
        <v>0.13</v>
      </c>
    </row>
    <row r="1082" spans="2:22" s="2721" customFormat="1" ht="14.1" customHeight="1" x14ac:dyDescent="0.2">
      <c r="B1082" s="2711"/>
      <c r="C1082" s="2711"/>
      <c r="D1082" s="2721" t="s">
        <v>247</v>
      </c>
      <c r="H1082" s="2711"/>
      <c r="Q1082" s="2717"/>
      <c r="R1082" s="2717"/>
      <c r="S1082" s="2719"/>
      <c r="T1082" s="2717"/>
      <c r="U1082" s="2717"/>
      <c r="V1082" s="2717"/>
    </row>
    <row r="1083" spans="2:22" s="2721" customFormat="1" ht="14.1" customHeight="1" x14ac:dyDescent="0.2">
      <c r="B1083" s="2711"/>
      <c r="C1083" s="2524"/>
      <c r="D1083" s="3427" t="s">
        <v>280</v>
      </c>
      <c r="E1083" s="3428"/>
      <c r="F1083" s="2722"/>
      <c r="G1083" s="3433" t="s">
        <v>281</v>
      </c>
      <c r="H1083" s="3433" t="s">
        <v>282</v>
      </c>
      <c r="I1083" s="2524" t="s">
        <v>283</v>
      </c>
      <c r="J1083" s="2524" t="s">
        <v>284</v>
      </c>
      <c r="K1083" s="2524" t="s">
        <v>340</v>
      </c>
      <c r="L1083" s="2524" t="s">
        <v>2008</v>
      </c>
      <c r="M1083" s="2524" t="s">
        <v>2009</v>
      </c>
      <c r="N1083" s="2524" t="s">
        <v>284</v>
      </c>
      <c r="Q1083" s="2717"/>
      <c r="R1083" s="2717"/>
      <c r="S1083" s="2719"/>
      <c r="T1083" s="2717"/>
      <c r="U1083" s="2717"/>
      <c r="V1083" s="2717"/>
    </row>
    <row r="1084" spans="2:22" s="2721" customFormat="1" ht="14.1" customHeight="1" x14ac:dyDescent="0.2">
      <c r="B1084" s="2711"/>
      <c r="C1084" s="2528" t="s">
        <v>669</v>
      </c>
      <c r="D1084" s="3429"/>
      <c r="E1084" s="3430"/>
      <c r="F1084" s="2723"/>
      <c r="G1084" s="3434"/>
      <c r="H1084" s="3434"/>
      <c r="I1084" s="2528" t="s">
        <v>285</v>
      </c>
      <c r="J1084" s="2528" t="s">
        <v>286</v>
      </c>
      <c r="K1084" s="2528" t="s">
        <v>286</v>
      </c>
      <c r="L1084" s="2528" t="s">
        <v>2011</v>
      </c>
      <c r="M1084" s="2528"/>
      <c r="N1084" s="2528" t="s">
        <v>2013</v>
      </c>
      <c r="Q1084" s="2717"/>
      <c r="R1084" s="2717"/>
      <c r="S1084" s="2719"/>
      <c r="T1084" s="2717"/>
      <c r="U1084" s="2717"/>
      <c r="V1084" s="2717"/>
    </row>
    <row r="1085" spans="2:22" s="2721" customFormat="1" ht="14.1" customHeight="1" x14ac:dyDescent="0.2">
      <c r="B1085" s="2711"/>
      <c r="C1085" s="2537"/>
      <c r="D1085" s="3431"/>
      <c r="E1085" s="3432"/>
      <c r="F1085" s="2724"/>
      <c r="G1085" s="3435"/>
      <c r="H1085" s="3435"/>
      <c r="I1085" s="2537" t="s">
        <v>286</v>
      </c>
      <c r="J1085" s="2536"/>
      <c r="K1085" s="2536"/>
      <c r="L1085" s="2536"/>
      <c r="M1085" s="2536"/>
      <c r="N1085" s="2537" t="s">
        <v>286</v>
      </c>
      <c r="Q1085" s="2717"/>
      <c r="R1085" s="2717"/>
      <c r="S1085" s="2719"/>
      <c r="T1085" s="2717"/>
      <c r="U1085" s="2717"/>
      <c r="V1085" s="2717"/>
    </row>
    <row r="1086" spans="2:22" s="2721" customFormat="1" ht="14.1" customHeight="1" x14ac:dyDescent="0.2">
      <c r="B1086" s="2711"/>
      <c r="C1086" s="2524" t="s">
        <v>607</v>
      </c>
      <c r="D1086" s="2725" t="s">
        <v>287</v>
      </c>
      <c r="E1086" s="2726" t="s">
        <v>402</v>
      </c>
      <c r="F1086" s="2726"/>
      <c r="G1086" s="2727" t="s">
        <v>309</v>
      </c>
      <c r="H1086" s="2728">
        <v>1.2</v>
      </c>
      <c r="I1086" s="2729">
        <f>'Upah &amp; Bahan'!$I$125/4</f>
        <v>7700</v>
      </c>
      <c r="J1086" s="2729">
        <f>ROUND(H1086*I1086,2)</f>
        <v>9240</v>
      </c>
      <c r="K1086" s="2730"/>
      <c r="L1086" s="2731">
        <v>0.94769999999999999</v>
      </c>
      <c r="M1086" s="2732" t="s">
        <v>2029</v>
      </c>
      <c r="N1086" s="2729">
        <f t="shared" ref="N1086:N1095" si="82">L1086*J1086</f>
        <v>8756.7479999999996</v>
      </c>
      <c r="Q1086" s="2717"/>
      <c r="R1086" s="2717"/>
      <c r="S1086" s="2719"/>
      <c r="T1086" s="2717"/>
      <c r="U1086" s="2717"/>
      <c r="V1086" s="2717"/>
    </row>
    <row r="1087" spans="2:22" s="2721" customFormat="1" ht="14.1" customHeight="1" x14ac:dyDescent="0.2">
      <c r="B1087" s="2711"/>
      <c r="C1087" s="2528"/>
      <c r="D1087" s="2733"/>
      <c r="E1087" s="2726" t="s">
        <v>375</v>
      </c>
      <c r="F1087" s="2726"/>
      <c r="G1087" s="2727" t="s">
        <v>268</v>
      </c>
      <c r="H1087" s="2728">
        <v>1</v>
      </c>
      <c r="I1087" s="2729">
        <f>I1086*0.35</f>
        <v>2695</v>
      </c>
      <c r="J1087" s="2729">
        <f>ROUND(H1087*I1087,2)</f>
        <v>2695</v>
      </c>
      <c r="K1087" s="2735"/>
      <c r="L1087" s="2731">
        <v>0.75</v>
      </c>
      <c r="M1087" s="2732" t="s">
        <v>2030</v>
      </c>
      <c r="N1087" s="2729">
        <f t="shared" si="82"/>
        <v>2021.25</v>
      </c>
      <c r="Q1087" s="2717"/>
      <c r="R1087" s="2717"/>
      <c r="S1087" s="2719"/>
      <c r="T1087" s="2717"/>
      <c r="U1087" s="2717"/>
      <c r="V1087" s="2717"/>
    </row>
    <row r="1088" spans="2:22" s="2721" customFormat="1" ht="14.1" customHeight="1" x14ac:dyDescent="0.2">
      <c r="B1088" s="2711"/>
      <c r="C1088" s="2537"/>
      <c r="D1088" s="2733"/>
      <c r="E1088" s="2984" t="s">
        <v>407</v>
      </c>
      <c r="F1088" s="2985"/>
      <c r="G1088" s="2742"/>
      <c r="H1088" s="2986"/>
      <c r="I1088" s="2842"/>
      <c r="J1088" s="2813"/>
      <c r="K1088" s="2729">
        <f>SUM(J1086:J1087)</f>
        <v>11935</v>
      </c>
      <c r="L1088" s="2731"/>
      <c r="M1088" s="2732"/>
      <c r="N1088" s="2729">
        <f t="shared" si="82"/>
        <v>0</v>
      </c>
      <c r="Q1088" s="2717"/>
      <c r="R1088" s="2717"/>
      <c r="S1088" s="2719"/>
      <c r="T1088" s="2717"/>
      <c r="U1088" s="2717"/>
      <c r="V1088" s="2717"/>
    </row>
    <row r="1089" spans="2:22" s="2721" customFormat="1" ht="14.1" customHeight="1" x14ac:dyDescent="0.2">
      <c r="B1089" s="2711"/>
      <c r="C1089" s="2524" t="s">
        <v>608</v>
      </c>
      <c r="D1089" s="2725" t="s">
        <v>288</v>
      </c>
      <c r="E1089" s="2726" t="s">
        <v>289</v>
      </c>
      <c r="F1089" s="2726"/>
      <c r="G1089" s="2727" t="s">
        <v>291</v>
      </c>
      <c r="H1089" s="2728">
        <v>3.5999999999999997E-2</v>
      </c>
      <c r="I1089" s="2729">
        <f>'Upah &amp; Bahan'!$I$24</f>
        <v>88300</v>
      </c>
      <c r="J1089" s="2729">
        <f>ROUND(H1089*I1089,2)</f>
        <v>3178.8</v>
      </c>
      <c r="K1089" s="2730"/>
      <c r="L1089" s="2731">
        <f t="shared" ref="L1089:L1092" si="83">VLOOKUP($E1089,$D$1744:$G$1761,2,0)</f>
        <v>1</v>
      </c>
      <c r="M1089" s="2731" t="str">
        <f t="shared" ref="M1089:M1092" si="84">VLOOKUP($E1089,$D$1744:$G$1761,3,0)</f>
        <v>WNI</v>
      </c>
      <c r="N1089" s="2729">
        <f t="shared" si="82"/>
        <v>3178.8</v>
      </c>
      <c r="Q1089" s="2717"/>
      <c r="R1089" s="2717"/>
      <c r="S1089" s="2719"/>
      <c r="T1089" s="2717"/>
      <c r="U1089" s="2717"/>
      <c r="V1089" s="2717"/>
    </row>
    <row r="1090" spans="2:22" s="2721" customFormat="1" ht="14.1" customHeight="1" x14ac:dyDescent="0.2">
      <c r="B1090" s="2711"/>
      <c r="C1090" s="2528"/>
      <c r="D1090" s="2733"/>
      <c r="E1090" s="2726" t="s">
        <v>370</v>
      </c>
      <c r="F1090" s="2726"/>
      <c r="G1090" s="2727" t="s">
        <v>291</v>
      </c>
      <c r="H1090" s="2728">
        <v>0.06</v>
      </c>
      <c r="I1090" s="2729">
        <f>'Upah &amp; Bahan'!$I$32</f>
        <v>90000</v>
      </c>
      <c r="J1090" s="2729">
        <f>ROUND(H1090*I1090,2)</f>
        <v>5400</v>
      </c>
      <c r="K1090" s="2734"/>
      <c r="L1090" s="2731">
        <f t="shared" si="83"/>
        <v>1</v>
      </c>
      <c r="M1090" s="2731" t="str">
        <f t="shared" si="84"/>
        <v>WNI</v>
      </c>
      <c r="N1090" s="2729">
        <f t="shared" si="82"/>
        <v>5400</v>
      </c>
      <c r="Q1090" s="2717"/>
      <c r="R1090" s="2717"/>
      <c r="S1090" s="2719"/>
      <c r="T1090" s="2717"/>
      <c r="U1090" s="2717"/>
      <c r="V1090" s="2717"/>
    </row>
    <row r="1091" spans="2:22" s="2721" customFormat="1" ht="14.1" customHeight="1" x14ac:dyDescent="0.2">
      <c r="B1091" s="2711"/>
      <c r="C1091" s="2528"/>
      <c r="D1091" s="2733"/>
      <c r="E1091" s="2726" t="s">
        <v>716</v>
      </c>
      <c r="F1091" s="2726"/>
      <c r="G1091" s="2727" t="s">
        <v>291</v>
      </c>
      <c r="H1091" s="2728">
        <v>6.0000000000000001E-3</v>
      </c>
      <c r="I1091" s="2729">
        <f>'Upah &amp; Bahan'!$I$26</f>
        <v>96000</v>
      </c>
      <c r="J1091" s="2729">
        <f>ROUND(H1091*I1091,2)</f>
        <v>576</v>
      </c>
      <c r="K1091" s="2734"/>
      <c r="L1091" s="2731">
        <f t="shared" si="83"/>
        <v>1</v>
      </c>
      <c r="M1091" s="2731" t="str">
        <f t="shared" si="84"/>
        <v>WNI</v>
      </c>
      <c r="N1091" s="2729">
        <f t="shared" si="82"/>
        <v>576</v>
      </c>
      <c r="Q1091" s="2717"/>
      <c r="R1091" s="2717"/>
      <c r="S1091" s="2719"/>
      <c r="T1091" s="2717"/>
      <c r="U1091" s="2717"/>
      <c r="V1091" s="2717"/>
    </row>
    <row r="1092" spans="2:22" s="2721" customFormat="1" ht="14.1" customHeight="1" x14ac:dyDescent="0.2">
      <c r="B1092" s="2711"/>
      <c r="C1092" s="2528"/>
      <c r="D1092" s="2733"/>
      <c r="E1092" s="2726" t="s">
        <v>290</v>
      </c>
      <c r="F1092" s="2726"/>
      <c r="G1092" s="2727" t="s">
        <v>291</v>
      </c>
      <c r="H1092" s="2728">
        <v>2E-3</v>
      </c>
      <c r="I1092" s="2729">
        <f>'Upah &amp; Bahan'!$I$31</f>
        <v>90000</v>
      </c>
      <c r="J1092" s="2729">
        <f>ROUND(H1092*I1092,2)</f>
        <v>180</v>
      </c>
      <c r="K1092" s="2733"/>
      <c r="L1092" s="2731">
        <f t="shared" si="83"/>
        <v>1</v>
      </c>
      <c r="M1092" s="2731" t="str">
        <f t="shared" si="84"/>
        <v>WNI</v>
      </c>
      <c r="N1092" s="2729">
        <f t="shared" si="82"/>
        <v>180</v>
      </c>
      <c r="Q1092" s="2717"/>
      <c r="R1092" s="2717"/>
      <c r="S1092" s="2719"/>
      <c r="T1092" s="2717"/>
      <c r="U1092" s="2717"/>
      <c r="V1092" s="2717"/>
    </row>
    <row r="1093" spans="2:22" s="2721" customFormat="1" ht="14.1" customHeight="1" x14ac:dyDescent="0.2">
      <c r="B1093" s="2711"/>
      <c r="C1093" s="2537"/>
      <c r="D1093" s="2536"/>
      <c r="E1093" s="2736"/>
      <c r="F1093" s="2741"/>
      <c r="G1093" s="2742"/>
      <c r="H1093" s="2743"/>
      <c r="I1093" s="2842"/>
      <c r="J1093" s="2813"/>
      <c r="K1093" s="2732">
        <f>SUM(J1089:J1092)</f>
        <v>9334.7999999999993</v>
      </c>
      <c r="L1093" s="2731"/>
      <c r="M1093" s="2732"/>
      <c r="N1093" s="2729">
        <f t="shared" si="82"/>
        <v>0</v>
      </c>
      <c r="Q1093" s="2717"/>
      <c r="R1093" s="2717"/>
      <c r="S1093" s="2719"/>
      <c r="T1093" s="2717"/>
      <c r="U1093" s="2717"/>
      <c r="V1093" s="2717"/>
    </row>
    <row r="1094" spans="2:22" s="2721" customFormat="1" ht="14.1" customHeight="1" x14ac:dyDescent="0.2">
      <c r="B1094" s="2711"/>
      <c r="C1094" s="2524" t="s">
        <v>609</v>
      </c>
      <c r="D1094" s="2725" t="s">
        <v>606</v>
      </c>
      <c r="E1094" s="2739"/>
      <c r="F1094" s="2739"/>
      <c r="G1094" s="2727"/>
      <c r="H1094" s="2740"/>
      <c r="I1094" s="2814"/>
      <c r="J1094" s="2729"/>
      <c r="K1094" s="2730"/>
      <c r="L1094" s="2731"/>
      <c r="M1094" s="2732"/>
      <c r="N1094" s="2729">
        <f t="shared" si="82"/>
        <v>0</v>
      </c>
      <c r="Q1094" s="2717"/>
      <c r="R1094" s="2717"/>
      <c r="S1094" s="2719"/>
      <c r="T1094" s="2717"/>
      <c r="U1094" s="2717"/>
      <c r="V1094" s="2717"/>
    </row>
    <row r="1095" spans="2:22" s="2721" customFormat="1" ht="14.1" customHeight="1" x14ac:dyDescent="0.2">
      <c r="B1095" s="2711"/>
      <c r="C1095" s="2537"/>
      <c r="D1095" s="2536"/>
      <c r="E1095" s="2736"/>
      <c r="F1095" s="2741"/>
      <c r="G1095" s="2742"/>
      <c r="H1095" s="2743"/>
      <c r="I1095" s="2744"/>
      <c r="J1095" s="2813"/>
      <c r="K1095" s="2732">
        <f>SUM(J1094:J1094)</f>
        <v>0</v>
      </c>
      <c r="L1095" s="2731"/>
      <c r="M1095" s="2732"/>
      <c r="N1095" s="2729">
        <f t="shared" si="82"/>
        <v>0</v>
      </c>
      <c r="Q1095" s="2717"/>
      <c r="R1095" s="2717"/>
      <c r="S1095" s="2719"/>
      <c r="T1095" s="2717"/>
      <c r="U1095" s="2717"/>
      <c r="V1095" s="2717"/>
    </row>
    <row r="1096" spans="2:22" s="2721" customFormat="1" ht="14.1" customHeight="1" x14ac:dyDescent="0.2">
      <c r="B1096" s="2711"/>
      <c r="C1096" s="2727" t="s">
        <v>610</v>
      </c>
      <c r="D1096" s="2738" t="s">
        <v>651</v>
      </c>
      <c r="E1096" s="2741"/>
      <c r="F1096" s="2741"/>
      <c r="G1096" s="2742"/>
      <c r="H1096" s="2743"/>
      <c r="I1096" s="2744"/>
      <c r="J1096" s="2745" t="s">
        <v>652</v>
      </c>
      <c r="K1096" s="2732">
        <f>K1088+K1093+K1095</f>
        <v>21269.8</v>
      </c>
      <c r="L1096" s="2746">
        <f>N1096/K1096</f>
        <v>0.94560353176804668</v>
      </c>
      <c r="M1096" s="2745"/>
      <c r="N1096" s="2747">
        <f>SUM(N1085:N1095)</f>
        <v>20112.797999999999</v>
      </c>
      <c r="Q1096" s="2717"/>
      <c r="R1096" s="2717"/>
      <c r="S1096" s="2719"/>
      <c r="T1096" s="2717"/>
      <c r="U1096" s="2717"/>
      <c r="V1096" s="2717"/>
    </row>
    <row r="1097" spans="2:22" s="2721" customFormat="1" ht="14.1" customHeight="1" x14ac:dyDescent="0.2">
      <c r="B1097" s="2711"/>
      <c r="C1097" s="2727" t="s">
        <v>611</v>
      </c>
      <c r="D1097" s="2738" t="s">
        <v>653</v>
      </c>
      <c r="E1097" s="2741"/>
      <c r="F1097" s="2748">
        <f>$F$42</f>
        <v>0.1</v>
      </c>
      <c r="G1097" s="2727" t="s">
        <v>425</v>
      </c>
      <c r="H1097" s="2748">
        <f>$H$42</f>
        <v>0.03</v>
      </c>
      <c r="I1097" s="2749" t="s">
        <v>424</v>
      </c>
      <c r="J1097" s="2732" t="s">
        <v>610</v>
      </c>
      <c r="K1097" s="2750">
        <f>ROUND((K1096*(F1097+H1097)),2)</f>
        <v>2765.07</v>
      </c>
      <c r="L1097" s="2732"/>
      <c r="M1097" s="2732"/>
      <c r="N1097" s="2732"/>
      <c r="Q1097" s="2717"/>
      <c r="R1097" s="2717"/>
      <c r="S1097" s="2719"/>
      <c r="T1097" s="2717"/>
      <c r="U1097" s="2717"/>
      <c r="V1097" s="2717"/>
    </row>
    <row r="1098" spans="2:22" s="2721" customFormat="1" ht="14.1" customHeight="1" x14ac:dyDescent="0.2">
      <c r="B1098" s="2711"/>
      <c r="C1098" s="2880" t="s">
        <v>654</v>
      </c>
      <c r="D1098" s="2752" t="s">
        <v>301</v>
      </c>
      <c r="E1098" s="2815"/>
      <c r="F1098" s="2815"/>
      <c r="G1098" s="2815"/>
      <c r="H1098" s="2816"/>
      <c r="I1098" s="2815"/>
      <c r="J1098" s="2755" t="s">
        <v>668</v>
      </c>
      <c r="K1098" s="2756">
        <f>SUM(K1096:K1097)</f>
        <v>24034.87</v>
      </c>
      <c r="L1098" s="2746"/>
      <c r="M1098" s="2755"/>
      <c r="N1098" s="2757"/>
      <c r="Q1098" s="2717"/>
      <c r="R1098" s="2717"/>
      <c r="S1098" s="2719"/>
      <c r="T1098" s="2717"/>
      <c r="U1098" s="2717"/>
      <c r="V1098" s="2717"/>
    </row>
    <row r="1099" spans="2:22" x14ac:dyDescent="0.25">
      <c r="Q1099" s="2717"/>
      <c r="R1099" s="2717"/>
      <c r="S1099" s="2719"/>
      <c r="T1099" s="2717"/>
      <c r="U1099" s="2717"/>
      <c r="V1099" s="2717"/>
    </row>
    <row r="1100" spans="2:22" s="2721" customFormat="1" ht="14.1" customHeight="1" x14ac:dyDescent="0.2">
      <c r="B1100" s="2711">
        <f>B1081+1</f>
        <v>55</v>
      </c>
      <c r="C1100" s="2711"/>
      <c r="D1100" s="2712" t="s">
        <v>456</v>
      </c>
      <c r="E1100" s="2713"/>
      <c r="F1100" s="2713"/>
      <c r="G1100" s="2713"/>
      <c r="H1100" s="2714"/>
      <c r="I1100" s="2713"/>
      <c r="J1100" s="2713"/>
      <c r="K1100" s="2715" t="s">
        <v>1086</v>
      </c>
      <c r="L1100" s="2715"/>
      <c r="M1100" s="2715"/>
      <c r="N1100" s="2715"/>
      <c r="O1100" s="2721" t="str">
        <f>D1101</f>
        <v>m'</v>
      </c>
      <c r="P1100" s="2810">
        <f>K1118</f>
        <v>26924.85</v>
      </c>
      <c r="Q1100" s="2718">
        <f>L1116</f>
        <v>0.94103691983565063</v>
      </c>
      <c r="R1100" s="2717"/>
      <c r="S1100" s="2719">
        <f>N1116</f>
        <v>22422.368999999999</v>
      </c>
      <c r="T1100" s="2515">
        <f>U1100+S1100</f>
        <v>25337.276969999999</v>
      </c>
      <c r="U1100" s="2719">
        <f>S1100*V1100</f>
        <v>2914.9079699999998</v>
      </c>
      <c r="V1100" s="2718">
        <f>$F$42+$H$42</f>
        <v>0.13</v>
      </c>
    </row>
    <row r="1101" spans="2:22" s="2721" customFormat="1" ht="14.1" customHeight="1" x14ac:dyDescent="0.2">
      <c r="B1101" s="2711"/>
      <c r="C1101" s="2711"/>
      <c r="D1101" s="2721" t="s">
        <v>247</v>
      </c>
      <c r="H1101" s="2711"/>
      <c r="Q1101" s="2717"/>
      <c r="R1101" s="2717"/>
      <c r="S1101" s="2719"/>
      <c r="T1101" s="2717"/>
      <c r="U1101" s="2717"/>
      <c r="V1101" s="2717"/>
    </row>
    <row r="1102" spans="2:22" s="2721" customFormat="1" ht="14.1" customHeight="1" x14ac:dyDescent="0.2">
      <c r="B1102" s="2711"/>
      <c r="C1102" s="2711"/>
      <c r="H1102" s="2711"/>
      <c r="Q1102" s="2717"/>
      <c r="R1102" s="2717"/>
      <c r="S1102" s="2719"/>
      <c r="T1102" s="2717"/>
      <c r="U1102" s="2717"/>
      <c r="V1102" s="2717"/>
    </row>
    <row r="1103" spans="2:22" s="2721" customFormat="1" ht="14.1" customHeight="1" x14ac:dyDescent="0.2">
      <c r="B1103" s="2711"/>
      <c r="C1103" s="2524"/>
      <c r="D1103" s="3427" t="s">
        <v>280</v>
      </c>
      <c r="E1103" s="3428"/>
      <c r="F1103" s="2722"/>
      <c r="G1103" s="3433" t="s">
        <v>281</v>
      </c>
      <c r="H1103" s="3433" t="s">
        <v>282</v>
      </c>
      <c r="I1103" s="2524" t="s">
        <v>283</v>
      </c>
      <c r="J1103" s="2524" t="s">
        <v>284</v>
      </c>
      <c r="K1103" s="2524" t="s">
        <v>340</v>
      </c>
      <c r="L1103" s="2524" t="s">
        <v>2008</v>
      </c>
      <c r="M1103" s="2524" t="s">
        <v>2009</v>
      </c>
      <c r="N1103" s="2524" t="s">
        <v>284</v>
      </c>
      <c r="Q1103" s="2717"/>
      <c r="R1103" s="2717"/>
      <c r="S1103" s="2719"/>
      <c r="T1103" s="2717"/>
      <c r="U1103" s="2717"/>
      <c r="V1103" s="2717"/>
    </row>
    <row r="1104" spans="2:22" s="2721" customFormat="1" ht="14.1" customHeight="1" x14ac:dyDescent="0.2">
      <c r="B1104" s="2711"/>
      <c r="C1104" s="2528" t="s">
        <v>669</v>
      </c>
      <c r="D1104" s="3429"/>
      <c r="E1104" s="3430"/>
      <c r="F1104" s="2723"/>
      <c r="G1104" s="3434"/>
      <c r="H1104" s="3434"/>
      <c r="I1104" s="2528" t="s">
        <v>285</v>
      </c>
      <c r="J1104" s="2528" t="s">
        <v>286</v>
      </c>
      <c r="K1104" s="2528" t="s">
        <v>286</v>
      </c>
      <c r="L1104" s="2528" t="s">
        <v>2011</v>
      </c>
      <c r="M1104" s="2528"/>
      <c r="N1104" s="2528" t="s">
        <v>2013</v>
      </c>
      <c r="Q1104" s="2717"/>
      <c r="R1104" s="2717"/>
      <c r="S1104" s="2719"/>
      <c r="T1104" s="2717"/>
      <c r="U1104" s="2717"/>
      <c r="V1104" s="2717"/>
    </row>
    <row r="1105" spans="2:22" s="2721" customFormat="1" ht="14.1" customHeight="1" x14ac:dyDescent="0.2">
      <c r="B1105" s="2711"/>
      <c r="C1105" s="2537"/>
      <c r="D1105" s="3431"/>
      <c r="E1105" s="3432"/>
      <c r="F1105" s="2724"/>
      <c r="G1105" s="3435"/>
      <c r="H1105" s="3435"/>
      <c r="I1105" s="2537" t="s">
        <v>286</v>
      </c>
      <c r="J1105" s="2536"/>
      <c r="K1105" s="2536"/>
      <c r="L1105" s="2536"/>
      <c r="M1105" s="2536"/>
      <c r="N1105" s="2537" t="s">
        <v>286</v>
      </c>
      <c r="Q1105" s="2717"/>
      <c r="R1105" s="2717"/>
      <c r="S1105" s="2719"/>
      <c r="T1105" s="2717"/>
      <c r="U1105" s="2717"/>
      <c r="V1105" s="2717"/>
    </row>
    <row r="1106" spans="2:22" s="2721" customFormat="1" ht="14.1" customHeight="1" x14ac:dyDescent="0.2">
      <c r="B1106" s="2711"/>
      <c r="C1106" s="2524" t="s">
        <v>607</v>
      </c>
      <c r="D1106" s="2725" t="s">
        <v>287</v>
      </c>
      <c r="E1106" s="2726" t="s">
        <v>403</v>
      </c>
      <c r="F1106" s="2726"/>
      <c r="G1106" s="2727" t="s">
        <v>309</v>
      </c>
      <c r="H1106" s="2728">
        <v>1.2</v>
      </c>
      <c r="I1106" s="2729">
        <f>'Upah &amp; Bahan'!$I$126/4</f>
        <v>9350</v>
      </c>
      <c r="J1106" s="2729">
        <f>ROUND(H1106*I1106,2)</f>
        <v>11220</v>
      </c>
      <c r="K1106" s="2730"/>
      <c r="L1106" s="2731">
        <v>0.94769999999999999</v>
      </c>
      <c r="M1106" s="2732" t="s">
        <v>2029</v>
      </c>
      <c r="N1106" s="2729">
        <f t="shared" ref="N1106:N1115" si="85">L1106*J1106</f>
        <v>10633.194</v>
      </c>
      <c r="Q1106" s="2717"/>
      <c r="R1106" s="2717"/>
      <c r="S1106" s="2719"/>
      <c r="T1106" s="2717"/>
      <c r="U1106" s="2717"/>
      <c r="V1106" s="2717"/>
    </row>
    <row r="1107" spans="2:22" s="2721" customFormat="1" ht="14.1" customHeight="1" x14ac:dyDescent="0.2">
      <c r="B1107" s="2711"/>
      <c r="C1107" s="2528"/>
      <c r="D1107" s="2733"/>
      <c r="E1107" s="2726" t="s">
        <v>375</v>
      </c>
      <c r="F1107" s="2726"/>
      <c r="G1107" s="2727" t="s">
        <v>268</v>
      </c>
      <c r="H1107" s="2728">
        <v>1</v>
      </c>
      <c r="I1107" s="2729">
        <f>I1106*0.35</f>
        <v>3272.5</v>
      </c>
      <c r="J1107" s="2729">
        <f>ROUND(H1107*I1107,2)</f>
        <v>3272.5</v>
      </c>
      <c r="K1107" s="2735"/>
      <c r="L1107" s="2731">
        <v>0.75</v>
      </c>
      <c r="M1107" s="2732" t="s">
        <v>2030</v>
      </c>
      <c r="N1107" s="2729">
        <f t="shared" si="85"/>
        <v>2454.375</v>
      </c>
      <c r="Q1107" s="2717"/>
      <c r="R1107" s="2717"/>
      <c r="S1107" s="2719"/>
      <c r="T1107" s="2717"/>
      <c r="U1107" s="2717"/>
      <c r="V1107" s="2717"/>
    </row>
    <row r="1108" spans="2:22" s="2721" customFormat="1" ht="14.1" customHeight="1" x14ac:dyDescent="0.2">
      <c r="B1108" s="2711"/>
      <c r="C1108" s="2537"/>
      <c r="D1108" s="2733"/>
      <c r="E1108" s="2984" t="s">
        <v>407</v>
      </c>
      <c r="F1108" s="2985"/>
      <c r="G1108" s="2742"/>
      <c r="H1108" s="2986"/>
      <c r="I1108" s="2842"/>
      <c r="J1108" s="2813"/>
      <c r="K1108" s="2729">
        <f>SUM(J1106:J1107)</f>
        <v>14492.5</v>
      </c>
      <c r="L1108" s="2731"/>
      <c r="M1108" s="2732"/>
      <c r="N1108" s="2729">
        <f t="shared" si="85"/>
        <v>0</v>
      </c>
      <c r="Q1108" s="2717"/>
      <c r="R1108" s="2717"/>
      <c r="S1108" s="2719"/>
      <c r="T1108" s="2717"/>
      <c r="U1108" s="2717"/>
      <c r="V1108" s="2717"/>
    </row>
    <row r="1109" spans="2:22" s="2721" customFormat="1" ht="14.1" customHeight="1" x14ac:dyDescent="0.2">
      <c r="B1109" s="2711"/>
      <c r="C1109" s="2524" t="s">
        <v>608</v>
      </c>
      <c r="D1109" s="2725" t="s">
        <v>288</v>
      </c>
      <c r="E1109" s="2726" t="s">
        <v>289</v>
      </c>
      <c r="F1109" s="2726"/>
      <c r="G1109" s="2727" t="s">
        <v>291</v>
      </c>
      <c r="H1109" s="2728">
        <v>3.5999999999999997E-2</v>
      </c>
      <c r="I1109" s="2729">
        <f>'Upah &amp; Bahan'!$I$24</f>
        <v>88300</v>
      </c>
      <c r="J1109" s="2729">
        <f>ROUND(H1109*I1109,2)</f>
        <v>3178.8</v>
      </c>
      <c r="K1109" s="2730"/>
      <c r="L1109" s="2731">
        <f t="shared" ref="L1109:L1112" si="86">VLOOKUP($E1109,$D$1744:$G$1761,2,0)</f>
        <v>1</v>
      </c>
      <c r="M1109" s="2731" t="str">
        <f t="shared" ref="M1109:M1112" si="87">VLOOKUP($E1109,$D$1744:$G$1761,3,0)</f>
        <v>WNI</v>
      </c>
      <c r="N1109" s="2729">
        <f t="shared" si="85"/>
        <v>3178.8</v>
      </c>
      <c r="Q1109" s="2717"/>
      <c r="R1109" s="2717"/>
      <c r="S1109" s="2719"/>
      <c r="T1109" s="2717"/>
      <c r="U1109" s="2717"/>
      <c r="V1109" s="2717"/>
    </row>
    <row r="1110" spans="2:22" s="2721" customFormat="1" ht="14.1" customHeight="1" x14ac:dyDescent="0.2">
      <c r="B1110" s="2711"/>
      <c r="C1110" s="2528"/>
      <c r="D1110" s="2733"/>
      <c r="E1110" s="2726" t="s">
        <v>370</v>
      </c>
      <c r="F1110" s="2726"/>
      <c r="G1110" s="2727" t="s">
        <v>291</v>
      </c>
      <c r="H1110" s="2728">
        <v>0.06</v>
      </c>
      <c r="I1110" s="2729">
        <f>'Upah &amp; Bahan'!$I$32</f>
        <v>90000</v>
      </c>
      <c r="J1110" s="2729">
        <f>ROUND(H1110*I1110,2)</f>
        <v>5400</v>
      </c>
      <c r="K1110" s="2734"/>
      <c r="L1110" s="2731">
        <f t="shared" si="86"/>
        <v>1</v>
      </c>
      <c r="M1110" s="2731" t="str">
        <f t="shared" si="87"/>
        <v>WNI</v>
      </c>
      <c r="N1110" s="2729">
        <f t="shared" si="85"/>
        <v>5400</v>
      </c>
      <c r="Q1110" s="2717"/>
      <c r="R1110" s="2717"/>
      <c r="S1110" s="2719"/>
      <c r="T1110" s="2717"/>
      <c r="U1110" s="2717"/>
      <c r="V1110" s="2717"/>
    </row>
    <row r="1111" spans="2:22" s="2721" customFormat="1" ht="14.1" customHeight="1" x14ac:dyDescent="0.2">
      <c r="B1111" s="2711"/>
      <c r="C1111" s="2528"/>
      <c r="D1111" s="2733"/>
      <c r="E1111" s="2726" t="s">
        <v>369</v>
      </c>
      <c r="F1111" s="2726"/>
      <c r="G1111" s="2727" t="s">
        <v>291</v>
      </c>
      <c r="H1111" s="2728">
        <v>6.0000000000000001E-3</v>
      </c>
      <c r="I1111" s="2729">
        <f>'Upah &amp; Bahan'!$I$26</f>
        <v>96000</v>
      </c>
      <c r="J1111" s="2729">
        <f>ROUND(H1111*I1111,2)</f>
        <v>576</v>
      </c>
      <c r="K1111" s="2734"/>
      <c r="L1111" s="2731">
        <f t="shared" si="86"/>
        <v>1</v>
      </c>
      <c r="M1111" s="2731" t="str">
        <f t="shared" si="87"/>
        <v>WNI</v>
      </c>
      <c r="N1111" s="2729">
        <f t="shared" si="85"/>
        <v>576</v>
      </c>
      <c r="Q1111" s="2717"/>
      <c r="R1111" s="2717"/>
      <c r="S1111" s="2719"/>
      <c r="T1111" s="2717"/>
      <c r="U1111" s="2717"/>
      <c r="V1111" s="2717"/>
    </row>
    <row r="1112" spans="2:22" s="2721" customFormat="1" ht="14.1" customHeight="1" x14ac:dyDescent="0.2">
      <c r="B1112" s="2711"/>
      <c r="C1112" s="2528"/>
      <c r="D1112" s="2733"/>
      <c r="E1112" s="2726" t="s">
        <v>290</v>
      </c>
      <c r="F1112" s="2726"/>
      <c r="G1112" s="2727" t="s">
        <v>291</v>
      </c>
      <c r="H1112" s="2988">
        <v>2E-3</v>
      </c>
      <c r="I1112" s="2729">
        <f>'Upah &amp; Bahan'!$I$31</f>
        <v>90000</v>
      </c>
      <c r="J1112" s="2729">
        <f>ROUND(H1112*I1112,2)</f>
        <v>180</v>
      </c>
      <c r="K1112" s="2733"/>
      <c r="L1112" s="2731">
        <f t="shared" si="86"/>
        <v>1</v>
      </c>
      <c r="M1112" s="2731" t="str">
        <f t="shared" si="87"/>
        <v>WNI</v>
      </c>
      <c r="N1112" s="2729">
        <f t="shared" si="85"/>
        <v>180</v>
      </c>
      <c r="Q1112" s="2717"/>
      <c r="R1112" s="2717"/>
      <c r="S1112" s="2719"/>
      <c r="T1112" s="2717"/>
      <c r="U1112" s="2717"/>
      <c r="V1112" s="2717"/>
    </row>
    <row r="1113" spans="2:22" s="2721" customFormat="1" ht="14.1" customHeight="1" x14ac:dyDescent="0.2">
      <c r="B1113" s="2711"/>
      <c r="C1113" s="2537"/>
      <c r="D1113" s="2536"/>
      <c r="E1113" s="2736"/>
      <c r="F1113" s="2741"/>
      <c r="G1113" s="2742"/>
      <c r="H1113" s="2743"/>
      <c r="I1113" s="2842"/>
      <c r="J1113" s="2813"/>
      <c r="K1113" s="2732">
        <f>SUM(J1109:J1112)</f>
        <v>9334.7999999999993</v>
      </c>
      <c r="L1113" s="2731"/>
      <c r="M1113" s="2732"/>
      <c r="N1113" s="2729">
        <f t="shared" si="85"/>
        <v>0</v>
      </c>
      <c r="Q1113" s="2717"/>
      <c r="R1113" s="2717"/>
      <c r="S1113" s="2719"/>
      <c r="T1113" s="2717"/>
      <c r="U1113" s="2717"/>
      <c r="V1113" s="2717"/>
    </row>
    <row r="1114" spans="2:22" s="2721" customFormat="1" ht="14.1" customHeight="1" x14ac:dyDescent="0.2">
      <c r="B1114" s="2711"/>
      <c r="C1114" s="2524" t="s">
        <v>609</v>
      </c>
      <c r="D1114" s="2725" t="s">
        <v>606</v>
      </c>
      <c r="E1114" s="2739"/>
      <c r="F1114" s="2739"/>
      <c r="G1114" s="2727"/>
      <c r="H1114" s="2740"/>
      <c r="I1114" s="2814"/>
      <c r="J1114" s="2729"/>
      <c r="K1114" s="2730"/>
      <c r="L1114" s="2731"/>
      <c r="M1114" s="2732"/>
      <c r="N1114" s="2729">
        <f t="shared" si="85"/>
        <v>0</v>
      </c>
      <c r="Q1114" s="2717"/>
      <c r="R1114" s="2717"/>
      <c r="S1114" s="2719"/>
      <c r="T1114" s="2717"/>
      <c r="U1114" s="2717"/>
      <c r="V1114" s="2717"/>
    </row>
    <row r="1115" spans="2:22" s="2721" customFormat="1" ht="14.1" customHeight="1" x14ac:dyDescent="0.2">
      <c r="B1115" s="2711"/>
      <c r="C1115" s="2537"/>
      <c r="D1115" s="2536"/>
      <c r="E1115" s="2736"/>
      <c r="F1115" s="2741"/>
      <c r="G1115" s="2742"/>
      <c r="H1115" s="2743"/>
      <c r="I1115" s="2744"/>
      <c r="J1115" s="2813"/>
      <c r="K1115" s="2732">
        <f>SUM(J1114:J1114)</f>
        <v>0</v>
      </c>
      <c r="L1115" s="2731"/>
      <c r="M1115" s="2732"/>
      <c r="N1115" s="2729">
        <f t="shared" si="85"/>
        <v>0</v>
      </c>
      <c r="Q1115" s="2717"/>
      <c r="R1115" s="2717"/>
      <c r="S1115" s="2719"/>
      <c r="T1115" s="2717"/>
      <c r="U1115" s="2717"/>
      <c r="V1115" s="2717"/>
    </row>
    <row r="1116" spans="2:22" s="2721" customFormat="1" ht="14.1" customHeight="1" x14ac:dyDescent="0.2">
      <c r="B1116" s="2711"/>
      <c r="C1116" s="2727" t="s">
        <v>610</v>
      </c>
      <c r="D1116" s="2738" t="s">
        <v>651</v>
      </c>
      <c r="E1116" s="2741"/>
      <c r="F1116" s="2741"/>
      <c r="G1116" s="2742"/>
      <c r="H1116" s="2743"/>
      <c r="I1116" s="2744"/>
      <c r="J1116" s="2745" t="s">
        <v>652</v>
      </c>
      <c r="K1116" s="2732">
        <f>K1108+K1113+K1115</f>
        <v>23827.3</v>
      </c>
      <c r="L1116" s="2746">
        <f>N1116/K1116</f>
        <v>0.94103691983565063</v>
      </c>
      <c r="M1116" s="2745"/>
      <c r="N1116" s="2747">
        <f>SUM(N1105:N1115)</f>
        <v>22422.368999999999</v>
      </c>
      <c r="Q1116" s="2717"/>
      <c r="R1116" s="2717"/>
      <c r="S1116" s="2719"/>
      <c r="T1116" s="2717"/>
      <c r="U1116" s="2717"/>
      <c r="V1116" s="2717"/>
    </row>
    <row r="1117" spans="2:22" s="2721" customFormat="1" ht="14.1" customHeight="1" x14ac:dyDescent="0.2">
      <c r="B1117" s="2711"/>
      <c r="C1117" s="2727" t="s">
        <v>611</v>
      </c>
      <c r="D1117" s="2738" t="s">
        <v>653</v>
      </c>
      <c r="E1117" s="2741"/>
      <c r="F1117" s="2748">
        <f>$F$42</f>
        <v>0.1</v>
      </c>
      <c r="G1117" s="2727" t="s">
        <v>425</v>
      </c>
      <c r="H1117" s="2748">
        <f>$H$42</f>
        <v>0.03</v>
      </c>
      <c r="I1117" s="2749" t="s">
        <v>424</v>
      </c>
      <c r="J1117" s="2732" t="s">
        <v>610</v>
      </c>
      <c r="K1117" s="2750">
        <f>ROUND((K1116*(F1117+H1117)),2)</f>
        <v>3097.55</v>
      </c>
      <c r="L1117" s="2732"/>
      <c r="M1117" s="2732"/>
      <c r="N1117" s="2732"/>
      <c r="Q1117" s="2717"/>
      <c r="R1117" s="2717"/>
      <c r="S1117" s="2719"/>
      <c r="T1117" s="2717"/>
      <c r="U1117" s="2717"/>
      <c r="V1117" s="2717"/>
    </row>
    <row r="1118" spans="2:22" s="2721" customFormat="1" ht="14.1" customHeight="1" x14ac:dyDescent="0.2">
      <c r="B1118" s="2711"/>
      <c r="C1118" s="2880" t="s">
        <v>654</v>
      </c>
      <c r="D1118" s="2752" t="s">
        <v>301</v>
      </c>
      <c r="E1118" s="2815"/>
      <c r="F1118" s="2815"/>
      <c r="G1118" s="2815"/>
      <c r="H1118" s="2816"/>
      <c r="I1118" s="2815"/>
      <c r="J1118" s="2755" t="s">
        <v>668</v>
      </c>
      <c r="K1118" s="2756">
        <f>SUM(K1116:K1117)</f>
        <v>26924.85</v>
      </c>
      <c r="L1118" s="2746"/>
      <c r="M1118" s="2755"/>
      <c r="N1118" s="2757"/>
      <c r="Q1118" s="2717"/>
      <c r="R1118" s="2717"/>
      <c r="S1118" s="2719"/>
      <c r="T1118" s="2717"/>
      <c r="U1118" s="2717"/>
      <c r="V1118" s="2717"/>
    </row>
    <row r="1119" spans="2:22" s="2721" customFormat="1" ht="14.1" customHeight="1" x14ac:dyDescent="0.2">
      <c r="H1119" s="2711"/>
      <c r="Q1119" s="2717"/>
      <c r="R1119" s="2717"/>
      <c r="S1119" s="2719"/>
      <c r="T1119" s="2717"/>
      <c r="U1119" s="2717"/>
      <c r="V1119" s="2717"/>
    </row>
    <row r="1120" spans="2:22" s="2721" customFormat="1" ht="14.1" customHeight="1" x14ac:dyDescent="0.2">
      <c r="B1120" s="2711">
        <f>B1100+1</f>
        <v>56</v>
      </c>
      <c r="C1120" s="2711"/>
      <c r="D1120" s="2712" t="s">
        <v>457</v>
      </c>
      <c r="E1120" s="2713"/>
      <c r="F1120" s="2713"/>
      <c r="G1120" s="2713"/>
      <c r="H1120" s="2714"/>
      <c r="I1120" s="2713"/>
      <c r="J1120" s="2713"/>
      <c r="K1120" s="2715" t="s">
        <v>1087</v>
      </c>
      <c r="L1120" s="2715"/>
      <c r="M1120" s="2715"/>
      <c r="N1120" s="2715"/>
      <c r="O1120" s="2721" t="str">
        <f>D1121</f>
        <v>m'</v>
      </c>
      <c r="P1120" s="2810">
        <f>K1138</f>
        <v>49932.95</v>
      </c>
      <c r="Q1120" s="2718">
        <f>L1136</f>
        <v>0.93377650720946315</v>
      </c>
      <c r="R1120" s="2717"/>
      <c r="S1120" s="2719">
        <f>N1136</f>
        <v>41262.136500000001</v>
      </c>
      <c r="T1120" s="2515">
        <f>U1120+S1120</f>
        <v>46626.214245000003</v>
      </c>
      <c r="U1120" s="2719">
        <f>S1120*V1120</f>
        <v>5364.0777450000005</v>
      </c>
      <c r="V1120" s="2718">
        <f>$F$42+$H$42</f>
        <v>0.13</v>
      </c>
    </row>
    <row r="1121" spans="2:22" s="2721" customFormat="1" ht="14.1" customHeight="1" x14ac:dyDescent="0.2">
      <c r="B1121" s="2711"/>
      <c r="C1121" s="2711"/>
      <c r="D1121" s="2721" t="s">
        <v>247</v>
      </c>
      <c r="H1121" s="2711"/>
      <c r="Q1121" s="2717"/>
      <c r="R1121" s="2717"/>
      <c r="S1121" s="2719"/>
      <c r="T1121" s="2717"/>
      <c r="U1121" s="2717"/>
      <c r="V1121" s="2717"/>
    </row>
    <row r="1122" spans="2:22" s="2721" customFormat="1" ht="14.1" customHeight="1" x14ac:dyDescent="0.2">
      <c r="B1122" s="2711"/>
      <c r="C1122" s="2711"/>
      <c r="H1122" s="2711"/>
      <c r="Q1122" s="2717"/>
      <c r="R1122" s="2717"/>
      <c r="S1122" s="2719"/>
      <c r="T1122" s="2717"/>
      <c r="U1122" s="2717"/>
      <c r="V1122" s="2717"/>
    </row>
    <row r="1123" spans="2:22" s="2721" customFormat="1" ht="14.1" customHeight="1" x14ac:dyDescent="0.2">
      <c r="B1123" s="2711"/>
      <c r="C1123" s="2524"/>
      <c r="D1123" s="3427" t="s">
        <v>280</v>
      </c>
      <c r="E1123" s="3428"/>
      <c r="F1123" s="2722"/>
      <c r="G1123" s="3433" t="s">
        <v>281</v>
      </c>
      <c r="H1123" s="3433" t="s">
        <v>282</v>
      </c>
      <c r="I1123" s="2524" t="s">
        <v>283</v>
      </c>
      <c r="J1123" s="2524" t="s">
        <v>284</v>
      </c>
      <c r="K1123" s="2524" t="s">
        <v>340</v>
      </c>
      <c r="L1123" s="2524" t="s">
        <v>2008</v>
      </c>
      <c r="M1123" s="2524" t="s">
        <v>2009</v>
      </c>
      <c r="N1123" s="2524" t="s">
        <v>284</v>
      </c>
      <c r="Q1123" s="2717"/>
      <c r="R1123" s="2717"/>
      <c r="S1123" s="2719"/>
      <c r="T1123" s="2717"/>
      <c r="U1123" s="2717"/>
      <c r="V1123" s="2717"/>
    </row>
    <row r="1124" spans="2:22" s="2721" customFormat="1" ht="14.1" customHeight="1" x14ac:dyDescent="0.2">
      <c r="B1124" s="2711"/>
      <c r="C1124" s="2528" t="s">
        <v>669</v>
      </c>
      <c r="D1124" s="3429"/>
      <c r="E1124" s="3430"/>
      <c r="F1124" s="2723"/>
      <c r="G1124" s="3434"/>
      <c r="H1124" s="3434"/>
      <c r="I1124" s="2528" t="s">
        <v>285</v>
      </c>
      <c r="J1124" s="2528" t="s">
        <v>286</v>
      </c>
      <c r="K1124" s="2528" t="s">
        <v>286</v>
      </c>
      <c r="L1124" s="2528" t="s">
        <v>2011</v>
      </c>
      <c r="M1124" s="2528"/>
      <c r="N1124" s="2528" t="s">
        <v>2013</v>
      </c>
      <c r="Q1124" s="2717"/>
      <c r="R1124" s="2717"/>
      <c r="S1124" s="2719"/>
      <c r="T1124" s="2717"/>
      <c r="U1124" s="2717"/>
      <c r="V1124" s="2717"/>
    </row>
    <row r="1125" spans="2:22" s="2721" customFormat="1" ht="14.1" customHeight="1" x14ac:dyDescent="0.2">
      <c r="B1125" s="2711"/>
      <c r="C1125" s="2537"/>
      <c r="D1125" s="3431"/>
      <c r="E1125" s="3432"/>
      <c r="F1125" s="2724"/>
      <c r="G1125" s="3435"/>
      <c r="H1125" s="3435"/>
      <c r="I1125" s="2537" t="s">
        <v>286</v>
      </c>
      <c r="J1125" s="2536"/>
      <c r="K1125" s="2536"/>
      <c r="L1125" s="2536"/>
      <c r="M1125" s="2536"/>
      <c r="N1125" s="2537" t="s">
        <v>286</v>
      </c>
      <c r="Q1125" s="2717"/>
      <c r="R1125" s="2717"/>
      <c r="S1125" s="2719"/>
      <c r="T1125" s="2717"/>
      <c r="U1125" s="2717"/>
      <c r="V1125" s="2717"/>
    </row>
    <row r="1126" spans="2:22" s="2721" customFormat="1" ht="14.1" customHeight="1" x14ac:dyDescent="0.2">
      <c r="B1126" s="2711"/>
      <c r="C1126" s="2524" t="s">
        <v>607</v>
      </c>
      <c r="D1126" s="2725" t="s">
        <v>287</v>
      </c>
      <c r="E1126" s="2726" t="s">
        <v>404</v>
      </c>
      <c r="F1126" s="2726"/>
      <c r="G1126" s="2727" t="s">
        <v>309</v>
      </c>
      <c r="H1126" s="2728">
        <v>1.2</v>
      </c>
      <c r="I1126" s="2729">
        <f>'Upah &amp; Bahan'!$I$127/4</f>
        <v>19475</v>
      </c>
      <c r="J1126" s="2729">
        <f>ROUND(H1126*I1126,2)</f>
        <v>23370</v>
      </c>
      <c r="K1126" s="2730"/>
      <c r="L1126" s="2731">
        <v>0.94769999999999999</v>
      </c>
      <c r="M1126" s="2732" t="s">
        <v>2029</v>
      </c>
      <c r="N1126" s="2729">
        <f t="shared" ref="N1126:N1135" si="88">L1126*J1126</f>
        <v>22147.749</v>
      </c>
      <c r="Q1126" s="2717"/>
      <c r="R1126" s="2717"/>
      <c r="S1126" s="2719"/>
      <c r="T1126" s="2717"/>
      <c r="U1126" s="2717"/>
      <c r="V1126" s="2717"/>
    </row>
    <row r="1127" spans="2:22" s="2721" customFormat="1" ht="14.1" customHeight="1" x14ac:dyDescent="0.2">
      <c r="B1127" s="2711"/>
      <c r="C1127" s="2528"/>
      <c r="D1127" s="2733"/>
      <c r="E1127" s="2726" t="s">
        <v>375</v>
      </c>
      <c r="F1127" s="2726"/>
      <c r="G1127" s="2727" t="s">
        <v>268</v>
      </c>
      <c r="H1127" s="2728">
        <v>1</v>
      </c>
      <c r="I1127" s="2729">
        <f>I1126*0.35</f>
        <v>6816.25</v>
      </c>
      <c r="J1127" s="2729">
        <f>ROUND(H1127*I1127,2)</f>
        <v>6816.25</v>
      </c>
      <c r="K1127" s="2735"/>
      <c r="L1127" s="2731">
        <v>0.75</v>
      </c>
      <c r="M1127" s="2732" t="s">
        <v>2030</v>
      </c>
      <c r="N1127" s="2729">
        <f t="shared" si="88"/>
        <v>5112.1875</v>
      </c>
      <c r="Q1127" s="2717"/>
      <c r="R1127" s="2717"/>
      <c r="S1127" s="2719"/>
      <c r="T1127" s="2717"/>
      <c r="U1127" s="2717"/>
      <c r="V1127" s="2717"/>
    </row>
    <row r="1128" spans="2:22" s="2721" customFormat="1" ht="14.1" customHeight="1" x14ac:dyDescent="0.2">
      <c r="B1128" s="2711"/>
      <c r="C1128" s="2537"/>
      <c r="D1128" s="2733"/>
      <c r="E1128" s="2984" t="s">
        <v>407</v>
      </c>
      <c r="F1128" s="2985"/>
      <c r="G1128" s="2742"/>
      <c r="H1128" s="2986"/>
      <c r="I1128" s="2842"/>
      <c r="J1128" s="2813"/>
      <c r="K1128" s="2729">
        <f>SUM(J1126:J1127)</f>
        <v>30186.25</v>
      </c>
      <c r="L1128" s="2731"/>
      <c r="M1128" s="2732"/>
      <c r="N1128" s="2729">
        <f t="shared" si="88"/>
        <v>0</v>
      </c>
      <c r="Q1128" s="2717"/>
      <c r="R1128" s="2717"/>
      <c r="S1128" s="2719"/>
      <c r="T1128" s="2717"/>
      <c r="U1128" s="2717"/>
      <c r="V1128" s="2717"/>
    </row>
    <row r="1129" spans="2:22" s="2721" customFormat="1" ht="14.1" customHeight="1" x14ac:dyDescent="0.2">
      <c r="B1129" s="2711"/>
      <c r="C1129" s="2524" t="s">
        <v>608</v>
      </c>
      <c r="D1129" s="2725" t="s">
        <v>288</v>
      </c>
      <c r="E1129" s="2726" t="s">
        <v>289</v>
      </c>
      <c r="F1129" s="2726"/>
      <c r="G1129" s="2727" t="s">
        <v>291</v>
      </c>
      <c r="H1129" s="2728">
        <v>5.3999999999999999E-2</v>
      </c>
      <c r="I1129" s="2729">
        <f>'Upah &amp; Bahan'!$I$24</f>
        <v>88300</v>
      </c>
      <c r="J1129" s="2729">
        <f>ROUND(H1129*I1129,2)</f>
        <v>4768.2</v>
      </c>
      <c r="K1129" s="2730"/>
      <c r="L1129" s="2731">
        <f t="shared" ref="L1129:L1132" si="89">VLOOKUP($E1129,$D$1744:$G$1761,2,0)</f>
        <v>1</v>
      </c>
      <c r="M1129" s="2731" t="str">
        <f t="shared" ref="M1129:M1132" si="90">VLOOKUP($E1129,$D$1744:$G$1761,3,0)</f>
        <v>WNI</v>
      </c>
      <c r="N1129" s="2729">
        <f t="shared" si="88"/>
        <v>4768.2</v>
      </c>
      <c r="Q1129" s="2717"/>
      <c r="R1129" s="2717"/>
      <c r="S1129" s="2719"/>
      <c r="T1129" s="2717"/>
      <c r="U1129" s="2717"/>
      <c r="V1129" s="2717"/>
    </row>
    <row r="1130" spans="2:22" s="2721" customFormat="1" ht="14.1" customHeight="1" x14ac:dyDescent="0.2">
      <c r="B1130" s="2711"/>
      <c r="C1130" s="2528"/>
      <c r="D1130" s="2733"/>
      <c r="E1130" s="2726" t="s">
        <v>370</v>
      </c>
      <c r="F1130" s="2726"/>
      <c r="G1130" s="2727" t="s">
        <v>291</v>
      </c>
      <c r="H1130" s="2728">
        <v>0.09</v>
      </c>
      <c r="I1130" s="2729">
        <f>'Upah &amp; Bahan'!$I$32</f>
        <v>90000</v>
      </c>
      <c r="J1130" s="2729">
        <f>ROUND(H1130*I1130,2)</f>
        <v>8100</v>
      </c>
      <c r="K1130" s="2734"/>
      <c r="L1130" s="2731">
        <f t="shared" si="89"/>
        <v>1</v>
      </c>
      <c r="M1130" s="2731" t="str">
        <f t="shared" si="90"/>
        <v>WNI</v>
      </c>
      <c r="N1130" s="2729">
        <f t="shared" si="88"/>
        <v>8100</v>
      </c>
      <c r="Q1130" s="2717"/>
      <c r="R1130" s="2717"/>
      <c r="S1130" s="2719"/>
      <c r="T1130" s="2717"/>
      <c r="U1130" s="2717"/>
      <c r="V1130" s="2717"/>
    </row>
    <row r="1131" spans="2:22" s="2721" customFormat="1" ht="14.1" customHeight="1" x14ac:dyDescent="0.2">
      <c r="B1131" s="2711"/>
      <c r="C1131" s="2528"/>
      <c r="D1131" s="2733"/>
      <c r="E1131" s="2726" t="s">
        <v>369</v>
      </c>
      <c r="F1131" s="2726"/>
      <c r="G1131" s="2727" t="s">
        <v>291</v>
      </c>
      <c r="H1131" s="2728">
        <v>8.9999999999999993E-3</v>
      </c>
      <c r="I1131" s="2729">
        <f>'Upah &amp; Bahan'!$I$26</f>
        <v>96000</v>
      </c>
      <c r="J1131" s="2729">
        <f>ROUND(H1131*I1131,2)</f>
        <v>864</v>
      </c>
      <c r="K1131" s="2734"/>
      <c r="L1131" s="2731">
        <f t="shared" si="89"/>
        <v>1</v>
      </c>
      <c r="M1131" s="2731" t="str">
        <f t="shared" si="90"/>
        <v>WNI</v>
      </c>
      <c r="N1131" s="2729">
        <f t="shared" si="88"/>
        <v>864</v>
      </c>
      <c r="Q1131" s="2717"/>
      <c r="R1131" s="2717"/>
      <c r="S1131" s="2719"/>
      <c r="T1131" s="2717"/>
      <c r="U1131" s="2717"/>
      <c r="V1131" s="2717"/>
    </row>
    <row r="1132" spans="2:22" s="2721" customFormat="1" ht="14.1" customHeight="1" x14ac:dyDescent="0.2">
      <c r="B1132" s="2711"/>
      <c r="C1132" s="2528"/>
      <c r="D1132" s="2733"/>
      <c r="E1132" s="2726" t="s">
        <v>290</v>
      </c>
      <c r="F1132" s="2726"/>
      <c r="G1132" s="2727" t="s">
        <v>291</v>
      </c>
      <c r="H1132" s="2988">
        <v>3.0000000000000001E-3</v>
      </c>
      <c r="I1132" s="2729">
        <f>'Upah &amp; Bahan'!$I$31</f>
        <v>90000</v>
      </c>
      <c r="J1132" s="2729">
        <f>ROUND(H1132*I1132,2)</f>
        <v>270</v>
      </c>
      <c r="K1132" s="2733"/>
      <c r="L1132" s="2731">
        <f t="shared" si="89"/>
        <v>1</v>
      </c>
      <c r="M1132" s="2731" t="str">
        <f t="shared" si="90"/>
        <v>WNI</v>
      </c>
      <c r="N1132" s="2729">
        <f t="shared" si="88"/>
        <v>270</v>
      </c>
      <c r="Q1132" s="2717"/>
      <c r="R1132" s="2717"/>
      <c r="S1132" s="2719"/>
      <c r="T1132" s="2717"/>
      <c r="U1132" s="2717"/>
      <c r="V1132" s="2717"/>
    </row>
    <row r="1133" spans="2:22" s="2721" customFormat="1" ht="14.1" customHeight="1" x14ac:dyDescent="0.2">
      <c r="B1133" s="2711"/>
      <c r="C1133" s="2537"/>
      <c r="D1133" s="2536"/>
      <c r="E1133" s="2736"/>
      <c r="F1133" s="2741"/>
      <c r="G1133" s="2742"/>
      <c r="H1133" s="2743"/>
      <c r="I1133" s="2842"/>
      <c r="J1133" s="2813"/>
      <c r="K1133" s="2732">
        <f>SUM(J1129:J1132)</f>
        <v>14002.2</v>
      </c>
      <c r="L1133" s="2731"/>
      <c r="M1133" s="2732"/>
      <c r="N1133" s="2729">
        <f t="shared" si="88"/>
        <v>0</v>
      </c>
      <c r="Q1133" s="2717"/>
      <c r="R1133" s="2717"/>
      <c r="S1133" s="2719"/>
      <c r="T1133" s="2717"/>
      <c r="U1133" s="2717"/>
      <c r="V1133" s="2717"/>
    </row>
    <row r="1134" spans="2:22" s="2721" customFormat="1" ht="14.1" customHeight="1" x14ac:dyDescent="0.2">
      <c r="B1134" s="2711"/>
      <c r="C1134" s="2524" t="s">
        <v>609</v>
      </c>
      <c r="D1134" s="2725" t="s">
        <v>606</v>
      </c>
      <c r="E1134" s="2739"/>
      <c r="F1134" s="2739"/>
      <c r="G1134" s="2727"/>
      <c r="H1134" s="2740"/>
      <c r="I1134" s="2814"/>
      <c r="J1134" s="2729"/>
      <c r="K1134" s="2730"/>
      <c r="L1134" s="2731"/>
      <c r="M1134" s="2732"/>
      <c r="N1134" s="2729">
        <f t="shared" si="88"/>
        <v>0</v>
      </c>
      <c r="Q1134" s="2717"/>
      <c r="R1134" s="2717"/>
      <c r="S1134" s="2719"/>
      <c r="T1134" s="2717"/>
      <c r="U1134" s="2717"/>
      <c r="V1134" s="2717"/>
    </row>
    <row r="1135" spans="2:22" s="2721" customFormat="1" ht="14.1" customHeight="1" x14ac:dyDescent="0.2">
      <c r="B1135" s="2711"/>
      <c r="C1135" s="2537"/>
      <c r="D1135" s="2536"/>
      <c r="E1135" s="2736"/>
      <c r="F1135" s="2741"/>
      <c r="G1135" s="2742"/>
      <c r="H1135" s="2743"/>
      <c r="I1135" s="2744"/>
      <c r="J1135" s="2813"/>
      <c r="K1135" s="2732">
        <f>SUM(J1134:J1134)</f>
        <v>0</v>
      </c>
      <c r="L1135" s="2731"/>
      <c r="M1135" s="2732"/>
      <c r="N1135" s="2729">
        <f t="shared" si="88"/>
        <v>0</v>
      </c>
      <c r="Q1135" s="2717"/>
      <c r="R1135" s="2717"/>
      <c r="S1135" s="2719"/>
      <c r="T1135" s="2717"/>
      <c r="U1135" s="2717"/>
      <c r="V1135" s="2717"/>
    </row>
    <row r="1136" spans="2:22" s="2721" customFormat="1" ht="14.1" customHeight="1" x14ac:dyDescent="0.2">
      <c r="B1136" s="2711"/>
      <c r="C1136" s="2727" t="s">
        <v>610</v>
      </c>
      <c r="D1136" s="2738" t="s">
        <v>651</v>
      </c>
      <c r="E1136" s="2741"/>
      <c r="F1136" s="2741"/>
      <c r="G1136" s="2742"/>
      <c r="H1136" s="2743"/>
      <c r="I1136" s="2744"/>
      <c r="J1136" s="2745" t="s">
        <v>652</v>
      </c>
      <c r="K1136" s="2732">
        <f>K1128+K1133+K1135</f>
        <v>44188.45</v>
      </c>
      <c r="L1136" s="2746">
        <f>N1136/K1136</f>
        <v>0.93377650720946315</v>
      </c>
      <c r="M1136" s="2745"/>
      <c r="N1136" s="2747">
        <f>SUM(N1125:N1135)</f>
        <v>41262.136500000001</v>
      </c>
      <c r="Q1136" s="2717"/>
      <c r="R1136" s="2717"/>
      <c r="S1136" s="2719"/>
      <c r="T1136" s="2717"/>
      <c r="U1136" s="2717"/>
      <c r="V1136" s="2717"/>
    </row>
    <row r="1137" spans="2:22" s="2721" customFormat="1" ht="14.1" customHeight="1" x14ac:dyDescent="0.2">
      <c r="B1137" s="2711"/>
      <c r="C1137" s="2727" t="s">
        <v>611</v>
      </c>
      <c r="D1137" s="2738" t="s">
        <v>653</v>
      </c>
      <c r="E1137" s="2741"/>
      <c r="F1137" s="2748">
        <f>$F$42</f>
        <v>0.1</v>
      </c>
      <c r="G1137" s="2727" t="s">
        <v>425</v>
      </c>
      <c r="H1137" s="2748">
        <f>$H$42</f>
        <v>0.03</v>
      </c>
      <c r="I1137" s="2749" t="s">
        <v>424</v>
      </c>
      <c r="J1137" s="2732" t="s">
        <v>610</v>
      </c>
      <c r="K1137" s="2750">
        <f>ROUND((K1136*(F1137+H1137)),2)</f>
        <v>5744.5</v>
      </c>
      <c r="L1137" s="2732"/>
      <c r="M1137" s="2732"/>
      <c r="N1137" s="2732"/>
      <c r="Q1137" s="2717"/>
      <c r="R1137" s="2717"/>
      <c r="S1137" s="2719"/>
      <c r="T1137" s="2717"/>
      <c r="U1137" s="2717"/>
      <c r="V1137" s="2717"/>
    </row>
    <row r="1138" spans="2:22" s="2721" customFormat="1" ht="14.1" customHeight="1" x14ac:dyDescent="0.2">
      <c r="B1138" s="2711"/>
      <c r="C1138" s="2880" t="s">
        <v>654</v>
      </c>
      <c r="D1138" s="2752" t="s">
        <v>301</v>
      </c>
      <c r="E1138" s="2815"/>
      <c r="F1138" s="2815"/>
      <c r="G1138" s="2815"/>
      <c r="H1138" s="2816"/>
      <c r="I1138" s="2815"/>
      <c r="J1138" s="2755" t="s">
        <v>668</v>
      </c>
      <c r="K1138" s="2756">
        <f>SUM(K1136:K1137)</f>
        <v>49932.95</v>
      </c>
      <c r="L1138" s="2746"/>
      <c r="M1138" s="2755"/>
      <c r="N1138" s="2757"/>
      <c r="Q1138" s="2717"/>
      <c r="R1138" s="2717"/>
      <c r="S1138" s="2719"/>
      <c r="T1138" s="2717"/>
      <c r="U1138" s="2717"/>
      <c r="V1138" s="2717"/>
    </row>
    <row r="1139" spans="2:22" x14ac:dyDescent="0.25">
      <c r="Q1139" s="2717"/>
      <c r="R1139" s="2717"/>
      <c r="S1139" s="2719"/>
      <c r="T1139" s="2717"/>
      <c r="U1139" s="2717"/>
      <c r="V1139" s="2717"/>
    </row>
    <row r="1140" spans="2:22" s="2721" customFormat="1" ht="14.1" customHeight="1" x14ac:dyDescent="0.2">
      <c r="B1140" s="2711">
        <f>B1120+1</f>
        <v>57</v>
      </c>
      <c r="C1140" s="2711"/>
      <c r="D1140" s="2712" t="s">
        <v>458</v>
      </c>
      <c r="E1140" s="2713"/>
      <c r="F1140" s="2713"/>
      <c r="G1140" s="2713"/>
      <c r="H1140" s="2714"/>
      <c r="I1140" s="2713"/>
      <c r="J1140" s="2713"/>
      <c r="K1140" s="2715" t="s">
        <v>833</v>
      </c>
      <c r="L1140" s="2715"/>
      <c r="M1140" s="2715"/>
      <c r="N1140" s="2715"/>
      <c r="O1140" s="2721" t="str">
        <f>D1141</f>
        <v>m'</v>
      </c>
      <c r="P1140" s="2810">
        <f>K1157</f>
        <v>78438.61</v>
      </c>
      <c r="Q1140" s="2718">
        <f>L1155</f>
        <v>0.92261300560255965</v>
      </c>
      <c r="R1140" s="2717"/>
      <c r="S1140" s="2719">
        <f>N1155</f>
        <v>64042.904999999999</v>
      </c>
      <c r="T1140" s="2515">
        <f>U1140+S1140</f>
        <v>72368.482649999991</v>
      </c>
      <c r="U1140" s="2719">
        <f>S1140*V1140</f>
        <v>8325.5776499999993</v>
      </c>
      <c r="V1140" s="2718">
        <f>$F$42+$H$42</f>
        <v>0.13</v>
      </c>
    </row>
    <row r="1141" spans="2:22" s="2721" customFormat="1" ht="14.1" customHeight="1" x14ac:dyDescent="0.2">
      <c r="B1141" s="2711"/>
      <c r="C1141" s="2711"/>
      <c r="D1141" s="2721" t="s">
        <v>247</v>
      </c>
      <c r="H1141" s="2711"/>
      <c r="Q1141" s="2717"/>
      <c r="R1141" s="2717"/>
      <c r="S1141" s="2719"/>
      <c r="T1141" s="2717"/>
      <c r="U1141" s="2717"/>
      <c r="V1141" s="2717"/>
    </row>
    <row r="1142" spans="2:22" s="2721" customFormat="1" ht="14.1" customHeight="1" x14ac:dyDescent="0.2">
      <c r="B1142" s="2711"/>
      <c r="C1142" s="2524"/>
      <c r="D1142" s="3427" t="s">
        <v>280</v>
      </c>
      <c r="E1142" s="3428"/>
      <c r="F1142" s="2722"/>
      <c r="G1142" s="3433" t="s">
        <v>281</v>
      </c>
      <c r="H1142" s="3433" t="s">
        <v>282</v>
      </c>
      <c r="I1142" s="2524" t="s">
        <v>283</v>
      </c>
      <c r="J1142" s="2524" t="s">
        <v>284</v>
      </c>
      <c r="K1142" s="2524" t="s">
        <v>340</v>
      </c>
      <c r="L1142" s="2524" t="s">
        <v>2008</v>
      </c>
      <c r="M1142" s="2524" t="s">
        <v>2009</v>
      </c>
      <c r="N1142" s="2524" t="s">
        <v>284</v>
      </c>
      <c r="Q1142" s="2717"/>
      <c r="R1142" s="2717"/>
      <c r="S1142" s="2719"/>
      <c r="T1142" s="2717"/>
      <c r="U1142" s="2717"/>
      <c r="V1142" s="2717"/>
    </row>
    <row r="1143" spans="2:22" s="2721" customFormat="1" ht="14.1" customHeight="1" x14ac:dyDescent="0.2">
      <c r="B1143" s="2711"/>
      <c r="C1143" s="2528" t="s">
        <v>669</v>
      </c>
      <c r="D1143" s="3429"/>
      <c r="E1143" s="3430"/>
      <c r="F1143" s="2723"/>
      <c r="G1143" s="3434"/>
      <c r="H1143" s="3434"/>
      <c r="I1143" s="2528" t="s">
        <v>285</v>
      </c>
      <c r="J1143" s="2528" t="s">
        <v>286</v>
      </c>
      <c r="K1143" s="2528" t="s">
        <v>286</v>
      </c>
      <c r="L1143" s="2528" t="s">
        <v>2011</v>
      </c>
      <c r="M1143" s="2528"/>
      <c r="N1143" s="2528" t="s">
        <v>2013</v>
      </c>
      <c r="Q1143" s="2717"/>
      <c r="R1143" s="2717"/>
      <c r="S1143" s="2719"/>
      <c r="T1143" s="2717"/>
      <c r="U1143" s="2717"/>
      <c r="V1143" s="2717"/>
    </row>
    <row r="1144" spans="2:22" s="2721" customFormat="1" ht="14.1" customHeight="1" x14ac:dyDescent="0.2">
      <c r="B1144" s="2711"/>
      <c r="C1144" s="2537"/>
      <c r="D1144" s="3431"/>
      <c r="E1144" s="3432"/>
      <c r="F1144" s="2724"/>
      <c r="G1144" s="3435"/>
      <c r="H1144" s="3435"/>
      <c r="I1144" s="2537" t="s">
        <v>286</v>
      </c>
      <c r="J1144" s="2536"/>
      <c r="K1144" s="2536"/>
      <c r="L1144" s="2536"/>
      <c r="M1144" s="2536"/>
      <c r="N1144" s="2537" t="s">
        <v>286</v>
      </c>
      <c r="Q1144" s="2717"/>
      <c r="R1144" s="2717"/>
      <c r="S1144" s="2719"/>
      <c r="T1144" s="2717"/>
      <c r="U1144" s="2717"/>
      <c r="V1144" s="2717"/>
    </row>
    <row r="1145" spans="2:22" s="2721" customFormat="1" ht="14.1" customHeight="1" x14ac:dyDescent="0.2">
      <c r="B1145" s="2711"/>
      <c r="C1145" s="2524" t="s">
        <v>607</v>
      </c>
      <c r="D1145" s="2725" t="s">
        <v>287</v>
      </c>
      <c r="E1145" s="2726" t="s">
        <v>405</v>
      </c>
      <c r="F1145" s="2726"/>
      <c r="G1145" s="2727" t="s">
        <v>309</v>
      </c>
      <c r="H1145" s="2728">
        <v>1.2</v>
      </c>
      <c r="I1145" s="2729">
        <f>'Upah &amp; Bahan'!$I$128/4</f>
        <v>35750</v>
      </c>
      <c r="J1145" s="2729">
        <f>ROUND(H1145*I1145,2)</f>
        <v>42900</v>
      </c>
      <c r="K1145" s="2730"/>
      <c r="L1145" s="2731">
        <v>0.94769999999999999</v>
      </c>
      <c r="M1145" s="2732" t="s">
        <v>2029</v>
      </c>
      <c r="N1145" s="2729">
        <f t="shared" ref="N1145:N1154" si="91">L1145*J1145</f>
        <v>40656.33</v>
      </c>
      <c r="Q1145" s="2717"/>
      <c r="R1145" s="2717"/>
      <c r="S1145" s="2719"/>
      <c r="T1145" s="2717"/>
      <c r="U1145" s="2717"/>
      <c r="V1145" s="2717"/>
    </row>
    <row r="1146" spans="2:22" s="2721" customFormat="1" ht="14.1" customHeight="1" x14ac:dyDescent="0.2">
      <c r="B1146" s="2711"/>
      <c r="C1146" s="2528"/>
      <c r="D1146" s="2733"/>
      <c r="E1146" s="2726" t="s">
        <v>375</v>
      </c>
      <c r="F1146" s="2726"/>
      <c r="G1146" s="2727" t="s">
        <v>268</v>
      </c>
      <c r="H1146" s="2728">
        <v>1</v>
      </c>
      <c r="I1146" s="2729">
        <f>I1145*0.35</f>
        <v>12512.5</v>
      </c>
      <c r="J1146" s="2729">
        <f>ROUND(H1146*I1146,2)</f>
        <v>12512.5</v>
      </c>
      <c r="K1146" s="2735"/>
      <c r="L1146" s="2731">
        <v>0.75</v>
      </c>
      <c r="M1146" s="2732" t="s">
        <v>2030</v>
      </c>
      <c r="N1146" s="2729">
        <f t="shared" si="91"/>
        <v>9384.375</v>
      </c>
      <c r="Q1146" s="2717"/>
      <c r="R1146" s="2717"/>
      <c r="S1146" s="2719"/>
      <c r="T1146" s="2717"/>
      <c r="U1146" s="2717"/>
      <c r="V1146" s="2717"/>
    </row>
    <row r="1147" spans="2:22" s="2721" customFormat="1" ht="14.1" customHeight="1" x14ac:dyDescent="0.2">
      <c r="B1147" s="2711"/>
      <c r="C1147" s="2537"/>
      <c r="D1147" s="2733"/>
      <c r="E1147" s="2984" t="s">
        <v>407</v>
      </c>
      <c r="F1147" s="2985"/>
      <c r="G1147" s="2742"/>
      <c r="H1147" s="2986"/>
      <c r="I1147" s="2842"/>
      <c r="J1147" s="2813"/>
      <c r="K1147" s="2729">
        <f>SUM(J1145:J1146)</f>
        <v>55412.5</v>
      </c>
      <c r="L1147" s="2731"/>
      <c r="M1147" s="2732"/>
      <c r="N1147" s="2729">
        <f t="shared" si="91"/>
        <v>0</v>
      </c>
      <c r="Q1147" s="2717"/>
      <c r="R1147" s="2717"/>
      <c r="S1147" s="2719"/>
      <c r="T1147" s="2717"/>
      <c r="U1147" s="2717"/>
      <c r="V1147" s="2717"/>
    </row>
    <row r="1148" spans="2:22" s="2721" customFormat="1" ht="14.1" customHeight="1" x14ac:dyDescent="0.2">
      <c r="B1148" s="2711"/>
      <c r="C1148" s="2524" t="s">
        <v>608</v>
      </c>
      <c r="D1148" s="2725" t="s">
        <v>288</v>
      </c>
      <c r="E1148" s="2726" t="s">
        <v>289</v>
      </c>
      <c r="F1148" s="2726"/>
      <c r="G1148" s="2727" t="s">
        <v>291</v>
      </c>
      <c r="H1148" s="2728">
        <v>5.3999999999999999E-2</v>
      </c>
      <c r="I1148" s="2729">
        <f>'Upah &amp; Bahan'!$I$24</f>
        <v>88300</v>
      </c>
      <c r="J1148" s="2729">
        <f>ROUND(H1148*I1148,2)</f>
        <v>4768.2</v>
      </c>
      <c r="K1148" s="2730"/>
      <c r="L1148" s="2731">
        <f t="shared" ref="L1148:L1151" si="92">VLOOKUP($E1148,$D$1744:$G$1761,2,0)</f>
        <v>1</v>
      </c>
      <c r="M1148" s="2731" t="str">
        <f t="shared" ref="M1148:M1151" si="93">VLOOKUP($E1148,$D$1744:$G$1761,3,0)</f>
        <v>WNI</v>
      </c>
      <c r="N1148" s="2729">
        <f t="shared" si="91"/>
        <v>4768.2</v>
      </c>
      <c r="Q1148" s="2717"/>
      <c r="R1148" s="2717"/>
      <c r="S1148" s="2719"/>
      <c r="T1148" s="2717"/>
      <c r="U1148" s="2717"/>
      <c r="V1148" s="2717"/>
    </row>
    <row r="1149" spans="2:22" s="2721" customFormat="1" ht="14.1" customHeight="1" x14ac:dyDescent="0.2">
      <c r="B1149" s="2711"/>
      <c r="C1149" s="2528"/>
      <c r="D1149" s="2733"/>
      <c r="E1149" s="2726" t="s">
        <v>370</v>
      </c>
      <c r="F1149" s="2726"/>
      <c r="G1149" s="2727" t="s">
        <v>291</v>
      </c>
      <c r="H1149" s="2728">
        <v>0.09</v>
      </c>
      <c r="I1149" s="2729">
        <f>'Upah &amp; Bahan'!$I$32</f>
        <v>90000</v>
      </c>
      <c r="J1149" s="2729">
        <f>ROUND(H1149*I1149,2)</f>
        <v>8100</v>
      </c>
      <c r="K1149" s="2734"/>
      <c r="L1149" s="2731">
        <f t="shared" si="92"/>
        <v>1</v>
      </c>
      <c r="M1149" s="2731" t="str">
        <f t="shared" si="93"/>
        <v>WNI</v>
      </c>
      <c r="N1149" s="2729">
        <f t="shared" si="91"/>
        <v>8100</v>
      </c>
      <c r="Q1149" s="2717"/>
      <c r="R1149" s="2717"/>
      <c r="S1149" s="2719"/>
      <c r="T1149" s="2717"/>
      <c r="U1149" s="2717"/>
      <c r="V1149" s="2717"/>
    </row>
    <row r="1150" spans="2:22" s="2721" customFormat="1" ht="14.1" customHeight="1" x14ac:dyDescent="0.2">
      <c r="B1150" s="2711"/>
      <c r="C1150" s="2528"/>
      <c r="D1150" s="2733"/>
      <c r="E1150" s="2726" t="s">
        <v>369</v>
      </c>
      <c r="F1150" s="2726"/>
      <c r="G1150" s="2727" t="s">
        <v>291</v>
      </c>
      <c r="H1150" s="2728">
        <v>9.0000000000000011E-3</v>
      </c>
      <c r="I1150" s="2729">
        <f>'Upah &amp; Bahan'!$I$26</f>
        <v>96000</v>
      </c>
      <c r="J1150" s="2729">
        <f>ROUND(H1150*I1150,2)</f>
        <v>864</v>
      </c>
      <c r="K1150" s="2734"/>
      <c r="L1150" s="2731">
        <f t="shared" si="92"/>
        <v>1</v>
      </c>
      <c r="M1150" s="2731" t="str">
        <f t="shared" si="93"/>
        <v>WNI</v>
      </c>
      <c r="N1150" s="2729">
        <f t="shared" si="91"/>
        <v>864</v>
      </c>
      <c r="Q1150" s="2717"/>
      <c r="R1150" s="2717"/>
      <c r="S1150" s="2719"/>
      <c r="T1150" s="2717"/>
      <c r="U1150" s="2717"/>
      <c r="V1150" s="2717"/>
    </row>
    <row r="1151" spans="2:22" s="2721" customFormat="1" ht="14.1" customHeight="1" x14ac:dyDescent="0.2">
      <c r="B1151" s="2711"/>
      <c r="C1151" s="2528"/>
      <c r="D1151" s="2733"/>
      <c r="E1151" s="2726" t="s">
        <v>290</v>
      </c>
      <c r="F1151" s="2726"/>
      <c r="G1151" s="2727" t="s">
        <v>291</v>
      </c>
      <c r="H1151" s="2988">
        <v>3.0000000000000001E-3</v>
      </c>
      <c r="I1151" s="2729">
        <f>'Upah &amp; Bahan'!$I$31</f>
        <v>90000</v>
      </c>
      <c r="J1151" s="2729">
        <f>ROUND(H1151*I1151,2)</f>
        <v>270</v>
      </c>
      <c r="K1151" s="2733"/>
      <c r="L1151" s="2731">
        <f t="shared" si="92"/>
        <v>1</v>
      </c>
      <c r="M1151" s="2731" t="str">
        <f t="shared" si="93"/>
        <v>WNI</v>
      </c>
      <c r="N1151" s="2729">
        <f t="shared" si="91"/>
        <v>270</v>
      </c>
      <c r="Q1151" s="2717"/>
      <c r="R1151" s="2717"/>
      <c r="S1151" s="2719"/>
      <c r="T1151" s="2717"/>
      <c r="U1151" s="2717"/>
      <c r="V1151" s="2717"/>
    </row>
    <row r="1152" spans="2:22" s="2721" customFormat="1" ht="14.1" customHeight="1" x14ac:dyDescent="0.2">
      <c r="B1152" s="2711"/>
      <c r="C1152" s="2537"/>
      <c r="D1152" s="2536"/>
      <c r="E1152" s="2736"/>
      <c r="F1152" s="2741"/>
      <c r="G1152" s="2742"/>
      <c r="H1152" s="2743"/>
      <c r="I1152" s="2842"/>
      <c r="J1152" s="2813"/>
      <c r="K1152" s="2732">
        <f>SUM(J1148:J1151)</f>
        <v>14002.2</v>
      </c>
      <c r="L1152" s="2731"/>
      <c r="M1152" s="2732"/>
      <c r="N1152" s="2729">
        <f t="shared" si="91"/>
        <v>0</v>
      </c>
      <c r="Q1152" s="2717"/>
      <c r="R1152" s="2717"/>
      <c r="S1152" s="2719"/>
      <c r="T1152" s="2717"/>
      <c r="U1152" s="2717"/>
      <c r="V1152" s="2717"/>
    </row>
    <row r="1153" spans="2:22" s="2721" customFormat="1" ht="14.1" customHeight="1" x14ac:dyDescent="0.2">
      <c r="B1153" s="2711"/>
      <c r="C1153" s="2524" t="s">
        <v>609</v>
      </c>
      <c r="D1153" s="2725" t="s">
        <v>606</v>
      </c>
      <c r="E1153" s="2739"/>
      <c r="F1153" s="2739"/>
      <c r="G1153" s="2727"/>
      <c r="H1153" s="2740"/>
      <c r="I1153" s="2814"/>
      <c r="J1153" s="2729"/>
      <c r="K1153" s="2730"/>
      <c r="L1153" s="2731"/>
      <c r="M1153" s="2732"/>
      <c r="N1153" s="2729">
        <f t="shared" si="91"/>
        <v>0</v>
      </c>
      <c r="Q1153" s="2717"/>
      <c r="R1153" s="2717"/>
      <c r="S1153" s="2719"/>
      <c r="T1153" s="2717"/>
      <c r="U1153" s="2717"/>
      <c r="V1153" s="2717"/>
    </row>
    <row r="1154" spans="2:22" s="2721" customFormat="1" ht="14.1" customHeight="1" x14ac:dyDescent="0.2">
      <c r="B1154" s="2711"/>
      <c r="C1154" s="2537"/>
      <c r="D1154" s="2536"/>
      <c r="E1154" s="2736"/>
      <c r="F1154" s="2741"/>
      <c r="G1154" s="2742"/>
      <c r="H1154" s="2743"/>
      <c r="I1154" s="2744"/>
      <c r="J1154" s="2813"/>
      <c r="K1154" s="2732">
        <f>SUM(J1153:J1153)</f>
        <v>0</v>
      </c>
      <c r="L1154" s="2731"/>
      <c r="M1154" s="2732"/>
      <c r="N1154" s="2729">
        <f t="shared" si="91"/>
        <v>0</v>
      </c>
      <c r="Q1154" s="2717"/>
      <c r="R1154" s="2717"/>
      <c r="S1154" s="2719"/>
      <c r="T1154" s="2717"/>
      <c r="U1154" s="2717"/>
      <c r="V1154" s="2717"/>
    </row>
    <row r="1155" spans="2:22" s="2721" customFormat="1" ht="14.1" customHeight="1" x14ac:dyDescent="0.2">
      <c r="B1155" s="2711"/>
      <c r="C1155" s="2727" t="s">
        <v>610</v>
      </c>
      <c r="D1155" s="2738" t="s">
        <v>651</v>
      </c>
      <c r="E1155" s="2741"/>
      <c r="F1155" s="2741"/>
      <c r="G1155" s="2742"/>
      <c r="H1155" s="2743"/>
      <c r="I1155" s="2744"/>
      <c r="J1155" s="2745" t="s">
        <v>652</v>
      </c>
      <c r="K1155" s="2732">
        <f>K1147+K1152+K1154</f>
        <v>69414.7</v>
      </c>
      <c r="L1155" s="2746">
        <f>N1155/K1155</f>
        <v>0.92261300560255965</v>
      </c>
      <c r="M1155" s="2745"/>
      <c r="N1155" s="2747">
        <f>SUM(N1144:N1154)</f>
        <v>64042.904999999999</v>
      </c>
      <c r="Q1155" s="2717"/>
      <c r="R1155" s="2717"/>
      <c r="S1155" s="2719"/>
      <c r="T1155" s="2717"/>
      <c r="U1155" s="2717"/>
      <c r="V1155" s="2717"/>
    </row>
    <row r="1156" spans="2:22" s="2721" customFormat="1" ht="14.1" customHeight="1" x14ac:dyDescent="0.2">
      <c r="B1156" s="2711"/>
      <c r="C1156" s="2727" t="s">
        <v>611</v>
      </c>
      <c r="D1156" s="2738" t="s">
        <v>653</v>
      </c>
      <c r="E1156" s="2741"/>
      <c r="F1156" s="2748">
        <f>$F$42</f>
        <v>0.1</v>
      </c>
      <c r="G1156" s="2727" t="s">
        <v>425</v>
      </c>
      <c r="H1156" s="2748">
        <f>$H$42</f>
        <v>0.03</v>
      </c>
      <c r="I1156" s="2749" t="s">
        <v>424</v>
      </c>
      <c r="J1156" s="2732" t="s">
        <v>610</v>
      </c>
      <c r="K1156" s="2750">
        <f>ROUND((K1155*(F1156+H1156)),2)</f>
        <v>9023.91</v>
      </c>
      <c r="L1156" s="2732"/>
      <c r="M1156" s="2732"/>
      <c r="N1156" s="2732"/>
      <c r="Q1156" s="2717"/>
      <c r="R1156" s="2717"/>
      <c r="S1156" s="2719"/>
      <c r="T1156" s="2717"/>
      <c r="U1156" s="2717"/>
      <c r="V1156" s="2717"/>
    </row>
    <row r="1157" spans="2:22" s="2721" customFormat="1" ht="14.1" customHeight="1" x14ac:dyDescent="0.2">
      <c r="B1157" s="2711"/>
      <c r="C1157" s="2880" t="s">
        <v>654</v>
      </c>
      <c r="D1157" s="2752" t="s">
        <v>301</v>
      </c>
      <c r="E1157" s="2815"/>
      <c r="F1157" s="2815"/>
      <c r="G1157" s="2815"/>
      <c r="H1157" s="2816"/>
      <c r="I1157" s="2815"/>
      <c r="J1157" s="2755" t="s">
        <v>668</v>
      </c>
      <c r="K1157" s="2756">
        <f>SUM(K1155:K1156)</f>
        <v>78438.61</v>
      </c>
      <c r="L1157" s="2746"/>
      <c r="M1157" s="2755"/>
      <c r="N1157" s="2757"/>
      <c r="Q1157" s="2717"/>
      <c r="R1157" s="2717"/>
      <c r="S1157" s="2719"/>
      <c r="T1157" s="2717"/>
      <c r="U1157" s="2717"/>
      <c r="V1157" s="2717"/>
    </row>
    <row r="1158" spans="2:22" s="2721" customFormat="1" ht="14.1" customHeight="1" x14ac:dyDescent="0.2">
      <c r="H1158" s="2711"/>
      <c r="Q1158" s="2717"/>
      <c r="R1158" s="2717"/>
      <c r="S1158" s="2719"/>
      <c r="T1158" s="2717"/>
      <c r="U1158" s="2717"/>
      <c r="V1158" s="2717"/>
    </row>
    <row r="1159" spans="2:22" s="2721" customFormat="1" ht="14.1" customHeight="1" x14ac:dyDescent="0.2">
      <c r="B1159" s="2711">
        <f>B1140+1</f>
        <v>58</v>
      </c>
      <c r="C1159" s="2711"/>
      <c r="D1159" s="2712" t="s">
        <v>835</v>
      </c>
      <c r="E1159" s="2713"/>
      <c r="F1159" s="2713"/>
      <c r="G1159" s="2713"/>
      <c r="H1159" s="2714"/>
      <c r="I1159" s="2713"/>
      <c r="J1159" s="2713"/>
      <c r="K1159" s="2715" t="s">
        <v>834</v>
      </c>
      <c r="L1159" s="2715"/>
      <c r="M1159" s="2715"/>
      <c r="N1159" s="2715"/>
      <c r="O1159" s="2721" t="str">
        <f>D1160</f>
        <v>m'</v>
      </c>
      <c r="P1159" s="2810">
        <f>K1176</f>
        <v>302171.38</v>
      </c>
      <c r="Q1159" s="2718">
        <f>L1174</f>
        <v>0.91065595196558968</v>
      </c>
      <c r="R1159" s="2717"/>
      <c r="S1159" s="2719">
        <f>N1174</f>
        <v>243516.96</v>
      </c>
      <c r="T1159" s="2515">
        <f>U1159+S1159</f>
        <v>275174.16479999997</v>
      </c>
      <c r="U1159" s="2719">
        <f>S1159*V1159</f>
        <v>31657.2048</v>
      </c>
      <c r="V1159" s="2718">
        <f>$F$42+$H$42</f>
        <v>0.13</v>
      </c>
    </row>
    <row r="1160" spans="2:22" s="2721" customFormat="1" ht="14.1" customHeight="1" x14ac:dyDescent="0.2">
      <c r="B1160" s="2711"/>
      <c r="C1160" s="2711"/>
      <c r="D1160" s="2721" t="s">
        <v>247</v>
      </c>
      <c r="H1160" s="2711"/>
      <c r="Q1160" s="2717"/>
      <c r="R1160" s="2717"/>
      <c r="S1160" s="2719"/>
      <c r="T1160" s="2717"/>
      <c r="U1160" s="2717"/>
      <c r="V1160" s="2717"/>
    </row>
    <row r="1161" spans="2:22" s="2721" customFormat="1" ht="14.1" customHeight="1" x14ac:dyDescent="0.2">
      <c r="B1161" s="2711"/>
      <c r="C1161" s="2524"/>
      <c r="D1161" s="3427" t="s">
        <v>280</v>
      </c>
      <c r="E1161" s="3428"/>
      <c r="F1161" s="2722"/>
      <c r="G1161" s="3433" t="s">
        <v>281</v>
      </c>
      <c r="H1161" s="3433" t="s">
        <v>282</v>
      </c>
      <c r="I1161" s="2524" t="s">
        <v>283</v>
      </c>
      <c r="J1161" s="2524" t="s">
        <v>284</v>
      </c>
      <c r="K1161" s="2524" t="s">
        <v>340</v>
      </c>
      <c r="L1161" s="2524" t="s">
        <v>2008</v>
      </c>
      <c r="M1161" s="2524" t="s">
        <v>2009</v>
      </c>
      <c r="N1161" s="2524" t="s">
        <v>284</v>
      </c>
      <c r="Q1161" s="2717"/>
      <c r="R1161" s="2717"/>
      <c r="S1161" s="2719"/>
      <c r="T1161" s="2717"/>
      <c r="U1161" s="2717"/>
      <c r="V1161" s="2717"/>
    </row>
    <row r="1162" spans="2:22" s="2721" customFormat="1" ht="14.1" customHeight="1" x14ac:dyDescent="0.2">
      <c r="B1162" s="2711"/>
      <c r="C1162" s="2528" t="s">
        <v>669</v>
      </c>
      <c r="D1162" s="3429"/>
      <c r="E1162" s="3430"/>
      <c r="F1162" s="2723"/>
      <c r="G1162" s="3434"/>
      <c r="H1162" s="3434"/>
      <c r="I1162" s="2528" t="s">
        <v>285</v>
      </c>
      <c r="J1162" s="2528" t="s">
        <v>286</v>
      </c>
      <c r="K1162" s="2528" t="s">
        <v>286</v>
      </c>
      <c r="L1162" s="2528" t="s">
        <v>2011</v>
      </c>
      <c r="M1162" s="2528"/>
      <c r="N1162" s="2528" t="s">
        <v>2013</v>
      </c>
      <c r="Q1162" s="2717"/>
      <c r="R1162" s="2717"/>
      <c r="S1162" s="2719"/>
      <c r="T1162" s="2717"/>
      <c r="U1162" s="2717"/>
      <c r="V1162" s="2717"/>
    </row>
    <row r="1163" spans="2:22" s="2721" customFormat="1" ht="14.1" customHeight="1" x14ac:dyDescent="0.2">
      <c r="B1163" s="2711"/>
      <c r="C1163" s="2537"/>
      <c r="D1163" s="3431"/>
      <c r="E1163" s="3432"/>
      <c r="F1163" s="2724"/>
      <c r="G1163" s="3435"/>
      <c r="H1163" s="3435"/>
      <c r="I1163" s="2537" t="s">
        <v>286</v>
      </c>
      <c r="J1163" s="2536"/>
      <c r="K1163" s="2536"/>
      <c r="L1163" s="2536"/>
      <c r="M1163" s="2536"/>
      <c r="N1163" s="2537" t="s">
        <v>286</v>
      </c>
      <c r="Q1163" s="2717"/>
      <c r="R1163" s="2717"/>
      <c r="S1163" s="2719"/>
      <c r="T1163" s="2717"/>
      <c r="U1163" s="2717"/>
      <c r="V1163" s="2717"/>
    </row>
    <row r="1164" spans="2:22" s="2721" customFormat="1" ht="14.1" customHeight="1" x14ac:dyDescent="0.2">
      <c r="B1164" s="2711"/>
      <c r="C1164" s="2524" t="s">
        <v>607</v>
      </c>
      <c r="D1164" s="2725" t="s">
        <v>287</v>
      </c>
      <c r="E1164" s="2726" t="s">
        <v>836</v>
      </c>
      <c r="F1164" s="2726"/>
      <c r="G1164" s="2727" t="s">
        <v>309</v>
      </c>
      <c r="H1164" s="2728">
        <v>1.2</v>
      </c>
      <c r="I1164" s="2729">
        <f>'Upah &amp; Bahan'!$I$129</f>
        <v>159000</v>
      </c>
      <c r="J1164" s="2729">
        <f>ROUND(H1164*I1164,2)</f>
        <v>190800</v>
      </c>
      <c r="K1164" s="2730"/>
      <c r="L1164" s="2731">
        <v>0.94769999999999999</v>
      </c>
      <c r="M1164" s="2732" t="s">
        <v>2029</v>
      </c>
      <c r="N1164" s="2729">
        <f t="shared" ref="N1164:N1173" si="94">L1164*J1164</f>
        <v>180821.16</v>
      </c>
      <c r="Q1164" s="2717"/>
      <c r="R1164" s="2717"/>
      <c r="S1164" s="2719"/>
      <c r="T1164" s="2717"/>
      <c r="U1164" s="2717"/>
      <c r="V1164" s="2717"/>
    </row>
    <row r="1165" spans="2:22" s="2721" customFormat="1" ht="14.1" customHeight="1" x14ac:dyDescent="0.2">
      <c r="B1165" s="2711"/>
      <c r="C1165" s="2528"/>
      <c r="D1165" s="2733"/>
      <c r="E1165" s="2726" t="s">
        <v>375</v>
      </c>
      <c r="F1165" s="2726"/>
      <c r="G1165" s="2727" t="s">
        <v>268</v>
      </c>
      <c r="H1165" s="2728">
        <v>1</v>
      </c>
      <c r="I1165" s="2729">
        <f>I1164*0.35</f>
        <v>55650</v>
      </c>
      <c r="J1165" s="2729">
        <f>ROUND(H1165*I1165,2)</f>
        <v>55650</v>
      </c>
      <c r="K1165" s="2735"/>
      <c r="L1165" s="2731">
        <v>0.75</v>
      </c>
      <c r="M1165" s="2732" t="s">
        <v>2030</v>
      </c>
      <c r="N1165" s="2729">
        <f t="shared" si="94"/>
        <v>41737.5</v>
      </c>
      <c r="Q1165" s="2717"/>
      <c r="R1165" s="2717"/>
      <c r="S1165" s="2719"/>
      <c r="T1165" s="2717"/>
      <c r="U1165" s="2717"/>
      <c r="V1165" s="2717"/>
    </row>
    <row r="1166" spans="2:22" s="2721" customFormat="1" ht="14.1" customHeight="1" x14ac:dyDescent="0.2">
      <c r="B1166" s="2711"/>
      <c r="C1166" s="2537"/>
      <c r="D1166" s="2733"/>
      <c r="E1166" s="2984" t="s">
        <v>407</v>
      </c>
      <c r="F1166" s="2985"/>
      <c r="G1166" s="2742"/>
      <c r="H1166" s="2986"/>
      <c r="I1166" s="2842"/>
      <c r="J1166" s="2813"/>
      <c r="K1166" s="2729">
        <f>SUM(J1164:J1165)</f>
        <v>246450</v>
      </c>
      <c r="L1166" s="2731"/>
      <c r="M1166" s="2732"/>
      <c r="N1166" s="2729">
        <f t="shared" si="94"/>
        <v>0</v>
      </c>
      <c r="Q1166" s="2717"/>
      <c r="R1166" s="2717"/>
      <c r="S1166" s="2719"/>
      <c r="T1166" s="2717"/>
      <c r="U1166" s="2717"/>
      <c r="V1166" s="2717"/>
    </row>
    <row r="1167" spans="2:22" s="2721" customFormat="1" ht="14.1" customHeight="1" x14ac:dyDescent="0.2">
      <c r="B1167" s="2711"/>
      <c r="C1167" s="2524" t="s">
        <v>608</v>
      </c>
      <c r="D1167" s="2725" t="s">
        <v>288</v>
      </c>
      <c r="E1167" s="2726" t="s">
        <v>289</v>
      </c>
      <c r="F1167" s="2726"/>
      <c r="G1167" s="2727" t="s">
        <v>291</v>
      </c>
      <c r="H1167" s="2728">
        <v>8.1000000000000003E-2</v>
      </c>
      <c r="I1167" s="2729">
        <f>'Upah &amp; Bahan'!$I$24</f>
        <v>88300</v>
      </c>
      <c r="J1167" s="2729">
        <f>ROUND(H1167*I1167,2)</f>
        <v>7152.3</v>
      </c>
      <c r="K1167" s="2730"/>
      <c r="L1167" s="2731">
        <f t="shared" ref="L1167:L1170" si="95">VLOOKUP($E1167,$D$1744:$G$1761,2,0)</f>
        <v>1</v>
      </c>
      <c r="M1167" s="2731" t="str">
        <f t="shared" ref="M1167:M1170" si="96">VLOOKUP($E1167,$D$1744:$G$1761,3,0)</f>
        <v>WNI</v>
      </c>
      <c r="N1167" s="2729">
        <f t="shared" si="94"/>
        <v>7152.3</v>
      </c>
      <c r="Q1167" s="2717"/>
      <c r="R1167" s="2717"/>
      <c r="S1167" s="2719"/>
      <c r="T1167" s="2717"/>
      <c r="U1167" s="2717"/>
      <c r="V1167" s="2717"/>
    </row>
    <row r="1168" spans="2:22" s="2721" customFormat="1" ht="14.1" customHeight="1" x14ac:dyDescent="0.2">
      <c r="B1168" s="2711"/>
      <c r="C1168" s="2528"/>
      <c r="D1168" s="2733"/>
      <c r="E1168" s="2726" t="s">
        <v>370</v>
      </c>
      <c r="F1168" s="2726"/>
      <c r="G1168" s="2727" t="s">
        <v>291</v>
      </c>
      <c r="H1168" s="2728">
        <v>0.13500000000000001</v>
      </c>
      <c r="I1168" s="2729">
        <f>'Upah &amp; Bahan'!$I$32</f>
        <v>90000</v>
      </c>
      <c r="J1168" s="2729">
        <f>ROUND(H1168*I1168,2)</f>
        <v>12150</v>
      </c>
      <c r="K1168" s="2734"/>
      <c r="L1168" s="2731">
        <f t="shared" si="95"/>
        <v>1</v>
      </c>
      <c r="M1168" s="2731" t="str">
        <f t="shared" si="96"/>
        <v>WNI</v>
      </c>
      <c r="N1168" s="2729">
        <f t="shared" si="94"/>
        <v>12150</v>
      </c>
      <c r="Q1168" s="2717"/>
      <c r="R1168" s="2717"/>
      <c r="S1168" s="2719"/>
      <c r="T1168" s="2717"/>
      <c r="U1168" s="2717"/>
      <c r="V1168" s="2717"/>
    </row>
    <row r="1169" spans="2:22" s="2721" customFormat="1" ht="14.1" customHeight="1" x14ac:dyDescent="0.2">
      <c r="B1169" s="2711"/>
      <c r="C1169" s="2528"/>
      <c r="D1169" s="2733"/>
      <c r="E1169" s="2726" t="s">
        <v>369</v>
      </c>
      <c r="F1169" s="2726"/>
      <c r="G1169" s="2727" t="s">
        <v>291</v>
      </c>
      <c r="H1169" s="2728">
        <v>1.35E-2</v>
      </c>
      <c r="I1169" s="2729">
        <f>'Upah &amp; Bahan'!$I$26</f>
        <v>96000</v>
      </c>
      <c r="J1169" s="2729">
        <f>ROUND(H1169*I1169,2)</f>
        <v>1296</v>
      </c>
      <c r="K1169" s="2734"/>
      <c r="L1169" s="2731">
        <f t="shared" si="95"/>
        <v>1</v>
      </c>
      <c r="M1169" s="2731" t="str">
        <f t="shared" si="96"/>
        <v>WNI</v>
      </c>
      <c r="N1169" s="2729">
        <f t="shared" si="94"/>
        <v>1296</v>
      </c>
      <c r="Q1169" s="2717"/>
      <c r="R1169" s="2717"/>
      <c r="S1169" s="2719"/>
      <c r="T1169" s="2717"/>
      <c r="U1169" s="2717"/>
      <c r="V1169" s="2717"/>
    </row>
    <row r="1170" spans="2:22" s="2721" customFormat="1" ht="14.1" customHeight="1" x14ac:dyDescent="0.2">
      <c r="B1170" s="2711"/>
      <c r="C1170" s="2528"/>
      <c r="D1170" s="2733"/>
      <c r="E1170" s="2726" t="s">
        <v>290</v>
      </c>
      <c r="F1170" s="2726"/>
      <c r="G1170" s="2727" t="s">
        <v>291</v>
      </c>
      <c r="H1170" s="2988">
        <v>4.0000000000000001E-3</v>
      </c>
      <c r="I1170" s="2729">
        <f>'Upah &amp; Bahan'!$I$31</f>
        <v>90000</v>
      </c>
      <c r="J1170" s="2729">
        <f>ROUND(H1170*I1170,2)</f>
        <v>360</v>
      </c>
      <c r="K1170" s="2733"/>
      <c r="L1170" s="2731">
        <f t="shared" si="95"/>
        <v>1</v>
      </c>
      <c r="M1170" s="2731" t="str">
        <f t="shared" si="96"/>
        <v>WNI</v>
      </c>
      <c r="N1170" s="2729">
        <f t="shared" si="94"/>
        <v>360</v>
      </c>
      <c r="Q1170" s="2717"/>
      <c r="R1170" s="2717"/>
      <c r="S1170" s="2719"/>
      <c r="T1170" s="2717"/>
      <c r="U1170" s="2717"/>
      <c r="V1170" s="2717"/>
    </row>
    <row r="1171" spans="2:22" s="2721" customFormat="1" ht="14.1" customHeight="1" x14ac:dyDescent="0.2">
      <c r="B1171" s="2711"/>
      <c r="C1171" s="2537"/>
      <c r="D1171" s="2536"/>
      <c r="E1171" s="2736"/>
      <c r="F1171" s="2741"/>
      <c r="G1171" s="2742"/>
      <c r="H1171" s="2743"/>
      <c r="I1171" s="2842"/>
      <c r="J1171" s="2813"/>
      <c r="K1171" s="2732">
        <f>SUM(J1167:J1170)</f>
        <v>20958.3</v>
      </c>
      <c r="L1171" s="2731"/>
      <c r="M1171" s="2732"/>
      <c r="N1171" s="2729">
        <f t="shared" si="94"/>
        <v>0</v>
      </c>
      <c r="Q1171" s="2717"/>
      <c r="R1171" s="2717"/>
      <c r="S1171" s="2719"/>
      <c r="T1171" s="2717"/>
      <c r="U1171" s="2717"/>
      <c r="V1171" s="2717"/>
    </row>
    <row r="1172" spans="2:22" s="2721" customFormat="1" ht="14.1" customHeight="1" x14ac:dyDescent="0.2">
      <c r="B1172" s="2711"/>
      <c r="C1172" s="2524" t="s">
        <v>609</v>
      </c>
      <c r="D1172" s="2725" t="s">
        <v>606</v>
      </c>
      <c r="E1172" s="2739"/>
      <c r="F1172" s="2739"/>
      <c r="G1172" s="2727"/>
      <c r="H1172" s="2740"/>
      <c r="I1172" s="2814"/>
      <c r="J1172" s="2729"/>
      <c r="K1172" s="2730"/>
      <c r="L1172" s="2731"/>
      <c r="M1172" s="2732"/>
      <c r="N1172" s="2729">
        <f t="shared" si="94"/>
        <v>0</v>
      </c>
      <c r="Q1172" s="2717"/>
      <c r="R1172" s="2717"/>
      <c r="S1172" s="2719"/>
      <c r="T1172" s="2717"/>
      <c r="U1172" s="2717"/>
      <c r="V1172" s="2717"/>
    </row>
    <row r="1173" spans="2:22" s="2721" customFormat="1" ht="14.1" customHeight="1" x14ac:dyDescent="0.2">
      <c r="B1173" s="2711"/>
      <c r="C1173" s="2537"/>
      <c r="D1173" s="2536"/>
      <c r="E1173" s="2736"/>
      <c r="F1173" s="2741"/>
      <c r="G1173" s="2742"/>
      <c r="H1173" s="2743"/>
      <c r="I1173" s="2744"/>
      <c r="J1173" s="2813"/>
      <c r="K1173" s="2732">
        <f>SUM(J1172:J1172)</f>
        <v>0</v>
      </c>
      <c r="L1173" s="2731"/>
      <c r="M1173" s="2732"/>
      <c r="N1173" s="2729">
        <f t="shared" si="94"/>
        <v>0</v>
      </c>
      <c r="Q1173" s="2717"/>
      <c r="R1173" s="2717"/>
      <c r="S1173" s="2719"/>
      <c r="T1173" s="2717"/>
      <c r="U1173" s="2717"/>
      <c r="V1173" s="2717"/>
    </row>
    <row r="1174" spans="2:22" s="2721" customFormat="1" ht="14.1" customHeight="1" x14ac:dyDescent="0.2">
      <c r="B1174" s="2711"/>
      <c r="C1174" s="2727" t="s">
        <v>610</v>
      </c>
      <c r="D1174" s="2738" t="s">
        <v>651</v>
      </c>
      <c r="E1174" s="2741"/>
      <c r="F1174" s="2741"/>
      <c r="G1174" s="2742"/>
      <c r="H1174" s="2743"/>
      <c r="I1174" s="2744"/>
      <c r="J1174" s="2745" t="s">
        <v>652</v>
      </c>
      <c r="K1174" s="2732">
        <f>K1166+K1171+K1173</f>
        <v>267408.3</v>
      </c>
      <c r="L1174" s="2746">
        <f>N1174/K1174</f>
        <v>0.91065595196558968</v>
      </c>
      <c r="M1174" s="2745"/>
      <c r="N1174" s="2747">
        <f>SUM(N1163:N1173)</f>
        <v>243516.96</v>
      </c>
      <c r="Q1174" s="2717"/>
      <c r="R1174" s="2717"/>
      <c r="S1174" s="2719"/>
      <c r="T1174" s="2717"/>
      <c r="U1174" s="2717"/>
      <c r="V1174" s="2717"/>
    </row>
    <row r="1175" spans="2:22" s="2721" customFormat="1" ht="14.1" customHeight="1" x14ac:dyDescent="0.2">
      <c r="B1175" s="2711"/>
      <c r="C1175" s="2727" t="s">
        <v>611</v>
      </c>
      <c r="D1175" s="2738" t="s">
        <v>653</v>
      </c>
      <c r="E1175" s="2741"/>
      <c r="F1175" s="2748">
        <f>$F$42</f>
        <v>0.1</v>
      </c>
      <c r="G1175" s="2727" t="s">
        <v>425</v>
      </c>
      <c r="H1175" s="2748">
        <f>$H$42</f>
        <v>0.03</v>
      </c>
      <c r="I1175" s="2749" t="s">
        <v>424</v>
      </c>
      <c r="J1175" s="2732" t="s">
        <v>610</v>
      </c>
      <c r="K1175" s="2750">
        <f>ROUND((K1174*(F1175+H1175)),2)</f>
        <v>34763.08</v>
      </c>
      <c r="L1175" s="2732"/>
      <c r="M1175" s="2732"/>
      <c r="N1175" s="2732"/>
      <c r="Q1175" s="2717"/>
      <c r="R1175" s="2717"/>
      <c r="S1175" s="2719"/>
      <c r="T1175" s="2717"/>
      <c r="U1175" s="2717"/>
      <c r="V1175" s="2717"/>
    </row>
    <row r="1176" spans="2:22" s="2721" customFormat="1" ht="14.1" customHeight="1" x14ac:dyDescent="0.2">
      <c r="B1176" s="2711"/>
      <c r="C1176" s="2880" t="s">
        <v>654</v>
      </c>
      <c r="D1176" s="2752" t="s">
        <v>301</v>
      </c>
      <c r="E1176" s="2815"/>
      <c r="F1176" s="2815"/>
      <c r="G1176" s="2815"/>
      <c r="H1176" s="2816"/>
      <c r="I1176" s="2815"/>
      <c r="J1176" s="2755" t="s">
        <v>668</v>
      </c>
      <c r="K1176" s="2756">
        <f>SUM(K1174:K1175)</f>
        <v>302171.38</v>
      </c>
      <c r="L1176" s="2746"/>
      <c r="M1176" s="2755"/>
      <c r="N1176" s="2757"/>
      <c r="Q1176" s="2717"/>
      <c r="R1176" s="2717"/>
      <c r="S1176" s="2719"/>
      <c r="T1176" s="2717"/>
      <c r="U1176" s="2717"/>
      <c r="V1176" s="2717"/>
    </row>
    <row r="1177" spans="2:22" s="2721" customFormat="1" ht="14.1" customHeight="1" x14ac:dyDescent="0.2">
      <c r="H1177" s="2711"/>
      <c r="Q1177" s="2717"/>
      <c r="R1177" s="2717"/>
      <c r="S1177" s="2719"/>
      <c r="T1177" s="2717"/>
      <c r="U1177" s="2717"/>
      <c r="V1177" s="2717"/>
    </row>
    <row r="1178" spans="2:22" s="2721" customFormat="1" ht="14.1" customHeight="1" x14ac:dyDescent="0.2">
      <c r="B1178" s="2711">
        <f>B1159+1</f>
        <v>59</v>
      </c>
      <c r="C1178" s="2711"/>
      <c r="D1178" s="2712" t="s">
        <v>459</v>
      </c>
      <c r="E1178" s="2713"/>
      <c r="F1178" s="2713"/>
      <c r="G1178" s="2713"/>
      <c r="H1178" s="2714"/>
      <c r="I1178" s="2713"/>
      <c r="J1178" s="2713"/>
      <c r="K1178" s="2715" t="s">
        <v>770</v>
      </c>
      <c r="L1178" s="2715"/>
      <c r="M1178" s="2715"/>
      <c r="N1178" s="2715"/>
      <c r="O1178" s="2721" t="str">
        <f>D1179</f>
        <v>m'</v>
      </c>
      <c r="P1178" s="2810">
        <f>K1195</f>
        <v>103284.6</v>
      </c>
      <c r="Q1178" s="2718">
        <f>L1193</f>
        <v>0.92520067875753675</v>
      </c>
      <c r="R1178" s="2717"/>
      <c r="S1178" s="2719">
        <f>N1193</f>
        <v>84565.47</v>
      </c>
      <c r="T1178" s="2515">
        <f>U1178+S1178</f>
        <v>95558.981100000005</v>
      </c>
      <c r="U1178" s="2719">
        <f>S1178*V1178</f>
        <v>10993.5111</v>
      </c>
      <c r="V1178" s="2718">
        <f>$F$42+$H$42</f>
        <v>0.13</v>
      </c>
    </row>
    <row r="1179" spans="2:22" s="2721" customFormat="1" ht="14.1" customHeight="1" x14ac:dyDescent="0.2">
      <c r="B1179" s="2711"/>
      <c r="C1179" s="2711"/>
      <c r="D1179" s="2721" t="s">
        <v>247</v>
      </c>
      <c r="H1179" s="2711"/>
      <c r="Q1179" s="2717"/>
      <c r="R1179" s="2717"/>
      <c r="S1179" s="2719"/>
      <c r="T1179" s="2717"/>
      <c r="U1179" s="2717"/>
      <c r="V1179" s="2717"/>
    </row>
    <row r="1180" spans="2:22" s="2721" customFormat="1" ht="14.1" customHeight="1" x14ac:dyDescent="0.2">
      <c r="B1180" s="2711"/>
      <c r="C1180" s="2524"/>
      <c r="D1180" s="3427" t="s">
        <v>280</v>
      </c>
      <c r="E1180" s="3428"/>
      <c r="F1180" s="2722"/>
      <c r="G1180" s="3433" t="s">
        <v>281</v>
      </c>
      <c r="H1180" s="3433" t="s">
        <v>282</v>
      </c>
      <c r="I1180" s="2524" t="s">
        <v>283</v>
      </c>
      <c r="J1180" s="2524" t="s">
        <v>284</v>
      </c>
      <c r="K1180" s="2524" t="s">
        <v>340</v>
      </c>
      <c r="L1180" s="2524" t="s">
        <v>2008</v>
      </c>
      <c r="M1180" s="2524" t="s">
        <v>2009</v>
      </c>
      <c r="N1180" s="2524" t="s">
        <v>284</v>
      </c>
      <c r="Q1180" s="2717"/>
      <c r="R1180" s="2717"/>
      <c r="S1180" s="2719"/>
      <c r="T1180" s="2717"/>
      <c r="U1180" s="2717"/>
      <c r="V1180" s="2717"/>
    </row>
    <row r="1181" spans="2:22" s="2721" customFormat="1" ht="14.1" customHeight="1" x14ac:dyDescent="0.2">
      <c r="B1181" s="2711"/>
      <c r="C1181" s="2528" t="s">
        <v>669</v>
      </c>
      <c r="D1181" s="3429"/>
      <c r="E1181" s="3430"/>
      <c r="F1181" s="2723"/>
      <c r="G1181" s="3434"/>
      <c r="H1181" s="3434"/>
      <c r="I1181" s="2528" t="s">
        <v>285</v>
      </c>
      <c r="J1181" s="2528" t="s">
        <v>286</v>
      </c>
      <c r="K1181" s="2528" t="s">
        <v>286</v>
      </c>
      <c r="L1181" s="2528" t="s">
        <v>2011</v>
      </c>
      <c r="M1181" s="2528"/>
      <c r="N1181" s="2528" t="s">
        <v>2013</v>
      </c>
      <c r="Q1181" s="2717"/>
      <c r="R1181" s="2717"/>
      <c r="S1181" s="2719"/>
      <c r="T1181" s="2717"/>
      <c r="U1181" s="2717"/>
      <c r="V1181" s="2717"/>
    </row>
    <row r="1182" spans="2:22" s="2721" customFormat="1" ht="14.1" customHeight="1" x14ac:dyDescent="0.2">
      <c r="B1182" s="2711"/>
      <c r="C1182" s="2537"/>
      <c r="D1182" s="3431"/>
      <c r="E1182" s="3432"/>
      <c r="F1182" s="2724"/>
      <c r="G1182" s="3435"/>
      <c r="H1182" s="3435"/>
      <c r="I1182" s="2537" t="s">
        <v>286</v>
      </c>
      <c r="J1182" s="2536"/>
      <c r="K1182" s="2536"/>
      <c r="L1182" s="2536"/>
      <c r="M1182" s="2536"/>
      <c r="N1182" s="2537" t="s">
        <v>286</v>
      </c>
      <c r="Q1182" s="2717"/>
      <c r="R1182" s="2717"/>
      <c r="S1182" s="2719"/>
      <c r="T1182" s="2717"/>
      <c r="U1182" s="2717"/>
      <c r="V1182" s="2717"/>
    </row>
    <row r="1183" spans="2:22" s="2721" customFormat="1" ht="14.1" customHeight="1" x14ac:dyDescent="0.2">
      <c r="B1183" s="2711"/>
      <c r="C1183" s="2524" t="s">
        <v>607</v>
      </c>
      <c r="D1183" s="2725" t="s">
        <v>287</v>
      </c>
      <c r="E1183" s="2726" t="s">
        <v>406</v>
      </c>
      <c r="F1183" s="2726"/>
      <c r="G1183" s="2727" t="s">
        <v>309</v>
      </c>
      <c r="H1183" s="2728">
        <v>1.2</v>
      </c>
      <c r="I1183" s="2729">
        <f>'Upah &amp; Bahan'!$I$130/4</f>
        <v>45500</v>
      </c>
      <c r="J1183" s="2729">
        <f>ROUND(H1183*I1183,2)</f>
        <v>54600</v>
      </c>
      <c r="K1183" s="2730"/>
      <c r="L1183" s="2731">
        <v>0.94769999999999999</v>
      </c>
      <c r="M1183" s="2732" t="s">
        <v>2029</v>
      </c>
      <c r="N1183" s="2729">
        <f t="shared" ref="N1183:N1192" si="97">L1183*J1183</f>
        <v>51744.42</v>
      </c>
      <c r="Q1183" s="2717"/>
      <c r="R1183" s="2717"/>
      <c r="S1183" s="2719"/>
      <c r="T1183" s="2717"/>
      <c r="U1183" s="2717"/>
      <c r="V1183" s="2717"/>
    </row>
    <row r="1184" spans="2:22" s="2721" customFormat="1" ht="14.1" customHeight="1" x14ac:dyDescent="0.2">
      <c r="B1184" s="2711"/>
      <c r="C1184" s="2528"/>
      <c r="D1184" s="2733"/>
      <c r="E1184" s="2726" t="s">
        <v>375</v>
      </c>
      <c r="F1184" s="2726"/>
      <c r="G1184" s="2727" t="s">
        <v>268</v>
      </c>
      <c r="H1184" s="2728">
        <v>1</v>
      </c>
      <c r="I1184" s="2729">
        <f>I1183*0.35</f>
        <v>15924.999999999998</v>
      </c>
      <c r="J1184" s="2729">
        <f>ROUND(H1184*I1184,2)</f>
        <v>15925</v>
      </c>
      <c r="K1184" s="2735"/>
      <c r="L1184" s="2731">
        <v>0.75</v>
      </c>
      <c r="M1184" s="2732" t="s">
        <v>2030</v>
      </c>
      <c r="N1184" s="2729">
        <f t="shared" si="97"/>
        <v>11943.75</v>
      </c>
      <c r="Q1184" s="2717"/>
      <c r="R1184" s="2717"/>
      <c r="S1184" s="2719"/>
      <c r="T1184" s="2717"/>
      <c r="U1184" s="2717"/>
      <c r="V1184" s="2717"/>
    </row>
    <row r="1185" spans="2:22" s="2721" customFormat="1" ht="14.1" customHeight="1" x14ac:dyDescent="0.2">
      <c r="B1185" s="2711"/>
      <c r="C1185" s="2537"/>
      <c r="D1185" s="2733"/>
      <c r="E1185" s="2984" t="s">
        <v>407</v>
      </c>
      <c r="F1185" s="2985"/>
      <c r="G1185" s="2742"/>
      <c r="H1185" s="2986"/>
      <c r="I1185" s="2842"/>
      <c r="J1185" s="2813"/>
      <c r="K1185" s="2729">
        <f>SUM(J1183:J1184)</f>
        <v>70525</v>
      </c>
      <c r="L1185" s="2731"/>
      <c r="M1185" s="2732"/>
      <c r="N1185" s="2729">
        <f t="shared" si="97"/>
        <v>0</v>
      </c>
      <c r="Q1185" s="2717"/>
      <c r="R1185" s="2717"/>
      <c r="S1185" s="2719"/>
      <c r="T1185" s="2717"/>
      <c r="U1185" s="2717"/>
      <c r="V1185" s="2717"/>
    </row>
    <row r="1186" spans="2:22" s="2721" customFormat="1" ht="14.1" customHeight="1" x14ac:dyDescent="0.2">
      <c r="B1186" s="2711"/>
      <c r="C1186" s="2524" t="s">
        <v>608</v>
      </c>
      <c r="D1186" s="2725" t="s">
        <v>288</v>
      </c>
      <c r="E1186" s="2726" t="s">
        <v>289</v>
      </c>
      <c r="F1186" s="2726"/>
      <c r="G1186" s="2727" t="s">
        <v>291</v>
      </c>
      <c r="H1186" s="2728">
        <v>8.1000000000000003E-2</v>
      </c>
      <c r="I1186" s="2729">
        <f>'Upah &amp; Bahan'!$I$24</f>
        <v>88300</v>
      </c>
      <c r="J1186" s="2729">
        <f>ROUND(H1186*I1186,2)</f>
        <v>7152.3</v>
      </c>
      <c r="K1186" s="2730"/>
      <c r="L1186" s="2731">
        <f t="shared" ref="L1186:L1189" si="98">VLOOKUP($E1186,$D$1744:$G$1761,2,0)</f>
        <v>1</v>
      </c>
      <c r="M1186" s="2731" t="str">
        <f t="shared" ref="M1186:M1189" si="99">VLOOKUP($E1186,$D$1744:$G$1761,3,0)</f>
        <v>WNI</v>
      </c>
      <c r="N1186" s="2729">
        <f t="shared" si="97"/>
        <v>7152.3</v>
      </c>
      <c r="Q1186" s="2717"/>
      <c r="R1186" s="2717"/>
      <c r="S1186" s="2719"/>
      <c r="T1186" s="2717"/>
      <c r="U1186" s="2717"/>
      <c r="V1186" s="2717"/>
    </row>
    <row r="1187" spans="2:22" s="2721" customFormat="1" ht="14.1" customHeight="1" x14ac:dyDescent="0.2">
      <c r="B1187" s="2711"/>
      <c r="C1187" s="2528"/>
      <c r="D1187" s="2733"/>
      <c r="E1187" s="2726" t="s">
        <v>370</v>
      </c>
      <c r="F1187" s="2726"/>
      <c r="G1187" s="2727" t="s">
        <v>291</v>
      </c>
      <c r="H1187" s="2728">
        <v>0.13500000000000001</v>
      </c>
      <c r="I1187" s="2729">
        <f>'Upah &amp; Bahan'!$I$32</f>
        <v>90000</v>
      </c>
      <c r="J1187" s="2729">
        <f>ROUND(H1187*I1187,2)</f>
        <v>12150</v>
      </c>
      <c r="K1187" s="2734"/>
      <c r="L1187" s="2731">
        <f t="shared" si="98"/>
        <v>1</v>
      </c>
      <c r="M1187" s="2731" t="str">
        <f t="shared" si="99"/>
        <v>WNI</v>
      </c>
      <c r="N1187" s="2729">
        <f t="shared" si="97"/>
        <v>12150</v>
      </c>
      <c r="Q1187" s="2717"/>
      <c r="R1187" s="2717"/>
      <c r="S1187" s="2719"/>
      <c r="T1187" s="2717"/>
      <c r="U1187" s="2717"/>
      <c r="V1187" s="2717"/>
    </row>
    <row r="1188" spans="2:22" s="2721" customFormat="1" ht="14.1" customHeight="1" x14ac:dyDescent="0.2">
      <c r="B1188" s="2711"/>
      <c r="C1188" s="2528"/>
      <c r="D1188" s="2733"/>
      <c r="E1188" s="2726" t="s">
        <v>716</v>
      </c>
      <c r="F1188" s="2726"/>
      <c r="G1188" s="2727" t="s">
        <v>291</v>
      </c>
      <c r="H1188" s="2988">
        <v>1.35E-2</v>
      </c>
      <c r="I1188" s="2729">
        <f>'Upah &amp; Bahan'!$I$32</f>
        <v>90000</v>
      </c>
      <c r="J1188" s="2729">
        <f>ROUND(H1188*I1188,2)</f>
        <v>1215</v>
      </c>
      <c r="K1188" s="2734"/>
      <c r="L1188" s="2731">
        <f t="shared" si="98"/>
        <v>1</v>
      </c>
      <c r="M1188" s="2731" t="str">
        <f t="shared" si="99"/>
        <v>WNI</v>
      </c>
      <c r="N1188" s="2729">
        <f t="shared" si="97"/>
        <v>1215</v>
      </c>
      <c r="Q1188" s="2717"/>
      <c r="R1188" s="2717"/>
      <c r="S1188" s="2719"/>
      <c r="T1188" s="2717"/>
      <c r="U1188" s="2717"/>
      <c r="V1188" s="2717"/>
    </row>
    <row r="1189" spans="2:22" s="2721" customFormat="1" ht="14.1" customHeight="1" x14ac:dyDescent="0.2">
      <c r="B1189" s="2711"/>
      <c r="C1189" s="2528"/>
      <c r="D1189" s="2733"/>
      <c r="E1189" s="2726" t="s">
        <v>290</v>
      </c>
      <c r="F1189" s="2726"/>
      <c r="G1189" s="2727" t="s">
        <v>291</v>
      </c>
      <c r="H1189" s="2728">
        <v>4.0000000000000001E-3</v>
      </c>
      <c r="I1189" s="2729">
        <f>'Upah &amp; Bahan'!$I$31</f>
        <v>90000</v>
      </c>
      <c r="J1189" s="2729">
        <f>ROUND(H1189*I1189,2)</f>
        <v>360</v>
      </c>
      <c r="K1189" s="2733"/>
      <c r="L1189" s="2731">
        <f t="shared" si="98"/>
        <v>1</v>
      </c>
      <c r="M1189" s="2731" t="str">
        <f t="shared" si="99"/>
        <v>WNI</v>
      </c>
      <c r="N1189" s="2729">
        <f t="shared" si="97"/>
        <v>360</v>
      </c>
      <c r="Q1189" s="2717"/>
      <c r="R1189" s="2717"/>
      <c r="S1189" s="2719"/>
      <c r="T1189" s="2717"/>
      <c r="U1189" s="2717"/>
      <c r="V1189" s="2717"/>
    </row>
    <row r="1190" spans="2:22" s="2721" customFormat="1" ht="14.1" customHeight="1" x14ac:dyDescent="0.2">
      <c r="B1190" s="2711"/>
      <c r="C1190" s="2537"/>
      <c r="D1190" s="2536"/>
      <c r="E1190" s="2736"/>
      <c r="F1190" s="2741"/>
      <c r="G1190" s="2742"/>
      <c r="H1190" s="2743"/>
      <c r="I1190" s="2842"/>
      <c r="J1190" s="2813"/>
      <c r="K1190" s="2732">
        <f>SUM(J1186:J1189)</f>
        <v>20877.3</v>
      </c>
      <c r="L1190" s="2731"/>
      <c r="M1190" s="2732"/>
      <c r="N1190" s="2729">
        <f t="shared" si="97"/>
        <v>0</v>
      </c>
      <c r="Q1190" s="2717"/>
      <c r="R1190" s="2717"/>
      <c r="S1190" s="2719"/>
      <c r="T1190" s="2717"/>
      <c r="U1190" s="2717"/>
      <c r="V1190" s="2717"/>
    </row>
    <row r="1191" spans="2:22" s="2721" customFormat="1" ht="14.1" customHeight="1" x14ac:dyDescent="0.2">
      <c r="B1191" s="2711"/>
      <c r="C1191" s="2524" t="s">
        <v>609</v>
      </c>
      <c r="D1191" s="2725" t="s">
        <v>606</v>
      </c>
      <c r="E1191" s="2739"/>
      <c r="F1191" s="2739"/>
      <c r="G1191" s="2727"/>
      <c r="H1191" s="2740"/>
      <c r="I1191" s="2814"/>
      <c r="J1191" s="2729"/>
      <c r="K1191" s="2730"/>
      <c r="L1191" s="2731"/>
      <c r="M1191" s="2732"/>
      <c r="N1191" s="2729">
        <f t="shared" si="97"/>
        <v>0</v>
      </c>
      <c r="Q1191" s="2717"/>
      <c r="R1191" s="2717"/>
      <c r="S1191" s="2719"/>
      <c r="T1191" s="2717"/>
      <c r="U1191" s="2717"/>
      <c r="V1191" s="2717"/>
    </row>
    <row r="1192" spans="2:22" s="2721" customFormat="1" ht="14.1" customHeight="1" x14ac:dyDescent="0.2">
      <c r="B1192" s="2711"/>
      <c r="C1192" s="2537"/>
      <c r="D1192" s="2536"/>
      <c r="E1192" s="2736"/>
      <c r="F1192" s="2741"/>
      <c r="G1192" s="2742"/>
      <c r="H1192" s="2743"/>
      <c r="I1192" s="2744"/>
      <c r="J1192" s="2813"/>
      <c r="K1192" s="2732">
        <f>SUM(J1191:J1191)</f>
        <v>0</v>
      </c>
      <c r="L1192" s="2731"/>
      <c r="M1192" s="2732"/>
      <c r="N1192" s="2729">
        <f t="shared" si="97"/>
        <v>0</v>
      </c>
      <c r="Q1192" s="2717"/>
      <c r="R1192" s="2717"/>
      <c r="S1192" s="2719"/>
      <c r="T1192" s="2717"/>
      <c r="U1192" s="2717"/>
      <c r="V1192" s="2717"/>
    </row>
    <row r="1193" spans="2:22" s="2721" customFormat="1" ht="14.1" customHeight="1" x14ac:dyDescent="0.2">
      <c r="B1193" s="2711"/>
      <c r="C1193" s="2727" t="s">
        <v>610</v>
      </c>
      <c r="D1193" s="2738" t="s">
        <v>651</v>
      </c>
      <c r="E1193" s="2741"/>
      <c r="F1193" s="2741"/>
      <c r="G1193" s="2742"/>
      <c r="H1193" s="2743"/>
      <c r="I1193" s="2744"/>
      <c r="J1193" s="2745" t="s">
        <v>652</v>
      </c>
      <c r="K1193" s="2732">
        <f>K1185+K1190+K1192</f>
        <v>91402.3</v>
      </c>
      <c r="L1193" s="2746">
        <f>N1193/K1193</f>
        <v>0.92520067875753675</v>
      </c>
      <c r="M1193" s="2745"/>
      <c r="N1193" s="2747">
        <f>SUM(N1182:N1192)</f>
        <v>84565.47</v>
      </c>
      <c r="Q1193" s="2717"/>
      <c r="R1193" s="2717"/>
      <c r="S1193" s="2719"/>
      <c r="T1193" s="2717"/>
      <c r="U1193" s="2717"/>
      <c r="V1193" s="2717"/>
    </row>
    <row r="1194" spans="2:22" s="2721" customFormat="1" ht="14.1" customHeight="1" x14ac:dyDescent="0.2">
      <c r="B1194" s="2711"/>
      <c r="C1194" s="2727" t="s">
        <v>611</v>
      </c>
      <c r="D1194" s="2738" t="s">
        <v>653</v>
      </c>
      <c r="E1194" s="2741"/>
      <c r="F1194" s="2748">
        <f>$F$42</f>
        <v>0.1</v>
      </c>
      <c r="G1194" s="2727" t="s">
        <v>425</v>
      </c>
      <c r="H1194" s="2748">
        <f>$H$42</f>
        <v>0.03</v>
      </c>
      <c r="I1194" s="2749" t="s">
        <v>424</v>
      </c>
      <c r="J1194" s="2732" t="s">
        <v>610</v>
      </c>
      <c r="K1194" s="2750">
        <f>ROUND((K1193*(F1194+H1194)),2)</f>
        <v>11882.3</v>
      </c>
      <c r="L1194" s="2732"/>
      <c r="M1194" s="2732"/>
      <c r="N1194" s="2732"/>
      <c r="Q1194" s="2717"/>
      <c r="R1194" s="2717"/>
      <c r="S1194" s="2719"/>
      <c r="T1194" s="2717"/>
      <c r="U1194" s="2717"/>
      <c r="V1194" s="2717"/>
    </row>
    <row r="1195" spans="2:22" s="2721" customFormat="1" ht="14.1" customHeight="1" x14ac:dyDescent="0.2">
      <c r="B1195" s="2711"/>
      <c r="C1195" s="2880" t="s">
        <v>654</v>
      </c>
      <c r="D1195" s="2752" t="s">
        <v>301</v>
      </c>
      <c r="E1195" s="2815"/>
      <c r="F1195" s="2815"/>
      <c r="G1195" s="2815"/>
      <c r="H1195" s="2816"/>
      <c r="I1195" s="2815"/>
      <c r="J1195" s="2755" t="s">
        <v>668</v>
      </c>
      <c r="K1195" s="2756">
        <f>SUM(K1193:K1194)</f>
        <v>103284.6</v>
      </c>
      <c r="L1195" s="2746"/>
      <c r="M1195" s="2755"/>
      <c r="N1195" s="2757"/>
      <c r="Q1195" s="2717"/>
      <c r="R1195" s="2717"/>
      <c r="S1195" s="2719"/>
      <c r="T1195" s="2717"/>
      <c r="U1195" s="2717"/>
      <c r="V1195" s="2717"/>
    </row>
    <row r="1196" spans="2:22" x14ac:dyDescent="0.25">
      <c r="Q1196" s="2717"/>
      <c r="R1196" s="2717"/>
      <c r="S1196" s="2719"/>
      <c r="T1196" s="2717"/>
      <c r="U1196" s="2717"/>
      <c r="V1196" s="2717"/>
    </row>
    <row r="1197" spans="2:22" s="2713" customFormat="1" ht="14.1" customHeight="1" x14ac:dyDescent="0.2">
      <c r="B1197" s="2711">
        <f>B1178+1</f>
        <v>60</v>
      </c>
      <c r="C1197" s="2711"/>
      <c r="D1197" s="2712" t="s">
        <v>460</v>
      </c>
      <c r="H1197" s="2714"/>
      <c r="K1197" s="2715" t="s">
        <v>771</v>
      </c>
      <c r="L1197" s="2715"/>
      <c r="M1197" s="2715"/>
      <c r="N1197" s="2715"/>
      <c r="O1197" s="2713" t="str">
        <f>D1198</f>
        <v>m'</v>
      </c>
      <c r="P1197" s="2870">
        <f>K1214</f>
        <v>167743.75</v>
      </c>
      <c r="Q1197" s="2718">
        <f>L1212</f>
        <v>0.91674479843821799</v>
      </c>
      <c r="R1197" s="2717"/>
      <c r="S1197" s="2719">
        <f>N1212</f>
        <v>136086.91500000001</v>
      </c>
      <c r="T1197" s="2515">
        <f>U1197+S1197</f>
        <v>153778.21395</v>
      </c>
      <c r="U1197" s="2719">
        <f>S1197*V1197</f>
        <v>17691.29895</v>
      </c>
      <c r="V1197" s="2718">
        <f>$F$42+$H$42</f>
        <v>0.13</v>
      </c>
    </row>
    <row r="1198" spans="2:22" s="2713" customFormat="1" ht="14.1" customHeight="1" x14ac:dyDescent="0.2">
      <c r="B1198" s="2711"/>
      <c r="C1198" s="2711"/>
      <c r="D1198" s="2721" t="s">
        <v>247</v>
      </c>
      <c r="E1198" s="2721"/>
      <c r="F1198" s="2721"/>
      <c r="G1198" s="2721"/>
      <c r="H1198" s="2711"/>
      <c r="I1198" s="2721"/>
      <c r="J1198" s="2721"/>
      <c r="K1198" s="2721"/>
      <c r="L1198" s="2721"/>
      <c r="M1198" s="2721"/>
      <c r="N1198" s="2721"/>
      <c r="Q1198" s="2717"/>
      <c r="R1198" s="2717"/>
      <c r="S1198" s="2719"/>
      <c r="T1198" s="2717"/>
      <c r="U1198" s="2717"/>
      <c r="V1198" s="2717"/>
    </row>
    <row r="1199" spans="2:22" s="2713" customFormat="1" ht="14.1" customHeight="1" x14ac:dyDescent="0.2">
      <c r="B1199" s="2711"/>
      <c r="C1199" s="2524"/>
      <c r="D1199" s="3427" t="s">
        <v>280</v>
      </c>
      <c r="E1199" s="3428"/>
      <c r="F1199" s="2722"/>
      <c r="G1199" s="3433" t="s">
        <v>281</v>
      </c>
      <c r="H1199" s="3433" t="s">
        <v>282</v>
      </c>
      <c r="I1199" s="2524" t="s">
        <v>283</v>
      </c>
      <c r="J1199" s="2524" t="s">
        <v>284</v>
      </c>
      <c r="K1199" s="2524" t="s">
        <v>340</v>
      </c>
      <c r="L1199" s="2524" t="s">
        <v>2008</v>
      </c>
      <c r="M1199" s="2524" t="s">
        <v>2009</v>
      </c>
      <c r="N1199" s="2524" t="s">
        <v>284</v>
      </c>
      <c r="Q1199" s="2717"/>
      <c r="R1199" s="2717"/>
      <c r="S1199" s="2719"/>
      <c r="T1199" s="2717"/>
      <c r="U1199" s="2717"/>
      <c r="V1199" s="2717"/>
    </row>
    <row r="1200" spans="2:22" s="2713" customFormat="1" ht="14.1" customHeight="1" x14ac:dyDescent="0.2">
      <c r="B1200" s="2711"/>
      <c r="C1200" s="2528" t="s">
        <v>669</v>
      </c>
      <c r="D1200" s="3429"/>
      <c r="E1200" s="3430"/>
      <c r="F1200" s="2723"/>
      <c r="G1200" s="3434"/>
      <c r="H1200" s="3434"/>
      <c r="I1200" s="2528" t="s">
        <v>285</v>
      </c>
      <c r="J1200" s="2528" t="s">
        <v>286</v>
      </c>
      <c r="K1200" s="2528" t="s">
        <v>286</v>
      </c>
      <c r="L1200" s="2528" t="s">
        <v>2011</v>
      </c>
      <c r="M1200" s="2528"/>
      <c r="N1200" s="2528" t="s">
        <v>2013</v>
      </c>
      <c r="Q1200" s="2717"/>
      <c r="R1200" s="2717"/>
      <c r="S1200" s="2719"/>
      <c r="T1200" s="2717"/>
      <c r="U1200" s="2717"/>
      <c r="V1200" s="2717"/>
    </row>
    <row r="1201" spans="2:22" s="2713" customFormat="1" ht="14.1" customHeight="1" x14ac:dyDescent="0.2">
      <c r="B1201" s="2711"/>
      <c r="C1201" s="2537"/>
      <c r="D1201" s="3431"/>
      <c r="E1201" s="3432"/>
      <c r="F1201" s="2724"/>
      <c r="G1201" s="3435"/>
      <c r="H1201" s="3435"/>
      <c r="I1201" s="2537" t="s">
        <v>286</v>
      </c>
      <c r="J1201" s="2536"/>
      <c r="K1201" s="2536"/>
      <c r="L1201" s="2536"/>
      <c r="M1201" s="2536"/>
      <c r="N1201" s="2537" t="s">
        <v>286</v>
      </c>
      <c r="Q1201" s="2717"/>
      <c r="R1201" s="2717"/>
      <c r="S1201" s="2719"/>
      <c r="T1201" s="2717"/>
      <c r="U1201" s="2717"/>
      <c r="V1201" s="2717"/>
    </row>
    <row r="1202" spans="2:22" s="2713" customFormat="1" ht="14.1" customHeight="1" x14ac:dyDescent="0.2">
      <c r="B1202" s="2711"/>
      <c r="C1202" s="2524" t="s">
        <v>607</v>
      </c>
      <c r="D1202" s="2725" t="s">
        <v>287</v>
      </c>
      <c r="E1202" s="2726" t="s">
        <v>385</v>
      </c>
      <c r="F1202" s="2726"/>
      <c r="G1202" s="2727" t="s">
        <v>309</v>
      </c>
      <c r="H1202" s="2728">
        <v>1.2</v>
      </c>
      <c r="I1202" s="2729">
        <f>'Upah &amp; Bahan'!$I$131/4</f>
        <v>82250</v>
      </c>
      <c r="J1202" s="2729">
        <f>ROUND(H1202*I1202,2)</f>
        <v>98700</v>
      </c>
      <c r="K1202" s="2730"/>
      <c r="L1202" s="2731">
        <v>0.94769999999999999</v>
      </c>
      <c r="M1202" s="2732" t="s">
        <v>2029</v>
      </c>
      <c r="N1202" s="2729">
        <f t="shared" ref="N1202:N1211" si="100">L1202*J1202</f>
        <v>93537.99</v>
      </c>
      <c r="Q1202" s="2717"/>
      <c r="R1202" s="2717"/>
      <c r="S1202" s="2719"/>
      <c r="T1202" s="2717"/>
      <c r="U1202" s="2717"/>
      <c r="V1202" s="2717"/>
    </row>
    <row r="1203" spans="2:22" s="2713" customFormat="1" ht="14.1" customHeight="1" x14ac:dyDescent="0.2">
      <c r="B1203" s="2711"/>
      <c r="C1203" s="2528"/>
      <c r="D1203" s="2733"/>
      <c r="E1203" s="2726" t="s">
        <v>375</v>
      </c>
      <c r="F1203" s="2726"/>
      <c r="G1203" s="2727" t="s">
        <v>268</v>
      </c>
      <c r="H1203" s="2728">
        <v>1</v>
      </c>
      <c r="I1203" s="2729">
        <f>I1202*0.35</f>
        <v>28787.499999999996</v>
      </c>
      <c r="J1203" s="2729">
        <f>ROUND(H1203*I1203,2)</f>
        <v>28787.5</v>
      </c>
      <c r="K1203" s="2735"/>
      <c r="L1203" s="2731">
        <v>0.75</v>
      </c>
      <c r="M1203" s="2732" t="s">
        <v>2030</v>
      </c>
      <c r="N1203" s="2729">
        <f t="shared" si="100"/>
        <v>21590.625</v>
      </c>
      <c r="Q1203" s="2717"/>
      <c r="R1203" s="2717"/>
      <c r="S1203" s="2719"/>
      <c r="T1203" s="2717"/>
      <c r="U1203" s="2717"/>
      <c r="V1203" s="2717"/>
    </row>
    <row r="1204" spans="2:22" s="2713" customFormat="1" ht="14.1" customHeight="1" x14ac:dyDescent="0.2">
      <c r="B1204" s="2711"/>
      <c r="C1204" s="2537"/>
      <c r="D1204" s="2733"/>
      <c r="E1204" s="2984" t="s">
        <v>407</v>
      </c>
      <c r="F1204" s="2985"/>
      <c r="G1204" s="2742"/>
      <c r="H1204" s="2986"/>
      <c r="I1204" s="2842"/>
      <c r="J1204" s="2813"/>
      <c r="K1204" s="2729">
        <f>SUM(J1202:J1203)</f>
        <v>127487.5</v>
      </c>
      <c r="L1204" s="2731"/>
      <c r="M1204" s="2732"/>
      <c r="N1204" s="2729">
        <f t="shared" si="100"/>
        <v>0</v>
      </c>
      <c r="Q1204" s="2717"/>
      <c r="R1204" s="2717"/>
      <c r="S1204" s="2719"/>
      <c r="T1204" s="2717"/>
      <c r="U1204" s="2717"/>
      <c r="V1204" s="2717"/>
    </row>
    <row r="1205" spans="2:22" s="2713" customFormat="1" ht="14.1" customHeight="1" x14ac:dyDescent="0.2">
      <c r="B1205" s="2711"/>
      <c r="C1205" s="2524" t="s">
        <v>608</v>
      </c>
      <c r="D1205" s="2725" t="s">
        <v>288</v>
      </c>
      <c r="E1205" s="2726" t="s">
        <v>289</v>
      </c>
      <c r="F1205" s="2726"/>
      <c r="G1205" s="2727" t="s">
        <v>291</v>
      </c>
      <c r="H1205" s="2728">
        <v>8.1000000000000003E-2</v>
      </c>
      <c r="I1205" s="2729">
        <f>'Upah &amp; Bahan'!$I$24</f>
        <v>88300</v>
      </c>
      <c r="J1205" s="2729">
        <f>ROUND(H1205*I1205,2)</f>
        <v>7152.3</v>
      </c>
      <c r="K1205" s="2730"/>
      <c r="L1205" s="2731">
        <f t="shared" ref="L1205:L1208" si="101">VLOOKUP($E1205,$D$1744:$G$1761,2,0)</f>
        <v>1</v>
      </c>
      <c r="M1205" s="2731" t="str">
        <f t="shared" ref="M1205:M1208" si="102">VLOOKUP($E1205,$D$1744:$G$1761,3,0)</f>
        <v>WNI</v>
      </c>
      <c r="N1205" s="2729">
        <f t="shared" si="100"/>
        <v>7152.3</v>
      </c>
      <c r="Q1205" s="2717"/>
      <c r="R1205" s="2717"/>
      <c r="S1205" s="2719"/>
      <c r="T1205" s="2717"/>
      <c r="U1205" s="2717"/>
      <c r="V1205" s="2717"/>
    </row>
    <row r="1206" spans="2:22" s="2713" customFormat="1" ht="14.1" customHeight="1" x14ac:dyDescent="0.2">
      <c r="B1206" s="2711"/>
      <c r="C1206" s="2528"/>
      <c r="D1206" s="2733"/>
      <c r="E1206" s="2726" t="s">
        <v>370</v>
      </c>
      <c r="F1206" s="2726"/>
      <c r="G1206" s="2727" t="s">
        <v>291</v>
      </c>
      <c r="H1206" s="2728">
        <v>0.13500000000000001</v>
      </c>
      <c r="I1206" s="2729">
        <f>'Upah &amp; Bahan'!$I$32</f>
        <v>90000</v>
      </c>
      <c r="J1206" s="2729">
        <f>ROUND(H1206*I1206,2)</f>
        <v>12150</v>
      </c>
      <c r="K1206" s="2734"/>
      <c r="L1206" s="2731">
        <f t="shared" si="101"/>
        <v>1</v>
      </c>
      <c r="M1206" s="2731" t="str">
        <f t="shared" si="102"/>
        <v>WNI</v>
      </c>
      <c r="N1206" s="2729">
        <f t="shared" si="100"/>
        <v>12150</v>
      </c>
      <c r="Q1206" s="2717"/>
      <c r="R1206" s="2717"/>
      <c r="S1206" s="2719"/>
      <c r="T1206" s="2717"/>
      <c r="U1206" s="2717"/>
      <c r="V1206" s="2717"/>
    </row>
    <row r="1207" spans="2:22" s="2713" customFormat="1" ht="14.1" customHeight="1" x14ac:dyDescent="0.2">
      <c r="B1207" s="2711"/>
      <c r="C1207" s="2528"/>
      <c r="D1207" s="2733"/>
      <c r="E1207" s="2726" t="s">
        <v>716</v>
      </c>
      <c r="F1207" s="2726"/>
      <c r="G1207" s="2727" t="s">
        <v>291</v>
      </c>
      <c r="H1207" s="2988">
        <v>1.35E-2</v>
      </c>
      <c r="I1207" s="2729">
        <f>'Upah &amp; Bahan'!$I$26</f>
        <v>96000</v>
      </c>
      <c r="J1207" s="2729">
        <f>ROUND(H1207*I1207,2)</f>
        <v>1296</v>
      </c>
      <c r="K1207" s="2734"/>
      <c r="L1207" s="2731">
        <f t="shared" si="101"/>
        <v>1</v>
      </c>
      <c r="M1207" s="2731" t="str">
        <f t="shared" si="102"/>
        <v>WNI</v>
      </c>
      <c r="N1207" s="2729">
        <f t="shared" si="100"/>
        <v>1296</v>
      </c>
      <c r="Q1207" s="2717"/>
      <c r="R1207" s="2717"/>
      <c r="S1207" s="2719"/>
      <c r="T1207" s="2717"/>
      <c r="U1207" s="2717"/>
      <c r="V1207" s="2717"/>
    </row>
    <row r="1208" spans="2:22" s="2713" customFormat="1" ht="14.1" customHeight="1" x14ac:dyDescent="0.2">
      <c r="B1208" s="2711"/>
      <c r="C1208" s="2528"/>
      <c r="D1208" s="2733"/>
      <c r="E1208" s="2726" t="s">
        <v>290</v>
      </c>
      <c r="F1208" s="2726"/>
      <c r="G1208" s="2727" t="s">
        <v>291</v>
      </c>
      <c r="H1208" s="2728">
        <v>4.0000000000000001E-3</v>
      </c>
      <c r="I1208" s="2729">
        <f>'Upah &amp; Bahan'!$I$31</f>
        <v>90000</v>
      </c>
      <c r="J1208" s="2729">
        <f>ROUND(H1208*I1208,2)</f>
        <v>360</v>
      </c>
      <c r="K1208" s="2733"/>
      <c r="L1208" s="2731">
        <f t="shared" si="101"/>
        <v>1</v>
      </c>
      <c r="M1208" s="2731" t="str">
        <f t="shared" si="102"/>
        <v>WNI</v>
      </c>
      <c r="N1208" s="2729">
        <f t="shared" si="100"/>
        <v>360</v>
      </c>
      <c r="Q1208" s="2717"/>
      <c r="R1208" s="2717"/>
      <c r="S1208" s="2719"/>
      <c r="T1208" s="2717"/>
      <c r="U1208" s="2717"/>
      <c r="V1208" s="2717"/>
    </row>
    <row r="1209" spans="2:22" s="2713" customFormat="1" ht="14.1" customHeight="1" x14ac:dyDescent="0.2">
      <c r="B1209" s="2711"/>
      <c r="C1209" s="2537"/>
      <c r="D1209" s="2536"/>
      <c r="E1209" s="2736"/>
      <c r="F1209" s="2741"/>
      <c r="G1209" s="2742"/>
      <c r="H1209" s="2743"/>
      <c r="I1209" s="2842"/>
      <c r="J1209" s="2813"/>
      <c r="K1209" s="2732">
        <f>SUM(J1205:J1208)</f>
        <v>20958.3</v>
      </c>
      <c r="L1209" s="2731"/>
      <c r="M1209" s="2732"/>
      <c r="N1209" s="2729">
        <f t="shared" si="100"/>
        <v>0</v>
      </c>
      <c r="Q1209" s="2717"/>
      <c r="R1209" s="2717"/>
      <c r="S1209" s="2719"/>
      <c r="T1209" s="2717"/>
      <c r="U1209" s="2717"/>
      <c r="V1209" s="2717"/>
    </row>
    <row r="1210" spans="2:22" s="2721" customFormat="1" ht="14.1" customHeight="1" x14ac:dyDescent="0.2">
      <c r="B1210" s="2711"/>
      <c r="C1210" s="2524" t="s">
        <v>609</v>
      </c>
      <c r="D1210" s="2725" t="s">
        <v>606</v>
      </c>
      <c r="E1210" s="2739"/>
      <c r="F1210" s="2739"/>
      <c r="G1210" s="2727"/>
      <c r="H1210" s="2740"/>
      <c r="I1210" s="2814"/>
      <c r="J1210" s="2729"/>
      <c r="K1210" s="2730"/>
      <c r="L1210" s="2731"/>
      <c r="M1210" s="2732"/>
      <c r="N1210" s="2729">
        <f t="shared" si="100"/>
        <v>0</v>
      </c>
      <c r="Q1210" s="2717"/>
      <c r="R1210" s="2717"/>
      <c r="S1210" s="2719"/>
      <c r="T1210" s="2717"/>
      <c r="U1210" s="2717"/>
      <c r="V1210" s="2717"/>
    </row>
    <row r="1211" spans="2:22" s="2721" customFormat="1" ht="14.1" customHeight="1" x14ac:dyDescent="0.2">
      <c r="B1211" s="2711"/>
      <c r="C1211" s="2537"/>
      <c r="D1211" s="2536"/>
      <c r="E1211" s="2736"/>
      <c r="F1211" s="2741"/>
      <c r="G1211" s="2742"/>
      <c r="H1211" s="2743"/>
      <c r="I1211" s="2744"/>
      <c r="J1211" s="2813"/>
      <c r="K1211" s="2732">
        <f>SUM(J1210:J1210)</f>
        <v>0</v>
      </c>
      <c r="L1211" s="2731"/>
      <c r="M1211" s="2732"/>
      <c r="N1211" s="2729">
        <f t="shared" si="100"/>
        <v>0</v>
      </c>
      <c r="Q1211" s="2717"/>
      <c r="R1211" s="2717"/>
      <c r="S1211" s="2719"/>
      <c r="T1211" s="2717"/>
      <c r="U1211" s="2717"/>
      <c r="V1211" s="2717"/>
    </row>
    <row r="1212" spans="2:22" s="2721" customFormat="1" ht="14.1" customHeight="1" x14ac:dyDescent="0.2">
      <c r="B1212" s="2711"/>
      <c r="C1212" s="2727" t="s">
        <v>610</v>
      </c>
      <c r="D1212" s="2738" t="s">
        <v>651</v>
      </c>
      <c r="E1212" s="2741"/>
      <c r="F1212" s="2741"/>
      <c r="G1212" s="2742"/>
      <c r="H1212" s="2743"/>
      <c r="I1212" s="2744"/>
      <c r="J1212" s="2745" t="s">
        <v>652</v>
      </c>
      <c r="K1212" s="2732">
        <f>K1204+K1209+K1211</f>
        <v>148445.79999999999</v>
      </c>
      <c r="L1212" s="2746">
        <f>N1212/K1212</f>
        <v>0.91674479843821799</v>
      </c>
      <c r="M1212" s="2745"/>
      <c r="N1212" s="2747">
        <f>SUM(N1201:N1211)</f>
        <v>136086.91500000001</v>
      </c>
      <c r="Q1212" s="2717"/>
      <c r="R1212" s="2717"/>
      <c r="S1212" s="2719"/>
      <c r="T1212" s="2717"/>
      <c r="U1212" s="2717"/>
      <c r="V1212" s="2717"/>
    </row>
    <row r="1213" spans="2:22" s="2721" customFormat="1" ht="14.1" customHeight="1" x14ac:dyDescent="0.2">
      <c r="B1213" s="2711"/>
      <c r="C1213" s="2727" t="s">
        <v>611</v>
      </c>
      <c r="D1213" s="2738" t="s">
        <v>653</v>
      </c>
      <c r="E1213" s="2741"/>
      <c r="F1213" s="2748">
        <f>$F$42</f>
        <v>0.1</v>
      </c>
      <c r="G1213" s="2727" t="s">
        <v>425</v>
      </c>
      <c r="H1213" s="2748">
        <f>$H$42</f>
        <v>0.03</v>
      </c>
      <c r="I1213" s="2749" t="s">
        <v>424</v>
      </c>
      <c r="J1213" s="2732" t="s">
        <v>610</v>
      </c>
      <c r="K1213" s="2750">
        <f>ROUND((K1212*(F1213+H1213)),2)</f>
        <v>19297.95</v>
      </c>
      <c r="L1213" s="2732"/>
      <c r="M1213" s="2732"/>
      <c r="N1213" s="2732"/>
      <c r="Q1213" s="2717"/>
      <c r="R1213" s="2717"/>
      <c r="S1213" s="2719"/>
      <c r="T1213" s="2717"/>
      <c r="U1213" s="2717"/>
      <c r="V1213" s="2717"/>
    </row>
    <row r="1214" spans="2:22" s="2713" customFormat="1" ht="14.1" customHeight="1" x14ac:dyDescent="0.2">
      <c r="B1214" s="2711"/>
      <c r="C1214" s="2880" t="s">
        <v>654</v>
      </c>
      <c r="D1214" s="2752" t="s">
        <v>301</v>
      </c>
      <c r="E1214" s="2815"/>
      <c r="F1214" s="2815"/>
      <c r="G1214" s="2815"/>
      <c r="H1214" s="2816"/>
      <c r="I1214" s="2815"/>
      <c r="J1214" s="2755" t="s">
        <v>668</v>
      </c>
      <c r="K1214" s="2756">
        <f>SUM(K1212:K1213)</f>
        <v>167743.75</v>
      </c>
      <c r="L1214" s="2746"/>
      <c r="M1214" s="2755"/>
      <c r="N1214" s="2757"/>
      <c r="Q1214" s="2717"/>
      <c r="R1214" s="2717"/>
      <c r="S1214" s="2719"/>
      <c r="T1214" s="2717"/>
      <c r="U1214" s="2717"/>
      <c r="V1214" s="2717"/>
    </row>
    <row r="1215" spans="2:22" x14ac:dyDescent="0.25">
      <c r="Q1215" s="2717"/>
      <c r="R1215" s="2717"/>
      <c r="S1215" s="2719"/>
      <c r="T1215" s="2717"/>
      <c r="U1215" s="2717"/>
      <c r="V1215" s="2717"/>
    </row>
    <row r="1216" spans="2:22" s="2721" customFormat="1" ht="14.1" customHeight="1" x14ac:dyDescent="0.2">
      <c r="B1216" s="2711">
        <f>B1197+1</f>
        <v>61</v>
      </c>
      <c r="C1216" s="2711"/>
      <c r="D1216" s="2712" t="s">
        <v>1639</v>
      </c>
      <c r="E1216" s="2713"/>
      <c r="F1216" s="2713"/>
      <c r="G1216" s="2713"/>
      <c r="H1216" s="2714"/>
      <c r="I1216" s="2713"/>
      <c r="J1216" s="2713"/>
      <c r="K1216" s="2715" t="s">
        <v>1640</v>
      </c>
      <c r="L1216" s="2715"/>
      <c r="M1216" s="2715"/>
      <c r="N1216" s="2715"/>
      <c r="O1216" s="2721" t="str">
        <f>D1217</f>
        <v>m'</v>
      </c>
      <c r="P1216" s="2810">
        <f>K1233</f>
        <v>93651.35</v>
      </c>
      <c r="Q1216" s="2718">
        <f>L1231</f>
        <v>0.92747833242637001</v>
      </c>
      <c r="R1216" s="2717"/>
      <c r="S1216" s="2719">
        <f>N1231</f>
        <v>76866.899999999994</v>
      </c>
      <c r="T1216" s="2515">
        <f>U1216+S1216</f>
        <v>86859.596999999994</v>
      </c>
      <c r="U1216" s="2719">
        <f>S1216*V1216</f>
        <v>9992.6970000000001</v>
      </c>
      <c r="V1216" s="2718">
        <f>$F$42+$H$42</f>
        <v>0.13</v>
      </c>
    </row>
    <row r="1217" spans="2:22" s="2721" customFormat="1" ht="14.1" customHeight="1" x14ac:dyDescent="0.2">
      <c r="B1217" s="2711"/>
      <c r="C1217" s="2711"/>
      <c r="D1217" s="2721" t="s">
        <v>247</v>
      </c>
      <c r="H1217" s="2711"/>
      <c r="Q1217" s="2717"/>
      <c r="R1217" s="2717"/>
      <c r="S1217" s="2719"/>
      <c r="T1217" s="2717"/>
      <c r="U1217" s="2717"/>
      <c r="V1217" s="2717"/>
    </row>
    <row r="1218" spans="2:22" s="2721" customFormat="1" ht="14.1" customHeight="1" x14ac:dyDescent="0.2">
      <c r="B1218" s="2711"/>
      <c r="C1218" s="2524"/>
      <c r="D1218" s="3427" t="s">
        <v>280</v>
      </c>
      <c r="E1218" s="3428"/>
      <c r="F1218" s="2722"/>
      <c r="G1218" s="3433" t="s">
        <v>281</v>
      </c>
      <c r="H1218" s="3433" t="s">
        <v>282</v>
      </c>
      <c r="I1218" s="2524" t="s">
        <v>283</v>
      </c>
      <c r="J1218" s="2524" t="s">
        <v>284</v>
      </c>
      <c r="K1218" s="2524" t="s">
        <v>340</v>
      </c>
      <c r="L1218" s="2524" t="s">
        <v>2008</v>
      </c>
      <c r="M1218" s="2524" t="s">
        <v>2009</v>
      </c>
      <c r="N1218" s="2524" t="s">
        <v>284</v>
      </c>
      <c r="Q1218" s="2717"/>
      <c r="R1218" s="2717"/>
      <c r="S1218" s="2719"/>
      <c r="T1218" s="2717"/>
      <c r="U1218" s="2717"/>
      <c r="V1218" s="2717"/>
    </row>
    <row r="1219" spans="2:22" s="2721" customFormat="1" ht="14.1" customHeight="1" x14ac:dyDescent="0.2">
      <c r="B1219" s="2711"/>
      <c r="C1219" s="2528" t="s">
        <v>669</v>
      </c>
      <c r="D1219" s="3429"/>
      <c r="E1219" s="3430"/>
      <c r="F1219" s="2723"/>
      <c r="G1219" s="3434"/>
      <c r="H1219" s="3434"/>
      <c r="I1219" s="2528" t="s">
        <v>285</v>
      </c>
      <c r="J1219" s="2528" t="s">
        <v>286</v>
      </c>
      <c r="K1219" s="2528" t="s">
        <v>286</v>
      </c>
      <c r="L1219" s="2528" t="s">
        <v>2011</v>
      </c>
      <c r="M1219" s="2528"/>
      <c r="N1219" s="2528" t="s">
        <v>2013</v>
      </c>
      <c r="Q1219" s="2717"/>
      <c r="R1219" s="2717"/>
      <c r="S1219" s="2719"/>
      <c r="T1219" s="2717"/>
      <c r="U1219" s="2717"/>
      <c r="V1219" s="2717"/>
    </row>
    <row r="1220" spans="2:22" s="2721" customFormat="1" ht="14.1" customHeight="1" x14ac:dyDescent="0.2">
      <c r="B1220" s="2711"/>
      <c r="C1220" s="2537"/>
      <c r="D1220" s="3431"/>
      <c r="E1220" s="3432"/>
      <c r="F1220" s="2724"/>
      <c r="G1220" s="3435"/>
      <c r="H1220" s="3435"/>
      <c r="I1220" s="2537" t="s">
        <v>286</v>
      </c>
      <c r="J1220" s="2536"/>
      <c r="K1220" s="2536"/>
      <c r="L1220" s="2536"/>
      <c r="M1220" s="2536"/>
      <c r="N1220" s="2537" t="s">
        <v>286</v>
      </c>
      <c r="Q1220" s="2717"/>
      <c r="R1220" s="2717"/>
      <c r="S1220" s="2719"/>
      <c r="T1220" s="2717"/>
      <c r="U1220" s="2717"/>
      <c r="V1220" s="2717"/>
    </row>
    <row r="1221" spans="2:22" s="2721" customFormat="1" ht="14.1" customHeight="1" x14ac:dyDescent="0.2">
      <c r="B1221" s="2711"/>
      <c r="C1221" s="2524" t="s">
        <v>607</v>
      </c>
      <c r="D1221" s="2725" t="s">
        <v>287</v>
      </c>
      <c r="E1221" s="2726" t="s">
        <v>1641</v>
      </c>
      <c r="F1221" s="2726"/>
      <c r="G1221" s="2727" t="s">
        <v>309</v>
      </c>
      <c r="H1221" s="2728">
        <v>1.2</v>
      </c>
      <c r="I1221" s="2729">
        <f>'Upah &amp; Bahan'!I132/4</f>
        <v>40000</v>
      </c>
      <c r="J1221" s="2729">
        <f>ROUND(H1221*I1221,2)</f>
        <v>48000</v>
      </c>
      <c r="K1221" s="2730"/>
      <c r="L1221" s="2731">
        <v>0.94769999999999999</v>
      </c>
      <c r="M1221" s="2732" t="s">
        <v>2029</v>
      </c>
      <c r="N1221" s="2729">
        <f t="shared" ref="N1221:N1230" si="103">L1221*J1221</f>
        <v>45489.599999999999</v>
      </c>
      <c r="Q1221" s="2717"/>
      <c r="R1221" s="2717"/>
      <c r="S1221" s="2719"/>
      <c r="T1221" s="2717"/>
      <c r="U1221" s="2717"/>
      <c r="V1221" s="2717"/>
    </row>
    <row r="1222" spans="2:22" s="2721" customFormat="1" ht="14.1" customHeight="1" x14ac:dyDescent="0.2">
      <c r="B1222" s="2711"/>
      <c r="C1222" s="2528"/>
      <c r="D1222" s="2733"/>
      <c r="E1222" s="2726" t="s">
        <v>375</v>
      </c>
      <c r="F1222" s="2726"/>
      <c r="G1222" s="2727" t="s">
        <v>268</v>
      </c>
      <c r="H1222" s="2728">
        <v>1</v>
      </c>
      <c r="I1222" s="2729">
        <f>I1221*0.35</f>
        <v>14000</v>
      </c>
      <c r="J1222" s="2729">
        <f>ROUND(H1222*I1222,2)</f>
        <v>14000</v>
      </c>
      <c r="K1222" s="2735"/>
      <c r="L1222" s="2731">
        <v>0.75</v>
      </c>
      <c r="M1222" s="2732" t="s">
        <v>2030</v>
      </c>
      <c r="N1222" s="2729">
        <f t="shared" si="103"/>
        <v>10500</v>
      </c>
      <c r="Q1222" s="2717"/>
      <c r="R1222" s="2717"/>
      <c r="S1222" s="2719"/>
      <c r="T1222" s="2717"/>
      <c r="U1222" s="2717"/>
      <c r="V1222" s="2717"/>
    </row>
    <row r="1223" spans="2:22" s="2721" customFormat="1" ht="14.1" customHeight="1" x14ac:dyDescent="0.2">
      <c r="B1223" s="2711"/>
      <c r="C1223" s="2537"/>
      <c r="D1223" s="2733"/>
      <c r="E1223" s="2984" t="s">
        <v>407</v>
      </c>
      <c r="F1223" s="2985"/>
      <c r="G1223" s="2742"/>
      <c r="H1223" s="2986"/>
      <c r="I1223" s="2842"/>
      <c r="J1223" s="2813"/>
      <c r="K1223" s="2729">
        <f>SUM(J1221:J1222)</f>
        <v>62000</v>
      </c>
      <c r="L1223" s="2731"/>
      <c r="M1223" s="2732"/>
      <c r="N1223" s="2729">
        <f t="shared" si="103"/>
        <v>0</v>
      </c>
      <c r="Q1223" s="2717"/>
      <c r="R1223" s="2717"/>
      <c r="S1223" s="2719"/>
      <c r="T1223" s="2717"/>
      <c r="U1223" s="2717"/>
      <c r="V1223" s="2717"/>
    </row>
    <row r="1224" spans="2:22" s="2721" customFormat="1" ht="14.1" customHeight="1" x14ac:dyDescent="0.2">
      <c r="B1224" s="2711"/>
      <c r="C1224" s="2524" t="s">
        <v>608</v>
      </c>
      <c r="D1224" s="2725" t="s">
        <v>288</v>
      </c>
      <c r="E1224" s="2726" t="s">
        <v>289</v>
      </c>
      <c r="F1224" s="2726"/>
      <c r="G1224" s="2727" t="s">
        <v>291</v>
      </c>
      <c r="H1224" s="2728">
        <v>8.1000000000000003E-2</v>
      </c>
      <c r="I1224" s="2729">
        <f>'Upah &amp; Bahan'!$I$24</f>
        <v>88300</v>
      </c>
      <c r="J1224" s="2729">
        <f>ROUND(H1224*I1224,2)</f>
        <v>7152.3</v>
      </c>
      <c r="K1224" s="2730"/>
      <c r="L1224" s="2731">
        <f t="shared" ref="L1224:L1227" si="104">VLOOKUP($E1224,$D$1744:$G$1761,2,0)</f>
        <v>1</v>
      </c>
      <c r="M1224" s="2731" t="str">
        <f t="shared" ref="M1224:M1227" si="105">VLOOKUP($E1224,$D$1744:$G$1761,3,0)</f>
        <v>WNI</v>
      </c>
      <c r="N1224" s="2729">
        <f t="shared" si="103"/>
        <v>7152.3</v>
      </c>
      <c r="Q1224" s="2717"/>
      <c r="R1224" s="2717"/>
      <c r="S1224" s="2719"/>
      <c r="T1224" s="2717"/>
      <c r="U1224" s="2717"/>
      <c r="V1224" s="2717"/>
    </row>
    <row r="1225" spans="2:22" s="2721" customFormat="1" ht="14.1" customHeight="1" x14ac:dyDescent="0.2">
      <c r="B1225" s="2711"/>
      <c r="C1225" s="2528"/>
      <c r="D1225" s="2733"/>
      <c r="E1225" s="2726" t="s">
        <v>370</v>
      </c>
      <c r="F1225" s="2726"/>
      <c r="G1225" s="2727" t="s">
        <v>291</v>
      </c>
      <c r="H1225" s="2728">
        <v>0.13500000000000001</v>
      </c>
      <c r="I1225" s="2729">
        <f>'Upah &amp; Bahan'!$I$32</f>
        <v>90000</v>
      </c>
      <c r="J1225" s="2729">
        <f>ROUND(H1225*I1225,2)</f>
        <v>12150</v>
      </c>
      <c r="K1225" s="2734"/>
      <c r="L1225" s="2731">
        <f t="shared" si="104"/>
        <v>1</v>
      </c>
      <c r="M1225" s="2731" t="str">
        <f t="shared" si="105"/>
        <v>WNI</v>
      </c>
      <c r="N1225" s="2729">
        <f t="shared" si="103"/>
        <v>12150</v>
      </c>
      <c r="Q1225" s="2717"/>
      <c r="R1225" s="2717"/>
      <c r="S1225" s="2719"/>
      <c r="T1225" s="2717"/>
      <c r="U1225" s="2717"/>
      <c r="V1225" s="2717"/>
    </row>
    <row r="1226" spans="2:22" s="2721" customFormat="1" ht="14.1" customHeight="1" x14ac:dyDescent="0.2">
      <c r="B1226" s="2711"/>
      <c r="C1226" s="2528"/>
      <c r="D1226" s="2733"/>
      <c r="E1226" s="2726" t="s">
        <v>716</v>
      </c>
      <c r="F1226" s="2726"/>
      <c r="G1226" s="2727" t="s">
        <v>291</v>
      </c>
      <c r="H1226" s="2988">
        <v>1.35E-2</v>
      </c>
      <c r="I1226" s="2729">
        <f>'Upah &amp; Bahan'!$I$32</f>
        <v>90000</v>
      </c>
      <c r="J1226" s="2729">
        <f>ROUND(H1226*I1226,2)</f>
        <v>1215</v>
      </c>
      <c r="K1226" s="2734"/>
      <c r="L1226" s="2731">
        <f t="shared" si="104"/>
        <v>1</v>
      </c>
      <c r="M1226" s="2731" t="str">
        <f t="shared" si="105"/>
        <v>WNI</v>
      </c>
      <c r="N1226" s="2729">
        <f t="shared" si="103"/>
        <v>1215</v>
      </c>
      <c r="Q1226" s="2717"/>
      <c r="R1226" s="2717"/>
      <c r="S1226" s="2719"/>
      <c r="T1226" s="2717"/>
      <c r="U1226" s="2717"/>
      <c r="V1226" s="2717"/>
    </row>
    <row r="1227" spans="2:22" s="2721" customFormat="1" ht="14.1" customHeight="1" x14ac:dyDescent="0.2">
      <c r="B1227" s="2711"/>
      <c r="C1227" s="2528"/>
      <c r="D1227" s="2733"/>
      <c r="E1227" s="2726" t="s">
        <v>290</v>
      </c>
      <c r="F1227" s="2726"/>
      <c r="G1227" s="2727" t="s">
        <v>291</v>
      </c>
      <c r="H1227" s="2728">
        <v>4.0000000000000001E-3</v>
      </c>
      <c r="I1227" s="2729">
        <f>'Upah &amp; Bahan'!$I$31</f>
        <v>90000</v>
      </c>
      <c r="J1227" s="2729">
        <f>ROUND(H1227*I1227,2)</f>
        <v>360</v>
      </c>
      <c r="K1227" s="2733"/>
      <c r="L1227" s="2731">
        <f t="shared" si="104"/>
        <v>1</v>
      </c>
      <c r="M1227" s="2731" t="str">
        <f t="shared" si="105"/>
        <v>WNI</v>
      </c>
      <c r="N1227" s="2729">
        <f t="shared" si="103"/>
        <v>360</v>
      </c>
      <c r="Q1227" s="2717"/>
      <c r="R1227" s="2717"/>
      <c r="S1227" s="2719"/>
      <c r="T1227" s="2717"/>
      <c r="U1227" s="2717"/>
      <c r="V1227" s="2717"/>
    </row>
    <row r="1228" spans="2:22" s="2721" customFormat="1" ht="14.1" customHeight="1" x14ac:dyDescent="0.2">
      <c r="B1228" s="2711"/>
      <c r="C1228" s="2537"/>
      <c r="D1228" s="2536"/>
      <c r="E1228" s="2736"/>
      <c r="F1228" s="2741"/>
      <c r="G1228" s="2742"/>
      <c r="H1228" s="2743"/>
      <c r="I1228" s="2842"/>
      <c r="J1228" s="2813"/>
      <c r="K1228" s="2732">
        <f>SUM(J1224:J1227)</f>
        <v>20877.3</v>
      </c>
      <c r="L1228" s="2731"/>
      <c r="M1228" s="2732"/>
      <c r="N1228" s="2729">
        <f t="shared" si="103"/>
        <v>0</v>
      </c>
      <c r="Q1228" s="2717"/>
      <c r="R1228" s="2717"/>
      <c r="S1228" s="2719"/>
      <c r="T1228" s="2717"/>
      <c r="U1228" s="2717"/>
      <c r="V1228" s="2717"/>
    </row>
    <row r="1229" spans="2:22" s="2721" customFormat="1" ht="14.1" customHeight="1" x14ac:dyDescent="0.2">
      <c r="B1229" s="2711"/>
      <c r="C1229" s="2524" t="s">
        <v>609</v>
      </c>
      <c r="D1229" s="2725" t="s">
        <v>606</v>
      </c>
      <c r="E1229" s="2739"/>
      <c r="F1229" s="2739"/>
      <c r="G1229" s="2727"/>
      <c r="H1229" s="2740"/>
      <c r="I1229" s="2814"/>
      <c r="J1229" s="2729"/>
      <c r="K1229" s="2730"/>
      <c r="L1229" s="2731"/>
      <c r="M1229" s="2732"/>
      <c r="N1229" s="2729">
        <f t="shared" si="103"/>
        <v>0</v>
      </c>
      <c r="Q1229" s="2717"/>
      <c r="R1229" s="2717"/>
      <c r="S1229" s="2719"/>
      <c r="T1229" s="2717"/>
      <c r="U1229" s="2717"/>
      <c r="V1229" s="2717"/>
    </row>
    <row r="1230" spans="2:22" s="2721" customFormat="1" ht="14.1" customHeight="1" x14ac:dyDescent="0.2">
      <c r="B1230" s="2711"/>
      <c r="C1230" s="2537"/>
      <c r="D1230" s="2536"/>
      <c r="E1230" s="2736"/>
      <c r="F1230" s="2741"/>
      <c r="G1230" s="2742"/>
      <c r="H1230" s="2743"/>
      <c r="I1230" s="2744"/>
      <c r="J1230" s="2813"/>
      <c r="K1230" s="2732">
        <f>SUM(J1229:J1229)</f>
        <v>0</v>
      </c>
      <c r="L1230" s="2731"/>
      <c r="M1230" s="2732"/>
      <c r="N1230" s="2729">
        <f t="shared" si="103"/>
        <v>0</v>
      </c>
      <c r="Q1230" s="2717"/>
      <c r="R1230" s="2717"/>
      <c r="S1230" s="2719"/>
      <c r="T1230" s="2717"/>
      <c r="U1230" s="2717"/>
      <c r="V1230" s="2717"/>
    </row>
    <row r="1231" spans="2:22" s="2721" customFormat="1" ht="14.1" customHeight="1" x14ac:dyDescent="0.2">
      <c r="B1231" s="2711"/>
      <c r="C1231" s="2727" t="s">
        <v>610</v>
      </c>
      <c r="D1231" s="2738" t="s">
        <v>651</v>
      </c>
      <c r="E1231" s="2741"/>
      <c r="F1231" s="2741"/>
      <c r="G1231" s="2742"/>
      <c r="H1231" s="2743"/>
      <c r="I1231" s="2744"/>
      <c r="J1231" s="2745" t="s">
        <v>652</v>
      </c>
      <c r="K1231" s="2732">
        <f>K1223+K1228+K1230</f>
        <v>82877.3</v>
      </c>
      <c r="L1231" s="2746">
        <f>N1231/K1231</f>
        <v>0.92747833242637001</v>
      </c>
      <c r="M1231" s="2745"/>
      <c r="N1231" s="2747">
        <f>SUM(N1220:N1230)</f>
        <v>76866.899999999994</v>
      </c>
      <c r="Q1231" s="2717"/>
      <c r="R1231" s="2717"/>
      <c r="S1231" s="2719"/>
      <c r="T1231" s="2717"/>
      <c r="U1231" s="2717"/>
      <c r="V1231" s="2717"/>
    </row>
    <row r="1232" spans="2:22" s="2721" customFormat="1" ht="14.1" customHeight="1" x14ac:dyDescent="0.2">
      <c r="B1232" s="2711"/>
      <c r="C1232" s="2727" t="s">
        <v>611</v>
      </c>
      <c r="D1232" s="2738" t="s">
        <v>653</v>
      </c>
      <c r="E1232" s="2741"/>
      <c r="F1232" s="2748">
        <f>$F$42</f>
        <v>0.1</v>
      </c>
      <c r="G1232" s="2727" t="s">
        <v>425</v>
      </c>
      <c r="H1232" s="2748">
        <f>$H$42</f>
        <v>0.03</v>
      </c>
      <c r="I1232" s="2749" t="s">
        <v>424</v>
      </c>
      <c r="J1232" s="2732" t="s">
        <v>610</v>
      </c>
      <c r="K1232" s="2750">
        <f>ROUND((K1231*(F1232+H1232)),2)</f>
        <v>10774.05</v>
      </c>
      <c r="L1232" s="2732"/>
      <c r="M1232" s="2732"/>
      <c r="N1232" s="2732"/>
      <c r="Q1232" s="2717"/>
      <c r="R1232" s="2717"/>
      <c r="S1232" s="2719"/>
      <c r="T1232" s="2717"/>
      <c r="U1232" s="2717"/>
      <c r="V1232" s="2717"/>
    </row>
    <row r="1233" spans="2:22" s="2721" customFormat="1" ht="14.1" customHeight="1" x14ac:dyDescent="0.2">
      <c r="B1233" s="2711"/>
      <c r="C1233" s="2880" t="s">
        <v>654</v>
      </c>
      <c r="D1233" s="2752" t="s">
        <v>301</v>
      </c>
      <c r="E1233" s="2815"/>
      <c r="F1233" s="2815"/>
      <c r="G1233" s="2815"/>
      <c r="H1233" s="2816"/>
      <c r="I1233" s="2815"/>
      <c r="J1233" s="2755" t="s">
        <v>668</v>
      </c>
      <c r="K1233" s="2756">
        <f>SUM(K1231:K1232)</f>
        <v>93651.35</v>
      </c>
      <c r="L1233" s="2746"/>
      <c r="M1233" s="2755"/>
      <c r="N1233" s="2757"/>
      <c r="Q1233" s="2717"/>
      <c r="R1233" s="2717"/>
      <c r="S1233" s="2719"/>
      <c r="T1233" s="2717"/>
      <c r="U1233" s="2717"/>
      <c r="V1233" s="2717"/>
    </row>
    <row r="1234" spans="2:22" x14ac:dyDescent="0.25">
      <c r="Q1234" s="2717"/>
      <c r="R1234" s="2717"/>
      <c r="S1234" s="2719"/>
      <c r="T1234" s="2717"/>
      <c r="U1234" s="2717"/>
      <c r="V1234" s="2717"/>
    </row>
    <row r="1235" spans="2:22" s="2713" customFormat="1" ht="14.1" customHeight="1" x14ac:dyDescent="0.2">
      <c r="B1235" s="2711">
        <f>B1216+1</f>
        <v>62</v>
      </c>
      <c r="C1235" s="2711"/>
      <c r="D1235" s="2712" t="s">
        <v>1850</v>
      </c>
      <c r="H1235" s="2714"/>
      <c r="K1235" s="2715" t="s">
        <v>773</v>
      </c>
      <c r="L1235" s="2715"/>
      <c r="M1235" s="2715"/>
      <c r="N1235" s="2715"/>
      <c r="O1235" s="2713" t="str">
        <f>D1236</f>
        <v>bh</v>
      </c>
      <c r="P1235" s="2870">
        <f>K1252</f>
        <v>1106133.27</v>
      </c>
      <c r="Q1235" s="2718">
        <f>L1250</f>
        <v>3.460999776274698E-2</v>
      </c>
      <c r="R1235" s="2717"/>
      <c r="S1235" s="2719">
        <f>N1250</f>
        <v>33879</v>
      </c>
      <c r="T1235" s="2515">
        <f>U1235+S1235</f>
        <v>38283.270000000004</v>
      </c>
      <c r="U1235" s="2719">
        <f>S1235*V1235</f>
        <v>4404.2700000000004</v>
      </c>
      <c r="V1235" s="2718">
        <f>$F$42+$H$42</f>
        <v>0.13</v>
      </c>
    </row>
    <row r="1236" spans="2:22" s="2713" customFormat="1" ht="14.1" customHeight="1" x14ac:dyDescent="0.2">
      <c r="B1236" s="2711"/>
      <c r="C1236" s="2711"/>
      <c r="D1236" s="2721" t="s">
        <v>268</v>
      </c>
      <c r="E1236" s="2721"/>
      <c r="F1236" s="2721"/>
      <c r="G1236" s="2721"/>
      <c r="H1236" s="2711"/>
      <c r="I1236" s="2721"/>
      <c r="J1236" s="2721"/>
      <c r="K1236" s="2721"/>
      <c r="L1236" s="2721"/>
      <c r="M1236" s="2721"/>
      <c r="N1236" s="2721"/>
      <c r="Q1236" s="2717"/>
      <c r="R1236" s="2717"/>
      <c r="S1236" s="2719"/>
      <c r="T1236" s="2717"/>
      <c r="U1236" s="2717"/>
      <c r="V1236" s="2717"/>
    </row>
    <row r="1237" spans="2:22" s="2713" customFormat="1" ht="14.1" customHeight="1" x14ac:dyDescent="0.2">
      <c r="B1237" s="2711"/>
      <c r="C1237" s="2524"/>
      <c r="D1237" s="3436" t="s">
        <v>280</v>
      </c>
      <c r="E1237" s="3437"/>
      <c r="F1237" s="2722"/>
      <c r="G1237" s="3440" t="s">
        <v>281</v>
      </c>
      <c r="H1237" s="3440" t="s">
        <v>282</v>
      </c>
      <c r="I1237" s="2524" t="s">
        <v>283</v>
      </c>
      <c r="J1237" s="2524" t="s">
        <v>284</v>
      </c>
      <c r="K1237" s="2524" t="s">
        <v>340</v>
      </c>
      <c r="L1237" s="2524" t="s">
        <v>2008</v>
      </c>
      <c r="M1237" s="2524" t="s">
        <v>2009</v>
      </c>
      <c r="N1237" s="2524" t="s">
        <v>284</v>
      </c>
      <c r="Q1237" s="2717"/>
      <c r="R1237" s="2717"/>
      <c r="S1237" s="2719"/>
      <c r="T1237" s="2717"/>
      <c r="U1237" s="2717"/>
      <c r="V1237" s="2717"/>
    </row>
    <row r="1238" spans="2:22" s="2713" customFormat="1" ht="14.1" customHeight="1" x14ac:dyDescent="0.2">
      <c r="B1238" s="2711"/>
      <c r="C1238" s="2528" t="s">
        <v>669</v>
      </c>
      <c r="D1238" s="3438"/>
      <c r="E1238" s="3439"/>
      <c r="F1238" s="2723"/>
      <c r="G1238" s="3441"/>
      <c r="H1238" s="3441"/>
      <c r="I1238" s="2528" t="s">
        <v>285</v>
      </c>
      <c r="J1238" s="2528" t="s">
        <v>286</v>
      </c>
      <c r="K1238" s="2528" t="s">
        <v>286</v>
      </c>
      <c r="L1238" s="2528" t="s">
        <v>2011</v>
      </c>
      <c r="M1238" s="2528"/>
      <c r="N1238" s="2528" t="s">
        <v>2013</v>
      </c>
      <c r="Q1238" s="2717"/>
      <c r="R1238" s="2717"/>
      <c r="S1238" s="2719"/>
      <c r="T1238" s="2717"/>
      <c r="U1238" s="2717"/>
      <c r="V1238" s="2717"/>
    </row>
    <row r="1239" spans="2:22" s="2713" customFormat="1" ht="14.1" customHeight="1" x14ac:dyDescent="0.2">
      <c r="B1239" s="2711"/>
      <c r="C1239" s="2537"/>
      <c r="D1239" s="3431"/>
      <c r="E1239" s="3432"/>
      <c r="F1239" s="2724"/>
      <c r="G1239" s="3435"/>
      <c r="H1239" s="3435"/>
      <c r="I1239" s="2537" t="s">
        <v>286</v>
      </c>
      <c r="J1239" s="2536"/>
      <c r="K1239" s="2536"/>
      <c r="L1239" s="2536"/>
      <c r="M1239" s="2536"/>
      <c r="N1239" s="2537" t="s">
        <v>286</v>
      </c>
      <c r="Q1239" s="2717"/>
      <c r="R1239" s="2717"/>
      <c r="S1239" s="2719"/>
      <c r="T1239" s="2717"/>
      <c r="U1239" s="2717"/>
      <c r="V1239" s="2717"/>
    </row>
    <row r="1240" spans="2:22" s="2713" customFormat="1" ht="14.1" customHeight="1" x14ac:dyDescent="0.2">
      <c r="B1240" s="2711"/>
      <c r="C1240" s="2524" t="s">
        <v>607</v>
      </c>
      <c r="D1240" s="2725" t="s">
        <v>287</v>
      </c>
      <c r="E1240" s="2726" t="s">
        <v>461</v>
      </c>
      <c r="F1240" s="2726"/>
      <c r="G1240" s="2727" t="s">
        <v>275</v>
      </c>
      <c r="H1240" s="2728">
        <v>1</v>
      </c>
      <c r="I1240" s="2729">
        <f>'Upah &amp; Bahan'!$I$151</f>
        <v>700000</v>
      </c>
      <c r="J1240" s="2729">
        <f>ROUND(H1240*I1240,2)</f>
        <v>700000</v>
      </c>
      <c r="K1240" s="2730"/>
      <c r="L1240" s="2731">
        <v>0</v>
      </c>
      <c r="M1240" s="2732"/>
      <c r="N1240" s="2729">
        <f t="shared" ref="N1240:N1249" si="106">L1240*J1240</f>
        <v>0</v>
      </c>
      <c r="Q1240" s="2717"/>
      <c r="R1240" s="2717"/>
      <c r="S1240" s="2719"/>
      <c r="T1240" s="2717"/>
      <c r="U1240" s="2717"/>
      <c r="V1240" s="2717"/>
    </row>
    <row r="1241" spans="2:22" s="2713" customFormat="1" ht="14.1" customHeight="1" x14ac:dyDescent="0.2">
      <c r="B1241" s="2711"/>
      <c r="C1241" s="2528"/>
      <c r="D1241" s="2733"/>
      <c r="E1241" s="2726" t="s">
        <v>462</v>
      </c>
      <c r="F1241" s="2726"/>
      <c r="G1241" s="2727" t="s">
        <v>240</v>
      </c>
      <c r="H1241" s="2728">
        <v>1</v>
      </c>
      <c r="I1241" s="2729">
        <f>I1240*0.35</f>
        <v>244999.99999999997</v>
      </c>
      <c r="J1241" s="2729">
        <f>ROUND(H1241*I1241,2)</f>
        <v>245000</v>
      </c>
      <c r="K1241" s="2735"/>
      <c r="L1241" s="2731">
        <v>0</v>
      </c>
      <c r="M1241" s="2732"/>
      <c r="N1241" s="2729">
        <f t="shared" si="106"/>
        <v>0</v>
      </c>
      <c r="Q1241" s="2717"/>
      <c r="R1241" s="2717"/>
      <c r="S1241" s="2719"/>
      <c r="T1241" s="2717"/>
      <c r="U1241" s="2717"/>
      <c r="V1241" s="2717"/>
    </row>
    <row r="1242" spans="2:22" s="2713" customFormat="1" ht="14.1" customHeight="1" x14ac:dyDescent="0.2">
      <c r="B1242" s="2711"/>
      <c r="C1242" s="2537"/>
      <c r="D1242" s="2733"/>
      <c r="E1242" s="2984"/>
      <c r="F1242" s="2985"/>
      <c r="G1242" s="2742"/>
      <c r="H1242" s="2986"/>
      <c r="I1242" s="2842"/>
      <c r="J1242" s="2813"/>
      <c r="K1242" s="2729">
        <f>SUM(J1240:J1241)</f>
        <v>945000</v>
      </c>
      <c r="L1242" s="2731"/>
      <c r="M1242" s="2732"/>
      <c r="N1242" s="2729">
        <f t="shared" si="106"/>
        <v>0</v>
      </c>
      <c r="Q1242" s="2717"/>
      <c r="R1242" s="2717"/>
      <c r="S1242" s="2719"/>
      <c r="T1242" s="2717"/>
      <c r="U1242" s="2717"/>
      <c r="V1242" s="2717"/>
    </row>
    <row r="1243" spans="2:22" s="2713" customFormat="1" ht="14.1" customHeight="1" x14ac:dyDescent="0.2">
      <c r="B1243" s="2711"/>
      <c r="C1243" s="2524" t="s">
        <v>608</v>
      </c>
      <c r="D1243" s="2725" t="s">
        <v>288</v>
      </c>
      <c r="E1243" s="2726" t="s">
        <v>289</v>
      </c>
      <c r="F1243" s="2726"/>
      <c r="G1243" s="2727" t="s">
        <v>291</v>
      </c>
      <c r="H1243" s="2728">
        <v>0.03</v>
      </c>
      <c r="I1243" s="2729">
        <f>'Upah &amp; Bahan'!$I$24</f>
        <v>88300</v>
      </c>
      <c r="J1243" s="2729">
        <f>ROUND(H1243*I1243,2)</f>
        <v>2649</v>
      </c>
      <c r="K1243" s="2730"/>
      <c r="L1243" s="2731">
        <f t="shared" ref="L1243:L1246" si="107">VLOOKUP($E1243,$D$1744:$G$1761,2,0)</f>
        <v>1</v>
      </c>
      <c r="M1243" s="2731" t="str">
        <f t="shared" ref="M1243:M1246" si="108">VLOOKUP($E1243,$D$1744:$G$1761,3,0)</f>
        <v>WNI</v>
      </c>
      <c r="N1243" s="2729">
        <f t="shared" si="106"/>
        <v>2649</v>
      </c>
      <c r="Q1243" s="2717"/>
      <c r="R1243" s="2717"/>
      <c r="S1243" s="2719"/>
      <c r="T1243" s="2717"/>
      <c r="U1243" s="2717"/>
      <c r="V1243" s="2717"/>
    </row>
    <row r="1244" spans="2:22" s="2713" customFormat="1" ht="14.1" customHeight="1" x14ac:dyDescent="0.2">
      <c r="B1244" s="2711"/>
      <c r="C1244" s="2528"/>
      <c r="D1244" s="2733"/>
      <c r="E1244" s="2726" t="s">
        <v>370</v>
      </c>
      <c r="F1244" s="2726"/>
      <c r="G1244" s="2727" t="s">
        <v>291</v>
      </c>
      <c r="H1244" s="2728">
        <v>0.3</v>
      </c>
      <c r="I1244" s="2729">
        <f>'Upah &amp; Bahan'!$I$32</f>
        <v>90000</v>
      </c>
      <c r="J1244" s="2729">
        <f>ROUND(H1244*I1244,2)</f>
        <v>27000</v>
      </c>
      <c r="K1244" s="2734"/>
      <c r="L1244" s="2731">
        <f t="shared" si="107"/>
        <v>1</v>
      </c>
      <c r="M1244" s="2731" t="str">
        <f t="shared" si="108"/>
        <v>WNI</v>
      </c>
      <c r="N1244" s="2729">
        <f t="shared" si="106"/>
        <v>27000</v>
      </c>
      <c r="Q1244" s="2717"/>
      <c r="R1244" s="2717"/>
      <c r="S1244" s="2719"/>
      <c r="T1244" s="2717"/>
      <c r="U1244" s="2717"/>
      <c r="V1244" s="2717"/>
    </row>
    <row r="1245" spans="2:22" s="2713" customFormat="1" ht="14.1" customHeight="1" x14ac:dyDescent="0.2">
      <c r="B1245" s="2711"/>
      <c r="C1245" s="2528"/>
      <c r="D1245" s="2733"/>
      <c r="E1245" s="2726" t="s">
        <v>369</v>
      </c>
      <c r="F1245" s="2726"/>
      <c r="G1245" s="2727" t="s">
        <v>291</v>
      </c>
      <c r="H1245" s="2728">
        <v>0.03</v>
      </c>
      <c r="I1245" s="2729">
        <f>'Upah &amp; Bahan'!$I$26</f>
        <v>96000</v>
      </c>
      <c r="J1245" s="2729">
        <f>ROUND(H1245*I1245,2)</f>
        <v>2880</v>
      </c>
      <c r="K1245" s="2734"/>
      <c r="L1245" s="2731">
        <f t="shared" si="107"/>
        <v>1</v>
      </c>
      <c r="M1245" s="2731" t="str">
        <f t="shared" si="108"/>
        <v>WNI</v>
      </c>
      <c r="N1245" s="2729">
        <f t="shared" si="106"/>
        <v>2880</v>
      </c>
      <c r="Q1245" s="2717"/>
      <c r="R1245" s="2717"/>
      <c r="S1245" s="2719"/>
      <c r="T1245" s="2717"/>
      <c r="U1245" s="2717"/>
      <c r="V1245" s="2717"/>
    </row>
    <row r="1246" spans="2:22" s="2713" customFormat="1" ht="14.1" customHeight="1" x14ac:dyDescent="0.2">
      <c r="B1246" s="2711"/>
      <c r="C1246" s="2528"/>
      <c r="D1246" s="2733"/>
      <c r="E1246" s="2726" t="s">
        <v>290</v>
      </c>
      <c r="F1246" s="2726"/>
      <c r="G1246" s="2727" t="s">
        <v>291</v>
      </c>
      <c r="H1246" s="2728">
        <v>1.4999999999999999E-2</v>
      </c>
      <c r="I1246" s="2729">
        <f>'Upah &amp; Bahan'!$I$31</f>
        <v>90000</v>
      </c>
      <c r="J1246" s="2729">
        <f>ROUND(H1246*I1246,2)</f>
        <v>1350</v>
      </c>
      <c r="K1246" s="2733"/>
      <c r="L1246" s="2731">
        <f t="shared" si="107"/>
        <v>1</v>
      </c>
      <c r="M1246" s="2731" t="str">
        <f t="shared" si="108"/>
        <v>WNI</v>
      </c>
      <c r="N1246" s="2729">
        <f t="shared" si="106"/>
        <v>1350</v>
      </c>
      <c r="Q1246" s="2717"/>
      <c r="R1246" s="2717"/>
      <c r="S1246" s="2719"/>
      <c r="T1246" s="2717"/>
      <c r="U1246" s="2717"/>
      <c r="V1246" s="2717"/>
    </row>
    <row r="1247" spans="2:22" s="2713" customFormat="1" ht="14.1" customHeight="1" x14ac:dyDescent="0.2">
      <c r="B1247" s="2711"/>
      <c r="C1247" s="2537"/>
      <c r="D1247" s="2536"/>
      <c r="E1247" s="2736"/>
      <c r="F1247" s="2741"/>
      <c r="G1247" s="2742"/>
      <c r="H1247" s="2743"/>
      <c r="I1247" s="2842"/>
      <c r="J1247" s="2813"/>
      <c r="K1247" s="2732">
        <f>SUM(J1243:J1246)</f>
        <v>33879</v>
      </c>
      <c r="L1247" s="2731"/>
      <c r="M1247" s="2732"/>
      <c r="N1247" s="2729">
        <f t="shared" si="106"/>
        <v>0</v>
      </c>
      <c r="Q1247" s="2717"/>
      <c r="R1247" s="2717"/>
      <c r="S1247" s="2719"/>
      <c r="T1247" s="2717"/>
      <c r="U1247" s="2717"/>
      <c r="V1247" s="2717"/>
    </row>
    <row r="1248" spans="2:22" s="2721" customFormat="1" ht="14.1" customHeight="1" x14ac:dyDescent="0.2">
      <c r="B1248" s="2711"/>
      <c r="C1248" s="2524" t="s">
        <v>609</v>
      </c>
      <c r="D1248" s="2725" t="s">
        <v>606</v>
      </c>
      <c r="E1248" s="2739"/>
      <c r="F1248" s="2739"/>
      <c r="G1248" s="2727"/>
      <c r="H1248" s="2740"/>
      <c r="I1248" s="2814"/>
      <c r="J1248" s="2729"/>
      <c r="K1248" s="2730"/>
      <c r="L1248" s="2731"/>
      <c r="M1248" s="2732"/>
      <c r="N1248" s="2729">
        <f t="shared" si="106"/>
        <v>0</v>
      </c>
      <c r="Q1248" s="2717"/>
      <c r="R1248" s="2717"/>
      <c r="S1248" s="2719"/>
      <c r="T1248" s="2717"/>
      <c r="U1248" s="2717"/>
      <c r="V1248" s="2717"/>
    </row>
    <row r="1249" spans="2:22" s="2721" customFormat="1" ht="14.1" customHeight="1" x14ac:dyDescent="0.2">
      <c r="B1249" s="2711"/>
      <c r="C1249" s="2537"/>
      <c r="D1249" s="2536"/>
      <c r="E1249" s="2736"/>
      <c r="F1249" s="2741"/>
      <c r="G1249" s="2742"/>
      <c r="H1249" s="2743"/>
      <c r="I1249" s="2744"/>
      <c r="J1249" s="2813"/>
      <c r="K1249" s="2732">
        <f>SUM(J1248:J1248)</f>
        <v>0</v>
      </c>
      <c r="L1249" s="2731"/>
      <c r="M1249" s="2732"/>
      <c r="N1249" s="2729">
        <f t="shared" si="106"/>
        <v>0</v>
      </c>
      <c r="Q1249" s="2717"/>
      <c r="R1249" s="2717"/>
      <c r="S1249" s="2719"/>
      <c r="T1249" s="2717"/>
      <c r="U1249" s="2717"/>
      <c r="V1249" s="2717"/>
    </row>
    <row r="1250" spans="2:22" s="2721" customFormat="1" ht="14.1" customHeight="1" x14ac:dyDescent="0.2">
      <c r="B1250" s="2711"/>
      <c r="C1250" s="2727" t="s">
        <v>610</v>
      </c>
      <c r="D1250" s="2738" t="s">
        <v>651</v>
      </c>
      <c r="E1250" s="2741"/>
      <c r="F1250" s="2741"/>
      <c r="G1250" s="2742"/>
      <c r="H1250" s="2743"/>
      <c r="I1250" s="2744"/>
      <c r="J1250" s="2745" t="s">
        <v>652</v>
      </c>
      <c r="K1250" s="2732">
        <f>K1242+K1247+K1249</f>
        <v>978879</v>
      </c>
      <c r="L1250" s="2746">
        <f>N1250/K1250</f>
        <v>3.460999776274698E-2</v>
      </c>
      <c r="M1250" s="2745"/>
      <c r="N1250" s="2747">
        <f>SUM(N1239:N1249)</f>
        <v>33879</v>
      </c>
      <c r="Q1250" s="2717"/>
      <c r="R1250" s="2717"/>
      <c r="S1250" s="2719"/>
      <c r="T1250" s="2717"/>
      <c r="U1250" s="2717"/>
      <c r="V1250" s="2717"/>
    </row>
    <row r="1251" spans="2:22" s="2721" customFormat="1" ht="14.1" customHeight="1" x14ac:dyDescent="0.2">
      <c r="B1251" s="2711"/>
      <c r="C1251" s="2727" t="s">
        <v>611</v>
      </c>
      <c r="D1251" s="2738" t="s">
        <v>653</v>
      </c>
      <c r="E1251" s="2741"/>
      <c r="F1251" s="2748">
        <f>$F$42</f>
        <v>0.1</v>
      </c>
      <c r="G1251" s="2727" t="s">
        <v>425</v>
      </c>
      <c r="H1251" s="2748">
        <f>$H$42</f>
        <v>0.03</v>
      </c>
      <c r="I1251" s="2749" t="s">
        <v>424</v>
      </c>
      <c r="J1251" s="2732" t="s">
        <v>610</v>
      </c>
      <c r="K1251" s="2750">
        <f>ROUND((K1250*(F1251+H1251)),2)</f>
        <v>127254.27</v>
      </c>
      <c r="L1251" s="2732"/>
      <c r="M1251" s="2732"/>
      <c r="N1251" s="2732"/>
      <c r="Q1251" s="2717"/>
      <c r="R1251" s="2717"/>
      <c r="S1251" s="2719"/>
      <c r="T1251" s="2717"/>
      <c r="U1251" s="2717"/>
      <c r="V1251" s="2717"/>
    </row>
    <row r="1252" spans="2:22" s="2713" customFormat="1" ht="14.1" customHeight="1" x14ac:dyDescent="0.2">
      <c r="B1252" s="2711"/>
      <c r="C1252" s="2880" t="s">
        <v>654</v>
      </c>
      <c r="D1252" s="2752" t="s">
        <v>301</v>
      </c>
      <c r="E1252" s="2815"/>
      <c r="F1252" s="2815"/>
      <c r="G1252" s="2815"/>
      <c r="H1252" s="2816"/>
      <c r="I1252" s="2815"/>
      <c r="J1252" s="2755" t="s">
        <v>668</v>
      </c>
      <c r="K1252" s="2756">
        <f>SUM(K1250:K1251)</f>
        <v>1106133.27</v>
      </c>
      <c r="L1252" s="2746"/>
      <c r="M1252" s="2755"/>
      <c r="N1252" s="2757"/>
      <c r="Q1252" s="2717"/>
      <c r="R1252" s="2717"/>
      <c r="S1252" s="2719"/>
      <c r="T1252" s="2717"/>
      <c r="U1252" s="2717"/>
      <c r="V1252" s="2717"/>
    </row>
    <row r="1253" spans="2:22" x14ac:dyDescent="0.25">
      <c r="Q1253" s="2717"/>
      <c r="R1253" s="2717"/>
      <c r="S1253" s="2719"/>
      <c r="T1253" s="2717"/>
      <c r="U1253" s="2717"/>
      <c r="V1253" s="2717"/>
    </row>
    <row r="1254" spans="2:22" s="2721" customFormat="1" ht="14.1" customHeight="1" x14ac:dyDescent="0.2">
      <c r="B1254" s="2711">
        <f>B1235+1</f>
        <v>63</v>
      </c>
      <c r="C1254" s="2711"/>
      <c r="D1254" s="2712" t="s">
        <v>1636</v>
      </c>
      <c r="E1254" s="2713"/>
      <c r="F1254" s="2713"/>
      <c r="G1254" s="2713"/>
      <c r="H1254" s="2714"/>
      <c r="I1254" s="2713"/>
      <c r="J1254" s="2713"/>
      <c r="K1254" s="2715" t="s">
        <v>772</v>
      </c>
      <c r="L1254" s="2715"/>
      <c r="M1254" s="2715"/>
      <c r="N1254" s="2715"/>
      <c r="O1254" s="2721" t="str">
        <f>D1255</f>
        <v>bh</v>
      </c>
      <c r="P1254" s="2810">
        <f>K1271</f>
        <v>170986.52</v>
      </c>
      <c r="Q1254" s="2718">
        <f>L1269</f>
        <v>0.95355069374915324</v>
      </c>
      <c r="R1254" s="2717"/>
      <c r="S1254" s="2719">
        <f>N1269</f>
        <v>144287</v>
      </c>
      <c r="T1254" s="2515">
        <f>U1254+S1254</f>
        <v>163044.31</v>
      </c>
      <c r="U1254" s="2719">
        <f>S1254*V1254</f>
        <v>18757.310000000001</v>
      </c>
      <c r="V1254" s="2718">
        <f>$F$42+$H$42</f>
        <v>0.13</v>
      </c>
    </row>
    <row r="1255" spans="2:22" s="2721" customFormat="1" ht="14.1" customHeight="1" x14ac:dyDescent="0.2">
      <c r="B1255" s="2711"/>
      <c r="C1255" s="2711"/>
      <c r="D1255" s="2721" t="s">
        <v>268</v>
      </c>
      <c r="H1255" s="2711"/>
      <c r="Q1255" s="2717"/>
      <c r="R1255" s="2717"/>
      <c r="S1255" s="2719"/>
      <c r="T1255" s="2717"/>
      <c r="U1255" s="2717"/>
      <c r="V1255" s="2717"/>
    </row>
    <row r="1256" spans="2:22" s="2721" customFormat="1" ht="14.1" customHeight="1" x14ac:dyDescent="0.2">
      <c r="B1256" s="2711"/>
      <c r="C1256" s="2524"/>
      <c r="D1256" s="3427" t="s">
        <v>280</v>
      </c>
      <c r="E1256" s="3428"/>
      <c r="F1256" s="2722"/>
      <c r="G1256" s="3433" t="s">
        <v>281</v>
      </c>
      <c r="H1256" s="3433" t="s">
        <v>282</v>
      </c>
      <c r="I1256" s="2524" t="s">
        <v>283</v>
      </c>
      <c r="J1256" s="2524" t="s">
        <v>284</v>
      </c>
      <c r="K1256" s="2524" t="s">
        <v>340</v>
      </c>
      <c r="L1256" s="2524" t="s">
        <v>2008</v>
      </c>
      <c r="M1256" s="2524" t="s">
        <v>2009</v>
      </c>
      <c r="N1256" s="2524" t="s">
        <v>284</v>
      </c>
      <c r="Q1256" s="2717"/>
      <c r="R1256" s="2717"/>
      <c r="S1256" s="2719"/>
      <c r="T1256" s="2717"/>
      <c r="U1256" s="2717"/>
      <c r="V1256" s="2717"/>
    </row>
    <row r="1257" spans="2:22" s="2721" customFormat="1" ht="14.1" customHeight="1" x14ac:dyDescent="0.2">
      <c r="B1257" s="2711"/>
      <c r="C1257" s="2528" t="s">
        <v>669</v>
      </c>
      <c r="D1257" s="3429"/>
      <c r="E1257" s="3430"/>
      <c r="F1257" s="2723"/>
      <c r="G1257" s="3434"/>
      <c r="H1257" s="3434"/>
      <c r="I1257" s="2528" t="s">
        <v>285</v>
      </c>
      <c r="J1257" s="2528" t="s">
        <v>286</v>
      </c>
      <c r="K1257" s="2528" t="s">
        <v>286</v>
      </c>
      <c r="L1257" s="2528" t="s">
        <v>2011</v>
      </c>
      <c r="M1257" s="2528"/>
      <c r="N1257" s="2528" t="s">
        <v>2013</v>
      </c>
      <c r="Q1257" s="2717"/>
      <c r="R1257" s="2717"/>
      <c r="S1257" s="2719"/>
      <c r="T1257" s="2717"/>
      <c r="U1257" s="2717"/>
      <c r="V1257" s="2717"/>
    </row>
    <row r="1258" spans="2:22" s="2721" customFormat="1" ht="14.1" customHeight="1" x14ac:dyDescent="0.2">
      <c r="B1258" s="2711"/>
      <c r="C1258" s="2537"/>
      <c r="D1258" s="3431"/>
      <c r="E1258" s="3432"/>
      <c r="F1258" s="2724"/>
      <c r="G1258" s="3435"/>
      <c r="H1258" s="3435"/>
      <c r="I1258" s="2537" t="s">
        <v>286</v>
      </c>
      <c r="J1258" s="2536"/>
      <c r="K1258" s="2536"/>
      <c r="L1258" s="2536"/>
      <c r="M1258" s="2536"/>
      <c r="N1258" s="2537" t="s">
        <v>286</v>
      </c>
      <c r="Q1258" s="2717"/>
      <c r="R1258" s="2717"/>
      <c r="S1258" s="2719"/>
      <c r="T1258" s="2717"/>
      <c r="U1258" s="2717"/>
      <c r="V1258" s="2717"/>
    </row>
    <row r="1259" spans="2:22" s="2721" customFormat="1" ht="14.1" customHeight="1" x14ac:dyDescent="0.2">
      <c r="B1259" s="2711"/>
      <c r="C1259" s="2524" t="s">
        <v>607</v>
      </c>
      <c r="D1259" s="2725" t="s">
        <v>287</v>
      </c>
      <c r="E1259" s="2726" t="s">
        <v>1637</v>
      </c>
      <c r="F1259" s="2726"/>
      <c r="G1259" s="2727" t="s">
        <v>268</v>
      </c>
      <c r="H1259" s="2728">
        <v>1</v>
      </c>
      <c r="I1259" s="2729">
        <f>'Upah &amp; Bahan'!$I$100</f>
        <v>110000</v>
      </c>
      <c r="J1259" s="2729">
        <f>ROUND(H1259*I1259,2)</f>
        <v>110000</v>
      </c>
      <c r="K1259" s="2730"/>
      <c r="L1259" s="2731">
        <v>0.93740000000000001</v>
      </c>
      <c r="M1259" s="2732" t="s">
        <v>2029</v>
      </c>
      <c r="N1259" s="2729">
        <f t="shared" ref="N1259:N1268" si="109">L1259*J1259</f>
        <v>103114</v>
      </c>
      <c r="Q1259" s="2717"/>
      <c r="R1259" s="2717"/>
      <c r="S1259" s="2719"/>
      <c r="T1259" s="2717"/>
      <c r="U1259" s="2717"/>
      <c r="V1259" s="2717"/>
    </row>
    <row r="1260" spans="2:22" s="2721" customFormat="1" ht="14.1" customHeight="1" x14ac:dyDescent="0.2">
      <c r="B1260" s="2711"/>
      <c r="C1260" s="2528"/>
      <c r="D1260" s="2733"/>
      <c r="E1260" s="2726" t="s">
        <v>386</v>
      </c>
      <c r="F1260" s="2726"/>
      <c r="G1260" s="2727" t="s">
        <v>268</v>
      </c>
      <c r="H1260" s="2728">
        <v>2.5000000000000001E-2</v>
      </c>
      <c r="I1260" s="2729">
        <f>'Upah &amp; Bahan'!$I$143</f>
        <v>5700</v>
      </c>
      <c r="J1260" s="2729">
        <f>ROUND(H1260*I1260,2)</f>
        <v>142.5</v>
      </c>
      <c r="K1260" s="2735"/>
      <c r="L1260" s="2731">
        <v>0</v>
      </c>
      <c r="M1260" s="2732"/>
      <c r="N1260" s="2729">
        <f t="shared" si="109"/>
        <v>0</v>
      </c>
      <c r="Q1260" s="2717"/>
      <c r="R1260" s="2717"/>
      <c r="S1260" s="2719"/>
      <c r="T1260" s="2717"/>
      <c r="U1260" s="2717"/>
      <c r="V1260" s="2717"/>
    </row>
    <row r="1261" spans="2:22" s="2721" customFormat="1" ht="14.1" customHeight="1" x14ac:dyDescent="0.2">
      <c r="B1261" s="2711"/>
      <c r="C1261" s="2537"/>
      <c r="D1261" s="2733"/>
      <c r="E1261" s="2984"/>
      <c r="F1261" s="2985"/>
      <c r="G1261" s="2742"/>
      <c r="H1261" s="2986"/>
      <c r="I1261" s="2842"/>
      <c r="J1261" s="2813"/>
      <c r="K1261" s="2729">
        <f>SUM(J1259:J1260)</f>
        <v>110142.5</v>
      </c>
      <c r="L1261" s="2731"/>
      <c r="M1261" s="2732"/>
      <c r="N1261" s="2729">
        <f t="shared" si="109"/>
        <v>0</v>
      </c>
      <c r="Q1261" s="2717"/>
      <c r="R1261" s="2717"/>
      <c r="S1261" s="2719"/>
      <c r="T1261" s="2717"/>
      <c r="U1261" s="2717"/>
      <c r="V1261" s="2717"/>
    </row>
    <row r="1262" spans="2:22" s="2721" customFormat="1" ht="14.1" customHeight="1" x14ac:dyDescent="0.2">
      <c r="B1262" s="2711"/>
      <c r="C1262" s="2524" t="s">
        <v>608</v>
      </c>
      <c r="D1262" s="2725" t="s">
        <v>288</v>
      </c>
      <c r="E1262" s="2726" t="s">
        <v>289</v>
      </c>
      <c r="F1262" s="2726"/>
      <c r="G1262" s="2727" t="s">
        <v>291</v>
      </c>
      <c r="H1262" s="2728">
        <v>0.01</v>
      </c>
      <c r="I1262" s="2729">
        <f>'Upah &amp; Bahan'!$I$24</f>
        <v>88300</v>
      </c>
      <c r="J1262" s="2729">
        <f>ROUND(H1262*I1262,2)</f>
        <v>883</v>
      </c>
      <c r="K1262" s="2730"/>
      <c r="L1262" s="2731">
        <f t="shared" ref="L1262:L1265" si="110">VLOOKUP($E1262,$D$1744:$G$1761,2,0)</f>
        <v>1</v>
      </c>
      <c r="M1262" s="2731" t="str">
        <f t="shared" ref="M1262:M1265" si="111">VLOOKUP($E1262,$D$1744:$G$1761,3,0)</f>
        <v>WNI</v>
      </c>
      <c r="N1262" s="2729">
        <f t="shared" si="109"/>
        <v>883</v>
      </c>
      <c r="Q1262" s="2717"/>
      <c r="R1262" s="2717"/>
      <c r="S1262" s="2719"/>
      <c r="T1262" s="2717"/>
      <c r="U1262" s="2717"/>
      <c r="V1262" s="2717"/>
    </row>
    <row r="1263" spans="2:22" s="2721" customFormat="1" ht="14.1" customHeight="1" x14ac:dyDescent="0.2">
      <c r="B1263" s="2711"/>
      <c r="C1263" s="2528"/>
      <c r="D1263" s="2733"/>
      <c r="E1263" s="2726" t="s">
        <v>370</v>
      </c>
      <c r="F1263" s="2726"/>
      <c r="G1263" s="2727" t="s">
        <v>291</v>
      </c>
      <c r="H1263" s="2728">
        <v>0.4</v>
      </c>
      <c r="I1263" s="2729">
        <f>'Upah &amp; Bahan'!$I$32</f>
        <v>90000</v>
      </c>
      <c r="J1263" s="2729">
        <f>ROUND(H1263*I1263,2)</f>
        <v>36000</v>
      </c>
      <c r="K1263" s="2734"/>
      <c r="L1263" s="2731">
        <f t="shared" si="110"/>
        <v>1</v>
      </c>
      <c r="M1263" s="2731" t="str">
        <f t="shared" si="111"/>
        <v>WNI</v>
      </c>
      <c r="N1263" s="2729">
        <f t="shared" si="109"/>
        <v>36000</v>
      </c>
      <c r="Q1263" s="2717"/>
      <c r="R1263" s="2717"/>
      <c r="S1263" s="2719"/>
      <c r="T1263" s="2717"/>
      <c r="U1263" s="2717"/>
      <c r="V1263" s="2717"/>
    </row>
    <row r="1264" spans="2:22" s="2721" customFormat="1" ht="14.1" customHeight="1" x14ac:dyDescent="0.2">
      <c r="B1264" s="2711"/>
      <c r="C1264" s="2528"/>
      <c r="D1264" s="2733"/>
      <c r="E1264" s="2726" t="s">
        <v>716</v>
      </c>
      <c r="F1264" s="2726"/>
      <c r="G1264" s="2727" t="s">
        <v>291</v>
      </c>
      <c r="H1264" s="2728">
        <v>0.04</v>
      </c>
      <c r="I1264" s="2729">
        <f>'Upah &amp; Bahan'!$I$26</f>
        <v>96000</v>
      </c>
      <c r="J1264" s="2729">
        <f>ROUND(H1264*I1264,2)</f>
        <v>3840</v>
      </c>
      <c r="K1264" s="2734"/>
      <c r="L1264" s="2731">
        <f t="shared" si="110"/>
        <v>1</v>
      </c>
      <c r="M1264" s="2731" t="str">
        <f t="shared" si="111"/>
        <v>WNI</v>
      </c>
      <c r="N1264" s="2729">
        <f t="shared" si="109"/>
        <v>3840</v>
      </c>
      <c r="Q1264" s="2717"/>
      <c r="R1264" s="2717"/>
      <c r="S1264" s="2719"/>
      <c r="T1264" s="2717"/>
      <c r="U1264" s="2717"/>
      <c r="V1264" s="2717"/>
    </row>
    <row r="1265" spans="2:22" s="2721" customFormat="1" ht="14.1" customHeight="1" x14ac:dyDescent="0.2">
      <c r="B1265" s="2711"/>
      <c r="C1265" s="2528"/>
      <c r="D1265" s="2733"/>
      <c r="E1265" s="2726" t="s">
        <v>290</v>
      </c>
      <c r="F1265" s="2726"/>
      <c r="G1265" s="2727" t="s">
        <v>291</v>
      </c>
      <c r="H1265" s="2728">
        <v>5.0000000000000001E-3</v>
      </c>
      <c r="I1265" s="2729">
        <f>'Upah &amp; Bahan'!$I$31</f>
        <v>90000</v>
      </c>
      <c r="J1265" s="2729">
        <f>ROUND(H1265*I1265,2)</f>
        <v>450</v>
      </c>
      <c r="K1265" s="2733"/>
      <c r="L1265" s="2731">
        <f t="shared" si="110"/>
        <v>1</v>
      </c>
      <c r="M1265" s="2731" t="str">
        <f t="shared" si="111"/>
        <v>WNI</v>
      </c>
      <c r="N1265" s="2729">
        <f t="shared" si="109"/>
        <v>450</v>
      </c>
      <c r="Q1265" s="2717"/>
      <c r="R1265" s="2717"/>
      <c r="S1265" s="2719"/>
      <c r="T1265" s="2717"/>
      <c r="U1265" s="2717"/>
      <c r="V1265" s="2717"/>
    </row>
    <row r="1266" spans="2:22" s="2721" customFormat="1" ht="14.1" customHeight="1" x14ac:dyDescent="0.2">
      <c r="B1266" s="2711"/>
      <c r="C1266" s="2537"/>
      <c r="D1266" s="2536"/>
      <c r="E1266" s="2736"/>
      <c r="F1266" s="2741"/>
      <c r="G1266" s="2742"/>
      <c r="H1266" s="2743"/>
      <c r="I1266" s="2842"/>
      <c r="J1266" s="2813"/>
      <c r="K1266" s="2732">
        <f>SUM(J1262:J1265)</f>
        <v>41173</v>
      </c>
      <c r="L1266" s="2731"/>
      <c r="M1266" s="2732"/>
      <c r="N1266" s="2729">
        <f t="shared" si="109"/>
        <v>0</v>
      </c>
      <c r="Q1266" s="2717"/>
      <c r="R1266" s="2717"/>
      <c r="S1266" s="2719"/>
      <c r="T1266" s="2717"/>
      <c r="U1266" s="2717"/>
      <c r="V1266" s="2717"/>
    </row>
    <row r="1267" spans="2:22" s="2721" customFormat="1" ht="14.1" customHeight="1" x14ac:dyDescent="0.2">
      <c r="B1267" s="2711"/>
      <c r="C1267" s="2524" t="s">
        <v>609</v>
      </c>
      <c r="D1267" s="2725" t="s">
        <v>606</v>
      </c>
      <c r="E1267" s="2739"/>
      <c r="F1267" s="2739"/>
      <c r="G1267" s="2727"/>
      <c r="H1267" s="2740"/>
      <c r="I1267" s="2814"/>
      <c r="J1267" s="2729"/>
      <c r="K1267" s="2730"/>
      <c r="L1267" s="2731"/>
      <c r="M1267" s="2732"/>
      <c r="N1267" s="2729">
        <f t="shared" si="109"/>
        <v>0</v>
      </c>
      <c r="Q1267" s="2717"/>
      <c r="R1267" s="2717"/>
      <c r="S1267" s="2719"/>
      <c r="T1267" s="2717"/>
      <c r="U1267" s="2717"/>
      <c r="V1267" s="2717"/>
    </row>
    <row r="1268" spans="2:22" s="2721" customFormat="1" ht="14.1" customHeight="1" x14ac:dyDescent="0.2">
      <c r="B1268" s="2711"/>
      <c r="C1268" s="2537"/>
      <c r="D1268" s="2536"/>
      <c r="E1268" s="2736"/>
      <c r="F1268" s="2741"/>
      <c r="G1268" s="2742"/>
      <c r="H1268" s="2743"/>
      <c r="I1268" s="2744"/>
      <c r="J1268" s="2813"/>
      <c r="K1268" s="2732">
        <f>SUM(J1267:J1267)</f>
        <v>0</v>
      </c>
      <c r="L1268" s="2731"/>
      <c r="M1268" s="2732"/>
      <c r="N1268" s="2729">
        <f t="shared" si="109"/>
        <v>0</v>
      </c>
      <c r="Q1268" s="2717"/>
      <c r="R1268" s="2717"/>
      <c r="S1268" s="2719"/>
      <c r="T1268" s="2717"/>
      <c r="U1268" s="2717"/>
      <c r="V1268" s="2717"/>
    </row>
    <row r="1269" spans="2:22" s="2721" customFormat="1" ht="14.1" customHeight="1" x14ac:dyDescent="0.2">
      <c r="B1269" s="2711"/>
      <c r="C1269" s="2727" t="s">
        <v>610</v>
      </c>
      <c r="D1269" s="2738" t="s">
        <v>651</v>
      </c>
      <c r="E1269" s="2741"/>
      <c r="F1269" s="2741"/>
      <c r="G1269" s="2742"/>
      <c r="H1269" s="2743"/>
      <c r="I1269" s="2744"/>
      <c r="J1269" s="2745" t="s">
        <v>652</v>
      </c>
      <c r="K1269" s="2732">
        <f>K1261+K1266+K1268</f>
        <v>151315.5</v>
      </c>
      <c r="L1269" s="2746">
        <f>N1269/K1269</f>
        <v>0.95355069374915324</v>
      </c>
      <c r="M1269" s="2745"/>
      <c r="N1269" s="2747">
        <f>SUM(N1258:N1268)</f>
        <v>144287</v>
      </c>
      <c r="Q1269" s="2717"/>
      <c r="R1269" s="2717"/>
      <c r="S1269" s="2719"/>
      <c r="T1269" s="2717"/>
      <c r="U1269" s="2717"/>
      <c r="V1269" s="2717"/>
    </row>
    <row r="1270" spans="2:22" s="2721" customFormat="1" ht="14.1" customHeight="1" x14ac:dyDescent="0.2">
      <c r="B1270" s="2711"/>
      <c r="C1270" s="2727" t="s">
        <v>611</v>
      </c>
      <c r="D1270" s="2738" t="s">
        <v>653</v>
      </c>
      <c r="E1270" s="2741"/>
      <c r="F1270" s="2748">
        <f>$F$42</f>
        <v>0.1</v>
      </c>
      <c r="G1270" s="2727" t="s">
        <v>425</v>
      </c>
      <c r="H1270" s="2748">
        <f>$H$42</f>
        <v>0.03</v>
      </c>
      <c r="I1270" s="2749" t="s">
        <v>424</v>
      </c>
      <c r="J1270" s="2732" t="s">
        <v>610</v>
      </c>
      <c r="K1270" s="2750">
        <f>ROUND((K1269*(F1270+H1270)),2)</f>
        <v>19671.02</v>
      </c>
      <c r="L1270" s="2732"/>
      <c r="M1270" s="2732"/>
      <c r="N1270" s="2732"/>
      <c r="Q1270" s="2717"/>
      <c r="R1270" s="2717"/>
      <c r="S1270" s="2719"/>
      <c r="T1270" s="2717"/>
      <c r="U1270" s="2717"/>
      <c r="V1270" s="2717"/>
    </row>
    <row r="1271" spans="2:22" s="2721" customFormat="1" ht="14.1" customHeight="1" x14ac:dyDescent="0.2">
      <c r="B1271" s="2711"/>
      <c r="C1271" s="2880" t="s">
        <v>654</v>
      </c>
      <c r="D1271" s="2752" t="s">
        <v>301</v>
      </c>
      <c r="E1271" s="2815"/>
      <c r="F1271" s="2815"/>
      <c r="G1271" s="2815"/>
      <c r="H1271" s="2816"/>
      <c r="I1271" s="2815"/>
      <c r="J1271" s="2755" t="s">
        <v>668</v>
      </c>
      <c r="K1271" s="2756">
        <f>SUM(K1269:K1270)</f>
        <v>170986.52</v>
      </c>
      <c r="L1271" s="2746"/>
      <c r="M1271" s="2755"/>
      <c r="N1271" s="2757"/>
      <c r="Q1271" s="2717"/>
      <c r="R1271" s="2717"/>
      <c r="S1271" s="2719"/>
      <c r="T1271" s="2717"/>
      <c r="U1271" s="2717"/>
      <c r="V1271" s="2717"/>
    </row>
    <row r="1272" spans="2:22" x14ac:dyDescent="0.25">
      <c r="Q1272" s="2717"/>
      <c r="R1272" s="2717"/>
      <c r="S1272" s="2719"/>
      <c r="T1272" s="2717"/>
      <c r="U1272" s="2717"/>
      <c r="V1272" s="2717"/>
    </row>
    <row r="1273" spans="2:22" s="2720" customFormat="1" ht="14.1" customHeight="1" x14ac:dyDescent="0.2">
      <c r="B1273" s="2711">
        <f>B1254+1</f>
        <v>64</v>
      </c>
      <c r="C1273" s="2711"/>
      <c r="D1273" s="2712" t="s">
        <v>1830</v>
      </c>
      <c r="E1273" s="2713"/>
      <c r="F1273" s="2713"/>
      <c r="G1273" s="2713"/>
      <c r="H1273" s="2714"/>
      <c r="I1273" s="2713"/>
      <c r="J1273" s="2713"/>
      <c r="K1273" s="2715" t="s">
        <v>762</v>
      </c>
      <c r="L1273" s="2715"/>
      <c r="M1273" s="2715"/>
      <c r="N1273" s="2715"/>
      <c r="O1273" s="2716" t="str">
        <f>D1274</f>
        <v>m2</v>
      </c>
      <c r="P1273" s="2717">
        <f>K1290</f>
        <v>170445.25</v>
      </c>
      <c r="Q1273" s="2718">
        <f>L1288</f>
        <v>0.61858343305499663</v>
      </c>
      <c r="R1273" s="2717"/>
      <c r="S1273" s="2719">
        <f>N1288</f>
        <v>93304.960000000006</v>
      </c>
      <c r="T1273" s="2515">
        <f>U1273+S1273</f>
        <v>105434.6048</v>
      </c>
      <c r="U1273" s="2719">
        <f>S1273*V1273</f>
        <v>12129.644800000002</v>
      </c>
      <c r="V1273" s="2718">
        <f>$F$42+$H$42</f>
        <v>0.13</v>
      </c>
    </row>
    <row r="1274" spans="2:22" s="2720" customFormat="1" ht="14.1" customHeight="1" x14ac:dyDescent="0.2">
      <c r="B1274" s="2711"/>
      <c r="C1274" s="2711"/>
      <c r="D1274" s="2721" t="s">
        <v>338</v>
      </c>
      <c r="E1274" s="2721"/>
      <c r="F1274" s="2721"/>
      <c r="G1274" s="2721"/>
      <c r="H1274" s="2711"/>
      <c r="I1274" s="2721"/>
      <c r="J1274" s="2721"/>
      <c r="K1274" s="2721"/>
      <c r="L1274" s="2721"/>
      <c r="M1274" s="2721"/>
      <c r="N1274" s="2721"/>
      <c r="O1274" s="2716"/>
      <c r="Q1274" s="2717"/>
      <c r="R1274" s="2717"/>
      <c r="S1274" s="2719"/>
      <c r="T1274" s="2717"/>
      <c r="U1274" s="2717"/>
      <c r="V1274" s="2717"/>
    </row>
    <row r="1275" spans="2:22" s="2720" customFormat="1" ht="14.1" customHeight="1" x14ac:dyDescent="0.2">
      <c r="B1275" s="2711"/>
      <c r="C1275" s="2524"/>
      <c r="D1275" s="3427" t="s">
        <v>280</v>
      </c>
      <c r="E1275" s="3428"/>
      <c r="F1275" s="2722"/>
      <c r="G1275" s="3433" t="s">
        <v>281</v>
      </c>
      <c r="H1275" s="3433" t="s">
        <v>282</v>
      </c>
      <c r="I1275" s="2524" t="s">
        <v>283</v>
      </c>
      <c r="J1275" s="2524" t="s">
        <v>284</v>
      </c>
      <c r="K1275" s="2524" t="s">
        <v>340</v>
      </c>
      <c r="L1275" s="2524" t="s">
        <v>2008</v>
      </c>
      <c r="M1275" s="2524" t="s">
        <v>2009</v>
      </c>
      <c r="N1275" s="2524" t="s">
        <v>284</v>
      </c>
      <c r="O1275" s="2716"/>
      <c r="Q1275" s="2717"/>
      <c r="R1275" s="2717"/>
      <c r="S1275" s="2719"/>
      <c r="T1275" s="2717"/>
      <c r="U1275" s="2717"/>
      <c r="V1275" s="2717"/>
    </row>
    <row r="1276" spans="2:22" s="2720" customFormat="1" ht="14.1" customHeight="1" x14ac:dyDescent="0.2">
      <c r="B1276" s="2711"/>
      <c r="C1276" s="2528" t="s">
        <v>669</v>
      </c>
      <c r="D1276" s="3429"/>
      <c r="E1276" s="3430"/>
      <c r="F1276" s="2723"/>
      <c r="G1276" s="3434"/>
      <c r="H1276" s="3434"/>
      <c r="I1276" s="2528" t="s">
        <v>285</v>
      </c>
      <c r="J1276" s="2528" t="s">
        <v>286</v>
      </c>
      <c r="K1276" s="2528" t="s">
        <v>286</v>
      </c>
      <c r="L1276" s="2528" t="s">
        <v>2011</v>
      </c>
      <c r="M1276" s="2528"/>
      <c r="N1276" s="2528" t="s">
        <v>2013</v>
      </c>
      <c r="O1276" s="2716"/>
      <c r="Q1276" s="2717"/>
      <c r="R1276" s="2717"/>
      <c r="S1276" s="2719"/>
      <c r="T1276" s="2717"/>
      <c r="U1276" s="2717"/>
      <c r="V1276" s="2717"/>
    </row>
    <row r="1277" spans="2:22" s="2720" customFormat="1" ht="14.1" customHeight="1" x14ac:dyDescent="0.2">
      <c r="B1277" s="2711"/>
      <c r="C1277" s="2537"/>
      <c r="D1277" s="3431"/>
      <c r="E1277" s="3432"/>
      <c r="F1277" s="2724"/>
      <c r="G1277" s="3435"/>
      <c r="H1277" s="3435"/>
      <c r="I1277" s="2537" t="s">
        <v>286</v>
      </c>
      <c r="J1277" s="2536"/>
      <c r="K1277" s="2536"/>
      <c r="L1277" s="2536"/>
      <c r="M1277" s="2536"/>
      <c r="N1277" s="2537" t="s">
        <v>286</v>
      </c>
      <c r="O1277" s="2716"/>
      <c r="Q1277" s="2717"/>
      <c r="R1277" s="2717"/>
      <c r="S1277" s="2719"/>
      <c r="T1277" s="2717"/>
      <c r="U1277" s="2717"/>
      <c r="V1277" s="2717"/>
    </row>
    <row r="1278" spans="2:22" s="2720" customFormat="1" ht="14.1" customHeight="1" x14ac:dyDescent="0.2">
      <c r="B1278" s="2711"/>
      <c r="C1278" s="2524" t="s">
        <v>607</v>
      </c>
      <c r="D1278" s="2725" t="s">
        <v>287</v>
      </c>
      <c r="E1278" s="2726" t="s">
        <v>410</v>
      </c>
      <c r="F1278" s="2726"/>
      <c r="G1278" s="2727" t="s">
        <v>338</v>
      </c>
      <c r="H1278" s="2728">
        <v>1.1000000000000001</v>
      </c>
      <c r="I1278" s="2729">
        <f>'Upah &amp; Bahan'!$I$89</f>
        <v>122000</v>
      </c>
      <c r="J1278" s="2729">
        <f>ROUND(H1278*I1278,2)</f>
        <v>134200</v>
      </c>
      <c r="K1278" s="2730"/>
      <c r="L1278" s="2731">
        <f>$L$737</f>
        <v>0.57130000000000003</v>
      </c>
      <c r="M1278" s="2732" t="s">
        <v>2029</v>
      </c>
      <c r="N1278" s="2729">
        <f t="shared" ref="N1278:N1287" si="112">L1278*J1278</f>
        <v>76668.460000000006</v>
      </c>
      <c r="O1278" s="2716"/>
      <c r="Q1278" s="2717"/>
      <c r="R1278" s="2717"/>
      <c r="S1278" s="2719"/>
      <c r="T1278" s="2717"/>
      <c r="U1278" s="2717"/>
      <c r="V1278" s="2717"/>
    </row>
    <row r="1279" spans="2:22" s="2721" customFormat="1" ht="14.1" customHeight="1" x14ac:dyDescent="0.2">
      <c r="B1279" s="2711"/>
      <c r="C1279" s="2528"/>
      <c r="D1279" s="2733"/>
      <c r="E1279" s="2726" t="s">
        <v>255</v>
      </c>
      <c r="F1279" s="2726"/>
      <c r="G1279" s="2727" t="s">
        <v>298</v>
      </c>
      <c r="H1279" s="2728">
        <v>0.05</v>
      </c>
      <c r="I1279" s="2729">
        <v>0</v>
      </c>
      <c r="J1279" s="2729">
        <f>ROUND(H1279*I1279,2)</f>
        <v>0</v>
      </c>
      <c r="K1279" s="2735"/>
      <c r="L1279" s="2731"/>
      <c r="M1279" s="2732"/>
      <c r="N1279" s="2729">
        <f t="shared" si="112"/>
        <v>0</v>
      </c>
      <c r="Q1279" s="2717"/>
      <c r="R1279" s="2717"/>
      <c r="S1279" s="2719"/>
      <c r="T1279" s="2717"/>
      <c r="U1279" s="2717"/>
      <c r="V1279" s="2717"/>
    </row>
    <row r="1280" spans="2:22" s="2720" customFormat="1" ht="14.1" customHeight="1" x14ac:dyDescent="0.2">
      <c r="B1280" s="2711"/>
      <c r="C1280" s="2537"/>
      <c r="D1280" s="2733"/>
      <c r="E1280" s="2984"/>
      <c r="F1280" s="2985"/>
      <c r="G1280" s="2742"/>
      <c r="H1280" s="2986"/>
      <c r="I1280" s="2842"/>
      <c r="J1280" s="2813"/>
      <c r="K1280" s="2729">
        <f>SUM(J1278:J1279)</f>
        <v>134200</v>
      </c>
      <c r="L1280" s="2731"/>
      <c r="M1280" s="2732"/>
      <c r="N1280" s="2729">
        <f t="shared" si="112"/>
        <v>0</v>
      </c>
      <c r="O1280" s="2716"/>
      <c r="Q1280" s="2717"/>
      <c r="R1280" s="2717"/>
      <c r="S1280" s="2719"/>
      <c r="T1280" s="2717"/>
      <c r="U1280" s="2717"/>
      <c r="V1280" s="2717"/>
    </row>
    <row r="1281" spans="2:22" s="2720" customFormat="1" ht="14.1" customHeight="1" x14ac:dyDescent="0.2">
      <c r="B1281" s="2711"/>
      <c r="C1281" s="2524" t="s">
        <v>608</v>
      </c>
      <c r="D1281" s="2725" t="s">
        <v>288</v>
      </c>
      <c r="E1281" s="2726" t="s">
        <v>289</v>
      </c>
      <c r="F1281" s="2726"/>
      <c r="G1281" s="2727" t="s">
        <v>291</v>
      </c>
      <c r="H1281" s="2728">
        <v>1.4999999999999999E-2</v>
      </c>
      <c r="I1281" s="2729">
        <f>'Upah &amp; Bahan'!$I$24</f>
        <v>88300</v>
      </c>
      <c r="J1281" s="2729">
        <f>ROUND(H1281*I1281,2)</f>
        <v>1324.5</v>
      </c>
      <c r="K1281" s="2734"/>
      <c r="L1281" s="2731">
        <f t="shared" ref="L1281:L1284" si="113">VLOOKUP($E1281,$D$1744:$G$1761,2,0)</f>
        <v>1</v>
      </c>
      <c r="M1281" s="2731" t="str">
        <f t="shared" ref="M1281:M1284" si="114">VLOOKUP($E1281,$D$1744:$G$1761,3,0)</f>
        <v>WNI</v>
      </c>
      <c r="N1281" s="2729">
        <f t="shared" si="112"/>
        <v>1324.5</v>
      </c>
      <c r="O1281" s="2716"/>
      <c r="Q1281" s="2717"/>
      <c r="R1281" s="2717"/>
      <c r="S1281" s="2719"/>
      <c r="T1281" s="2717"/>
      <c r="U1281" s="2717"/>
      <c r="V1281" s="2717"/>
    </row>
    <row r="1282" spans="2:22" s="2720" customFormat="1" ht="14.1" customHeight="1" x14ac:dyDescent="0.2">
      <c r="B1282" s="2711"/>
      <c r="C1282" s="2528"/>
      <c r="D1282" s="2733"/>
      <c r="E1282" s="2726" t="s">
        <v>334</v>
      </c>
      <c r="F1282" s="2726"/>
      <c r="G1282" s="2727" t="s">
        <v>291</v>
      </c>
      <c r="H1282" s="2728">
        <v>0.15</v>
      </c>
      <c r="I1282" s="2729">
        <f>'Upah &amp; Bahan'!$I$36</f>
        <v>92000</v>
      </c>
      <c r="J1282" s="2729">
        <f>ROUND(H1282*I1282,2)</f>
        <v>13800</v>
      </c>
      <c r="K1282" s="2734"/>
      <c r="L1282" s="2731">
        <f t="shared" si="113"/>
        <v>1</v>
      </c>
      <c r="M1282" s="2731" t="str">
        <f t="shared" si="114"/>
        <v>WNI</v>
      </c>
      <c r="N1282" s="2729">
        <f t="shared" si="112"/>
        <v>13800</v>
      </c>
      <c r="O1282" s="2716"/>
      <c r="Q1282" s="2717"/>
      <c r="R1282" s="2717"/>
      <c r="S1282" s="2719"/>
      <c r="T1282" s="2717"/>
      <c r="U1282" s="2717"/>
      <c r="V1282" s="2717"/>
    </row>
    <row r="1283" spans="2:22" s="2720" customFormat="1" ht="14.1" customHeight="1" x14ac:dyDescent="0.2">
      <c r="B1283" s="2711"/>
      <c r="C1283" s="2528"/>
      <c r="D1283" s="2733"/>
      <c r="E1283" s="2726" t="s">
        <v>716</v>
      </c>
      <c r="F1283" s="2726"/>
      <c r="G1283" s="2727" t="s">
        <v>291</v>
      </c>
      <c r="H1283" s="2728">
        <v>1.4999999999999999E-2</v>
      </c>
      <c r="I1283" s="2732">
        <f>'Upah &amp; Bahan'!$I$30</f>
        <v>96000</v>
      </c>
      <c r="J1283" s="2729">
        <f>ROUND(H1283*I1283,2)</f>
        <v>1440</v>
      </c>
      <c r="K1283" s="2734"/>
      <c r="L1283" s="2731">
        <f t="shared" si="113"/>
        <v>1</v>
      </c>
      <c r="M1283" s="2731" t="str">
        <f t="shared" si="114"/>
        <v>WNI</v>
      </c>
      <c r="N1283" s="2729">
        <f t="shared" si="112"/>
        <v>1440</v>
      </c>
      <c r="O1283" s="2716"/>
      <c r="Q1283" s="2717"/>
      <c r="R1283" s="2717"/>
      <c r="S1283" s="2719"/>
      <c r="T1283" s="2717"/>
      <c r="U1283" s="2717"/>
      <c r="V1283" s="2717"/>
    </row>
    <row r="1284" spans="2:22" s="2720" customFormat="1" ht="14.1" customHeight="1" x14ac:dyDescent="0.2">
      <c r="B1284" s="2711"/>
      <c r="C1284" s="2528"/>
      <c r="D1284" s="2733"/>
      <c r="E1284" s="2726" t="s">
        <v>290</v>
      </c>
      <c r="F1284" s="2726"/>
      <c r="G1284" s="2727" t="s">
        <v>291</v>
      </c>
      <c r="H1284" s="2988">
        <v>8.0000000000000004E-4</v>
      </c>
      <c r="I1284" s="2729">
        <f>'Upah &amp; Bahan'!$I$31</f>
        <v>90000</v>
      </c>
      <c r="J1284" s="2729">
        <f>ROUND(H1284*I1284,2)</f>
        <v>72</v>
      </c>
      <c r="K1284" s="2733"/>
      <c r="L1284" s="2731">
        <f t="shared" si="113"/>
        <v>1</v>
      </c>
      <c r="M1284" s="2731" t="str">
        <f t="shared" si="114"/>
        <v>WNI</v>
      </c>
      <c r="N1284" s="2729">
        <f t="shared" si="112"/>
        <v>72</v>
      </c>
      <c r="O1284" s="2716"/>
      <c r="Q1284" s="2717"/>
      <c r="R1284" s="2717"/>
      <c r="S1284" s="2719"/>
      <c r="T1284" s="2717"/>
      <c r="U1284" s="2717"/>
      <c r="V1284" s="2717"/>
    </row>
    <row r="1285" spans="2:22" s="2720" customFormat="1" ht="14.1" customHeight="1" x14ac:dyDescent="0.2">
      <c r="B1285" s="2711"/>
      <c r="C1285" s="2537"/>
      <c r="D1285" s="2536"/>
      <c r="E1285" s="2736"/>
      <c r="F1285" s="2741"/>
      <c r="G1285" s="2742"/>
      <c r="H1285" s="2743"/>
      <c r="I1285" s="2842"/>
      <c r="J1285" s="2813"/>
      <c r="K1285" s="2732">
        <f>SUM(J1281:J1284)</f>
        <v>16636.5</v>
      </c>
      <c r="L1285" s="2731"/>
      <c r="M1285" s="2732"/>
      <c r="N1285" s="2729">
        <f t="shared" si="112"/>
        <v>0</v>
      </c>
      <c r="O1285" s="2716"/>
      <c r="Q1285" s="2717"/>
      <c r="R1285" s="2717"/>
      <c r="S1285" s="2719"/>
      <c r="T1285" s="2717"/>
      <c r="U1285" s="2717"/>
      <c r="V1285" s="2717"/>
    </row>
    <row r="1286" spans="2:22" s="2720" customFormat="1" ht="14.1" customHeight="1" x14ac:dyDescent="0.2">
      <c r="B1286" s="2711"/>
      <c r="C1286" s="2524" t="s">
        <v>609</v>
      </c>
      <c r="D1286" s="2725" t="s">
        <v>606</v>
      </c>
      <c r="E1286" s="2739"/>
      <c r="F1286" s="2739"/>
      <c r="G1286" s="2727"/>
      <c r="H1286" s="2740"/>
      <c r="I1286" s="2814"/>
      <c r="J1286" s="2729"/>
      <c r="K1286" s="2730"/>
      <c r="L1286" s="2731"/>
      <c r="M1286" s="2732"/>
      <c r="N1286" s="2729">
        <f t="shared" si="112"/>
        <v>0</v>
      </c>
      <c r="O1286" s="2716"/>
      <c r="Q1286" s="2717"/>
      <c r="R1286" s="2717"/>
      <c r="S1286" s="2719"/>
      <c r="T1286" s="2717"/>
      <c r="U1286" s="2717"/>
      <c r="V1286" s="2717"/>
    </row>
    <row r="1287" spans="2:22" s="2720" customFormat="1" ht="14.1" customHeight="1" x14ac:dyDescent="0.2">
      <c r="B1287" s="2711"/>
      <c r="C1287" s="2537"/>
      <c r="D1287" s="2536"/>
      <c r="E1287" s="2736"/>
      <c r="F1287" s="2741"/>
      <c r="G1287" s="2742"/>
      <c r="H1287" s="2743"/>
      <c r="I1287" s="2744"/>
      <c r="J1287" s="2813"/>
      <c r="K1287" s="2732">
        <f>SUM(J1286:J1286)</f>
        <v>0</v>
      </c>
      <c r="L1287" s="2731"/>
      <c r="M1287" s="2732"/>
      <c r="N1287" s="2729">
        <f t="shared" si="112"/>
        <v>0</v>
      </c>
      <c r="O1287" s="2716"/>
      <c r="Q1287" s="2717"/>
      <c r="R1287" s="2717"/>
      <c r="S1287" s="2719"/>
      <c r="T1287" s="2717"/>
      <c r="U1287" s="2717"/>
      <c r="V1287" s="2717"/>
    </row>
    <row r="1288" spans="2:22" s="2720" customFormat="1" ht="14.1" customHeight="1" x14ac:dyDescent="0.2">
      <c r="B1288" s="2711"/>
      <c r="C1288" s="2727" t="s">
        <v>610</v>
      </c>
      <c r="D1288" s="2738" t="s">
        <v>651</v>
      </c>
      <c r="E1288" s="2741"/>
      <c r="F1288" s="2741"/>
      <c r="G1288" s="2742"/>
      <c r="H1288" s="2743"/>
      <c r="I1288" s="2744"/>
      <c r="J1288" s="2745" t="s">
        <v>652</v>
      </c>
      <c r="K1288" s="2732">
        <f>K1280+K1285+K1287</f>
        <v>150836.5</v>
      </c>
      <c r="L1288" s="2746">
        <f>N1288/K1288</f>
        <v>0.61858343305499663</v>
      </c>
      <c r="M1288" s="2745"/>
      <c r="N1288" s="2747">
        <f>SUM(N1277:N1287)</f>
        <v>93304.960000000006</v>
      </c>
      <c r="O1288" s="2716"/>
      <c r="Q1288" s="2717"/>
      <c r="R1288" s="2717"/>
      <c r="S1288" s="2719"/>
      <c r="T1288" s="2717"/>
      <c r="U1288" s="2717"/>
      <c r="V1288" s="2717"/>
    </row>
    <row r="1289" spans="2:22" s="2720" customFormat="1" ht="14.1" customHeight="1" x14ac:dyDescent="0.2">
      <c r="B1289" s="2711"/>
      <c r="C1289" s="2727" t="s">
        <v>611</v>
      </c>
      <c r="D1289" s="2738" t="s">
        <v>653</v>
      </c>
      <c r="E1289" s="2741"/>
      <c r="F1289" s="2748">
        <f>$F$42</f>
        <v>0.1</v>
      </c>
      <c r="G1289" s="2727" t="s">
        <v>425</v>
      </c>
      <c r="H1289" s="2748">
        <f>$H$42</f>
        <v>0.03</v>
      </c>
      <c r="I1289" s="2749" t="s">
        <v>424</v>
      </c>
      <c r="J1289" s="2732" t="s">
        <v>610</v>
      </c>
      <c r="K1289" s="2750">
        <f>ROUND((K1288*(F1289+H1289)),2)</f>
        <v>19608.75</v>
      </c>
      <c r="L1289" s="2732"/>
      <c r="M1289" s="2732"/>
      <c r="N1289" s="2732"/>
      <c r="O1289" s="2716"/>
      <c r="Q1289" s="2717"/>
      <c r="R1289" s="2717"/>
      <c r="S1289" s="2719"/>
      <c r="T1289" s="2717"/>
      <c r="U1289" s="2717"/>
      <c r="V1289" s="2717"/>
    </row>
    <row r="1290" spans="2:22" s="2720" customFormat="1" ht="14.1" customHeight="1" x14ac:dyDescent="0.2">
      <c r="B1290" s="2711"/>
      <c r="C1290" s="2880" t="s">
        <v>654</v>
      </c>
      <c r="D1290" s="2752" t="s">
        <v>301</v>
      </c>
      <c r="E1290" s="2815"/>
      <c r="F1290" s="2815"/>
      <c r="G1290" s="2815"/>
      <c r="H1290" s="2816"/>
      <c r="I1290" s="2815"/>
      <c r="J1290" s="2755" t="s">
        <v>668</v>
      </c>
      <c r="K1290" s="2756">
        <f>SUM(K1288:K1289)</f>
        <v>170445.25</v>
      </c>
      <c r="L1290" s="2746"/>
      <c r="M1290" s="2755"/>
      <c r="N1290" s="2757"/>
      <c r="O1290" s="2716"/>
      <c r="Q1290" s="2717"/>
      <c r="R1290" s="2717"/>
      <c r="S1290" s="2719"/>
      <c r="T1290" s="2717"/>
      <c r="U1290" s="2717"/>
      <c r="V1290" s="2717"/>
    </row>
    <row r="1291" spans="2:22" x14ac:dyDescent="0.25">
      <c r="Q1291" s="2717"/>
      <c r="R1291" s="2717"/>
      <c r="S1291" s="2719"/>
      <c r="T1291" s="2717"/>
      <c r="U1291" s="2717"/>
      <c r="V1291" s="2717"/>
    </row>
    <row r="1292" spans="2:22" s="2720" customFormat="1" ht="14.1" customHeight="1" x14ac:dyDescent="0.2">
      <c r="B1292" s="2711">
        <f>B1273+1</f>
        <v>65</v>
      </c>
      <c r="C1292" s="2711"/>
      <c r="D1292" s="2712" t="s">
        <v>1833</v>
      </c>
      <c r="E1292" s="2713"/>
      <c r="F1292" s="2713"/>
      <c r="G1292" s="2713"/>
      <c r="H1292" s="2714"/>
      <c r="I1292" s="2713"/>
      <c r="J1292" s="2713"/>
      <c r="K1292" s="2715" t="s">
        <v>765</v>
      </c>
      <c r="L1292" s="2715"/>
      <c r="M1292" s="2715"/>
      <c r="N1292" s="2715"/>
      <c r="O1292" s="2989" t="str">
        <f>D1293</f>
        <v>m2</v>
      </c>
      <c r="P1292" s="2717">
        <f>K1310</f>
        <v>23041.599999999999</v>
      </c>
      <c r="Q1292" s="2718">
        <f>L1308</f>
        <v>0.52513015673735219</v>
      </c>
      <c r="R1292" s="2717"/>
      <c r="S1292" s="2719">
        <f>N1308</f>
        <v>10707.824000000001</v>
      </c>
      <c r="T1292" s="2515">
        <f>U1292+S1292</f>
        <v>12099.841120000001</v>
      </c>
      <c r="U1292" s="2719">
        <f>S1292*V1292</f>
        <v>1392.0171200000002</v>
      </c>
      <c r="V1292" s="2718">
        <f>$F$42+$H$42</f>
        <v>0.13</v>
      </c>
    </row>
    <row r="1293" spans="2:22" s="2720" customFormat="1" ht="14.1" customHeight="1" x14ac:dyDescent="0.2">
      <c r="B1293" s="2711"/>
      <c r="C1293" s="2711"/>
      <c r="D1293" s="2712" t="s">
        <v>338</v>
      </c>
      <c r="E1293" s="2713"/>
      <c r="F1293" s="2713"/>
      <c r="G1293" s="2713"/>
      <c r="H1293" s="2714"/>
      <c r="I1293" s="2713"/>
      <c r="J1293" s="2713"/>
      <c r="K1293" s="2715"/>
      <c r="L1293" s="2715"/>
      <c r="M1293" s="2715"/>
      <c r="N1293" s="2715"/>
      <c r="O1293" s="2716"/>
      <c r="Q1293" s="2717"/>
      <c r="R1293" s="2717"/>
      <c r="S1293" s="2719"/>
      <c r="T1293" s="2717"/>
      <c r="U1293" s="2717"/>
      <c r="V1293" s="2717"/>
    </row>
    <row r="1294" spans="2:22" s="2720" customFormat="1" ht="14.1" customHeight="1" x14ac:dyDescent="0.2">
      <c r="B1294" s="2711"/>
      <c r="C1294" s="2524"/>
      <c r="D1294" s="3427" t="s">
        <v>280</v>
      </c>
      <c r="E1294" s="3428"/>
      <c r="F1294" s="2722"/>
      <c r="G1294" s="3433" t="s">
        <v>281</v>
      </c>
      <c r="H1294" s="3433" t="s">
        <v>282</v>
      </c>
      <c r="I1294" s="2524" t="s">
        <v>283</v>
      </c>
      <c r="J1294" s="2524" t="s">
        <v>284</v>
      </c>
      <c r="K1294" s="2524" t="s">
        <v>340</v>
      </c>
      <c r="L1294" s="2524" t="s">
        <v>2008</v>
      </c>
      <c r="M1294" s="2524" t="s">
        <v>2009</v>
      </c>
      <c r="N1294" s="2524" t="s">
        <v>284</v>
      </c>
      <c r="O1294" s="2716"/>
      <c r="Q1294" s="2717"/>
      <c r="R1294" s="2717"/>
      <c r="S1294" s="2719"/>
      <c r="T1294" s="2717"/>
      <c r="U1294" s="2717"/>
      <c r="V1294" s="2717"/>
    </row>
    <row r="1295" spans="2:22" s="2720" customFormat="1" ht="14.1" customHeight="1" x14ac:dyDescent="0.2">
      <c r="B1295" s="2711"/>
      <c r="C1295" s="2528" t="s">
        <v>669</v>
      </c>
      <c r="D1295" s="3429"/>
      <c r="E1295" s="3430"/>
      <c r="F1295" s="2723"/>
      <c r="G1295" s="3434"/>
      <c r="H1295" s="3434"/>
      <c r="I1295" s="2528" t="s">
        <v>285</v>
      </c>
      <c r="J1295" s="2528" t="s">
        <v>286</v>
      </c>
      <c r="K1295" s="2528" t="s">
        <v>286</v>
      </c>
      <c r="L1295" s="2528" t="s">
        <v>2011</v>
      </c>
      <c r="M1295" s="2528"/>
      <c r="N1295" s="2528" t="s">
        <v>2013</v>
      </c>
      <c r="O1295" s="2716"/>
      <c r="Q1295" s="2717"/>
      <c r="R1295" s="2717"/>
      <c r="S1295" s="2719"/>
      <c r="T1295" s="2717"/>
      <c r="U1295" s="2717"/>
      <c r="V1295" s="2717"/>
    </row>
    <row r="1296" spans="2:22" s="2720" customFormat="1" ht="14.1" customHeight="1" x14ac:dyDescent="0.2">
      <c r="B1296" s="2711"/>
      <c r="C1296" s="2537"/>
      <c r="D1296" s="3431"/>
      <c r="E1296" s="3432"/>
      <c r="F1296" s="2724"/>
      <c r="G1296" s="3435"/>
      <c r="H1296" s="3435"/>
      <c r="I1296" s="2537" t="s">
        <v>286</v>
      </c>
      <c r="J1296" s="2536"/>
      <c r="K1296" s="2536"/>
      <c r="L1296" s="2536"/>
      <c r="M1296" s="2536"/>
      <c r="N1296" s="2537" t="s">
        <v>286</v>
      </c>
      <c r="O1296" s="2716"/>
      <c r="Q1296" s="2717"/>
      <c r="R1296" s="2717"/>
      <c r="S1296" s="2719"/>
      <c r="T1296" s="2717"/>
      <c r="U1296" s="2717"/>
      <c r="V1296" s="2717"/>
    </row>
    <row r="1297" spans="2:22" s="2720" customFormat="1" ht="14.1" customHeight="1" x14ac:dyDescent="0.2">
      <c r="B1297" s="2711"/>
      <c r="C1297" s="2524" t="s">
        <v>607</v>
      </c>
      <c r="D1297" s="2725" t="s">
        <v>287</v>
      </c>
      <c r="E1297" s="2726" t="s">
        <v>380</v>
      </c>
      <c r="F1297" s="2726"/>
      <c r="G1297" s="2727" t="s">
        <v>298</v>
      </c>
      <c r="H1297" s="2728">
        <v>0.1</v>
      </c>
      <c r="I1297" s="2729">
        <f>'Upah &amp; Bahan'!$I$134</f>
        <v>20000</v>
      </c>
      <c r="J1297" s="2729">
        <f>ROUND(H1297*I1297,2)</f>
        <v>2000</v>
      </c>
      <c r="K1297" s="2730"/>
      <c r="L1297" s="2731">
        <v>0</v>
      </c>
      <c r="M1297" s="2732"/>
      <c r="N1297" s="2729">
        <f t="shared" ref="N1297:N1307" si="115">L1297*J1297</f>
        <v>0</v>
      </c>
      <c r="O1297" s="2716"/>
      <c r="Q1297" s="2717"/>
      <c r="R1297" s="2717"/>
      <c r="S1297" s="2719"/>
      <c r="T1297" s="2717"/>
      <c r="U1297" s="2717"/>
      <c r="V1297" s="2717"/>
    </row>
    <row r="1298" spans="2:22" s="2720" customFormat="1" ht="14.1" customHeight="1" x14ac:dyDescent="0.2">
      <c r="B1298" s="2711"/>
      <c r="C1298" s="2528"/>
      <c r="D1298" s="2733"/>
      <c r="E1298" s="2726" t="s">
        <v>381</v>
      </c>
      <c r="F1298" s="2726"/>
      <c r="G1298" s="2727" t="s">
        <v>298</v>
      </c>
      <c r="H1298" s="2728">
        <v>0.1</v>
      </c>
      <c r="I1298" s="2729">
        <f>'Upah &amp; Bahan'!$I$71</f>
        <v>28000</v>
      </c>
      <c r="J1298" s="2729">
        <f>ROUND(H1298*I1298,2)</f>
        <v>2800</v>
      </c>
      <c r="K1298" s="2734"/>
      <c r="L1298" s="2731">
        <v>0.23780000000000001</v>
      </c>
      <c r="M1298" s="2732" t="s">
        <v>2029</v>
      </c>
      <c r="N1298" s="2729">
        <f t="shared" si="115"/>
        <v>665.84</v>
      </c>
      <c r="O1298" s="2716"/>
      <c r="Q1298" s="2717"/>
      <c r="R1298" s="2717"/>
      <c r="S1298" s="2719"/>
      <c r="T1298" s="2717"/>
      <c r="U1298" s="2717"/>
      <c r="V1298" s="2717"/>
    </row>
    <row r="1299" spans="2:22" s="2720" customFormat="1" ht="14.1" customHeight="1" x14ac:dyDescent="0.2">
      <c r="B1299" s="2711"/>
      <c r="C1299" s="2528"/>
      <c r="D1299" s="2733"/>
      <c r="E1299" s="2726" t="s">
        <v>382</v>
      </c>
      <c r="F1299" s="2726"/>
      <c r="G1299" s="2727" t="s">
        <v>298</v>
      </c>
      <c r="H1299" s="2728">
        <v>0.26</v>
      </c>
      <c r="I1299" s="2729">
        <f>I1298</f>
        <v>28000</v>
      </c>
      <c r="J1299" s="2729">
        <f>ROUND(H1299*I1299,2)</f>
        <v>7280</v>
      </c>
      <c r="K1299" s="2735"/>
      <c r="L1299" s="2731">
        <v>0.23780000000000001</v>
      </c>
      <c r="M1299" s="2732" t="s">
        <v>2029</v>
      </c>
      <c r="N1299" s="2729">
        <f t="shared" si="115"/>
        <v>1731.1840000000002</v>
      </c>
      <c r="O1299" s="2716"/>
      <c r="Q1299" s="2717"/>
      <c r="R1299" s="2717"/>
      <c r="S1299" s="2719"/>
      <c r="T1299" s="2717"/>
      <c r="U1299" s="2717"/>
      <c r="V1299" s="2717"/>
    </row>
    <row r="1300" spans="2:22" s="2720" customFormat="1" ht="14.1" customHeight="1" x14ac:dyDescent="0.2">
      <c r="B1300" s="2711"/>
      <c r="C1300" s="2537"/>
      <c r="D1300" s="2733"/>
      <c r="E1300" s="2984"/>
      <c r="F1300" s="2985"/>
      <c r="G1300" s="2742"/>
      <c r="H1300" s="2986"/>
      <c r="I1300" s="2842"/>
      <c r="J1300" s="2813"/>
      <c r="K1300" s="2729">
        <f>SUM(J1297:J1299)</f>
        <v>12080</v>
      </c>
      <c r="L1300" s="2731"/>
      <c r="M1300" s="2732"/>
      <c r="N1300" s="2729">
        <f t="shared" si="115"/>
        <v>0</v>
      </c>
      <c r="O1300" s="2716"/>
      <c r="Q1300" s="2717"/>
      <c r="R1300" s="2717"/>
      <c r="S1300" s="2719"/>
      <c r="T1300" s="2717"/>
      <c r="U1300" s="2717"/>
      <c r="V1300" s="2717"/>
    </row>
    <row r="1301" spans="2:22" s="2720" customFormat="1" ht="14.1" customHeight="1" x14ac:dyDescent="0.2">
      <c r="B1301" s="2711"/>
      <c r="C1301" s="2524" t="s">
        <v>608</v>
      </c>
      <c r="D1301" s="2725" t="s">
        <v>288</v>
      </c>
      <c r="E1301" s="2726" t="s">
        <v>289</v>
      </c>
      <c r="F1301" s="2726"/>
      <c r="G1301" s="2727" t="s">
        <v>291</v>
      </c>
      <c r="H1301" s="2728">
        <v>0.02</v>
      </c>
      <c r="I1301" s="2729">
        <f>'Upah &amp; Bahan'!$I$24</f>
        <v>88300</v>
      </c>
      <c r="J1301" s="2729">
        <f>ROUND(H1301*I1301,2)</f>
        <v>1766</v>
      </c>
      <c r="K1301" s="2730"/>
      <c r="L1301" s="2731">
        <f t="shared" ref="L1301:L1304" si="116">VLOOKUP($E1301,$D$1744:$G$1761,2,0)</f>
        <v>1</v>
      </c>
      <c r="M1301" s="2731" t="str">
        <f t="shared" ref="M1301:M1304" si="117">VLOOKUP($E1301,$D$1744:$G$1761,3,0)</f>
        <v>WNI</v>
      </c>
      <c r="N1301" s="2729">
        <f t="shared" si="115"/>
        <v>1766</v>
      </c>
      <c r="O1301" s="2716"/>
      <c r="Q1301" s="2717"/>
      <c r="R1301" s="2717"/>
      <c r="S1301" s="2719"/>
      <c r="T1301" s="2717"/>
      <c r="U1301" s="2717"/>
      <c r="V1301" s="2717"/>
    </row>
    <row r="1302" spans="2:22" s="2720" customFormat="1" ht="14.1" customHeight="1" x14ac:dyDescent="0.2">
      <c r="B1302" s="2711"/>
      <c r="C1302" s="2528"/>
      <c r="D1302" s="2733"/>
      <c r="E1302" s="2726" t="s">
        <v>371</v>
      </c>
      <c r="F1302" s="2726"/>
      <c r="G1302" s="2727" t="s">
        <v>291</v>
      </c>
      <c r="H1302" s="2728">
        <v>6.3E-2</v>
      </c>
      <c r="I1302" s="2729">
        <f>'Upah &amp; Bahan'!$I$34</f>
        <v>90000</v>
      </c>
      <c r="J1302" s="2729">
        <f>ROUND(H1302*I1302,2)</f>
        <v>5670</v>
      </c>
      <c r="K1302" s="2734"/>
      <c r="L1302" s="2731">
        <f t="shared" si="116"/>
        <v>1</v>
      </c>
      <c r="M1302" s="2731" t="str">
        <f t="shared" si="117"/>
        <v>WNI</v>
      </c>
      <c r="N1302" s="2729">
        <f t="shared" si="115"/>
        <v>5670</v>
      </c>
      <c r="O1302" s="2716"/>
      <c r="Q1302" s="2717"/>
      <c r="R1302" s="2717"/>
      <c r="S1302" s="2719"/>
      <c r="T1302" s="2717"/>
      <c r="U1302" s="2717"/>
      <c r="V1302" s="2717"/>
    </row>
    <row r="1303" spans="2:22" s="2720" customFormat="1" ht="14.1" customHeight="1" x14ac:dyDescent="0.2">
      <c r="B1303" s="2711"/>
      <c r="C1303" s="2528"/>
      <c r="D1303" s="2733"/>
      <c r="E1303" s="2726" t="s">
        <v>369</v>
      </c>
      <c r="F1303" s="2726"/>
      <c r="G1303" s="2727" t="s">
        <v>291</v>
      </c>
      <c r="H1303" s="2988">
        <v>6.3E-3</v>
      </c>
      <c r="I1303" s="2729">
        <f>'Upah &amp; Bahan'!$I$28</f>
        <v>96000</v>
      </c>
      <c r="J1303" s="2729">
        <f>ROUND(H1303*I1303,2)</f>
        <v>604.79999999999995</v>
      </c>
      <c r="K1303" s="2734"/>
      <c r="L1303" s="2731">
        <f t="shared" si="116"/>
        <v>1</v>
      </c>
      <c r="M1303" s="2731" t="str">
        <f t="shared" si="117"/>
        <v>WNI</v>
      </c>
      <c r="N1303" s="2729">
        <f t="shared" si="115"/>
        <v>604.79999999999995</v>
      </c>
      <c r="O1303" s="2716"/>
      <c r="Q1303" s="2717"/>
      <c r="R1303" s="2717"/>
      <c r="S1303" s="2719"/>
      <c r="T1303" s="2717"/>
      <c r="U1303" s="2717"/>
      <c r="V1303" s="2717"/>
    </row>
    <row r="1304" spans="2:22" s="2720" customFormat="1" ht="14.1" customHeight="1" x14ac:dyDescent="0.2">
      <c r="B1304" s="2711"/>
      <c r="C1304" s="2528"/>
      <c r="D1304" s="2733"/>
      <c r="E1304" s="2726" t="s">
        <v>290</v>
      </c>
      <c r="F1304" s="2726"/>
      <c r="G1304" s="2727" t="s">
        <v>291</v>
      </c>
      <c r="H1304" s="2728">
        <v>3.0000000000000001E-3</v>
      </c>
      <c r="I1304" s="2729">
        <f>'Upah &amp; Bahan'!$I$31</f>
        <v>90000</v>
      </c>
      <c r="J1304" s="2729">
        <f>ROUND(H1304*I1304,2)</f>
        <v>270</v>
      </c>
      <c r="K1304" s="2733"/>
      <c r="L1304" s="2731">
        <f t="shared" si="116"/>
        <v>1</v>
      </c>
      <c r="M1304" s="2731" t="str">
        <f t="shared" si="117"/>
        <v>WNI</v>
      </c>
      <c r="N1304" s="2729">
        <f t="shared" si="115"/>
        <v>270</v>
      </c>
      <c r="O1304" s="2716"/>
      <c r="Q1304" s="2717"/>
      <c r="R1304" s="2717"/>
      <c r="S1304" s="2719"/>
      <c r="T1304" s="2717"/>
      <c r="U1304" s="2717"/>
      <c r="V1304" s="2717"/>
    </row>
    <row r="1305" spans="2:22" s="2720" customFormat="1" ht="14.1" customHeight="1" x14ac:dyDescent="0.2">
      <c r="B1305" s="2711"/>
      <c r="C1305" s="2537"/>
      <c r="D1305" s="2536"/>
      <c r="E1305" s="2736"/>
      <c r="F1305" s="2741"/>
      <c r="G1305" s="2742"/>
      <c r="H1305" s="2743"/>
      <c r="I1305" s="2842"/>
      <c r="J1305" s="2813"/>
      <c r="K1305" s="2732">
        <f>SUM(J1301:J1304)</f>
        <v>8310.7999999999993</v>
      </c>
      <c r="L1305" s="2731"/>
      <c r="M1305" s="2732"/>
      <c r="N1305" s="2729">
        <f t="shared" si="115"/>
        <v>0</v>
      </c>
      <c r="O1305" s="2716"/>
      <c r="Q1305" s="2717"/>
      <c r="R1305" s="2717"/>
      <c r="S1305" s="2719"/>
      <c r="T1305" s="2717"/>
      <c r="U1305" s="2717"/>
      <c r="V1305" s="2717"/>
    </row>
    <row r="1306" spans="2:22" s="2720" customFormat="1" ht="14.1" customHeight="1" x14ac:dyDescent="0.2">
      <c r="B1306" s="2711"/>
      <c r="C1306" s="2524" t="s">
        <v>609</v>
      </c>
      <c r="D1306" s="2725" t="s">
        <v>606</v>
      </c>
      <c r="E1306" s="2739"/>
      <c r="F1306" s="2739"/>
      <c r="G1306" s="2727"/>
      <c r="H1306" s="2740"/>
      <c r="I1306" s="2814"/>
      <c r="J1306" s="2729"/>
      <c r="K1306" s="2730"/>
      <c r="L1306" s="2731"/>
      <c r="M1306" s="2732"/>
      <c r="N1306" s="2729">
        <f t="shared" si="115"/>
        <v>0</v>
      </c>
      <c r="O1306" s="2716"/>
      <c r="Q1306" s="2717"/>
      <c r="R1306" s="2717"/>
      <c r="S1306" s="2719"/>
      <c r="T1306" s="2717"/>
      <c r="U1306" s="2717"/>
      <c r="V1306" s="2717"/>
    </row>
    <row r="1307" spans="2:22" s="2720" customFormat="1" ht="14.1" customHeight="1" x14ac:dyDescent="0.2">
      <c r="B1307" s="2711"/>
      <c r="C1307" s="2537"/>
      <c r="D1307" s="2536"/>
      <c r="E1307" s="2736"/>
      <c r="F1307" s="2741"/>
      <c r="G1307" s="2742"/>
      <c r="H1307" s="2743"/>
      <c r="I1307" s="2744"/>
      <c r="J1307" s="2813"/>
      <c r="K1307" s="2732">
        <f>SUM(J1306:J1306)</f>
        <v>0</v>
      </c>
      <c r="L1307" s="2731"/>
      <c r="M1307" s="2732"/>
      <c r="N1307" s="2729">
        <f t="shared" si="115"/>
        <v>0</v>
      </c>
      <c r="O1307" s="2716"/>
      <c r="Q1307" s="2717"/>
      <c r="R1307" s="2717"/>
      <c r="S1307" s="2719"/>
      <c r="T1307" s="2717"/>
      <c r="U1307" s="2717"/>
      <c r="V1307" s="2717"/>
    </row>
    <row r="1308" spans="2:22" s="2720" customFormat="1" ht="14.1" customHeight="1" x14ac:dyDescent="0.2">
      <c r="B1308" s="2711"/>
      <c r="C1308" s="2727" t="s">
        <v>610</v>
      </c>
      <c r="D1308" s="2738" t="s">
        <v>651</v>
      </c>
      <c r="E1308" s="2741"/>
      <c r="F1308" s="2741"/>
      <c r="G1308" s="2742"/>
      <c r="H1308" s="2743"/>
      <c r="I1308" s="2744"/>
      <c r="J1308" s="2745" t="s">
        <v>652</v>
      </c>
      <c r="K1308" s="2732">
        <f>K1300+K1305+K1307</f>
        <v>20390.8</v>
      </c>
      <c r="L1308" s="2746">
        <f>N1308/K1308</f>
        <v>0.52513015673735219</v>
      </c>
      <c r="M1308" s="2745"/>
      <c r="N1308" s="2747">
        <f>SUM(N1297:N1307)</f>
        <v>10707.824000000001</v>
      </c>
      <c r="O1308" s="2716"/>
      <c r="Q1308" s="2717"/>
      <c r="R1308" s="2717"/>
      <c r="S1308" s="2719"/>
      <c r="T1308" s="2717"/>
      <c r="U1308" s="2717"/>
      <c r="V1308" s="2717"/>
    </row>
    <row r="1309" spans="2:22" s="2720" customFormat="1" ht="14.1" customHeight="1" x14ac:dyDescent="0.2">
      <c r="B1309" s="2711"/>
      <c r="C1309" s="2727" t="s">
        <v>611</v>
      </c>
      <c r="D1309" s="2738" t="s">
        <v>653</v>
      </c>
      <c r="E1309" s="2741"/>
      <c r="F1309" s="2748">
        <f>$F$42</f>
        <v>0.1</v>
      </c>
      <c r="G1309" s="2727" t="s">
        <v>425</v>
      </c>
      <c r="H1309" s="2748">
        <f>$H$42</f>
        <v>0.03</v>
      </c>
      <c r="I1309" s="2749" t="s">
        <v>424</v>
      </c>
      <c r="J1309" s="2732" t="s">
        <v>610</v>
      </c>
      <c r="K1309" s="2750">
        <f>ROUND((K1308*(F1309+H1309)),2)</f>
        <v>2650.8</v>
      </c>
      <c r="L1309" s="2732"/>
      <c r="M1309" s="2732"/>
      <c r="N1309" s="2732"/>
      <c r="O1309" s="2716"/>
      <c r="Q1309" s="2717"/>
      <c r="R1309" s="2717"/>
      <c r="S1309" s="2719"/>
      <c r="T1309" s="2717"/>
      <c r="U1309" s="2717"/>
      <c r="V1309" s="2717"/>
    </row>
    <row r="1310" spans="2:22" s="2720" customFormat="1" ht="14.1" customHeight="1" x14ac:dyDescent="0.2">
      <c r="B1310" s="2711"/>
      <c r="C1310" s="2880" t="s">
        <v>654</v>
      </c>
      <c r="D1310" s="2752" t="s">
        <v>301</v>
      </c>
      <c r="E1310" s="2815"/>
      <c r="F1310" s="2815"/>
      <c r="G1310" s="2815"/>
      <c r="H1310" s="2816"/>
      <c r="I1310" s="2815"/>
      <c r="J1310" s="2755" t="s">
        <v>668</v>
      </c>
      <c r="K1310" s="2756">
        <f>SUM(K1308:K1309)</f>
        <v>23041.599999999999</v>
      </c>
      <c r="L1310" s="2746"/>
      <c r="M1310" s="2755"/>
      <c r="N1310" s="2757"/>
      <c r="O1310" s="2716"/>
      <c r="Q1310" s="2717"/>
      <c r="R1310" s="2717"/>
      <c r="S1310" s="2719"/>
      <c r="T1310" s="2717"/>
      <c r="U1310" s="2717"/>
      <c r="V1310" s="2717"/>
    </row>
    <row r="1311" spans="2:22" x14ac:dyDescent="0.25">
      <c r="Q1311" s="2717"/>
      <c r="R1311" s="2717"/>
      <c r="S1311" s="2719"/>
      <c r="T1311" s="2717"/>
      <c r="U1311" s="2717"/>
      <c r="V1311" s="2717"/>
    </row>
    <row r="1312" spans="2:22" s="2721" customFormat="1" ht="12.95" customHeight="1" x14ac:dyDescent="0.2">
      <c r="B1312" s="2711">
        <f>B1292+1</f>
        <v>66</v>
      </c>
      <c r="C1312" s="2711"/>
      <c r="D1312" s="2713" t="s">
        <v>1834</v>
      </c>
      <c r="E1312" s="2713"/>
      <c r="F1312" s="2713"/>
      <c r="G1312" s="2713"/>
      <c r="H1312" s="2714"/>
      <c r="I1312" s="2713"/>
      <c r="J1312" s="2713"/>
      <c r="K1312" s="2715" t="s">
        <v>766</v>
      </c>
      <c r="L1312" s="2715"/>
      <c r="M1312" s="2715"/>
      <c r="N1312" s="2715"/>
      <c r="O1312" s="2721" t="str">
        <f>D1313</f>
        <v>m2</v>
      </c>
      <c r="P1312" s="2810">
        <f>K1330</f>
        <v>56348.350000000006</v>
      </c>
      <c r="Q1312" s="2718">
        <f>L1328</f>
        <v>0.35460536078835592</v>
      </c>
      <c r="R1312" s="2717"/>
      <c r="S1312" s="2719">
        <f>N1328</f>
        <v>17682.68</v>
      </c>
      <c r="T1312" s="2515">
        <f>U1312+S1312</f>
        <v>19981.428400000001</v>
      </c>
      <c r="U1312" s="2719">
        <f>S1312*V1312</f>
        <v>2298.7483999999999</v>
      </c>
      <c r="V1312" s="2718">
        <f>$F$42+$H$42</f>
        <v>0.13</v>
      </c>
    </row>
    <row r="1313" spans="2:24" s="2721" customFormat="1" ht="12.95" customHeight="1" x14ac:dyDescent="0.2">
      <c r="B1313" s="2711"/>
      <c r="C1313" s="2711"/>
      <c r="D1313" s="2721" t="s">
        <v>338</v>
      </c>
      <c r="H1313" s="2711"/>
      <c r="Q1313" s="2717"/>
      <c r="R1313" s="2717"/>
      <c r="S1313" s="2719"/>
      <c r="T1313" s="2717"/>
      <c r="U1313" s="2717"/>
      <c r="V1313" s="2717"/>
    </row>
    <row r="1314" spans="2:24" s="2721" customFormat="1" ht="12.95" customHeight="1" x14ac:dyDescent="0.2">
      <c r="B1314" s="2711"/>
      <c r="C1314" s="2524"/>
      <c r="D1314" s="3427" t="s">
        <v>280</v>
      </c>
      <c r="E1314" s="3428"/>
      <c r="F1314" s="2722"/>
      <c r="G1314" s="3433" t="s">
        <v>281</v>
      </c>
      <c r="H1314" s="3433" t="s">
        <v>282</v>
      </c>
      <c r="I1314" s="2524" t="s">
        <v>283</v>
      </c>
      <c r="J1314" s="2524" t="s">
        <v>284</v>
      </c>
      <c r="K1314" s="2524" t="s">
        <v>340</v>
      </c>
      <c r="L1314" s="2524" t="s">
        <v>2008</v>
      </c>
      <c r="M1314" s="2524" t="s">
        <v>2009</v>
      </c>
      <c r="N1314" s="2524" t="s">
        <v>284</v>
      </c>
      <c r="Q1314" s="2717"/>
      <c r="R1314" s="2717"/>
      <c r="S1314" s="2719"/>
      <c r="T1314" s="2717"/>
      <c r="U1314" s="2717"/>
      <c r="V1314" s="2717"/>
    </row>
    <row r="1315" spans="2:24" s="2721" customFormat="1" ht="12.95" customHeight="1" x14ac:dyDescent="0.2">
      <c r="B1315" s="2711"/>
      <c r="C1315" s="2528" t="s">
        <v>669</v>
      </c>
      <c r="D1315" s="3429"/>
      <c r="E1315" s="3430"/>
      <c r="F1315" s="2723"/>
      <c r="G1315" s="3434"/>
      <c r="H1315" s="3434"/>
      <c r="I1315" s="2528" t="s">
        <v>285</v>
      </c>
      <c r="J1315" s="2528" t="s">
        <v>286</v>
      </c>
      <c r="K1315" s="2528" t="s">
        <v>286</v>
      </c>
      <c r="L1315" s="2528" t="s">
        <v>2011</v>
      </c>
      <c r="M1315" s="2528"/>
      <c r="N1315" s="2528" t="s">
        <v>2013</v>
      </c>
      <c r="Q1315" s="2717"/>
      <c r="R1315" s="2717"/>
      <c r="S1315" s="2719"/>
      <c r="T1315" s="2717"/>
      <c r="U1315" s="2717"/>
      <c r="V1315" s="2717"/>
    </row>
    <row r="1316" spans="2:24" s="2721" customFormat="1" ht="12.95" customHeight="1" x14ac:dyDescent="0.2">
      <c r="B1316" s="2711"/>
      <c r="C1316" s="2537"/>
      <c r="D1316" s="3431"/>
      <c r="E1316" s="3432"/>
      <c r="F1316" s="2724"/>
      <c r="G1316" s="3435"/>
      <c r="H1316" s="3435"/>
      <c r="I1316" s="2537" t="s">
        <v>286</v>
      </c>
      <c r="J1316" s="2536"/>
      <c r="K1316" s="2536"/>
      <c r="L1316" s="2536"/>
      <c r="M1316" s="2536"/>
      <c r="N1316" s="2537" t="s">
        <v>286</v>
      </c>
      <c r="Q1316" s="2717"/>
      <c r="R1316" s="2717"/>
      <c r="S1316" s="2719"/>
      <c r="T1316" s="2717"/>
      <c r="U1316" s="2717"/>
      <c r="V1316" s="2717"/>
    </row>
    <row r="1317" spans="2:24" s="2720" customFormat="1" ht="14.1" customHeight="1" x14ac:dyDescent="0.2">
      <c r="B1317" s="2711"/>
      <c r="C1317" s="2524" t="s">
        <v>607</v>
      </c>
      <c r="D1317" s="2725" t="s">
        <v>287</v>
      </c>
      <c r="E1317" s="2726" t="s">
        <v>380</v>
      </c>
      <c r="F1317" s="2726"/>
      <c r="G1317" s="2727" t="s">
        <v>298</v>
      </c>
      <c r="H1317" s="2728">
        <v>0.1</v>
      </c>
      <c r="I1317" s="2729">
        <f>'Upah &amp; Bahan'!$I$134</f>
        <v>20000</v>
      </c>
      <c r="J1317" s="2729">
        <f>ROUND(H1317*I1317,2)</f>
        <v>2000</v>
      </c>
      <c r="K1317" s="2730"/>
      <c r="L1317" s="2731">
        <v>0</v>
      </c>
      <c r="M1317" s="2732"/>
      <c r="N1317" s="2729">
        <f t="shared" ref="N1317:N1327" si="118">L1317*J1317</f>
        <v>0</v>
      </c>
      <c r="O1317" s="2716"/>
      <c r="Q1317" s="2717"/>
      <c r="R1317" s="2717"/>
      <c r="S1317" s="2719"/>
      <c r="T1317" s="2717"/>
      <c r="U1317" s="2717"/>
      <c r="V1317" s="2717"/>
    </row>
    <row r="1318" spans="2:24" s="2721" customFormat="1" ht="12.95" customHeight="1" x14ac:dyDescent="0.2">
      <c r="B1318" s="2711"/>
      <c r="C1318" s="2528"/>
      <c r="D1318" s="2733"/>
      <c r="E1318" s="2739" t="s">
        <v>381</v>
      </c>
      <c r="F1318" s="2739"/>
      <c r="G1318" s="2727" t="s">
        <v>298</v>
      </c>
      <c r="H1318" s="2728">
        <v>0.1</v>
      </c>
      <c r="I1318" s="2906">
        <f>'Upah &amp; Bahan'!$I$72</f>
        <v>110000</v>
      </c>
      <c r="J1318" s="2729">
        <f>ROUND(H1318*I1318,2)</f>
        <v>11000</v>
      </c>
      <c r="K1318" s="2730"/>
      <c r="L1318" s="2731">
        <v>0.23780000000000001</v>
      </c>
      <c r="M1318" s="2732" t="s">
        <v>2029</v>
      </c>
      <c r="N1318" s="2729">
        <f t="shared" si="118"/>
        <v>2615.8000000000002</v>
      </c>
      <c r="P1318" s="2810">
        <f>I1318*20</f>
        <v>2200000</v>
      </c>
      <c r="Q1318" s="2717"/>
      <c r="R1318" s="2717"/>
      <c r="S1318" s="2719"/>
      <c r="T1318" s="2717"/>
      <c r="U1318" s="2717"/>
      <c r="V1318" s="2717"/>
    </row>
    <row r="1319" spans="2:24" s="2721" customFormat="1" ht="12.95" customHeight="1" x14ac:dyDescent="0.2">
      <c r="B1319" s="2711"/>
      <c r="C1319" s="2528"/>
      <c r="D1319" s="2733"/>
      <c r="E1319" s="2736" t="s">
        <v>226</v>
      </c>
      <c r="F1319" s="2739"/>
      <c r="G1319" s="2727" t="s">
        <v>298</v>
      </c>
      <c r="H1319" s="2728">
        <v>0.26</v>
      </c>
      <c r="I1319" s="2906">
        <f>'Upah &amp; Bahan'!$I$72</f>
        <v>110000</v>
      </c>
      <c r="J1319" s="2729">
        <f>ROUND(H1319*I1319,2)</f>
        <v>28600</v>
      </c>
      <c r="K1319" s="2730"/>
      <c r="L1319" s="2731">
        <v>0.23780000000000001</v>
      </c>
      <c r="M1319" s="2732" t="s">
        <v>2029</v>
      </c>
      <c r="N1319" s="2729">
        <f t="shared" si="118"/>
        <v>6801.08</v>
      </c>
      <c r="P1319" s="2721">
        <v>1.3</v>
      </c>
      <c r="Q1319" s="2717"/>
      <c r="R1319" s="2717"/>
      <c r="S1319" s="2719"/>
      <c r="T1319" s="2717"/>
      <c r="U1319" s="2717"/>
      <c r="V1319" s="2717"/>
      <c r="W1319" s="2721">
        <v>20</v>
      </c>
      <c r="X1319" s="2721">
        <f>W1319*P1319</f>
        <v>26</v>
      </c>
    </row>
    <row r="1320" spans="2:24" s="2721" customFormat="1" ht="12.95" customHeight="1" x14ac:dyDescent="0.2">
      <c r="B1320" s="2711"/>
      <c r="C1320" s="2537"/>
      <c r="D1320" s="2733"/>
      <c r="E1320" s="2736"/>
      <c r="F1320" s="2741"/>
      <c r="G1320" s="2742"/>
      <c r="H1320" s="2743"/>
      <c r="I1320" s="2907"/>
      <c r="J1320" s="2813"/>
      <c r="K1320" s="2729">
        <f>SUM(J1317:J1319)</f>
        <v>41600</v>
      </c>
      <c r="L1320" s="2731"/>
      <c r="M1320" s="2732"/>
      <c r="N1320" s="2729">
        <f t="shared" si="118"/>
        <v>0</v>
      </c>
      <c r="P1320" s="2810">
        <f>I1319*X1319</f>
        <v>2860000</v>
      </c>
      <c r="Q1320" s="2717"/>
      <c r="R1320" s="2717"/>
      <c r="S1320" s="2719"/>
      <c r="T1320" s="2717"/>
      <c r="U1320" s="2717"/>
      <c r="V1320" s="2717"/>
    </row>
    <row r="1321" spans="2:24" s="2721" customFormat="1" ht="12.95" customHeight="1" x14ac:dyDescent="0.2">
      <c r="B1321" s="2711"/>
      <c r="C1321" s="2524" t="s">
        <v>608</v>
      </c>
      <c r="D1321" s="2725" t="s">
        <v>288</v>
      </c>
      <c r="E1321" s="2990" t="s">
        <v>289</v>
      </c>
      <c r="F1321" s="2990"/>
      <c r="G1321" s="2727" t="s">
        <v>291</v>
      </c>
      <c r="H1321" s="2991">
        <v>0.02</v>
      </c>
      <c r="I1321" s="2906">
        <f>'Upah &amp; Bahan'!$I$24</f>
        <v>88300</v>
      </c>
      <c r="J1321" s="2729">
        <f>ROUND(H1321*I1321,2)</f>
        <v>1766</v>
      </c>
      <c r="K1321" s="2730"/>
      <c r="L1321" s="2731">
        <f t="shared" ref="L1321:L1324" si="119">VLOOKUP($E1321,$D$1744:$G$1761,2,0)</f>
        <v>1</v>
      </c>
      <c r="M1321" s="2731" t="str">
        <f t="shared" ref="M1321:M1324" si="120">VLOOKUP($E1321,$D$1744:$G$1761,3,0)</f>
        <v>WNI</v>
      </c>
      <c r="N1321" s="2729">
        <f t="shared" si="118"/>
        <v>1766</v>
      </c>
      <c r="Q1321" s="2717"/>
      <c r="R1321" s="2717"/>
      <c r="S1321" s="2719"/>
      <c r="T1321" s="2717"/>
      <c r="U1321" s="2717"/>
      <c r="V1321" s="2717"/>
    </row>
    <row r="1322" spans="2:24" s="2721" customFormat="1" ht="12.95" customHeight="1" x14ac:dyDescent="0.2">
      <c r="B1322" s="2711"/>
      <c r="C1322" s="2528"/>
      <c r="D1322" s="2733"/>
      <c r="E1322" s="2990" t="s">
        <v>371</v>
      </c>
      <c r="F1322" s="2990"/>
      <c r="G1322" s="2727" t="s">
        <v>291</v>
      </c>
      <c r="H1322" s="2991">
        <v>6.3E-2</v>
      </c>
      <c r="I1322" s="2906">
        <f>'Upah &amp; Bahan'!$I$34</f>
        <v>90000</v>
      </c>
      <c r="J1322" s="2729">
        <f>ROUND(H1322*I1322,2)</f>
        <v>5670</v>
      </c>
      <c r="K1322" s="2734"/>
      <c r="L1322" s="2731">
        <f t="shared" si="119"/>
        <v>1</v>
      </c>
      <c r="M1322" s="2731" t="str">
        <f t="shared" si="120"/>
        <v>WNI</v>
      </c>
      <c r="N1322" s="2729">
        <f t="shared" si="118"/>
        <v>5670</v>
      </c>
      <c r="Q1322" s="2717"/>
      <c r="R1322" s="2717"/>
      <c r="S1322" s="2719"/>
      <c r="T1322" s="2717"/>
      <c r="U1322" s="2717"/>
      <c r="V1322" s="2717"/>
    </row>
    <row r="1323" spans="2:24" s="2721" customFormat="1" ht="12.95" customHeight="1" x14ac:dyDescent="0.2">
      <c r="B1323" s="2711"/>
      <c r="C1323" s="2528"/>
      <c r="D1323" s="2733"/>
      <c r="E1323" s="2990" t="s">
        <v>296</v>
      </c>
      <c r="F1323" s="2990"/>
      <c r="G1323" s="2727" t="s">
        <v>291</v>
      </c>
      <c r="H1323" s="2992">
        <v>6.3E-3</v>
      </c>
      <c r="I1323" s="2906">
        <f>'Upah &amp; Bahan'!$I$28</f>
        <v>96000</v>
      </c>
      <c r="J1323" s="2729">
        <f>ROUND(H1323*I1323,2)</f>
        <v>604.79999999999995</v>
      </c>
      <c r="K1323" s="2734"/>
      <c r="L1323" s="2731">
        <f t="shared" si="119"/>
        <v>1</v>
      </c>
      <c r="M1323" s="2731" t="str">
        <f t="shared" si="120"/>
        <v>WNI</v>
      </c>
      <c r="N1323" s="2729">
        <f t="shared" si="118"/>
        <v>604.79999999999995</v>
      </c>
      <c r="Q1323" s="2717"/>
      <c r="R1323" s="2717"/>
      <c r="S1323" s="2719"/>
      <c r="T1323" s="2717"/>
      <c r="U1323" s="2717"/>
      <c r="V1323" s="2717"/>
    </row>
    <row r="1324" spans="2:24" s="2721" customFormat="1" ht="12.95" customHeight="1" x14ac:dyDescent="0.2">
      <c r="B1324" s="2711"/>
      <c r="C1324" s="2528"/>
      <c r="D1324" s="2733"/>
      <c r="E1324" s="2990" t="s">
        <v>290</v>
      </c>
      <c r="F1324" s="2990"/>
      <c r="G1324" s="2727" t="s">
        <v>291</v>
      </c>
      <c r="H1324" s="2991">
        <v>2.5000000000000001E-3</v>
      </c>
      <c r="I1324" s="2906">
        <f>'Upah &amp; Bahan'!$I$31</f>
        <v>90000</v>
      </c>
      <c r="J1324" s="2729">
        <f>ROUND(H1324*I1324,2)</f>
        <v>225</v>
      </c>
      <c r="K1324" s="2733"/>
      <c r="L1324" s="2731">
        <f t="shared" si="119"/>
        <v>1</v>
      </c>
      <c r="M1324" s="2731" t="str">
        <f t="shared" si="120"/>
        <v>WNI</v>
      </c>
      <c r="N1324" s="2729">
        <f t="shared" si="118"/>
        <v>225</v>
      </c>
      <c r="Q1324" s="2717"/>
      <c r="R1324" s="2717"/>
      <c r="S1324" s="2719"/>
      <c r="T1324" s="2717"/>
      <c r="U1324" s="2717"/>
      <c r="V1324" s="2717"/>
    </row>
    <row r="1325" spans="2:24" s="2721" customFormat="1" ht="12.95" customHeight="1" x14ac:dyDescent="0.2">
      <c r="B1325" s="2711"/>
      <c r="C1325" s="2537"/>
      <c r="D1325" s="2536"/>
      <c r="E1325" s="2736"/>
      <c r="F1325" s="2741"/>
      <c r="G1325" s="2742"/>
      <c r="H1325" s="2743"/>
      <c r="I1325" s="2907"/>
      <c r="J1325" s="2813"/>
      <c r="K1325" s="2732">
        <f>SUM(J1321:J1324)</f>
        <v>8265.7999999999993</v>
      </c>
      <c r="L1325" s="2731"/>
      <c r="M1325" s="2732"/>
      <c r="N1325" s="2729">
        <f t="shared" si="118"/>
        <v>0</v>
      </c>
      <c r="Q1325" s="2717"/>
      <c r="R1325" s="2717"/>
      <c r="S1325" s="2719"/>
      <c r="T1325" s="2717"/>
      <c r="U1325" s="2717"/>
      <c r="V1325" s="2717"/>
    </row>
    <row r="1326" spans="2:24" s="2721" customFormat="1" ht="12.95" customHeight="1" x14ac:dyDescent="0.2">
      <c r="B1326" s="2711"/>
      <c r="C1326" s="2528" t="s">
        <v>609</v>
      </c>
      <c r="D1326" s="2725" t="s">
        <v>606</v>
      </c>
      <c r="E1326" s="2739"/>
      <c r="F1326" s="2739"/>
      <c r="G1326" s="2727"/>
      <c r="H1326" s="2740"/>
      <c r="I1326" s="2814"/>
      <c r="J1326" s="2729"/>
      <c r="K1326" s="2730"/>
      <c r="L1326" s="2731"/>
      <c r="M1326" s="2732"/>
      <c r="N1326" s="2729">
        <f t="shared" si="118"/>
        <v>0</v>
      </c>
      <c r="Q1326" s="2717"/>
      <c r="R1326" s="2717"/>
      <c r="S1326" s="2719"/>
      <c r="T1326" s="2717"/>
      <c r="U1326" s="2717"/>
      <c r="V1326" s="2717"/>
    </row>
    <row r="1327" spans="2:24" s="2721" customFormat="1" ht="12.95" customHeight="1" x14ac:dyDescent="0.2">
      <c r="B1327" s="2711"/>
      <c r="C1327" s="2537"/>
      <c r="D1327" s="2536"/>
      <c r="E1327" s="2736"/>
      <c r="F1327" s="2741"/>
      <c r="G1327" s="2742"/>
      <c r="H1327" s="2743"/>
      <c r="I1327" s="2744"/>
      <c r="J1327" s="2813"/>
      <c r="K1327" s="2732">
        <f>SUM(J1326:J1326)</f>
        <v>0</v>
      </c>
      <c r="L1327" s="2731"/>
      <c r="M1327" s="2732"/>
      <c r="N1327" s="2729">
        <f t="shared" si="118"/>
        <v>0</v>
      </c>
      <c r="Q1327" s="2717"/>
      <c r="R1327" s="2717"/>
      <c r="S1327" s="2719"/>
      <c r="T1327" s="2717"/>
      <c r="U1327" s="2717"/>
      <c r="V1327" s="2717"/>
    </row>
    <row r="1328" spans="2:24" s="2721" customFormat="1" ht="12.95" customHeight="1" x14ac:dyDescent="0.2">
      <c r="B1328" s="2711"/>
      <c r="C1328" s="2727" t="s">
        <v>610</v>
      </c>
      <c r="D1328" s="2738" t="s">
        <v>651</v>
      </c>
      <c r="E1328" s="2741"/>
      <c r="F1328" s="2741"/>
      <c r="G1328" s="2742"/>
      <c r="H1328" s="2743"/>
      <c r="I1328" s="2744"/>
      <c r="J1328" s="2745" t="s">
        <v>652</v>
      </c>
      <c r="K1328" s="2732">
        <f>K1320+K1325+K1327</f>
        <v>49865.8</v>
      </c>
      <c r="L1328" s="2746">
        <f>N1328/K1328</f>
        <v>0.35460536078835592</v>
      </c>
      <c r="M1328" s="2745"/>
      <c r="N1328" s="2747">
        <f>SUM(N1317:N1327)</f>
        <v>17682.68</v>
      </c>
      <c r="Q1328" s="2717"/>
      <c r="R1328" s="2717"/>
      <c r="S1328" s="2719"/>
      <c r="T1328" s="2717"/>
      <c r="U1328" s="2717"/>
      <c r="V1328" s="2717"/>
    </row>
    <row r="1329" spans="2:22" s="2721" customFormat="1" ht="12.95" customHeight="1" x14ac:dyDescent="0.2">
      <c r="B1329" s="2711"/>
      <c r="C1329" s="2537" t="s">
        <v>611</v>
      </c>
      <c r="D1329" s="2738" t="s">
        <v>653</v>
      </c>
      <c r="E1329" s="2741"/>
      <c r="F1329" s="2748">
        <f>$F$42</f>
        <v>0.1</v>
      </c>
      <c r="G1329" s="2727" t="s">
        <v>425</v>
      </c>
      <c r="H1329" s="2748">
        <f>$H$42</f>
        <v>0.03</v>
      </c>
      <c r="I1329" s="2749" t="s">
        <v>424</v>
      </c>
      <c r="J1329" s="2732" t="s">
        <v>610</v>
      </c>
      <c r="K1329" s="2750">
        <f>ROUND((K1328*(F1329+H1329)),2)</f>
        <v>6482.55</v>
      </c>
      <c r="L1329" s="2732"/>
      <c r="M1329" s="2732"/>
      <c r="N1329" s="2732"/>
      <c r="Q1329" s="2717"/>
      <c r="R1329" s="2717"/>
      <c r="S1329" s="2719"/>
      <c r="T1329" s="2717"/>
      <c r="U1329" s="2717"/>
      <c r="V1329" s="2717"/>
    </row>
    <row r="1330" spans="2:22" s="2721" customFormat="1" ht="12.95" customHeight="1" x14ac:dyDescent="0.2">
      <c r="B1330" s="2711"/>
      <c r="C1330" s="2880" t="s">
        <v>654</v>
      </c>
      <c r="D1330" s="2752" t="s">
        <v>301</v>
      </c>
      <c r="E1330" s="2815"/>
      <c r="F1330" s="2815"/>
      <c r="G1330" s="2815"/>
      <c r="H1330" s="2816"/>
      <c r="I1330" s="2815"/>
      <c r="J1330" s="2755" t="s">
        <v>668</v>
      </c>
      <c r="K1330" s="2756">
        <f>SUM(K1328:K1329)</f>
        <v>56348.350000000006</v>
      </c>
      <c r="L1330" s="2746"/>
      <c r="M1330" s="2755"/>
      <c r="N1330" s="2757"/>
      <c r="Q1330" s="2717"/>
      <c r="R1330" s="2717"/>
      <c r="S1330" s="2719"/>
      <c r="T1330" s="2717"/>
      <c r="U1330" s="2717"/>
      <c r="V1330" s="2717"/>
    </row>
    <row r="1331" spans="2:22" x14ac:dyDescent="0.25">
      <c r="Q1331" s="2717"/>
      <c r="R1331" s="2717"/>
      <c r="S1331" s="2719"/>
      <c r="T1331" s="2717"/>
      <c r="U1331" s="2717"/>
      <c r="V1331" s="2717"/>
    </row>
    <row r="1332" spans="2:22" s="2922" customFormat="1" ht="14.1" customHeight="1" x14ac:dyDescent="0.2">
      <c r="B1332" s="2711">
        <f>B1312+1</f>
        <v>67</v>
      </c>
      <c r="C1332" s="2625"/>
      <c r="D1332" s="2993" t="s">
        <v>1972</v>
      </c>
      <c r="E1332" s="2918"/>
      <c r="F1332" s="2918"/>
      <c r="G1332" s="2918"/>
      <c r="H1332" s="2625"/>
      <c r="I1332" s="2918"/>
      <c r="J1332" s="2918"/>
      <c r="K1332" s="2919" t="s">
        <v>720</v>
      </c>
      <c r="L1332" s="2919"/>
      <c r="M1332" s="2919"/>
      <c r="N1332" s="2919"/>
      <c r="O1332" s="2920" t="str">
        <f>D1333</f>
        <v>ttk</v>
      </c>
      <c r="P1332" s="2921">
        <f>K1350</f>
        <v>490227.9</v>
      </c>
      <c r="Q1332" s="2718">
        <f>L1348</f>
        <v>0.87737132056335432</v>
      </c>
      <c r="R1332" s="2717"/>
      <c r="S1332" s="2719">
        <f>N1348</f>
        <v>380630</v>
      </c>
      <c r="T1332" s="2515">
        <f>U1332+S1332</f>
        <v>430111.9</v>
      </c>
      <c r="U1332" s="2719">
        <f>S1332*V1332</f>
        <v>49481.9</v>
      </c>
      <c r="V1332" s="2718">
        <f>$F$42+$H$42</f>
        <v>0.13</v>
      </c>
    </row>
    <row r="1333" spans="2:22" s="2922" customFormat="1" ht="14.1" customHeight="1" x14ac:dyDescent="0.2">
      <c r="B1333" s="2625"/>
      <c r="C1333" s="2625"/>
      <c r="D1333" s="2918" t="s">
        <v>390</v>
      </c>
      <c r="E1333" s="2918"/>
      <c r="F1333" s="2918"/>
      <c r="G1333" s="2918"/>
      <c r="H1333" s="2625"/>
      <c r="I1333" s="2918"/>
      <c r="J1333" s="2918"/>
      <c r="K1333" s="2918"/>
      <c r="L1333" s="2918"/>
      <c r="M1333" s="2918"/>
      <c r="N1333" s="2918"/>
      <c r="O1333" s="2920"/>
      <c r="Q1333" s="2717"/>
      <c r="R1333" s="2717"/>
      <c r="S1333" s="2719"/>
      <c r="T1333" s="2717"/>
      <c r="U1333" s="2717"/>
      <c r="V1333" s="2717"/>
    </row>
    <row r="1334" spans="2:22" s="2922" customFormat="1" ht="14.1" customHeight="1" x14ac:dyDescent="0.2">
      <c r="B1334" s="2625"/>
      <c r="C1334" s="2618"/>
      <c r="D1334" s="3458" t="s">
        <v>280</v>
      </c>
      <c r="E1334" s="3459"/>
      <c r="F1334" s="2923"/>
      <c r="G1334" s="3464" t="s">
        <v>281</v>
      </c>
      <c r="H1334" s="3464" t="s">
        <v>282</v>
      </c>
      <c r="I1334" s="2618" t="s">
        <v>283</v>
      </c>
      <c r="J1334" s="2618" t="s">
        <v>284</v>
      </c>
      <c r="K1334" s="2618" t="s">
        <v>340</v>
      </c>
      <c r="L1334" s="2524" t="s">
        <v>2008</v>
      </c>
      <c r="M1334" s="2524" t="s">
        <v>2009</v>
      </c>
      <c r="N1334" s="2524" t="s">
        <v>284</v>
      </c>
      <c r="O1334" s="2920"/>
      <c r="Q1334" s="2717"/>
      <c r="R1334" s="2717"/>
      <c r="S1334" s="2719"/>
      <c r="T1334" s="2717"/>
      <c r="U1334" s="2717"/>
      <c r="V1334" s="2717"/>
    </row>
    <row r="1335" spans="2:22" s="2922" customFormat="1" ht="14.1" customHeight="1" x14ac:dyDescent="0.2">
      <c r="B1335" s="2625"/>
      <c r="C1335" s="2924" t="s">
        <v>669</v>
      </c>
      <c r="D1335" s="3460"/>
      <c r="E1335" s="3461"/>
      <c r="F1335" s="2925"/>
      <c r="G1335" s="3465"/>
      <c r="H1335" s="3465"/>
      <c r="I1335" s="2924" t="s">
        <v>285</v>
      </c>
      <c r="J1335" s="2924" t="s">
        <v>286</v>
      </c>
      <c r="K1335" s="2924" t="s">
        <v>286</v>
      </c>
      <c r="L1335" s="2528" t="s">
        <v>2011</v>
      </c>
      <c r="M1335" s="2528"/>
      <c r="N1335" s="2528" t="s">
        <v>2013</v>
      </c>
      <c r="O1335" s="2920"/>
      <c r="Q1335" s="2717"/>
      <c r="R1335" s="2717"/>
      <c r="S1335" s="2719"/>
      <c r="T1335" s="2717"/>
      <c r="U1335" s="2717"/>
      <c r="V1335" s="2717"/>
    </row>
    <row r="1336" spans="2:22" s="2922" customFormat="1" ht="14.1" customHeight="1" x14ac:dyDescent="0.2">
      <c r="B1336" s="2625"/>
      <c r="C1336" s="2926"/>
      <c r="D1336" s="3462"/>
      <c r="E1336" s="3463"/>
      <c r="F1336" s="2927"/>
      <c r="G1336" s="3466"/>
      <c r="H1336" s="3466"/>
      <c r="I1336" s="2926" t="s">
        <v>286</v>
      </c>
      <c r="J1336" s="2928"/>
      <c r="K1336" s="2928"/>
      <c r="L1336" s="2536"/>
      <c r="M1336" s="2536"/>
      <c r="N1336" s="2537" t="s">
        <v>286</v>
      </c>
      <c r="O1336" s="2920"/>
      <c r="Q1336" s="2717"/>
      <c r="R1336" s="2717"/>
      <c r="S1336" s="2719"/>
      <c r="T1336" s="2717"/>
      <c r="U1336" s="2717"/>
      <c r="V1336" s="2717"/>
    </row>
    <row r="1337" spans="2:22" s="2922" customFormat="1" ht="14.1" customHeight="1" x14ac:dyDescent="0.2">
      <c r="B1337" s="2625"/>
      <c r="C1337" s="2618" t="s">
        <v>607</v>
      </c>
      <c r="D1337" s="2938" t="s">
        <v>287</v>
      </c>
      <c r="E1337" s="2994" t="s">
        <v>1973</v>
      </c>
      <c r="F1337" s="2994"/>
      <c r="G1337" s="2633" t="s">
        <v>247</v>
      </c>
      <c r="H1337" s="2995">
        <v>1</v>
      </c>
      <c r="I1337" s="2932">
        <f>'Upah &amp; Bahan'!I81</f>
        <v>350000</v>
      </c>
      <c r="J1337" s="2932">
        <f>ROUND(H1337*I1337,2)</f>
        <v>350000</v>
      </c>
      <c r="K1337" s="2933"/>
      <c r="L1337" s="2731">
        <v>0.88549999999999995</v>
      </c>
      <c r="M1337" s="2732" t="s">
        <v>2029</v>
      </c>
      <c r="N1337" s="2729">
        <f t="shared" ref="N1337:N1347" si="121">L1337*J1337</f>
        <v>309925</v>
      </c>
      <c r="O1337" s="2920"/>
      <c r="Q1337" s="2717"/>
      <c r="R1337" s="2717"/>
      <c r="S1337" s="2719"/>
      <c r="T1337" s="2717"/>
      <c r="U1337" s="2717"/>
      <c r="V1337" s="2717"/>
    </row>
    <row r="1338" spans="2:22" s="2922" customFormat="1" ht="14.1" customHeight="1" x14ac:dyDescent="0.2">
      <c r="B1338" s="2625"/>
      <c r="C1338" s="2929"/>
      <c r="D1338" s="2929"/>
      <c r="E1338" s="2994" t="s">
        <v>1971</v>
      </c>
      <c r="F1338" s="2994"/>
      <c r="G1338" s="2633" t="s">
        <v>273</v>
      </c>
      <c r="H1338" s="2995">
        <v>1</v>
      </c>
      <c r="I1338" s="2932">
        <f>I1337*15%</f>
        <v>52500</v>
      </c>
      <c r="J1338" s="2932">
        <f>ROUND(H1338*I1338,2)</f>
        <v>52500</v>
      </c>
      <c r="K1338" s="2934"/>
      <c r="L1338" s="2731">
        <v>0.75</v>
      </c>
      <c r="M1338" s="2732" t="s">
        <v>2030</v>
      </c>
      <c r="N1338" s="2729">
        <f t="shared" si="121"/>
        <v>39375</v>
      </c>
      <c r="O1338" s="2920"/>
      <c r="Q1338" s="2717"/>
      <c r="R1338" s="2717"/>
      <c r="S1338" s="2719"/>
      <c r="T1338" s="2717"/>
      <c r="U1338" s="2717"/>
      <c r="V1338" s="2717"/>
    </row>
    <row r="1339" spans="2:22" s="2922" customFormat="1" ht="14.1" customHeight="1" x14ac:dyDescent="0.2">
      <c r="B1339" s="2625"/>
      <c r="C1339" s="2924"/>
      <c r="D1339" s="2929"/>
      <c r="E1339" s="2996"/>
      <c r="F1339" s="2997"/>
      <c r="G1339" s="2940"/>
      <c r="H1339" s="2998"/>
      <c r="I1339" s="2973"/>
      <c r="J1339" s="2937"/>
      <c r="K1339" s="2932">
        <f>SUM(J1337:J1338)</f>
        <v>402500</v>
      </c>
      <c r="L1339" s="2731"/>
      <c r="M1339" s="2732"/>
      <c r="N1339" s="2729">
        <f t="shared" si="121"/>
        <v>0</v>
      </c>
      <c r="O1339" s="2920"/>
      <c r="Q1339" s="2717"/>
      <c r="R1339" s="2717"/>
      <c r="S1339" s="2719"/>
      <c r="T1339" s="2717"/>
      <c r="U1339" s="2717"/>
      <c r="V1339" s="2717"/>
    </row>
    <row r="1340" spans="2:22" s="2922" customFormat="1" ht="14.1" customHeight="1" x14ac:dyDescent="0.2">
      <c r="B1340" s="2625"/>
      <c r="C1340" s="2618" t="s">
        <v>608</v>
      </c>
      <c r="D1340" s="2938" t="s">
        <v>288</v>
      </c>
      <c r="E1340" s="2994" t="s">
        <v>289</v>
      </c>
      <c r="F1340" s="2994"/>
      <c r="G1340" s="2633" t="s">
        <v>291</v>
      </c>
      <c r="H1340" s="2995">
        <v>0.1</v>
      </c>
      <c r="I1340" s="2814">
        <f>'Upah &amp; Bahan'!$I$24</f>
        <v>88300</v>
      </c>
      <c r="J1340" s="2932">
        <f>ROUND(H1340*I1340,2)</f>
        <v>8830</v>
      </c>
      <c r="K1340" s="2933"/>
      <c r="L1340" s="2731">
        <f t="shared" ref="L1340:L1342" si="122">VLOOKUP($E1340,$D$1744:$G$1761,2,0)</f>
        <v>1</v>
      </c>
      <c r="M1340" s="2731" t="str">
        <f t="shared" ref="M1340:M1342" si="123">VLOOKUP($E1340,$D$1744:$G$1761,3,0)</f>
        <v>WNI</v>
      </c>
      <c r="N1340" s="2729">
        <f t="shared" si="121"/>
        <v>8830</v>
      </c>
      <c r="O1340" s="2920"/>
      <c r="Q1340" s="2717"/>
      <c r="R1340" s="2717"/>
      <c r="S1340" s="2719"/>
      <c r="T1340" s="2717"/>
      <c r="U1340" s="2717"/>
      <c r="V1340" s="2717"/>
    </row>
    <row r="1341" spans="2:22" s="2922" customFormat="1" ht="14.1" customHeight="1" x14ac:dyDescent="0.2">
      <c r="B1341" s="2625"/>
      <c r="C1341" s="2929"/>
      <c r="D1341" s="2929"/>
      <c r="E1341" s="2994" t="s">
        <v>20</v>
      </c>
      <c r="F1341" s="2994"/>
      <c r="G1341" s="2633" t="s">
        <v>291</v>
      </c>
      <c r="H1341" s="2995">
        <v>0.2</v>
      </c>
      <c r="I1341" s="2932">
        <f>'Upah &amp; Bahan'!$I$38</f>
        <v>90000</v>
      </c>
      <c r="J1341" s="2932">
        <f>ROUND(H1341*I1341,2)</f>
        <v>18000</v>
      </c>
      <c r="K1341" s="2934"/>
      <c r="L1341" s="2731">
        <f t="shared" si="122"/>
        <v>1</v>
      </c>
      <c r="M1341" s="2731" t="str">
        <f t="shared" si="123"/>
        <v>WNI</v>
      </c>
      <c r="N1341" s="2729">
        <f t="shared" si="121"/>
        <v>18000</v>
      </c>
      <c r="O1341" s="2920"/>
      <c r="Q1341" s="2717"/>
      <c r="R1341" s="2717"/>
      <c r="S1341" s="2719"/>
      <c r="T1341" s="2717"/>
      <c r="U1341" s="2717"/>
      <c r="V1341" s="2717"/>
    </row>
    <row r="1342" spans="2:22" s="2922" customFormat="1" ht="14.1" customHeight="1" x14ac:dyDescent="0.2">
      <c r="B1342" s="2625"/>
      <c r="C1342" s="2929"/>
      <c r="D1342" s="2929"/>
      <c r="E1342" s="2994" t="s">
        <v>290</v>
      </c>
      <c r="F1342" s="2994"/>
      <c r="G1342" s="2633" t="s">
        <v>291</v>
      </c>
      <c r="H1342" s="2995">
        <v>0.05</v>
      </c>
      <c r="I1342" s="2814">
        <f>'Upah &amp; Bahan'!$I$31</f>
        <v>90000</v>
      </c>
      <c r="J1342" s="2932">
        <f>ROUND(H1342*I1342,2)</f>
        <v>4500</v>
      </c>
      <c r="K1342" s="2934"/>
      <c r="L1342" s="2731">
        <f t="shared" si="122"/>
        <v>1</v>
      </c>
      <c r="M1342" s="2731" t="str">
        <f t="shared" si="123"/>
        <v>WNI</v>
      </c>
      <c r="N1342" s="2729">
        <f t="shared" si="121"/>
        <v>4500</v>
      </c>
      <c r="O1342" s="2920"/>
      <c r="Q1342" s="2717"/>
      <c r="R1342" s="2717"/>
      <c r="S1342" s="2719"/>
      <c r="T1342" s="2717"/>
      <c r="U1342" s="2717"/>
      <c r="V1342" s="2717"/>
    </row>
    <row r="1343" spans="2:22" s="2922" customFormat="1" ht="14.1" customHeight="1" x14ac:dyDescent="0.2">
      <c r="B1343" s="2625"/>
      <c r="C1343" s="2926"/>
      <c r="D1343" s="2928"/>
      <c r="E1343" s="2939"/>
      <c r="F1343" s="2935"/>
      <c r="G1343" s="2940"/>
      <c r="H1343" s="2941"/>
      <c r="I1343" s="2973"/>
      <c r="J1343" s="2937"/>
      <c r="K1343" s="2942">
        <f>SUM(J1340:J1342)</f>
        <v>31330</v>
      </c>
      <c r="L1343" s="2731"/>
      <c r="M1343" s="2732"/>
      <c r="N1343" s="2729">
        <f t="shared" si="121"/>
        <v>0</v>
      </c>
      <c r="O1343" s="2920"/>
      <c r="Q1343" s="2717"/>
      <c r="R1343" s="2717"/>
      <c r="S1343" s="2719"/>
      <c r="T1343" s="2717"/>
      <c r="U1343" s="2717"/>
      <c r="V1343" s="2717"/>
    </row>
    <row r="1344" spans="2:22" s="2922" customFormat="1" ht="14.1" customHeight="1" x14ac:dyDescent="0.2">
      <c r="B1344" s="2625"/>
      <c r="C1344" s="2924" t="s">
        <v>609</v>
      </c>
      <c r="D1344" s="2938" t="s">
        <v>606</v>
      </c>
      <c r="E1344" s="2930"/>
      <c r="F1344" s="2930"/>
      <c r="G1344" s="2633"/>
      <c r="H1344" s="2943"/>
      <c r="I1344" s="2944"/>
      <c r="J1344" s="2932"/>
      <c r="K1344" s="2933"/>
      <c r="L1344" s="2731"/>
      <c r="M1344" s="2732"/>
      <c r="N1344" s="2729">
        <f t="shared" si="121"/>
        <v>0</v>
      </c>
      <c r="O1344" s="2920"/>
      <c r="Q1344" s="2717"/>
      <c r="R1344" s="2717"/>
      <c r="S1344" s="2719"/>
      <c r="T1344" s="2717"/>
      <c r="U1344" s="2717"/>
      <c r="V1344" s="2717"/>
    </row>
    <row r="1345" spans="2:22" s="2922" customFormat="1" ht="14.1" customHeight="1" x14ac:dyDescent="0.2">
      <c r="B1345" s="2625"/>
      <c r="C1345" s="2924"/>
      <c r="D1345" s="2929"/>
      <c r="E1345" s="2939"/>
      <c r="F1345" s="2935"/>
      <c r="G1345" s="2940"/>
      <c r="H1345" s="2941"/>
      <c r="I1345" s="2945"/>
      <c r="J1345" s="2937"/>
      <c r="K1345" s="2933"/>
      <c r="L1345" s="2731"/>
      <c r="M1345" s="2732"/>
      <c r="N1345" s="2729">
        <f t="shared" si="121"/>
        <v>0</v>
      </c>
      <c r="O1345" s="2920"/>
      <c r="Q1345" s="2717"/>
      <c r="R1345" s="2717"/>
      <c r="S1345" s="2719"/>
      <c r="T1345" s="2717"/>
      <c r="U1345" s="2717"/>
      <c r="V1345" s="2717"/>
    </row>
    <row r="1346" spans="2:22" s="2922" customFormat="1" ht="14.1" customHeight="1" x14ac:dyDescent="0.2">
      <c r="B1346" s="2625"/>
      <c r="C1346" s="2924"/>
      <c r="D1346" s="2929"/>
      <c r="E1346" s="2939"/>
      <c r="F1346" s="2935"/>
      <c r="G1346" s="2940"/>
      <c r="H1346" s="2941"/>
      <c r="I1346" s="2945"/>
      <c r="J1346" s="2937"/>
      <c r="K1346" s="2933"/>
      <c r="L1346" s="2731"/>
      <c r="M1346" s="2732"/>
      <c r="N1346" s="2729">
        <f t="shared" si="121"/>
        <v>0</v>
      </c>
      <c r="O1346" s="2920"/>
      <c r="Q1346" s="2717"/>
      <c r="R1346" s="2717"/>
      <c r="S1346" s="2719"/>
      <c r="T1346" s="2717"/>
      <c r="U1346" s="2717"/>
      <c r="V1346" s="2717"/>
    </row>
    <row r="1347" spans="2:22" s="2922" customFormat="1" ht="14.1" customHeight="1" x14ac:dyDescent="0.2">
      <c r="B1347" s="2625"/>
      <c r="C1347" s="2926"/>
      <c r="D1347" s="2928"/>
      <c r="E1347" s="2939"/>
      <c r="F1347" s="2935"/>
      <c r="G1347" s="2940"/>
      <c r="H1347" s="2941"/>
      <c r="I1347" s="2945"/>
      <c r="J1347" s="2937"/>
      <c r="K1347" s="2942">
        <f>SUM(J1344:J1344)</f>
        <v>0</v>
      </c>
      <c r="L1347" s="2731"/>
      <c r="M1347" s="2732"/>
      <c r="N1347" s="2729">
        <f t="shared" si="121"/>
        <v>0</v>
      </c>
      <c r="O1347" s="2920"/>
      <c r="Q1347" s="2717"/>
      <c r="R1347" s="2717"/>
      <c r="S1347" s="2719"/>
      <c r="T1347" s="2717"/>
      <c r="U1347" s="2717"/>
      <c r="V1347" s="2717"/>
    </row>
    <row r="1348" spans="2:22" s="2922" customFormat="1" ht="14.1" customHeight="1" x14ac:dyDescent="0.2">
      <c r="B1348" s="2625"/>
      <c r="C1348" s="2926" t="s">
        <v>610</v>
      </c>
      <c r="D1348" s="2946" t="s">
        <v>651</v>
      </c>
      <c r="E1348" s="2935"/>
      <c r="F1348" s="2935"/>
      <c r="G1348" s="2940"/>
      <c r="H1348" s="2941"/>
      <c r="I1348" s="2945"/>
      <c r="J1348" s="2947" t="s">
        <v>652</v>
      </c>
      <c r="K1348" s="2942">
        <f>K1339+K1343+K1347</f>
        <v>433830</v>
      </c>
      <c r="L1348" s="2746">
        <f>N1348/K1348</f>
        <v>0.87737132056335432</v>
      </c>
      <c r="M1348" s="2745"/>
      <c r="N1348" s="2747">
        <f>SUM(N1337:N1347)</f>
        <v>380630</v>
      </c>
      <c r="O1348" s="2920"/>
      <c r="Q1348" s="2717"/>
      <c r="R1348" s="2717"/>
      <c r="S1348" s="2719"/>
      <c r="T1348" s="2717"/>
      <c r="U1348" s="2717"/>
      <c r="V1348" s="2717"/>
    </row>
    <row r="1349" spans="2:22" s="2922" customFormat="1" ht="14.1" customHeight="1" x14ac:dyDescent="0.2">
      <c r="B1349" s="2625"/>
      <c r="C1349" s="2926" t="s">
        <v>611</v>
      </c>
      <c r="D1349" s="2946" t="s">
        <v>653</v>
      </c>
      <c r="E1349" s="2935"/>
      <c r="F1349" s="2748">
        <f>$F$42</f>
        <v>0.1</v>
      </c>
      <c r="G1349" s="2727" t="s">
        <v>425</v>
      </c>
      <c r="H1349" s="2748">
        <f>$H$42</f>
        <v>0.03</v>
      </c>
      <c r="I1349" s="2948" t="s">
        <v>424</v>
      </c>
      <c r="J1349" s="2942" t="s">
        <v>610</v>
      </c>
      <c r="K1349" s="2949">
        <f>ROUND((K1348*(F1349+H1349)),2)</f>
        <v>56397.9</v>
      </c>
      <c r="L1349" s="2732"/>
      <c r="M1349" s="2732"/>
      <c r="N1349" s="2732"/>
      <c r="O1349" s="2920"/>
      <c r="Q1349" s="2717"/>
      <c r="R1349" s="2717"/>
      <c r="S1349" s="2719"/>
      <c r="T1349" s="2717"/>
      <c r="U1349" s="2717"/>
      <c r="V1349" s="2717"/>
    </row>
    <row r="1350" spans="2:22" s="2922" customFormat="1" ht="14.1" customHeight="1" x14ac:dyDescent="0.2">
      <c r="B1350" s="2625"/>
      <c r="C1350" s="2950" t="s">
        <v>654</v>
      </c>
      <c r="D1350" s="2951" t="s">
        <v>301</v>
      </c>
      <c r="E1350" s="2952"/>
      <c r="F1350" s="2952"/>
      <c r="G1350" s="2952"/>
      <c r="H1350" s="2953"/>
      <c r="I1350" s="2952"/>
      <c r="J1350" s="2954" t="s">
        <v>668</v>
      </c>
      <c r="K1350" s="2955">
        <f>SUM(K1348:K1349)</f>
        <v>490227.9</v>
      </c>
      <c r="L1350" s="2746"/>
      <c r="M1350" s="2755"/>
      <c r="N1350" s="2757"/>
      <c r="O1350" s="2920"/>
      <c r="Q1350" s="2717"/>
      <c r="R1350" s="2717"/>
      <c r="S1350" s="2719"/>
      <c r="T1350" s="2717"/>
      <c r="U1350" s="2717"/>
      <c r="V1350" s="2717"/>
    </row>
    <row r="1351" spans="2:22" x14ac:dyDescent="0.25">
      <c r="Q1351" s="2717"/>
      <c r="R1351" s="2717"/>
      <c r="S1351" s="2719"/>
      <c r="T1351" s="2717"/>
      <c r="U1351" s="2717"/>
      <c r="V1351" s="2717"/>
    </row>
    <row r="1352" spans="2:22" s="2922" customFormat="1" ht="14.1" customHeight="1" x14ac:dyDescent="0.2">
      <c r="B1352" s="2711">
        <f>B1332+1</f>
        <v>68</v>
      </c>
      <c r="C1352" s="2625"/>
      <c r="D1352" s="2993" t="s">
        <v>1969</v>
      </c>
      <c r="E1352" s="2918"/>
      <c r="F1352" s="2918"/>
      <c r="G1352" s="2918"/>
      <c r="H1352" s="2625"/>
      <c r="I1352" s="2918"/>
      <c r="J1352" s="2918"/>
      <c r="K1352" s="2919" t="s">
        <v>720</v>
      </c>
      <c r="L1352" s="2919"/>
      <c r="M1352" s="2919"/>
      <c r="N1352" s="2919"/>
      <c r="O1352" s="2920" t="str">
        <f>D1353</f>
        <v>ttk</v>
      </c>
      <c r="P1352" s="2921">
        <f>K1370</f>
        <v>841092.9</v>
      </c>
      <c r="Q1352" s="2718">
        <f>L1368</f>
        <v>0.87338949122029208</v>
      </c>
      <c r="R1352" s="2717"/>
      <c r="S1352" s="2719">
        <f>N1368</f>
        <v>650090</v>
      </c>
      <c r="T1352" s="2515">
        <f>U1352+S1352</f>
        <v>734601.7</v>
      </c>
      <c r="U1352" s="2719">
        <f>S1352*V1352</f>
        <v>84511.7</v>
      </c>
      <c r="V1352" s="2718">
        <f>$F$42+$H$42</f>
        <v>0.13</v>
      </c>
    </row>
    <row r="1353" spans="2:22" s="2922" customFormat="1" ht="14.1" customHeight="1" x14ac:dyDescent="0.2">
      <c r="B1353" s="2625"/>
      <c r="C1353" s="2625"/>
      <c r="D1353" s="2918" t="s">
        <v>390</v>
      </c>
      <c r="E1353" s="2918"/>
      <c r="F1353" s="2918"/>
      <c r="G1353" s="2918"/>
      <c r="H1353" s="2625"/>
      <c r="I1353" s="2918"/>
      <c r="J1353" s="2918"/>
      <c r="K1353" s="2918"/>
      <c r="L1353" s="2918"/>
      <c r="M1353" s="2918"/>
      <c r="N1353" s="2918"/>
      <c r="O1353" s="2920"/>
      <c r="Q1353" s="2717"/>
      <c r="R1353" s="2717"/>
      <c r="S1353" s="2719"/>
      <c r="T1353" s="2717"/>
      <c r="U1353" s="2717"/>
      <c r="V1353" s="2717"/>
    </row>
    <row r="1354" spans="2:22" s="2922" customFormat="1" ht="14.1" customHeight="1" x14ac:dyDescent="0.2">
      <c r="B1354" s="2625"/>
      <c r="C1354" s="2618"/>
      <c r="D1354" s="3458" t="s">
        <v>280</v>
      </c>
      <c r="E1354" s="3459"/>
      <c r="F1354" s="2923"/>
      <c r="G1354" s="3464" t="s">
        <v>281</v>
      </c>
      <c r="H1354" s="3464" t="s">
        <v>282</v>
      </c>
      <c r="I1354" s="2618" t="s">
        <v>283</v>
      </c>
      <c r="J1354" s="2618" t="s">
        <v>284</v>
      </c>
      <c r="K1354" s="2618" t="s">
        <v>340</v>
      </c>
      <c r="L1354" s="2524" t="s">
        <v>2008</v>
      </c>
      <c r="M1354" s="2524" t="s">
        <v>2009</v>
      </c>
      <c r="N1354" s="2524" t="s">
        <v>284</v>
      </c>
      <c r="O1354" s="2920"/>
      <c r="Q1354" s="2717"/>
      <c r="R1354" s="2717"/>
      <c r="S1354" s="2719"/>
      <c r="T1354" s="2717"/>
      <c r="U1354" s="2717"/>
      <c r="V1354" s="2717"/>
    </row>
    <row r="1355" spans="2:22" s="2922" customFormat="1" ht="14.1" customHeight="1" x14ac:dyDescent="0.2">
      <c r="B1355" s="2625"/>
      <c r="C1355" s="2924" t="s">
        <v>669</v>
      </c>
      <c r="D1355" s="3460"/>
      <c r="E1355" s="3461"/>
      <c r="F1355" s="2925"/>
      <c r="G1355" s="3465"/>
      <c r="H1355" s="3465"/>
      <c r="I1355" s="2924" t="s">
        <v>285</v>
      </c>
      <c r="J1355" s="2924" t="s">
        <v>286</v>
      </c>
      <c r="K1355" s="2924" t="s">
        <v>286</v>
      </c>
      <c r="L1355" s="2528" t="s">
        <v>2011</v>
      </c>
      <c r="M1355" s="2528"/>
      <c r="N1355" s="2528" t="s">
        <v>2013</v>
      </c>
      <c r="O1355" s="2920"/>
      <c r="Q1355" s="2717"/>
      <c r="R1355" s="2717"/>
      <c r="S1355" s="2719"/>
      <c r="T1355" s="2717"/>
      <c r="U1355" s="2717"/>
      <c r="V1355" s="2717"/>
    </row>
    <row r="1356" spans="2:22" s="2922" customFormat="1" ht="14.1" customHeight="1" x14ac:dyDescent="0.2">
      <c r="B1356" s="2625"/>
      <c r="C1356" s="2926"/>
      <c r="D1356" s="3462"/>
      <c r="E1356" s="3463"/>
      <c r="F1356" s="2927"/>
      <c r="G1356" s="3466"/>
      <c r="H1356" s="3466"/>
      <c r="I1356" s="2926" t="s">
        <v>286</v>
      </c>
      <c r="J1356" s="2928"/>
      <c r="K1356" s="2928"/>
      <c r="L1356" s="2536"/>
      <c r="M1356" s="2536"/>
      <c r="N1356" s="2537" t="s">
        <v>286</v>
      </c>
      <c r="O1356" s="2920"/>
      <c r="Q1356" s="2717"/>
      <c r="R1356" s="2717"/>
      <c r="S1356" s="2719"/>
      <c r="T1356" s="2717"/>
      <c r="U1356" s="2717"/>
      <c r="V1356" s="2717"/>
    </row>
    <row r="1357" spans="2:22" s="2922" customFormat="1" ht="14.1" customHeight="1" x14ac:dyDescent="0.2">
      <c r="B1357" s="2625"/>
      <c r="C1357" s="2618" t="s">
        <v>607</v>
      </c>
      <c r="D1357" s="2938" t="s">
        <v>287</v>
      </c>
      <c r="E1357" s="2994" t="s">
        <v>1970</v>
      </c>
      <c r="F1357" s="2994"/>
      <c r="G1357" s="2633" t="s">
        <v>247</v>
      </c>
      <c r="H1357" s="2995">
        <v>1</v>
      </c>
      <c r="I1357" s="2932">
        <f>'Upah &amp; Bahan'!I82</f>
        <v>620000</v>
      </c>
      <c r="J1357" s="2932">
        <f>ROUND(H1357*I1357,2)</f>
        <v>620000</v>
      </c>
      <c r="K1357" s="2933"/>
      <c r="L1357" s="2731">
        <v>0.88549999999999995</v>
      </c>
      <c r="M1357" s="2732" t="s">
        <v>2029</v>
      </c>
      <c r="N1357" s="2729">
        <f t="shared" ref="N1357:N1367" si="124">L1357*J1357</f>
        <v>549010</v>
      </c>
      <c r="O1357" s="2920"/>
      <c r="Q1357" s="2717"/>
      <c r="R1357" s="2717"/>
      <c r="S1357" s="2719"/>
      <c r="T1357" s="2717"/>
      <c r="U1357" s="2717"/>
      <c r="V1357" s="2717"/>
    </row>
    <row r="1358" spans="2:22" s="2922" customFormat="1" ht="14.1" customHeight="1" x14ac:dyDescent="0.2">
      <c r="B1358" s="2625"/>
      <c r="C1358" s="2929"/>
      <c r="D1358" s="2929"/>
      <c r="E1358" s="2994" t="s">
        <v>1971</v>
      </c>
      <c r="F1358" s="2994"/>
      <c r="G1358" s="2633" t="s">
        <v>273</v>
      </c>
      <c r="H1358" s="2995">
        <v>1</v>
      </c>
      <c r="I1358" s="2932">
        <f>I1357*15%</f>
        <v>93000</v>
      </c>
      <c r="J1358" s="2932">
        <f>ROUND(H1358*I1358,2)</f>
        <v>93000</v>
      </c>
      <c r="K1358" s="2934"/>
      <c r="L1358" s="2731">
        <v>0.75</v>
      </c>
      <c r="M1358" s="2732" t="s">
        <v>2030</v>
      </c>
      <c r="N1358" s="2729">
        <f t="shared" si="124"/>
        <v>69750</v>
      </c>
      <c r="O1358" s="2920"/>
      <c r="Q1358" s="2717"/>
      <c r="R1358" s="2717"/>
      <c r="S1358" s="2719"/>
      <c r="T1358" s="2717"/>
      <c r="U1358" s="2717"/>
      <c r="V1358" s="2717"/>
    </row>
    <row r="1359" spans="2:22" s="2922" customFormat="1" ht="14.1" customHeight="1" x14ac:dyDescent="0.2">
      <c r="B1359" s="2625"/>
      <c r="C1359" s="2924"/>
      <c r="D1359" s="2929"/>
      <c r="E1359" s="2996"/>
      <c r="F1359" s="2997"/>
      <c r="G1359" s="2940"/>
      <c r="H1359" s="2998"/>
      <c r="I1359" s="2973"/>
      <c r="J1359" s="2937"/>
      <c r="K1359" s="2932">
        <f>SUM(J1357:J1358)</f>
        <v>713000</v>
      </c>
      <c r="L1359" s="2731"/>
      <c r="M1359" s="2732"/>
      <c r="N1359" s="2729">
        <f t="shared" si="124"/>
        <v>0</v>
      </c>
      <c r="O1359" s="2920"/>
      <c r="Q1359" s="2717"/>
      <c r="R1359" s="2717"/>
      <c r="S1359" s="2719"/>
      <c r="T1359" s="2717"/>
      <c r="U1359" s="2717"/>
      <c r="V1359" s="2717"/>
    </row>
    <row r="1360" spans="2:22" s="2922" customFormat="1" ht="14.1" customHeight="1" x14ac:dyDescent="0.2">
      <c r="B1360" s="2625"/>
      <c r="C1360" s="2618" t="s">
        <v>608</v>
      </c>
      <c r="D1360" s="2938" t="s">
        <v>288</v>
      </c>
      <c r="E1360" s="2994" t="s">
        <v>289</v>
      </c>
      <c r="F1360" s="2994"/>
      <c r="G1360" s="2633" t="s">
        <v>291</v>
      </c>
      <c r="H1360" s="2995">
        <v>0.1</v>
      </c>
      <c r="I1360" s="2814">
        <f>'Upah &amp; Bahan'!$I$24</f>
        <v>88300</v>
      </c>
      <c r="J1360" s="2932">
        <f>ROUND(H1360*I1360,2)</f>
        <v>8830</v>
      </c>
      <c r="K1360" s="2933"/>
      <c r="L1360" s="2731">
        <f t="shared" ref="L1360:L1362" si="125">VLOOKUP($E1360,$D$1744:$G$1761,2,0)</f>
        <v>1</v>
      </c>
      <c r="M1360" s="2731" t="str">
        <f t="shared" ref="M1360:M1362" si="126">VLOOKUP($E1360,$D$1744:$G$1761,3,0)</f>
        <v>WNI</v>
      </c>
      <c r="N1360" s="2729">
        <f t="shared" si="124"/>
        <v>8830</v>
      </c>
      <c r="O1360" s="2920"/>
      <c r="Q1360" s="2717"/>
      <c r="R1360" s="2717"/>
      <c r="S1360" s="2719"/>
      <c r="T1360" s="2717"/>
      <c r="U1360" s="2717"/>
      <c r="V1360" s="2717"/>
    </row>
    <row r="1361" spans="2:22" s="2922" customFormat="1" ht="14.1" customHeight="1" x14ac:dyDescent="0.2">
      <c r="B1361" s="2625"/>
      <c r="C1361" s="2929"/>
      <c r="D1361" s="2929"/>
      <c r="E1361" s="2994" t="s">
        <v>20</v>
      </c>
      <c r="F1361" s="2994"/>
      <c r="G1361" s="2633" t="s">
        <v>291</v>
      </c>
      <c r="H1361" s="2995">
        <v>0.2</v>
      </c>
      <c r="I1361" s="2932">
        <f>'Upah &amp; Bahan'!$I$38</f>
        <v>90000</v>
      </c>
      <c r="J1361" s="2932">
        <f>ROUND(H1361*I1361,2)</f>
        <v>18000</v>
      </c>
      <c r="K1361" s="2934"/>
      <c r="L1361" s="2731">
        <f t="shared" si="125"/>
        <v>1</v>
      </c>
      <c r="M1361" s="2731" t="str">
        <f t="shared" si="126"/>
        <v>WNI</v>
      </c>
      <c r="N1361" s="2729">
        <f t="shared" si="124"/>
        <v>18000</v>
      </c>
      <c r="O1361" s="2920"/>
      <c r="Q1361" s="2717"/>
      <c r="R1361" s="2717"/>
      <c r="S1361" s="2719"/>
      <c r="T1361" s="2717"/>
      <c r="U1361" s="2717"/>
      <c r="V1361" s="2717"/>
    </row>
    <row r="1362" spans="2:22" s="2922" customFormat="1" ht="14.1" customHeight="1" x14ac:dyDescent="0.2">
      <c r="B1362" s="2625"/>
      <c r="C1362" s="2929"/>
      <c r="D1362" s="2929"/>
      <c r="E1362" s="2994" t="s">
        <v>290</v>
      </c>
      <c r="F1362" s="2994"/>
      <c r="G1362" s="2633" t="s">
        <v>291</v>
      </c>
      <c r="H1362" s="2995">
        <v>0.05</v>
      </c>
      <c r="I1362" s="2814">
        <f>'Upah &amp; Bahan'!$I$31</f>
        <v>90000</v>
      </c>
      <c r="J1362" s="2932">
        <f>ROUND(H1362*I1362,2)</f>
        <v>4500</v>
      </c>
      <c r="K1362" s="2934"/>
      <c r="L1362" s="2731">
        <f t="shared" si="125"/>
        <v>1</v>
      </c>
      <c r="M1362" s="2731" t="str">
        <f t="shared" si="126"/>
        <v>WNI</v>
      </c>
      <c r="N1362" s="2729">
        <f t="shared" si="124"/>
        <v>4500</v>
      </c>
      <c r="O1362" s="2920"/>
      <c r="Q1362" s="2717"/>
      <c r="R1362" s="2717"/>
      <c r="S1362" s="2719"/>
      <c r="T1362" s="2717"/>
      <c r="U1362" s="2717"/>
      <c r="V1362" s="2717"/>
    </row>
    <row r="1363" spans="2:22" s="2922" customFormat="1" ht="14.1" customHeight="1" x14ac:dyDescent="0.2">
      <c r="B1363" s="2625"/>
      <c r="C1363" s="2926"/>
      <c r="D1363" s="2928"/>
      <c r="E1363" s="2939"/>
      <c r="F1363" s="2935"/>
      <c r="G1363" s="2940"/>
      <c r="H1363" s="2941"/>
      <c r="I1363" s="2973"/>
      <c r="J1363" s="2937"/>
      <c r="K1363" s="2942">
        <f>SUM(J1360:J1362)</f>
        <v>31330</v>
      </c>
      <c r="L1363" s="2731"/>
      <c r="M1363" s="2732"/>
      <c r="N1363" s="2729">
        <f t="shared" si="124"/>
        <v>0</v>
      </c>
      <c r="O1363" s="2920"/>
      <c r="Q1363" s="2717"/>
      <c r="R1363" s="2717"/>
      <c r="S1363" s="2719"/>
      <c r="T1363" s="2717"/>
      <c r="U1363" s="2717"/>
      <c r="V1363" s="2717"/>
    </row>
    <row r="1364" spans="2:22" s="2922" customFormat="1" ht="14.1" customHeight="1" x14ac:dyDescent="0.2">
      <c r="B1364" s="2625"/>
      <c r="C1364" s="2924" t="s">
        <v>609</v>
      </c>
      <c r="D1364" s="2938" t="s">
        <v>606</v>
      </c>
      <c r="E1364" s="2930"/>
      <c r="F1364" s="2930"/>
      <c r="G1364" s="2633"/>
      <c r="H1364" s="2943"/>
      <c r="I1364" s="2944"/>
      <c r="J1364" s="2932"/>
      <c r="K1364" s="2933"/>
      <c r="L1364" s="2731"/>
      <c r="M1364" s="2732"/>
      <c r="N1364" s="2729">
        <f t="shared" si="124"/>
        <v>0</v>
      </c>
      <c r="O1364" s="2920"/>
      <c r="Q1364" s="2717"/>
      <c r="R1364" s="2717"/>
      <c r="S1364" s="2719"/>
      <c r="T1364" s="2717"/>
      <c r="U1364" s="2717"/>
      <c r="V1364" s="2717"/>
    </row>
    <row r="1365" spans="2:22" s="2922" customFormat="1" ht="14.1" customHeight="1" x14ac:dyDescent="0.2">
      <c r="B1365" s="2625"/>
      <c r="C1365" s="2924"/>
      <c r="D1365" s="2929"/>
      <c r="E1365" s="2939"/>
      <c r="F1365" s="2935"/>
      <c r="G1365" s="2940"/>
      <c r="H1365" s="2941"/>
      <c r="I1365" s="2945"/>
      <c r="J1365" s="2937"/>
      <c r="K1365" s="2933"/>
      <c r="L1365" s="2731"/>
      <c r="M1365" s="2732"/>
      <c r="N1365" s="2729">
        <f t="shared" si="124"/>
        <v>0</v>
      </c>
      <c r="O1365" s="2920"/>
      <c r="Q1365" s="2717"/>
      <c r="R1365" s="2717"/>
      <c r="S1365" s="2719"/>
      <c r="T1365" s="2717"/>
      <c r="U1365" s="2717"/>
      <c r="V1365" s="2717"/>
    </row>
    <row r="1366" spans="2:22" s="2922" customFormat="1" ht="14.1" customHeight="1" x14ac:dyDescent="0.2">
      <c r="B1366" s="2625"/>
      <c r="C1366" s="2924"/>
      <c r="D1366" s="2929"/>
      <c r="E1366" s="2939"/>
      <c r="F1366" s="2935"/>
      <c r="G1366" s="2940"/>
      <c r="H1366" s="2941"/>
      <c r="I1366" s="2945"/>
      <c r="J1366" s="2937"/>
      <c r="K1366" s="2933"/>
      <c r="L1366" s="2731"/>
      <c r="M1366" s="2732"/>
      <c r="N1366" s="2729">
        <f t="shared" si="124"/>
        <v>0</v>
      </c>
      <c r="O1366" s="2920"/>
      <c r="Q1366" s="2717"/>
      <c r="R1366" s="2717"/>
      <c r="S1366" s="2719"/>
      <c r="T1366" s="2717"/>
      <c r="U1366" s="2717"/>
      <c r="V1366" s="2717"/>
    </row>
    <row r="1367" spans="2:22" s="2922" customFormat="1" ht="14.1" customHeight="1" x14ac:dyDescent="0.2">
      <c r="B1367" s="2625"/>
      <c r="C1367" s="2926"/>
      <c r="D1367" s="2928"/>
      <c r="E1367" s="2939"/>
      <c r="F1367" s="2935"/>
      <c r="G1367" s="2940"/>
      <c r="H1367" s="2941"/>
      <c r="I1367" s="2945"/>
      <c r="J1367" s="2937"/>
      <c r="K1367" s="2942">
        <f>SUM(J1364:J1364)</f>
        <v>0</v>
      </c>
      <c r="L1367" s="2731"/>
      <c r="M1367" s="2732"/>
      <c r="N1367" s="2729">
        <f t="shared" si="124"/>
        <v>0</v>
      </c>
      <c r="O1367" s="2920"/>
      <c r="Q1367" s="2717"/>
      <c r="R1367" s="2717"/>
      <c r="S1367" s="2719"/>
      <c r="T1367" s="2717"/>
      <c r="U1367" s="2717"/>
      <c r="V1367" s="2717"/>
    </row>
    <row r="1368" spans="2:22" s="2922" customFormat="1" ht="14.1" customHeight="1" x14ac:dyDescent="0.2">
      <c r="B1368" s="2625"/>
      <c r="C1368" s="2926" t="s">
        <v>610</v>
      </c>
      <c r="D1368" s="2946" t="s">
        <v>651</v>
      </c>
      <c r="E1368" s="2935"/>
      <c r="F1368" s="2935"/>
      <c r="G1368" s="2940"/>
      <c r="H1368" s="2941"/>
      <c r="I1368" s="2945"/>
      <c r="J1368" s="2947" t="s">
        <v>652</v>
      </c>
      <c r="K1368" s="2942">
        <f>K1359+K1363+K1367</f>
        <v>744330</v>
      </c>
      <c r="L1368" s="2746">
        <f>N1368/K1368</f>
        <v>0.87338949122029208</v>
      </c>
      <c r="M1368" s="2745"/>
      <c r="N1368" s="2747">
        <f>SUM(N1357:N1367)</f>
        <v>650090</v>
      </c>
      <c r="O1368" s="2920"/>
      <c r="Q1368" s="2717"/>
      <c r="R1368" s="2717"/>
      <c r="S1368" s="2719"/>
      <c r="T1368" s="2717"/>
      <c r="U1368" s="2717"/>
      <c r="V1368" s="2717"/>
    </row>
    <row r="1369" spans="2:22" s="2922" customFormat="1" ht="14.1" customHeight="1" x14ac:dyDescent="0.2">
      <c r="B1369" s="2625"/>
      <c r="C1369" s="2926" t="s">
        <v>611</v>
      </c>
      <c r="D1369" s="2946" t="s">
        <v>653</v>
      </c>
      <c r="E1369" s="2935"/>
      <c r="F1369" s="2748">
        <f>$F$42</f>
        <v>0.1</v>
      </c>
      <c r="G1369" s="2727" t="s">
        <v>425</v>
      </c>
      <c r="H1369" s="2748">
        <f>$H$42</f>
        <v>0.03</v>
      </c>
      <c r="I1369" s="2948" t="s">
        <v>424</v>
      </c>
      <c r="J1369" s="2942" t="s">
        <v>610</v>
      </c>
      <c r="K1369" s="2949">
        <f>ROUND((K1368*(F1369+H1369)),2)</f>
        <v>96762.9</v>
      </c>
      <c r="L1369" s="2732"/>
      <c r="M1369" s="2732"/>
      <c r="N1369" s="2732"/>
      <c r="O1369" s="2920"/>
      <c r="Q1369" s="2717"/>
      <c r="R1369" s="2717"/>
      <c r="S1369" s="2719"/>
      <c r="T1369" s="2717"/>
      <c r="U1369" s="2717"/>
      <c r="V1369" s="2717"/>
    </row>
    <row r="1370" spans="2:22" s="2922" customFormat="1" ht="14.1" customHeight="1" x14ac:dyDescent="0.2">
      <c r="B1370" s="2625"/>
      <c r="C1370" s="2950" t="s">
        <v>654</v>
      </c>
      <c r="D1370" s="2951" t="s">
        <v>301</v>
      </c>
      <c r="E1370" s="2952"/>
      <c r="F1370" s="2952"/>
      <c r="G1370" s="2952"/>
      <c r="H1370" s="2953"/>
      <c r="I1370" s="2952"/>
      <c r="J1370" s="2954" t="s">
        <v>668</v>
      </c>
      <c r="K1370" s="2955">
        <f>SUM(K1368:K1369)</f>
        <v>841092.9</v>
      </c>
      <c r="L1370" s="2746"/>
      <c r="M1370" s="2755"/>
      <c r="N1370" s="2757"/>
      <c r="O1370" s="2920"/>
      <c r="Q1370" s="2717"/>
      <c r="R1370" s="2717"/>
      <c r="S1370" s="2719"/>
      <c r="T1370" s="2717"/>
      <c r="U1370" s="2717"/>
      <c r="V1370" s="2717"/>
    </row>
    <row r="1371" spans="2:22" x14ac:dyDescent="0.25">
      <c r="Q1371" s="2717"/>
      <c r="R1371" s="2717"/>
      <c r="S1371" s="2719"/>
      <c r="T1371" s="2717"/>
      <c r="U1371" s="2717"/>
      <c r="V1371" s="2717"/>
    </row>
    <row r="1372" spans="2:22" s="2720" customFormat="1" ht="14.1" customHeight="1" x14ac:dyDescent="0.2">
      <c r="B1372" s="2711">
        <f>B1352+1</f>
        <v>69</v>
      </c>
      <c r="C1372" s="2711"/>
      <c r="D1372" s="2712" t="s">
        <v>1631</v>
      </c>
      <c r="E1372" s="2713"/>
      <c r="F1372" s="2713"/>
      <c r="G1372" s="2713"/>
      <c r="H1372" s="2714"/>
      <c r="I1372" s="2713"/>
      <c r="J1372" s="2713"/>
      <c r="K1372" s="2715" t="s">
        <v>720</v>
      </c>
      <c r="L1372" s="2715"/>
      <c r="M1372" s="2715"/>
      <c r="N1372" s="2715"/>
      <c r="O1372" s="2716" t="str">
        <f>D1373</f>
        <v>ttk</v>
      </c>
      <c r="P1372" s="2717">
        <f>K1391</f>
        <v>125050.32</v>
      </c>
      <c r="Q1372" s="2718">
        <f>L1389</f>
        <v>0.73794097448131279</v>
      </c>
      <c r="R1372" s="2717"/>
      <c r="S1372" s="2719">
        <f>N1389</f>
        <v>81663.5</v>
      </c>
      <c r="T1372" s="2515">
        <f>U1372+S1372</f>
        <v>92279.755000000005</v>
      </c>
      <c r="U1372" s="2719">
        <f>S1372*V1372</f>
        <v>10616.255000000001</v>
      </c>
      <c r="V1372" s="2718">
        <f>$F$42+$H$42</f>
        <v>0.13</v>
      </c>
    </row>
    <row r="1373" spans="2:22" s="2720" customFormat="1" ht="14.1" customHeight="1" x14ac:dyDescent="0.2">
      <c r="B1373" s="2711"/>
      <c r="C1373" s="2711"/>
      <c r="D1373" s="2721" t="s">
        <v>390</v>
      </c>
      <c r="E1373" s="2721"/>
      <c r="F1373" s="2721"/>
      <c r="G1373" s="2721"/>
      <c r="H1373" s="2711"/>
      <c r="I1373" s="2721"/>
      <c r="J1373" s="2721"/>
      <c r="K1373" s="2721"/>
      <c r="L1373" s="2721"/>
      <c r="M1373" s="2721"/>
      <c r="N1373" s="2721"/>
      <c r="O1373" s="2716"/>
      <c r="Q1373" s="2717"/>
      <c r="R1373" s="2717"/>
      <c r="S1373" s="2719"/>
      <c r="T1373" s="2717"/>
      <c r="U1373" s="2717"/>
      <c r="V1373" s="2717"/>
    </row>
    <row r="1374" spans="2:22" s="2720" customFormat="1" ht="14.1" customHeight="1" x14ac:dyDescent="0.2">
      <c r="B1374" s="2711"/>
      <c r="C1374" s="2524"/>
      <c r="D1374" s="3427" t="s">
        <v>280</v>
      </c>
      <c r="E1374" s="3428"/>
      <c r="F1374" s="2722"/>
      <c r="G1374" s="3433" t="s">
        <v>281</v>
      </c>
      <c r="H1374" s="3433" t="s">
        <v>282</v>
      </c>
      <c r="I1374" s="2524" t="s">
        <v>283</v>
      </c>
      <c r="J1374" s="2524" t="s">
        <v>284</v>
      </c>
      <c r="K1374" s="2524" t="s">
        <v>340</v>
      </c>
      <c r="L1374" s="2524" t="s">
        <v>2008</v>
      </c>
      <c r="M1374" s="2524" t="s">
        <v>2009</v>
      </c>
      <c r="N1374" s="2524" t="s">
        <v>284</v>
      </c>
      <c r="O1374" s="2716"/>
      <c r="Q1374" s="2717"/>
      <c r="R1374" s="2717"/>
      <c r="S1374" s="2719"/>
      <c r="T1374" s="2717"/>
      <c r="U1374" s="2717"/>
      <c r="V1374" s="2717"/>
    </row>
    <row r="1375" spans="2:22" s="2720" customFormat="1" ht="14.1" customHeight="1" x14ac:dyDescent="0.2">
      <c r="B1375" s="2711"/>
      <c r="C1375" s="2528" t="s">
        <v>669</v>
      </c>
      <c r="D1375" s="3429"/>
      <c r="E1375" s="3430"/>
      <c r="F1375" s="2723"/>
      <c r="G1375" s="3434"/>
      <c r="H1375" s="3434"/>
      <c r="I1375" s="2528" t="s">
        <v>285</v>
      </c>
      <c r="J1375" s="2528" t="s">
        <v>286</v>
      </c>
      <c r="K1375" s="2528" t="s">
        <v>286</v>
      </c>
      <c r="L1375" s="2528" t="s">
        <v>2011</v>
      </c>
      <c r="M1375" s="2528"/>
      <c r="N1375" s="2528" t="s">
        <v>2013</v>
      </c>
      <c r="O1375" s="2716"/>
      <c r="Q1375" s="2717"/>
      <c r="R1375" s="2717"/>
      <c r="S1375" s="2719"/>
      <c r="T1375" s="2717"/>
      <c r="U1375" s="2717"/>
      <c r="V1375" s="2717"/>
    </row>
    <row r="1376" spans="2:22" s="2720" customFormat="1" ht="14.1" customHeight="1" x14ac:dyDescent="0.2">
      <c r="B1376" s="2711"/>
      <c r="C1376" s="2537"/>
      <c r="D1376" s="3431"/>
      <c r="E1376" s="3432"/>
      <c r="F1376" s="2724"/>
      <c r="G1376" s="3435"/>
      <c r="H1376" s="3435"/>
      <c r="I1376" s="2537" t="s">
        <v>286</v>
      </c>
      <c r="J1376" s="2536"/>
      <c r="K1376" s="2536"/>
      <c r="L1376" s="2536"/>
      <c r="M1376" s="2536"/>
      <c r="N1376" s="2537" t="s">
        <v>286</v>
      </c>
      <c r="O1376" s="2716"/>
      <c r="Q1376" s="2717"/>
      <c r="R1376" s="2717"/>
      <c r="S1376" s="2719"/>
      <c r="T1376" s="2717"/>
      <c r="U1376" s="2717"/>
      <c r="V1376" s="2717"/>
    </row>
    <row r="1377" spans="2:22" s="2720" customFormat="1" ht="14.1" customHeight="1" x14ac:dyDescent="0.2">
      <c r="B1377" s="2711"/>
      <c r="C1377" s="2524" t="s">
        <v>607</v>
      </c>
      <c r="D1377" s="2725" t="s">
        <v>287</v>
      </c>
      <c r="E1377" s="2726" t="s">
        <v>1074</v>
      </c>
      <c r="F1377" s="2726"/>
      <c r="G1377" s="2727" t="s">
        <v>274</v>
      </c>
      <c r="H1377" s="2728">
        <v>1</v>
      </c>
      <c r="I1377" s="2729">
        <f>'Upah &amp; Bahan'!$I$154</f>
        <v>8000</v>
      </c>
      <c r="J1377" s="2729">
        <f t="shared" ref="J1377:J1380" si="127">ROUND(H1377*I1377,2)</f>
        <v>8000</v>
      </c>
      <c r="K1377" s="2730"/>
      <c r="L1377" s="2731">
        <v>0</v>
      </c>
      <c r="M1377" s="2732"/>
      <c r="N1377" s="2729">
        <f t="shared" ref="N1377:N1388" si="128">L1377*J1377</f>
        <v>0</v>
      </c>
      <c r="O1377" s="2716"/>
      <c r="Q1377" s="2717"/>
      <c r="R1377" s="2717"/>
      <c r="S1377" s="2719"/>
      <c r="T1377" s="2717"/>
      <c r="U1377" s="2717"/>
      <c r="V1377" s="2717"/>
    </row>
    <row r="1378" spans="2:22" s="2720" customFormat="1" ht="14.1" customHeight="1" x14ac:dyDescent="0.2">
      <c r="B1378" s="2711"/>
      <c r="C1378" s="2733"/>
      <c r="D1378" s="2733"/>
      <c r="E1378" s="2999" t="s">
        <v>1626</v>
      </c>
      <c r="F1378" s="2726"/>
      <c r="G1378" s="2727" t="s">
        <v>247</v>
      </c>
      <c r="H1378" s="2728">
        <v>10</v>
      </c>
      <c r="I1378" s="2729">
        <f>'Upah &amp; Bahan'!$I$85</f>
        <v>6900</v>
      </c>
      <c r="J1378" s="2729">
        <f t="shared" si="127"/>
        <v>69000</v>
      </c>
      <c r="K1378" s="2734"/>
      <c r="L1378" s="2731">
        <v>0.88549999999999995</v>
      </c>
      <c r="M1378" s="2732" t="s">
        <v>2029</v>
      </c>
      <c r="N1378" s="2729">
        <f t="shared" si="128"/>
        <v>61099.5</v>
      </c>
      <c r="O1378" s="2716"/>
      <c r="Q1378" s="2717"/>
      <c r="R1378" s="2717"/>
      <c r="S1378" s="2719"/>
      <c r="T1378" s="2717"/>
      <c r="U1378" s="2717"/>
      <c r="V1378" s="2717"/>
    </row>
    <row r="1379" spans="2:22" s="2720" customFormat="1" ht="14.1" customHeight="1" x14ac:dyDescent="0.2">
      <c r="B1379" s="2711"/>
      <c r="C1379" s="2733"/>
      <c r="D1379" s="2733"/>
      <c r="E1379" s="2737" t="s">
        <v>1075</v>
      </c>
      <c r="F1379" s="2737"/>
      <c r="G1379" s="2524" t="s">
        <v>268</v>
      </c>
      <c r="H1379" s="3000">
        <v>1</v>
      </c>
      <c r="I1379" s="2730">
        <f>'Upah &amp; Bahan'!$I$155</f>
        <v>2500</v>
      </c>
      <c r="J1379" s="2730">
        <f t="shared" si="127"/>
        <v>2500</v>
      </c>
      <c r="K1379" s="2734"/>
      <c r="L1379" s="2731">
        <v>0</v>
      </c>
      <c r="M1379" s="2732"/>
      <c r="N1379" s="2729">
        <f t="shared" si="128"/>
        <v>0</v>
      </c>
      <c r="O1379" s="2716"/>
      <c r="Q1379" s="2717"/>
      <c r="R1379" s="2717"/>
      <c r="S1379" s="2719"/>
      <c r="T1379" s="2717"/>
      <c r="U1379" s="2717"/>
      <c r="V1379" s="2717"/>
    </row>
    <row r="1380" spans="2:22" s="2720" customFormat="1" ht="14.1" customHeight="1" x14ac:dyDescent="0.2">
      <c r="B1380" s="2711"/>
      <c r="C1380" s="2528"/>
      <c r="D1380" s="2733"/>
      <c r="E1380" s="2726" t="s">
        <v>1076</v>
      </c>
      <c r="F1380" s="2726"/>
      <c r="G1380" s="2727" t="s">
        <v>268</v>
      </c>
      <c r="H1380" s="2728">
        <v>1</v>
      </c>
      <c r="I1380" s="2729">
        <f>'Upah &amp; Bahan'!$I$156</f>
        <v>2000</v>
      </c>
      <c r="J1380" s="2729">
        <f t="shared" si="127"/>
        <v>2000</v>
      </c>
      <c r="K1380" s="2734"/>
      <c r="L1380" s="2731">
        <v>0</v>
      </c>
      <c r="M1380" s="2732"/>
      <c r="N1380" s="2729">
        <f t="shared" si="128"/>
        <v>0</v>
      </c>
      <c r="O1380" s="2716"/>
      <c r="Q1380" s="2717"/>
      <c r="R1380" s="2717"/>
      <c r="S1380" s="2719"/>
      <c r="T1380" s="2717"/>
      <c r="U1380" s="2717"/>
      <c r="V1380" s="2717"/>
    </row>
    <row r="1381" spans="2:22" s="2720" customFormat="1" ht="14.1" customHeight="1" x14ac:dyDescent="0.2">
      <c r="B1381" s="2711"/>
      <c r="C1381" s="2961"/>
      <c r="D1381" s="2967"/>
      <c r="E1381" s="3001" t="s">
        <v>782</v>
      </c>
      <c r="F1381" s="2726"/>
      <c r="G1381" s="2727" t="s">
        <v>268</v>
      </c>
      <c r="H1381" s="2728">
        <v>1</v>
      </c>
      <c r="I1381" s="2729">
        <f>'Upah &amp; Bahan'!$I$76</f>
        <v>8600</v>
      </c>
      <c r="J1381" s="2729">
        <f t="shared" ref="J1381" si="129">ROUND(H1381*I1381,2)</f>
        <v>8600</v>
      </c>
      <c r="K1381" s="2975"/>
      <c r="L1381" s="2731">
        <v>0</v>
      </c>
      <c r="M1381" s="2732"/>
      <c r="N1381" s="2729">
        <f t="shared" si="128"/>
        <v>0</v>
      </c>
      <c r="O1381" s="2716"/>
      <c r="Q1381" s="2717"/>
      <c r="R1381" s="2717"/>
      <c r="S1381" s="2719"/>
      <c r="T1381" s="2717"/>
      <c r="U1381" s="2717"/>
      <c r="V1381" s="2717"/>
    </row>
    <row r="1382" spans="2:22" s="2720" customFormat="1" ht="14.1" customHeight="1" x14ac:dyDescent="0.2">
      <c r="B1382" s="2711"/>
      <c r="C1382" s="2528"/>
      <c r="D1382" s="2733"/>
      <c r="E1382" s="2984"/>
      <c r="F1382" s="2985"/>
      <c r="G1382" s="2742"/>
      <c r="H1382" s="2986"/>
      <c r="I1382" s="2842"/>
      <c r="J1382" s="2813"/>
      <c r="K1382" s="2729">
        <f>SUM(J1377:J1381)</f>
        <v>90100</v>
      </c>
      <c r="L1382" s="2731"/>
      <c r="M1382" s="2732"/>
      <c r="N1382" s="2729">
        <f t="shared" si="128"/>
        <v>0</v>
      </c>
      <c r="O1382" s="2716"/>
      <c r="Q1382" s="2717"/>
      <c r="R1382" s="2717"/>
      <c r="S1382" s="2719"/>
      <c r="T1382" s="2717"/>
      <c r="U1382" s="2717"/>
      <c r="V1382" s="2717"/>
    </row>
    <row r="1383" spans="2:22" s="2720" customFormat="1" ht="14.1" customHeight="1" x14ac:dyDescent="0.2">
      <c r="B1383" s="2711"/>
      <c r="C1383" s="2524" t="s">
        <v>608</v>
      </c>
      <c r="D1383" s="2725" t="s">
        <v>288</v>
      </c>
      <c r="E1383" s="2999" t="s">
        <v>289</v>
      </c>
      <c r="F1383" s="2999"/>
      <c r="G1383" s="2965" t="s">
        <v>291</v>
      </c>
      <c r="H1383" s="2974">
        <v>0.08</v>
      </c>
      <c r="I1383" s="2814">
        <f>'Upah &amp; Bahan'!$I$24</f>
        <v>88300</v>
      </c>
      <c r="J1383" s="2932">
        <f>ROUND(H1383*I1383,2)</f>
        <v>7064</v>
      </c>
      <c r="K1383" s="2966"/>
      <c r="L1383" s="2731">
        <f t="shared" ref="L1383:L1385" si="130">VLOOKUP($E1383,$D$1744:$G$1761,2,0)</f>
        <v>1</v>
      </c>
      <c r="M1383" s="2731" t="str">
        <f t="shared" ref="M1383:M1385" si="131">VLOOKUP($E1383,$D$1744:$G$1761,3,0)</f>
        <v>WNI</v>
      </c>
      <c r="N1383" s="2729">
        <f t="shared" si="128"/>
        <v>7064</v>
      </c>
      <c r="O1383" s="2716"/>
      <c r="Q1383" s="2717"/>
      <c r="R1383" s="2717"/>
      <c r="S1383" s="2719"/>
      <c r="T1383" s="2717"/>
      <c r="U1383" s="2717"/>
      <c r="V1383" s="2717"/>
    </row>
    <row r="1384" spans="2:22" s="2720" customFormat="1" ht="14.1" customHeight="1" x14ac:dyDescent="0.2">
      <c r="B1384" s="2711"/>
      <c r="C1384" s="2961"/>
      <c r="D1384" s="2967"/>
      <c r="E1384" s="2999" t="s">
        <v>20</v>
      </c>
      <c r="F1384" s="2999"/>
      <c r="G1384" s="2965" t="s">
        <v>291</v>
      </c>
      <c r="H1384" s="2974">
        <v>0.1</v>
      </c>
      <c r="I1384" s="2932">
        <f>'Upah &amp; Bahan'!$I$38</f>
        <v>90000</v>
      </c>
      <c r="J1384" s="2932">
        <f>ROUND(H1384*I1384,2)</f>
        <v>9000</v>
      </c>
      <c r="K1384" s="2975"/>
      <c r="L1384" s="2731">
        <f t="shared" si="130"/>
        <v>1</v>
      </c>
      <c r="M1384" s="2731" t="str">
        <f t="shared" si="131"/>
        <v>WNI</v>
      </c>
      <c r="N1384" s="2729">
        <f t="shared" si="128"/>
        <v>9000</v>
      </c>
      <c r="O1384" s="2716"/>
      <c r="Q1384" s="2717"/>
      <c r="R1384" s="2717"/>
      <c r="S1384" s="2719"/>
      <c r="T1384" s="2717"/>
      <c r="U1384" s="2717"/>
      <c r="V1384" s="2717"/>
    </row>
    <row r="1385" spans="2:22" s="2720" customFormat="1" ht="14.1" customHeight="1" x14ac:dyDescent="0.2">
      <c r="B1385" s="2711"/>
      <c r="C1385" s="2961"/>
      <c r="D1385" s="2967"/>
      <c r="E1385" s="2999" t="s">
        <v>290</v>
      </c>
      <c r="F1385" s="2999"/>
      <c r="G1385" s="2965" t="s">
        <v>291</v>
      </c>
      <c r="H1385" s="2974">
        <v>0.05</v>
      </c>
      <c r="I1385" s="2814">
        <f>'Upah &amp; Bahan'!$I$31</f>
        <v>90000</v>
      </c>
      <c r="J1385" s="2932">
        <f>ROUND(H1385*I1385,2)</f>
        <v>4500</v>
      </c>
      <c r="K1385" s="2975"/>
      <c r="L1385" s="2731">
        <f t="shared" si="130"/>
        <v>1</v>
      </c>
      <c r="M1385" s="2731" t="str">
        <f t="shared" si="131"/>
        <v>WNI</v>
      </c>
      <c r="N1385" s="2729">
        <f t="shared" si="128"/>
        <v>4500</v>
      </c>
      <c r="O1385" s="2716"/>
      <c r="Q1385" s="2717"/>
      <c r="R1385" s="2717"/>
      <c r="S1385" s="2719"/>
      <c r="T1385" s="2717"/>
      <c r="U1385" s="2717"/>
      <c r="V1385" s="2717"/>
    </row>
    <row r="1386" spans="2:22" s="2720" customFormat="1" ht="14.1" customHeight="1" x14ac:dyDescent="0.2">
      <c r="B1386" s="2711"/>
      <c r="C1386" s="2537"/>
      <c r="D1386" s="2536"/>
      <c r="E1386" s="2969"/>
      <c r="F1386" s="2970"/>
      <c r="G1386" s="2971"/>
      <c r="H1386" s="2972"/>
      <c r="I1386" s="2973"/>
      <c r="J1386" s="2937"/>
      <c r="K1386" s="2942">
        <f>SUM(J1383:J1385)</f>
        <v>20564</v>
      </c>
      <c r="L1386" s="2731"/>
      <c r="M1386" s="2732"/>
      <c r="N1386" s="2729">
        <f t="shared" si="128"/>
        <v>0</v>
      </c>
      <c r="O1386" s="2716"/>
      <c r="Q1386" s="2717"/>
      <c r="R1386" s="2717"/>
      <c r="S1386" s="2719"/>
      <c r="T1386" s="2717"/>
      <c r="U1386" s="2717"/>
      <c r="V1386" s="2717"/>
    </row>
    <row r="1387" spans="2:22" s="2720" customFormat="1" ht="14.1" customHeight="1" x14ac:dyDescent="0.2">
      <c r="B1387" s="2711"/>
      <c r="C1387" s="2528" t="s">
        <v>609</v>
      </c>
      <c r="D1387" s="2725" t="s">
        <v>606</v>
      </c>
      <c r="E1387" s="2739"/>
      <c r="F1387" s="2739"/>
      <c r="G1387" s="2727"/>
      <c r="H1387" s="2740"/>
      <c r="I1387" s="2814"/>
      <c r="J1387" s="2729"/>
      <c r="K1387" s="2730"/>
      <c r="L1387" s="2731"/>
      <c r="M1387" s="2732"/>
      <c r="N1387" s="2729">
        <f t="shared" si="128"/>
        <v>0</v>
      </c>
      <c r="O1387" s="2716"/>
      <c r="Q1387" s="2717"/>
      <c r="R1387" s="2717"/>
      <c r="S1387" s="2719"/>
      <c r="T1387" s="2717"/>
      <c r="U1387" s="2717"/>
      <c r="V1387" s="2717"/>
    </row>
    <row r="1388" spans="2:22" s="2720" customFormat="1" ht="14.1" customHeight="1" x14ac:dyDescent="0.2">
      <c r="B1388" s="2711"/>
      <c r="C1388" s="2537"/>
      <c r="D1388" s="2536"/>
      <c r="E1388" s="2736"/>
      <c r="F1388" s="2741"/>
      <c r="G1388" s="2742"/>
      <c r="H1388" s="2743"/>
      <c r="I1388" s="2744"/>
      <c r="J1388" s="2813"/>
      <c r="K1388" s="2732">
        <f>SUM(J1387:J1387)</f>
        <v>0</v>
      </c>
      <c r="L1388" s="2731"/>
      <c r="M1388" s="2732"/>
      <c r="N1388" s="2729">
        <f t="shared" si="128"/>
        <v>0</v>
      </c>
      <c r="O1388" s="2716"/>
      <c r="Q1388" s="2717"/>
      <c r="R1388" s="2717"/>
      <c r="S1388" s="2719"/>
      <c r="T1388" s="2717"/>
      <c r="U1388" s="2717"/>
      <c r="V1388" s="2717"/>
    </row>
    <row r="1389" spans="2:22" s="2720" customFormat="1" ht="14.1" customHeight="1" x14ac:dyDescent="0.2">
      <c r="B1389" s="2711"/>
      <c r="C1389" s="2537" t="s">
        <v>610</v>
      </c>
      <c r="D1389" s="2738" t="s">
        <v>651</v>
      </c>
      <c r="E1389" s="2741"/>
      <c r="F1389" s="2741"/>
      <c r="G1389" s="2742"/>
      <c r="H1389" s="2743"/>
      <c r="I1389" s="2744"/>
      <c r="J1389" s="2745" t="s">
        <v>652</v>
      </c>
      <c r="K1389" s="2732">
        <f>K1382+K1386+K1388</f>
        <v>110664</v>
      </c>
      <c r="L1389" s="2746">
        <f>N1389/K1389</f>
        <v>0.73794097448131279</v>
      </c>
      <c r="M1389" s="2745"/>
      <c r="N1389" s="2747">
        <f>SUM(N1376:N1388)</f>
        <v>81663.5</v>
      </c>
      <c r="O1389" s="2716"/>
      <c r="Q1389" s="2717"/>
      <c r="R1389" s="2717"/>
      <c r="S1389" s="2719"/>
      <c r="T1389" s="2717"/>
      <c r="U1389" s="2717"/>
      <c r="V1389" s="2717"/>
    </row>
    <row r="1390" spans="2:22" s="2720" customFormat="1" ht="14.1" customHeight="1" x14ac:dyDescent="0.2">
      <c r="B1390" s="2711"/>
      <c r="C1390" s="2537" t="s">
        <v>611</v>
      </c>
      <c r="D1390" s="2738" t="s">
        <v>653</v>
      </c>
      <c r="E1390" s="2741"/>
      <c r="F1390" s="2748">
        <f>$F$42</f>
        <v>0.1</v>
      </c>
      <c r="G1390" s="2727" t="s">
        <v>425</v>
      </c>
      <c r="H1390" s="2748">
        <f>$H$42</f>
        <v>0.03</v>
      </c>
      <c r="I1390" s="2749" t="s">
        <v>424</v>
      </c>
      <c r="J1390" s="2732" t="s">
        <v>610</v>
      </c>
      <c r="K1390" s="2750">
        <f>ROUND((K1389*(F1390+H1390)),2)</f>
        <v>14386.32</v>
      </c>
      <c r="L1390" s="2732"/>
      <c r="M1390" s="2732"/>
      <c r="N1390" s="2732"/>
      <c r="O1390" s="2716"/>
      <c r="Q1390" s="2717"/>
      <c r="R1390" s="2717"/>
      <c r="S1390" s="2719"/>
      <c r="T1390" s="2717"/>
      <c r="U1390" s="2717"/>
      <c r="V1390" s="2717"/>
    </row>
    <row r="1391" spans="2:22" s="2720" customFormat="1" ht="14.1" customHeight="1" x14ac:dyDescent="0.2">
      <c r="B1391" s="2711"/>
      <c r="C1391" s="2880" t="s">
        <v>654</v>
      </c>
      <c r="D1391" s="2752" t="s">
        <v>301</v>
      </c>
      <c r="E1391" s="2815"/>
      <c r="F1391" s="2815"/>
      <c r="G1391" s="2815"/>
      <c r="H1391" s="2816"/>
      <c r="I1391" s="2815"/>
      <c r="J1391" s="2755" t="s">
        <v>668</v>
      </c>
      <c r="K1391" s="2756">
        <f>SUM(K1389:K1390)</f>
        <v>125050.32</v>
      </c>
      <c r="L1391" s="2746"/>
      <c r="M1391" s="2755"/>
      <c r="N1391" s="2757"/>
      <c r="O1391" s="2716"/>
      <c r="Q1391" s="2717"/>
      <c r="R1391" s="2717"/>
      <c r="S1391" s="2719"/>
      <c r="T1391" s="2717"/>
      <c r="U1391" s="2717"/>
      <c r="V1391" s="2717"/>
    </row>
    <row r="1392" spans="2:22" x14ac:dyDescent="0.25">
      <c r="Q1392" s="2717"/>
      <c r="R1392" s="2717"/>
      <c r="S1392" s="2719"/>
      <c r="T1392" s="2717"/>
      <c r="U1392" s="2717"/>
      <c r="V1392" s="2717"/>
    </row>
    <row r="1393" spans="2:22" s="2720" customFormat="1" ht="14.1" customHeight="1" x14ac:dyDescent="0.2">
      <c r="B1393" s="2711">
        <f>B1372+1</f>
        <v>70</v>
      </c>
      <c r="C1393" s="2711"/>
      <c r="D1393" s="2712" t="s">
        <v>1630</v>
      </c>
      <c r="E1393" s="2713"/>
      <c r="F1393" s="2713"/>
      <c r="G1393" s="2713"/>
      <c r="H1393" s="2714"/>
      <c r="I1393" s="2713"/>
      <c r="J1393" s="2713"/>
      <c r="K1393" s="2715" t="s">
        <v>720</v>
      </c>
      <c r="L1393" s="2715"/>
      <c r="M1393" s="2715"/>
      <c r="N1393" s="2715"/>
      <c r="O1393" s="2716" t="str">
        <f>D1394</f>
        <v>ttk</v>
      </c>
      <c r="P1393" s="2717">
        <f>K1411</f>
        <v>115332.32</v>
      </c>
      <c r="Q1393" s="2718">
        <f>L1409</f>
        <v>0.80012051261953288</v>
      </c>
      <c r="R1393" s="2717"/>
      <c r="S1393" s="2719">
        <f>N1409</f>
        <v>81663.5</v>
      </c>
      <c r="T1393" s="2515">
        <f>U1393+S1393</f>
        <v>92279.755000000005</v>
      </c>
      <c r="U1393" s="2719">
        <f>S1393*V1393</f>
        <v>10616.255000000001</v>
      </c>
      <c r="V1393" s="2718">
        <f>$F$42+$H$42</f>
        <v>0.13</v>
      </c>
    </row>
    <row r="1394" spans="2:22" s="2720" customFormat="1" ht="14.1" customHeight="1" x14ac:dyDescent="0.2">
      <c r="B1394" s="2711"/>
      <c r="C1394" s="2711"/>
      <c r="D1394" s="2721" t="s">
        <v>390</v>
      </c>
      <c r="E1394" s="2721"/>
      <c r="F1394" s="2721"/>
      <c r="G1394" s="2721"/>
      <c r="H1394" s="2711"/>
      <c r="I1394" s="2721"/>
      <c r="J1394" s="2721"/>
      <c r="K1394" s="2721"/>
      <c r="L1394" s="2721"/>
      <c r="M1394" s="2721"/>
      <c r="N1394" s="2721"/>
      <c r="O1394" s="2716"/>
      <c r="Q1394" s="2717"/>
      <c r="R1394" s="2717"/>
      <c r="S1394" s="2719"/>
      <c r="T1394" s="2717"/>
      <c r="U1394" s="2717"/>
      <c r="V1394" s="2717"/>
    </row>
    <row r="1395" spans="2:22" s="2720" customFormat="1" ht="14.1" customHeight="1" x14ac:dyDescent="0.2">
      <c r="B1395" s="2711"/>
      <c r="C1395" s="2524"/>
      <c r="D1395" s="3427" t="s">
        <v>280</v>
      </c>
      <c r="E1395" s="3428"/>
      <c r="F1395" s="2722"/>
      <c r="G1395" s="3433" t="s">
        <v>281</v>
      </c>
      <c r="H1395" s="3433" t="s">
        <v>282</v>
      </c>
      <c r="I1395" s="2524" t="s">
        <v>283</v>
      </c>
      <c r="J1395" s="2524" t="s">
        <v>284</v>
      </c>
      <c r="K1395" s="2524" t="s">
        <v>340</v>
      </c>
      <c r="L1395" s="2524" t="s">
        <v>2008</v>
      </c>
      <c r="M1395" s="2524" t="s">
        <v>2009</v>
      </c>
      <c r="N1395" s="2524" t="s">
        <v>284</v>
      </c>
      <c r="O1395" s="2716"/>
      <c r="Q1395" s="2717"/>
      <c r="R1395" s="2717"/>
      <c r="S1395" s="2719"/>
      <c r="T1395" s="2717"/>
      <c r="U1395" s="2717"/>
      <c r="V1395" s="2717"/>
    </row>
    <row r="1396" spans="2:22" s="2720" customFormat="1" ht="14.1" customHeight="1" x14ac:dyDescent="0.2">
      <c r="B1396" s="2711"/>
      <c r="C1396" s="2528" t="s">
        <v>669</v>
      </c>
      <c r="D1396" s="3429"/>
      <c r="E1396" s="3430"/>
      <c r="F1396" s="2723"/>
      <c r="G1396" s="3434"/>
      <c r="H1396" s="3434"/>
      <c r="I1396" s="2528" t="s">
        <v>285</v>
      </c>
      <c r="J1396" s="2528" t="s">
        <v>286</v>
      </c>
      <c r="K1396" s="2528" t="s">
        <v>286</v>
      </c>
      <c r="L1396" s="2528" t="s">
        <v>2011</v>
      </c>
      <c r="M1396" s="2528"/>
      <c r="N1396" s="2528" t="s">
        <v>2013</v>
      </c>
      <c r="O1396" s="2716"/>
      <c r="Q1396" s="2717"/>
      <c r="R1396" s="2717"/>
      <c r="S1396" s="2719"/>
      <c r="T1396" s="2717"/>
      <c r="U1396" s="2717"/>
      <c r="V1396" s="2717"/>
    </row>
    <row r="1397" spans="2:22" s="2720" customFormat="1" ht="14.1" customHeight="1" x14ac:dyDescent="0.2">
      <c r="B1397" s="2711"/>
      <c r="C1397" s="2537"/>
      <c r="D1397" s="3431"/>
      <c r="E1397" s="3432"/>
      <c r="F1397" s="2724"/>
      <c r="G1397" s="3435"/>
      <c r="H1397" s="3435"/>
      <c r="I1397" s="2537" t="s">
        <v>286</v>
      </c>
      <c r="J1397" s="2536"/>
      <c r="K1397" s="2536"/>
      <c r="L1397" s="2536"/>
      <c r="M1397" s="2536"/>
      <c r="N1397" s="2537" t="s">
        <v>286</v>
      </c>
      <c r="O1397" s="2716"/>
      <c r="Q1397" s="2717"/>
      <c r="R1397" s="2717"/>
      <c r="S1397" s="2719"/>
      <c r="T1397" s="2717"/>
      <c r="U1397" s="2717"/>
      <c r="V1397" s="2717"/>
    </row>
    <row r="1398" spans="2:22" s="2720" customFormat="1" ht="14.1" customHeight="1" x14ac:dyDescent="0.2">
      <c r="B1398" s="2711"/>
      <c r="C1398" s="2524" t="s">
        <v>607</v>
      </c>
      <c r="D1398" s="2725" t="s">
        <v>287</v>
      </c>
      <c r="E1398" s="2726" t="s">
        <v>1074</v>
      </c>
      <c r="F1398" s="2726"/>
      <c r="G1398" s="2727" t="s">
        <v>274</v>
      </c>
      <c r="H1398" s="2728">
        <v>1</v>
      </c>
      <c r="I1398" s="2729">
        <f>'Upah &amp; Bahan'!$I$154</f>
        <v>8000</v>
      </c>
      <c r="J1398" s="2729">
        <f t="shared" ref="J1398:J1401" si="132">ROUND(H1398*I1398,2)</f>
        <v>8000</v>
      </c>
      <c r="K1398" s="2730"/>
      <c r="L1398" s="2731">
        <v>0</v>
      </c>
      <c r="M1398" s="2732"/>
      <c r="N1398" s="2729">
        <f t="shared" ref="N1398:N1408" si="133">L1398*J1398</f>
        <v>0</v>
      </c>
      <c r="O1398" s="2716"/>
      <c r="Q1398" s="2717"/>
      <c r="R1398" s="2717"/>
      <c r="S1398" s="2719"/>
      <c r="T1398" s="2717"/>
      <c r="U1398" s="2717"/>
      <c r="V1398" s="2717"/>
    </row>
    <row r="1399" spans="2:22" s="2720" customFormat="1" ht="14.1" customHeight="1" x14ac:dyDescent="0.2">
      <c r="B1399" s="2711"/>
      <c r="C1399" s="2733"/>
      <c r="D1399" s="2733"/>
      <c r="E1399" s="2999" t="s">
        <v>1626</v>
      </c>
      <c r="F1399" s="2726"/>
      <c r="G1399" s="2727" t="s">
        <v>247</v>
      </c>
      <c r="H1399" s="2728">
        <v>10</v>
      </c>
      <c r="I1399" s="2729">
        <f>'Upah &amp; Bahan'!$I$85</f>
        <v>6900</v>
      </c>
      <c r="J1399" s="2729">
        <f t="shared" si="132"/>
        <v>69000</v>
      </c>
      <c r="K1399" s="2734"/>
      <c r="L1399" s="2731">
        <v>0.88549999999999995</v>
      </c>
      <c r="M1399" s="2732" t="s">
        <v>2029</v>
      </c>
      <c r="N1399" s="2729">
        <f t="shared" si="133"/>
        <v>61099.5</v>
      </c>
      <c r="O1399" s="2716"/>
      <c r="Q1399" s="2717"/>
      <c r="R1399" s="2717"/>
      <c r="S1399" s="2719"/>
      <c r="T1399" s="2717"/>
      <c r="U1399" s="2717"/>
      <c r="V1399" s="2717"/>
    </row>
    <row r="1400" spans="2:22" s="2720" customFormat="1" ht="14.1" customHeight="1" x14ac:dyDescent="0.2">
      <c r="B1400" s="2711"/>
      <c r="C1400" s="2733"/>
      <c r="D1400" s="2733"/>
      <c r="E1400" s="2737" t="s">
        <v>1075</v>
      </c>
      <c r="F1400" s="2737"/>
      <c r="G1400" s="2524" t="s">
        <v>268</v>
      </c>
      <c r="H1400" s="3000">
        <v>1</v>
      </c>
      <c r="I1400" s="2730">
        <f>'Upah &amp; Bahan'!$I$155</f>
        <v>2500</v>
      </c>
      <c r="J1400" s="2730">
        <f t="shared" si="132"/>
        <v>2500</v>
      </c>
      <c r="K1400" s="2734"/>
      <c r="L1400" s="2731">
        <v>0</v>
      </c>
      <c r="M1400" s="2732"/>
      <c r="N1400" s="2729">
        <f t="shared" si="133"/>
        <v>0</v>
      </c>
      <c r="O1400" s="2716"/>
      <c r="Q1400" s="2717"/>
      <c r="R1400" s="2717"/>
      <c r="S1400" s="2719"/>
      <c r="T1400" s="2717"/>
      <c r="U1400" s="2717"/>
      <c r="V1400" s="2717"/>
    </row>
    <row r="1401" spans="2:22" s="2720" customFormat="1" ht="14.1" customHeight="1" x14ac:dyDescent="0.2">
      <c r="B1401" s="2711"/>
      <c r="C1401" s="2528"/>
      <c r="D1401" s="2733"/>
      <c r="E1401" s="2726" t="s">
        <v>1076</v>
      </c>
      <c r="F1401" s="2726"/>
      <c r="G1401" s="2727" t="s">
        <v>268</v>
      </c>
      <c r="H1401" s="2728">
        <v>1</v>
      </c>
      <c r="I1401" s="2729">
        <f>'Upah &amp; Bahan'!$I$156</f>
        <v>2000</v>
      </c>
      <c r="J1401" s="2729">
        <f t="shared" si="132"/>
        <v>2000</v>
      </c>
      <c r="K1401" s="2734"/>
      <c r="L1401" s="2731">
        <v>0</v>
      </c>
      <c r="M1401" s="2732"/>
      <c r="N1401" s="2729">
        <f t="shared" si="133"/>
        <v>0</v>
      </c>
      <c r="O1401" s="2716"/>
      <c r="Q1401" s="2717"/>
      <c r="R1401" s="2717"/>
      <c r="S1401" s="2719"/>
      <c r="T1401" s="2717"/>
      <c r="U1401" s="2717"/>
      <c r="V1401" s="2717"/>
    </row>
    <row r="1402" spans="2:22" s="2720" customFormat="1" ht="14.1" customHeight="1" x14ac:dyDescent="0.2">
      <c r="B1402" s="2711"/>
      <c r="C1402" s="2528"/>
      <c r="D1402" s="2733"/>
      <c r="E1402" s="2984"/>
      <c r="F1402" s="2985"/>
      <c r="G1402" s="2742"/>
      <c r="H1402" s="2986"/>
      <c r="I1402" s="2842"/>
      <c r="J1402" s="2813"/>
      <c r="K1402" s="2729">
        <f>SUM(J1398:J1401)</f>
        <v>81500</v>
      </c>
      <c r="L1402" s="2731"/>
      <c r="M1402" s="2732"/>
      <c r="N1402" s="2729">
        <f t="shared" si="133"/>
        <v>0</v>
      </c>
      <c r="O1402" s="2716"/>
      <c r="Q1402" s="2717"/>
      <c r="R1402" s="2717"/>
      <c r="S1402" s="2719"/>
      <c r="T1402" s="2717"/>
      <c r="U1402" s="2717"/>
      <c r="V1402" s="2717"/>
    </row>
    <row r="1403" spans="2:22" s="2720" customFormat="1" ht="14.1" customHeight="1" x14ac:dyDescent="0.2">
      <c r="B1403" s="2711"/>
      <c r="C1403" s="2524" t="s">
        <v>608</v>
      </c>
      <c r="D1403" s="2725" t="s">
        <v>288</v>
      </c>
      <c r="E1403" s="2999" t="s">
        <v>289</v>
      </c>
      <c r="F1403" s="2999"/>
      <c r="G1403" s="2965" t="s">
        <v>291</v>
      </c>
      <c r="H1403" s="2974">
        <v>0.08</v>
      </c>
      <c r="I1403" s="2814">
        <f>'Upah &amp; Bahan'!$I$24</f>
        <v>88300</v>
      </c>
      <c r="J1403" s="2932">
        <f>ROUND(H1403*I1403,2)</f>
        <v>7064</v>
      </c>
      <c r="K1403" s="2966"/>
      <c r="L1403" s="2731">
        <f t="shared" ref="L1403:L1405" si="134">VLOOKUP($E1403,$D$1744:$G$1761,2,0)</f>
        <v>1</v>
      </c>
      <c r="M1403" s="2731" t="str">
        <f t="shared" ref="M1403:M1405" si="135">VLOOKUP($E1403,$D$1744:$G$1761,3,0)</f>
        <v>WNI</v>
      </c>
      <c r="N1403" s="2729">
        <f t="shared" si="133"/>
        <v>7064</v>
      </c>
      <c r="O1403" s="2716"/>
      <c r="Q1403" s="2717"/>
      <c r="R1403" s="2717"/>
      <c r="S1403" s="2719"/>
      <c r="T1403" s="2717"/>
      <c r="U1403" s="2717"/>
      <c r="V1403" s="2717"/>
    </row>
    <row r="1404" spans="2:22" s="2720" customFormat="1" ht="14.1" customHeight="1" x14ac:dyDescent="0.2">
      <c r="B1404" s="2711"/>
      <c r="C1404" s="2961"/>
      <c r="D1404" s="2967"/>
      <c r="E1404" s="2999" t="s">
        <v>20</v>
      </c>
      <c r="F1404" s="2999"/>
      <c r="G1404" s="2965" t="s">
        <v>291</v>
      </c>
      <c r="H1404" s="2974">
        <v>0.1</v>
      </c>
      <c r="I1404" s="2932">
        <f>'Upah &amp; Bahan'!$I$38</f>
        <v>90000</v>
      </c>
      <c r="J1404" s="2932">
        <f>ROUND(H1404*I1404,2)</f>
        <v>9000</v>
      </c>
      <c r="K1404" s="2975"/>
      <c r="L1404" s="2731">
        <f t="shared" si="134"/>
        <v>1</v>
      </c>
      <c r="M1404" s="2731" t="str">
        <f t="shared" si="135"/>
        <v>WNI</v>
      </c>
      <c r="N1404" s="2729">
        <f t="shared" si="133"/>
        <v>9000</v>
      </c>
      <c r="O1404" s="2716"/>
      <c r="Q1404" s="2717"/>
      <c r="R1404" s="2717"/>
      <c r="S1404" s="2719"/>
      <c r="T1404" s="2717"/>
      <c r="U1404" s="2717"/>
      <c r="V1404" s="2717"/>
    </row>
    <row r="1405" spans="2:22" s="2720" customFormat="1" ht="14.1" customHeight="1" x14ac:dyDescent="0.2">
      <c r="B1405" s="2711"/>
      <c r="C1405" s="2961"/>
      <c r="D1405" s="2967"/>
      <c r="E1405" s="2999" t="s">
        <v>290</v>
      </c>
      <c r="F1405" s="2999"/>
      <c r="G1405" s="2965" t="s">
        <v>291</v>
      </c>
      <c r="H1405" s="2974">
        <v>0.05</v>
      </c>
      <c r="I1405" s="2814">
        <f>'Upah &amp; Bahan'!$I$31</f>
        <v>90000</v>
      </c>
      <c r="J1405" s="2932">
        <f>ROUND(H1405*I1405,2)</f>
        <v>4500</v>
      </c>
      <c r="K1405" s="2975"/>
      <c r="L1405" s="2731">
        <f t="shared" si="134"/>
        <v>1</v>
      </c>
      <c r="M1405" s="2731" t="str">
        <f t="shared" si="135"/>
        <v>WNI</v>
      </c>
      <c r="N1405" s="2729">
        <f t="shared" si="133"/>
        <v>4500</v>
      </c>
      <c r="O1405" s="2716"/>
      <c r="Q1405" s="2717"/>
      <c r="R1405" s="2717"/>
      <c r="S1405" s="2719"/>
      <c r="T1405" s="2717"/>
      <c r="U1405" s="2717"/>
      <c r="V1405" s="2717"/>
    </row>
    <row r="1406" spans="2:22" s="2720" customFormat="1" ht="14.1" customHeight="1" x14ac:dyDescent="0.2">
      <c r="B1406" s="2711"/>
      <c r="C1406" s="2537"/>
      <c r="D1406" s="2536"/>
      <c r="E1406" s="2969"/>
      <c r="F1406" s="2970"/>
      <c r="G1406" s="2971"/>
      <c r="H1406" s="2972"/>
      <c r="I1406" s="2973"/>
      <c r="J1406" s="2937"/>
      <c r="K1406" s="2942">
        <f>SUM(J1403:J1405)</f>
        <v>20564</v>
      </c>
      <c r="L1406" s="2731"/>
      <c r="M1406" s="2732"/>
      <c r="N1406" s="2729">
        <f t="shared" si="133"/>
        <v>0</v>
      </c>
      <c r="O1406" s="2716"/>
      <c r="Q1406" s="2717"/>
      <c r="R1406" s="2717"/>
      <c r="S1406" s="2719"/>
      <c r="T1406" s="2717"/>
      <c r="U1406" s="2717"/>
      <c r="V1406" s="2717"/>
    </row>
    <row r="1407" spans="2:22" s="2720" customFormat="1" ht="14.1" customHeight="1" x14ac:dyDescent="0.2">
      <c r="B1407" s="2711"/>
      <c r="C1407" s="2528" t="s">
        <v>609</v>
      </c>
      <c r="D1407" s="2725" t="s">
        <v>606</v>
      </c>
      <c r="E1407" s="2739"/>
      <c r="F1407" s="2739"/>
      <c r="G1407" s="2727"/>
      <c r="H1407" s="2740"/>
      <c r="I1407" s="2814"/>
      <c r="J1407" s="2729"/>
      <c r="K1407" s="2730"/>
      <c r="L1407" s="2731"/>
      <c r="M1407" s="2732"/>
      <c r="N1407" s="2729">
        <f t="shared" si="133"/>
        <v>0</v>
      </c>
      <c r="O1407" s="2716"/>
      <c r="Q1407" s="2717"/>
      <c r="R1407" s="2717"/>
      <c r="S1407" s="2719"/>
      <c r="T1407" s="2717"/>
      <c r="U1407" s="2717"/>
      <c r="V1407" s="2717"/>
    </row>
    <row r="1408" spans="2:22" s="2720" customFormat="1" ht="14.1" customHeight="1" x14ac:dyDescent="0.2">
      <c r="B1408" s="2711"/>
      <c r="C1408" s="2537"/>
      <c r="D1408" s="2536"/>
      <c r="E1408" s="2736"/>
      <c r="F1408" s="2741"/>
      <c r="G1408" s="2742"/>
      <c r="H1408" s="2743"/>
      <c r="I1408" s="2744"/>
      <c r="J1408" s="2813"/>
      <c r="K1408" s="2732">
        <f>SUM(J1407:J1407)</f>
        <v>0</v>
      </c>
      <c r="L1408" s="2731"/>
      <c r="M1408" s="2732"/>
      <c r="N1408" s="2729">
        <f t="shared" si="133"/>
        <v>0</v>
      </c>
      <c r="O1408" s="2716"/>
      <c r="Q1408" s="2717"/>
      <c r="R1408" s="2717"/>
      <c r="S1408" s="2719"/>
      <c r="T1408" s="2717"/>
      <c r="U1408" s="2717"/>
      <c r="V1408" s="2717"/>
    </row>
    <row r="1409" spans="2:22" s="2720" customFormat="1" ht="14.1" customHeight="1" x14ac:dyDescent="0.2">
      <c r="B1409" s="2711"/>
      <c r="C1409" s="2537" t="s">
        <v>610</v>
      </c>
      <c r="D1409" s="2738" t="s">
        <v>651</v>
      </c>
      <c r="E1409" s="2741"/>
      <c r="F1409" s="2741"/>
      <c r="G1409" s="2742"/>
      <c r="H1409" s="2743"/>
      <c r="I1409" s="2744"/>
      <c r="J1409" s="2745" t="s">
        <v>652</v>
      </c>
      <c r="K1409" s="2732">
        <f>K1402+K1406+K1408</f>
        <v>102064</v>
      </c>
      <c r="L1409" s="2746">
        <f>N1409/K1409</f>
        <v>0.80012051261953288</v>
      </c>
      <c r="M1409" s="2745"/>
      <c r="N1409" s="2747">
        <f>SUM(N1398:N1408)</f>
        <v>81663.5</v>
      </c>
      <c r="O1409" s="2716"/>
      <c r="Q1409" s="2717"/>
      <c r="R1409" s="2717"/>
      <c r="S1409" s="2719"/>
      <c r="T1409" s="2717"/>
      <c r="U1409" s="2717"/>
      <c r="V1409" s="2717"/>
    </row>
    <row r="1410" spans="2:22" s="2720" customFormat="1" ht="14.1" customHeight="1" x14ac:dyDescent="0.2">
      <c r="B1410" s="2711"/>
      <c r="C1410" s="2537" t="s">
        <v>611</v>
      </c>
      <c r="D1410" s="2738" t="s">
        <v>653</v>
      </c>
      <c r="E1410" s="2741"/>
      <c r="F1410" s="2748">
        <f>$F$42</f>
        <v>0.1</v>
      </c>
      <c r="G1410" s="2727" t="s">
        <v>425</v>
      </c>
      <c r="H1410" s="2748">
        <f>$H$42</f>
        <v>0.03</v>
      </c>
      <c r="I1410" s="2749" t="s">
        <v>424</v>
      </c>
      <c r="J1410" s="2732" t="s">
        <v>610</v>
      </c>
      <c r="K1410" s="2750">
        <f>ROUND((K1409*(F1410+H1410)),2)</f>
        <v>13268.32</v>
      </c>
      <c r="L1410" s="2732"/>
      <c r="M1410" s="2732"/>
      <c r="N1410" s="2732"/>
      <c r="O1410" s="2716"/>
      <c r="Q1410" s="2717"/>
      <c r="R1410" s="2717"/>
      <c r="S1410" s="2719"/>
      <c r="T1410" s="2717"/>
      <c r="U1410" s="2717"/>
      <c r="V1410" s="2717"/>
    </row>
    <row r="1411" spans="2:22" s="2720" customFormat="1" ht="14.1" customHeight="1" x14ac:dyDescent="0.2">
      <c r="B1411" s="2711"/>
      <c r="C1411" s="2880" t="s">
        <v>654</v>
      </c>
      <c r="D1411" s="2752" t="s">
        <v>301</v>
      </c>
      <c r="E1411" s="2815"/>
      <c r="F1411" s="2815"/>
      <c r="G1411" s="2815"/>
      <c r="H1411" s="2816"/>
      <c r="I1411" s="2815"/>
      <c r="J1411" s="2755" t="s">
        <v>668</v>
      </c>
      <c r="K1411" s="2756">
        <f>SUM(K1409:K1410)</f>
        <v>115332.32</v>
      </c>
      <c r="L1411" s="2746"/>
      <c r="M1411" s="2755"/>
      <c r="N1411" s="2757"/>
      <c r="O1411" s="2716"/>
      <c r="Q1411" s="2717"/>
      <c r="R1411" s="2717"/>
      <c r="S1411" s="2719"/>
      <c r="T1411" s="2717"/>
      <c r="U1411" s="2717"/>
      <c r="V1411" s="2717"/>
    </row>
    <row r="1412" spans="2:22" x14ac:dyDescent="0.25">
      <c r="Q1412" s="2717"/>
      <c r="R1412" s="2717"/>
      <c r="S1412" s="2719"/>
      <c r="T1412" s="2717"/>
      <c r="U1412" s="2717"/>
      <c r="V1412" s="2717"/>
    </row>
    <row r="1413" spans="2:22" s="3005" customFormat="1" ht="14.1" customHeight="1" x14ac:dyDescent="0.2">
      <c r="B1413" s="2711">
        <f>B1393+1</f>
        <v>71</v>
      </c>
      <c r="C1413" s="2711"/>
      <c r="D1413" s="3002" t="s">
        <v>1627</v>
      </c>
      <c r="E1413" s="2713"/>
      <c r="F1413" s="2713"/>
      <c r="G1413" s="2713"/>
      <c r="H1413" s="2714"/>
      <c r="I1413" s="2713"/>
      <c r="J1413" s="2713"/>
      <c r="K1413" s="2715" t="s">
        <v>720</v>
      </c>
      <c r="L1413" s="2715"/>
      <c r="M1413" s="2715"/>
      <c r="N1413" s="2715"/>
      <c r="O1413" s="3003" t="str">
        <f>D1414</f>
        <v>ttk</v>
      </c>
      <c r="P1413" s="3004">
        <f>K1431</f>
        <v>145842.32</v>
      </c>
      <c r="Q1413" s="2718">
        <f>L1429</f>
        <v>0.8179817764829852</v>
      </c>
      <c r="R1413" s="2717"/>
      <c r="S1413" s="2719">
        <f>N1429</f>
        <v>105572</v>
      </c>
      <c r="T1413" s="2515">
        <f>U1413+S1413</f>
        <v>119296.36</v>
      </c>
      <c r="U1413" s="2719">
        <f>S1413*V1413</f>
        <v>13724.36</v>
      </c>
      <c r="V1413" s="2718">
        <f>$F$42+$H$42</f>
        <v>0.13</v>
      </c>
    </row>
    <row r="1414" spans="2:22" s="3005" customFormat="1" ht="14.1" customHeight="1" x14ac:dyDescent="0.2">
      <c r="B1414" s="2711"/>
      <c r="C1414" s="2711"/>
      <c r="D1414" s="2721" t="s">
        <v>390</v>
      </c>
      <c r="E1414" s="2721"/>
      <c r="F1414" s="2721"/>
      <c r="G1414" s="2721"/>
      <c r="H1414" s="2711"/>
      <c r="I1414" s="2721"/>
      <c r="J1414" s="2721"/>
      <c r="K1414" s="2721"/>
      <c r="L1414" s="2721"/>
      <c r="M1414" s="2721"/>
      <c r="N1414" s="2721"/>
      <c r="O1414" s="3003"/>
      <c r="Q1414" s="2717"/>
      <c r="R1414" s="2717"/>
      <c r="S1414" s="2719"/>
      <c r="T1414" s="2717"/>
      <c r="U1414" s="2717"/>
      <c r="V1414" s="2717"/>
    </row>
    <row r="1415" spans="2:22" s="3005" customFormat="1" ht="14.1" customHeight="1" x14ac:dyDescent="0.2">
      <c r="B1415" s="2711"/>
      <c r="C1415" s="2959"/>
      <c r="D1415" s="3436" t="s">
        <v>280</v>
      </c>
      <c r="E1415" s="3437"/>
      <c r="F1415" s="2960"/>
      <c r="G1415" s="3440" t="s">
        <v>281</v>
      </c>
      <c r="H1415" s="3440" t="s">
        <v>282</v>
      </c>
      <c r="I1415" s="2959" t="s">
        <v>283</v>
      </c>
      <c r="J1415" s="2959" t="s">
        <v>284</v>
      </c>
      <c r="K1415" s="2959" t="s">
        <v>340</v>
      </c>
      <c r="L1415" s="2524" t="s">
        <v>2008</v>
      </c>
      <c r="M1415" s="2524" t="s">
        <v>2009</v>
      </c>
      <c r="N1415" s="2524" t="s">
        <v>284</v>
      </c>
      <c r="O1415" s="3003"/>
      <c r="Q1415" s="2717"/>
      <c r="R1415" s="2717"/>
      <c r="S1415" s="2719"/>
      <c r="T1415" s="2717"/>
      <c r="U1415" s="2717"/>
      <c r="V1415" s="2717"/>
    </row>
    <row r="1416" spans="2:22" s="3005" customFormat="1" ht="14.1" customHeight="1" x14ac:dyDescent="0.2">
      <c r="B1416" s="2711"/>
      <c r="C1416" s="2961" t="s">
        <v>669</v>
      </c>
      <c r="D1416" s="3467"/>
      <c r="E1416" s="3468"/>
      <c r="F1416" s="2962"/>
      <c r="G1416" s="3469"/>
      <c r="H1416" s="3469"/>
      <c r="I1416" s="2961" t="s">
        <v>285</v>
      </c>
      <c r="J1416" s="2961" t="s">
        <v>286</v>
      </c>
      <c r="K1416" s="2961" t="s">
        <v>286</v>
      </c>
      <c r="L1416" s="2528" t="s">
        <v>2011</v>
      </c>
      <c r="M1416" s="2528"/>
      <c r="N1416" s="2528" t="s">
        <v>2013</v>
      </c>
      <c r="O1416" s="3003"/>
      <c r="Q1416" s="2717"/>
      <c r="R1416" s="2717"/>
      <c r="S1416" s="2719"/>
      <c r="T1416" s="2717"/>
      <c r="U1416" s="2717"/>
      <c r="V1416" s="2717"/>
    </row>
    <row r="1417" spans="2:22" s="3005" customFormat="1" ht="14.1" customHeight="1" x14ac:dyDescent="0.2">
      <c r="B1417" s="2711"/>
      <c r="C1417" s="2537"/>
      <c r="D1417" s="3431"/>
      <c r="E1417" s="3432"/>
      <c r="F1417" s="2724"/>
      <c r="G1417" s="3435"/>
      <c r="H1417" s="3435"/>
      <c r="I1417" s="2537" t="s">
        <v>286</v>
      </c>
      <c r="J1417" s="2536"/>
      <c r="K1417" s="2536"/>
      <c r="L1417" s="2536"/>
      <c r="M1417" s="2536"/>
      <c r="N1417" s="2537" t="s">
        <v>286</v>
      </c>
      <c r="O1417" s="3003"/>
      <c r="Q1417" s="2717"/>
      <c r="R1417" s="2717"/>
      <c r="S1417" s="2719"/>
      <c r="T1417" s="2717"/>
      <c r="U1417" s="2717"/>
      <c r="V1417" s="2717"/>
    </row>
    <row r="1418" spans="2:22" s="3005" customFormat="1" ht="14.1" customHeight="1" x14ac:dyDescent="0.2">
      <c r="B1418" s="2711"/>
      <c r="C1418" s="2959" t="s">
        <v>607</v>
      </c>
      <c r="D1418" s="2963" t="s">
        <v>287</v>
      </c>
      <c r="E1418" s="2726" t="s">
        <v>1074</v>
      </c>
      <c r="F1418" s="2726"/>
      <c r="G1418" s="2727" t="s">
        <v>274</v>
      </c>
      <c r="H1418" s="2728">
        <v>1</v>
      </c>
      <c r="I1418" s="2729">
        <f>'Upah &amp; Bahan'!$I$154</f>
        <v>8000</v>
      </c>
      <c r="J1418" s="2729">
        <f t="shared" ref="J1418:J1421" si="136">ROUND(H1418*I1418,2)</f>
        <v>8000</v>
      </c>
      <c r="K1418" s="2966"/>
      <c r="L1418" s="2731">
        <v>0</v>
      </c>
      <c r="M1418" s="2732"/>
      <c r="N1418" s="2729">
        <f t="shared" ref="N1418:N1428" si="137">L1418*J1418</f>
        <v>0</v>
      </c>
      <c r="O1418" s="3003"/>
      <c r="Q1418" s="2717"/>
      <c r="R1418" s="2717"/>
      <c r="S1418" s="2719"/>
      <c r="T1418" s="2717"/>
      <c r="U1418" s="2717"/>
      <c r="V1418" s="2717"/>
    </row>
    <row r="1419" spans="2:22" s="3005" customFormat="1" ht="14.1" customHeight="1" x14ac:dyDescent="0.2">
      <c r="B1419" s="2711"/>
      <c r="C1419" s="2967"/>
      <c r="D1419" s="2967"/>
      <c r="E1419" s="2999" t="s">
        <v>1625</v>
      </c>
      <c r="F1419" s="2726"/>
      <c r="G1419" s="2727" t="s">
        <v>247</v>
      </c>
      <c r="H1419" s="2728">
        <v>10</v>
      </c>
      <c r="I1419" s="2729">
        <f>'Upah &amp; Bahan'!$I$86</f>
        <v>9600</v>
      </c>
      <c r="J1419" s="2729">
        <f t="shared" si="136"/>
        <v>96000</v>
      </c>
      <c r="K1419" s="2975"/>
      <c r="L1419" s="2731">
        <v>0.88549999999999995</v>
      </c>
      <c r="M1419" s="2732" t="s">
        <v>2029</v>
      </c>
      <c r="N1419" s="2729">
        <f t="shared" si="137"/>
        <v>85008</v>
      </c>
      <c r="O1419" s="3003"/>
      <c r="Q1419" s="2717"/>
      <c r="R1419" s="2717"/>
      <c r="S1419" s="2719"/>
      <c r="T1419" s="2717"/>
      <c r="U1419" s="2717"/>
      <c r="V1419" s="2717"/>
    </row>
    <row r="1420" spans="2:22" s="3005" customFormat="1" ht="14.1" customHeight="1" x14ac:dyDescent="0.2">
      <c r="B1420" s="2711"/>
      <c r="C1420" s="2967"/>
      <c r="D1420" s="2967"/>
      <c r="E1420" s="2737" t="s">
        <v>1075</v>
      </c>
      <c r="F1420" s="2737"/>
      <c r="G1420" s="2524" t="s">
        <v>268</v>
      </c>
      <c r="H1420" s="3000">
        <v>1</v>
      </c>
      <c r="I1420" s="2730">
        <f>'Upah &amp; Bahan'!$I$155</f>
        <v>2500</v>
      </c>
      <c r="J1420" s="2730">
        <f t="shared" si="136"/>
        <v>2500</v>
      </c>
      <c r="K1420" s="2975"/>
      <c r="L1420" s="2731">
        <v>0</v>
      </c>
      <c r="M1420" s="2732"/>
      <c r="N1420" s="2729">
        <f t="shared" si="137"/>
        <v>0</v>
      </c>
      <c r="O1420" s="3003"/>
      <c r="Q1420" s="2717"/>
      <c r="R1420" s="2717"/>
      <c r="S1420" s="2719"/>
      <c r="T1420" s="2717"/>
      <c r="U1420" s="2717"/>
      <c r="V1420" s="2717"/>
    </row>
    <row r="1421" spans="2:22" s="3005" customFormat="1" ht="14.1" customHeight="1" x14ac:dyDescent="0.2">
      <c r="B1421" s="2711"/>
      <c r="C1421" s="2967"/>
      <c r="D1421" s="2967"/>
      <c r="E1421" s="2726" t="s">
        <v>1076</v>
      </c>
      <c r="F1421" s="2726"/>
      <c r="G1421" s="2727" t="s">
        <v>268</v>
      </c>
      <c r="H1421" s="2728">
        <v>1</v>
      </c>
      <c r="I1421" s="2729">
        <f>'Upah &amp; Bahan'!$I$156</f>
        <v>2000</v>
      </c>
      <c r="J1421" s="2729">
        <f t="shared" si="136"/>
        <v>2000</v>
      </c>
      <c r="K1421" s="2735"/>
      <c r="L1421" s="2731">
        <v>0</v>
      </c>
      <c r="M1421" s="2732"/>
      <c r="N1421" s="2729">
        <f t="shared" si="137"/>
        <v>0</v>
      </c>
      <c r="O1421" s="3003"/>
      <c r="Q1421" s="2717"/>
      <c r="R1421" s="2717"/>
      <c r="S1421" s="2719"/>
      <c r="T1421" s="2717"/>
      <c r="U1421" s="2717"/>
      <c r="V1421" s="2717"/>
    </row>
    <row r="1422" spans="2:22" s="3005" customFormat="1" ht="14.1" customHeight="1" x14ac:dyDescent="0.2">
      <c r="B1422" s="2711"/>
      <c r="C1422" s="2961"/>
      <c r="D1422" s="2967"/>
      <c r="E1422" s="3006"/>
      <c r="F1422" s="3007"/>
      <c r="G1422" s="2971"/>
      <c r="H1422" s="3008"/>
      <c r="I1422" s="2973"/>
      <c r="J1422" s="2937"/>
      <c r="K1422" s="2932">
        <f>SUM(J1418:J1421)</f>
        <v>108500</v>
      </c>
      <c r="L1422" s="2731"/>
      <c r="M1422" s="2732"/>
      <c r="N1422" s="2729">
        <f t="shared" si="137"/>
        <v>0</v>
      </c>
      <c r="O1422" s="3003"/>
      <c r="Q1422" s="2717"/>
      <c r="R1422" s="2717"/>
      <c r="S1422" s="2719"/>
      <c r="T1422" s="2717"/>
      <c r="U1422" s="2717"/>
      <c r="V1422" s="2717"/>
    </row>
    <row r="1423" spans="2:22" s="3005" customFormat="1" ht="14.1" customHeight="1" x14ac:dyDescent="0.2">
      <c r="B1423" s="2711"/>
      <c r="C1423" s="2959" t="s">
        <v>608</v>
      </c>
      <c r="D1423" s="2963" t="s">
        <v>288</v>
      </c>
      <c r="E1423" s="2999" t="s">
        <v>289</v>
      </c>
      <c r="F1423" s="2999"/>
      <c r="G1423" s="2965" t="s">
        <v>291</v>
      </c>
      <c r="H1423" s="2974">
        <v>0.08</v>
      </c>
      <c r="I1423" s="2814">
        <f>'Upah &amp; Bahan'!$I$24</f>
        <v>88300</v>
      </c>
      <c r="J1423" s="2932">
        <f>ROUND(H1423*I1423,2)</f>
        <v>7064</v>
      </c>
      <c r="K1423" s="2966"/>
      <c r="L1423" s="2731">
        <f t="shared" ref="L1423:L1425" si="138">VLOOKUP($E1423,$D$1744:$G$1761,2,0)</f>
        <v>1</v>
      </c>
      <c r="M1423" s="2731" t="str">
        <f t="shared" ref="M1423:M1425" si="139">VLOOKUP($E1423,$D$1744:$G$1761,3,0)</f>
        <v>WNI</v>
      </c>
      <c r="N1423" s="2729">
        <f t="shared" si="137"/>
        <v>7064</v>
      </c>
      <c r="O1423" s="3003"/>
      <c r="Q1423" s="2717"/>
      <c r="R1423" s="2717"/>
      <c r="S1423" s="2719"/>
      <c r="T1423" s="2717"/>
      <c r="U1423" s="2717"/>
      <c r="V1423" s="2717"/>
    </row>
    <row r="1424" spans="2:22" s="3005" customFormat="1" ht="14.1" customHeight="1" x14ac:dyDescent="0.2">
      <c r="B1424" s="2711"/>
      <c r="C1424" s="2967"/>
      <c r="D1424" s="2967"/>
      <c r="E1424" s="2999" t="s">
        <v>20</v>
      </c>
      <c r="F1424" s="2999"/>
      <c r="G1424" s="2965" t="s">
        <v>291</v>
      </c>
      <c r="H1424" s="2974">
        <v>0.1</v>
      </c>
      <c r="I1424" s="2932">
        <f>'Upah &amp; Bahan'!$I$38</f>
        <v>90000</v>
      </c>
      <c r="J1424" s="2932">
        <f>ROUND(H1424*I1424,2)</f>
        <v>9000</v>
      </c>
      <c r="K1424" s="2975"/>
      <c r="L1424" s="2731">
        <f t="shared" si="138"/>
        <v>1</v>
      </c>
      <c r="M1424" s="2731" t="str">
        <f t="shared" si="139"/>
        <v>WNI</v>
      </c>
      <c r="N1424" s="2729">
        <f t="shared" si="137"/>
        <v>9000</v>
      </c>
      <c r="O1424" s="3003"/>
      <c r="Q1424" s="2717"/>
      <c r="R1424" s="2717"/>
      <c r="S1424" s="2719"/>
      <c r="T1424" s="2717"/>
      <c r="U1424" s="2717"/>
      <c r="V1424" s="2717"/>
    </row>
    <row r="1425" spans="2:23" s="3005" customFormat="1" ht="14.1" customHeight="1" x14ac:dyDescent="0.2">
      <c r="B1425" s="2711"/>
      <c r="C1425" s="2967"/>
      <c r="D1425" s="2967"/>
      <c r="E1425" s="2999" t="s">
        <v>290</v>
      </c>
      <c r="F1425" s="2999"/>
      <c r="G1425" s="2965" t="s">
        <v>291</v>
      </c>
      <c r="H1425" s="2974">
        <v>0.05</v>
      </c>
      <c r="I1425" s="2814">
        <f>'Upah &amp; Bahan'!$I$31</f>
        <v>90000</v>
      </c>
      <c r="J1425" s="2932">
        <f>ROUND(H1425*I1425,2)</f>
        <v>4500</v>
      </c>
      <c r="K1425" s="2975"/>
      <c r="L1425" s="2731">
        <f t="shared" si="138"/>
        <v>1</v>
      </c>
      <c r="M1425" s="2731" t="str">
        <f t="shared" si="139"/>
        <v>WNI</v>
      </c>
      <c r="N1425" s="2729">
        <f t="shared" si="137"/>
        <v>4500</v>
      </c>
      <c r="O1425" s="3003"/>
      <c r="Q1425" s="2717"/>
      <c r="R1425" s="2717"/>
      <c r="S1425" s="2719"/>
      <c r="T1425" s="2717"/>
      <c r="U1425" s="2717"/>
      <c r="V1425" s="2717"/>
    </row>
    <row r="1426" spans="2:23" s="3005" customFormat="1" ht="14.1" customHeight="1" x14ac:dyDescent="0.2">
      <c r="B1426" s="2711"/>
      <c r="C1426" s="2537"/>
      <c r="D1426" s="2536"/>
      <c r="E1426" s="2969"/>
      <c r="F1426" s="2970"/>
      <c r="G1426" s="2971"/>
      <c r="H1426" s="2972"/>
      <c r="I1426" s="2973"/>
      <c r="J1426" s="2937"/>
      <c r="K1426" s="2942">
        <f>SUM(J1423:J1425)</f>
        <v>20564</v>
      </c>
      <c r="L1426" s="2731"/>
      <c r="M1426" s="2732"/>
      <c r="N1426" s="2729">
        <f t="shared" si="137"/>
        <v>0</v>
      </c>
      <c r="O1426" s="3003"/>
      <c r="Q1426" s="2717"/>
      <c r="R1426" s="2717"/>
      <c r="S1426" s="2719"/>
      <c r="T1426" s="2717"/>
      <c r="U1426" s="2717"/>
      <c r="V1426" s="2717"/>
    </row>
    <row r="1427" spans="2:23" s="3005" customFormat="1" ht="14.1" customHeight="1" x14ac:dyDescent="0.2">
      <c r="B1427" s="2711"/>
      <c r="C1427" s="2961" t="s">
        <v>609</v>
      </c>
      <c r="D1427" s="2963" t="s">
        <v>606</v>
      </c>
      <c r="E1427" s="2964"/>
      <c r="F1427" s="2964"/>
      <c r="G1427" s="2965"/>
      <c r="H1427" s="2968"/>
      <c r="I1427" s="2976"/>
      <c r="J1427" s="2932"/>
      <c r="K1427" s="2966"/>
      <c r="L1427" s="2731"/>
      <c r="M1427" s="2732"/>
      <c r="N1427" s="2729">
        <f t="shared" si="137"/>
        <v>0</v>
      </c>
      <c r="O1427" s="3003"/>
      <c r="Q1427" s="2717"/>
      <c r="R1427" s="2717"/>
      <c r="S1427" s="2719"/>
      <c r="T1427" s="2717"/>
      <c r="U1427" s="2717"/>
      <c r="V1427" s="2717"/>
    </row>
    <row r="1428" spans="2:23" s="3005" customFormat="1" ht="14.1" customHeight="1" x14ac:dyDescent="0.2">
      <c r="B1428" s="2711"/>
      <c r="C1428" s="2537"/>
      <c r="D1428" s="2536"/>
      <c r="E1428" s="2969"/>
      <c r="F1428" s="2970"/>
      <c r="G1428" s="2971"/>
      <c r="H1428" s="2972"/>
      <c r="I1428" s="2977"/>
      <c r="J1428" s="2937"/>
      <c r="K1428" s="2942">
        <f>SUM(J1427:J1427)</f>
        <v>0</v>
      </c>
      <c r="L1428" s="2731"/>
      <c r="M1428" s="2732"/>
      <c r="N1428" s="2729">
        <f t="shared" si="137"/>
        <v>0</v>
      </c>
      <c r="O1428" s="3003"/>
      <c r="Q1428" s="2717"/>
      <c r="R1428" s="2717"/>
      <c r="S1428" s="2719"/>
      <c r="T1428" s="2717"/>
      <c r="U1428" s="2717"/>
      <c r="V1428" s="2717"/>
    </row>
    <row r="1429" spans="2:23" s="3005" customFormat="1" ht="14.1" customHeight="1" x14ac:dyDescent="0.2">
      <c r="B1429" s="2711"/>
      <c r="C1429" s="2537" t="s">
        <v>610</v>
      </c>
      <c r="D1429" s="2738" t="s">
        <v>651</v>
      </c>
      <c r="E1429" s="2970"/>
      <c r="F1429" s="2970"/>
      <c r="G1429" s="2971"/>
      <c r="H1429" s="2972"/>
      <c r="I1429" s="2977"/>
      <c r="J1429" s="2947" t="s">
        <v>652</v>
      </c>
      <c r="K1429" s="2942">
        <f>K1422+K1426+K1428</f>
        <v>129064</v>
      </c>
      <c r="L1429" s="2746">
        <f>N1429/K1429</f>
        <v>0.8179817764829852</v>
      </c>
      <c r="M1429" s="2745"/>
      <c r="N1429" s="2747">
        <f>SUM(N1418:N1428)</f>
        <v>105572</v>
      </c>
      <c r="O1429" s="3003"/>
      <c r="Q1429" s="2717"/>
      <c r="R1429" s="2717"/>
      <c r="S1429" s="2719"/>
      <c r="T1429" s="2717"/>
      <c r="U1429" s="2717"/>
      <c r="V1429" s="2717"/>
    </row>
    <row r="1430" spans="2:23" s="3005" customFormat="1" ht="14.1" customHeight="1" x14ac:dyDescent="0.2">
      <c r="B1430" s="2711"/>
      <c r="C1430" s="2537" t="s">
        <v>611</v>
      </c>
      <c r="D1430" s="2738" t="s">
        <v>653</v>
      </c>
      <c r="E1430" s="2970"/>
      <c r="F1430" s="2748">
        <f>$F$42</f>
        <v>0.1</v>
      </c>
      <c r="G1430" s="2727" t="s">
        <v>425</v>
      </c>
      <c r="H1430" s="2748">
        <f>$H$42</f>
        <v>0.03</v>
      </c>
      <c r="I1430" s="2978" t="s">
        <v>424</v>
      </c>
      <c r="J1430" s="2942" t="s">
        <v>610</v>
      </c>
      <c r="K1430" s="2949">
        <f>ROUND((K1429*(F1430+H1430)),2)</f>
        <v>16778.32</v>
      </c>
      <c r="L1430" s="2732"/>
      <c r="M1430" s="2732"/>
      <c r="N1430" s="2732"/>
      <c r="O1430" s="3003"/>
      <c r="Q1430" s="2717"/>
      <c r="R1430" s="2717"/>
      <c r="S1430" s="2719"/>
      <c r="T1430" s="2717"/>
      <c r="U1430" s="2717"/>
      <c r="V1430" s="2717"/>
    </row>
    <row r="1431" spans="2:23" s="3005" customFormat="1" ht="14.1" customHeight="1" x14ac:dyDescent="0.2">
      <c r="B1431" s="2711"/>
      <c r="C1431" s="2880" t="s">
        <v>654</v>
      </c>
      <c r="D1431" s="2979" t="s">
        <v>301</v>
      </c>
      <c r="E1431" s="2980"/>
      <c r="F1431" s="2980"/>
      <c r="G1431" s="2980"/>
      <c r="H1431" s="2981"/>
      <c r="I1431" s="2980"/>
      <c r="J1431" s="2982" t="s">
        <v>668</v>
      </c>
      <c r="K1431" s="2983">
        <f>SUM(K1429:K1430)</f>
        <v>145842.32</v>
      </c>
      <c r="L1431" s="2746"/>
      <c r="M1431" s="2755"/>
      <c r="N1431" s="2757"/>
      <c r="O1431" s="3003"/>
      <c r="Q1431" s="2717"/>
      <c r="R1431" s="2717"/>
      <c r="S1431" s="2719"/>
      <c r="T1431" s="2717"/>
      <c r="U1431" s="2717"/>
      <c r="V1431" s="2717"/>
    </row>
    <row r="1432" spans="2:23" s="3005" customFormat="1" ht="14.1" customHeight="1" x14ac:dyDescent="0.2">
      <c r="B1432" s="3009"/>
      <c r="C1432" s="3009"/>
      <c r="E1432" s="3010"/>
      <c r="F1432" s="3010"/>
      <c r="G1432" s="3010"/>
      <c r="H1432" s="3011"/>
      <c r="I1432" s="3010"/>
      <c r="J1432" s="3011"/>
      <c r="K1432" s="3010"/>
      <c r="L1432" s="3010"/>
      <c r="M1432" s="3010"/>
      <c r="N1432" s="3010"/>
      <c r="O1432" s="3003"/>
      <c r="Q1432" s="2717"/>
      <c r="R1432" s="2717"/>
      <c r="S1432" s="2719"/>
      <c r="T1432" s="2717"/>
      <c r="U1432" s="2717"/>
      <c r="V1432" s="2717"/>
    </row>
    <row r="1433" spans="2:23" s="3005" customFormat="1" ht="14.1" customHeight="1" x14ac:dyDescent="0.2">
      <c r="B1433" s="2711">
        <f>B1413+1</f>
        <v>72</v>
      </c>
      <c r="C1433" s="2711"/>
      <c r="D1433" s="3002" t="s">
        <v>1628</v>
      </c>
      <c r="E1433" s="2713"/>
      <c r="F1433" s="2713"/>
      <c r="G1433" s="2713"/>
      <c r="H1433" s="2714"/>
      <c r="I1433" s="2713"/>
      <c r="J1433" s="2713"/>
      <c r="K1433" s="2715" t="s">
        <v>720</v>
      </c>
      <c r="L1433" s="2715"/>
      <c r="M1433" s="2715"/>
      <c r="N1433" s="2715"/>
      <c r="O1433" s="3003" t="str">
        <f>D1434</f>
        <v>ttk</v>
      </c>
      <c r="P1433" s="3004">
        <f>K1451</f>
        <v>145842.32</v>
      </c>
      <c r="Q1433" s="2718">
        <f>L1449</f>
        <v>0.8179817764829852</v>
      </c>
      <c r="R1433" s="2717"/>
      <c r="S1433" s="2719">
        <f>N1449</f>
        <v>105572</v>
      </c>
      <c r="T1433" s="2515">
        <f>U1433+S1433</f>
        <v>119296.36</v>
      </c>
      <c r="U1433" s="2719">
        <f>S1433*V1433</f>
        <v>13724.36</v>
      </c>
      <c r="V1433" s="2718">
        <f>$F$42+$H$42</f>
        <v>0.13</v>
      </c>
    </row>
    <row r="1434" spans="2:23" s="3005" customFormat="1" ht="14.1" customHeight="1" x14ac:dyDescent="0.2">
      <c r="B1434" s="2711"/>
      <c r="C1434" s="2711"/>
      <c r="D1434" s="2721" t="s">
        <v>390</v>
      </c>
      <c r="E1434" s="2721"/>
      <c r="F1434" s="2721"/>
      <c r="G1434" s="2721"/>
      <c r="H1434" s="2711"/>
      <c r="I1434" s="2721"/>
      <c r="J1434" s="2721"/>
      <c r="K1434" s="2721"/>
      <c r="L1434" s="2721"/>
      <c r="M1434" s="2721"/>
      <c r="N1434" s="2721"/>
      <c r="O1434" s="3003"/>
      <c r="Q1434" s="2717"/>
      <c r="R1434" s="2717"/>
      <c r="S1434" s="2719"/>
      <c r="T1434" s="2717"/>
      <c r="U1434" s="2717"/>
      <c r="V1434" s="2717"/>
    </row>
    <row r="1435" spans="2:23" s="3005" customFormat="1" ht="14.1" customHeight="1" x14ac:dyDescent="0.2">
      <c r="B1435" s="2711"/>
      <c r="C1435" s="2959"/>
      <c r="D1435" s="3436" t="s">
        <v>280</v>
      </c>
      <c r="E1435" s="3437"/>
      <c r="F1435" s="2960"/>
      <c r="G1435" s="3440" t="s">
        <v>281</v>
      </c>
      <c r="H1435" s="3440" t="s">
        <v>282</v>
      </c>
      <c r="I1435" s="2959" t="s">
        <v>283</v>
      </c>
      <c r="J1435" s="2959" t="s">
        <v>284</v>
      </c>
      <c r="K1435" s="2959" t="s">
        <v>340</v>
      </c>
      <c r="L1435" s="2524" t="s">
        <v>2008</v>
      </c>
      <c r="M1435" s="2524" t="s">
        <v>2009</v>
      </c>
      <c r="N1435" s="2524" t="s">
        <v>284</v>
      </c>
      <c r="O1435" s="3003"/>
      <c r="Q1435" s="2717"/>
      <c r="R1435" s="2717"/>
      <c r="S1435" s="2719"/>
      <c r="T1435" s="2717"/>
      <c r="U1435" s="2717"/>
      <c r="V1435" s="2717"/>
    </row>
    <row r="1436" spans="2:23" s="3005" customFormat="1" ht="14.1" customHeight="1" x14ac:dyDescent="0.2">
      <c r="B1436" s="2711"/>
      <c r="C1436" s="2961" t="s">
        <v>669</v>
      </c>
      <c r="D1436" s="3467"/>
      <c r="E1436" s="3468"/>
      <c r="F1436" s="2962"/>
      <c r="G1436" s="3469"/>
      <c r="H1436" s="3469"/>
      <c r="I1436" s="2961" t="s">
        <v>285</v>
      </c>
      <c r="J1436" s="2961" t="s">
        <v>286</v>
      </c>
      <c r="K1436" s="2961" t="s">
        <v>286</v>
      </c>
      <c r="L1436" s="2528" t="s">
        <v>2011</v>
      </c>
      <c r="M1436" s="2528"/>
      <c r="N1436" s="2528" t="s">
        <v>2013</v>
      </c>
      <c r="O1436" s="3003"/>
      <c r="Q1436" s="2717"/>
      <c r="R1436" s="2717"/>
      <c r="S1436" s="2719"/>
      <c r="T1436" s="2717"/>
      <c r="U1436" s="2717"/>
      <c r="V1436" s="2717"/>
    </row>
    <row r="1437" spans="2:23" s="3005" customFormat="1" ht="14.1" customHeight="1" x14ac:dyDescent="0.2">
      <c r="B1437" s="2711"/>
      <c r="C1437" s="2537"/>
      <c r="D1437" s="3431"/>
      <c r="E1437" s="3432"/>
      <c r="F1437" s="2724"/>
      <c r="G1437" s="3435"/>
      <c r="H1437" s="3435"/>
      <c r="I1437" s="2537" t="s">
        <v>286</v>
      </c>
      <c r="J1437" s="2536"/>
      <c r="K1437" s="2536"/>
      <c r="L1437" s="2536"/>
      <c r="M1437" s="2536"/>
      <c r="N1437" s="2537" t="s">
        <v>286</v>
      </c>
      <c r="O1437" s="3003"/>
      <c r="Q1437" s="2717"/>
      <c r="R1437" s="2717"/>
      <c r="S1437" s="2719"/>
      <c r="T1437" s="2717"/>
      <c r="U1437" s="2717"/>
      <c r="V1437" s="2717"/>
    </row>
    <row r="1438" spans="2:23" s="3005" customFormat="1" ht="14.1" customHeight="1" x14ac:dyDescent="0.2">
      <c r="B1438" s="2711"/>
      <c r="C1438" s="2959" t="s">
        <v>607</v>
      </c>
      <c r="D1438" s="2963" t="s">
        <v>287</v>
      </c>
      <c r="E1438" s="2726" t="s">
        <v>1074</v>
      </c>
      <c r="F1438" s="2726"/>
      <c r="G1438" s="2727" t="s">
        <v>274</v>
      </c>
      <c r="H1438" s="2728">
        <v>1</v>
      </c>
      <c r="I1438" s="2729">
        <f>'Upah &amp; Bahan'!$I$154</f>
        <v>8000</v>
      </c>
      <c r="J1438" s="2729">
        <f t="shared" ref="J1438:J1441" si="140">ROUND(H1438*I1438,2)</f>
        <v>8000</v>
      </c>
      <c r="K1438" s="2966"/>
      <c r="L1438" s="2731">
        <v>0</v>
      </c>
      <c r="M1438" s="2732"/>
      <c r="N1438" s="2729">
        <f t="shared" ref="N1438:N1448" si="141">L1438*J1438</f>
        <v>0</v>
      </c>
      <c r="O1438" s="3003"/>
      <c r="Q1438" s="2717"/>
      <c r="R1438" s="2717"/>
      <c r="S1438" s="2719"/>
      <c r="T1438" s="2717"/>
      <c r="U1438" s="2717"/>
      <c r="V1438" s="2717"/>
      <c r="W1438" s="3005">
        <v>850000</v>
      </c>
    </row>
    <row r="1439" spans="2:23" s="3005" customFormat="1" ht="14.1" customHeight="1" x14ac:dyDescent="0.2">
      <c r="B1439" s="2711"/>
      <c r="C1439" s="2967"/>
      <c r="D1439" s="2967"/>
      <c r="E1439" s="2999" t="s">
        <v>1625</v>
      </c>
      <c r="F1439" s="2726"/>
      <c r="G1439" s="2727" t="s">
        <v>247</v>
      </c>
      <c r="H1439" s="2728">
        <v>10</v>
      </c>
      <c r="I1439" s="2729">
        <f>'Upah &amp; Bahan'!I86</f>
        <v>9600</v>
      </c>
      <c r="J1439" s="2729">
        <f t="shared" si="140"/>
        <v>96000</v>
      </c>
      <c r="K1439" s="2975"/>
      <c r="L1439" s="2731">
        <v>0.88549999999999995</v>
      </c>
      <c r="M1439" s="2732" t="s">
        <v>2029</v>
      </c>
      <c r="N1439" s="2729">
        <f t="shared" si="141"/>
        <v>85008</v>
      </c>
      <c r="O1439" s="3003"/>
      <c r="Q1439" s="2717"/>
      <c r="R1439" s="2717"/>
      <c r="S1439" s="2719"/>
      <c r="T1439" s="2717"/>
      <c r="U1439" s="2717"/>
      <c r="V1439" s="2717"/>
      <c r="W1439" s="3005">
        <f>W1438/50</f>
        <v>17000</v>
      </c>
    </row>
    <row r="1440" spans="2:23" s="3005" customFormat="1" ht="14.1" customHeight="1" x14ac:dyDescent="0.2">
      <c r="B1440" s="2711"/>
      <c r="C1440" s="2967"/>
      <c r="D1440" s="2967"/>
      <c r="E1440" s="2737" t="s">
        <v>1075</v>
      </c>
      <c r="F1440" s="2737"/>
      <c r="G1440" s="2524" t="s">
        <v>268</v>
      </c>
      <c r="H1440" s="3000">
        <v>1</v>
      </c>
      <c r="I1440" s="2730">
        <f>'Upah &amp; Bahan'!$I$155</f>
        <v>2500</v>
      </c>
      <c r="J1440" s="2730">
        <f t="shared" si="140"/>
        <v>2500</v>
      </c>
      <c r="K1440" s="2975"/>
      <c r="L1440" s="2731">
        <v>0</v>
      </c>
      <c r="M1440" s="2732"/>
      <c r="N1440" s="2729">
        <f t="shared" si="141"/>
        <v>0</v>
      </c>
      <c r="O1440" s="3003"/>
      <c r="Q1440" s="2717"/>
      <c r="R1440" s="2717"/>
      <c r="S1440" s="2719"/>
      <c r="T1440" s="2717"/>
      <c r="U1440" s="2717"/>
      <c r="V1440" s="2717"/>
    </row>
    <row r="1441" spans="2:22" s="3005" customFormat="1" ht="14.1" customHeight="1" x14ac:dyDescent="0.2">
      <c r="B1441" s="2711"/>
      <c r="C1441" s="2967"/>
      <c r="D1441" s="2967"/>
      <c r="E1441" s="2726" t="s">
        <v>1076</v>
      </c>
      <c r="F1441" s="2726"/>
      <c r="G1441" s="2727" t="s">
        <v>268</v>
      </c>
      <c r="H1441" s="2728">
        <v>1</v>
      </c>
      <c r="I1441" s="2729">
        <f>'Upah &amp; Bahan'!$I$156</f>
        <v>2000</v>
      </c>
      <c r="J1441" s="2729">
        <f t="shared" si="140"/>
        <v>2000</v>
      </c>
      <c r="K1441" s="2735"/>
      <c r="L1441" s="2731">
        <v>0</v>
      </c>
      <c r="M1441" s="2732"/>
      <c r="N1441" s="2729">
        <f t="shared" si="141"/>
        <v>0</v>
      </c>
      <c r="O1441" s="3003"/>
      <c r="Q1441" s="2717"/>
      <c r="R1441" s="2717"/>
      <c r="S1441" s="2719"/>
      <c r="T1441" s="2717"/>
      <c r="U1441" s="2717"/>
      <c r="V1441" s="2717"/>
    </row>
    <row r="1442" spans="2:22" s="3005" customFormat="1" ht="14.1" customHeight="1" x14ac:dyDescent="0.2">
      <c r="B1442" s="2711"/>
      <c r="C1442" s="2961"/>
      <c r="D1442" s="2967"/>
      <c r="E1442" s="3006"/>
      <c r="F1442" s="3007"/>
      <c r="G1442" s="2971"/>
      <c r="H1442" s="3008"/>
      <c r="I1442" s="2973"/>
      <c r="J1442" s="2937"/>
      <c r="K1442" s="2932">
        <f>SUM(J1438:J1441)</f>
        <v>108500</v>
      </c>
      <c r="L1442" s="2731"/>
      <c r="M1442" s="2732"/>
      <c r="N1442" s="2729">
        <f t="shared" si="141"/>
        <v>0</v>
      </c>
      <c r="O1442" s="3003"/>
      <c r="Q1442" s="2717"/>
      <c r="R1442" s="2717"/>
      <c r="S1442" s="2719"/>
      <c r="T1442" s="2717"/>
      <c r="U1442" s="2717"/>
      <c r="V1442" s="2717"/>
    </row>
    <row r="1443" spans="2:22" s="3005" customFormat="1" ht="14.1" customHeight="1" x14ac:dyDescent="0.2">
      <c r="B1443" s="2711"/>
      <c r="C1443" s="2959" t="s">
        <v>608</v>
      </c>
      <c r="D1443" s="2963" t="s">
        <v>288</v>
      </c>
      <c r="E1443" s="2999" t="s">
        <v>289</v>
      </c>
      <c r="F1443" s="2999"/>
      <c r="G1443" s="2965" t="s">
        <v>291</v>
      </c>
      <c r="H1443" s="2974">
        <v>0.08</v>
      </c>
      <c r="I1443" s="2814">
        <f>'Upah &amp; Bahan'!$I$24</f>
        <v>88300</v>
      </c>
      <c r="J1443" s="2932">
        <f>ROUND(H1443*I1443,2)</f>
        <v>7064</v>
      </c>
      <c r="K1443" s="2966"/>
      <c r="L1443" s="2731">
        <f t="shared" ref="L1443:L1445" si="142">VLOOKUP($E1443,$D$1744:$G$1761,2,0)</f>
        <v>1</v>
      </c>
      <c r="M1443" s="2731" t="str">
        <f t="shared" ref="M1443:M1445" si="143">VLOOKUP($E1443,$D$1744:$G$1761,3,0)</f>
        <v>WNI</v>
      </c>
      <c r="N1443" s="2729">
        <f t="shared" si="141"/>
        <v>7064</v>
      </c>
      <c r="O1443" s="3003"/>
      <c r="Q1443" s="2717"/>
      <c r="R1443" s="2717"/>
      <c r="S1443" s="2719"/>
      <c r="T1443" s="2717"/>
      <c r="U1443" s="2717"/>
      <c r="V1443" s="2717"/>
    </row>
    <row r="1444" spans="2:22" s="3005" customFormat="1" ht="14.1" customHeight="1" x14ac:dyDescent="0.2">
      <c r="B1444" s="2711"/>
      <c r="C1444" s="2967"/>
      <c r="D1444" s="2967"/>
      <c r="E1444" s="2999" t="s">
        <v>20</v>
      </c>
      <c r="F1444" s="2999"/>
      <c r="G1444" s="2965" t="s">
        <v>291</v>
      </c>
      <c r="H1444" s="2974">
        <v>0.1</v>
      </c>
      <c r="I1444" s="2932">
        <f>'Upah &amp; Bahan'!$I$38</f>
        <v>90000</v>
      </c>
      <c r="J1444" s="2932">
        <f>ROUND(H1444*I1444,2)</f>
        <v>9000</v>
      </c>
      <c r="K1444" s="2975"/>
      <c r="L1444" s="2731">
        <f t="shared" si="142"/>
        <v>1</v>
      </c>
      <c r="M1444" s="2731" t="str">
        <f t="shared" si="143"/>
        <v>WNI</v>
      </c>
      <c r="N1444" s="2729">
        <f t="shared" si="141"/>
        <v>9000</v>
      </c>
      <c r="O1444" s="3003"/>
      <c r="Q1444" s="2717"/>
      <c r="R1444" s="2717"/>
      <c r="S1444" s="2719"/>
      <c r="T1444" s="2717"/>
      <c r="U1444" s="2717"/>
      <c r="V1444" s="2717"/>
    </row>
    <row r="1445" spans="2:22" s="3005" customFormat="1" ht="14.1" customHeight="1" x14ac:dyDescent="0.2">
      <c r="B1445" s="2711"/>
      <c r="C1445" s="2967"/>
      <c r="D1445" s="2967"/>
      <c r="E1445" s="2999" t="s">
        <v>290</v>
      </c>
      <c r="F1445" s="2999"/>
      <c r="G1445" s="2965" t="s">
        <v>291</v>
      </c>
      <c r="H1445" s="2974">
        <v>0.05</v>
      </c>
      <c r="I1445" s="2814">
        <f>'Upah &amp; Bahan'!$I$31</f>
        <v>90000</v>
      </c>
      <c r="J1445" s="2932">
        <f>ROUND(H1445*I1445,2)</f>
        <v>4500</v>
      </c>
      <c r="K1445" s="2975"/>
      <c r="L1445" s="2731">
        <f t="shared" si="142"/>
        <v>1</v>
      </c>
      <c r="M1445" s="2731" t="str">
        <f t="shared" si="143"/>
        <v>WNI</v>
      </c>
      <c r="N1445" s="2729">
        <f t="shared" si="141"/>
        <v>4500</v>
      </c>
      <c r="O1445" s="3003"/>
      <c r="Q1445" s="2717"/>
      <c r="R1445" s="2717"/>
      <c r="S1445" s="2719"/>
      <c r="T1445" s="2717"/>
      <c r="U1445" s="2717"/>
      <c r="V1445" s="2717"/>
    </row>
    <row r="1446" spans="2:22" s="3005" customFormat="1" ht="14.1" customHeight="1" x14ac:dyDescent="0.2">
      <c r="B1446" s="2711"/>
      <c r="C1446" s="2537"/>
      <c r="D1446" s="2536"/>
      <c r="E1446" s="2969"/>
      <c r="F1446" s="2970"/>
      <c r="G1446" s="2971"/>
      <c r="H1446" s="2972"/>
      <c r="I1446" s="2973"/>
      <c r="J1446" s="2937"/>
      <c r="K1446" s="2942">
        <f>SUM(J1443:J1445)</f>
        <v>20564</v>
      </c>
      <c r="L1446" s="2731"/>
      <c r="M1446" s="2732"/>
      <c r="N1446" s="2729">
        <f t="shared" si="141"/>
        <v>0</v>
      </c>
      <c r="O1446" s="3003"/>
      <c r="Q1446" s="2717"/>
      <c r="R1446" s="2717"/>
      <c r="S1446" s="2719"/>
      <c r="T1446" s="2717"/>
      <c r="U1446" s="2717"/>
      <c r="V1446" s="2717"/>
    </row>
    <row r="1447" spans="2:22" s="3005" customFormat="1" ht="14.1" customHeight="1" x14ac:dyDescent="0.2">
      <c r="B1447" s="2711"/>
      <c r="C1447" s="2961" t="s">
        <v>609</v>
      </c>
      <c r="D1447" s="2963" t="s">
        <v>606</v>
      </c>
      <c r="E1447" s="2964"/>
      <c r="F1447" s="2964"/>
      <c r="G1447" s="2965"/>
      <c r="H1447" s="2968"/>
      <c r="I1447" s="2976"/>
      <c r="J1447" s="2932"/>
      <c r="K1447" s="2966"/>
      <c r="L1447" s="2731"/>
      <c r="M1447" s="2732"/>
      <c r="N1447" s="2729">
        <f t="shared" si="141"/>
        <v>0</v>
      </c>
      <c r="O1447" s="3003"/>
      <c r="Q1447" s="2717"/>
      <c r="R1447" s="2717"/>
      <c r="S1447" s="2719"/>
      <c r="T1447" s="2717"/>
      <c r="U1447" s="2717"/>
      <c r="V1447" s="2717"/>
    </row>
    <row r="1448" spans="2:22" s="3005" customFormat="1" ht="14.1" customHeight="1" x14ac:dyDescent="0.2">
      <c r="B1448" s="2711"/>
      <c r="C1448" s="2537"/>
      <c r="D1448" s="2536"/>
      <c r="E1448" s="2969"/>
      <c r="F1448" s="2970"/>
      <c r="G1448" s="2971"/>
      <c r="H1448" s="2972"/>
      <c r="I1448" s="2977"/>
      <c r="J1448" s="2937"/>
      <c r="K1448" s="2942">
        <f>SUM(J1447:J1447)</f>
        <v>0</v>
      </c>
      <c r="L1448" s="2731"/>
      <c r="M1448" s="2732"/>
      <c r="N1448" s="2729">
        <f t="shared" si="141"/>
        <v>0</v>
      </c>
      <c r="O1448" s="3003"/>
      <c r="Q1448" s="2717"/>
      <c r="R1448" s="2717"/>
      <c r="S1448" s="2719"/>
      <c r="T1448" s="2717"/>
      <c r="U1448" s="2717"/>
      <c r="V1448" s="2717"/>
    </row>
    <row r="1449" spans="2:22" s="3005" customFormat="1" ht="14.1" customHeight="1" x14ac:dyDescent="0.2">
      <c r="B1449" s="2711"/>
      <c r="C1449" s="2537" t="s">
        <v>610</v>
      </c>
      <c r="D1449" s="2738" t="s">
        <v>651</v>
      </c>
      <c r="E1449" s="2970"/>
      <c r="F1449" s="2970"/>
      <c r="G1449" s="2971"/>
      <c r="H1449" s="2972"/>
      <c r="I1449" s="2977"/>
      <c r="J1449" s="2947" t="s">
        <v>652</v>
      </c>
      <c r="K1449" s="2942">
        <f>K1442+K1446+K1448</f>
        <v>129064</v>
      </c>
      <c r="L1449" s="2746">
        <f>N1449/K1449</f>
        <v>0.8179817764829852</v>
      </c>
      <c r="M1449" s="2745"/>
      <c r="N1449" s="2747">
        <f>SUM(N1438:N1448)</f>
        <v>105572</v>
      </c>
      <c r="O1449" s="3003"/>
      <c r="Q1449" s="2717"/>
      <c r="R1449" s="2717"/>
      <c r="S1449" s="2719"/>
      <c r="T1449" s="2717"/>
      <c r="U1449" s="2717"/>
      <c r="V1449" s="2717"/>
    </row>
    <row r="1450" spans="2:22" s="3005" customFormat="1" ht="14.1" customHeight="1" x14ac:dyDescent="0.2">
      <c r="B1450" s="2711"/>
      <c r="C1450" s="2537" t="s">
        <v>611</v>
      </c>
      <c r="D1450" s="2738" t="s">
        <v>653</v>
      </c>
      <c r="E1450" s="2970"/>
      <c r="F1450" s="2748">
        <f>$F$42</f>
        <v>0.1</v>
      </c>
      <c r="G1450" s="2727" t="s">
        <v>425</v>
      </c>
      <c r="H1450" s="2748">
        <f>$H$42</f>
        <v>0.03</v>
      </c>
      <c r="I1450" s="2978" t="s">
        <v>424</v>
      </c>
      <c r="J1450" s="2942" t="s">
        <v>610</v>
      </c>
      <c r="K1450" s="2949">
        <f>ROUND((K1449*(F1450+H1450)),2)</f>
        <v>16778.32</v>
      </c>
      <c r="L1450" s="2732"/>
      <c r="M1450" s="2732"/>
      <c r="N1450" s="2732"/>
      <c r="O1450" s="3003"/>
      <c r="Q1450" s="2717"/>
      <c r="R1450" s="2717"/>
      <c r="S1450" s="2719"/>
      <c r="T1450" s="2717"/>
      <c r="U1450" s="2717"/>
      <c r="V1450" s="2717"/>
    </row>
    <row r="1451" spans="2:22" s="3005" customFormat="1" ht="14.1" customHeight="1" x14ac:dyDescent="0.2">
      <c r="B1451" s="2711"/>
      <c r="C1451" s="2880" t="s">
        <v>654</v>
      </c>
      <c r="D1451" s="2979" t="s">
        <v>301</v>
      </c>
      <c r="E1451" s="2980"/>
      <c r="F1451" s="2980"/>
      <c r="G1451" s="2980"/>
      <c r="H1451" s="2981"/>
      <c r="I1451" s="2980"/>
      <c r="J1451" s="2982" t="s">
        <v>668</v>
      </c>
      <c r="K1451" s="2983">
        <f>SUM(K1449:K1450)</f>
        <v>145842.32</v>
      </c>
      <c r="L1451" s="2746"/>
      <c r="M1451" s="2755"/>
      <c r="N1451" s="2757"/>
      <c r="O1451" s="3003"/>
      <c r="Q1451" s="2717"/>
      <c r="R1451" s="2717"/>
      <c r="S1451" s="2719"/>
      <c r="T1451" s="2717"/>
      <c r="U1451" s="2717"/>
      <c r="V1451" s="2717"/>
    </row>
    <row r="1452" spans="2:22" x14ac:dyDescent="0.25">
      <c r="Q1452" s="2717"/>
      <c r="R1452" s="2717"/>
      <c r="S1452" s="2719"/>
      <c r="T1452" s="2717"/>
      <c r="U1452" s="2717"/>
      <c r="V1452" s="2717"/>
    </row>
    <row r="1453" spans="2:22" s="2922" customFormat="1" ht="14.1" customHeight="1" x14ac:dyDescent="0.2">
      <c r="B1453" s="2711">
        <f>B1433+1</f>
        <v>73</v>
      </c>
      <c r="C1453" s="2625"/>
      <c r="D1453" s="2993" t="s">
        <v>1875</v>
      </c>
      <c r="E1453" s="2918"/>
      <c r="F1453" s="2918"/>
      <c r="G1453" s="2918"/>
      <c r="H1453" s="2625"/>
      <c r="I1453" s="2918"/>
      <c r="J1453" s="2918"/>
      <c r="K1453" s="2919" t="s">
        <v>720</v>
      </c>
      <c r="L1453" s="2919"/>
      <c r="M1453" s="2919"/>
      <c r="N1453" s="2919"/>
      <c r="O1453" s="2920" t="str">
        <f>D1454</f>
        <v>ttk</v>
      </c>
      <c r="P1453" s="2921">
        <f>K1471</f>
        <v>93371.9</v>
      </c>
      <c r="Q1453" s="2718">
        <f>L1469</f>
        <v>0.9071039574004599</v>
      </c>
      <c r="R1453" s="2717"/>
      <c r="S1453" s="2719">
        <f>N1469</f>
        <v>74954</v>
      </c>
      <c r="T1453" s="2515">
        <f>U1453+S1453</f>
        <v>84698.02</v>
      </c>
      <c r="U1453" s="2719">
        <f>S1453*V1453</f>
        <v>9744.02</v>
      </c>
      <c r="V1453" s="2718">
        <f>$F$42+$H$42</f>
        <v>0.13</v>
      </c>
    </row>
    <row r="1454" spans="2:22" s="2922" customFormat="1" ht="14.1" customHeight="1" x14ac:dyDescent="0.2">
      <c r="B1454" s="2625"/>
      <c r="C1454" s="2625"/>
      <c r="D1454" s="2918" t="s">
        <v>390</v>
      </c>
      <c r="E1454" s="2918"/>
      <c r="F1454" s="2918"/>
      <c r="G1454" s="2918"/>
      <c r="H1454" s="2625"/>
      <c r="I1454" s="2918"/>
      <c r="J1454" s="2918"/>
      <c r="K1454" s="2918"/>
      <c r="L1454" s="2918"/>
      <c r="M1454" s="2918"/>
      <c r="N1454" s="2918"/>
      <c r="O1454" s="2920"/>
      <c r="Q1454" s="2717"/>
      <c r="R1454" s="2717"/>
      <c r="S1454" s="2719"/>
      <c r="T1454" s="2717"/>
      <c r="U1454" s="2717"/>
      <c r="V1454" s="2717"/>
    </row>
    <row r="1455" spans="2:22" s="2922" customFormat="1" ht="14.1" customHeight="1" x14ac:dyDescent="0.2">
      <c r="B1455" s="2625"/>
      <c r="C1455" s="2618"/>
      <c r="D1455" s="3458" t="s">
        <v>280</v>
      </c>
      <c r="E1455" s="3459"/>
      <c r="F1455" s="2923"/>
      <c r="G1455" s="3464" t="s">
        <v>281</v>
      </c>
      <c r="H1455" s="3464" t="s">
        <v>282</v>
      </c>
      <c r="I1455" s="2618" t="s">
        <v>283</v>
      </c>
      <c r="J1455" s="2618" t="s">
        <v>284</v>
      </c>
      <c r="K1455" s="2618" t="s">
        <v>340</v>
      </c>
      <c r="L1455" s="2524" t="s">
        <v>2008</v>
      </c>
      <c r="M1455" s="2524" t="s">
        <v>2009</v>
      </c>
      <c r="N1455" s="2524" t="s">
        <v>284</v>
      </c>
      <c r="O1455" s="2920"/>
      <c r="Q1455" s="2717"/>
      <c r="R1455" s="2717"/>
      <c r="S1455" s="2719"/>
      <c r="T1455" s="2717"/>
      <c r="U1455" s="2717"/>
      <c r="V1455" s="2717"/>
    </row>
    <row r="1456" spans="2:22" s="2922" customFormat="1" ht="14.1" customHeight="1" x14ac:dyDescent="0.2">
      <c r="B1456" s="2625"/>
      <c r="C1456" s="2924" t="s">
        <v>669</v>
      </c>
      <c r="D1456" s="3460"/>
      <c r="E1456" s="3461"/>
      <c r="F1456" s="2925"/>
      <c r="G1456" s="3465"/>
      <c r="H1456" s="3465"/>
      <c r="I1456" s="2924" t="s">
        <v>285</v>
      </c>
      <c r="J1456" s="2924" t="s">
        <v>286</v>
      </c>
      <c r="K1456" s="2924" t="s">
        <v>286</v>
      </c>
      <c r="L1456" s="2528" t="s">
        <v>2011</v>
      </c>
      <c r="M1456" s="2528"/>
      <c r="N1456" s="2528" t="s">
        <v>2013</v>
      </c>
      <c r="O1456" s="2920"/>
      <c r="Q1456" s="2717"/>
      <c r="R1456" s="2717"/>
      <c r="S1456" s="2719"/>
      <c r="T1456" s="2717"/>
      <c r="U1456" s="2717"/>
      <c r="V1456" s="2717"/>
    </row>
    <row r="1457" spans="2:23" s="2922" customFormat="1" ht="14.1" customHeight="1" x14ac:dyDescent="0.2">
      <c r="B1457" s="2625"/>
      <c r="C1457" s="2926"/>
      <c r="D1457" s="3462"/>
      <c r="E1457" s="3463"/>
      <c r="F1457" s="2927"/>
      <c r="G1457" s="3466"/>
      <c r="H1457" s="3466"/>
      <c r="I1457" s="2926" t="s">
        <v>286</v>
      </c>
      <c r="J1457" s="2928"/>
      <c r="K1457" s="2928"/>
      <c r="L1457" s="2536"/>
      <c r="M1457" s="2536"/>
      <c r="N1457" s="2537" t="s">
        <v>286</v>
      </c>
      <c r="O1457" s="2920"/>
      <c r="Q1457" s="2717"/>
      <c r="R1457" s="2717"/>
      <c r="S1457" s="2719"/>
      <c r="T1457" s="2717"/>
      <c r="U1457" s="2717"/>
      <c r="V1457" s="2717"/>
    </row>
    <row r="1458" spans="2:23" s="2922" customFormat="1" ht="14.1" customHeight="1" x14ac:dyDescent="0.2">
      <c r="B1458" s="2625"/>
      <c r="C1458" s="2618" t="s">
        <v>607</v>
      </c>
      <c r="D1458" s="2938" t="s">
        <v>287</v>
      </c>
      <c r="E1458" s="2994" t="s">
        <v>1974</v>
      </c>
      <c r="F1458" s="2994"/>
      <c r="G1458" s="2633" t="s">
        <v>247</v>
      </c>
      <c r="H1458" s="2995">
        <v>10</v>
      </c>
      <c r="I1458" s="2949">
        <f>'Upah &amp; Bahan'!I83</f>
        <v>3800</v>
      </c>
      <c r="J1458" s="2932">
        <f>ROUND(H1458*I1458,2)</f>
        <v>38000</v>
      </c>
      <c r="K1458" s="2933"/>
      <c r="L1458" s="2731">
        <v>0.88549999999999995</v>
      </c>
      <c r="M1458" s="2732" t="s">
        <v>2029</v>
      </c>
      <c r="N1458" s="2729">
        <f t="shared" ref="N1458:N1468" si="144">L1458*J1458</f>
        <v>33649</v>
      </c>
      <c r="O1458" s="2920"/>
      <c r="Q1458" s="2717"/>
      <c r="R1458" s="2717"/>
      <c r="S1458" s="2719"/>
      <c r="T1458" s="2717"/>
      <c r="U1458" s="2717"/>
      <c r="V1458" s="2717"/>
      <c r="W1458" s="2922">
        <v>850000</v>
      </c>
    </row>
    <row r="1459" spans="2:23" s="2922" customFormat="1" ht="14.1" customHeight="1" x14ac:dyDescent="0.2">
      <c r="B1459" s="2625"/>
      <c r="C1459" s="2929"/>
      <c r="D1459" s="2929"/>
      <c r="E1459" s="2994" t="s">
        <v>1975</v>
      </c>
      <c r="F1459" s="2994"/>
      <c r="G1459" s="2633" t="s">
        <v>1976</v>
      </c>
      <c r="H1459" s="2995">
        <v>1</v>
      </c>
      <c r="I1459" s="2949">
        <f>SUM(J1458)*35%</f>
        <v>13300</v>
      </c>
      <c r="J1459" s="2932">
        <f>ROUND(H1459*I1459,2)</f>
        <v>13300</v>
      </c>
      <c r="K1459" s="2735"/>
      <c r="L1459" s="2731">
        <v>0.75</v>
      </c>
      <c r="M1459" s="2732" t="s">
        <v>2030</v>
      </c>
      <c r="N1459" s="2729">
        <f t="shared" si="144"/>
        <v>9975</v>
      </c>
      <c r="O1459" s="2920"/>
      <c r="Q1459" s="2717"/>
      <c r="R1459" s="2717"/>
      <c r="S1459" s="2719"/>
      <c r="T1459" s="2717"/>
      <c r="U1459" s="2717"/>
      <c r="V1459" s="2717"/>
    </row>
    <row r="1460" spans="2:23" s="2922" customFormat="1" ht="14.1" customHeight="1" x14ac:dyDescent="0.2">
      <c r="B1460" s="2625"/>
      <c r="C1460" s="2924"/>
      <c r="D1460" s="2929"/>
      <c r="E1460" s="2996"/>
      <c r="F1460" s="2997"/>
      <c r="G1460" s="2940"/>
      <c r="H1460" s="2998"/>
      <c r="I1460" s="2973"/>
      <c r="J1460" s="2937"/>
      <c r="K1460" s="2932">
        <f>SUM(J1458:J1459)</f>
        <v>51300</v>
      </c>
      <c r="L1460" s="2731"/>
      <c r="M1460" s="2732"/>
      <c r="N1460" s="2729">
        <f t="shared" si="144"/>
        <v>0</v>
      </c>
      <c r="O1460" s="2920"/>
      <c r="Q1460" s="2717"/>
      <c r="R1460" s="2717"/>
      <c r="S1460" s="2719"/>
      <c r="T1460" s="2717"/>
      <c r="U1460" s="2717"/>
      <c r="V1460" s="2717"/>
    </row>
    <row r="1461" spans="2:23" s="2922" customFormat="1" ht="14.1" customHeight="1" x14ac:dyDescent="0.2">
      <c r="B1461" s="2625"/>
      <c r="C1461" s="2618" t="s">
        <v>608</v>
      </c>
      <c r="D1461" s="2938" t="s">
        <v>288</v>
      </c>
      <c r="E1461" s="2994" t="s">
        <v>289</v>
      </c>
      <c r="F1461" s="2994"/>
      <c r="G1461" s="2633" t="s">
        <v>291</v>
      </c>
      <c r="H1461" s="2995">
        <v>0.1</v>
      </c>
      <c r="I1461" s="2814">
        <f>'Upah &amp; Bahan'!$I$24</f>
        <v>88300</v>
      </c>
      <c r="J1461" s="2932">
        <f>ROUND(H1461*I1461,2)</f>
        <v>8830</v>
      </c>
      <c r="K1461" s="2933"/>
      <c r="L1461" s="2731">
        <f t="shared" ref="L1461:L1463" si="145">VLOOKUP($E1461,$D$1744:$G$1761,2,0)</f>
        <v>1</v>
      </c>
      <c r="M1461" s="2731" t="str">
        <f t="shared" ref="M1461:M1463" si="146">VLOOKUP($E1461,$D$1744:$G$1761,3,0)</f>
        <v>WNI</v>
      </c>
      <c r="N1461" s="2729">
        <f t="shared" si="144"/>
        <v>8830</v>
      </c>
      <c r="O1461" s="2920"/>
      <c r="Q1461" s="2717"/>
      <c r="R1461" s="2717"/>
      <c r="S1461" s="2719"/>
      <c r="T1461" s="2717"/>
      <c r="U1461" s="2717"/>
      <c r="V1461" s="2717"/>
    </row>
    <row r="1462" spans="2:23" s="2922" customFormat="1" ht="14.1" customHeight="1" x14ac:dyDescent="0.2">
      <c r="B1462" s="2625"/>
      <c r="C1462" s="2929"/>
      <c r="D1462" s="2929"/>
      <c r="E1462" s="2994" t="s">
        <v>20</v>
      </c>
      <c r="F1462" s="2994"/>
      <c r="G1462" s="2633" t="s">
        <v>291</v>
      </c>
      <c r="H1462" s="2995">
        <v>0.2</v>
      </c>
      <c r="I1462" s="2932">
        <f>'Upah &amp; Bahan'!$I$38</f>
        <v>90000</v>
      </c>
      <c r="J1462" s="2932">
        <f>ROUND(H1462*I1462,2)</f>
        <v>18000</v>
      </c>
      <c r="K1462" s="2934"/>
      <c r="L1462" s="2731">
        <f t="shared" si="145"/>
        <v>1</v>
      </c>
      <c r="M1462" s="2731" t="str">
        <f t="shared" si="146"/>
        <v>WNI</v>
      </c>
      <c r="N1462" s="2729">
        <f t="shared" si="144"/>
        <v>18000</v>
      </c>
      <c r="O1462" s="2920"/>
      <c r="Q1462" s="2717"/>
      <c r="R1462" s="2717"/>
      <c r="S1462" s="2719"/>
      <c r="T1462" s="2717"/>
      <c r="U1462" s="2717"/>
      <c r="V1462" s="2717"/>
    </row>
    <row r="1463" spans="2:23" s="2922" customFormat="1" ht="14.1" customHeight="1" x14ac:dyDescent="0.2">
      <c r="B1463" s="2625"/>
      <c r="C1463" s="2929"/>
      <c r="D1463" s="2929"/>
      <c r="E1463" s="2994" t="s">
        <v>290</v>
      </c>
      <c r="F1463" s="2994"/>
      <c r="G1463" s="2633" t="s">
        <v>291</v>
      </c>
      <c r="H1463" s="2995">
        <v>0.05</v>
      </c>
      <c r="I1463" s="2814">
        <f>'Upah &amp; Bahan'!$I$31</f>
        <v>90000</v>
      </c>
      <c r="J1463" s="2932">
        <f>ROUND(H1463*I1463,2)</f>
        <v>4500</v>
      </c>
      <c r="K1463" s="2934"/>
      <c r="L1463" s="2731">
        <f t="shared" si="145"/>
        <v>1</v>
      </c>
      <c r="M1463" s="2731" t="str">
        <f t="shared" si="146"/>
        <v>WNI</v>
      </c>
      <c r="N1463" s="2729">
        <f t="shared" si="144"/>
        <v>4500</v>
      </c>
      <c r="O1463" s="2920"/>
      <c r="Q1463" s="2717"/>
      <c r="R1463" s="2717"/>
      <c r="S1463" s="2719"/>
      <c r="T1463" s="2717"/>
      <c r="U1463" s="2717"/>
      <c r="V1463" s="2717"/>
    </row>
    <row r="1464" spans="2:23" s="2922" customFormat="1" ht="14.1" customHeight="1" x14ac:dyDescent="0.2">
      <c r="B1464" s="2625"/>
      <c r="C1464" s="2926"/>
      <c r="D1464" s="2928"/>
      <c r="E1464" s="2939"/>
      <c r="F1464" s="2935"/>
      <c r="G1464" s="2940"/>
      <c r="H1464" s="2941"/>
      <c r="I1464" s="2973"/>
      <c r="J1464" s="2937"/>
      <c r="K1464" s="2942">
        <f>SUM(J1461:J1463)</f>
        <v>31330</v>
      </c>
      <c r="L1464" s="2731"/>
      <c r="M1464" s="2732"/>
      <c r="N1464" s="2729">
        <f t="shared" si="144"/>
        <v>0</v>
      </c>
      <c r="O1464" s="2920"/>
      <c r="Q1464" s="2717"/>
      <c r="R1464" s="2717"/>
      <c r="S1464" s="2719"/>
      <c r="T1464" s="2717"/>
      <c r="U1464" s="2717"/>
      <c r="V1464" s="2717"/>
    </row>
    <row r="1465" spans="2:23" s="2922" customFormat="1" ht="14.1" customHeight="1" x14ac:dyDescent="0.2">
      <c r="B1465" s="2625"/>
      <c r="C1465" s="2924" t="s">
        <v>609</v>
      </c>
      <c r="D1465" s="2938" t="s">
        <v>606</v>
      </c>
      <c r="E1465" s="2930"/>
      <c r="F1465" s="2930"/>
      <c r="G1465" s="2633"/>
      <c r="H1465" s="2943"/>
      <c r="I1465" s="2944"/>
      <c r="J1465" s="2932"/>
      <c r="K1465" s="2933"/>
      <c r="L1465" s="2731"/>
      <c r="M1465" s="2732"/>
      <c r="N1465" s="2729">
        <f t="shared" si="144"/>
        <v>0</v>
      </c>
      <c r="O1465" s="2920"/>
      <c r="Q1465" s="2717"/>
      <c r="R1465" s="2717"/>
      <c r="S1465" s="2719"/>
      <c r="T1465" s="2717"/>
      <c r="U1465" s="2717"/>
      <c r="V1465" s="2717"/>
    </row>
    <row r="1466" spans="2:23" s="2922" customFormat="1" ht="14.1" customHeight="1" x14ac:dyDescent="0.2">
      <c r="B1466" s="2625"/>
      <c r="C1466" s="2924"/>
      <c r="D1466" s="2929"/>
      <c r="E1466" s="2939"/>
      <c r="F1466" s="2935"/>
      <c r="G1466" s="2940"/>
      <c r="H1466" s="2941"/>
      <c r="I1466" s="2945"/>
      <c r="J1466" s="2937"/>
      <c r="K1466" s="2933"/>
      <c r="L1466" s="2731"/>
      <c r="M1466" s="2732"/>
      <c r="N1466" s="2729">
        <f t="shared" si="144"/>
        <v>0</v>
      </c>
      <c r="O1466" s="2920"/>
      <c r="Q1466" s="2717"/>
      <c r="R1466" s="2717"/>
      <c r="S1466" s="2719"/>
      <c r="T1466" s="2717"/>
      <c r="U1466" s="2717"/>
      <c r="V1466" s="2717"/>
    </row>
    <row r="1467" spans="2:23" s="2922" customFormat="1" ht="14.1" customHeight="1" x14ac:dyDescent="0.2">
      <c r="B1467" s="2625"/>
      <c r="C1467" s="2924"/>
      <c r="D1467" s="2929"/>
      <c r="E1467" s="2939"/>
      <c r="F1467" s="2935"/>
      <c r="G1467" s="2940"/>
      <c r="H1467" s="2941"/>
      <c r="I1467" s="2945"/>
      <c r="J1467" s="2937"/>
      <c r="K1467" s="2933"/>
      <c r="L1467" s="2731"/>
      <c r="M1467" s="2732"/>
      <c r="N1467" s="2729">
        <f t="shared" si="144"/>
        <v>0</v>
      </c>
      <c r="O1467" s="2920"/>
      <c r="Q1467" s="2717"/>
      <c r="R1467" s="2717"/>
      <c r="S1467" s="2719"/>
      <c r="T1467" s="2717"/>
      <c r="U1467" s="2717"/>
      <c r="V1467" s="2717"/>
    </row>
    <row r="1468" spans="2:23" s="2922" customFormat="1" ht="14.1" customHeight="1" x14ac:dyDescent="0.2">
      <c r="B1468" s="2625"/>
      <c r="C1468" s="2926"/>
      <c r="D1468" s="2928"/>
      <c r="E1468" s="2939"/>
      <c r="F1468" s="2935"/>
      <c r="G1468" s="2940"/>
      <c r="H1468" s="2941"/>
      <c r="I1468" s="2945"/>
      <c r="J1468" s="2937"/>
      <c r="K1468" s="2942">
        <f>SUM(J1465:J1465)</f>
        <v>0</v>
      </c>
      <c r="L1468" s="2731"/>
      <c r="M1468" s="2732"/>
      <c r="N1468" s="2729">
        <f t="shared" si="144"/>
        <v>0</v>
      </c>
      <c r="O1468" s="2920"/>
      <c r="Q1468" s="2717"/>
      <c r="R1468" s="2717"/>
      <c r="S1468" s="2719"/>
      <c r="T1468" s="2717"/>
      <c r="U1468" s="2717"/>
      <c r="V1468" s="2717"/>
    </row>
    <row r="1469" spans="2:23" s="2922" customFormat="1" ht="14.1" customHeight="1" x14ac:dyDescent="0.2">
      <c r="B1469" s="2625"/>
      <c r="C1469" s="2926" t="s">
        <v>610</v>
      </c>
      <c r="D1469" s="2946" t="s">
        <v>651</v>
      </c>
      <c r="E1469" s="2935"/>
      <c r="F1469" s="2935"/>
      <c r="G1469" s="2940"/>
      <c r="H1469" s="2941"/>
      <c r="I1469" s="2945"/>
      <c r="J1469" s="2947" t="s">
        <v>652</v>
      </c>
      <c r="K1469" s="2942">
        <f>K1460+K1464+K1468</f>
        <v>82630</v>
      </c>
      <c r="L1469" s="2746">
        <f>N1469/K1469</f>
        <v>0.9071039574004599</v>
      </c>
      <c r="M1469" s="2745"/>
      <c r="N1469" s="2747">
        <f>SUM(N1458:N1468)</f>
        <v>74954</v>
      </c>
      <c r="O1469" s="2920"/>
      <c r="Q1469" s="2717"/>
      <c r="R1469" s="2717"/>
      <c r="S1469" s="2719"/>
      <c r="T1469" s="2717"/>
      <c r="U1469" s="2717"/>
      <c r="V1469" s="2717"/>
    </row>
    <row r="1470" spans="2:23" s="2922" customFormat="1" ht="14.1" customHeight="1" x14ac:dyDescent="0.2">
      <c r="B1470" s="2625"/>
      <c r="C1470" s="2926" t="s">
        <v>611</v>
      </c>
      <c r="D1470" s="2946" t="s">
        <v>653</v>
      </c>
      <c r="E1470" s="2935"/>
      <c r="F1470" s="2748">
        <f>$F$42</f>
        <v>0.1</v>
      </c>
      <c r="G1470" s="2727" t="s">
        <v>425</v>
      </c>
      <c r="H1470" s="2748">
        <f>$H$42</f>
        <v>0.03</v>
      </c>
      <c r="I1470" s="2948" t="s">
        <v>424</v>
      </c>
      <c r="J1470" s="2942" t="s">
        <v>610</v>
      </c>
      <c r="K1470" s="2949">
        <f>ROUND((K1469*(F1470+H1470)),2)</f>
        <v>10741.9</v>
      </c>
      <c r="L1470" s="2732"/>
      <c r="M1470" s="2732"/>
      <c r="N1470" s="2732"/>
      <c r="O1470" s="2920"/>
      <c r="Q1470" s="2717"/>
      <c r="R1470" s="2717"/>
      <c r="S1470" s="2719"/>
      <c r="T1470" s="2717"/>
      <c r="U1470" s="2717"/>
      <c r="V1470" s="2717"/>
    </row>
    <row r="1471" spans="2:23" s="2922" customFormat="1" ht="14.1" customHeight="1" x14ac:dyDescent="0.2">
      <c r="B1471" s="2625"/>
      <c r="C1471" s="2950" t="s">
        <v>654</v>
      </c>
      <c r="D1471" s="2951" t="s">
        <v>301</v>
      </c>
      <c r="E1471" s="2952"/>
      <c r="F1471" s="2952"/>
      <c r="G1471" s="2952"/>
      <c r="H1471" s="2953"/>
      <c r="I1471" s="2952"/>
      <c r="J1471" s="2954" t="s">
        <v>668</v>
      </c>
      <c r="K1471" s="2955">
        <f>SUM(K1469:K1470)</f>
        <v>93371.9</v>
      </c>
      <c r="L1471" s="2746"/>
      <c r="M1471" s="2755"/>
      <c r="N1471" s="2757"/>
      <c r="O1471" s="2920"/>
      <c r="Q1471" s="2717"/>
      <c r="R1471" s="2717"/>
      <c r="S1471" s="2719"/>
      <c r="T1471" s="2717"/>
      <c r="U1471" s="2717"/>
      <c r="V1471" s="2717"/>
    </row>
    <row r="1472" spans="2:23" x14ac:dyDescent="0.25">
      <c r="Q1472" s="2717"/>
      <c r="R1472" s="2717"/>
      <c r="S1472" s="2719"/>
      <c r="T1472" s="2717"/>
      <c r="U1472" s="2717"/>
      <c r="V1472" s="2717"/>
    </row>
    <row r="1473" spans="2:23" s="2922" customFormat="1" ht="14.1" customHeight="1" x14ac:dyDescent="0.2">
      <c r="B1473" s="2711">
        <f>B1453+1</f>
        <v>74</v>
      </c>
      <c r="C1473" s="2625"/>
      <c r="D1473" s="2993" t="s">
        <v>1979</v>
      </c>
      <c r="E1473" s="2918"/>
      <c r="F1473" s="2918"/>
      <c r="G1473" s="2918"/>
      <c r="H1473" s="2625"/>
      <c r="I1473" s="2918"/>
      <c r="J1473" s="2918"/>
      <c r="K1473" s="2919" t="s">
        <v>720</v>
      </c>
      <c r="L1473" s="2919"/>
      <c r="M1473" s="2919"/>
      <c r="N1473" s="2919"/>
      <c r="O1473" s="2920" t="str">
        <f>D1474</f>
        <v>ttk</v>
      </c>
      <c r="P1473" s="2921">
        <f>K1491</f>
        <v>140437.33000000002</v>
      </c>
      <c r="Q1473" s="2718">
        <f>L1489</f>
        <v>0.88809056240536555</v>
      </c>
      <c r="R1473" s="2717"/>
      <c r="S1473" s="2719">
        <f>N1489</f>
        <v>110372.62333</v>
      </c>
      <c r="T1473" s="2515">
        <f>U1473+S1473</f>
        <v>124721.0643629</v>
      </c>
      <c r="U1473" s="2719">
        <f>S1473*V1473</f>
        <v>14348.4410329</v>
      </c>
      <c r="V1473" s="2718">
        <f>$F$42+$H$42</f>
        <v>0.13</v>
      </c>
    </row>
    <row r="1474" spans="2:23" s="2922" customFormat="1" ht="14.1" customHeight="1" x14ac:dyDescent="0.2">
      <c r="B1474" s="2625"/>
      <c r="C1474" s="2625"/>
      <c r="D1474" s="2918" t="s">
        <v>390</v>
      </c>
      <c r="E1474" s="2918"/>
      <c r="F1474" s="2918"/>
      <c r="G1474" s="2918"/>
      <c r="H1474" s="2625"/>
      <c r="I1474" s="2918"/>
      <c r="J1474" s="2918"/>
      <c r="K1474" s="2918"/>
      <c r="L1474" s="2918"/>
      <c r="M1474" s="2918"/>
      <c r="N1474" s="2918"/>
      <c r="O1474" s="2920"/>
      <c r="Q1474" s="2717"/>
      <c r="R1474" s="2717"/>
      <c r="S1474" s="2719"/>
      <c r="T1474" s="2717"/>
      <c r="U1474" s="2717"/>
      <c r="V1474" s="2717"/>
    </row>
    <row r="1475" spans="2:23" s="2922" customFormat="1" ht="14.1" customHeight="1" x14ac:dyDescent="0.2">
      <c r="B1475" s="2625"/>
      <c r="C1475" s="2618"/>
      <c r="D1475" s="3458" t="s">
        <v>280</v>
      </c>
      <c r="E1475" s="3459"/>
      <c r="F1475" s="2923"/>
      <c r="G1475" s="3464" t="s">
        <v>281</v>
      </c>
      <c r="H1475" s="3464" t="s">
        <v>282</v>
      </c>
      <c r="I1475" s="2618" t="s">
        <v>283</v>
      </c>
      <c r="J1475" s="2618" t="s">
        <v>284</v>
      </c>
      <c r="K1475" s="2618" t="s">
        <v>340</v>
      </c>
      <c r="L1475" s="2524" t="s">
        <v>2008</v>
      </c>
      <c r="M1475" s="2524" t="s">
        <v>2009</v>
      </c>
      <c r="N1475" s="2524" t="s">
        <v>284</v>
      </c>
      <c r="O1475" s="2920"/>
      <c r="Q1475" s="2717"/>
      <c r="R1475" s="2717"/>
      <c r="S1475" s="2719"/>
      <c r="T1475" s="2717"/>
      <c r="U1475" s="2717"/>
      <c r="V1475" s="2717"/>
    </row>
    <row r="1476" spans="2:23" s="2922" customFormat="1" ht="14.1" customHeight="1" x14ac:dyDescent="0.2">
      <c r="B1476" s="2625"/>
      <c r="C1476" s="2924" t="s">
        <v>669</v>
      </c>
      <c r="D1476" s="3460"/>
      <c r="E1476" s="3461"/>
      <c r="F1476" s="2925"/>
      <c r="G1476" s="3465"/>
      <c r="H1476" s="3465"/>
      <c r="I1476" s="2924" t="s">
        <v>285</v>
      </c>
      <c r="J1476" s="2924" t="s">
        <v>286</v>
      </c>
      <c r="K1476" s="2924" t="s">
        <v>286</v>
      </c>
      <c r="L1476" s="2528" t="s">
        <v>2011</v>
      </c>
      <c r="M1476" s="2528"/>
      <c r="N1476" s="2528" t="s">
        <v>2013</v>
      </c>
      <c r="O1476" s="2920"/>
      <c r="Q1476" s="2717"/>
      <c r="R1476" s="2717"/>
      <c r="S1476" s="2719"/>
      <c r="T1476" s="2717"/>
      <c r="U1476" s="2717"/>
      <c r="V1476" s="2717"/>
    </row>
    <row r="1477" spans="2:23" s="2922" customFormat="1" ht="14.1" customHeight="1" x14ac:dyDescent="0.2">
      <c r="B1477" s="2625"/>
      <c r="C1477" s="2926"/>
      <c r="D1477" s="3462"/>
      <c r="E1477" s="3463"/>
      <c r="F1477" s="2927"/>
      <c r="G1477" s="3466"/>
      <c r="H1477" s="3466"/>
      <c r="I1477" s="2926" t="s">
        <v>286</v>
      </c>
      <c r="J1477" s="2928"/>
      <c r="K1477" s="2928"/>
      <c r="L1477" s="2536"/>
      <c r="M1477" s="2536"/>
      <c r="N1477" s="2537" t="s">
        <v>286</v>
      </c>
      <c r="O1477" s="2920"/>
      <c r="Q1477" s="2717"/>
      <c r="R1477" s="2717"/>
      <c r="S1477" s="2719"/>
      <c r="T1477" s="2717"/>
      <c r="U1477" s="2717"/>
      <c r="V1477" s="2717"/>
    </row>
    <row r="1478" spans="2:23" s="2922" customFormat="1" ht="14.1" customHeight="1" x14ac:dyDescent="0.2">
      <c r="B1478" s="2625"/>
      <c r="C1478" s="2618" t="s">
        <v>607</v>
      </c>
      <c r="D1478" s="2938" t="s">
        <v>287</v>
      </c>
      <c r="E1478" s="2994" t="s">
        <v>1978</v>
      </c>
      <c r="F1478" s="2994"/>
      <c r="G1478" s="2633" t="s">
        <v>247</v>
      </c>
      <c r="H1478" s="2995">
        <v>10</v>
      </c>
      <c r="I1478" s="2949">
        <f>'Upah &amp; Bahan'!I84</f>
        <v>6885.2459016393441</v>
      </c>
      <c r="J1478" s="2932">
        <f>ROUND(H1478*I1478,2)</f>
        <v>68852.460000000006</v>
      </c>
      <c r="K1478" s="2933"/>
      <c r="L1478" s="2731">
        <v>0.88549999999999995</v>
      </c>
      <c r="M1478" s="2732" t="s">
        <v>2029</v>
      </c>
      <c r="N1478" s="2729">
        <f t="shared" ref="N1478:N1488" si="147">L1478*J1478</f>
        <v>60968.853330000005</v>
      </c>
      <c r="O1478" s="2920"/>
      <c r="Q1478" s="2717"/>
      <c r="R1478" s="2717"/>
      <c r="S1478" s="2719"/>
      <c r="T1478" s="2717"/>
      <c r="U1478" s="2717"/>
      <c r="V1478" s="2717"/>
      <c r="W1478" s="2922">
        <v>850000</v>
      </c>
    </row>
    <row r="1479" spans="2:23" s="2922" customFormat="1" ht="14.1" customHeight="1" x14ac:dyDescent="0.2">
      <c r="B1479" s="2625"/>
      <c r="C1479" s="2929"/>
      <c r="D1479" s="2929"/>
      <c r="E1479" s="2994" t="s">
        <v>1975</v>
      </c>
      <c r="F1479" s="2994"/>
      <c r="G1479" s="2633" t="s">
        <v>1976</v>
      </c>
      <c r="H1479" s="2995">
        <v>1</v>
      </c>
      <c r="I1479" s="2949">
        <f>SUM(J1478)*35%</f>
        <v>24098.361000000001</v>
      </c>
      <c r="J1479" s="2932">
        <f>ROUND(H1479*I1479,2)</f>
        <v>24098.36</v>
      </c>
      <c r="K1479" s="2735"/>
      <c r="L1479" s="2731">
        <v>0.75</v>
      </c>
      <c r="M1479" s="2732" t="s">
        <v>2030</v>
      </c>
      <c r="N1479" s="2729">
        <f t="shared" si="147"/>
        <v>18073.77</v>
      </c>
      <c r="O1479" s="2920"/>
      <c r="Q1479" s="2717"/>
      <c r="R1479" s="2717"/>
      <c r="S1479" s="2719"/>
      <c r="T1479" s="2717"/>
      <c r="U1479" s="2717"/>
      <c r="V1479" s="2717"/>
    </row>
    <row r="1480" spans="2:23" s="2922" customFormat="1" ht="14.1" customHeight="1" x14ac:dyDescent="0.2">
      <c r="B1480" s="2625"/>
      <c r="C1480" s="2924"/>
      <c r="D1480" s="2929"/>
      <c r="E1480" s="2996"/>
      <c r="F1480" s="2997"/>
      <c r="G1480" s="2940"/>
      <c r="H1480" s="2998"/>
      <c r="I1480" s="2973"/>
      <c r="J1480" s="2937"/>
      <c r="K1480" s="2932">
        <f>SUM(J1478:J1479)</f>
        <v>92950.82</v>
      </c>
      <c r="L1480" s="2731"/>
      <c r="M1480" s="2732"/>
      <c r="N1480" s="2729">
        <f t="shared" si="147"/>
        <v>0</v>
      </c>
      <c r="O1480" s="2920"/>
      <c r="Q1480" s="2717"/>
      <c r="R1480" s="2717"/>
      <c r="S1480" s="2719"/>
      <c r="T1480" s="2717"/>
      <c r="U1480" s="2717"/>
      <c r="V1480" s="2717"/>
    </row>
    <row r="1481" spans="2:23" s="2922" customFormat="1" ht="14.1" customHeight="1" x14ac:dyDescent="0.2">
      <c r="B1481" s="2625"/>
      <c r="C1481" s="2618" t="s">
        <v>608</v>
      </c>
      <c r="D1481" s="2938" t="s">
        <v>288</v>
      </c>
      <c r="E1481" s="2994" t="s">
        <v>289</v>
      </c>
      <c r="F1481" s="2994"/>
      <c r="G1481" s="2633" t="s">
        <v>291</v>
      </c>
      <c r="H1481" s="2995">
        <v>0.1</v>
      </c>
      <c r="I1481" s="2814">
        <f>'Upah &amp; Bahan'!$I$24</f>
        <v>88300</v>
      </c>
      <c r="J1481" s="2932">
        <f>ROUND(H1481*I1481,2)</f>
        <v>8830</v>
      </c>
      <c r="K1481" s="2933"/>
      <c r="L1481" s="2731">
        <f t="shared" ref="L1481:L1483" si="148">VLOOKUP($E1481,$D$1744:$G$1761,2,0)</f>
        <v>1</v>
      </c>
      <c r="M1481" s="2731" t="str">
        <f t="shared" ref="M1481:M1483" si="149">VLOOKUP($E1481,$D$1744:$G$1761,3,0)</f>
        <v>WNI</v>
      </c>
      <c r="N1481" s="2729">
        <f t="shared" si="147"/>
        <v>8830</v>
      </c>
      <c r="O1481" s="2920"/>
      <c r="Q1481" s="2717"/>
      <c r="R1481" s="2717"/>
      <c r="S1481" s="2719"/>
      <c r="T1481" s="2717"/>
      <c r="U1481" s="2717"/>
      <c r="V1481" s="2717"/>
    </row>
    <row r="1482" spans="2:23" s="2922" customFormat="1" ht="14.1" customHeight="1" x14ac:dyDescent="0.2">
      <c r="B1482" s="2625"/>
      <c r="C1482" s="2929"/>
      <c r="D1482" s="2929"/>
      <c r="E1482" s="2994" t="s">
        <v>20</v>
      </c>
      <c r="F1482" s="2994"/>
      <c r="G1482" s="2633" t="s">
        <v>291</v>
      </c>
      <c r="H1482" s="2995">
        <v>0.2</v>
      </c>
      <c r="I1482" s="2932">
        <f>'Upah &amp; Bahan'!$I$38</f>
        <v>90000</v>
      </c>
      <c r="J1482" s="2932">
        <f>ROUND(H1482*I1482,2)</f>
        <v>18000</v>
      </c>
      <c r="K1482" s="2934"/>
      <c r="L1482" s="2731">
        <f t="shared" si="148"/>
        <v>1</v>
      </c>
      <c r="M1482" s="2731" t="str">
        <f t="shared" si="149"/>
        <v>WNI</v>
      </c>
      <c r="N1482" s="2729">
        <f t="shared" si="147"/>
        <v>18000</v>
      </c>
      <c r="O1482" s="2920"/>
      <c r="Q1482" s="2717"/>
      <c r="R1482" s="2717"/>
      <c r="S1482" s="2719"/>
      <c r="T1482" s="2717"/>
      <c r="U1482" s="2717"/>
      <c r="V1482" s="2717"/>
    </row>
    <row r="1483" spans="2:23" s="2922" customFormat="1" ht="14.1" customHeight="1" x14ac:dyDescent="0.2">
      <c r="B1483" s="2625"/>
      <c r="C1483" s="2929"/>
      <c r="D1483" s="2929"/>
      <c r="E1483" s="2994" t="s">
        <v>290</v>
      </c>
      <c r="F1483" s="2994"/>
      <c r="G1483" s="2633" t="s">
        <v>291</v>
      </c>
      <c r="H1483" s="2995">
        <v>0.05</v>
      </c>
      <c r="I1483" s="2814">
        <f>'Upah &amp; Bahan'!$I$31</f>
        <v>90000</v>
      </c>
      <c r="J1483" s="2932">
        <f>ROUND(H1483*I1483,2)</f>
        <v>4500</v>
      </c>
      <c r="K1483" s="2934"/>
      <c r="L1483" s="2731">
        <f t="shared" si="148"/>
        <v>1</v>
      </c>
      <c r="M1483" s="2731" t="str">
        <f t="shared" si="149"/>
        <v>WNI</v>
      </c>
      <c r="N1483" s="2729">
        <f t="shared" si="147"/>
        <v>4500</v>
      </c>
      <c r="O1483" s="2920"/>
      <c r="Q1483" s="2717"/>
      <c r="R1483" s="2717"/>
      <c r="S1483" s="2719"/>
      <c r="T1483" s="2717"/>
      <c r="U1483" s="2717"/>
      <c r="V1483" s="2717"/>
    </row>
    <row r="1484" spans="2:23" s="2922" customFormat="1" ht="14.1" customHeight="1" x14ac:dyDescent="0.2">
      <c r="B1484" s="2625"/>
      <c r="C1484" s="2926"/>
      <c r="D1484" s="2928"/>
      <c r="E1484" s="2939"/>
      <c r="F1484" s="2935"/>
      <c r="G1484" s="2940"/>
      <c r="H1484" s="2941"/>
      <c r="I1484" s="2973"/>
      <c r="J1484" s="2937"/>
      <c r="K1484" s="2942">
        <f>SUM(J1481:J1483)</f>
        <v>31330</v>
      </c>
      <c r="L1484" s="2731"/>
      <c r="M1484" s="2732"/>
      <c r="N1484" s="2729">
        <f t="shared" si="147"/>
        <v>0</v>
      </c>
      <c r="O1484" s="2920"/>
      <c r="Q1484" s="2717"/>
      <c r="R1484" s="2717"/>
      <c r="S1484" s="2719"/>
      <c r="T1484" s="2717"/>
      <c r="U1484" s="2717"/>
      <c r="V1484" s="2717"/>
    </row>
    <row r="1485" spans="2:23" s="2922" customFormat="1" ht="14.1" customHeight="1" x14ac:dyDescent="0.2">
      <c r="B1485" s="2625"/>
      <c r="C1485" s="2924" t="s">
        <v>609</v>
      </c>
      <c r="D1485" s="2938" t="s">
        <v>606</v>
      </c>
      <c r="E1485" s="2930"/>
      <c r="F1485" s="2930"/>
      <c r="G1485" s="2633"/>
      <c r="H1485" s="2943"/>
      <c r="I1485" s="2944"/>
      <c r="J1485" s="2932"/>
      <c r="K1485" s="2933"/>
      <c r="L1485" s="2731"/>
      <c r="M1485" s="2732"/>
      <c r="N1485" s="2729">
        <f t="shared" si="147"/>
        <v>0</v>
      </c>
      <c r="O1485" s="2920"/>
      <c r="Q1485" s="2717"/>
      <c r="R1485" s="2717"/>
      <c r="S1485" s="2719"/>
      <c r="T1485" s="2717"/>
      <c r="U1485" s="2717"/>
      <c r="V1485" s="2717"/>
    </row>
    <row r="1486" spans="2:23" s="2922" customFormat="1" ht="14.1" customHeight="1" x14ac:dyDescent="0.2">
      <c r="B1486" s="2625"/>
      <c r="C1486" s="2924"/>
      <c r="D1486" s="2929"/>
      <c r="E1486" s="2939"/>
      <c r="F1486" s="2935"/>
      <c r="G1486" s="2940"/>
      <c r="H1486" s="2941"/>
      <c r="I1486" s="2945"/>
      <c r="J1486" s="2937"/>
      <c r="K1486" s="2933"/>
      <c r="L1486" s="2731"/>
      <c r="M1486" s="2732"/>
      <c r="N1486" s="2729">
        <f t="shared" si="147"/>
        <v>0</v>
      </c>
      <c r="O1486" s="2920"/>
      <c r="Q1486" s="2717"/>
      <c r="R1486" s="2717"/>
      <c r="S1486" s="2719"/>
      <c r="T1486" s="2717"/>
      <c r="U1486" s="2717"/>
      <c r="V1486" s="2717"/>
    </row>
    <row r="1487" spans="2:23" s="2922" customFormat="1" ht="14.1" customHeight="1" x14ac:dyDescent="0.2">
      <c r="B1487" s="2625"/>
      <c r="C1487" s="2924"/>
      <c r="D1487" s="2929"/>
      <c r="E1487" s="2939"/>
      <c r="F1487" s="2935"/>
      <c r="G1487" s="2940"/>
      <c r="H1487" s="2941"/>
      <c r="I1487" s="2945"/>
      <c r="J1487" s="2937"/>
      <c r="K1487" s="2933"/>
      <c r="L1487" s="2731"/>
      <c r="M1487" s="2732"/>
      <c r="N1487" s="2729">
        <f t="shared" si="147"/>
        <v>0</v>
      </c>
      <c r="O1487" s="2920"/>
      <c r="Q1487" s="2717"/>
      <c r="R1487" s="2717"/>
      <c r="S1487" s="2719"/>
      <c r="T1487" s="2717"/>
      <c r="U1487" s="2717"/>
      <c r="V1487" s="2717"/>
    </row>
    <row r="1488" spans="2:23" s="2922" customFormat="1" ht="14.1" customHeight="1" x14ac:dyDescent="0.2">
      <c r="B1488" s="2625"/>
      <c r="C1488" s="2926"/>
      <c r="D1488" s="2928"/>
      <c r="E1488" s="2939"/>
      <c r="F1488" s="2935"/>
      <c r="G1488" s="2940"/>
      <c r="H1488" s="2941"/>
      <c r="I1488" s="2945"/>
      <c r="J1488" s="2937"/>
      <c r="K1488" s="2942">
        <f>SUM(J1485:J1485)</f>
        <v>0</v>
      </c>
      <c r="L1488" s="2731"/>
      <c r="M1488" s="2732"/>
      <c r="N1488" s="2729">
        <f t="shared" si="147"/>
        <v>0</v>
      </c>
      <c r="O1488" s="2920"/>
      <c r="Q1488" s="2717"/>
      <c r="R1488" s="2717"/>
      <c r="S1488" s="2719"/>
      <c r="T1488" s="2717"/>
      <c r="U1488" s="2717"/>
      <c r="V1488" s="2717"/>
    </row>
    <row r="1489" spans="2:22" s="2922" customFormat="1" ht="14.1" customHeight="1" x14ac:dyDescent="0.2">
      <c r="B1489" s="2625"/>
      <c r="C1489" s="2926" t="s">
        <v>610</v>
      </c>
      <c r="D1489" s="2946" t="s">
        <v>651</v>
      </c>
      <c r="E1489" s="2935"/>
      <c r="F1489" s="2935"/>
      <c r="G1489" s="2940"/>
      <c r="H1489" s="2941"/>
      <c r="I1489" s="2945"/>
      <c r="J1489" s="2947" t="s">
        <v>652</v>
      </c>
      <c r="K1489" s="2942">
        <f>K1480+K1484+K1488</f>
        <v>124280.82</v>
      </c>
      <c r="L1489" s="2746">
        <f>N1489/K1489</f>
        <v>0.88809056240536555</v>
      </c>
      <c r="M1489" s="2745"/>
      <c r="N1489" s="2747">
        <f>SUM(N1478:N1488)</f>
        <v>110372.62333</v>
      </c>
      <c r="O1489" s="2920"/>
      <c r="Q1489" s="2717"/>
      <c r="R1489" s="2717"/>
      <c r="S1489" s="2719"/>
      <c r="T1489" s="2717"/>
      <c r="U1489" s="2717"/>
      <c r="V1489" s="2717"/>
    </row>
    <row r="1490" spans="2:22" s="2922" customFormat="1" ht="14.1" customHeight="1" x14ac:dyDescent="0.2">
      <c r="B1490" s="2625"/>
      <c r="C1490" s="2926" t="s">
        <v>611</v>
      </c>
      <c r="D1490" s="2946" t="s">
        <v>653</v>
      </c>
      <c r="E1490" s="2935"/>
      <c r="F1490" s="3012">
        <v>0.1</v>
      </c>
      <c r="G1490" s="2633" t="s">
        <v>425</v>
      </c>
      <c r="H1490" s="3012">
        <v>0.03</v>
      </c>
      <c r="I1490" s="2948" t="s">
        <v>424</v>
      </c>
      <c r="J1490" s="2942" t="s">
        <v>610</v>
      </c>
      <c r="K1490" s="2949">
        <f>ROUND((K1489*(F1490+H1490)),2)</f>
        <v>16156.51</v>
      </c>
      <c r="L1490" s="2732"/>
      <c r="M1490" s="2732"/>
      <c r="N1490" s="2732"/>
      <c r="O1490" s="2920"/>
      <c r="Q1490" s="2717"/>
      <c r="R1490" s="2717"/>
      <c r="S1490" s="2719"/>
      <c r="T1490" s="2717"/>
      <c r="U1490" s="2717"/>
      <c r="V1490" s="2717"/>
    </row>
    <row r="1491" spans="2:22" s="2922" customFormat="1" ht="14.1" customHeight="1" x14ac:dyDescent="0.2">
      <c r="B1491" s="2625"/>
      <c r="C1491" s="2950" t="s">
        <v>654</v>
      </c>
      <c r="D1491" s="2951" t="s">
        <v>301</v>
      </c>
      <c r="E1491" s="2952"/>
      <c r="F1491" s="2952"/>
      <c r="G1491" s="2952"/>
      <c r="H1491" s="2953"/>
      <c r="I1491" s="2952"/>
      <c r="J1491" s="2954" t="s">
        <v>668</v>
      </c>
      <c r="K1491" s="2955">
        <f>SUM(K1489:K1490)</f>
        <v>140437.33000000002</v>
      </c>
      <c r="L1491" s="2746"/>
      <c r="M1491" s="2755"/>
      <c r="N1491" s="2757"/>
      <c r="O1491" s="2920"/>
      <c r="Q1491" s="2717"/>
      <c r="R1491" s="2717"/>
      <c r="S1491" s="2719"/>
      <c r="T1491" s="2717"/>
      <c r="U1491" s="2717"/>
      <c r="V1491" s="2717"/>
    </row>
    <row r="1492" spans="2:22" x14ac:dyDescent="0.25">
      <c r="Q1492" s="2717"/>
      <c r="R1492" s="2717"/>
      <c r="S1492" s="2719"/>
      <c r="T1492" s="2717"/>
      <c r="U1492" s="2717"/>
      <c r="V1492" s="2717"/>
    </row>
    <row r="1493" spans="2:22" s="2720" customFormat="1" ht="14.1" customHeight="1" x14ac:dyDescent="0.2">
      <c r="B1493" s="2711">
        <f>B1473+1</f>
        <v>75</v>
      </c>
      <c r="C1493" s="2711"/>
      <c r="D1493" s="2712" t="s">
        <v>372</v>
      </c>
      <c r="E1493" s="2713"/>
      <c r="F1493" s="2713"/>
      <c r="G1493" s="2713"/>
      <c r="H1493" s="2714"/>
      <c r="I1493" s="2713"/>
      <c r="J1493" s="2713"/>
      <c r="K1493" s="2715" t="s">
        <v>720</v>
      </c>
      <c r="L1493" s="2715"/>
      <c r="M1493" s="2715"/>
      <c r="N1493" s="2715"/>
      <c r="O1493" s="2716" t="str">
        <f>D1494</f>
        <v>bh</v>
      </c>
      <c r="P1493" s="2717">
        <f>K1508</f>
        <v>49855.6</v>
      </c>
      <c r="Q1493" s="2718">
        <f>L1506</f>
        <v>0.55736627379873072</v>
      </c>
      <c r="R1493" s="2717"/>
      <c r="S1493" s="2719">
        <f>N1506</f>
        <v>24591</v>
      </c>
      <c r="T1493" s="2515">
        <f>U1493+S1493</f>
        <v>27787.83</v>
      </c>
      <c r="U1493" s="2719">
        <f>S1493*V1493</f>
        <v>3196.83</v>
      </c>
      <c r="V1493" s="2718">
        <f>$F$42+$H$42</f>
        <v>0.13</v>
      </c>
    </row>
    <row r="1494" spans="2:22" s="2720" customFormat="1" ht="14.1" customHeight="1" x14ac:dyDescent="0.2">
      <c r="B1494" s="2711"/>
      <c r="C1494" s="2711"/>
      <c r="D1494" s="2721" t="s">
        <v>268</v>
      </c>
      <c r="E1494" s="2721"/>
      <c r="F1494" s="2721"/>
      <c r="G1494" s="2721"/>
      <c r="H1494" s="2711"/>
      <c r="I1494" s="2721"/>
      <c r="J1494" s="2721"/>
      <c r="K1494" s="2721"/>
      <c r="L1494" s="2721"/>
      <c r="M1494" s="2721"/>
      <c r="N1494" s="2721"/>
      <c r="O1494" s="2716"/>
      <c r="Q1494" s="2717"/>
      <c r="R1494" s="2717"/>
      <c r="S1494" s="2719"/>
      <c r="T1494" s="2717"/>
      <c r="U1494" s="2717"/>
      <c r="V1494" s="2717"/>
    </row>
    <row r="1495" spans="2:22" s="2720" customFormat="1" ht="14.1" customHeight="1" x14ac:dyDescent="0.2">
      <c r="B1495" s="2711"/>
      <c r="C1495" s="2524"/>
      <c r="D1495" s="3427" t="s">
        <v>280</v>
      </c>
      <c r="E1495" s="3428"/>
      <c r="F1495" s="2722"/>
      <c r="G1495" s="3433" t="s">
        <v>281</v>
      </c>
      <c r="H1495" s="3433" t="s">
        <v>282</v>
      </c>
      <c r="I1495" s="2524" t="s">
        <v>283</v>
      </c>
      <c r="J1495" s="2524" t="s">
        <v>284</v>
      </c>
      <c r="K1495" s="2524" t="s">
        <v>340</v>
      </c>
      <c r="L1495" s="2524" t="s">
        <v>2008</v>
      </c>
      <c r="M1495" s="2524" t="s">
        <v>2009</v>
      </c>
      <c r="N1495" s="2524" t="s">
        <v>284</v>
      </c>
      <c r="O1495" s="2716"/>
      <c r="Q1495" s="2717"/>
      <c r="R1495" s="2717"/>
      <c r="S1495" s="2719"/>
      <c r="T1495" s="2717"/>
      <c r="U1495" s="2717"/>
      <c r="V1495" s="2717"/>
    </row>
    <row r="1496" spans="2:22" s="2720" customFormat="1" ht="14.1" customHeight="1" x14ac:dyDescent="0.2">
      <c r="B1496" s="2711"/>
      <c r="C1496" s="2528" t="s">
        <v>669</v>
      </c>
      <c r="D1496" s="3429"/>
      <c r="E1496" s="3430"/>
      <c r="F1496" s="2723"/>
      <c r="G1496" s="3434"/>
      <c r="H1496" s="3434"/>
      <c r="I1496" s="2528" t="s">
        <v>285</v>
      </c>
      <c r="J1496" s="2528" t="s">
        <v>286</v>
      </c>
      <c r="K1496" s="2528" t="s">
        <v>286</v>
      </c>
      <c r="L1496" s="2528" t="s">
        <v>2011</v>
      </c>
      <c r="M1496" s="2528"/>
      <c r="N1496" s="2528" t="s">
        <v>2013</v>
      </c>
      <c r="O1496" s="2716"/>
      <c r="Q1496" s="2717"/>
      <c r="R1496" s="2717"/>
      <c r="S1496" s="2719"/>
      <c r="T1496" s="2717"/>
      <c r="U1496" s="2717"/>
      <c r="V1496" s="2717"/>
    </row>
    <row r="1497" spans="2:22" s="2720" customFormat="1" ht="14.1" customHeight="1" x14ac:dyDescent="0.2">
      <c r="B1497" s="2711"/>
      <c r="C1497" s="2537"/>
      <c r="D1497" s="3431"/>
      <c r="E1497" s="3432"/>
      <c r="F1497" s="2724"/>
      <c r="G1497" s="3435"/>
      <c r="H1497" s="3435"/>
      <c r="I1497" s="2537" t="s">
        <v>286</v>
      </c>
      <c r="J1497" s="2536"/>
      <c r="K1497" s="2536"/>
      <c r="L1497" s="2536"/>
      <c r="M1497" s="2536"/>
      <c r="N1497" s="2537" t="s">
        <v>286</v>
      </c>
      <c r="O1497" s="2716"/>
      <c r="Q1497" s="2717"/>
      <c r="R1497" s="2717"/>
      <c r="S1497" s="2719"/>
      <c r="T1497" s="2717"/>
      <c r="U1497" s="2717"/>
      <c r="V1497" s="2717"/>
    </row>
    <row r="1498" spans="2:22" s="2720" customFormat="1" ht="14.1" customHeight="1" x14ac:dyDescent="0.2">
      <c r="B1498" s="2711"/>
      <c r="C1498" s="2524" t="s">
        <v>607</v>
      </c>
      <c r="D1498" s="2725" t="s">
        <v>287</v>
      </c>
      <c r="E1498" s="2726" t="s">
        <v>414</v>
      </c>
      <c r="F1498" s="2726"/>
      <c r="G1498" s="2727" t="s">
        <v>268</v>
      </c>
      <c r="H1498" s="2728">
        <v>1</v>
      </c>
      <c r="I1498" s="2729">
        <f>'Upah &amp; Bahan'!$I$140</f>
        <v>23600</v>
      </c>
      <c r="J1498" s="2729">
        <f>ROUND(H1498*I1498,2)</f>
        <v>23600</v>
      </c>
      <c r="K1498" s="2730"/>
      <c r="L1498" s="2731">
        <v>0.28499999999999998</v>
      </c>
      <c r="M1498" s="2732" t="s">
        <v>2029</v>
      </c>
      <c r="N1498" s="2729">
        <f t="shared" ref="N1498:N1505" si="150">L1498*J1498</f>
        <v>6725.9999999999991</v>
      </c>
      <c r="O1498" s="2716"/>
      <c r="Q1498" s="2717"/>
      <c r="R1498" s="2717"/>
      <c r="S1498" s="2719"/>
      <c r="T1498" s="2717"/>
      <c r="U1498" s="2717"/>
      <c r="V1498" s="2717"/>
    </row>
    <row r="1499" spans="2:22" s="2720" customFormat="1" ht="14.1" customHeight="1" x14ac:dyDescent="0.2">
      <c r="B1499" s="2711"/>
      <c r="C1499" s="3013"/>
      <c r="D1499" s="3014"/>
      <c r="E1499" s="2994" t="s">
        <v>1980</v>
      </c>
      <c r="F1499" s="2994"/>
      <c r="G1499" s="2633" t="s">
        <v>1976</v>
      </c>
      <c r="H1499" s="2995">
        <v>1</v>
      </c>
      <c r="I1499" s="2949">
        <f>SUM(J1498)*45%</f>
        <v>10620</v>
      </c>
      <c r="J1499" s="2932">
        <f>ROUND(H1499*I1499,2)</f>
        <v>10620</v>
      </c>
      <c r="K1499" s="2933"/>
      <c r="L1499" s="2731">
        <v>0.75</v>
      </c>
      <c r="M1499" s="2732" t="s">
        <v>2030</v>
      </c>
      <c r="N1499" s="2729">
        <f t="shared" si="150"/>
        <v>7965</v>
      </c>
      <c r="O1499" s="2716"/>
      <c r="Q1499" s="2717"/>
      <c r="R1499" s="2717"/>
      <c r="S1499" s="2719"/>
      <c r="T1499" s="2717"/>
      <c r="U1499" s="2717"/>
      <c r="V1499" s="2717"/>
    </row>
    <row r="1500" spans="2:22" s="2720" customFormat="1" ht="14.1" customHeight="1" x14ac:dyDescent="0.2">
      <c r="B1500" s="2711"/>
      <c r="C1500" s="2528"/>
      <c r="D1500" s="2733"/>
      <c r="E1500" s="2984"/>
      <c r="F1500" s="2985"/>
      <c r="G1500" s="2742"/>
      <c r="H1500" s="2986"/>
      <c r="I1500" s="2842"/>
      <c r="J1500" s="2813"/>
      <c r="K1500" s="2729">
        <f>SUM(J1498:J1499)</f>
        <v>34220</v>
      </c>
      <c r="L1500" s="2731"/>
      <c r="M1500" s="2732"/>
      <c r="N1500" s="2729">
        <f t="shared" si="150"/>
        <v>0</v>
      </c>
      <c r="O1500" s="2716"/>
      <c r="Q1500" s="2717"/>
      <c r="R1500" s="2717"/>
      <c r="S1500" s="2719"/>
      <c r="T1500" s="2717"/>
      <c r="U1500" s="2717"/>
      <c r="V1500" s="2717"/>
    </row>
    <row r="1501" spans="2:22" s="2720" customFormat="1" ht="14.1" customHeight="1" x14ac:dyDescent="0.2">
      <c r="B1501" s="2711"/>
      <c r="C1501" s="2524" t="s">
        <v>608</v>
      </c>
      <c r="D1501" s="2725" t="s">
        <v>288</v>
      </c>
      <c r="E1501" s="3015" t="s">
        <v>20</v>
      </c>
      <c r="F1501" s="2726"/>
      <c r="G1501" s="2727" t="s">
        <v>291</v>
      </c>
      <c r="H1501" s="2728">
        <v>0.1</v>
      </c>
      <c r="I1501" s="2729">
        <f>'Upah &amp; Bahan'!$I$38</f>
        <v>90000</v>
      </c>
      <c r="J1501" s="2729">
        <f>ROUND(H1501*I1501,2)</f>
        <v>9000</v>
      </c>
      <c r="K1501" s="2730"/>
      <c r="L1501" s="2731">
        <f t="shared" ref="L1501:L1502" si="151">VLOOKUP($E1501,$D$1744:$G$1761,2,0)</f>
        <v>1</v>
      </c>
      <c r="M1501" s="2731" t="str">
        <f t="shared" ref="M1501:M1502" si="152">VLOOKUP($E1501,$D$1744:$G$1761,3,0)</f>
        <v>WNI</v>
      </c>
      <c r="N1501" s="2729">
        <f t="shared" si="150"/>
        <v>9000</v>
      </c>
      <c r="O1501" s="2716"/>
      <c r="Q1501" s="2717"/>
      <c r="R1501" s="2717"/>
      <c r="S1501" s="2719"/>
      <c r="T1501" s="2717"/>
      <c r="U1501" s="2717"/>
      <c r="V1501" s="2717"/>
    </row>
    <row r="1502" spans="2:22" s="2720" customFormat="1" ht="14.1" customHeight="1" x14ac:dyDescent="0.2">
      <c r="B1502" s="2711"/>
      <c r="C1502" s="2528"/>
      <c r="D1502" s="2733"/>
      <c r="E1502" s="2726" t="s">
        <v>290</v>
      </c>
      <c r="F1502" s="2726"/>
      <c r="G1502" s="2727" t="s">
        <v>291</v>
      </c>
      <c r="H1502" s="2728">
        <v>0.01</v>
      </c>
      <c r="I1502" s="2729">
        <f>'Upah &amp; Bahan'!$I$31</f>
        <v>90000</v>
      </c>
      <c r="J1502" s="2729">
        <f>ROUND(H1502*I1502,2)</f>
        <v>900</v>
      </c>
      <c r="K1502" s="2734"/>
      <c r="L1502" s="2731">
        <f t="shared" si="151"/>
        <v>1</v>
      </c>
      <c r="M1502" s="2731" t="str">
        <f t="shared" si="152"/>
        <v>WNI</v>
      </c>
      <c r="N1502" s="2729">
        <f t="shared" si="150"/>
        <v>900</v>
      </c>
      <c r="O1502" s="2716"/>
      <c r="Q1502" s="2717"/>
      <c r="R1502" s="2717"/>
      <c r="S1502" s="2719"/>
      <c r="T1502" s="2717"/>
      <c r="U1502" s="2717"/>
      <c r="V1502" s="2717"/>
    </row>
    <row r="1503" spans="2:22" s="2720" customFormat="1" ht="14.1" customHeight="1" x14ac:dyDescent="0.2">
      <c r="B1503" s="2711"/>
      <c r="C1503" s="2537"/>
      <c r="D1503" s="2536"/>
      <c r="E1503" s="2736"/>
      <c r="F1503" s="2741"/>
      <c r="G1503" s="2742"/>
      <c r="H1503" s="2743"/>
      <c r="I1503" s="2842"/>
      <c r="J1503" s="2813"/>
      <c r="K1503" s="2732">
        <f>SUM(J1501:J1502)</f>
        <v>9900</v>
      </c>
      <c r="L1503" s="2731"/>
      <c r="M1503" s="2732"/>
      <c r="N1503" s="2729">
        <f t="shared" si="150"/>
        <v>0</v>
      </c>
      <c r="O1503" s="2716"/>
      <c r="Q1503" s="2717"/>
      <c r="R1503" s="2717"/>
      <c r="S1503" s="2719"/>
      <c r="T1503" s="2717"/>
      <c r="U1503" s="2717"/>
      <c r="V1503" s="2717"/>
    </row>
    <row r="1504" spans="2:22" s="2720" customFormat="1" ht="14.1" customHeight="1" x14ac:dyDescent="0.2">
      <c r="B1504" s="2711"/>
      <c r="C1504" s="2528" t="s">
        <v>609</v>
      </c>
      <c r="D1504" s="2725" t="s">
        <v>606</v>
      </c>
      <c r="E1504" s="2739"/>
      <c r="F1504" s="2739"/>
      <c r="G1504" s="2727"/>
      <c r="H1504" s="2740"/>
      <c r="I1504" s="2814"/>
      <c r="J1504" s="2729"/>
      <c r="K1504" s="2730"/>
      <c r="L1504" s="2731"/>
      <c r="M1504" s="2732"/>
      <c r="N1504" s="2729">
        <f t="shared" si="150"/>
        <v>0</v>
      </c>
      <c r="O1504" s="2716"/>
      <c r="Q1504" s="2717"/>
      <c r="R1504" s="2717"/>
      <c r="S1504" s="2719"/>
      <c r="T1504" s="2717"/>
      <c r="U1504" s="2717"/>
      <c r="V1504" s="2717"/>
    </row>
    <row r="1505" spans="2:22" s="2720" customFormat="1" ht="14.1" customHeight="1" x14ac:dyDescent="0.2">
      <c r="B1505" s="2711"/>
      <c r="C1505" s="2537"/>
      <c r="D1505" s="2536"/>
      <c r="E1505" s="2736"/>
      <c r="F1505" s="2741"/>
      <c r="G1505" s="2742"/>
      <c r="H1505" s="2743"/>
      <c r="I1505" s="2744"/>
      <c r="J1505" s="2813"/>
      <c r="K1505" s="2732">
        <f>SUM(J1504:J1504)</f>
        <v>0</v>
      </c>
      <c r="L1505" s="2731"/>
      <c r="M1505" s="2732"/>
      <c r="N1505" s="2729">
        <f t="shared" si="150"/>
        <v>0</v>
      </c>
      <c r="O1505" s="2716"/>
      <c r="Q1505" s="2717"/>
      <c r="R1505" s="2717"/>
      <c r="S1505" s="2719"/>
      <c r="T1505" s="2717"/>
      <c r="U1505" s="2717"/>
      <c r="V1505" s="2717"/>
    </row>
    <row r="1506" spans="2:22" s="2720" customFormat="1" ht="14.1" customHeight="1" x14ac:dyDescent="0.2">
      <c r="B1506" s="2711"/>
      <c r="C1506" s="2727" t="s">
        <v>610</v>
      </c>
      <c r="D1506" s="2738" t="s">
        <v>651</v>
      </c>
      <c r="E1506" s="2741"/>
      <c r="F1506" s="2741"/>
      <c r="G1506" s="2742"/>
      <c r="H1506" s="2743"/>
      <c r="I1506" s="2744"/>
      <c r="J1506" s="2745" t="s">
        <v>652</v>
      </c>
      <c r="K1506" s="2732">
        <f>K1500+K1503+K1505</f>
        <v>44120</v>
      </c>
      <c r="L1506" s="2746">
        <f>N1506/K1506</f>
        <v>0.55736627379873072</v>
      </c>
      <c r="M1506" s="2745"/>
      <c r="N1506" s="2747">
        <f>SUM(N1495:N1505)</f>
        <v>24591</v>
      </c>
      <c r="O1506" s="2716"/>
      <c r="Q1506" s="2717"/>
      <c r="R1506" s="2717"/>
      <c r="S1506" s="2719"/>
      <c r="T1506" s="2717"/>
      <c r="U1506" s="2717"/>
      <c r="V1506" s="2717"/>
    </row>
    <row r="1507" spans="2:22" s="2720" customFormat="1" ht="14.1" customHeight="1" x14ac:dyDescent="0.2">
      <c r="B1507" s="2711"/>
      <c r="C1507" s="2537" t="s">
        <v>611</v>
      </c>
      <c r="D1507" s="2738" t="s">
        <v>653</v>
      </c>
      <c r="E1507" s="2741"/>
      <c r="F1507" s="2748">
        <f>$F$42</f>
        <v>0.1</v>
      </c>
      <c r="G1507" s="2727" t="s">
        <v>425</v>
      </c>
      <c r="H1507" s="2748">
        <f>$H$42</f>
        <v>0.03</v>
      </c>
      <c r="I1507" s="2749" t="s">
        <v>424</v>
      </c>
      <c r="J1507" s="2732" t="s">
        <v>610</v>
      </c>
      <c r="K1507" s="2750">
        <f>ROUND((K1506*(F1507+H1507)),2)</f>
        <v>5735.6</v>
      </c>
      <c r="L1507" s="2732"/>
      <c r="M1507" s="2732"/>
      <c r="N1507" s="2732"/>
      <c r="O1507" s="2716"/>
      <c r="Q1507" s="2717"/>
      <c r="R1507" s="2717"/>
      <c r="S1507" s="2719"/>
      <c r="T1507" s="2717"/>
      <c r="U1507" s="2717"/>
      <c r="V1507" s="2717"/>
    </row>
    <row r="1508" spans="2:22" s="2720" customFormat="1" ht="14.1" customHeight="1" x14ac:dyDescent="0.2">
      <c r="B1508" s="2711"/>
      <c r="C1508" s="2880" t="s">
        <v>654</v>
      </c>
      <c r="D1508" s="2752" t="s">
        <v>301</v>
      </c>
      <c r="E1508" s="2815"/>
      <c r="F1508" s="2815"/>
      <c r="G1508" s="2815"/>
      <c r="H1508" s="2816"/>
      <c r="I1508" s="2815"/>
      <c r="J1508" s="2755" t="s">
        <v>668</v>
      </c>
      <c r="K1508" s="2756">
        <f>SUM(K1506:K1507)</f>
        <v>49855.6</v>
      </c>
      <c r="L1508" s="2746"/>
      <c r="M1508" s="2755"/>
      <c r="N1508" s="2757"/>
      <c r="O1508" s="2716"/>
      <c r="Q1508" s="2717"/>
      <c r="R1508" s="2717"/>
      <c r="S1508" s="2719"/>
      <c r="T1508" s="2717"/>
      <c r="U1508" s="2717"/>
      <c r="V1508" s="2717"/>
    </row>
    <row r="1509" spans="2:22" x14ac:dyDescent="0.25">
      <c r="Q1509" s="2717"/>
      <c r="R1509" s="2717"/>
      <c r="S1509" s="2719"/>
      <c r="T1509" s="2717"/>
      <c r="U1509" s="2717"/>
      <c r="V1509" s="2717"/>
    </row>
    <row r="1510" spans="2:22" s="2720" customFormat="1" ht="14.1" customHeight="1" x14ac:dyDescent="0.2">
      <c r="B1510" s="2711">
        <f>B1493+1</f>
        <v>76</v>
      </c>
      <c r="C1510" s="2711"/>
      <c r="D1510" s="2712" t="s">
        <v>373</v>
      </c>
      <c r="E1510" s="2713"/>
      <c r="F1510" s="2713"/>
      <c r="G1510" s="2713"/>
      <c r="H1510" s="2714"/>
      <c r="I1510" s="2713"/>
      <c r="J1510" s="2713"/>
      <c r="K1510" s="2715" t="s">
        <v>720</v>
      </c>
      <c r="L1510" s="2715"/>
      <c r="M1510" s="2715"/>
      <c r="N1510" s="2715"/>
      <c r="O1510" s="2716" t="str">
        <f>D1511</f>
        <v>bh</v>
      </c>
      <c r="P1510" s="2717">
        <f>K1525</f>
        <v>41826.949999999997</v>
      </c>
      <c r="Q1510" s="2718">
        <f>L1523</f>
        <v>0.5819465081723626</v>
      </c>
      <c r="R1510" s="2717"/>
      <c r="S1510" s="2719">
        <f>N1523</f>
        <v>21540.75</v>
      </c>
      <c r="T1510" s="2515">
        <f>U1510+S1510</f>
        <v>24341.047500000001</v>
      </c>
      <c r="U1510" s="2719">
        <f>S1510*V1510</f>
        <v>2800.2975000000001</v>
      </c>
      <c r="V1510" s="2718">
        <f>$F$42+$H$42</f>
        <v>0.13</v>
      </c>
    </row>
    <row r="1511" spans="2:22" s="2720" customFormat="1" ht="14.1" customHeight="1" x14ac:dyDescent="0.2">
      <c r="B1511" s="2711"/>
      <c r="C1511" s="2711"/>
      <c r="D1511" s="2721" t="s">
        <v>268</v>
      </c>
      <c r="E1511" s="2721"/>
      <c r="F1511" s="2721"/>
      <c r="G1511" s="2721"/>
      <c r="H1511" s="2711"/>
      <c r="I1511" s="2721"/>
      <c r="J1511" s="2721"/>
      <c r="K1511" s="2721"/>
      <c r="L1511" s="2721"/>
      <c r="M1511" s="2721"/>
      <c r="N1511" s="2721"/>
      <c r="O1511" s="2716"/>
      <c r="Q1511" s="2717"/>
      <c r="R1511" s="2717"/>
      <c r="S1511" s="2719"/>
      <c r="T1511" s="2717"/>
      <c r="U1511" s="2717"/>
      <c r="V1511" s="2717"/>
    </row>
    <row r="1512" spans="2:22" s="2720" customFormat="1" ht="14.1" customHeight="1" x14ac:dyDescent="0.2">
      <c r="B1512" s="2711"/>
      <c r="C1512" s="2524"/>
      <c r="D1512" s="3427" t="s">
        <v>280</v>
      </c>
      <c r="E1512" s="3428"/>
      <c r="F1512" s="2722"/>
      <c r="G1512" s="3433" t="s">
        <v>281</v>
      </c>
      <c r="H1512" s="3433" t="s">
        <v>282</v>
      </c>
      <c r="I1512" s="2524" t="s">
        <v>283</v>
      </c>
      <c r="J1512" s="2524" t="s">
        <v>284</v>
      </c>
      <c r="K1512" s="2524" t="s">
        <v>340</v>
      </c>
      <c r="L1512" s="2524" t="s">
        <v>2008</v>
      </c>
      <c r="M1512" s="2524" t="s">
        <v>2009</v>
      </c>
      <c r="N1512" s="2524" t="s">
        <v>284</v>
      </c>
      <c r="O1512" s="2716"/>
      <c r="Q1512" s="2717"/>
      <c r="R1512" s="2717"/>
      <c r="S1512" s="2719"/>
      <c r="T1512" s="2717"/>
      <c r="U1512" s="2717"/>
      <c r="V1512" s="2717"/>
    </row>
    <row r="1513" spans="2:22" s="2720" customFormat="1" ht="14.1" customHeight="1" x14ac:dyDescent="0.2">
      <c r="B1513" s="2711"/>
      <c r="C1513" s="2528" t="s">
        <v>669</v>
      </c>
      <c r="D1513" s="3429"/>
      <c r="E1513" s="3430"/>
      <c r="F1513" s="2723"/>
      <c r="G1513" s="3434"/>
      <c r="H1513" s="3434"/>
      <c r="I1513" s="2528" t="s">
        <v>285</v>
      </c>
      <c r="J1513" s="2528" t="s">
        <v>286</v>
      </c>
      <c r="K1513" s="2528" t="s">
        <v>286</v>
      </c>
      <c r="L1513" s="2528" t="s">
        <v>2011</v>
      </c>
      <c r="M1513" s="2528"/>
      <c r="N1513" s="2528" t="s">
        <v>2013</v>
      </c>
      <c r="O1513" s="2716"/>
      <c r="Q1513" s="2717"/>
      <c r="R1513" s="2717"/>
      <c r="S1513" s="2719"/>
      <c r="T1513" s="2717"/>
      <c r="U1513" s="2717"/>
      <c r="V1513" s="2717"/>
    </row>
    <row r="1514" spans="2:22" s="2720" customFormat="1" ht="14.1" customHeight="1" x14ac:dyDescent="0.2">
      <c r="B1514" s="2711"/>
      <c r="C1514" s="2537"/>
      <c r="D1514" s="3431"/>
      <c r="E1514" s="3432"/>
      <c r="F1514" s="2724"/>
      <c r="G1514" s="3435"/>
      <c r="H1514" s="3435"/>
      <c r="I1514" s="2537" t="s">
        <v>286</v>
      </c>
      <c r="J1514" s="2536"/>
      <c r="K1514" s="2536"/>
      <c r="L1514" s="2536"/>
      <c r="M1514" s="2536"/>
      <c r="N1514" s="2537" t="s">
        <v>286</v>
      </c>
      <c r="O1514" s="2716"/>
      <c r="Q1514" s="2717"/>
      <c r="R1514" s="2717"/>
      <c r="S1514" s="2719"/>
      <c r="T1514" s="2717"/>
      <c r="U1514" s="2717"/>
      <c r="V1514" s="2717"/>
    </row>
    <row r="1515" spans="2:22" s="2720" customFormat="1" ht="14.1" customHeight="1" x14ac:dyDescent="0.2">
      <c r="B1515" s="2711"/>
      <c r="C1515" s="2524" t="s">
        <v>607</v>
      </c>
      <c r="D1515" s="2725" t="s">
        <v>287</v>
      </c>
      <c r="E1515" s="2726" t="s">
        <v>413</v>
      </c>
      <c r="F1515" s="2726"/>
      <c r="G1515" s="2727" t="s">
        <v>268</v>
      </c>
      <c r="H1515" s="2728">
        <v>1</v>
      </c>
      <c r="I1515" s="2729">
        <f>'Upah &amp; Bahan'!I141</f>
        <v>18700</v>
      </c>
      <c r="J1515" s="2729">
        <f>ROUND(H1515*I1515,2)</f>
        <v>18700</v>
      </c>
      <c r="K1515" s="2730"/>
      <c r="L1515" s="2731">
        <v>0.28499999999999998</v>
      </c>
      <c r="M1515" s="2732" t="s">
        <v>2029</v>
      </c>
      <c r="N1515" s="2729">
        <f t="shared" ref="N1515:N1522" si="153">L1515*J1515</f>
        <v>5329.4999999999991</v>
      </c>
      <c r="O1515" s="2716"/>
      <c r="Q1515" s="2717"/>
      <c r="R1515" s="2717"/>
      <c r="S1515" s="2719"/>
      <c r="T1515" s="2717"/>
      <c r="U1515" s="2717"/>
      <c r="V1515" s="2717"/>
    </row>
    <row r="1516" spans="2:22" s="2720" customFormat="1" ht="14.1" customHeight="1" x14ac:dyDescent="0.2">
      <c r="B1516" s="2711"/>
      <c r="C1516" s="3013"/>
      <c r="D1516" s="3014"/>
      <c r="E1516" s="2994" t="s">
        <v>1980</v>
      </c>
      <c r="F1516" s="2994"/>
      <c r="G1516" s="2633" t="s">
        <v>1976</v>
      </c>
      <c r="H1516" s="2995">
        <v>1</v>
      </c>
      <c r="I1516" s="2949">
        <f>SUM(J1515)*45%</f>
        <v>8415</v>
      </c>
      <c r="J1516" s="2932">
        <f>ROUND(H1516*I1516,2)</f>
        <v>8415</v>
      </c>
      <c r="K1516" s="2933"/>
      <c r="L1516" s="2731">
        <v>0.75</v>
      </c>
      <c r="M1516" s="2732" t="s">
        <v>2030</v>
      </c>
      <c r="N1516" s="2729">
        <f t="shared" si="153"/>
        <v>6311.25</v>
      </c>
      <c r="O1516" s="2716"/>
      <c r="Q1516" s="2717"/>
      <c r="R1516" s="2717"/>
      <c r="S1516" s="2719"/>
      <c r="T1516" s="2717"/>
      <c r="U1516" s="2717"/>
      <c r="V1516" s="2717"/>
    </row>
    <row r="1517" spans="2:22" s="2720" customFormat="1" ht="14.1" customHeight="1" x14ac:dyDescent="0.2">
      <c r="B1517" s="2711"/>
      <c r="C1517" s="2528"/>
      <c r="D1517" s="2733"/>
      <c r="E1517" s="2984"/>
      <c r="F1517" s="2985"/>
      <c r="G1517" s="2742"/>
      <c r="H1517" s="2986"/>
      <c r="I1517" s="2842"/>
      <c r="J1517" s="2813"/>
      <c r="K1517" s="2729">
        <f>SUM(J1515:J1516)</f>
        <v>27115</v>
      </c>
      <c r="L1517" s="2731"/>
      <c r="M1517" s="2732"/>
      <c r="N1517" s="2729">
        <f t="shared" si="153"/>
        <v>0</v>
      </c>
      <c r="O1517" s="2716"/>
      <c r="Q1517" s="2717"/>
      <c r="R1517" s="2717"/>
      <c r="S1517" s="2719"/>
      <c r="T1517" s="2717"/>
      <c r="U1517" s="2717"/>
      <c r="V1517" s="2717"/>
    </row>
    <row r="1518" spans="2:22" s="2720" customFormat="1" ht="14.1" customHeight="1" x14ac:dyDescent="0.2">
      <c r="B1518" s="2711"/>
      <c r="C1518" s="2524" t="s">
        <v>608</v>
      </c>
      <c r="D1518" s="2725" t="s">
        <v>288</v>
      </c>
      <c r="E1518" s="2726" t="s">
        <v>20</v>
      </c>
      <c r="F1518" s="2726"/>
      <c r="G1518" s="2727" t="s">
        <v>291</v>
      </c>
      <c r="H1518" s="2728">
        <v>0.1</v>
      </c>
      <c r="I1518" s="2729">
        <f>'Upah &amp; Bahan'!$I$38</f>
        <v>90000</v>
      </c>
      <c r="J1518" s="2729">
        <f>ROUND(H1518*I1518,2)</f>
        <v>9000</v>
      </c>
      <c r="K1518" s="2730"/>
      <c r="L1518" s="2731">
        <f t="shared" ref="L1518:L1519" si="154">VLOOKUP($E1518,$D$1744:$G$1761,2,0)</f>
        <v>1</v>
      </c>
      <c r="M1518" s="2731" t="str">
        <f t="shared" ref="M1518:M1519" si="155">VLOOKUP($E1518,$D$1744:$G$1761,3,0)</f>
        <v>WNI</v>
      </c>
      <c r="N1518" s="2729">
        <f t="shared" si="153"/>
        <v>9000</v>
      </c>
      <c r="O1518" s="2716"/>
      <c r="Q1518" s="2717"/>
      <c r="R1518" s="2717"/>
      <c r="S1518" s="2719"/>
      <c r="T1518" s="2717"/>
      <c r="U1518" s="2717"/>
      <c r="V1518" s="2717"/>
    </row>
    <row r="1519" spans="2:22" s="2720" customFormat="1" ht="14.1" customHeight="1" x14ac:dyDescent="0.2">
      <c r="B1519" s="2711"/>
      <c r="C1519" s="2528"/>
      <c r="D1519" s="2733"/>
      <c r="E1519" s="2726" t="s">
        <v>290</v>
      </c>
      <c r="F1519" s="2726"/>
      <c r="G1519" s="2727" t="s">
        <v>291</v>
      </c>
      <c r="H1519" s="3016">
        <v>0.01</v>
      </c>
      <c r="I1519" s="2729">
        <f>'Upah &amp; Bahan'!$I$31</f>
        <v>90000</v>
      </c>
      <c r="J1519" s="2729">
        <f>ROUND(H1519*I1519,2)</f>
        <v>900</v>
      </c>
      <c r="K1519" s="2734"/>
      <c r="L1519" s="2731">
        <f t="shared" si="154"/>
        <v>1</v>
      </c>
      <c r="M1519" s="2731" t="str">
        <f t="shared" si="155"/>
        <v>WNI</v>
      </c>
      <c r="N1519" s="2729">
        <f t="shared" si="153"/>
        <v>900</v>
      </c>
      <c r="O1519" s="2716"/>
      <c r="Q1519" s="2717"/>
      <c r="R1519" s="2717"/>
      <c r="S1519" s="2719"/>
      <c r="T1519" s="2717"/>
      <c r="U1519" s="2717"/>
      <c r="V1519" s="2717"/>
    </row>
    <row r="1520" spans="2:22" s="2720" customFormat="1" ht="14.1" customHeight="1" x14ac:dyDescent="0.2">
      <c r="B1520" s="2711"/>
      <c r="C1520" s="2537"/>
      <c r="D1520" s="2536"/>
      <c r="E1520" s="2736"/>
      <c r="F1520" s="2741"/>
      <c r="G1520" s="2742"/>
      <c r="H1520" s="2743"/>
      <c r="I1520" s="2842"/>
      <c r="J1520" s="2813"/>
      <c r="K1520" s="2732">
        <f>SUM(J1518:J1519)</f>
        <v>9900</v>
      </c>
      <c r="L1520" s="2731"/>
      <c r="M1520" s="2732"/>
      <c r="N1520" s="2729">
        <f t="shared" si="153"/>
        <v>0</v>
      </c>
      <c r="O1520" s="2716"/>
      <c r="Q1520" s="2717"/>
      <c r="R1520" s="2717"/>
      <c r="S1520" s="2719"/>
      <c r="T1520" s="2717"/>
      <c r="U1520" s="2717"/>
      <c r="V1520" s="2717"/>
    </row>
    <row r="1521" spans="2:22" s="2720" customFormat="1" ht="14.1" customHeight="1" x14ac:dyDescent="0.2">
      <c r="B1521" s="2711"/>
      <c r="C1521" s="2528" t="s">
        <v>609</v>
      </c>
      <c r="D1521" s="2725" t="s">
        <v>606</v>
      </c>
      <c r="E1521" s="2739"/>
      <c r="F1521" s="2739"/>
      <c r="G1521" s="2727"/>
      <c r="H1521" s="2740"/>
      <c r="I1521" s="2814"/>
      <c r="J1521" s="2729"/>
      <c r="K1521" s="2730"/>
      <c r="L1521" s="2731"/>
      <c r="M1521" s="2732"/>
      <c r="N1521" s="2729">
        <f t="shared" si="153"/>
        <v>0</v>
      </c>
      <c r="O1521" s="2716"/>
      <c r="Q1521" s="2717"/>
      <c r="R1521" s="2717"/>
      <c r="S1521" s="2719"/>
      <c r="T1521" s="2717"/>
      <c r="U1521" s="2717"/>
      <c r="V1521" s="2717"/>
    </row>
    <row r="1522" spans="2:22" s="2720" customFormat="1" ht="14.1" customHeight="1" x14ac:dyDescent="0.2">
      <c r="B1522" s="2711"/>
      <c r="C1522" s="2537"/>
      <c r="D1522" s="2536"/>
      <c r="E1522" s="2736"/>
      <c r="F1522" s="2741"/>
      <c r="G1522" s="2742"/>
      <c r="H1522" s="2743"/>
      <c r="I1522" s="2744"/>
      <c r="J1522" s="2813"/>
      <c r="K1522" s="2732">
        <f>SUM(J1521:J1521)</f>
        <v>0</v>
      </c>
      <c r="L1522" s="2731"/>
      <c r="M1522" s="2732"/>
      <c r="N1522" s="2729">
        <f t="shared" si="153"/>
        <v>0</v>
      </c>
      <c r="O1522" s="2716"/>
      <c r="Q1522" s="2717"/>
      <c r="R1522" s="2717"/>
      <c r="S1522" s="2719"/>
      <c r="T1522" s="2717"/>
      <c r="U1522" s="2717"/>
      <c r="V1522" s="2717"/>
    </row>
    <row r="1523" spans="2:22" s="2720" customFormat="1" ht="14.1" customHeight="1" x14ac:dyDescent="0.2">
      <c r="B1523" s="2711"/>
      <c r="C1523" s="2727" t="s">
        <v>610</v>
      </c>
      <c r="D1523" s="2738" t="s">
        <v>651</v>
      </c>
      <c r="E1523" s="2741"/>
      <c r="F1523" s="2741"/>
      <c r="G1523" s="2742"/>
      <c r="H1523" s="2743"/>
      <c r="I1523" s="2744"/>
      <c r="J1523" s="2745" t="s">
        <v>652</v>
      </c>
      <c r="K1523" s="2732">
        <f>K1517+K1520+K1522</f>
        <v>37015</v>
      </c>
      <c r="L1523" s="2746">
        <f>N1523/K1523</f>
        <v>0.5819465081723626</v>
      </c>
      <c r="M1523" s="2745"/>
      <c r="N1523" s="2747">
        <f>SUM(N1512:N1522)</f>
        <v>21540.75</v>
      </c>
      <c r="O1523" s="2716"/>
      <c r="Q1523" s="2717"/>
      <c r="R1523" s="2717"/>
      <c r="S1523" s="2719"/>
      <c r="T1523" s="2717"/>
      <c r="U1523" s="2717"/>
      <c r="V1523" s="2717"/>
    </row>
    <row r="1524" spans="2:22" s="2720" customFormat="1" ht="14.1" customHeight="1" x14ac:dyDescent="0.2">
      <c r="B1524" s="2711"/>
      <c r="C1524" s="2537" t="s">
        <v>611</v>
      </c>
      <c r="D1524" s="2738" t="s">
        <v>653</v>
      </c>
      <c r="E1524" s="2741"/>
      <c r="F1524" s="2748">
        <f>$F$42</f>
        <v>0.1</v>
      </c>
      <c r="G1524" s="2727" t="s">
        <v>425</v>
      </c>
      <c r="H1524" s="2748">
        <f>$H$42</f>
        <v>0.03</v>
      </c>
      <c r="I1524" s="2749" t="s">
        <v>424</v>
      </c>
      <c r="J1524" s="2732" t="s">
        <v>610</v>
      </c>
      <c r="K1524" s="2750">
        <f>ROUND((K1523*(F1524+H1524)),2)</f>
        <v>4811.95</v>
      </c>
      <c r="L1524" s="2732"/>
      <c r="M1524" s="2732"/>
      <c r="N1524" s="2732"/>
      <c r="O1524" s="2716"/>
      <c r="Q1524" s="2717"/>
      <c r="R1524" s="2717"/>
      <c r="S1524" s="2719"/>
      <c r="T1524" s="2717"/>
      <c r="U1524" s="2717"/>
      <c r="V1524" s="2717"/>
    </row>
    <row r="1525" spans="2:22" s="2720" customFormat="1" ht="14.1" customHeight="1" x14ac:dyDescent="0.2">
      <c r="B1525" s="2711"/>
      <c r="C1525" s="2880" t="s">
        <v>654</v>
      </c>
      <c r="D1525" s="2752" t="s">
        <v>301</v>
      </c>
      <c r="E1525" s="2815"/>
      <c r="F1525" s="2815"/>
      <c r="G1525" s="2815"/>
      <c r="H1525" s="2816"/>
      <c r="I1525" s="2815"/>
      <c r="J1525" s="2755" t="s">
        <v>668</v>
      </c>
      <c r="K1525" s="2756">
        <f>SUM(K1523:K1524)</f>
        <v>41826.949999999997</v>
      </c>
      <c r="L1525" s="2746"/>
      <c r="M1525" s="2755"/>
      <c r="N1525" s="2757"/>
      <c r="O1525" s="2716"/>
      <c r="Q1525" s="2717"/>
      <c r="R1525" s="2717"/>
      <c r="S1525" s="2719"/>
      <c r="T1525" s="2717"/>
      <c r="U1525" s="2717"/>
      <c r="V1525" s="2717"/>
    </row>
    <row r="1526" spans="2:22" x14ac:dyDescent="0.25">
      <c r="Q1526" s="2717"/>
      <c r="R1526" s="2717"/>
      <c r="S1526" s="2719"/>
      <c r="T1526" s="2717"/>
      <c r="U1526" s="2717"/>
      <c r="V1526" s="2717"/>
    </row>
    <row r="1527" spans="2:22" s="2720" customFormat="1" ht="14.1" customHeight="1" x14ac:dyDescent="0.2">
      <c r="B1527" s="2711">
        <f>B1510+1</f>
        <v>77</v>
      </c>
      <c r="C1527" s="2711"/>
      <c r="D1527" s="2712" t="s">
        <v>374</v>
      </c>
      <c r="E1527" s="2713"/>
      <c r="F1527" s="2713"/>
      <c r="G1527" s="2713"/>
      <c r="H1527" s="2714"/>
      <c r="I1527" s="2713"/>
      <c r="J1527" s="2713"/>
      <c r="K1527" s="2715" t="s">
        <v>720</v>
      </c>
      <c r="L1527" s="2715"/>
      <c r="M1527" s="2715"/>
      <c r="N1527" s="2715"/>
      <c r="O1527" s="2716" t="str">
        <f>D1528</f>
        <v>bh</v>
      </c>
      <c r="P1527" s="2717">
        <f>K1542</f>
        <v>37730.699999999997</v>
      </c>
      <c r="Q1527" s="2718">
        <f>L1540</f>
        <v>0.59851752021563343</v>
      </c>
      <c r="R1527" s="2717"/>
      <c r="S1527" s="2719">
        <f>N1540</f>
        <v>19984.5</v>
      </c>
      <c r="T1527" s="2515">
        <f>U1527+S1527</f>
        <v>22582.485000000001</v>
      </c>
      <c r="U1527" s="2719">
        <f>S1527*V1527</f>
        <v>2597.9850000000001</v>
      </c>
      <c r="V1527" s="2718">
        <f>$F$42+$H$42</f>
        <v>0.13</v>
      </c>
    </row>
    <row r="1528" spans="2:22" s="2720" customFormat="1" ht="14.1" customHeight="1" x14ac:dyDescent="0.2">
      <c r="B1528" s="2711"/>
      <c r="C1528" s="2711"/>
      <c r="D1528" s="2721" t="s">
        <v>268</v>
      </c>
      <c r="E1528" s="2721"/>
      <c r="F1528" s="2721"/>
      <c r="G1528" s="2721"/>
      <c r="H1528" s="2711"/>
      <c r="I1528" s="2721"/>
      <c r="J1528" s="2721"/>
      <c r="K1528" s="2721"/>
      <c r="L1528" s="2721"/>
      <c r="M1528" s="2721"/>
      <c r="N1528" s="2721"/>
      <c r="O1528" s="2716"/>
      <c r="Q1528" s="2717"/>
      <c r="R1528" s="2717"/>
      <c r="S1528" s="2719"/>
      <c r="T1528" s="2717"/>
      <c r="U1528" s="2717"/>
      <c r="V1528" s="2717"/>
    </row>
    <row r="1529" spans="2:22" s="2720" customFormat="1" ht="14.1" customHeight="1" x14ac:dyDescent="0.2">
      <c r="B1529" s="2711"/>
      <c r="C1529" s="2524"/>
      <c r="D1529" s="3427" t="s">
        <v>280</v>
      </c>
      <c r="E1529" s="3428"/>
      <c r="F1529" s="2722"/>
      <c r="G1529" s="3433" t="s">
        <v>281</v>
      </c>
      <c r="H1529" s="3433" t="s">
        <v>282</v>
      </c>
      <c r="I1529" s="2524" t="s">
        <v>283</v>
      </c>
      <c r="J1529" s="2524" t="s">
        <v>284</v>
      </c>
      <c r="K1529" s="2524" t="s">
        <v>340</v>
      </c>
      <c r="L1529" s="2524" t="s">
        <v>2008</v>
      </c>
      <c r="M1529" s="2524" t="s">
        <v>2009</v>
      </c>
      <c r="N1529" s="2524" t="s">
        <v>284</v>
      </c>
      <c r="O1529" s="2716"/>
      <c r="Q1529" s="2717"/>
      <c r="R1529" s="2717"/>
      <c r="S1529" s="2719"/>
      <c r="T1529" s="2717"/>
      <c r="U1529" s="2717"/>
      <c r="V1529" s="2717"/>
    </row>
    <row r="1530" spans="2:22" s="2720" customFormat="1" ht="14.1" customHeight="1" x14ac:dyDescent="0.2">
      <c r="B1530" s="2711"/>
      <c r="C1530" s="2528" t="s">
        <v>669</v>
      </c>
      <c r="D1530" s="3429"/>
      <c r="E1530" s="3430"/>
      <c r="F1530" s="2723"/>
      <c r="G1530" s="3434"/>
      <c r="H1530" s="3434"/>
      <c r="I1530" s="2528" t="s">
        <v>285</v>
      </c>
      <c r="J1530" s="2528" t="s">
        <v>286</v>
      </c>
      <c r="K1530" s="2528" t="s">
        <v>286</v>
      </c>
      <c r="L1530" s="2528" t="s">
        <v>2011</v>
      </c>
      <c r="M1530" s="2528"/>
      <c r="N1530" s="2528" t="s">
        <v>2013</v>
      </c>
      <c r="O1530" s="2716"/>
      <c r="Q1530" s="2717"/>
      <c r="R1530" s="2717"/>
      <c r="S1530" s="2719"/>
      <c r="T1530" s="2717"/>
      <c r="U1530" s="2717"/>
      <c r="V1530" s="2717"/>
    </row>
    <row r="1531" spans="2:22" s="2720" customFormat="1" ht="14.1" customHeight="1" x14ac:dyDescent="0.2">
      <c r="B1531" s="2711"/>
      <c r="C1531" s="2537"/>
      <c r="D1531" s="3431"/>
      <c r="E1531" s="3432"/>
      <c r="F1531" s="2724"/>
      <c r="G1531" s="3435"/>
      <c r="H1531" s="3435"/>
      <c r="I1531" s="2537" t="s">
        <v>286</v>
      </c>
      <c r="J1531" s="2536"/>
      <c r="K1531" s="2536"/>
      <c r="L1531" s="2536"/>
      <c r="M1531" s="2536"/>
      <c r="N1531" s="2537" t="s">
        <v>286</v>
      </c>
      <c r="O1531" s="2716"/>
      <c r="Q1531" s="2717"/>
      <c r="R1531" s="2717"/>
      <c r="S1531" s="2719"/>
      <c r="T1531" s="2717"/>
      <c r="U1531" s="2717"/>
      <c r="V1531" s="2717"/>
    </row>
    <row r="1532" spans="2:22" s="2720" customFormat="1" ht="14.1" customHeight="1" x14ac:dyDescent="0.2">
      <c r="B1532" s="2711"/>
      <c r="C1532" s="2524" t="s">
        <v>607</v>
      </c>
      <c r="D1532" s="2725" t="s">
        <v>287</v>
      </c>
      <c r="E1532" s="2726" t="s">
        <v>388</v>
      </c>
      <c r="F1532" s="2726"/>
      <c r="G1532" s="2727" t="s">
        <v>268</v>
      </c>
      <c r="H1532" s="2728">
        <v>1</v>
      </c>
      <c r="I1532" s="2729">
        <f>'Upah &amp; Bahan'!$I$144</f>
        <v>16200</v>
      </c>
      <c r="J1532" s="2729">
        <f>ROUND(H1532*I1532,2)</f>
        <v>16200</v>
      </c>
      <c r="K1532" s="2730"/>
      <c r="L1532" s="2731">
        <v>0.28499999999999998</v>
      </c>
      <c r="M1532" s="2732" t="s">
        <v>2029</v>
      </c>
      <c r="N1532" s="2729">
        <f t="shared" ref="N1532:N1539" si="156">L1532*J1532</f>
        <v>4617</v>
      </c>
      <c r="O1532" s="2716"/>
      <c r="Q1532" s="2717"/>
      <c r="R1532" s="2717"/>
      <c r="S1532" s="2719"/>
      <c r="T1532" s="2717"/>
      <c r="U1532" s="2717"/>
      <c r="V1532" s="2717"/>
    </row>
    <row r="1533" spans="2:22" s="2720" customFormat="1" ht="14.1" customHeight="1" x14ac:dyDescent="0.2">
      <c r="B1533" s="2711"/>
      <c r="C1533" s="3013"/>
      <c r="D1533" s="3014"/>
      <c r="E1533" s="2994" t="s">
        <v>1980</v>
      </c>
      <c r="F1533" s="2994"/>
      <c r="G1533" s="2633" t="s">
        <v>1976</v>
      </c>
      <c r="H1533" s="2995">
        <v>1</v>
      </c>
      <c r="I1533" s="2949">
        <f>SUM(J1532)*45%</f>
        <v>7290</v>
      </c>
      <c r="J1533" s="2932">
        <f>ROUND(H1533*I1533,2)</f>
        <v>7290</v>
      </c>
      <c r="K1533" s="2933"/>
      <c r="L1533" s="2731">
        <v>0.75</v>
      </c>
      <c r="M1533" s="2732" t="s">
        <v>2030</v>
      </c>
      <c r="N1533" s="2729">
        <f t="shared" si="156"/>
        <v>5467.5</v>
      </c>
      <c r="O1533" s="2716"/>
      <c r="Q1533" s="2717"/>
      <c r="R1533" s="2717"/>
      <c r="S1533" s="2719"/>
      <c r="T1533" s="2717"/>
      <c r="U1533" s="2717"/>
      <c r="V1533" s="2717"/>
    </row>
    <row r="1534" spans="2:22" s="2720" customFormat="1" ht="14.1" customHeight="1" x14ac:dyDescent="0.2">
      <c r="B1534" s="2711"/>
      <c r="C1534" s="2528"/>
      <c r="D1534" s="2733"/>
      <c r="E1534" s="2984"/>
      <c r="F1534" s="2985"/>
      <c r="G1534" s="2742"/>
      <c r="H1534" s="2986"/>
      <c r="I1534" s="2842"/>
      <c r="J1534" s="2813"/>
      <c r="K1534" s="2729">
        <f>SUM(J1532:J1533)</f>
        <v>23490</v>
      </c>
      <c r="L1534" s="2731"/>
      <c r="M1534" s="2732"/>
      <c r="N1534" s="2729">
        <f t="shared" si="156"/>
        <v>0</v>
      </c>
      <c r="O1534" s="2716"/>
      <c r="Q1534" s="2717"/>
      <c r="R1534" s="2717"/>
      <c r="S1534" s="2719"/>
      <c r="T1534" s="2717"/>
      <c r="U1534" s="2717"/>
      <c r="V1534" s="2717"/>
    </row>
    <row r="1535" spans="2:22" s="2720" customFormat="1" ht="14.1" customHeight="1" x14ac:dyDescent="0.2">
      <c r="B1535" s="2711"/>
      <c r="C1535" s="2524" t="s">
        <v>608</v>
      </c>
      <c r="D1535" s="2725" t="s">
        <v>288</v>
      </c>
      <c r="E1535" s="2726" t="s">
        <v>20</v>
      </c>
      <c r="F1535" s="2726"/>
      <c r="G1535" s="2727" t="s">
        <v>291</v>
      </c>
      <c r="H1535" s="2728">
        <v>0.1</v>
      </c>
      <c r="I1535" s="2729">
        <f>'Upah &amp; Bahan'!$I$38</f>
        <v>90000</v>
      </c>
      <c r="J1535" s="2729">
        <f>ROUND(H1535*I1535,2)</f>
        <v>9000</v>
      </c>
      <c r="K1535" s="2730"/>
      <c r="L1535" s="2731">
        <f t="shared" ref="L1535:L1536" si="157">VLOOKUP($E1535,$D$1744:$G$1761,2,0)</f>
        <v>1</v>
      </c>
      <c r="M1535" s="2731" t="str">
        <f t="shared" ref="M1535:M1536" si="158">VLOOKUP($E1535,$D$1744:$G$1761,3,0)</f>
        <v>WNI</v>
      </c>
      <c r="N1535" s="2729">
        <f t="shared" si="156"/>
        <v>9000</v>
      </c>
      <c r="O1535" s="2716"/>
      <c r="Q1535" s="2717"/>
      <c r="R1535" s="2717"/>
      <c r="S1535" s="2719"/>
      <c r="T1535" s="2717"/>
      <c r="U1535" s="2717"/>
      <c r="V1535" s="2717"/>
    </row>
    <row r="1536" spans="2:22" s="2720" customFormat="1" ht="14.1" customHeight="1" x14ac:dyDescent="0.2">
      <c r="B1536" s="2711"/>
      <c r="C1536" s="2528"/>
      <c r="D1536" s="2733"/>
      <c r="E1536" s="2726" t="s">
        <v>290</v>
      </c>
      <c r="F1536" s="2726"/>
      <c r="G1536" s="2727" t="s">
        <v>291</v>
      </c>
      <c r="H1536" s="2728">
        <v>0.01</v>
      </c>
      <c r="I1536" s="2729">
        <f>'Upah &amp; Bahan'!$I$31</f>
        <v>90000</v>
      </c>
      <c r="J1536" s="2729">
        <f>ROUND(H1536*I1536,2)</f>
        <v>900</v>
      </c>
      <c r="K1536" s="2734"/>
      <c r="L1536" s="2731">
        <f t="shared" si="157"/>
        <v>1</v>
      </c>
      <c r="M1536" s="2731" t="str">
        <f t="shared" si="158"/>
        <v>WNI</v>
      </c>
      <c r="N1536" s="2729">
        <f t="shared" si="156"/>
        <v>900</v>
      </c>
      <c r="O1536" s="2716"/>
      <c r="Q1536" s="2717"/>
      <c r="R1536" s="2717"/>
      <c r="S1536" s="2719"/>
      <c r="T1536" s="2717"/>
      <c r="U1536" s="2717"/>
      <c r="V1536" s="2717"/>
    </row>
    <row r="1537" spans="2:22" s="2720" customFormat="1" ht="14.1" customHeight="1" x14ac:dyDescent="0.2">
      <c r="B1537" s="2711"/>
      <c r="C1537" s="2537"/>
      <c r="D1537" s="2536"/>
      <c r="E1537" s="2736"/>
      <c r="F1537" s="2741"/>
      <c r="G1537" s="2742"/>
      <c r="H1537" s="2743"/>
      <c r="I1537" s="2842"/>
      <c r="J1537" s="2813"/>
      <c r="K1537" s="2732">
        <f>SUM(J1535:J1536)</f>
        <v>9900</v>
      </c>
      <c r="L1537" s="2731"/>
      <c r="M1537" s="2732"/>
      <c r="N1537" s="2729">
        <f t="shared" si="156"/>
        <v>0</v>
      </c>
      <c r="O1537" s="2716"/>
      <c r="Q1537" s="2717"/>
      <c r="R1537" s="2717"/>
      <c r="S1537" s="2719"/>
      <c r="T1537" s="2717"/>
      <c r="U1537" s="2717"/>
      <c r="V1537" s="2717"/>
    </row>
    <row r="1538" spans="2:22" s="2720" customFormat="1" ht="14.1" customHeight="1" x14ac:dyDescent="0.2">
      <c r="B1538" s="2711"/>
      <c r="C1538" s="2528" t="s">
        <v>609</v>
      </c>
      <c r="D1538" s="2725" t="s">
        <v>606</v>
      </c>
      <c r="E1538" s="2739"/>
      <c r="F1538" s="2739"/>
      <c r="G1538" s="2727"/>
      <c r="H1538" s="2740"/>
      <c r="I1538" s="2814"/>
      <c r="J1538" s="2729"/>
      <c r="K1538" s="2730"/>
      <c r="L1538" s="2731"/>
      <c r="M1538" s="2732"/>
      <c r="N1538" s="2729">
        <f t="shared" si="156"/>
        <v>0</v>
      </c>
      <c r="O1538" s="2716"/>
      <c r="Q1538" s="2717"/>
      <c r="R1538" s="2717"/>
      <c r="S1538" s="2719"/>
      <c r="T1538" s="2717"/>
      <c r="U1538" s="2717"/>
      <c r="V1538" s="2717"/>
    </row>
    <row r="1539" spans="2:22" s="2720" customFormat="1" ht="14.1" customHeight="1" x14ac:dyDescent="0.2">
      <c r="B1539" s="2711"/>
      <c r="C1539" s="2537"/>
      <c r="D1539" s="2536"/>
      <c r="E1539" s="2736"/>
      <c r="F1539" s="2741"/>
      <c r="G1539" s="2742"/>
      <c r="H1539" s="2743"/>
      <c r="I1539" s="2744"/>
      <c r="J1539" s="2813"/>
      <c r="K1539" s="2732">
        <f>SUM(J1538:J1538)</f>
        <v>0</v>
      </c>
      <c r="L1539" s="2731"/>
      <c r="M1539" s="2732"/>
      <c r="N1539" s="2729">
        <f t="shared" si="156"/>
        <v>0</v>
      </c>
      <c r="O1539" s="2716"/>
      <c r="Q1539" s="2717"/>
      <c r="R1539" s="2717"/>
      <c r="S1539" s="2719"/>
      <c r="T1539" s="2717"/>
      <c r="U1539" s="2717"/>
      <c r="V1539" s="2717"/>
    </row>
    <row r="1540" spans="2:22" s="2720" customFormat="1" ht="14.1" customHeight="1" x14ac:dyDescent="0.2">
      <c r="B1540" s="2711"/>
      <c r="C1540" s="2727" t="s">
        <v>610</v>
      </c>
      <c r="D1540" s="2738" t="s">
        <v>651</v>
      </c>
      <c r="E1540" s="2741"/>
      <c r="F1540" s="2741"/>
      <c r="G1540" s="2742"/>
      <c r="H1540" s="2743"/>
      <c r="I1540" s="2744"/>
      <c r="J1540" s="2745" t="s">
        <v>652</v>
      </c>
      <c r="K1540" s="2732">
        <f>K1534+K1537+K1539</f>
        <v>33390</v>
      </c>
      <c r="L1540" s="2746">
        <f>N1540/K1540</f>
        <v>0.59851752021563343</v>
      </c>
      <c r="M1540" s="2745"/>
      <c r="N1540" s="2747">
        <f>SUM(N1529:N1539)</f>
        <v>19984.5</v>
      </c>
      <c r="O1540" s="2716"/>
      <c r="Q1540" s="2717"/>
      <c r="R1540" s="2717"/>
      <c r="S1540" s="2719"/>
      <c r="T1540" s="2717"/>
      <c r="U1540" s="2717"/>
      <c r="V1540" s="2717"/>
    </row>
    <row r="1541" spans="2:22" s="2720" customFormat="1" ht="14.1" customHeight="1" x14ac:dyDescent="0.2">
      <c r="B1541" s="2711"/>
      <c r="C1541" s="2537" t="s">
        <v>611</v>
      </c>
      <c r="D1541" s="2738" t="s">
        <v>653</v>
      </c>
      <c r="E1541" s="2741"/>
      <c r="F1541" s="2748">
        <f>$F$42</f>
        <v>0.1</v>
      </c>
      <c r="G1541" s="2727" t="s">
        <v>425</v>
      </c>
      <c r="H1541" s="2748">
        <f>$H$42</f>
        <v>0.03</v>
      </c>
      <c r="I1541" s="2749" t="s">
        <v>424</v>
      </c>
      <c r="J1541" s="2732" t="s">
        <v>610</v>
      </c>
      <c r="K1541" s="2750">
        <f>ROUND((K1540*(F1541+H1541)),2)</f>
        <v>4340.7</v>
      </c>
      <c r="L1541" s="2732"/>
      <c r="M1541" s="2732"/>
      <c r="N1541" s="2732"/>
      <c r="O1541" s="2716"/>
      <c r="Q1541" s="2717"/>
      <c r="R1541" s="2717"/>
      <c r="S1541" s="2719"/>
      <c r="T1541" s="2717"/>
      <c r="U1541" s="2717"/>
      <c r="V1541" s="2717"/>
    </row>
    <row r="1542" spans="2:22" s="2720" customFormat="1" ht="14.1" customHeight="1" x14ac:dyDescent="0.2">
      <c r="B1542" s="2711"/>
      <c r="C1542" s="2880" t="s">
        <v>654</v>
      </c>
      <c r="D1542" s="2752" t="s">
        <v>301</v>
      </c>
      <c r="E1542" s="2815"/>
      <c r="F1542" s="2815"/>
      <c r="G1542" s="2815"/>
      <c r="H1542" s="2816"/>
      <c r="I1542" s="2815"/>
      <c r="J1542" s="2755" t="s">
        <v>668</v>
      </c>
      <c r="K1542" s="2756">
        <f>SUM(K1540:K1541)</f>
        <v>37730.699999999997</v>
      </c>
      <c r="L1542" s="2746"/>
      <c r="M1542" s="2755"/>
      <c r="N1542" s="2757"/>
      <c r="O1542" s="2716"/>
      <c r="Q1542" s="2717"/>
      <c r="R1542" s="2717"/>
      <c r="S1542" s="2719"/>
      <c r="T1542" s="2717"/>
      <c r="U1542" s="2717"/>
      <c r="V1542" s="2717"/>
    </row>
    <row r="1543" spans="2:22" x14ac:dyDescent="0.25">
      <c r="Q1543" s="2717"/>
      <c r="R1543" s="2717"/>
      <c r="S1543" s="2719"/>
      <c r="T1543" s="2717"/>
      <c r="U1543" s="2717"/>
      <c r="V1543" s="2717"/>
    </row>
    <row r="1544" spans="2:22" s="2720" customFormat="1" ht="14.1" customHeight="1" x14ac:dyDescent="0.2">
      <c r="B1544" s="2711">
        <f>B1527+1</f>
        <v>78</v>
      </c>
      <c r="C1544" s="2711"/>
      <c r="D1544" s="2712" t="s">
        <v>1997</v>
      </c>
      <c r="E1544" s="2713"/>
      <c r="F1544" s="2713"/>
      <c r="G1544" s="2713"/>
      <c r="H1544" s="2714"/>
      <c r="I1544" s="2713"/>
      <c r="J1544" s="2713"/>
      <c r="K1544" s="2715" t="s">
        <v>720</v>
      </c>
      <c r="L1544" s="2715"/>
      <c r="M1544" s="2715"/>
      <c r="N1544" s="2715"/>
      <c r="O1544" s="2716" t="str">
        <f>D1545</f>
        <v>bh</v>
      </c>
      <c r="P1544" s="2717">
        <f>K1559</f>
        <v>115836.3</v>
      </c>
      <c r="Q1544" s="2718">
        <f>L1557</f>
        <v>0.46296458882060287</v>
      </c>
      <c r="R1544" s="2717"/>
      <c r="S1544" s="2719">
        <f>N1557</f>
        <v>47458.5</v>
      </c>
      <c r="T1544" s="2515">
        <f>U1544+S1544</f>
        <v>53628.105000000003</v>
      </c>
      <c r="U1544" s="2719">
        <f>S1544*V1544</f>
        <v>6169.6050000000005</v>
      </c>
      <c r="V1544" s="2718">
        <f>$F$42+$H$42</f>
        <v>0.13</v>
      </c>
    </row>
    <row r="1545" spans="2:22" s="2720" customFormat="1" ht="14.1" customHeight="1" x14ac:dyDescent="0.2">
      <c r="B1545" s="2711"/>
      <c r="C1545" s="2711"/>
      <c r="D1545" s="2721" t="s">
        <v>268</v>
      </c>
      <c r="E1545" s="2721"/>
      <c r="F1545" s="2721"/>
      <c r="G1545" s="2721"/>
      <c r="H1545" s="2711"/>
      <c r="I1545" s="2721"/>
      <c r="J1545" s="2721"/>
      <c r="K1545" s="2721"/>
      <c r="L1545" s="2721"/>
      <c r="M1545" s="2721"/>
      <c r="N1545" s="2721"/>
      <c r="O1545" s="2716"/>
      <c r="Q1545" s="2717"/>
      <c r="R1545" s="2717"/>
      <c r="S1545" s="2719"/>
      <c r="T1545" s="2717"/>
      <c r="U1545" s="2717"/>
      <c r="V1545" s="2717"/>
    </row>
    <row r="1546" spans="2:22" s="2720" customFormat="1" ht="14.1" customHeight="1" x14ac:dyDescent="0.2">
      <c r="B1546" s="2711"/>
      <c r="C1546" s="2524"/>
      <c r="D1546" s="3427" t="s">
        <v>280</v>
      </c>
      <c r="E1546" s="3428"/>
      <c r="F1546" s="2722"/>
      <c r="G1546" s="3433" t="s">
        <v>281</v>
      </c>
      <c r="H1546" s="3433" t="s">
        <v>282</v>
      </c>
      <c r="I1546" s="2524" t="s">
        <v>283</v>
      </c>
      <c r="J1546" s="2524" t="s">
        <v>284</v>
      </c>
      <c r="K1546" s="2524" t="s">
        <v>340</v>
      </c>
      <c r="L1546" s="2524" t="s">
        <v>2008</v>
      </c>
      <c r="M1546" s="2524" t="s">
        <v>2009</v>
      </c>
      <c r="N1546" s="2524" t="s">
        <v>284</v>
      </c>
      <c r="O1546" s="2716"/>
      <c r="Q1546" s="2717"/>
      <c r="R1546" s="2717"/>
      <c r="S1546" s="2719"/>
      <c r="T1546" s="2717"/>
      <c r="U1546" s="2717"/>
      <c r="V1546" s="2717"/>
    </row>
    <row r="1547" spans="2:22" s="2720" customFormat="1" ht="14.1" customHeight="1" x14ac:dyDescent="0.2">
      <c r="B1547" s="2711"/>
      <c r="C1547" s="2528" t="s">
        <v>669</v>
      </c>
      <c r="D1547" s="3429"/>
      <c r="E1547" s="3430"/>
      <c r="F1547" s="2723"/>
      <c r="G1547" s="3434"/>
      <c r="H1547" s="3434"/>
      <c r="I1547" s="2528" t="s">
        <v>285</v>
      </c>
      <c r="J1547" s="2528" t="s">
        <v>286</v>
      </c>
      <c r="K1547" s="2528" t="s">
        <v>286</v>
      </c>
      <c r="L1547" s="2528" t="s">
        <v>2011</v>
      </c>
      <c r="M1547" s="2528"/>
      <c r="N1547" s="2528" t="s">
        <v>2013</v>
      </c>
      <c r="O1547" s="2716"/>
      <c r="Q1547" s="2717"/>
      <c r="R1547" s="2717"/>
      <c r="S1547" s="2719"/>
      <c r="T1547" s="2717"/>
      <c r="U1547" s="2717"/>
      <c r="V1547" s="2717"/>
    </row>
    <row r="1548" spans="2:22" s="2720" customFormat="1" ht="14.1" customHeight="1" x14ac:dyDescent="0.2">
      <c r="B1548" s="2711"/>
      <c r="C1548" s="2537"/>
      <c r="D1548" s="3431"/>
      <c r="E1548" s="3432"/>
      <c r="F1548" s="2724"/>
      <c r="G1548" s="3435"/>
      <c r="H1548" s="3435"/>
      <c r="I1548" s="2537" t="s">
        <v>286</v>
      </c>
      <c r="J1548" s="2536"/>
      <c r="K1548" s="2536"/>
      <c r="L1548" s="2536"/>
      <c r="M1548" s="2536"/>
      <c r="N1548" s="2537" t="s">
        <v>286</v>
      </c>
      <c r="O1548" s="2716"/>
      <c r="Q1548" s="2717"/>
      <c r="R1548" s="2717"/>
      <c r="S1548" s="2719"/>
      <c r="T1548" s="2717"/>
      <c r="U1548" s="2717"/>
      <c r="V1548" s="2717"/>
    </row>
    <row r="1549" spans="2:22" s="2720" customFormat="1" ht="14.1" customHeight="1" x14ac:dyDescent="0.2">
      <c r="B1549" s="2711"/>
      <c r="C1549" s="2524" t="s">
        <v>607</v>
      </c>
      <c r="D1549" s="2725" t="s">
        <v>287</v>
      </c>
      <c r="E1549" s="2726" t="s">
        <v>1981</v>
      </c>
      <c r="F1549" s="2726"/>
      <c r="G1549" s="2727" t="s">
        <v>268</v>
      </c>
      <c r="H1549" s="2728">
        <v>1</v>
      </c>
      <c r="I1549" s="2729">
        <f>'Upah &amp; Bahan'!I145</f>
        <v>68600</v>
      </c>
      <c r="J1549" s="2729">
        <f>ROUND(H1549*I1549,2)</f>
        <v>68600</v>
      </c>
      <c r="K1549" s="2730"/>
      <c r="L1549" s="2731">
        <v>0.28499999999999998</v>
      </c>
      <c r="M1549" s="2732" t="s">
        <v>2029</v>
      </c>
      <c r="N1549" s="2729">
        <f t="shared" ref="N1549:N1556" si="159">L1549*J1549</f>
        <v>19551</v>
      </c>
      <c r="O1549" s="2716"/>
      <c r="Q1549" s="2717"/>
      <c r="R1549" s="2717"/>
      <c r="S1549" s="2719"/>
      <c r="T1549" s="2717"/>
      <c r="U1549" s="2717"/>
      <c r="V1549" s="2717"/>
    </row>
    <row r="1550" spans="2:22" s="2720" customFormat="1" ht="14.1" customHeight="1" x14ac:dyDescent="0.2">
      <c r="B1550" s="2711"/>
      <c r="C1550" s="3013"/>
      <c r="D1550" s="3014"/>
      <c r="E1550" s="2994" t="s">
        <v>1975</v>
      </c>
      <c r="F1550" s="2994"/>
      <c r="G1550" s="2633" t="s">
        <v>1976</v>
      </c>
      <c r="H1550" s="2995">
        <v>1</v>
      </c>
      <c r="I1550" s="2949">
        <f>SUM(J1549)*35%</f>
        <v>24010</v>
      </c>
      <c r="J1550" s="2932">
        <f>ROUND(H1550*I1550,2)</f>
        <v>24010</v>
      </c>
      <c r="K1550" s="2933"/>
      <c r="L1550" s="2731">
        <v>0.75</v>
      </c>
      <c r="M1550" s="2732" t="s">
        <v>2030</v>
      </c>
      <c r="N1550" s="2729">
        <f t="shared" si="159"/>
        <v>18007.5</v>
      </c>
      <c r="O1550" s="2716"/>
      <c r="Q1550" s="2717"/>
      <c r="R1550" s="2717"/>
      <c r="S1550" s="2719"/>
      <c r="T1550" s="2717"/>
      <c r="U1550" s="2717"/>
      <c r="V1550" s="2717"/>
    </row>
    <row r="1551" spans="2:22" s="2720" customFormat="1" ht="14.1" customHeight="1" x14ac:dyDescent="0.2">
      <c r="B1551" s="2711"/>
      <c r="C1551" s="2528"/>
      <c r="D1551" s="2733"/>
      <c r="E1551" s="2984"/>
      <c r="F1551" s="2985"/>
      <c r="G1551" s="2742"/>
      <c r="H1551" s="2986"/>
      <c r="I1551" s="2842"/>
      <c r="J1551" s="2813"/>
      <c r="K1551" s="2729">
        <f>SUM(J1549:J1550)</f>
        <v>92610</v>
      </c>
      <c r="L1551" s="2731"/>
      <c r="M1551" s="2732"/>
      <c r="N1551" s="2729">
        <f t="shared" si="159"/>
        <v>0</v>
      </c>
      <c r="O1551" s="2716"/>
      <c r="Q1551" s="2717"/>
      <c r="R1551" s="2717"/>
      <c r="S1551" s="2719"/>
      <c r="T1551" s="2717"/>
      <c r="U1551" s="2717"/>
      <c r="V1551" s="2717"/>
    </row>
    <row r="1552" spans="2:22" s="2720" customFormat="1" ht="14.1" customHeight="1" x14ac:dyDescent="0.2">
      <c r="B1552" s="2711"/>
      <c r="C1552" s="2524" t="s">
        <v>608</v>
      </c>
      <c r="D1552" s="2725" t="s">
        <v>288</v>
      </c>
      <c r="E1552" s="2726" t="s">
        <v>20</v>
      </c>
      <c r="F1552" s="2726"/>
      <c r="G1552" s="2727" t="s">
        <v>291</v>
      </c>
      <c r="H1552" s="2728">
        <v>0.1</v>
      </c>
      <c r="I1552" s="2729">
        <f>'Upah &amp; Bahan'!$I$38</f>
        <v>90000</v>
      </c>
      <c r="J1552" s="2729">
        <f>ROUND(H1552*I1552,2)</f>
        <v>9000</v>
      </c>
      <c r="K1552" s="2730"/>
      <c r="L1552" s="2731">
        <f t="shared" ref="L1552:L1553" si="160">VLOOKUP($E1552,$D$1744:$G$1761,2,0)</f>
        <v>1</v>
      </c>
      <c r="M1552" s="2731" t="str">
        <f t="shared" ref="M1552:M1553" si="161">VLOOKUP($E1552,$D$1744:$G$1761,3,0)</f>
        <v>WNI</v>
      </c>
      <c r="N1552" s="2729">
        <f t="shared" si="159"/>
        <v>9000</v>
      </c>
      <c r="O1552" s="2716"/>
      <c r="Q1552" s="2717"/>
      <c r="R1552" s="2717"/>
      <c r="S1552" s="2719"/>
      <c r="T1552" s="2717"/>
      <c r="U1552" s="2717"/>
      <c r="V1552" s="2717"/>
    </row>
    <row r="1553" spans="2:22" s="2720" customFormat="1" ht="14.1" customHeight="1" x14ac:dyDescent="0.2">
      <c r="B1553" s="2711"/>
      <c r="C1553" s="2528"/>
      <c r="D1553" s="2733"/>
      <c r="E1553" s="2726" t="s">
        <v>290</v>
      </c>
      <c r="F1553" s="2726"/>
      <c r="G1553" s="2727" t="s">
        <v>291</v>
      </c>
      <c r="H1553" s="2728">
        <v>0.01</v>
      </c>
      <c r="I1553" s="2729">
        <f>'Upah &amp; Bahan'!$I$31</f>
        <v>90000</v>
      </c>
      <c r="J1553" s="2729">
        <f>ROUND(H1553*I1553,2)</f>
        <v>900</v>
      </c>
      <c r="K1553" s="2734"/>
      <c r="L1553" s="2731">
        <f t="shared" si="160"/>
        <v>1</v>
      </c>
      <c r="M1553" s="2731" t="str">
        <f t="shared" si="161"/>
        <v>WNI</v>
      </c>
      <c r="N1553" s="2729">
        <f t="shared" si="159"/>
        <v>900</v>
      </c>
      <c r="O1553" s="2716"/>
      <c r="Q1553" s="2717"/>
      <c r="R1553" s="2717"/>
      <c r="S1553" s="2719"/>
      <c r="T1553" s="2717"/>
      <c r="U1553" s="2717"/>
      <c r="V1553" s="2717"/>
    </row>
    <row r="1554" spans="2:22" s="2720" customFormat="1" ht="14.1" customHeight="1" x14ac:dyDescent="0.2">
      <c r="B1554" s="2711"/>
      <c r="C1554" s="2537"/>
      <c r="D1554" s="2536"/>
      <c r="E1554" s="2736"/>
      <c r="F1554" s="2741"/>
      <c r="G1554" s="2742"/>
      <c r="H1554" s="2743"/>
      <c r="I1554" s="2842"/>
      <c r="J1554" s="2813"/>
      <c r="K1554" s="2732">
        <f>SUM(J1552:J1553)</f>
        <v>9900</v>
      </c>
      <c r="L1554" s="2731"/>
      <c r="M1554" s="2732"/>
      <c r="N1554" s="2729">
        <f t="shared" si="159"/>
        <v>0</v>
      </c>
      <c r="O1554" s="2716"/>
      <c r="Q1554" s="2717"/>
      <c r="R1554" s="2717"/>
      <c r="S1554" s="2719"/>
      <c r="T1554" s="2717"/>
      <c r="U1554" s="2717"/>
      <c r="V1554" s="2717"/>
    </row>
    <row r="1555" spans="2:22" s="2720" customFormat="1" ht="14.1" customHeight="1" x14ac:dyDescent="0.2">
      <c r="B1555" s="2711"/>
      <c r="C1555" s="2528" t="s">
        <v>609</v>
      </c>
      <c r="D1555" s="2725" t="s">
        <v>606</v>
      </c>
      <c r="E1555" s="2739"/>
      <c r="F1555" s="2739"/>
      <c r="G1555" s="2727"/>
      <c r="H1555" s="2740"/>
      <c r="I1555" s="2814"/>
      <c r="J1555" s="2729"/>
      <c r="K1555" s="2730"/>
      <c r="L1555" s="2731"/>
      <c r="M1555" s="2732"/>
      <c r="N1555" s="2729">
        <f t="shared" si="159"/>
        <v>0</v>
      </c>
      <c r="O1555" s="2716"/>
      <c r="Q1555" s="2717"/>
      <c r="R1555" s="2717"/>
      <c r="S1555" s="2719"/>
      <c r="T1555" s="2717"/>
      <c r="U1555" s="2717"/>
      <c r="V1555" s="2717"/>
    </row>
    <row r="1556" spans="2:22" s="2720" customFormat="1" ht="14.1" customHeight="1" x14ac:dyDescent="0.2">
      <c r="B1556" s="2711"/>
      <c r="C1556" s="2537"/>
      <c r="D1556" s="2536"/>
      <c r="E1556" s="2736"/>
      <c r="F1556" s="2741"/>
      <c r="G1556" s="2742"/>
      <c r="H1556" s="2743"/>
      <c r="I1556" s="2744"/>
      <c r="J1556" s="2813"/>
      <c r="K1556" s="2732">
        <f>SUM(J1555:J1555)</f>
        <v>0</v>
      </c>
      <c r="L1556" s="2731"/>
      <c r="M1556" s="2732"/>
      <c r="N1556" s="2729">
        <f t="shared" si="159"/>
        <v>0</v>
      </c>
      <c r="O1556" s="2716"/>
      <c r="Q1556" s="2717"/>
      <c r="R1556" s="2717"/>
      <c r="S1556" s="2719"/>
      <c r="T1556" s="2717"/>
      <c r="U1556" s="2717"/>
      <c r="V1556" s="2717"/>
    </row>
    <row r="1557" spans="2:22" s="2720" customFormat="1" ht="14.1" customHeight="1" x14ac:dyDescent="0.2">
      <c r="B1557" s="2711"/>
      <c r="C1557" s="2727" t="s">
        <v>610</v>
      </c>
      <c r="D1557" s="2738" t="s">
        <v>651</v>
      </c>
      <c r="E1557" s="2741"/>
      <c r="F1557" s="2741"/>
      <c r="G1557" s="2742"/>
      <c r="H1557" s="2743"/>
      <c r="I1557" s="2744"/>
      <c r="J1557" s="2745" t="s">
        <v>652</v>
      </c>
      <c r="K1557" s="2732">
        <f>K1551+K1554+K1556</f>
        <v>102510</v>
      </c>
      <c r="L1557" s="2746">
        <f>N1557/K1557</f>
        <v>0.46296458882060287</v>
      </c>
      <c r="M1557" s="2745"/>
      <c r="N1557" s="2747">
        <f>SUM(N1546:N1556)</f>
        <v>47458.5</v>
      </c>
      <c r="O1557" s="2716"/>
      <c r="Q1557" s="2717"/>
      <c r="R1557" s="2717"/>
      <c r="S1557" s="2719"/>
      <c r="T1557" s="2717"/>
      <c r="U1557" s="2717"/>
      <c r="V1557" s="2717"/>
    </row>
    <row r="1558" spans="2:22" s="2720" customFormat="1" ht="14.1" customHeight="1" x14ac:dyDescent="0.2">
      <c r="B1558" s="2711"/>
      <c r="C1558" s="2537" t="s">
        <v>611</v>
      </c>
      <c r="D1558" s="2738" t="s">
        <v>653</v>
      </c>
      <c r="E1558" s="2741"/>
      <c r="F1558" s="2748">
        <f>$F$42</f>
        <v>0.1</v>
      </c>
      <c r="G1558" s="2727" t="s">
        <v>425</v>
      </c>
      <c r="H1558" s="2748">
        <f>$H$42</f>
        <v>0.03</v>
      </c>
      <c r="I1558" s="2749" t="s">
        <v>424</v>
      </c>
      <c r="J1558" s="2732" t="s">
        <v>610</v>
      </c>
      <c r="K1558" s="2750">
        <f>ROUND((K1557*(F1558+H1558)),2)</f>
        <v>13326.3</v>
      </c>
      <c r="L1558" s="2732"/>
      <c r="M1558" s="2732"/>
      <c r="N1558" s="2732"/>
      <c r="O1558" s="2716"/>
      <c r="Q1558" s="2717"/>
      <c r="R1558" s="2717"/>
      <c r="S1558" s="2719"/>
      <c r="T1558" s="2717"/>
      <c r="U1558" s="2717"/>
      <c r="V1558" s="2717"/>
    </row>
    <row r="1559" spans="2:22" s="2720" customFormat="1" ht="14.1" customHeight="1" x14ac:dyDescent="0.2">
      <c r="B1559" s="2711"/>
      <c r="C1559" s="2880" t="s">
        <v>654</v>
      </c>
      <c r="D1559" s="2752" t="s">
        <v>301</v>
      </c>
      <c r="E1559" s="2815"/>
      <c r="F1559" s="2815"/>
      <c r="G1559" s="2815"/>
      <c r="H1559" s="2816"/>
      <c r="I1559" s="2815"/>
      <c r="J1559" s="2755" t="s">
        <v>668</v>
      </c>
      <c r="K1559" s="2756">
        <f>SUM(K1557:K1558)</f>
        <v>115836.3</v>
      </c>
      <c r="L1559" s="2746"/>
      <c r="M1559" s="2755"/>
      <c r="N1559" s="2757"/>
      <c r="O1559" s="2716"/>
      <c r="Q1559" s="2717"/>
      <c r="R1559" s="2717"/>
      <c r="S1559" s="2719"/>
      <c r="T1559" s="2717"/>
      <c r="U1559" s="2717"/>
      <c r="V1559" s="2717"/>
    </row>
    <row r="1560" spans="2:22" x14ac:dyDescent="0.25">
      <c r="Q1560" s="2717"/>
      <c r="R1560" s="2717"/>
      <c r="S1560" s="2719"/>
      <c r="T1560" s="2717"/>
      <c r="U1560" s="2717"/>
      <c r="V1560" s="2717"/>
    </row>
    <row r="1561" spans="2:22" s="2922" customFormat="1" ht="14.1" customHeight="1" x14ac:dyDescent="0.2">
      <c r="B1561" s="2711">
        <f>B1544+1</f>
        <v>79</v>
      </c>
      <c r="C1561" s="2625"/>
      <c r="D1561" s="2993" t="s">
        <v>1878</v>
      </c>
      <c r="E1561" s="2918"/>
      <c r="F1561" s="2918"/>
      <c r="G1561" s="2918"/>
      <c r="H1561" s="2625"/>
      <c r="I1561" s="2918"/>
      <c r="J1561" s="2918"/>
      <c r="K1561" s="2919" t="s">
        <v>720</v>
      </c>
      <c r="L1561" s="2919"/>
      <c r="M1561" s="2919"/>
      <c r="N1561" s="2919"/>
      <c r="O1561" s="2920" t="str">
        <f>D1562</f>
        <v>bh</v>
      </c>
      <c r="P1561" s="2921">
        <f>K1579</f>
        <v>82122.75</v>
      </c>
      <c r="Q1561" s="2718">
        <f>L1577</f>
        <v>0.48653250773993806</v>
      </c>
      <c r="R1561" s="2717"/>
      <c r="S1561" s="2719">
        <f>N1577</f>
        <v>35358.75</v>
      </c>
      <c r="T1561" s="2515">
        <f>U1561+S1561</f>
        <v>39955.387499999997</v>
      </c>
      <c r="U1561" s="2719">
        <f>S1561*V1561</f>
        <v>4596.6374999999998</v>
      </c>
      <c r="V1561" s="2718">
        <f>$F$42+$H$42</f>
        <v>0.13</v>
      </c>
    </row>
    <row r="1562" spans="2:22" s="2922" customFormat="1" ht="14.1" customHeight="1" x14ac:dyDescent="0.2">
      <c r="B1562" s="2625"/>
      <c r="C1562" s="2625"/>
      <c r="D1562" s="2918" t="s">
        <v>268</v>
      </c>
      <c r="E1562" s="2918"/>
      <c r="F1562" s="2918"/>
      <c r="G1562" s="2918"/>
      <c r="H1562" s="2625"/>
      <c r="I1562" s="2918"/>
      <c r="J1562" s="2918"/>
      <c r="K1562" s="2918"/>
      <c r="L1562" s="2918"/>
      <c r="M1562" s="2918"/>
      <c r="N1562" s="2918"/>
      <c r="O1562" s="2920"/>
      <c r="Q1562" s="2717"/>
      <c r="R1562" s="2717"/>
      <c r="S1562" s="2719"/>
      <c r="T1562" s="2717"/>
      <c r="U1562" s="2717"/>
      <c r="V1562" s="2717"/>
    </row>
    <row r="1563" spans="2:22" s="2922" customFormat="1" ht="14.1" customHeight="1" x14ac:dyDescent="0.2">
      <c r="B1563" s="2625"/>
      <c r="C1563" s="2618"/>
      <c r="D1563" s="3458" t="s">
        <v>280</v>
      </c>
      <c r="E1563" s="3459"/>
      <c r="F1563" s="2923"/>
      <c r="G1563" s="3464" t="s">
        <v>281</v>
      </c>
      <c r="H1563" s="3464" t="s">
        <v>282</v>
      </c>
      <c r="I1563" s="2618" t="s">
        <v>283</v>
      </c>
      <c r="J1563" s="2618" t="s">
        <v>284</v>
      </c>
      <c r="K1563" s="2618" t="s">
        <v>340</v>
      </c>
      <c r="L1563" s="2524" t="s">
        <v>2008</v>
      </c>
      <c r="M1563" s="2524" t="s">
        <v>2009</v>
      </c>
      <c r="N1563" s="2524" t="s">
        <v>284</v>
      </c>
      <c r="O1563" s="2920"/>
      <c r="Q1563" s="2717"/>
      <c r="R1563" s="2717"/>
      <c r="S1563" s="2719"/>
      <c r="T1563" s="2717"/>
      <c r="U1563" s="2717"/>
      <c r="V1563" s="2717"/>
    </row>
    <row r="1564" spans="2:22" s="2922" customFormat="1" ht="14.1" customHeight="1" x14ac:dyDescent="0.2">
      <c r="B1564" s="2625"/>
      <c r="C1564" s="2924" t="s">
        <v>669</v>
      </c>
      <c r="D1564" s="3460"/>
      <c r="E1564" s="3461"/>
      <c r="F1564" s="2925"/>
      <c r="G1564" s="3465"/>
      <c r="H1564" s="3465"/>
      <c r="I1564" s="2924" t="s">
        <v>285</v>
      </c>
      <c r="J1564" s="2924" t="s">
        <v>286</v>
      </c>
      <c r="K1564" s="2924" t="s">
        <v>286</v>
      </c>
      <c r="L1564" s="2528" t="s">
        <v>2011</v>
      </c>
      <c r="M1564" s="2528"/>
      <c r="N1564" s="2528" t="s">
        <v>2013</v>
      </c>
      <c r="O1564" s="2920"/>
      <c r="Q1564" s="2717"/>
      <c r="R1564" s="2717"/>
      <c r="S1564" s="2719"/>
      <c r="T1564" s="2717"/>
      <c r="U1564" s="2717"/>
      <c r="V1564" s="2717"/>
    </row>
    <row r="1565" spans="2:22" s="2922" customFormat="1" ht="14.1" customHeight="1" x14ac:dyDescent="0.2">
      <c r="B1565" s="2625"/>
      <c r="C1565" s="2926"/>
      <c r="D1565" s="3462"/>
      <c r="E1565" s="3463"/>
      <c r="F1565" s="2927"/>
      <c r="G1565" s="3466"/>
      <c r="H1565" s="3466"/>
      <c r="I1565" s="2926" t="s">
        <v>286</v>
      </c>
      <c r="J1565" s="2928"/>
      <c r="K1565" s="2928"/>
      <c r="L1565" s="2536"/>
      <c r="M1565" s="2536"/>
      <c r="N1565" s="2537" t="s">
        <v>286</v>
      </c>
      <c r="O1565" s="2920"/>
      <c r="Q1565" s="2717"/>
      <c r="R1565" s="2717"/>
      <c r="S1565" s="2719"/>
      <c r="T1565" s="2717"/>
      <c r="U1565" s="2717"/>
      <c r="V1565" s="2717"/>
    </row>
    <row r="1566" spans="2:22" s="2922" customFormat="1" ht="14.1" customHeight="1" x14ac:dyDescent="0.2">
      <c r="B1566" s="2625"/>
      <c r="C1566" s="2618" t="s">
        <v>607</v>
      </c>
      <c r="D1566" s="2938" t="s">
        <v>287</v>
      </c>
      <c r="E1566" s="2994" t="s">
        <v>1982</v>
      </c>
      <c r="F1566" s="2994"/>
      <c r="G1566" s="2633" t="s">
        <v>268</v>
      </c>
      <c r="H1566" s="2995">
        <v>1</v>
      </c>
      <c r="I1566" s="2932">
        <f>'Upah &amp; Bahan'!I146</f>
        <v>46500</v>
      </c>
      <c r="J1566" s="2932">
        <f>ROUND(H1566*I1566,2)</f>
        <v>46500</v>
      </c>
      <c r="K1566" s="2933"/>
      <c r="L1566" s="2731">
        <v>0.28499999999999998</v>
      </c>
      <c r="M1566" s="2732" t="s">
        <v>2029</v>
      </c>
      <c r="N1566" s="2729">
        <f t="shared" ref="N1566:N1576" si="162">L1566*J1566</f>
        <v>13252.499999999998</v>
      </c>
      <c r="O1566" s="2920"/>
      <c r="Q1566" s="2717"/>
      <c r="R1566" s="2717"/>
      <c r="S1566" s="2719"/>
      <c r="T1566" s="2717"/>
      <c r="U1566" s="2717"/>
      <c r="V1566" s="2717"/>
    </row>
    <row r="1567" spans="2:22" s="2922" customFormat="1" ht="14.1" customHeight="1" x14ac:dyDescent="0.2">
      <c r="B1567" s="2625"/>
      <c r="C1567" s="2924"/>
      <c r="D1567" s="2929"/>
      <c r="E1567" s="2994" t="s">
        <v>1975</v>
      </c>
      <c r="F1567" s="2994"/>
      <c r="G1567" s="2633" t="s">
        <v>1976</v>
      </c>
      <c r="H1567" s="2995">
        <v>1</v>
      </c>
      <c r="I1567" s="2932">
        <f>J1566*35%</f>
        <v>16274.999999999998</v>
      </c>
      <c r="J1567" s="2932">
        <f>ROUND(H1567*I1567,2)</f>
        <v>16275</v>
      </c>
      <c r="K1567" s="2933"/>
      <c r="L1567" s="2731">
        <v>0.75</v>
      </c>
      <c r="M1567" s="2732" t="s">
        <v>2030</v>
      </c>
      <c r="N1567" s="2729">
        <f t="shared" si="162"/>
        <v>12206.25</v>
      </c>
      <c r="O1567" s="2920"/>
      <c r="Q1567" s="2717"/>
      <c r="R1567" s="2717"/>
      <c r="S1567" s="2719"/>
      <c r="T1567" s="2717"/>
      <c r="U1567" s="2717"/>
      <c r="V1567" s="2717"/>
    </row>
    <row r="1568" spans="2:22" s="2922" customFormat="1" ht="14.1" customHeight="1" x14ac:dyDescent="0.2">
      <c r="B1568" s="2625"/>
      <c r="C1568" s="2924"/>
      <c r="D1568" s="2929"/>
      <c r="E1568" s="2996"/>
      <c r="F1568" s="2997"/>
      <c r="G1568" s="2940"/>
      <c r="H1568" s="2998"/>
      <c r="I1568" s="2973"/>
      <c r="J1568" s="2937"/>
      <c r="K1568" s="2932">
        <f>SUM(J1566:J1567)</f>
        <v>62775</v>
      </c>
      <c r="L1568" s="2731"/>
      <c r="M1568" s="2732"/>
      <c r="N1568" s="2729">
        <f t="shared" si="162"/>
        <v>0</v>
      </c>
      <c r="O1568" s="2920"/>
      <c r="Q1568" s="2717"/>
      <c r="R1568" s="2717"/>
      <c r="S1568" s="2719"/>
      <c r="T1568" s="2717"/>
      <c r="U1568" s="2717"/>
      <c r="V1568" s="2717"/>
    </row>
    <row r="1569" spans="2:22" s="2922" customFormat="1" ht="14.1" customHeight="1" x14ac:dyDescent="0.2">
      <c r="B1569" s="2625"/>
      <c r="C1569" s="2618" t="s">
        <v>608</v>
      </c>
      <c r="D1569" s="2938" t="s">
        <v>288</v>
      </c>
      <c r="E1569" s="2726" t="s">
        <v>20</v>
      </c>
      <c r="F1569" s="2994"/>
      <c r="G1569" s="2633" t="s">
        <v>291</v>
      </c>
      <c r="H1569" s="2995">
        <v>0.1</v>
      </c>
      <c r="I1569" s="2729">
        <f>'Upah &amp; Bahan'!$I$38</f>
        <v>90000</v>
      </c>
      <c r="J1569" s="2932">
        <f>ROUND(H1569*I1569,2)</f>
        <v>9000</v>
      </c>
      <c r="K1569" s="2933"/>
      <c r="L1569" s="2731">
        <f t="shared" ref="L1569:L1570" si="163">VLOOKUP($E1569,$D$1744:$G$1761,2,0)</f>
        <v>1</v>
      </c>
      <c r="M1569" s="2731" t="str">
        <f t="shared" ref="M1569:M1570" si="164">VLOOKUP($E1569,$D$1744:$G$1761,3,0)</f>
        <v>WNI</v>
      </c>
      <c r="N1569" s="2729">
        <f t="shared" si="162"/>
        <v>9000</v>
      </c>
      <c r="O1569" s="2920"/>
      <c r="Q1569" s="2717"/>
      <c r="R1569" s="2717"/>
      <c r="S1569" s="2719"/>
      <c r="T1569" s="2717"/>
      <c r="U1569" s="2717"/>
      <c r="V1569" s="2717"/>
    </row>
    <row r="1570" spans="2:22" s="2922" customFormat="1" ht="14.1" customHeight="1" x14ac:dyDescent="0.2">
      <c r="B1570" s="2625"/>
      <c r="C1570" s="2924"/>
      <c r="D1570" s="2929"/>
      <c r="E1570" s="2726" t="s">
        <v>290</v>
      </c>
      <c r="F1570" s="2994"/>
      <c r="G1570" s="2633" t="s">
        <v>291</v>
      </c>
      <c r="H1570" s="2995">
        <v>0.01</v>
      </c>
      <c r="I1570" s="2729">
        <f>'Upah &amp; Bahan'!$I$31</f>
        <v>90000</v>
      </c>
      <c r="J1570" s="2932">
        <f>ROUND(H1570*I1570,2)</f>
        <v>900</v>
      </c>
      <c r="K1570" s="2934"/>
      <c r="L1570" s="2731">
        <f t="shared" si="163"/>
        <v>1</v>
      </c>
      <c r="M1570" s="2731" t="str">
        <f t="shared" si="164"/>
        <v>WNI</v>
      </c>
      <c r="N1570" s="2729">
        <f t="shared" si="162"/>
        <v>900</v>
      </c>
      <c r="O1570" s="2920"/>
      <c r="Q1570" s="2717"/>
      <c r="R1570" s="2717"/>
      <c r="S1570" s="2719"/>
      <c r="T1570" s="2717"/>
      <c r="U1570" s="2717"/>
      <c r="V1570" s="2717"/>
    </row>
    <row r="1571" spans="2:22" s="2922" customFormat="1" ht="14.1" customHeight="1" x14ac:dyDescent="0.2">
      <c r="B1571" s="2625"/>
      <c r="C1571" s="2926"/>
      <c r="D1571" s="2928"/>
      <c r="E1571" s="2939"/>
      <c r="F1571" s="2935"/>
      <c r="G1571" s="2940"/>
      <c r="H1571" s="2941"/>
      <c r="I1571" s="2973"/>
      <c r="J1571" s="2937"/>
      <c r="K1571" s="2942">
        <f>SUM(J1569:J1570)</f>
        <v>9900</v>
      </c>
      <c r="L1571" s="2731"/>
      <c r="M1571" s="2732"/>
      <c r="N1571" s="2729">
        <f t="shared" si="162"/>
        <v>0</v>
      </c>
      <c r="O1571" s="2920"/>
      <c r="Q1571" s="2717"/>
      <c r="R1571" s="2717"/>
      <c r="S1571" s="2719"/>
      <c r="T1571" s="2717"/>
      <c r="U1571" s="2717"/>
      <c r="V1571" s="2717"/>
    </row>
    <row r="1572" spans="2:22" s="2922" customFormat="1" ht="14.1" customHeight="1" x14ac:dyDescent="0.2">
      <c r="B1572" s="2625"/>
      <c r="C1572" s="2924" t="s">
        <v>609</v>
      </c>
      <c r="D1572" s="2938" t="s">
        <v>606</v>
      </c>
      <c r="E1572" s="2930"/>
      <c r="F1572" s="2930"/>
      <c r="G1572" s="2633"/>
      <c r="H1572" s="2943"/>
      <c r="I1572" s="2944"/>
      <c r="J1572" s="2932"/>
      <c r="K1572" s="2933"/>
      <c r="L1572" s="2731"/>
      <c r="M1572" s="2732"/>
      <c r="N1572" s="2729">
        <f t="shared" si="162"/>
        <v>0</v>
      </c>
      <c r="O1572" s="2920"/>
      <c r="Q1572" s="2717"/>
      <c r="R1572" s="2717"/>
      <c r="S1572" s="2719"/>
      <c r="T1572" s="2717"/>
      <c r="U1572" s="2717"/>
      <c r="V1572" s="2717"/>
    </row>
    <row r="1573" spans="2:22" s="2922" customFormat="1" ht="14.1" customHeight="1" x14ac:dyDescent="0.2">
      <c r="B1573" s="2625"/>
      <c r="C1573" s="2924"/>
      <c r="D1573" s="2929"/>
      <c r="E1573" s="2939"/>
      <c r="F1573" s="2935"/>
      <c r="G1573" s="2940"/>
      <c r="H1573" s="2941"/>
      <c r="I1573" s="2945"/>
      <c r="J1573" s="2937"/>
      <c r="K1573" s="2933"/>
      <c r="L1573" s="2731"/>
      <c r="M1573" s="2732"/>
      <c r="N1573" s="2729">
        <f t="shared" si="162"/>
        <v>0</v>
      </c>
      <c r="O1573" s="2920"/>
      <c r="Q1573" s="2717"/>
      <c r="R1573" s="2717"/>
      <c r="S1573" s="2719"/>
      <c r="T1573" s="2717"/>
      <c r="U1573" s="2717"/>
      <c r="V1573" s="2717"/>
    </row>
    <row r="1574" spans="2:22" s="2922" customFormat="1" ht="14.1" customHeight="1" x14ac:dyDescent="0.2">
      <c r="B1574" s="2625"/>
      <c r="C1574" s="2924"/>
      <c r="D1574" s="2929"/>
      <c r="E1574" s="2939"/>
      <c r="F1574" s="2935"/>
      <c r="G1574" s="2940"/>
      <c r="H1574" s="2941"/>
      <c r="I1574" s="2945"/>
      <c r="J1574" s="2937"/>
      <c r="K1574" s="2933"/>
      <c r="L1574" s="2731"/>
      <c r="M1574" s="2732"/>
      <c r="N1574" s="2729">
        <f t="shared" si="162"/>
        <v>0</v>
      </c>
      <c r="O1574" s="2920"/>
      <c r="Q1574" s="2717"/>
      <c r="R1574" s="2717"/>
      <c r="S1574" s="2719"/>
      <c r="T1574" s="2717"/>
      <c r="U1574" s="2717"/>
      <c r="V1574" s="2717"/>
    </row>
    <row r="1575" spans="2:22" s="2922" customFormat="1" ht="14.1" customHeight="1" x14ac:dyDescent="0.2">
      <c r="B1575" s="2625"/>
      <c r="C1575" s="2924"/>
      <c r="D1575" s="2929"/>
      <c r="E1575" s="2939"/>
      <c r="F1575" s="2935"/>
      <c r="G1575" s="2940"/>
      <c r="H1575" s="2941"/>
      <c r="I1575" s="2945"/>
      <c r="J1575" s="2937"/>
      <c r="K1575" s="2933"/>
      <c r="L1575" s="2731"/>
      <c r="M1575" s="2732"/>
      <c r="N1575" s="2729">
        <f t="shared" si="162"/>
        <v>0</v>
      </c>
      <c r="O1575" s="2920"/>
      <c r="Q1575" s="2717"/>
      <c r="R1575" s="2717"/>
      <c r="S1575" s="2719"/>
      <c r="T1575" s="2717"/>
      <c r="U1575" s="2717"/>
      <c r="V1575" s="2717"/>
    </row>
    <row r="1576" spans="2:22" s="2922" customFormat="1" ht="14.1" customHeight="1" x14ac:dyDescent="0.2">
      <c r="B1576" s="2625"/>
      <c r="C1576" s="2926"/>
      <c r="D1576" s="2928"/>
      <c r="E1576" s="2939"/>
      <c r="F1576" s="2935"/>
      <c r="G1576" s="2940"/>
      <c r="H1576" s="2941"/>
      <c r="I1576" s="2945"/>
      <c r="J1576" s="2937"/>
      <c r="K1576" s="2942">
        <f>SUM(J1572:J1572)</f>
        <v>0</v>
      </c>
      <c r="L1576" s="2731"/>
      <c r="M1576" s="2732"/>
      <c r="N1576" s="2729">
        <f t="shared" si="162"/>
        <v>0</v>
      </c>
      <c r="O1576" s="2920"/>
      <c r="Q1576" s="2717"/>
      <c r="R1576" s="2717"/>
      <c r="S1576" s="2719"/>
      <c r="T1576" s="2717"/>
      <c r="U1576" s="2717"/>
      <c r="V1576" s="2717"/>
    </row>
    <row r="1577" spans="2:22" s="2922" customFormat="1" ht="14.1" customHeight="1" x14ac:dyDescent="0.2">
      <c r="B1577" s="2625"/>
      <c r="C1577" s="2633" t="s">
        <v>610</v>
      </c>
      <c r="D1577" s="2946" t="s">
        <v>651</v>
      </c>
      <c r="E1577" s="2935"/>
      <c r="F1577" s="2935"/>
      <c r="G1577" s="2940"/>
      <c r="H1577" s="2941"/>
      <c r="I1577" s="2945"/>
      <c r="J1577" s="2947" t="s">
        <v>652</v>
      </c>
      <c r="K1577" s="2942">
        <f>K1568+K1571+K1576</f>
        <v>72675</v>
      </c>
      <c r="L1577" s="2746">
        <f>N1577/K1577</f>
        <v>0.48653250773993806</v>
      </c>
      <c r="M1577" s="2745"/>
      <c r="N1577" s="2747">
        <f>SUM(N1566:N1576)</f>
        <v>35358.75</v>
      </c>
      <c r="O1577" s="2920"/>
      <c r="Q1577" s="2717"/>
      <c r="R1577" s="2717"/>
      <c r="S1577" s="2719"/>
      <c r="T1577" s="2717"/>
      <c r="U1577" s="2717"/>
      <c r="V1577" s="2717"/>
    </row>
    <row r="1578" spans="2:22" s="2922" customFormat="1" ht="14.1" customHeight="1" x14ac:dyDescent="0.2">
      <c r="B1578" s="2625"/>
      <c r="C1578" s="2926" t="s">
        <v>611</v>
      </c>
      <c r="D1578" s="2946" t="s">
        <v>653</v>
      </c>
      <c r="E1578" s="2935"/>
      <c r="F1578" s="2748">
        <f>$F$42</f>
        <v>0.1</v>
      </c>
      <c r="G1578" s="2727" t="s">
        <v>425</v>
      </c>
      <c r="H1578" s="2748">
        <f>$H$42</f>
        <v>0.03</v>
      </c>
      <c r="I1578" s="2948" t="s">
        <v>424</v>
      </c>
      <c r="J1578" s="2942" t="s">
        <v>610</v>
      </c>
      <c r="K1578" s="2949">
        <f>ROUND((K1577*(F1578+H1578)),2)</f>
        <v>9447.75</v>
      </c>
      <c r="L1578" s="2732"/>
      <c r="M1578" s="2732"/>
      <c r="N1578" s="2732"/>
      <c r="O1578" s="2920"/>
      <c r="Q1578" s="2717"/>
      <c r="R1578" s="2717"/>
      <c r="S1578" s="2719"/>
      <c r="T1578" s="2717"/>
      <c r="U1578" s="2717"/>
      <c r="V1578" s="2717"/>
    </row>
    <row r="1579" spans="2:22" s="2922" customFormat="1" ht="14.1" customHeight="1" x14ac:dyDescent="0.2">
      <c r="B1579" s="2625"/>
      <c r="C1579" s="2950" t="s">
        <v>654</v>
      </c>
      <c r="D1579" s="2951" t="s">
        <v>301</v>
      </c>
      <c r="E1579" s="2952"/>
      <c r="F1579" s="2952"/>
      <c r="G1579" s="2952"/>
      <c r="H1579" s="2953"/>
      <c r="I1579" s="2952"/>
      <c r="J1579" s="2954" t="s">
        <v>668</v>
      </c>
      <c r="K1579" s="2955">
        <f>SUM(K1577:K1578)</f>
        <v>82122.75</v>
      </c>
      <c r="L1579" s="2746"/>
      <c r="M1579" s="2755"/>
      <c r="N1579" s="2757"/>
      <c r="O1579" s="2920"/>
      <c r="Q1579" s="2717"/>
      <c r="R1579" s="2717"/>
      <c r="S1579" s="2719"/>
      <c r="T1579" s="2717"/>
      <c r="U1579" s="2717"/>
      <c r="V1579" s="2717"/>
    </row>
    <row r="1580" spans="2:22" x14ac:dyDescent="0.25">
      <c r="Q1580" s="2717"/>
      <c r="R1580" s="2717"/>
      <c r="S1580" s="2719"/>
      <c r="T1580" s="2717"/>
      <c r="U1580" s="2717"/>
      <c r="V1580" s="2717"/>
    </row>
    <row r="1581" spans="2:22" s="2922" customFormat="1" ht="14.1" customHeight="1" x14ac:dyDescent="0.2">
      <c r="B1581" s="2711">
        <f>B1561+1</f>
        <v>80</v>
      </c>
      <c r="C1581" s="2625"/>
      <c r="D1581" s="2993" t="s">
        <v>1879</v>
      </c>
      <c r="E1581" s="2918"/>
      <c r="F1581" s="2918"/>
      <c r="G1581" s="2918"/>
      <c r="H1581" s="2625"/>
      <c r="I1581" s="2918"/>
      <c r="J1581" s="2918"/>
      <c r="K1581" s="2919" t="s">
        <v>720</v>
      </c>
      <c r="L1581" s="2919"/>
      <c r="M1581" s="2919"/>
      <c r="N1581" s="2919"/>
      <c r="O1581" s="2920" t="str">
        <f>D1582</f>
        <v>bh</v>
      </c>
      <c r="P1581" s="2921">
        <f>K1599</f>
        <v>136278</v>
      </c>
      <c r="Q1581" s="2718">
        <f>L1597</f>
        <v>0.45435323383084575</v>
      </c>
      <c r="R1581" s="2717"/>
      <c r="S1581" s="2719">
        <f>N1597</f>
        <v>54795</v>
      </c>
      <c r="T1581" s="2515">
        <f>U1581+S1581</f>
        <v>61918.35</v>
      </c>
      <c r="U1581" s="2719">
        <f>S1581*V1581</f>
        <v>7123.35</v>
      </c>
      <c r="V1581" s="2718">
        <f>$F$42+$H$42</f>
        <v>0.13</v>
      </c>
    </row>
    <row r="1582" spans="2:22" s="2922" customFormat="1" ht="14.1" customHeight="1" x14ac:dyDescent="0.2">
      <c r="B1582" s="2625"/>
      <c r="C1582" s="2625"/>
      <c r="D1582" s="2918" t="s">
        <v>268</v>
      </c>
      <c r="E1582" s="2918"/>
      <c r="F1582" s="2918"/>
      <c r="G1582" s="2918"/>
      <c r="H1582" s="2625"/>
      <c r="I1582" s="2918"/>
      <c r="J1582" s="2918"/>
      <c r="K1582" s="2918"/>
      <c r="L1582" s="2918"/>
      <c r="M1582" s="2918"/>
      <c r="N1582" s="2918"/>
      <c r="O1582" s="2920"/>
      <c r="Q1582" s="2717"/>
      <c r="R1582" s="2717"/>
      <c r="S1582" s="2719"/>
      <c r="T1582" s="2717"/>
      <c r="U1582" s="2717"/>
      <c r="V1582" s="2717"/>
    </row>
    <row r="1583" spans="2:22" s="2922" customFormat="1" ht="14.1" customHeight="1" x14ac:dyDescent="0.2">
      <c r="B1583" s="2625"/>
      <c r="C1583" s="2618"/>
      <c r="D1583" s="3458" t="s">
        <v>280</v>
      </c>
      <c r="E1583" s="3459"/>
      <c r="F1583" s="2923"/>
      <c r="G1583" s="3464" t="s">
        <v>281</v>
      </c>
      <c r="H1583" s="3464" t="s">
        <v>282</v>
      </c>
      <c r="I1583" s="2618" t="s">
        <v>283</v>
      </c>
      <c r="J1583" s="2618" t="s">
        <v>284</v>
      </c>
      <c r="K1583" s="2618" t="s">
        <v>340</v>
      </c>
      <c r="L1583" s="2524" t="s">
        <v>2008</v>
      </c>
      <c r="M1583" s="2524" t="s">
        <v>2009</v>
      </c>
      <c r="N1583" s="2524" t="s">
        <v>284</v>
      </c>
      <c r="O1583" s="2920"/>
      <c r="Q1583" s="2717"/>
      <c r="R1583" s="2717"/>
      <c r="S1583" s="2719"/>
      <c r="T1583" s="2717"/>
      <c r="U1583" s="2717"/>
      <c r="V1583" s="2717"/>
    </row>
    <row r="1584" spans="2:22" s="2922" customFormat="1" ht="14.1" customHeight="1" x14ac:dyDescent="0.2">
      <c r="B1584" s="2625"/>
      <c r="C1584" s="2924" t="s">
        <v>669</v>
      </c>
      <c r="D1584" s="3460"/>
      <c r="E1584" s="3461"/>
      <c r="F1584" s="2925"/>
      <c r="G1584" s="3465"/>
      <c r="H1584" s="3465"/>
      <c r="I1584" s="2924" t="s">
        <v>285</v>
      </c>
      <c r="J1584" s="2924" t="s">
        <v>286</v>
      </c>
      <c r="K1584" s="2924" t="s">
        <v>286</v>
      </c>
      <c r="L1584" s="2528" t="s">
        <v>2011</v>
      </c>
      <c r="M1584" s="2528"/>
      <c r="N1584" s="2528" t="s">
        <v>2013</v>
      </c>
      <c r="O1584" s="2920"/>
      <c r="Q1584" s="2717"/>
      <c r="R1584" s="2717"/>
      <c r="S1584" s="2719"/>
      <c r="T1584" s="2717"/>
      <c r="U1584" s="2717"/>
      <c r="V1584" s="2717"/>
    </row>
    <row r="1585" spans="2:22" s="2922" customFormat="1" ht="14.1" customHeight="1" x14ac:dyDescent="0.2">
      <c r="B1585" s="2625"/>
      <c r="C1585" s="2926"/>
      <c r="D1585" s="3462"/>
      <c r="E1585" s="3463"/>
      <c r="F1585" s="2927"/>
      <c r="G1585" s="3466"/>
      <c r="H1585" s="3466"/>
      <c r="I1585" s="2926" t="s">
        <v>286</v>
      </c>
      <c r="J1585" s="2928"/>
      <c r="K1585" s="2928"/>
      <c r="L1585" s="2536"/>
      <c r="M1585" s="2536"/>
      <c r="N1585" s="2537" t="s">
        <v>286</v>
      </c>
      <c r="O1585" s="2920"/>
      <c r="Q1585" s="2717"/>
      <c r="R1585" s="2717"/>
      <c r="S1585" s="2719"/>
      <c r="T1585" s="2717"/>
      <c r="U1585" s="2717"/>
      <c r="V1585" s="2717"/>
    </row>
    <row r="1586" spans="2:22" s="2922" customFormat="1" ht="14.1" customHeight="1" x14ac:dyDescent="0.2">
      <c r="B1586" s="2625"/>
      <c r="C1586" s="2618" t="s">
        <v>607</v>
      </c>
      <c r="D1586" s="2938" t="s">
        <v>287</v>
      </c>
      <c r="E1586" s="2994" t="s">
        <v>1983</v>
      </c>
      <c r="F1586" s="2994"/>
      <c r="G1586" s="2633" t="s">
        <v>268</v>
      </c>
      <c r="H1586" s="2995">
        <v>1</v>
      </c>
      <c r="I1586" s="2932">
        <f>'Upah &amp; Bahan'!I147</f>
        <v>82000</v>
      </c>
      <c r="J1586" s="2932">
        <f>ROUND(H1586*I1586,2)</f>
        <v>82000</v>
      </c>
      <c r="K1586" s="2933"/>
      <c r="L1586" s="2731">
        <v>0.28499999999999998</v>
      </c>
      <c r="M1586" s="2732" t="s">
        <v>2029</v>
      </c>
      <c r="N1586" s="2729">
        <f t="shared" ref="N1586:N1596" si="165">L1586*J1586</f>
        <v>23369.999999999996</v>
      </c>
      <c r="O1586" s="2920"/>
      <c r="Q1586" s="2717"/>
      <c r="R1586" s="2717"/>
      <c r="S1586" s="2719"/>
      <c r="T1586" s="2717"/>
      <c r="U1586" s="2717"/>
      <c r="V1586" s="2717"/>
    </row>
    <row r="1587" spans="2:22" s="2922" customFormat="1" ht="14.1" customHeight="1" x14ac:dyDescent="0.2">
      <c r="B1587" s="2625"/>
      <c r="C1587" s="2924"/>
      <c r="D1587" s="2929"/>
      <c r="E1587" s="2994" t="s">
        <v>1975</v>
      </c>
      <c r="F1587" s="2994"/>
      <c r="G1587" s="2633" t="s">
        <v>1976</v>
      </c>
      <c r="H1587" s="2995">
        <v>1</v>
      </c>
      <c r="I1587" s="2932">
        <f>J1586*35%</f>
        <v>28699.999999999996</v>
      </c>
      <c r="J1587" s="2932">
        <f>ROUND(H1587*I1587,2)</f>
        <v>28700</v>
      </c>
      <c r="K1587" s="2933"/>
      <c r="L1587" s="2731">
        <v>0.75</v>
      </c>
      <c r="M1587" s="2732" t="s">
        <v>2030</v>
      </c>
      <c r="N1587" s="2729">
        <f t="shared" si="165"/>
        <v>21525</v>
      </c>
      <c r="O1587" s="2920"/>
      <c r="Q1587" s="2717"/>
      <c r="R1587" s="2717"/>
      <c r="S1587" s="2719"/>
      <c r="T1587" s="2717"/>
      <c r="U1587" s="2717"/>
      <c r="V1587" s="2717"/>
    </row>
    <row r="1588" spans="2:22" s="2922" customFormat="1" ht="14.1" customHeight="1" x14ac:dyDescent="0.2">
      <c r="B1588" s="2625"/>
      <c r="C1588" s="2924"/>
      <c r="D1588" s="2929"/>
      <c r="E1588" s="2996"/>
      <c r="F1588" s="2997"/>
      <c r="G1588" s="2940"/>
      <c r="H1588" s="2998"/>
      <c r="I1588" s="2973"/>
      <c r="J1588" s="2937"/>
      <c r="K1588" s="2932">
        <f>SUM(J1586:J1587)</f>
        <v>110700</v>
      </c>
      <c r="L1588" s="2731"/>
      <c r="M1588" s="2732"/>
      <c r="N1588" s="2729">
        <f t="shared" si="165"/>
        <v>0</v>
      </c>
      <c r="O1588" s="2920"/>
      <c r="Q1588" s="2717"/>
      <c r="R1588" s="2717"/>
      <c r="S1588" s="2719"/>
      <c r="T1588" s="2717"/>
      <c r="U1588" s="2717"/>
      <c r="V1588" s="2717"/>
    </row>
    <row r="1589" spans="2:22" s="2922" customFormat="1" ht="14.1" customHeight="1" x14ac:dyDescent="0.2">
      <c r="B1589" s="2625"/>
      <c r="C1589" s="2618" t="s">
        <v>608</v>
      </c>
      <c r="D1589" s="2938" t="s">
        <v>288</v>
      </c>
      <c r="E1589" s="2994" t="str">
        <f>E1569</f>
        <v>Tukang listrik</v>
      </c>
      <c r="F1589" s="2994"/>
      <c r="G1589" s="2633" t="s">
        <v>291</v>
      </c>
      <c r="H1589" s="2995">
        <v>0.1</v>
      </c>
      <c r="I1589" s="2729">
        <f>'Upah &amp; Bahan'!$I$38</f>
        <v>90000</v>
      </c>
      <c r="J1589" s="2932">
        <f>ROUND(H1589*I1589,2)</f>
        <v>9000</v>
      </c>
      <c r="K1589" s="2933"/>
      <c r="L1589" s="2731">
        <f t="shared" ref="L1589:L1590" si="166">VLOOKUP($E1589,$D$1744:$G$1761,2,0)</f>
        <v>1</v>
      </c>
      <c r="M1589" s="2731" t="str">
        <f t="shared" ref="M1589:M1590" si="167">VLOOKUP($E1589,$D$1744:$G$1761,3,0)</f>
        <v>WNI</v>
      </c>
      <c r="N1589" s="2729">
        <f t="shared" si="165"/>
        <v>9000</v>
      </c>
      <c r="O1589" s="2920"/>
      <c r="Q1589" s="2717"/>
      <c r="R1589" s="2717"/>
      <c r="S1589" s="2719"/>
      <c r="T1589" s="2717"/>
      <c r="U1589" s="2717"/>
      <c r="V1589" s="2717"/>
    </row>
    <row r="1590" spans="2:22" s="2922" customFormat="1" ht="14.1" customHeight="1" x14ac:dyDescent="0.2">
      <c r="B1590" s="2625"/>
      <c r="C1590" s="2924"/>
      <c r="D1590" s="2929"/>
      <c r="E1590" s="2994" t="str">
        <f>E1570</f>
        <v>Mandor</v>
      </c>
      <c r="F1590" s="2994"/>
      <c r="G1590" s="2633" t="s">
        <v>291</v>
      </c>
      <c r="H1590" s="2995">
        <v>0.01</v>
      </c>
      <c r="I1590" s="2729">
        <f>'Upah &amp; Bahan'!$I$31</f>
        <v>90000</v>
      </c>
      <c r="J1590" s="2932">
        <f>ROUND(H1590*I1590,2)</f>
        <v>900</v>
      </c>
      <c r="K1590" s="2934"/>
      <c r="L1590" s="2731">
        <f t="shared" si="166"/>
        <v>1</v>
      </c>
      <c r="M1590" s="2731" t="str">
        <f t="shared" si="167"/>
        <v>WNI</v>
      </c>
      <c r="N1590" s="2729">
        <f t="shared" si="165"/>
        <v>900</v>
      </c>
      <c r="O1590" s="2920"/>
      <c r="Q1590" s="2717"/>
      <c r="R1590" s="2717"/>
      <c r="S1590" s="2719"/>
      <c r="T1590" s="2717"/>
      <c r="U1590" s="2717"/>
      <c r="V1590" s="2717"/>
    </row>
    <row r="1591" spans="2:22" s="2922" customFormat="1" ht="14.1" customHeight="1" x14ac:dyDescent="0.2">
      <c r="B1591" s="2625"/>
      <c r="C1591" s="2926"/>
      <c r="D1591" s="2928"/>
      <c r="E1591" s="2939"/>
      <c r="F1591" s="2935"/>
      <c r="G1591" s="2940"/>
      <c r="H1591" s="2941"/>
      <c r="I1591" s="2973"/>
      <c r="J1591" s="2937"/>
      <c r="K1591" s="2942">
        <f>SUM(J1589:J1590)</f>
        <v>9900</v>
      </c>
      <c r="L1591" s="2731"/>
      <c r="M1591" s="2732"/>
      <c r="N1591" s="2729">
        <f t="shared" si="165"/>
        <v>0</v>
      </c>
      <c r="O1591" s="2920"/>
      <c r="Q1591" s="2717"/>
      <c r="R1591" s="2717"/>
      <c r="S1591" s="2719"/>
      <c r="T1591" s="2717"/>
      <c r="U1591" s="2717"/>
      <c r="V1591" s="2717"/>
    </row>
    <row r="1592" spans="2:22" s="2922" customFormat="1" ht="14.1" customHeight="1" x14ac:dyDescent="0.2">
      <c r="B1592" s="2625"/>
      <c r="C1592" s="2924" t="s">
        <v>609</v>
      </c>
      <c r="D1592" s="2938" t="s">
        <v>606</v>
      </c>
      <c r="E1592" s="2930"/>
      <c r="F1592" s="2930"/>
      <c r="G1592" s="2633"/>
      <c r="H1592" s="2943"/>
      <c r="I1592" s="2944"/>
      <c r="J1592" s="2932"/>
      <c r="K1592" s="2933"/>
      <c r="L1592" s="2731"/>
      <c r="M1592" s="2732"/>
      <c r="N1592" s="2729">
        <f t="shared" si="165"/>
        <v>0</v>
      </c>
      <c r="O1592" s="2920"/>
      <c r="Q1592" s="2717"/>
      <c r="R1592" s="2717"/>
      <c r="S1592" s="2719"/>
      <c r="T1592" s="2717"/>
      <c r="U1592" s="2717"/>
      <c r="V1592" s="2717"/>
    </row>
    <row r="1593" spans="2:22" s="2922" customFormat="1" ht="14.1" customHeight="1" x14ac:dyDescent="0.2">
      <c r="B1593" s="2625"/>
      <c r="C1593" s="2924"/>
      <c r="D1593" s="2929"/>
      <c r="E1593" s="2939"/>
      <c r="F1593" s="2935"/>
      <c r="G1593" s="2940"/>
      <c r="H1593" s="2941"/>
      <c r="I1593" s="2945"/>
      <c r="J1593" s="2937"/>
      <c r="K1593" s="2933"/>
      <c r="L1593" s="2731"/>
      <c r="M1593" s="2732"/>
      <c r="N1593" s="2729">
        <f t="shared" si="165"/>
        <v>0</v>
      </c>
      <c r="O1593" s="2920"/>
      <c r="Q1593" s="2717"/>
      <c r="R1593" s="2717"/>
      <c r="S1593" s="2719"/>
      <c r="T1593" s="2717"/>
      <c r="U1593" s="2717"/>
      <c r="V1593" s="2717"/>
    </row>
    <row r="1594" spans="2:22" s="2922" customFormat="1" ht="14.1" customHeight="1" x14ac:dyDescent="0.2">
      <c r="B1594" s="2625"/>
      <c r="C1594" s="2924"/>
      <c r="D1594" s="2929"/>
      <c r="E1594" s="2939"/>
      <c r="F1594" s="2935"/>
      <c r="G1594" s="2940"/>
      <c r="H1594" s="2941"/>
      <c r="I1594" s="2945"/>
      <c r="J1594" s="2937"/>
      <c r="K1594" s="2933"/>
      <c r="L1594" s="2731"/>
      <c r="M1594" s="2732"/>
      <c r="N1594" s="2729">
        <f t="shared" si="165"/>
        <v>0</v>
      </c>
      <c r="O1594" s="2920"/>
      <c r="Q1594" s="2717"/>
      <c r="R1594" s="2717"/>
      <c r="S1594" s="2719"/>
      <c r="T1594" s="2717"/>
      <c r="U1594" s="2717"/>
      <c r="V1594" s="2717"/>
    </row>
    <row r="1595" spans="2:22" s="2922" customFormat="1" ht="14.1" customHeight="1" x14ac:dyDescent="0.2">
      <c r="B1595" s="2625"/>
      <c r="C1595" s="2924"/>
      <c r="D1595" s="2929"/>
      <c r="E1595" s="2939"/>
      <c r="F1595" s="2935"/>
      <c r="G1595" s="2940"/>
      <c r="H1595" s="2941"/>
      <c r="I1595" s="2945"/>
      <c r="J1595" s="2937"/>
      <c r="K1595" s="2933"/>
      <c r="L1595" s="2731"/>
      <c r="M1595" s="2732"/>
      <c r="N1595" s="2729">
        <f t="shared" si="165"/>
        <v>0</v>
      </c>
      <c r="O1595" s="2920"/>
      <c r="Q1595" s="2717"/>
      <c r="R1595" s="2717"/>
      <c r="S1595" s="2719"/>
      <c r="T1595" s="2717"/>
      <c r="U1595" s="2717"/>
      <c r="V1595" s="2717"/>
    </row>
    <row r="1596" spans="2:22" s="2922" customFormat="1" ht="14.1" customHeight="1" x14ac:dyDescent="0.2">
      <c r="B1596" s="2625"/>
      <c r="C1596" s="2926"/>
      <c r="D1596" s="2928"/>
      <c r="E1596" s="2939"/>
      <c r="F1596" s="2935"/>
      <c r="G1596" s="2940"/>
      <c r="H1596" s="2941"/>
      <c r="I1596" s="2945"/>
      <c r="J1596" s="2937"/>
      <c r="K1596" s="2942">
        <f>SUM(J1592:J1592)</f>
        <v>0</v>
      </c>
      <c r="L1596" s="2731"/>
      <c r="M1596" s="2732"/>
      <c r="N1596" s="2729">
        <f t="shared" si="165"/>
        <v>0</v>
      </c>
      <c r="O1596" s="2920"/>
      <c r="Q1596" s="2717"/>
      <c r="R1596" s="2717"/>
      <c r="S1596" s="2719"/>
      <c r="T1596" s="2717"/>
      <c r="U1596" s="2717"/>
      <c r="V1596" s="2717"/>
    </row>
    <row r="1597" spans="2:22" s="2922" customFormat="1" ht="14.1" customHeight="1" x14ac:dyDescent="0.2">
      <c r="B1597" s="2625"/>
      <c r="C1597" s="2633" t="s">
        <v>610</v>
      </c>
      <c r="D1597" s="2946" t="s">
        <v>651</v>
      </c>
      <c r="E1597" s="2935"/>
      <c r="F1597" s="2935"/>
      <c r="G1597" s="2940"/>
      <c r="H1597" s="2941"/>
      <c r="I1597" s="2945"/>
      <c r="J1597" s="2947" t="s">
        <v>652</v>
      </c>
      <c r="K1597" s="2942">
        <f>K1588+K1591+K1596</f>
        <v>120600</v>
      </c>
      <c r="L1597" s="2746">
        <f>N1597/K1597</f>
        <v>0.45435323383084575</v>
      </c>
      <c r="M1597" s="2745"/>
      <c r="N1597" s="2747">
        <f>SUM(N1586:N1596)</f>
        <v>54795</v>
      </c>
      <c r="O1597" s="2920"/>
      <c r="Q1597" s="2717"/>
      <c r="R1597" s="2717"/>
      <c r="S1597" s="2719"/>
      <c r="T1597" s="2717"/>
      <c r="U1597" s="2717"/>
      <c r="V1597" s="2717"/>
    </row>
    <row r="1598" spans="2:22" s="2922" customFormat="1" ht="14.1" customHeight="1" x14ac:dyDescent="0.2">
      <c r="B1598" s="2625"/>
      <c r="C1598" s="2926" t="s">
        <v>611</v>
      </c>
      <c r="D1598" s="2946" t="s">
        <v>653</v>
      </c>
      <c r="E1598" s="2935"/>
      <c r="F1598" s="3012">
        <v>0.1</v>
      </c>
      <c r="G1598" s="2633" t="s">
        <v>425</v>
      </c>
      <c r="H1598" s="3012">
        <v>0.03</v>
      </c>
      <c r="I1598" s="2948" t="s">
        <v>424</v>
      </c>
      <c r="J1598" s="2942" t="s">
        <v>610</v>
      </c>
      <c r="K1598" s="2949">
        <f>ROUND((K1597*(F1598+H1598)),2)</f>
        <v>15678</v>
      </c>
      <c r="L1598" s="2732"/>
      <c r="M1598" s="2732"/>
      <c r="N1598" s="2732"/>
      <c r="O1598" s="2920"/>
      <c r="Q1598" s="2717"/>
      <c r="R1598" s="2717"/>
      <c r="S1598" s="2719"/>
      <c r="T1598" s="2717"/>
      <c r="U1598" s="2717"/>
      <c r="V1598" s="2717"/>
    </row>
    <row r="1599" spans="2:22" s="2922" customFormat="1" ht="14.1" customHeight="1" x14ac:dyDescent="0.2">
      <c r="B1599" s="2625"/>
      <c r="C1599" s="2950" t="s">
        <v>654</v>
      </c>
      <c r="D1599" s="2951" t="s">
        <v>301</v>
      </c>
      <c r="E1599" s="2952"/>
      <c r="F1599" s="2952"/>
      <c r="G1599" s="2952"/>
      <c r="H1599" s="2953"/>
      <c r="I1599" s="2952"/>
      <c r="J1599" s="2954" t="s">
        <v>668</v>
      </c>
      <c r="K1599" s="2955">
        <f>SUM(K1597:K1598)</f>
        <v>136278</v>
      </c>
      <c r="L1599" s="2746"/>
      <c r="M1599" s="2755"/>
      <c r="N1599" s="2757"/>
      <c r="O1599" s="2920"/>
      <c r="Q1599" s="2717"/>
      <c r="R1599" s="2717"/>
      <c r="S1599" s="2719"/>
      <c r="T1599" s="2717"/>
      <c r="U1599" s="2717"/>
      <c r="V1599" s="2717"/>
    </row>
    <row r="1600" spans="2:22" x14ac:dyDescent="0.25">
      <c r="Q1600" s="2717"/>
      <c r="R1600" s="2717"/>
      <c r="S1600" s="2719"/>
      <c r="T1600" s="2717"/>
      <c r="U1600" s="2717"/>
      <c r="V1600" s="2717"/>
    </row>
    <row r="1601" spans="2:23" s="2922" customFormat="1" ht="14.1" customHeight="1" x14ac:dyDescent="0.2">
      <c r="B1601" s="2711">
        <f>B1581+1</f>
        <v>81</v>
      </c>
      <c r="C1601" s="2625"/>
      <c r="D1601" s="2993" t="s">
        <v>1880</v>
      </c>
      <c r="E1601" s="2918"/>
      <c r="F1601" s="2918"/>
      <c r="G1601" s="2918"/>
      <c r="H1601" s="2625"/>
      <c r="I1601" s="2918"/>
      <c r="J1601" s="2918"/>
      <c r="K1601" s="2919" t="s">
        <v>720</v>
      </c>
      <c r="L1601" s="2919"/>
      <c r="M1601" s="2919"/>
      <c r="N1601" s="2919"/>
      <c r="O1601" s="2920" t="str">
        <f>D1602</f>
        <v>ttk</v>
      </c>
      <c r="P1601" s="2921">
        <f>K1619</f>
        <v>124333.9</v>
      </c>
      <c r="Q1601" s="2718">
        <f>L1617</f>
        <v>0.71568663091884033</v>
      </c>
      <c r="R1601" s="2717"/>
      <c r="S1601" s="2719">
        <f>N1617</f>
        <v>78747</v>
      </c>
      <c r="T1601" s="2515">
        <f>U1601+S1601</f>
        <v>88984.11</v>
      </c>
      <c r="U1601" s="2719">
        <f>S1601*V1601</f>
        <v>10237.11</v>
      </c>
      <c r="V1601" s="2718">
        <f>$F$42+$H$42</f>
        <v>0.13</v>
      </c>
    </row>
    <row r="1602" spans="2:23" s="2922" customFormat="1" ht="14.1" customHeight="1" x14ac:dyDescent="0.2">
      <c r="B1602" s="2625"/>
      <c r="C1602" s="2625"/>
      <c r="D1602" s="2918" t="s">
        <v>390</v>
      </c>
      <c r="E1602" s="2918"/>
      <c r="F1602" s="2918"/>
      <c r="G1602" s="2918"/>
      <c r="H1602" s="2625"/>
      <c r="I1602" s="2918"/>
      <c r="J1602" s="2918"/>
      <c r="K1602" s="2918"/>
      <c r="L1602" s="2918"/>
      <c r="M1602" s="2918"/>
      <c r="N1602" s="2918"/>
      <c r="O1602" s="2920"/>
      <c r="Q1602" s="2717"/>
      <c r="R1602" s="2717"/>
      <c r="S1602" s="2719"/>
      <c r="T1602" s="2717"/>
      <c r="U1602" s="2717"/>
      <c r="V1602" s="2717"/>
    </row>
    <row r="1603" spans="2:23" s="2922" customFormat="1" ht="14.1" customHeight="1" x14ac:dyDescent="0.2">
      <c r="B1603" s="2625"/>
      <c r="C1603" s="2618"/>
      <c r="D1603" s="3458" t="s">
        <v>280</v>
      </c>
      <c r="E1603" s="3459"/>
      <c r="F1603" s="2923"/>
      <c r="G1603" s="3464" t="s">
        <v>281</v>
      </c>
      <c r="H1603" s="3464" t="s">
        <v>282</v>
      </c>
      <c r="I1603" s="2618" t="s">
        <v>283</v>
      </c>
      <c r="J1603" s="2618" t="s">
        <v>284</v>
      </c>
      <c r="K1603" s="2618" t="s">
        <v>340</v>
      </c>
      <c r="L1603" s="2524" t="s">
        <v>2008</v>
      </c>
      <c r="M1603" s="2524" t="s">
        <v>2009</v>
      </c>
      <c r="N1603" s="2524" t="s">
        <v>284</v>
      </c>
      <c r="O1603" s="2920"/>
      <c r="Q1603" s="2717"/>
      <c r="R1603" s="2717"/>
      <c r="S1603" s="2719"/>
      <c r="T1603" s="2717"/>
      <c r="U1603" s="2717"/>
      <c r="V1603" s="2717"/>
    </row>
    <row r="1604" spans="2:23" s="2922" customFormat="1" ht="14.1" customHeight="1" x14ac:dyDescent="0.2">
      <c r="B1604" s="2625"/>
      <c r="C1604" s="2924" t="s">
        <v>669</v>
      </c>
      <c r="D1604" s="3460"/>
      <c r="E1604" s="3461"/>
      <c r="F1604" s="2925"/>
      <c r="G1604" s="3465"/>
      <c r="H1604" s="3465"/>
      <c r="I1604" s="2924" t="s">
        <v>285</v>
      </c>
      <c r="J1604" s="2924" t="s">
        <v>286</v>
      </c>
      <c r="K1604" s="2924" t="s">
        <v>286</v>
      </c>
      <c r="L1604" s="2528" t="s">
        <v>2011</v>
      </c>
      <c r="M1604" s="2528"/>
      <c r="N1604" s="2528" t="s">
        <v>2013</v>
      </c>
      <c r="O1604" s="2920"/>
      <c r="Q1604" s="2717"/>
      <c r="R1604" s="2717"/>
      <c r="S1604" s="2719"/>
      <c r="T1604" s="2717"/>
      <c r="U1604" s="2717"/>
      <c r="V1604" s="2717"/>
    </row>
    <row r="1605" spans="2:23" s="2922" customFormat="1" ht="14.1" customHeight="1" x14ac:dyDescent="0.2">
      <c r="B1605" s="2625"/>
      <c r="C1605" s="2926"/>
      <c r="D1605" s="3462"/>
      <c r="E1605" s="3463"/>
      <c r="F1605" s="2927"/>
      <c r="G1605" s="3466"/>
      <c r="H1605" s="3466"/>
      <c r="I1605" s="2926" t="s">
        <v>286</v>
      </c>
      <c r="J1605" s="2928"/>
      <c r="K1605" s="2928"/>
      <c r="L1605" s="2536"/>
      <c r="M1605" s="2536"/>
      <c r="N1605" s="2537" t="s">
        <v>286</v>
      </c>
      <c r="O1605" s="2920"/>
      <c r="Q1605" s="2717"/>
      <c r="R1605" s="2717"/>
      <c r="S1605" s="2719"/>
      <c r="T1605" s="2717"/>
      <c r="U1605" s="2717"/>
      <c r="V1605" s="2717"/>
    </row>
    <row r="1606" spans="2:23" s="2922" customFormat="1" ht="14.1" customHeight="1" x14ac:dyDescent="0.2">
      <c r="B1606" s="2625"/>
      <c r="C1606" s="2618" t="s">
        <v>607</v>
      </c>
      <c r="D1606" s="2938" t="s">
        <v>287</v>
      </c>
      <c r="E1606" s="2994" t="s">
        <v>1984</v>
      </c>
      <c r="F1606" s="2994"/>
      <c r="G1606" s="2633" t="s">
        <v>268</v>
      </c>
      <c r="H1606" s="2995">
        <v>1</v>
      </c>
      <c r="I1606" s="2932">
        <f>'Upah &amp; Bahan'!I104</f>
        <v>70000</v>
      </c>
      <c r="J1606" s="2932">
        <f>ROUND(H1606*I1606,2)</f>
        <v>70000</v>
      </c>
      <c r="K1606" s="2933"/>
      <c r="L1606" s="2731">
        <v>0.59060000000000001</v>
      </c>
      <c r="M1606" s="2732" t="s">
        <v>2029</v>
      </c>
      <c r="N1606" s="2729">
        <f t="shared" ref="N1606:N1616" si="168">L1606*J1606</f>
        <v>41342</v>
      </c>
      <c r="O1606" s="2920"/>
      <c r="Q1606" s="2717"/>
      <c r="R1606" s="2717"/>
      <c r="S1606" s="2719"/>
      <c r="T1606" s="2717"/>
      <c r="U1606" s="2717"/>
      <c r="V1606" s="2717"/>
      <c r="W1606" s="2922">
        <v>850000</v>
      </c>
    </row>
    <row r="1607" spans="2:23" s="2922" customFormat="1" ht="14.1" customHeight="1" x14ac:dyDescent="0.2">
      <c r="B1607" s="2625"/>
      <c r="C1607" s="2929"/>
      <c r="D1607" s="2929"/>
      <c r="E1607" s="2994" t="s">
        <v>1971</v>
      </c>
      <c r="F1607" s="2994"/>
      <c r="G1607" s="2633" t="s">
        <v>1976</v>
      </c>
      <c r="H1607" s="2995">
        <v>1</v>
      </c>
      <c r="I1607" s="2932">
        <f>J1606*15%</f>
        <v>10500</v>
      </c>
      <c r="J1607" s="2932">
        <f>ROUND(H1607*I1607,2)</f>
        <v>10500</v>
      </c>
      <c r="K1607" s="2735"/>
      <c r="L1607" s="2731">
        <v>0.75</v>
      </c>
      <c r="M1607" s="2732" t="s">
        <v>2030</v>
      </c>
      <c r="N1607" s="2729">
        <f t="shared" si="168"/>
        <v>7875</v>
      </c>
      <c r="O1607" s="2920"/>
      <c r="Q1607" s="2717"/>
      <c r="R1607" s="2717"/>
      <c r="S1607" s="2719"/>
      <c r="T1607" s="2717"/>
      <c r="U1607" s="2717"/>
      <c r="V1607" s="2717"/>
    </row>
    <row r="1608" spans="2:23" s="2922" customFormat="1" ht="14.1" customHeight="1" x14ac:dyDescent="0.2">
      <c r="B1608" s="2625"/>
      <c r="C1608" s="2924"/>
      <c r="D1608" s="2929"/>
      <c r="E1608" s="2996"/>
      <c r="F1608" s="2997"/>
      <c r="G1608" s="2940"/>
      <c r="H1608" s="2998"/>
      <c r="I1608" s="2973"/>
      <c r="J1608" s="2937"/>
      <c r="K1608" s="2932">
        <f>SUM(J1606:J1607)</f>
        <v>80500</v>
      </c>
      <c r="L1608" s="2731"/>
      <c r="M1608" s="2732"/>
      <c r="N1608" s="2729">
        <f t="shared" si="168"/>
        <v>0</v>
      </c>
      <c r="O1608" s="2920"/>
      <c r="Q1608" s="2717"/>
      <c r="R1608" s="2717"/>
      <c r="S1608" s="2719"/>
      <c r="T1608" s="2717"/>
      <c r="U1608" s="2717"/>
      <c r="V1608" s="2717"/>
    </row>
    <row r="1609" spans="2:23" s="2922" customFormat="1" ht="14.1" customHeight="1" x14ac:dyDescent="0.2">
      <c r="B1609" s="2625"/>
      <c r="C1609" s="2618" t="s">
        <v>608</v>
      </c>
      <c r="D1609" s="2938" t="s">
        <v>288</v>
      </c>
      <c r="E1609" s="2994" t="s">
        <v>289</v>
      </c>
      <c r="F1609" s="2994"/>
      <c r="G1609" s="2633" t="s">
        <v>291</v>
      </c>
      <c r="H1609" s="2995">
        <v>0.1</v>
      </c>
      <c r="I1609" s="2906">
        <f>'Upah &amp; Bahan'!$I$24</f>
        <v>88300</v>
      </c>
      <c r="J1609" s="2932">
        <f>ROUND(H1609*I1609,2)</f>
        <v>8830</v>
      </c>
      <c r="K1609" s="2933"/>
      <c r="L1609" s="2731">
        <f t="shared" ref="L1609:L1611" si="169">VLOOKUP($E1609,$D$1744:$G$1761,2,0)</f>
        <v>1</v>
      </c>
      <c r="M1609" s="2731" t="str">
        <f t="shared" ref="M1609:M1611" si="170">VLOOKUP($E1609,$D$1744:$G$1761,3,0)</f>
        <v>WNI</v>
      </c>
      <c r="N1609" s="2729">
        <f t="shared" si="168"/>
        <v>8830</v>
      </c>
      <c r="O1609" s="2920"/>
      <c r="Q1609" s="2717"/>
      <c r="R1609" s="2717"/>
      <c r="S1609" s="2719"/>
      <c r="T1609" s="2717"/>
      <c r="U1609" s="2717"/>
      <c r="V1609" s="2717"/>
    </row>
    <row r="1610" spans="2:23" s="2922" customFormat="1" ht="14.1" customHeight="1" x14ac:dyDescent="0.2">
      <c r="B1610" s="2625"/>
      <c r="C1610" s="2929"/>
      <c r="D1610" s="2929"/>
      <c r="E1610" s="2994" t="s">
        <v>20</v>
      </c>
      <c r="F1610" s="2994"/>
      <c r="G1610" s="2633" t="s">
        <v>291</v>
      </c>
      <c r="H1610" s="2995">
        <v>0.18</v>
      </c>
      <c r="I1610" s="2906">
        <f>'Upah &amp; Bahan'!$I$38</f>
        <v>90000</v>
      </c>
      <c r="J1610" s="2932">
        <f>ROUND(H1610*I1610,2)</f>
        <v>16200</v>
      </c>
      <c r="K1610" s="2934"/>
      <c r="L1610" s="2731">
        <f t="shared" si="169"/>
        <v>1</v>
      </c>
      <c r="M1610" s="2731" t="str">
        <f t="shared" si="170"/>
        <v>WNI</v>
      </c>
      <c r="N1610" s="2729">
        <f t="shared" si="168"/>
        <v>16200</v>
      </c>
      <c r="O1610" s="2920"/>
      <c r="Q1610" s="2717"/>
      <c r="R1610" s="2717"/>
      <c r="S1610" s="2719"/>
      <c r="T1610" s="2717"/>
      <c r="U1610" s="2717"/>
      <c r="V1610" s="2717"/>
    </row>
    <row r="1611" spans="2:23" s="2922" customFormat="1" ht="14.1" customHeight="1" x14ac:dyDescent="0.2">
      <c r="B1611" s="2625"/>
      <c r="C1611" s="2929"/>
      <c r="D1611" s="2929"/>
      <c r="E1611" s="2994" t="s">
        <v>290</v>
      </c>
      <c r="F1611" s="2994"/>
      <c r="G1611" s="2633" t="s">
        <v>291</v>
      </c>
      <c r="H1611" s="2995">
        <v>0.05</v>
      </c>
      <c r="I1611" s="2906">
        <f>'Upah &amp; Bahan'!$I$31</f>
        <v>90000</v>
      </c>
      <c r="J1611" s="2932">
        <f>ROUND(H1611*I1611,2)</f>
        <v>4500</v>
      </c>
      <c r="K1611" s="2934"/>
      <c r="L1611" s="2731">
        <f t="shared" si="169"/>
        <v>1</v>
      </c>
      <c r="M1611" s="2731" t="str">
        <f t="shared" si="170"/>
        <v>WNI</v>
      </c>
      <c r="N1611" s="2729">
        <f t="shared" si="168"/>
        <v>4500</v>
      </c>
      <c r="O1611" s="2920"/>
      <c r="Q1611" s="2717"/>
      <c r="R1611" s="2717"/>
      <c r="S1611" s="2719"/>
      <c r="T1611" s="2717"/>
      <c r="U1611" s="2717"/>
      <c r="V1611" s="2717"/>
    </row>
    <row r="1612" spans="2:23" s="2922" customFormat="1" ht="14.1" customHeight="1" x14ac:dyDescent="0.2">
      <c r="B1612" s="2625"/>
      <c r="C1612" s="2926"/>
      <c r="D1612" s="2928"/>
      <c r="E1612" s="2939"/>
      <c r="F1612" s="2935"/>
      <c r="G1612" s="2940"/>
      <c r="H1612" s="2941"/>
      <c r="I1612" s="2973"/>
      <c r="J1612" s="2937"/>
      <c r="K1612" s="2942">
        <f>SUM(J1609:J1611)</f>
        <v>29530</v>
      </c>
      <c r="L1612" s="2731"/>
      <c r="M1612" s="2732"/>
      <c r="N1612" s="2729">
        <f t="shared" si="168"/>
        <v>0</v>
      </c>
      <c r="O1612" s="2920"/>
      <c r="Q1612" s="2717"/>
      <c r="R1612" s="2717"/>
      <c r="S1612" s="2719"/>
      <c r="T1612" s="2717"/>
      <c r="U1612" s="2717"/>
      <c r="V1612" s="2717"/>
    </row>
    <row r="1613" spans="2:23" s="2922" customFormat="1" ht="14.1" customHeight="1" x14ac:dyDescent="0.2">
      <c r="B1613" s="2625"/>
      <c r="C1613" s="2924" t="s">
        <v>609</v>
      </c>
      <c r="D1613" s="2938" t="s">
        <v>606</v>
      </c>
      <c r="E1613" s="2930"/>
      <c r="F1613" s="2930"/>
      <c r="G1613" s="2633"/>
      <c r="H1613" s="2943"/>
      <c r="I1613" s="2944"/>
      <c r="J1613" s="2932"/>
      <c r="K1613" s="2933"/>
      <c r="L1613" s="2731"/>
      <c r="M1613" s="2732"/>
      <c r="N1613" s="2729">
        <f t="shared" si="168"/>
        <v>0</v>
      </c>
      <c r="O1613" s="2920"/>
      <c r="Q1613" s="2717"/>
      <c r="R1613" s="2717"/>
      <c r="S1613" s="2719"/>
      <c r="T1613" s="2717"/>
      <c r="U1613" s="2717"/>
      <c r="V1613" s="2717"/>
    </row>
    <row r="1614" spans="2:23" s="2922" customFormat="1" ht="14.1" customHeight="1" x14ac:dyDescent="0.2">
      <c r="B1614" s="2625"/>
      <c r="C1614" s="2924"/>
      <c r="D1614" s="2929"/>
      <c r="E1614" s="2939"/>
      <c r="F1614" s="2935"/>
      <c r="G1614" s="2940"/>
      <c r="H1614" s="2941"/>
      <c r="I1614" s="2945"/>
      <c r="J1614" s="2937"/>
      <c r="K1614" s="2933"/>
      <c r="L1614" s="2731"/>
      <c r="M1614" s="2732"/>
      <c r="N1614" s="2729">
        <f t="shared" si="168"/>
        <v>0</v>
      </c>
      <c r="O1614" s="2920"/>
      <c r="Q1614" s="2717"/>
      <c r="R1614" s="2717"/>
      <c r="S1614" s="2719"/>
      <c r="T1614" s="2717"/>
      <c r="U1614" s="2717"/>
      <c r="V1614" s="2717"/>
    </row>
    <row r="1615" spans="2:23" s="2922" customFormat="1" ht="14.1" customHeight="1" x14ac:dyDescent="0.2">
      <c r="B1615" s="2625"/>
      <c r="C1615" s="2924"/>
      <c r="D1615" s="2929"/>
      <c r="E1615" s="2939"/>
      <c r="F1615" s="2935"/>
      <c r="G1615" s="2940"/>
      <c r="H1615" s="2941"/>
      <c r="I1615" s="2945"/>
      <c r="J1615" s="2937"/>
      <c r="K1615" s="2933"/>
      <c r="L1615" s="2731"/>
      <c r="M1615" s="2732"/>
      <c r="N1615" s="2729">
        <f t="shared" si="168"/>
        <v>0</v>
      </c>
      <c r="O1615" s="2920"/>
      <c r="Q1615" s="2717"/>
      <c r="R1615" s="2717"/>
      <c r="S1615" s="2719"/>
      <c r="T1615" s="2717"/>
      <c r="U1615" s="2717"/>
      <c r="V1615" s="2717"/>
    </row>
    <row r="1616" spans="2:23" s="2922" customFormat="1" ht="14.1" customHeight="1" x14ac:dyDescent="0.2">
      <c r="B1616" s="2625"/>
      <c r="C1616" s="2926"/>
      <c r="D1616" s="2928"/>
      <c r="E1616" s="2939"/>
      <c r="F1616" s="2935"/>
      <c r="G1616" s="2940"/>
      <c r="H1616" s="2941"/>
      <c r="I1616" s="2945"/>
      <c r="J1616" s="2937"/>
      <c r="K1616" s="2942">
        <f>SUM(J1613:J1613)</f>
        <v>0</v>
      </c>
      <c r="L1616" s="2731"/>
      <c r="M1616" s="2732"/>
      <c r="N1616" s="2729">
        <f t="shared" si="168"/>
        <v>0</v>
      </c>
      <c r="O1616" s="2920"/>
      <c r="Q1616" s="2717"/>
      <c r="R1616" s="2717"/>
      <c r="S1616" s="2719"/>
      <c r="T1616" s="2717"/>
      <c r="U1616" s="2717"/>
      <c r="V1616" s="2717"/>
    </row>
    <row r="1617" spans="2:23" s="2922" customFormat="1" ht="14.1" customHeight="1" x14ac:dyDescent="0.2">
      <c r="B1617" s="2625"/>
      <c r="C1617" s="2926" t="s">
        <v>610</v>
      </c>
      <c r="D1617" s="2946" t="s">
        <v>651</v>
      </c>
      <c r="E1617" s="2935"/>
      <c r="F1617" s="2935"/>
      <c r="G1617" s="2940"/>
      <c r="H1617" s="2941"/>
      <c r="I1617" s="2945"/>
      <c r="J1617" s="2947" t="s">
        <v>652</v>
      </c>
      <c r="K1617" s="2942">
        <f>K1608+K1612+K1616</f>
        <v>110030</v>
      </c>
      <c r="L1617" s="2746">
        <f>N1617/K1617</f>
        <v>0.71568663091884033</v>
      </c>
      <c r="M1617" s="2745"/>
      <c r="N1617" s="2747">
        <f>SUM(N1606:N1616)</f>
        <v>78747</v>
      </c>
      <c r="O1617" s="2920"/>
      <c r="Q1617" s="2717"/>
      <c r="R1617" s="2717"/>
      <c r="S1617" s="2719"/>
      <c r="T1617" s="2717"/>
      <c r="U1617" s="2717"/>
      <c r="V1617" s="2717"/>
    </row>
    <row r="1618" spans="2:23" s="2922" customFormat="1" ht="14.1" customHeight="1" x14ac:dyDescent="0.2">
      <c r="B1618" s="2625"/>
      <c r="C1618" s="2926" t="s">
        <v>611</v>
      </c>
      <c r="D1618" s="2946" t="s">
        <v>653</v>
      </c>
      <c r="E1618" s="2935"/>
      <c r="F1618" s="2748">
        <f>$F$42</f>
        <v>0.1</v>
      </c>
      <c r="G1618" s="2727" t="s">
        <v>425</v>
      </c>
      <c r="H1618" s="2748">
        <f>$H$42</f>
        <v>0.03</v>
      </c>
      <c r="I1618" s="2948" t="s">
        <v>424</v>
      </c>
      <c r="J1618" s="2942" t="s">
        <v>610</v>
      </c>
      <c r="K1618" s="2949">
        <f>ROUND((K1617*(F1618+H1618)),2)</f>
        <v>14303.9</v>
      </c>
      <c r="L1618" s="2732"/>
      <c r="M1618" s="2732"/>
      <c r="N1618" s="2732"/>
      <c r="O1618" s="2920"/>
      <c r="Q1618" s="2717"/>
      <c r="R1618" s="2717"/>
      <c r="S1618" s="2719"/>
      <c r="T1618" s="2717"/>
      <c r="U1618" s="2717"/>
      <c r="V1618" s="2717"/>
    </row>
    <row r="1619" spans="2:23" s="2922" customFormat="1" ht="14.1" customHeight="1" x14ac:dyDescent="0.2">
      <c r="B1619" s="2625"/>
      <c r="C1619" s="2950" t="s">
        <v>654</v>
      </c>
      <c r="D1619" s="2951" t="s">
        <v>301</v>
      </c>
      <c r="E1619" s="2952"/>
      <c r="F1619" s="2815"/>
      <c r="G1619" s="2815"/>
      <c r="H1619" s="2816"/>
      <c r="I1619" s="2952"/>
      <c r="J1619" s="2954" t="s">
        <v>668</v>
      </c>
      <c r="K1619" s="2955">
        <f>SUM(K1617:K1618)</f>
        <v>124333.9</v>
      </c>
      <c r="L1619" s="2746"/>
      <c r="M1619" s="2755"/>
      <c r="N1619" s="2757"/>
      <c r="O1619" s="2920"/>
      <c r="Q1619" s="2717"/>
      <c r="R1619" s="2717"/>
      <c r="S1619" s="2719"/>
      <c r="T1619" s="2717"/>
      <c r="U1619" s="2717"/>
      <c r="V1619" s="2717"/>
    </row>
    <row r="1620" spans="2:23" x14ac:dyDescent="0.25">
      <c r="Q1620" s="2717"/>
      <c r="R1620" s="2717"/>
      <c r="S1620" s="2719"/>
      <c r="T1620" s="2717"/>
      <c r="U1620" s="2717"/>
      <c r="V1620" s="2717"/>
    </row>
    <row r="1621" spans="2:23" s="2922" customFormat="1" ht="14.1" customHeight="1" x14ac:dyDescent="0.2">
      <c r="B1621" s="2711">
        <f>B1601+1</f>
        <v>82</v>
      </c>
      <c r="C1621" s="2625"/>
      <c r="D1621" s="2993" t="s">
        <v>1881</v>
      </c>
      <c r="E1621" s="2918"/>
      <c r="F1621" s="2918"/>
      <c r="G1621" s="2918"/>
      <c r="H1621" s="2625"/>
      <c r="I1621" s="2918"/>
      <c r="J1621" s="2918"/>
      <c r="K1621" s="2919" t="s">
        <v>720</v>
      </c>
      <c r="L1621" s="2919"/>
      <c r="M1621" s="2919"/>
      <c r="N1621" s="2919"/>
      <c r="O1621" s="2920" t="str">
        <f>D1622</f>
        <v>ttk</v>
      </c>
      <c r="P1621" s="2921">
        <f>K1639</f>
        <v>186709.9</v>
      </c>
      <c r="Q1621" s="2718">
        <f>L1637</f>
        <v>0.68084367245657573</v>
      </c>
      <c r="R1621" s="2717"/>
      <c r="S1621" s="2719">
        <f>N1637</f>
        <v>112495.8</v>
      </c>
      <c r="T1621" s="2515">
        <f>U1621+S1621</f>
        <v>127120.254</v>
      </c>
      <c r="U1621" s="2719">
        <f>S1621*V1621</f>
        <v>14624.454000000002</v>
      </c>
      <c r="V1621" s="2718">
        <f>$F$42+$H$42</f>
        <v>0.13</v>
      </c>
    </row>
    <row r="1622" spans="2:23" s="2922" customFormat="1" ht="14.1" customHeight="1" x14ac:dyDescent="0.2">
      <c r="B1622" s="2625"/>
      <c r="C1622" s="2625"/>
      <c r="D1622" s="2918" t="s">
        <v>390</v>
      </c>
      <c r="E1622" s="2918"/>
      <c r="F1622" s="2918"/>
      <c r="G1622" s="2918"/>
      <c r="H1622" s="2625"/>
      <c r="I1622" s="2918"/>
      <c r="J1622" s="2918"/>
      <c r="K1622" s="2918"/>
      <c r="L1622" s="2918"/>
      <c r="M1622" s="2918"/>
      <c r="N1622" s="2918"/>
      <c r="O1622" s="2920"/>
      <c r="Q1622" s="2717"/>
      <c r="R1622" s="2717"/>
      <c r="S1622" s="2719"/>
      <c r="T1622" s="2717"/>
      <c r="U1622" s="2717"/>
      <c r="V1622" s="2717"/>
    </row>
    <row r="1623" spans="2:23" s="2922" customFormat="1" ht="14.1" customHeight="1" x14ac:dyDescent="0.2">
      <c r="B1623" s="2625"/>
      <c r="C1623" s="2618"/>
      <c r="D1623" s="3458" t="s">
        <v>280</v>
      </c>
      <c r="E1623" s="3459"/>
      <c r="F1623" s="2923"/>
      <c r="G1623" s="3464" t="s">
        <v>281</v>
      </c>
      <c r="H1623" s="3464" t="s">
        <v>282</v>
      </c>
      <c r="I1623" s="2618" t="s">
        <v>283</v>
      </c>
      <c r="J1623" s="2618" t="s">
        <v>284</v>
      </c>
      <c r="K1623" s="2618" t="s">
        <v>340</v>
      </c>
      <c r="L1623" s="2524" t="s">
        <v>2008</v>
      </c>
      <c r="M1623" s="2524" t="s">
        <v>2009</v>
      </c>
      <c r="N1623" s="2524" t="s">
        <v>284</v>
      </c>
      <c r="O1623" s="2920"/>
      <c r="Q1623" s="2717"/>
      <c r="R1623" s="2717"/>
      <c r="S1623" s="2719"/>
      <c r="T1623" s="2717"/>
      <c r="U1623" s="2717"/>
      <c r="V1623" s="2717"/>
    </row>
    <row r="1624" spans="2:23" s="2922" customFormat="1" ht="14.1" customHeight="1" x14ac:dyDescent="0.2">
      <c r="B1624" s="2625"/>
      <c r="C1624" s="2924" t="s">
        <v>669</v>
      </c>
      <c r="D1624" s="3460"/>
      <c r="E1624" s="3461"/>
      <c r="F1624" s="2925"/>
      <c r="G1624" s="3465"/>
      <c r="H1624" s="3465"/>
      <c r="I1624" s="2924" t="s">
        <v>285</v>
      </c>
      <c r="J1624" s="2924" t="s">
        <v>286</v>
      </c>
      <c r="K1624" s="2924" t="s">
        <v>286</v>
      </c>
      <c r="L1624" s="2528" t="s">
        <v>2011</v>
      </c>
      <c r="M1624" s="2528"/>
      <c r="N1624" s="2528" t="s">
        <v>2013</v>
      </c>
      <c r="O1624" s="2920"/>
      <c r="Q1624" s="2717"/>
      <c r="R1624" s="2717"/>
      <c r="S1624" s="2719"/>
      <c r="T1624" s="2717"/>
      <c r="U1624" s="2717"/>
      <c r="V1624" s="2717"/>
    </row>
    <row r="1625" spans="2:23" s="2922" customFormat="1" ht="14.1" customHeight="1" x14ac:dyDescent="0.2">
      <c r="B1625" s="2625"/>
      <c r="C1625" s="2926"/>
      <c r="D1625" s="3462"/>
      <c r="E1625" s="3463"/>
      <c r="F1625" s="2927"/>
      <c r="G1625" s="3466"/>
      <c r="H1625" s="3466"/>
      <c r="I1625" s="2926" t="s">
        <v>286</v>
      </c>
      <c r="J1625" s="2928"/>
      <c r="K1625" s="2928"/>
      <c r="L1625" s="2536"/>
      <c r="M1625" s="2536"/>
      <c r="N1625" s="2537" t="s">
        <v>286</v>
      </c>
      <c r="O1625" s="2920"/>
      <c r="Q1625" s="2717"/>
      <c r="R1625" s="2717"/>
      <c r="S1625" s="2719"/>
      <c r="T1625" s="2717"/>
      <c r="U1625" s="2717"/>
      <c r="V1625" s="2717"/>
    </row>
    <row r="1626" spans="2:23" s="2922" customFormat="1" ht="14.1" customHeight="1" x14ac:dyDescent="0.2">
      <c r="B1626" s="2625"/>
      <c r="C1626" s="2618" t="s">
        <v>607</v>
      </c>
      <c r="D1626" s="2938" t="s">
        <v>287</v>
      </c>
      <c r="E1626" s="2994" t="s">
        <v>1985</v>
      </c>
      <c r="F1626" s="2994"/>
      <c r="G1626" s="2633" t="s">
        <v>268</v>
      </c>
      <c r="H1626" s="2995">
        <v>1</v>
      </c>
      <c r="I1626" s="2932">
        <f>'Upah &amp; Bahan'!I105</f>
        <v>118000</v>
      </c>
      <c r="J1626" s="2932">
        <f>ROUND(H1626*I1626,2)</f>
        <v>118000</v>
      </c>
      <c r="K1626" s="2933"/>
      <c r="L1626" s="2731">
        <v>0.59060000000000001</v>
      </c>
      <c r="M1626" s="2732" t="s">
        <v>2029</v>
      </c>
      <c r="N1626" s="2729">
        <f t="shared" ref="N1626:N1636" si="171">L1626*J1626</f>
        <v>69690.8</v>
      </c>
      <c r="O1626" s="2920"/>
      <c r="Q1626" s="2717"/>
      <c r="R1626" s="2717"/>
      <c r="S1626" s="2719"/>
      <c r="T1626" s="2717"/>
      <c r="U1626" s="2717"/>
      <c r="V1626" s="2717"/>
      <c r="W1626" s="2922">
        <v>850000</v>
      </c>
    </row>
    <row r="1627" spans="2:23" s="2922" customFormat="1" ht="14.1" customHeight="1" x14ac:dyDescent="0.2">
      <c r="B1627" s="2625"/>
      <c r="C1627" s="2929"/>
      <c r="D1627" s="2929"/>
      <c r="E1627" s="2994" t="s">
        <v>1971</v>
      </c>
      <c r="F1627" s="2994"/>
      <c r="G1627" s="2633" t="s">
        <v>1976</v>
      </c>
      <c r="H1627" s="2995">
        <v>1</v>
      </c>
      <c r="I1627" s="2932">
        <f>J1626*15%</f>
        <v>17700</v>
      </c>
      <c r="J1627" s="2932">
        <f>ROUND(H1627*I1627,2)</f>
        <v>17700</v>
      </c>
      <c r="K1627" s="2735"/>
      <c r="L1627" s="2731">
        <v>0.75</v>
      </c>
      <c r="M1627" s="2732" t="s">
        <v>2030</v>
      </c>
      <c r="N1627" s="2729">
        <f t="shared" si="171"/>
        <v>13275</v>
      </c>
      <c r="O1627" s="2920"/>
      <c r="Q1627" s="2717"/>
      <c r="R1627" s="2717"/>
      <c r="S1627" s="2719"/>
      <c r="T1627" s="2717"/>
      <c r="U1627" s="2717"/>
      <c r="V1627" s="2717"/>
    </row>
    <row r="1628" spans="2:23" s="2922" customFormat="1" ht="14.1" customHeight="1" x14ac:dyDescent="0.2">
      <c r="B1628" s="2625"/>
      <c r="C1628" s="2924"/>
      <c r="D1628" s="2929"/>
      <c r="E1628" s="2996"/>
      <c r="F1628" s="2997"/>
      <c r="G1628" s="2940"/>
      <c r="H1628" s="2998"/>
      <c r="I1628" s="2973"/>
      <c r="J1628" s="2937"/>
      <c r="K1628" s="2932">
        <f>SUM(J1626:J1627)</f>
        <v>135700</v>
      </c>
      <c r="L1628" s="2731"/>
      <c r="M1628" s="2732"/>
      <c r="N1628" s="2729">
        <f t="shared" si="171"/>
        <v>0</v>
      </c>
      <c r="O1628" s="2920"/>
      <c r="Q1628" s="2717"/>
      <c r="R1628" s="2717"/>
      <c r="S1628" s="2719"/>
      <c r="T1628" s="2717"/>
      <c r="U1628" s="2717"/>
      <c r="V1628" s="2717"/>
    </row>
    <row r="1629" spans="2:23" s="2922" customFormat="1" ht="14.1" customHeight="1" x14ac:dyDescent="0.2">
      <c r="B1629" s="2625"/>
      <c r="C1629" s="2618" t="s">
        <v>608</v>
      </c>
      <c r="D1629" s="2938" t="s">
        <v>288</v>
      </c>
      <c r="E1629" s="2994" t="s">
        <v>289</v>
      </c>
      <c r="F1629" s="2994"/>
      <c r="G1629" s="2633" t="s">
        <v>291</v>
      </c>
      <c r="H1629" s="2995">
        <v>0.1</v>
      </c>
      <c r="I1629" s="2906">
        <f>'Upah &amp; Bahan'!$I$24</f>
        <v>88300</v>
      </c>
      <c r="J1629" s="2932">
        <f>ROUND(H1629*I1629,2)</f>
        <v>8830</v>
      </c>
      <c r="K1629" s="2933"/>
      <c r="L1629" s="2731">
        <f t="shared" ref="L1629:L1631" si="172">VLOOKUP($E1629,$D$1744:$G$1761,2,0)</f>
        <v>1</v>
      </c>
      <c r="M1629" s="2731" t="str">
        <f t="shared" ref="M1629:M1631" si="173">VLOOKUP($E1629,$D$1744:$G$1761,3,0)</f>
        <v>WNI</v>
      </c>
      <c r="N1629" s="2729">
        <f t="shared" si="171"/>
        <v>8830</v>
      </c>
      <c r="O1629" s="2920"/>
      <c r="Q1629" s="2717"/>
      <c r="R1629" s="2717"/>
      <c r="S1629" s="2719"/>
      <c r="T1629" s="2717"/>
      <c r="U1629" s="2717"/>
      <c r="V1629" s="2717"/>
    </row>
    <row r="1630" spans="2:23" s="2922" customFormat="1" ht="14.1" customHeight="1" x14ac:dyDescent="0.2">
      <c r="B1630" s="2625"/>
      <c r="C1630" s="2929"/>
      <c r="D1630" s="2929"/>
      <c r="E1630" s="2994" t="s">
        <v>20</v>
      </c>
      <c r="F1630" s="2994"/>
      <c r="G1630" s="2633" t="s">
        <v>291</v>
      </c>
      <c r="H1630" s="2995">
        <v>0.18</v>
      </c>
      <c r="I1630" s="2906">
        <f>'Upah &amp; Bahan'!$I$38</f>
        <v>90000</v>
      </c>
      <c r="J1630" s="2932">
        <f>ROUND(H1630*I1630,2)</f>
        <v>16200</v>
      </c>
      <c r="K1630" s="2934"/>
      <c r="L1630" s="2731">
        <f t="shared" si="172"/>
        <v>1</v>
      </c>
      <c r="M1630" s="2731" t="str">
        <f t="shared" si="173"/>
        <v>WNI</v>
      </c>
      <c r="N1630" s="2729">
        <f t="shared" si="171"/>
        <v>16200</v>
      </c>
      <c r="O1630" s="2920"/>
      <c r="Q1630" s="2717"/>
      <c r="R1630" s="2717"/>
      <c r="S1630" s="2719"/>
      <c r="T1630" s="2717"/>
      <c r="U1630" s="2717"/>
      <c r="V1630" s="2717"/>
    </row>
    <row r="1631" spans="2:23" s="2922" customFormat="1" ht="14.1" customHeight="1" x14ac:dyDescent="0.2">
      <c r="B1631" s="2625"/>
      <c r="C1631" s="2929"/>
      <c r="D1631" s="2929"/>
      <c r="E1631" s="2994" t="s">
        <v>290</v>
      </c>
      <c r="F1631" s="2994"/>
      <c r="G1631" s="2633" t="s">
        <v>291</v>
      </c>
      <c r="H1631" s="2995">
        <v>0.05</v>
      </c>
      <c r="I1631" s="2906">
        <f>'Upah &amp; Bahan'!$I$31</f>
        <v>90000</v>
      </c>
      <c r="J1631" s="2932">
        <f>ROUND(H1631*I1631,2)</f>
        <v>4500</v>
      </c>
      <c r="K1631" s="2934"/>
      <c r="L1631" s="2731">
        <f t="shared" si="172"/>
        <v>1</v>
      </c>
      <c r="M1631" s="2731" t="str">
        <f t="shared" si="173"/>
        <v>WNI</v>
      </c>
      <c r="N1631" s="2729">
        <f t="shared" si="171"/>
        <v>4500</v>
      </c>
      <c r="O1631" s="2920"/>
      <c r="Q1631" s="2717"/>
      <c r="R1631" s="2717"/>
      <c r="S1631" s="2719"/>
      <c r="T1631" s="2717"/>
      <c r="U1631" s="2717"/>
      <c r="V1631" s="2717"/>
    </row>
    <row r="1632" spans="2:23" s="2922" customFormat="1" ht="14.1" customHeight="1" x14ac:dyDescent="0.2">
      <c r="B1632" s="2625"/>
      <c r="C1632" s="2926"/>
      <c r="D1632" s="2928"/>
      <c r="E1632" s="2939"/>
      <c r="F1632" s="2935"/>
      <c r="G1632" s="2940"/>
      <c r="H1632" s="2941"/>
      <c r="I1632" s="2973"/>
      <c r="J1632" s="2937"/>
      <c r="K1632" s="2942">
        <f>SUM(J1629:J1631)</f>
        <v>29530</v>
      </c>
      <c r="L1632" s="2731"/>
      <c r="M1632" s="2732"/>
      <c r="N1632" s="2729">
        <f t="shared" si="171"/>
        <v>0</v>
      </c>
      <c r="O1632" s="2920"/>
      <c r="Q1632" s="2717"/>
      <c r="R1632" s="2717"/>
      <c r="S1632" s="2719"/>
      <c r="T1632" s="2717"/>
      <c r="U1632" s="2717"/>
      <c r="V1632" s="2717"/>
    </row>
    <row r="1633" spans="2:23" s="2922" customFormat="1" ht="14.1" customHeight="1" x14ac:dyDescent="0.2">
      <c r="B1633" s="2625"/>
      <c r="C1633" s="2924" t="s">
        <v>609</v>
      </c>
      <c r="D1633" s="2938" t="s">
        <v>606</v>
      </c>
      <c r="E1633" s="2930"/>
      <c r="F1633" s="2930"/>
      <c r="G1633" s="2633"/>
      <c r="H1633" s="2943"/>
      <c r="I1633" s="2944"/>
      <c r="J1633" s="2932"/>
      <c r="K1633" s="2933"/>
      <c r="L1633" s="2731"/>
      <c r="M1633" s="2732"/>
      <c r="N1633" s="2729">
        <f t="shared" si="171"/>
        <v>0</v>
      </c>
      <c r="O1633" s="2920"/>
      <c r="Q1633" s="2717"/>
      <c r="R1633" s="2717"/>
      <c r="S1633" s="2719"/>
      <c r="T1633" s="2717"/>
      <c r="U1633" s="2717"/>
      <c r="V1633" s="2717"/>
    </row>
    <row r="1634" spans="2:23" s="2922" customFormat="1" ht="14.1" customHeight="1" x14ac:dyDescent="0.2">
      <c r="B1634" s="2625"/>
      <c r="C1634" s="2924"/>
      <c r="D1634" s="2929"/>
      <c r="E1634" s="2939"/>
      <c r="F1634" s="2935"/>
      <c r="G1634" s="2940"/>
      <c r="H1634" s="2941"/>
      <c r="I1634" s="2945"/>
      <c r="J1634" s="2937"/>
      <c r="K1634" s="2933"/>
      <c r="L1634" s="2731"/>
      <c r="M1634" s="2732"/>
      <c r="N1634" s="2729">
        <f t="shared" si="171"/>
        <v>0</v>
      </c>
      <c r="O1634" s="2920"/>
      <c r="Q1634" s="2717"/>
      <c r="R1634" s="2717"/>
      <c r="S1634" s="2719"/>
      <c r="T1634" s="2717"/>
      <c r="U1634" s="2717"/>
      <c r="V1634" s="2717"/>
    </row>
    <row r="1635" spans="2:23" s="2922" customFormat="1" ht="14.1" customHeight="1" x14ac:dyDescent="0.2">
      <c r="B1635" s="2625"/>
      <c r="C1635" s="2924"/>
      <c r="D1635" s="2929"/>
      <c r="E1635" s="2939"/>
      <c r="F1635" s="2935"/>
      <c r="G1635" s="2940"/>
      <c r="H1635" s="2941"/>
      <c r="I1635" s="2945"/>
      <c r="J1635" s="2937"/>
      <c r="K1635" s="2933"/>
      <c r="L1635" s="2731"/>
      <c r="M1635" s="2732"/>
      <c r="N1635" s="2729">
        <f t="shared" si="171"/>
        <v>0</v>
      </c>
      <c r="O1635" s="2920"/>
      <c r="Q1635" s="2717"/>
      <c r="R1635" s="2717"/>
      <c r="S1635" s="2719"/>
      <c r="T1635" s="2717"/>
      <c r="U1635" s="2717"/>
      <c r="V1635" s="2717"/>
    </row>
    <row r="1636" spans="2:23" s="2922" customFormat="1" ht="14.1" customHeight="1" x14ac:dyDescent="0.2">
      <c r="B1636" s="2625"/>
      <c r="C1636" s="2926"/>
      <c r="D1636" s="2928"/>
      <c r="E1636" s="2939"/>
      <c r="F1636" s="2935"/>
      <c r="G1636" s="2940"/>
      <c r="H1636" s="2941"/>
      <c r="I1636" s="2945"/>
      <c r="J1636" s="2937"/>
      <c r="K1636" s="2942">
        <f>SUM(J1633:J1633)</f>
        <v>0</v>
      </c>
      <c r="L1636" s="2731"/>
      <c r="M1636" s="2732"/>
      <c r="N1636" s="2729">
        <f t="shared" si="171"/>
        <v>0</v>
      </c>
      <c r="O1636" s="2920"/>
      <c r="Q1636" s="2717"/>
      <c r="R1636" s="2717"/>
      <c r="S1636" s="2719"/>
      <c r="T1636" s="2717"/>
      <c r="U1636" s="2717"/>
      <c r="V1636" s="2717"/>
    </row>
    <row r="1637" spans="2:23" s="2922" customFormat="1" ht="14.1" customHeight="1" x14ac:dyDescent="0.2">
      <c r="B1637" s="2625"/>
      <c r="C1637" s="2926" t="s">
        <v>610</v>
      </c>
      <c r="D1637" s="2946" t="s">
        <v>651</v>
      </c>
      <c r="E1637" s="2935"/>
      <c r="F1637" s="2935"/>
      <c r="G1637" s="2940"/>
      <c r="H1637" s="2941"/>
      <c r="I1637" s="2945"/>
      <c r="J1637" s="2947" t="s">
        <v>652</v>
      </c>
      <c r="K1637" s="2942">
        <f>K1628+K1632+K1636</f>
        <v>165230</v>
      </c>
      <c r="L1637" s="2746">
        <f>N1637/K1637</f>
        <v>0.68084367245657573</v>
      </c>
      <c r="M1637" s="2745"/>
      <c r="N1637" s="2747">
        <f>SUM(N1626:N1636)</f>
        <v>112495.8</v>
      </c>
      <c r="O1637" s="2920"/>
      <c r="Q1637" s="2717"/>
      <c r="R1637" s="2717"/>
      <c r="S1637" s="2719"/>
      <c r="T1637" s="2717"/>
      <c r="U1637" s="2717"/>
      <c r="V1637" s="2717"/>
    </row>
    <row r="1638" spans="2:23" s="2922" customFormat="1" ht="14.1" customHeight="1" x14ac:dyDescent="0.2">
      <c r="B1638" s="2625"/>
      <c r="C1638" s="2926" t="s">
        <v>611</v>
      </c>
      <c r="D1638" s="2946" t="s">
        <v>653</v>
      </c>
      <c r="E1638" s="2935"/>
      <c r="F1638" s="2748">
        <f>$F$42</f>
        <v>0.1</v>
      </c>
      <c r="G1638" s="2727" t="s">
        <v>425</v>
      </c>
      <c r="H1638" s="2748">
        <f>$H$42</f>
        <v>0.03</v>
      </c>
      <c r="I1638" s="2948" t="s">
        <v>424</v>
      </c>
      <c r="J1638" s="2942" t="s">
        <v>610</v>
      </c>
      <c r="K1638" s="2949">
        <f>ROUND((K1637*(F1638+H1638)),2)</f>
        <v>21479.9</v>
      </c>
      <c r="L1638" s="2732"/>
      <c r="M1638" s="2732"/>
      <c r="N1638" s="2732"/>
      <c r="O1638" s="2920"/>
      <c r="Q1638" s="2717"/>
      <c r="R1638" s="2717"/>
      <c r="S1638" s="2719"/>
      <c r="T1638" s="2717"/>
      <c r="U1638" s="2717"/>
      <c r="V1638" s="2717"/>
    </row>
    <row r="1639" spans="2:23" s="2922" customFormat="1" ht="14.1" customHeight="1" x14ac:dyDescent="0.2">
      <c r="B1639" s="2625"/>
      <c r="C1639" s="2950" t="s">
        <v>654</v>
      </c>
      <c r="D1639" s="2951" t="s">
        <v>301</v>
      </c>
      <c r="E1639" s="2952"/>
      <c r="F1639" s="2815"/>
      <c r="G1639" s="2815"/>
      <c r="H1639" s="2816"/>
      <c r="I1639" s="2952"/>
      <c r="J1639" s="2954" t="s">
        <v>668</v>
      </c>
      <c r="K1639" s="2955">
        <f>SUM(K1637:K1638)</f>
        <v>186709.9</v>
      </c>
      <c r="L1639" s="2746"/>
      <c r="M1639" s="2755"/>
      <c r="N1639" s="2757"/>
      <c r="O1639" s="2920"/>
      <c r="Q1639" s="2717"/>
      <c r="R1639" s="2717"/>
      <c r="S1639" s="2719"/>
      <c r="T1639" s="2717"/>
      <c r="U1639" s="2717"/>
      <c r="V1639" s="2717"/>
    </row>
    <row r="1640" spans="2:23" x14ac:dyDescent="0.25">
      <c r="Q1640" s="2717"/>
      <c r="R1640" s="2717"/>
      <c r="S1640" s="2719"/>
      <c r="T1640" s="2717"/>
      <c r="U1640" s="2717"/>
      <c r="V1640" s="2717"/>
    </row>
    <row r="1641" spans="2:23" s="2922" customFormat="1" ht="14.1" customHeight="1" x14ac:dyDescent="0.2">
      <c r="B1641" s="2711">
        <f>B1621+1</f>
        <v>83</v>
      </c>
      <c r="C1641" s="2625"/>
      <c r="D1641" s="2993" t="s">
        <v>1882</v>
      </c>
      <c r="E1641" s="2918"/>
      <c r="F1641" s="2918"/>
      <c r="G1641" s="2918"/>
      <c r="H1641" s="2625"/>
      <c r="I1641" s="2918"/>
      <c r="J1641" s="2918"/>
      <c r="K1641" s="2919" t="s">
        <v>720</v>
      </c>
      <c r="L1641" s="2919"/>
      <c r="M1641" s="2919"/>
      <c r="N1641" s="2919"/>
      <c r="O1641" s="2920" t="str">
        <f>D1642</f>
        <v>ttk</v>
      </c>
      <c r="P1641" s="2921">
        <f>K1660</f>
        <v>118457.9</v>
      </c>
      <c r="Q1641" s="2718">
        <f>L1658</f>
        <v>0.67070304302203565</v>
      </c>
      <c r="R1641" s="2717"/>
      <c r="S1641" s="2719">
        <f>N1658</f>
        <v>70309.8</v>
      </c>
      <c r="T1641" s="2515">
        <f>U1641+S1641</f>
        <v>79450.074000000008</v>
      </c>
      <c r="U1641" s="2719">
        <f>S1641*V1641</f>
        <v>9140.2740000000013</v>
      </c>
      <c r="V1641" s="2718">
        <f>$F$42+$H$42</f>
        <v>0.13</v>
      </c>
    </row>
    <row r="1642" spans="2:23" s="2922" customFormat="1" ht="14.1" customHeight="1" x14ac:dyDescent="0.2">
      <c r="B1642" s="2625"/>
      <c r="C1642" s="2625"/>
      <c r="D1642" s="2918" t="s">
        <v>390</v>
      </c>
      <c r="E1642" s="2918"/>
      <c r="F1642" s="2918"/>
      <c r="G1642" s="2918"/>
      <c r="H1642" s="2625"/>
      <c r="I1642" s="2918"/>
      <c r="J1642" s="2918"/>
      <c r="K1642" s="2918"/>
      <c r="L1642" s="2918"/>
      <c r="M1642" s="2918"/>
      <c r="N1642" s="2918"/>
      <c r="O1642" s="2920"/>
      <c r="Q1642" s="2717"/>
      <c r="R1642" s="2717"/>
      <c r="S1642" s="2719"/>
      <c r="T1642" s="2717"/>
      <c r="U1642" s="2717"/>
      <c r="V1642" s="2717"/>
    </row>
    <row r="1643" spans="2:23" s="2922" customFormat="1" ht="14.1" customHeight="1" x14ac:dyDescent="0.2">
      <c r="B1643" s="2625"/>
      <c r="C1643" s="2618"/>
      <c r="D1643" s="3458" t="s">
        <v>280</v>
      </c>
      <c r="E1643" s="3459"/>
      <c r="F1643" s="2923"/>
      <c r="G1643" s="3464" t="s">
        <v>281</v>
      </c>
      <c r="H1643" s="3464" t="s">
        <v>282</v>
      </c>
      <c r="I1643" s="2618" t="s">
        <v>283</v>
      </c>
      <c r="J1643" s="2618" t="s">
        <v>284</v>
      </c>
      <c r="K1643" s="2618" t="s">
        <v>340</v>
      </c>
      <c r="L1643" s="2524" t="s">
        <v>2008</v>
      </c>
      <c r="M1643" s="2524" t="s">
        <v>2009</v>
      </c>
      <c r="N1643" s="2524" t="s">
        <v>284</v>
      </c>
      <c r="O1643" s="2920"/>
      <c r="Q1643" s="2717"/>
      <c r="R1643" s="2717"/>
      <c r="S1643" s="2719"/>
      <c r="T1643" s="2717"/>
      <c r="U1643" s="2717"/>
      <c r="V1643" s="2717"/>
    </row>
    <row r="1644" spans="2:23" s="2922" customFormat="1" ht="14.1" customHeight="1" x14ac:dyDescent="0.2">
      <c r="B1644" s="2625"/>
      <c r="C1644" s="2924" t="s">
        <v>669</v>
      </c>
      <c r="D1644" s="3460"/>
      <c r="E1644" s="3461"/>
      <c r="F1644" s="2925"/>
      <c r="G1644" s="3465"/>
      <c r="H1644" s="3465"/>
      <c r="I1644" s="2924" t="s">
        <v>285</v>
      </c>
      <c r="J1644" s="2924" t="s">
        <v>286</v>
      </c>
      <c r="K1644" s="2924" t="s">
        <v>286</v>
      </c>
      <c r="L1644" s="2528" t="s">
        <v>2011</v>
      </c>
      <c r="M1644" s="2528"/>
      <c r="N1644" s="2528" t="s">
        <v>2013</v>
      </c>
      <c r="O1644" s="2920"/>
      <c r="Q1644" s="2717"/>
      <c r="R1644" s="2717"/>
      <c r="S1644" s="2719"/>
      <c r="T1644" s="2717"/>
      <c r="U1644" s="2717"/>
      <c r="V1644" s="2717"/>
    </row>
    <row r="1645" spans="2:23" s="2922" customFormat="1" ht="14.1" customHeight="1" x14ac:dyDescent="0.2">
      <c r="B1645" s="2625"/>
      <c r="C1645" s="2926"/>
      <c r="D1645" s="3462"/>
      <c r="E1645" s="3463"/>
      <c r="F1645" s="2927"/>
      <c r="G1645" s="3466"/>
      <c r="H1645" s="3466"/>
      <c r="I1645" s="2926" t="s">
        <v>286</v>
      </c>
      <c r="J1645" s="2928"/>
      <c r="K1645" s="2928"/>
      <c r="L1645" s="2536"/>
      <c r="M1645" s="2536"/>
      <c r="N1645" s="2537" t="s">
        <v>286</v>
      </c>
      <c r="O1645" s="2920"/>
      <c r="Q1645" s="2717"/>
      <c r="R1645" s="2717"/>
      <c r="S1645" s="2719"/>
      <c r="T1645" s="2717"/>
      <c r="U1645" s="2717"/>
      <c r="V1645" s="2717"/>
    </row>
    <row r="1646" spans="2:23" s="2922" customFormat="1" ht="14.1" customHeight="1" x14ac:dyDescent="0.2">
      <c r="B1646" s="2625"/>
      <c r="C1646" s="2618" t="s">
        <v>607</v>
      </c>
      <c r="D1646" s="2938" t="s">
        <v>287</v>
      </c>
      <c r="E1646" s="2994" t="s">
        <v>782</v>
      </c>
      <c r="F1646" s="2994"/>
      <c r="G1646" s="2633" t="s">
        <v>268</v>
      </c>
      <c r="H1646" s="2995">
        <v>1</v>
      </c>
      <c r="I1646" s="2932">
        <f>'Upah &amp; Bahan'!I76</f>
        <v>8600</v>
      </c>
      <c r="J1646" s="2932">
        <f>ROUND(H1646*I1646,2)</f>
        <v>8600</v>
      </c>
      <c r="K1646" s="2933"/>
      <c r="L1646" s="2731">
        <v>0</v>
      </c>
      <c r="M1646" s="2732"/>
      <c r="N1646" s="2729">
        <f t="shared" ref="N1646:N1657" si="174">L1646*J1646</f>
        <v>0</v>
      </c>
      <c r="O1646" s="2920"/>
      <c r="Q1646" s="2717"/>
      <c r="R1646" s="2717"/>
      <c r="S1646" s="2719"/>
      <c r="T1646" s="2717"/>
      <c r="U1646" s="2717"/>
      <c r="V1646" s="2717"/>
      <c r="W1646" s="2922">
        <v>850000</v>
      </c>
    </row>
    <row r="1647" spans="2:23" s="2922" customFormat="1" ht="14.1" customHeight="1" x14ac:dyDescent="0.2">
      <c r="B1647" s="2625"/>
      <c r="C1647" s="2929"/>
      <c r="D1647" s="2929"/>
      <c r="E1647" s="2994" t="s">
        <v>1986</v>
      </c>
      <c r="F1647" s="2994"/>
      <c r="G1647" s="2633" t="s">
        <v>247</v>
      </c>
      <c r="H1647" s="2995">
        <v>1</v>
      </c>
      <c r="I1647" s="2932">
        <f>'Upah &amp; Bahan'!I106</f>
        <v>58000</v>
      </c>
      <c r="J1647" s="2932">
        <f>ROUND(H1647*I1647,2)</f>
        <v>58000</v>
      </c>
      <c r="K1647" s="2934"/>
      <c r="L1647" s="2731">
        <v>0.59060000000000001</v>
      </c>
      <c r="M1647" s="2732" t="s">
        <v>2029</v>
      </c>
      <c r="N1647" s="2729">
        <f t="shared" si="174"/>
        <v>34254.800000000003</v>
      </c>
      <c r="O1647" s="2920"/>
      <c r="Q1647" s="2717"/>
      <c r="R1647" s="2717"/>
      <c r="S1647" s="2719"/>
      <c r="T1647" s="2717"/>
      <c r="U1647" s="2717"/>
      <c r="V1647" s="2717"/>
    </row>
    <row r="1648" spans="2:23" s="2922" customFormat="1" ht="14.1" customHeight="1" x14ac:dyDescent="0.2">
      <c r="B1648" s="2625"/>
      <c r="C1648" s="2929"/>
      <c r="D1648" s="2929"/>
      <c r="E1648" s="2994" t="s">
        <v>1971</v>
      </c>
      <c r="F1648" s="2994"/>
      <c r="G1648" s="2633" t="s">
        <v>1976</v>
      </c>
      <c r="H1648" s="2995">
        <v>1</v>
      </c>
      <c r="I1648" s="2932">
        <f>J1647*15%</f>
        <v>8700</v>
      </c>
      <c r="J1648" s="2932">
        <f>ROUND(H1648*I1648,2)</f>
        <v>8700</v>
      </c>
      <c r="K1648" s="2735"/>
      <c r="L1648" s="2731">
        <v>0.75</v>
      </c>
      <c r="M1648" s="2732" t="s">
        <v>2030</v>
      </c>
      <c r="N1648" s="2729">
        <f t="shared" si="174"/>
        <v>6525</v>
      </c>
      <c r="O1648" s="2920"/>
      <c r="Q1648" s="2717"/>
      <c r="R1648" s="2717"/>
      <c r="S1648" s="2719"/>
      <c r="T1648" s="2717"/>
      <c r="U1648" s="2717"/>
      <c r="V1648" s="2717"/>
    </row>
    <row r="1649" spans="2:22" s="2922" customFormat="1" ht="14.1" customHeight="1" x14ac:dyDescent="0.2">
      <c r="B1649" s="2625"/>
      <c r="C1649" s="2924"/>
      <c r="D1649" s="2929"/>
      <c r="E1649" s="2996"/>
      <c r="F1649" s="2997"/>
      <c r="G1649" s="2940"/>
      <c r="H1649" s="2998"/>
      <c r="I1649" s="2973"/>
      <c r="J1649" s="2937"/>
      <c r="K1649" s="2932">
        <f>SUM(J1646:J1648)</f>
        <v>75300</v>
      </c>
      <c r="L1649" s="2731"/>
      <c r="M1649" s="2732"/>
      <c r="N1649" s="2729">
        <f t="shared" si="174"/>
        <v>0</v>
      </c>
      <c r="O1649" s="2920"/>
      <c r="Q1649" s="2717"/>
      <c r="R1649" s="2717"/>
      <c r="S1649" s="2719"/>
      <c r="T1649" s="2717"/>
      <c r="U1649" s="2717"/>
      <c r="V1649" s="2717"/>
    </row>
    <row r="1650" spans="2:22" s="2922" customFormat="1" ht="14.1" customHeight="1" x14ac:dyDescent="0.2">
      <c r="B1650" s="2625"/>
      <c r="C1650" s="2618" t="s">
        <v>608</v>
      </c>
      <c r="D1650" s="2938" t="s">
        <v>288</v>
      </c>
      <c r="E1650" s="2994" t="s">
        <v>289</v>
      </c>
      <c r="F1650" s="2994"/>
      <c r="G1650" s="2633" t="s">
        <v>291</v>
      </c>
      <c r="H1650" s="2995">
        <v>0.1</v>
      </c>
      <c r="I1650" s="2906">
        <f>'Upah &amp; Bahan'!$I$24</f>
        <v>88300</v>
      </c>
      <c r="J1650" s="2932">
        <f>ROUND(H1650*I1650,2)</f>
        <v>8830</v>
      </c>
      <c r="K1650" s="2933"/>
      <c r="L1650" s="2731">
        <f t="shared" ref="L1650:L1652" si="175">VLOOKUP($E1650,$D$1744:$G$1761,2,0)</f>
        <v>1</v>
      </c>
      <c r="M1650" s="2731" t="str">
        <f t="shared" ref="M1650:M1652" si="176">VLOOKUP($E1650,$D$1744:$G$1761,3,0)</f>
        <v>WNI</v>
      </c>
      <c r="N1650" s="2729">
        <f t="shared" si="174"/>
        <v>8830</v>
      </c>
      <c r="O1650" s="2920"/>
      <c r="Q1650" s="2717"/>
      <c r="R1650" s="2717"/>
      <c r="S1650" s="2719"/>
      <c r="T1650" s="2717"/>
      <c r="U1650" s="2717"/>
      <c r="V1650" s="2717"/>
    </row>
    <row r="1651" spans="2:22" s="2922" customFormat="1" ht="14.1" customHeight="1" x14ac:dyDescent="0.2">
      <c r="B1651" s="2625"/>
      <c r="C1651" s="2929"/>
      <c r="D1651" s="2929"/>
      <c r="E1651" s="2994" t="s">
        <v>20</v>
      </c>
      <c r="F1651" s="2994"/>
      <c r="G1651" s="2633" t="s">
        <v>291</v>
      </c>
      <c r="H1651" s="2995">
        <v>0.18</v>
      </c>
      <c r="I1651" s="2906">
        <f>'Upah &amp; Bahan'!$I$38</f>
        <v>90000</v>
      </c>
      <c r="J1651" s="2932">
        <f>ROUND(H1651*I1651,2)</f>
        <v>16200</v>
      </c>
      <c r="K1651" s="2934"/>
      <c r="L1651" s="2731">
        <f t="shared" si="175"/>
        <v>1</v>
      </c>
      <c r="M1651" s="2731" t="str">
        <f t="shared" si="176"/>
        <v>WNI</v>
      </c>
      <c r="N1651" s="2729">
        <f t="shared" si="174"/>
        <v>16200</v>
      </c>
      <c r="O1651" s="2920"/>
      <c r="Q1651" s="2717"/>
      <c r="R1651" s="2717"/>
      <c r="S1651" s="2719"/>
      <c r="T1651" s="2717"/>
      <c r="U1651" s="2717"/>
      <c r="V1651" s="2717"/>
    </row>
    <row r="1652" spans="2:22" s="2922" customFormat="1" ht="14.1" customHeight="1" x14ac:dyDescent="0.2">
      <c r="B1652" s="2625"/>
      <c r="C1652" s="2929"/>
      <c r="D1652" s="2929"/>
      <c r="E1652" s="2994" t="s">
        <v>290</v>
      </c>
      <c r="F1652" s="2994"/>
      <c r="G1652" s="2633" t="s">
        <v>291</v>
      </c>
      <c r="H1652" s="2995">
        <v>0.05</v>
      </c>
      <c r="I1652" s="2906">
        <f>'Upah &amp; Bahan'!$I$31</f>
        <v>90000</v>
      </c>
      <c r="J1652" s="2932">
        <f>ROUND(H1652*I1652,2)</f>
        <v>4500</v>
      </c>
      <c r="K1652" s="2934"/>
      <c r="L1652" s="2731">
        <f t="shared" si="175"/>
        <v>1</v>
      </c>
      <c r="M1652" s="2731" t="str">
        <f t="shared" si="176"/>
        <v>WNI</v>
      </c>
      <c r="N1652" s="2729">
        <f t="shared" si="174"/>
        <v>4500</v>
      </c>
      <c r="O1652" s="2920"/>
      <c r="Q1652" s="2717"/>
      <c r="R1652" s="2717"/>
      <c r="S1652" s="2719"/>
      <c r="T1652" s="2717"/>
      <c r="U1652" s="2717"/>
      <c r="V1652" s="2717"/>
    </row>
    <row r="1653" spans="2:22" s="2922" customFormat="1" ht="14.1" customHeight="1" x14ac:dyDescent="0.2">
      <c r="B1653" s="2625"/>
      <c r="C1653" s="2926"/>
      <c r="D1653" s="2928"/>
      <c r="E1653" s="2939"/>
      <c r="F1653" s="2935"/>
      <c r="G1653" s="2940"/>
      <c r="H1653" s="2941"/>
      <c r="I1653" s="2973"/>
      <c r="J1653" s="2937"/>
      <c r="K1653" s="2942">
        <f>SUM(J1650:J1652)</f>
        <v>29530</v>
      </c>
      <c r="L1653" s="2731"/>
      <c r="M1653" s="2732"/>
      <c r="N1653" s="2729">
        <f t="shared" si="174"/>
        <v>0</v>
      </c>
      <c r="O1653" s="2920"/>
      <c r="Q1653" s="2717"/>
      <c r="R1653" s="2717"/>
      <c r="S1653" s="2719"/>
      <c r="T1653" s="2717"/>
      <c r="U1653" s="2717"/>
      <c r="V1653" s="2717"/>
    </row>
    <row r="1654" spans="2:22" s="2922" customFormat="1" ht="14.1" customHeight="1" x14ac:dyDescent="0.2">
      <c r="B1654" s="2625"/>
      <c r="C1654" s="2924" t="s">
        <v>609</v>
      </c>
      <c r="D1654" s="2938" t="s">
        <v>606</v>
      </c>
      <c r="E1654" s="2930"/>
      <c r="F1654" s="2930"/>
      <c r="G1654" s="2633"/>
      <c r="H1654" s="2943"/>
      <c r="I1654" s="2944"/>
      <c r="J1654" s="2932"/>
      <c r="K1654" s="2933"/>
      <c r="L1654" s="2731"/>
      <c r="M1654" s="2732"/>
      <c r="N1654" s="2729">
        <f t="shared" si="174"/>
        <v>0</v>
      </c>
      <c r="O1654" s="2920"/>
      <c r="Q1654" s="2717"/>
      <c r="R1654" s="2717"/>
      <c r="S1654" s="2719"/>
      <c r="T1654" s="2717"/>
      <c r="U1654" s="2717"/>
      <c r="V1654" s="2717"/>
    </row>
    <row r="1655" spans="2:22" s="2922" customFormat="1" ht="14.1" customHeight="1" x14ac:dyDescent="0.2">
      <c r="B1655" s="2625"/>
      <c r="C1655" s="2924"/>
      <c r="D1655" s="2929"/>
      <c r="E1655" s="2939"/>
      <c r="F1655" s="2935"/>
      <c r="G1655" s="2940"/>
      <c r="H1655" s="2941"/>
      <c r="I1655" s="2945"/>
      <c r="J1655" s="2937"/>
      <c r="K1655" s="2933"/>
      <c r="L1655" s="2731"/>
      <c r="M1655" s="2732"/>
      <c r="N1655" s="2729">
        <f t="shared" si="174"/>
        <v>0</v>
      </c>
      <c r="O1655" s="2920"/>
      <c r="Q1655" s="2717"/>
      <c r="R1655" s="2717"/>
      <c r="S1655" s="2719"/>
      <c r="T1655" s="2717"/>
      <c r="U1655" s="2717"/>
      <c r="V1655" s="2717"/>
    </row>
    <row r="1656" spans="2:22" s="2922" customFormat="1" ht="14.1" customHeight="1" x14ac:dyDescent="0.2">
      <c r="B1656" s="2625"/>
      <c r="C1656" s="2924"/>
      <c r="D1656" s="2929"/>
      <c r="E1656" s="2939"/>
      <c r="F1656" s="2935"/>
      <c r="G1656" s="2940"/>
      <c r="H1656" s="2941"/>
      <c r="I1656" s="2945"/>
      <c r="J1656" s="2937"/>
      <c r="K1656" s="2933"/>
      <c r="L1656" s="2731"/>
      <c r="M1656" s="2732"/>
      <c r="N1656" s="2729">
        <f t="shared" si="174"/>
        <v>0</v>
      </c>
      <c r="O1656" s="2920"/>
      <c r="Q1656" s="2717"/>
      <c r="R1656" s="2717"/>
      <c r="S1656" s="2719"/>
      <c r="T1656" s="2717"/>
      <c r="U1656" s="2717"/>
      <c r="V1656" s="2717"/>
    </row>
    <row r="1657" spans="2:22" s="2922" customFormat="1" ht="14.1" customHeight="1" x14ac:dyDescent="0.2">
      <c r="B1657" s="2625"/>
      <c r="C1657" s="2926"/>
      <c r="D1657" s="2928"/>
      <c r="E1657" s="2939"/>
      <c r="F1657" s="2935"/>
      <c r="G1657" s="2940"/>
      <c r="H1657" s="2941"/>
      <c r="I1657" s="2945"/>
      <c r="J1657" s="2937"/>
      <c r="K1657" s="2942">
        <f>SUM(J1654:J1654)</f>
        <v>0</v>
      </c>
      <c r="L1657" s="2731"/>
      <c r="M1657" s="2732"/>
      <c r="N1657" s="2729">
        <f t="shared" si="174"/>
        <v>0</v>
      </c>
      <c r="O1657" s="2920"/>
      <c r="Q1657" s="2717"/>
      <c r="R1657" s="2717"/>
      <c r="S1657" s="2719"/>
      <c r="T1657" s="2717"/>
      <c r="U1657" s="2717"/>
      <c r="V1657" s="2717"/>
    </row>
    <row r="1658" spans="2:22" s="2922" customFormat="1" ht="14.1" customHeight="1" x14ac:dyDescent="0.2">
      <c r="B1658" s="2625"/>
      <c r="C1658" s="2926" t="s">
        <v>610</v>
      </c>
      <c r="D1658" s="2946" t="s">
        <v>651</v>
      </c>
      <c r="E1658" s="2935"/>
      <c r="F1658" s="2935"/>
      <c r="G1658" s="2940"/>
      <c r="H1658" s="2941"/>
      <c r="I1658" s="2945"/>
      <c r="J1658" s="2947" t="s">
        <v>652</v>
      </c>
      <c r="K1658" s="2942">
        <f>K1649+K1653+K1657</f>
        <v>104830</v>
      </c>
      <c r="L1658" s="2746">
        <f>N1658/K1658</f>
        <v>0.67070304302203565</v>
      </c>
      <c r="M1658" s="2745"/>
      <c r="N1658" s="2747">
        <f>SUM(N1645:N1657)</f>
        <v>70309.8</v>
      </c>
      <c r="O1658" s="2920"/>
      <c r="Q1658" s="2717"/>
      <c r="R1658" s="2717"/>
      <c r="S1658" s="2719"/>
      <c r="T1658" s="2717"/>
      <c r="U1658" s="2717"/>
      <c r="V1658" s="2717"/>
    </row>
    <row r="1659" spans="2:22" s="2922" customFormat="1" ht="14.1" customHeight="1" x14ac:dyDescent="0.2">
      <c r="B1659" s="2625"/>
      <c r="C1659" s="2926" t="s">
        <v>611</v>
      </c>
      <c r="D1659" s="2946" t="s">
        <v>653</v>
      </c>
      <c r="E1659" s="2935"/>
      <c r="F1659" s="2748">
        <f>$F$42</f>
        <v>0.1</v>
      </c>
      <c r="G1659" s="2727" t="s">
        <v>425</v>
      </c>
      <c r="H1659" s="2748">
        <f>$H$42</f>
        <v>0.03</v>
      </c>
      <c r="I1659" s="2948" t="s">
        <v>424</v>
      </c>
      <c r="J1659" s="2942" t="s">
        <v>610</v>
      </c>
      <c r="K1659" s="2949">
        <f>ROUND((K1658*(F1659+H1659)),2)</f>
        <v>13627.9</v>
      </c>
      <c r="L1659" s="2732"/>
      <c r="M1659" s="2732"/>
      <c r="N1659" s="2732"/>
      <c r="O1659" s="2920"/>
      <c r="Q1659" s="2717"/>
      <c r="R1659" s="2717"/>
      <c r="S1659" s="2719"/>
      <c r="T1659" s="2717"/>
      <c r="U1659" s="2717"/>
      <c r="V1659" s="2717"/>
    </row>
    <row r="1660" spans="2:22" s="2922" customFormat="1" ht="14.1" customHeight="1" x14ac:dyDescent="0.2">
      <c r="B1660" s="2625"/>
      <c r="C1660" s="2950" t="s">
        <v>654</v>
      </c>
      <c r="D1660" s="2951" t="s">
        <v>301</v>
      </c>
      <c r="E1660" s="2952"/>
      <c r="F1660" s="2952"/>
      <c r="G1660" s="2952"/>
      <c r="H1660" s="2953"/>
      <c r="I1660" s="2952"/>
      <c r="J1660" s="2954" t="s">
        <v>668</v>
      </c>
      <c r="K1660" s="2955">
        <f>SUM(K1658:K1659)</f>
        <v>118457.9</v>
      </c>
      <c r="L1660" s="2746"/>
      <c r="M1660" s="2755"/>
      <c r="N1660" s="2757"/>
      <c r="O1660" s="2920"/>
      <c r="Q1660" s="2717"/>
      <c r="R1660" s="2717"/>
      <c r="S1660" s="2719"/>
      <c r="T1660" s="2717"/>
      <c r="U1660" s="2717"/>
      <c r="V1660" s="2717"/>
    </row>
    <row r="1661" spans="2:22" x14ac:dyDescent="0.25">
      <c r="Q1661" s="2717"/>
      <c r="R1661" s="2717"/>
      <c r="S1661" s="2719"/>
      <c r="T1661" s="2717"/>
      <c r="U1661" s="2717"/>
      <c r="V1661" s="2717"/>
    </row>
    <row r="1662" spans="2:22" s="2922" customFormat="1" ht="14.1" customHeight="1" x14ac:dyDescent="0.2">
      <c r="B1662" s="2711">
        <f>B1641+1</f>
        <v>84</v>
      </c>
      <c r="C1662" s="2625"/>
      <c r="D1662" s="2993" t="s">
        <v>1883</v>
      </c>
      <c r="E1662" s="2918"/>
      <c r="F1662" s="2918"/>
      <c r="G1662" s="2918"/>
      <c r="H1662" s="2625"/>
      <c r="I1662" s="2918"/>
      <c r="J1662" s="2918"/>
      <c r="K1662" s="2919" t="s">
        <v>720</v>
      </c>
      <c r="L1662" s="2919"/>
      <c r="M1662" s="2919"/>
      <c r="N1662" s="2919"/>
      <c r="O1662" s="2920" t="str">
        <f>D1663</f>
        <v>m'</v>
      </c>
      <c r="P1662" s="2921">
        <f>K1682</f>
        <v>274370.78000000003</v>
      </c>
      <c r="Q1662" s="2718">
        <f>L1680</f>
        <v>0.80899051094289265</v>
      </c>
      <c r="R1662" s="2717"/>
      <c r="S1662" s="2719">
        <f>N1680</f>
        <v>196427.75</v>
      </c>
      <c r="T1662" s="2515">
        <f>U1662+S1662</f>
        <v>221963.35750000001</v>
      </c>
      <c r="U1662" s="2719">
        <f>S1662*V1662</f>
        <v>25535.607500000002</v>
      </c>
      <c r="V1662" s="2718">
        <f>$F$42+$H$42</f>
        <v>0.13</v>
      </c>
    </row>
    <row r="1663" spans="2:22" s="2922" customFormat="1" ht="14.1" customHeight="1" x14ac:dyDescent="0.2">
      <c r="B1663" s="2625"/>
      <c r="C1663" s="2625"/>
      <c r="D1663" s="2918" t="s">
        <v>247</v>
      </c>
      <c r="E1663" s="2918"/>
      <c r="F1663" s="2918"/>
      <c r="G1663" s="2918"/>
      <c r="H1663" s="2625"/>
      <c r="I1663" s="2918"/>
      <c r="J1663" s="2918"/>
      <c r="K1663" s="2918"/>
      <c r="L1663" s="2918"/>
      <c r="M1663" s="2918"/>
      <c r="N1663" s="2918"/>
      <c r="O1663" s="2920"/>
      <c r="Q1663" s="2717"/>
      <c r="R1663" s="2717"/>
      <c r="S1663" s="2719"/>
      <c r="T1663" s="2717"/>
      <c r="U1663" s="2717"/>
      <c r="V1663" s="2717"/>
    </row>
    <row r="1664" spans="2:22" s="2922" customFormat="1" ht="14.1" customHeight="1" x14ac:dyDescent="0.2">
      <c r="B1664" s="2625"/>
      <c r="C1664" s="2618"/>
      <c r="D1664" s="3458" t="s">
        <v>280</v>
      </c>
      <c r="E1664" s="3459"/>
      <c r="F1664" s="2923"/>
      <c r="G1664" s="3464" t="s">
        <v>281</v>
      </c>
      <c r="H1664" s="3464" t="s">
        <v>282</v>
      </c>
      <c r="I1664" s="2618" t="s">
        <v>283</v>
      </c>
      <c r="J1664" s="2618" t="s">
        <v>284</v>
      </c>
      <c r="K1664" s="2618" t="s">
        <v>340</v>
      </c>
      <c r="L1664" s="2524" t="s">
        <v>2008</v>
      </c>
      <c r="M1664" s="2524" t="s">
        <v>2009</v>
      </c>
      <c r="N1664" s="2524" t="s">
        <v>284</v>
      </c>
      <c r="O1664" s="2920"/>
      <c r="Q1664" s="2717"/>
      <c r="R1664" s="2717"/>
      <c r="S1664" s="2719"/>
      <c r="T1664" s="2717"/>
      <c r="U1664" s="2717"/>
      <c r="V1664" s="2717"/>
    </row>
    <row r="1665" spans="2:23" s="2922" customFormat="1" ht="14.1" customHeight="1" x14ac:dyDescent="0.2">
      <c r="B1665" s="2625"/>
      <c r="C1665" s="2924" t="s">
        <v>669</v>
      </c>
      <c r="D1665" s="3460"/>
      <c r="E1665" s="3461"/>
      <c r="F1665" s="2925"/>
      <c r="G1665" s="3465"/>
      <c r="H1665" s="3465"/>
      <c r="I1665" s="2924" t="s">
        <v>285</v>
      </c>
      <c r="J1665" s="2924" t="s">
        <v>286</v>
      </c>
      <c r="K1665" s="2924" t="s">
        <v>286</v>
      </c>
      <c r="L1665" s="2528" t="s">
        <v>2011</v>
      </c>
      <c r="M1665" s="2528"/>
      <c r="N1665" s="2528" t="s">
        <v>2013</v>
      </c>
      <c r="O1665" s="2920"/>
      <c r="Q1665" s="2717"/>
      <c r="R1665" s="2717"/>
      <c r="S1665" s="2719"/>
      <c r="T1665" s="2717"/>
      <c r="U1665" s="2717"/>
      <c r="V1665" s="2717"/>
    </row>
    <row r="1666" spans="2:23" s="2922" customFormat="1" ht="14.1" customHeight="1" x14ac:dyDescent="0.2">
      <c r="B1666" s="2625"/>
      <c r="C1666" s="2926"/>
      <c r="D1666" s="3462"/>
      <c r="E1666" s="3463"/>
      <c r="F1666" s="2927"/>
      <c r="G1666" s="3466"/>
      <c r="H1666" s="3466"/>
      <c r="I1666" s="2926" t="s">
        <v>286</v>
      </c>
      <c r="J1666" s="2928"/>
      <c r="K1666" s="2928"/>
      <c r="L1666" s="2536"/>
      <c r="M1666" s="2536"/>
      <c r="N1666" s="2537" t="s">
        <v>286</v>
      </c>
      <c r="O1666" s="2920"/>
      <c r="Q1666" s="2717"/>
      <c r="R1666" s="2717"/>
      <c r="S1666" s="2719"/>
      <c r="T1666" s="2717"/>
      <c r="U1666" s="2717"/>
      <c r="V1666" s="2717"/>
    </row>
    <row r="1667" spans="2:23" s="2922" customFormat="1" ht="14.1" customHeight="1" x14ac:dyDescent="0.2">
      <c r="B1667" s="2625"/>
      <c r="C1667" s="2618" t="s">
        <v>607</v>
      </c>
      <c r="D1667" s="2938" t="s">
        <v>287</v>
      </c>
      <c r="E1667" s="2994" t="s">
        <v>1991</v>
      </c>
      <c r="F1667" s="2994"/>
      <c r="G1667" s="2633" t="s">
        <v>268</v>
      </c>
      <c r="H1667" s="2995">
        <v>2</v>
      </c>
      <c r="I1667" s="2932">
        <v>10500</v>
      </c>
      <c r="J1667" s="2932">
        <f>ROUND(H1667*I1667,2)</f>
        <v>21000</v>
      </c>
      <c r="K1667" s="2933"/>
      <c r="L1667" s="2731">
        <v>0</v>
      </c>
      <c r="M1667" s="2732"/>
      <c r="N1667" s="2729">
        <f t="shared" ref="N1667:N1679" si="177">L1667*J1667</f>
        <v>0</v>
      </c>
      <c r="O1667" s="2920"/>
      <c r="Q1667" s="2717"/>
      <c r="R1667" s="2717"/>
      <c r="S1667" s="2719"/>
      <c r="T1667" s="2717"/>
      <c r="U1667" s="2717"/>
      <c r="V1667" s="2717"/>
      <c r="W1667" s="2922">
        <v>850000</v>
      </c>
    </row>
    <row r="1668" spans="2:23" s="2922" customFormat="1" ht="14.1" customHeight="1" x14ac:dyDescent="0.2">
      <c r="B1668" s="2625"/>
      <c r="C1668" s="2929"/>
      <c r="D1668" s="2929"/>
      <c r="E1668" s="2994" t="s">
        <v>1992</v>
      </c>
      <c r="F1668" s="2994"/>
      <c r="G1668" s="2633" t="s">
        <v>268</v>
      </c>
      <c r="H1668" s="2995">
        <v>2</v>
      </c>
      <c r="I1668" s="2932">
        <f>'Upah &amp; Bahan'!I115</f>
        <v>570</v>
      </c>
      <c r="J1668" s="2932">
        <f>ROUND(H1668*I1668,2)</f>
        <v>1140</v>
      </c>
      <c r="K1668" s="2934"/>
      <c r="L1668" s="2731">
        <v>0</v>
      </c>
      <c r="M1668" s="2732"/>
      <c r="N1668" s="2729">
        <f t="shared" si="177"/>
        <v>0</v>
      </c>
      <c r="O1668" s="2920"/>
      <c r="Q1668" s="2717"/>
      <c r="R1668" s="2717"/>
      <c r="S1668" s="2719"/>
      <c r="T1668" s="2717"/>
      <c r="U1668" s="2717"/>
      <c r="V1668" s="2717"/>
      <c r="W1668" s="2922">
        <f>W1667/50</f>
        <v>17000</v>
      </c>
    </row>
    <row r="1669" spans="2:23" s="2922" customFormat="1" ht="14.1" customHeight="1" x14ac:dyDescent="0.2">
      <c r="B1669" s="2625"/>
      <c r="C1669" s="2929"/>
      <c r="D1669" s="2929"/>
      <c r="E1669" s="2994" t="s">
        <v>1993</v>
      </c>
      <c r="F1669" s="2994"/>
      <c r="G1669" s="2633" t="s">
        <v>247</v>
      </c>
      <c r="H1669" s="2995">
        <v>1.1000000000000001</v>
      </c>
      <c r="I1669" s="2932">
        <f>'Upah &amp; Bahan'!I88</f>
        <v>140000</v>
      </c>
      <c r="J1669" s="2932">
        <f>ROUND(H1669*I1669,2)</f>
        <v>154000</v>
      </c>
      <c r="K1669" s="2934"/>
      <c r="L1669" s="2731">
        <v>0.88549999999999995</v>
      </c>
      <c r="M1669" s="2732" t="s">
        <v>2029</v>
      </c>
      <c r="N1669" s="2729">
        <f t="shared" si="177"/>
        <v>136367</v>
      </c>
      <c r="O1669" s="2920"/>
      <c r="Q1669" s="2717"/>
      <c r="R1669" s="2717"/>
      <c r="S1669" s="2719"/>
      <c r="T1669" s="2717"/>
      <c r="U1669" s="2717"/>
      <c r="V1669" s="2717"/>
    </row>
    <row r="1670" spans="2:23" s="2922" customFormat="1" ht="14.1" customHeight="1" x14ac:dyDescent="0.2">
      <c r="B1670" s="2625"/>
      <c r="C1670" s="2929"/>
      <c r="D1670" s="2929"/>
      <c r="E1670" s="2994" t="s">
        <v>1971</v>
      </c>
      <c r="F1670" s="2994"/>
      <c r="G1670" s="2633" t="s">
        <v>1976</v>
      </c>
      <c r="H1670" s="2995">
        <v>1</v>
      </c>
      <c r="I1670" s="2932">
        <f>SUM(J1667:J1669)*15%</f>
        <v>26421</v>
      </c>
      <c r="J1670" s="2932">
        <f>ROUND(H1670*I1670,2)</f>
        <v>26421</v>
      </c>
      <c r="K1670" s="2735"/>
      <c r="L1670" s="2731">
        <v>0.75</v>
      </c>
      <c r="M1670" s="2732" t="s">
        <v>2030</v>
      </c>
      <c r="N1670" s="2729">
        <f t="shared" si="177"/>
        <v>19815.75</v>
      </c>
      <c r="O1670" s="2920"/>
      <c r="Q1670" s="2717"/>
      <c r="R1670" s="2717"/>
      <c r="S1670" s="2719"/>
      <c r="T1670" s="2717"/>
      <c r="U1670" s="2717"/>
      <c r="V1670" s="2717"/>
    </row>
    <row r="1671" spans="2:23" s="2922" customFormat="1" ht="14.1" customHeight="1" x14ac:dyDescent="0.2">
      <c r="B1671" s="2625"/>
      <c r="C1671" s="2924"/>
      <c r="D1671" s="2929"/>
      <c r="E1671" s="2996"/>
      <c r="F1671" s="2997"/>
      <c r="G1671" s="2940"/>
      <c r="H1671" s="2998"/>
      <c r="I1671" s="2973"/>
      <c r="J1671" s="2937"/>
      <c r="K1671" s="2932">
        <f>SUM(J1667:J1670)</f>
        <v>202561</v>
      </c>
      <c r="L1671" s="2731"/>
      <c r="M1671" s="2732"/>
      <c r="N1671" s="2729">
        <f t="shared" si="177"/>
        <v>0</v>
      </c>
      <c r="O1671" s="2920"/>
      <c r="Q1671" s="2717"/>
      <c r="R1671" s="2717"/>
      <c r="S1671" s="2719"/>
      <c r="T1671" s="2717"/>
      <c r="U1671" s="2717"/>
      <c r="V1671" s="2717"/>
    </row>
    <row r="1672" spans="2:23" s="2922" customFormat="1" ht="14.1" customHeight="1" x14ac:dyDescent="0.2">
      <c r="B1672" s="2625"/>
      <c r="C1672" s="2618" t="s">
        <v>608</v>
      </c>
      <c r="D1672" s="2938" t="s">
        <v>288</v>
      </c>
      <c r="E1672" s="2994" t="s">
        <v>289</v>
      </c>
      <c r="F1672" s="2994"/>
      <c r="G1672" s="2633" t="s">
        <v>291</v>
      </c>
      <c r="H1672" s="2995">
        <v>0.15</v>
      </c>
      <c r="I1672" s="2906">
        <f>'Upah &amp; Bahan'!$I$24</f>
        <v>88300</v>
      </c>
      <c r="J1672" s="2932">
        <f>ROUND(H1672*I1672,2)</f>
        <v>13245</v>
      </c>
      <c r="K1672" s="2933"/>
      <c r="L1672" s="2731">
        <f t="shared" ref="L1672:L1674" si="178">VLOOKUP($E1672,$D$1744:$G$1761,2,0)</f>
        <v>1</v>
      </c>
      <c r="M1672" s="2731" t="str">
        <f t="shared" ref="M1672:M1674" si="179">VLOOKUP($E1672,$D$1744:$G$1761,3,0)</f>
        <v>WNI</v>
      </c>
      <c r="N1672" s="2729">
        <f t="shared" si="177"/>
        <v>13245</v>
      </c>
      <c r="O1672" s="2920"/>
      <c r="Q1672" s="2717"/>
      <c r="R1672" s="2717"/>
      <c r="S1672" s="2719"/>
      <c r="T1672" s="2717"/>
      <c r="U1672" s="2717"/>
      <c r="V1672" s="2717"/>
    </row>
    <row r="1673" spans="2:23" s="2922" customFormat="1" ht="14.1" customHeight="1" x14ac:dyDescent="0.2">
      <c r="B1673" s="2625"/>
      <c r="C1673" s="2929"/>
      <c r="D1673" s="2929"/>
      <c r="E1673" s="2994" t="s">
        <v>20</v>
      </c>
      <c r="F1673" s="2994"/>
      <c r="G1673" s="2633" t="s">
        <v>291</v>
      </c>
      <c r="H1673" s="2995">
        <v>0.25</v>
      </c>
      <c r="I1673" s="2906">
        <f>'Upah &amp; Bahan'!$I$38</f>
        <v>90000</v>
      </c>
      <c r="J1673" s="2932">
        <f>ROUND(H1673*I1673,2)</f>
        <v>22500</v>
      </c>
      <c r="K1673" s="2934"/>
      <c r="L1673" s="2731">
        <f t="shared" si="178"/>
        <v>1</v>
      </c>
      <c r="M1673" s="2731" t="str">
        <f t="shared" si="179"/>
        <v>WNI</v>
      </c>
      <c r="N1673" s="2729">
        <f t="shared" si="177"/>
        <v>22500</v>
      </c>
      <c r="O1673" s="2920"/>
      <c r="Q1673" s="2717"/>
      <c r="R1673" s="2717"/>
      <c r="S1673" s="2719"/>
      <c r="T1673" s="2717"/>
      <c r="U1673" s="2717"/>
      <c r="V1673" s="2717"/>
    </row>
    <row r="1674" spans="2:23" s="2922" customFormat="1" ht="14.1" customHeight="1" x14ac:dyDescent="0.2">
      <c r="B1674" s="2625"/>
      <c r="C1674" s="2929"/>
      <c r="D1674" s="2929"/>
      <c r="E1674" s="2994" t="s">
        <v>290</v>
      </c>
      <c r="F1674" s="2994"/>
      <c r="G1674" s="2633" t="s">
        <v>291</v>
      </c>
      <c r="H1674" s="2995">
        <v>0.05</v>
      </c>
      <c r="I1674" s="2906">
        <f>'Upah &amp; Bahan'!$I$31</f>
        <v>90000</v>
      </c>
      <c r="J1674" s="2932">
        <f>ROUND(H1674*I1674,2)</f>
        <v>4500</v>
      </c>
      <c r="K1674" s="2934"/>
      <c r="L1674" s="2731">
        <f t="shared" si="178"/>
        <v>1</v>
      </c>
      <c r="M1674" s="2731" t="str">
        <f t="shared" si="179"/>
        <v>WNI</v>
      </c>
      <c r="N1674" s="2729">
        <f t="shared" si="177"/>
        <v>4500</v>
      </c>
      <c r="O1674" s="2920"/>
      <c r="Q1674" s="2717"/>
      <c r="R1674" s="2717"/>
      <c r="S1674" s="2719"/>
      <c r="T1674" s="2717"/>
      <c r="U1674" s="2717"/>
      <c r="V1674" s="2717"/>
    </row>
    <row r="1675" spans="2:23" s="2922" customFormat="1" ht="14.1" customHeight="1" x14ac:dyDescent="0.2">
      <c r="B1675" s="2625"/>
      <c r="C1675" s="2926"/>
      <c r="D1675" s="2928"/>
      <c r="E1675" s="2939"/>
      <c r="F1675" s="2935"/>
      <c r="G1675" s="2940"/>
      <c r="H1675" s="2941"/>
      <c r="I1675" s="2973"/>
      <c r="J1675" s="2937"/>
      <c r="K1675" s="2942">
        <f>SUM(J1672:J1674)</f>
        <v>40245</v>
      </c>
      <c r="L1675" s="2731"/>
      <c r="M1675" s="2732"/>
      <c r="N1675" s="2729">
        <f t="shared" si="177"/>
        <v>0</v>
      </c>
      <c r="O1675" s="2920"/>
      <c r="Q1675" s="2717"/>
      <c r="R1675" s="2717"/>
      <c r="S1675" s="2719"/>
      <c r="T1675" s="2717"/>
      <c r="U1675" s="2717"/>
      <c r="V1675" s="2717"/>
    </row>
    <row r="1676" spans="2:23" s="2922" customFormat="1" ht="14.1" customHeight="1" x14ac:dyDescent="0.2">
      <c r="B1676" s="2625"/>
      <c r="C1676" s="2924" t="s">
        <v>609</v>
      </c>
      <c r="D1676" s="2938" t="s">
        <v>606</v>
      </c>
      <c r="E1676" s="2930"/>
      <c r="F1676" s="2930"/>
      <c r="G1676" s="2633"/>
      <c r="H1676" s="2943"/>
      <c r="I1676" s="2944"/>
      <c r="J1676" s="2932"/>
      <c r="K1676" s="2933"/>
      <c r="L1676" s="2731"/>
      <c r="M1676" s="2732"/>
      <c r="N1676" s="2729">
        <f t="shared" si="177"/>
        <v>0</v>
      </c>
      <c r="O1676" s="2920"/>
      <c r="Q1676" s="2717"/>
      <c r="R1676" s="2717"/>
      <c r="S1676" s="2719"/>
      <c r="T1676" s="2717"/>
      <c r="U1676" s="2717"/>
      <c r="V1676" s="2717"/>
    </row>
    <row r="1677" spans="2:23" s="2922" customFormat="1" ht="14.1" customHeight="1" x14ac:dyDescent="0.2">
      <c r="B1677" s="2625"/>
      <c r="C1677" s="2924"/>
      <c r="D1677" s="2929"/>
      <c r="E1677" s="2939"/>
      <c r="F1677" s="2935"/>
      <c r="G1677" s="2940"/>
      <c r="H1677" s="2941"/>
      <c r="I1677" s="2945"/>
      <c r="J1677" s="2937"/>
      <c r="K1677" s="2933"/>
      <c r="L1677" s="2731"/>
      <c r="M1677" s="2732"/>
      <c r="N1677" s="2729">
        <f t="shared" si="177"/>
        <v>0</v>
      </c>
      <c r="O1677" s="2920"/>
      <c r="Q1677" s="2717"/>
      <c r="R1677" s="2717"/>
      <c r="S1677" s="2719"/>
      <c r="T1677" s="2717"/>
      <c r="U1677" s="2717"/>
      <c r="V1677" s="2717"/>
    </row>
    <row r="1678" spans="2:23" s="2922" customFormat="1" ht="14.1" customHeight="1" x14ac:dyDescent="0.2">
      <c r="B1678" s="2625"/>
      <c r="C1678" s="2924"/>
      <c r="D1678" s="2929"/>
      <c r="E1678" s="2939"/>
      <c r="F1678" s="2935"/>
      <c r="G1678" s="2940"/>
      <c r="H1678" s="2941"/>
      <c r="I1678" s="2945"/>
      <c r="J1678" s="2937"/>
      <c r="K1678" s="2933"/>
      <c r="L1678" s="2731"/>
      <c r="M1678" s="2732"/>
      <c r="N1678" s="2729">
        <f t="shared" si="177"/>
        <v>0</v>
      </c>
      <c r="O1678" s="2920"/>
      <c r="Q1678" s="2717"/>
      <c r="R1678" s="2717"/>
      <c r="S1678" s="2719"/>
      <c r="T1678" s="2717"/>
      <c r="U1678" s="2717"/>
      <c r="V1678" s="2717"/>
    </row>
    <row r="1679" spans="2:23" s="2922" customFormat="1" ht="14.1" customHeight="1" x14ac:dyDescent="0.2">
      <c r="B1679" s="2625"/>
      <c r="C1679" s="2926"/>
      <c r="D1679" s="2928"/>
      <c r="E1679" s="2939"/>
      <c r="F1679" s="2935"/>
      <c r="G1679" s="2940"/>
      <c r="H1679" s="2941"/>
      <c r="I1679" s="2945"/>
      <c r="J1679" s="2937"/>
      <c r="K1679" s="2942">
        <f>SUM(J1676:J1676)</f>
        <v>0</v>
      </c>
      <c r="L1679" s="2731"/>
      <c r="M1679" s="2732"/>
      <c r="N1679" s="2729">
        <f t="shared" si="177"/>
        <v>0</v>
      </c>
      <c r="O1679" s="2920"/>
      <c r="Q1679" s="2717"/>
      <c r="R1679" s="2717"/>
      <c r="S1679" s="2719"/>
      <c r="T1679" s="2717"/>
      <c r="U1679" s="2717"/>
      <c r="V1679" s="2717"/>
    </row>
    <row r="1680" spans="2:23" s="2922" customFormat="1" ht="14.1" customHeight="1" x14ac:dyDescent="0.2">
      <c r="B1680" s="2625"/>
      <c r="C1680" s="2926" t="s">
        <v>610</v>
      </c>
      <c r="D1680" s="2946" t="s">
        <v>651</v>
      </c>
      <c r="E1680" s="2935"/>
      <c r="F1680" s="2935"/>
      <c r="G1680" s="2940"/>
      <c r="H1680" s="2941"/>
      <c r="I1680" s="2945"/>
      <c r="J1680" s="2947" t="s">
        <v>652</v>
      </c>
      <c r="K1680" s="2942">
        <f>K1671+K1675+K1679</f>
        <v>242806</v>
      </c>
      <c r="L1680" s="2746">
        <f>N1680/K1680</f>
        <v>0.80899051094289265</v>
      </c>
      <c r="M1680" s="2745"/>
      <c r="N1680" s="2747">
        <f>SUM(N1666:N1679)</f>
        <v>196427.75</v>
      </c>
      <c r="O1680" s="2920"/>
      <c r="Q1680" s="2717"/>
      <c r="R1680" s="2717"/>
      <c r="S1680" s="2719"/>
      <c r="T1680" s="2717"/>
      <c r="U1680" s="2717"/>
      <c r="V1680" s="2717"/>
    </row>
    <row r="1681" spans="2:22" s="2922" customFormat="1" ht="14.1" customHeight="1" x14ac:dyDescent="0.2">
      <c r="B1681" s="2625"/>
      <c r="C1681" s="2926" t="s">
        <v>611</v>
      </c>
      <c r="D1681" s="2946" t="s">
        <v>653</v>
      </c>
      <c r="E1681" s="2935"/>
      <c r="F1681" s="2748">
        <f>$F$42</f>
        <v>0.1</v>
      </c>
      <c r="G1681" s="2727" t="s">
        <v>425</v>
      </c>
      <c r="H1681" s="2748">
        <f>$H$42</f>
        <v>0.03</v>
      </c>
      <c r="I1681" s="2948" t="s">
        <v>424</v>
      </c>
      <c r="J1681" s="2942" t="s">
        <v>610</v>
      </c>
      <c r="K1681" s="2949">
        <f>ROUND((K1680*(F1681+H1681)),2)</f>
        <v>31564.78</v>
      </c>
      <c r="L1681" s="2732"/>
      <c r="M1681" s="2732"/>
      <c r="N1681" s="2732"/>
      <c r="O1681" s="2920"/>
      <c r="Q1681" s="2717"/>
      <c r="R1681" s="2717"/>
      <c r="S1681" s="2719"/>
      <c r="T1681" s="2717"/>
      <c r="U1681" s="2717"/>
      <c r="V1681" s="2717"/>
    </row>
    <row r="1682" spans="2:22" s="2922" customFormat="1" ht="14.1" customHeight="1" x14ac:dyDescent="0.2">
      <c r="B1682" s="2625"/>
      <c r="C1682" s="2950" t="s">
        <v>654</v>
      </c>
      <c r="D1682" s="2951" t="s">
        <v>301</v>
      </c>
      <c r="E1682" s="2952"/>
      <c r="F1682" s="2952"/>
      <c r="G1682" s="2952"/>
      <c r="H1682" s="2953"/>
      <c r="I1682" s="2952"/>
      <c r="J1682" s="2954" t="s">
        <v>668</v>
      </c>
      <c r="K1682" s="2955">
        <f>SUM(K1680:K1681)</f>
        <v>274370.78000000003</v>
      </c>
      <c r="L1682" s="2746"/>
      <c r="M1682" s="2755"/>
      <c r="N1682" s="2757"/>
      <c r="O1682" s="2920"/>
      <c r="Q1682" s="2717"/>
      <c r="R1682" s="2717"/>
      <c r="S1682" s="2719"/>
      <c r="T1682" s="2717"/>
      <c r="U1682" s="2717"/>
      <c r="V1682" s="2717"/>
    </row>
    <row r="1683" spans="2:22" x14ac:dyDescent="0.25">
      <c r="Q1683" s="2717"/>
      <c r="R1683" s="2717"/>
      <c r="S1683" s="2719"/>
      <c r="T1683" s="2717"/>
      <c r="U1683" s="2717"/>
      <c r="V1683" s="2717"/>
    </row>
    <row r="1684" spans="2:22" s="2922" customFormat="1" ht="14.1" customHeight="1" x14ac:dyDescent="0.2">
      <c r="B1684" s="2711">
        <f>B1662+1</f>
        <v>85</v>
      </c>
      <c r="C1684" s="2625"/>
      <c r="D1684" s="2993" t="s">
        <v>1995</v>
      </c>
      <c r="E1684" s="2918"/>
      <c r="F1684" s="2918"/>
      <c r="G1684" s="2918"/>
      <c r="H1684" s="2625"/>
      <c r="I1684" s="2918"/>
      <c r="J1684" s="2918"/>
      <c r="K1684" s="2919" t="s">
        <v>720</v>
      </c>
      <c r="L1684" s="2919"/>
      <c r="M1684" s="2919"/>
      <c r="N1684" s="2919"/>
      <c r="O1684" s="2920" t="str">
        <f>D1685</f>
        <v>bh</v>
      </c>
      <c r="P1684" s="2921">
        <f>K1699</f>
        <v>556977</v>
      </c>
      <c r="Q1684" s="2718">
        <f>L1697</f>
        <v>0.11594643944004869</v>
      </c>
      <c r="R1684" s="2717"/>
      <c r="S1684" s="2719">
        <f>N1697</f>
        <v>57150</v>
      </c>
      <c r="T1684" s="2515">
        <f>U1684+S1684</f>
        <v>64579.5</v>
      </c>
      <c r="U1684" s="2719">
        <f>S1684*V1684</f>
        <v>7429.5</v>
      </c>
      <c r="V1684" s="2718">
        <f>$F$42+$H$42</f>
        <v>0.13</v>
      </c>
    </row>
    <row r="1685" spans="2:22" s="2922" customFormat="1" ht="14.1" customHeight="1" x14ac:dyDescent="0.2">
      <c r="B1685" s="2625"/>
      <c r="C1685" s="2625"/>
      <c r="D1685" s="2918" t="s">
        <v>268</v>
      </c>
      <c r="E1685" s="2918"/>
      <c r="F1685" s="2918"/>
      <c r="G1685" s="2918"/>
      <c r="H1685" s="2625"/>
      <c r="I1685" s="2918"/>
      <c r="J1685" s="2918"/>
      <c r="K1685" s="2918"/>
      <c r="L1685" s="2918"/>
      <c r="M1685" s="2918"/>
      <c r="N1685" s="2918"/>
      <c r="O1685" s="2920"/>
      <c r="Q1685" s="2717"/>
      <c r="R1685" s="2717"/>
      <c r="S1685" s="2719"/>
      <c r="T1685" s="2717"/>
      <c r="U1685" s="2717"/>
      <c r="V1685" s="2717"/>
    </row>
    <row r="1686" spans="2:22" s="2922" customFormat="1" ht="14.1" customHeight="1" x14ac:dyDescent="0.2">
      <c r="B1686" s="2625"/>
      <c r="C1686" s="2618"/>
      <c r="D1686" s="3458" t="s">
        <v>280</v>
      </c>
      <c r="E1686" s="3459"/>
      <c r="F1686" s="2923"/>
      <c r="G1686" s="3464" t="s">
        <v>281</v>
      </c>
      <c r="H1686" s="3464" t="s">
        <v>282</v>
      </c>
      <c r="I1686" s="2618" t="s">
        <v>283</v>
      </c>
      <c r="J1686" s="2618" t="s">
        <v>284</v>
      </c>
      <c r="K1686" s="2618" t="s">
        <v>340</v>
      </c>
      <c r="L1686" s="2524" t="s">
        <v>2008</v>
      </c>
      <c r="M1686" s="2524" t="s">
        <v>2009</v>
      </c>
      <c r="N1686" s="2524" t="s">
        <v>284</v>
      </c>
      <c r="O1686" s="2920"/>
      <c r="Q1686" s="2717"/>
      <c r="R1686" s="2717"/>
      <c r="S1686" s="2719"/>
      <c r="T1686" s="2717"/>
      <c r="U1686" s="2717"/>
      <c r="V1686" s="2717"/>
    </row>
    <row r="1687" spans="2:22" s="2922" customFormat="1" ht="14.1" customHeight="1" x14ac:dyDescent="0.2">
      <c r="B1687" s="2625"/>
      <c r="C1687" s="2924" t="s">
        <v>669</v>
      </c>
      <c r="D1687" s="3460"/>
      <c r="E1687" s="3461"/>
      <c r="F1687" s="2925"/>
      <c r="G1687" s="3465"/>
      <c r="H1687" s="3465"/>
      <c r="I1687" s="2924" t="s">
        <v>285</v>
      </c>
      <c r="J1687" s="2924" t="s">
        <v>286</v>
      </c>
      <c r="K1687" s="2924" t="s">
        <v>286</v>
      </c>
      <c r="L1687" s="2528" t="s">
        <v>2011</v>
      </c>
      <c r="M1687" s="2528"/>
      <c r="N1687" s="2528" t="s">
        <v>2013</v>
      </c>
      <c r="O1687" s="2920"/>
      <c r="Q1687" s="2717"/>
      <c r="R1687" s="2717"/>
      <c r="S1687" s="2719"/>
      <c r="T1687" s="2717"/>
      <c r="U1687" s="2717"/>
      <c r="V1687" s="2717"/>
    </row>
    <row r="1688" spans="2:22" s="2922" customFormat="1" ht="14.1" customHeight="1" x14ac:dyDescent="0.2">
      <c r="B1688" s="2625"/>
      <c r="C1688" s="2926"/>
      <c r="D1688" s="3462"/>
      <c r="E1688" s="3463"/>
      <c r="F1688" s="2927"/>
      <c r="G1688" s="3466"/>
      <c r="H1688" s="3466"/>
      <c r="I1688" s="2926" t="s">
        <v>286</v>
      </c>
      <c r="J1688" s="2928"/>
      <c r="K1688" s="2928"/>
      <c r="L1688" s="2536"/>
      <c r="M1688" s="2536"/>
      <c r="N1688" s="2537" t="s">
        <v>286</v>
      </c>
      <c r="O1688" s="2920"/>
      <c r="Q1688" s="2717"/>
      <c r="R1688" s="2717"/>
      <c r="S1688" s="2719"/>
      <c r="T1688" s="2717"/>
      <c r="U1688" s="2717"/>
      <c r="V1688" s="2717"/>
    </row>
    <row r="1689" spans="2:22" s="2922" customFormat="1" ht="14.1" customHeight="1" x14ac:dyDescent="0.2">
      <c r="B1689" s="2625"/>
      <c r="C1689" s="2618" t="s">
        <v>607</v>
      </c>
      <c r="D1689" s="2938" t="s">
        <v>287</v>
      </c>
      <c r="E1689" s="2994" t="s">
        <v>1996</v>
      </c>
      <c r="F1689" s="2994"/>
      <c r="G1689" s="2633" t="s">
        <v>268</v>
      </c>
      <c r="H1689" s="2995">
        <v>1</v>
      </c>
      <c r="I1689" s="2932">
        <f>'Upah &amp; Bahan'!I75</f>
        <v>420000</v>
      </c>
      <c r="J1689" s="2932">
        <f>ROUND(H1689*I1689,2)</f>
        <v>420000</v>
      </c>
      <c r="K1689" s="2933"/>
      <c r="L1689" s="2731">
        <v>0</v>
      </c>
      <c r="M1689" s="2732"/>
      <c r="N1689" s="2729">
        <f t="shared" ref="N1689:N1696" si="180">L1689*J1689</f>
        <v>0</v>
      </c>
      <c r="O1689" s="2920"/>
      <c r="Q1689" s="2717"/>
      <c r="R1689" s="2717"/>
      <c r="S1689" s="2719"/>
      <c r="T1689" s="2717"/>
      <c r="U1689" s="2717"/>
      <c r="V1689" s="2717"/>
    </row>
    <row r="1690" spans="2:22" s="2922" customFormat="1" ht="14.1" customHeight="1" x14ac:dyDescent="0.2">
      <c r="B1690" s="2625"/>
      <c r="C1690" s="2924"/>
      <c r="D1690" s="2929"/>
      <c r="E1690" s="2994" t="s">
        <v>1971</v>
      </c>
      <c r="F1690" s="2994"/>
      <c r="G1690" s="2633" t="s">
        <v>1976</v>
      </c>
      <c r="H1690" s="2995">
        <v>1</v>
      </c>
      <c r="I1690" s="2932">
        <f>J1689*15%</f>
        <v>63000</v>
      </c>
      <c r="J1690" s="2932">
        <f>ROUND(H1690*I1690,2)</f>
        <v>63000</v>
      </c>
      <c r="K1690" s="2933"/>
      <c r="L1690" s="2731">
        <v>0.75</v>
      </c>
      <c r="M1690" s="2732" t="s">
        <v>2030</v>
      </c>
      <c r="N1690" s="2729">
        <f t="shared" si="180"/>
        <v>47250</v>
      </c>
      <c r="O1690" s="2920"/>
      <c r="Q1690" s="2717"/>
      <c r="R1690" s="2717"/>
      <c r="S1690" s="2719"/>
      <c r="T1690" s="2717"/>
      <c r="U1690" s="2717"/>
      <c r="V1690" s="2717"/>
    </row>
    <row r="1691" spans="2:22" s="2922" customFormat="1" ht="14.1" customHeight="1" x14ac:dyDescent="0.2">
      <c r="B1691" s="2625"/>
      <c r="C1691" s="2924"/>
      <c r="D1691" s="2929"/>
      <c r="E1691" s="2996"/>
      <c r="F1691" s="2997"/>
      <c r="G1691" s="2940"/>
      <c r="H1691" s="2998"/>
      <c r="I1691" s="2973"/>
      <c r="J1691" s="2937"/>
      <c r="K1691" s="2932">
        <f>SUM(J1689:J1690)</f>
        <v>483000</v>
      </c>
      <c r="L1691" s="2731"/>
      <c r="M1691" s="2732"/>
      <c r="N1691" s="2729">
        <f t="shared" si="180"/>
        <v>0</v>
      </c>
      <c r="O1691" s="2920"/>
      <c r="Q1691" s="2717"/>
      <c r="R1691" s="2717"/>
      <c r="S1691" s="2719"/>
      <c r="T1691" s="2717"/>
      <c r="U1691" s="2717"/>
      <c r="V1691" s="2717"/>
    </row>
    <row r="1692" spans="2:22" s="2922" customFormat="1" ht="14.1" customHeight="1" x14ac:dyDescent="0.2">
      <c r="B1692" s="2625"/>
      <c r="C1692" s="2618" t="s">
        <v>608</v>
      </c>
      <c r="D1692" s="2938" t="s">
        <v>288</v>
      </c>
      <c r="E1692" s="2994" t="s">
        <v>20</v>
      </c>
      <c r="F1692" s="2994"/>
      <c r="G1692" s="2633" t="s">
        <v>291</v>
      </c>
      <c r="H1692" s="2995">
        <v>0.1</v>
      </c>
      <c r="I1692" s="2932">
        <f>I1631</f>
        <v>90000</v>
      </c>
      <c r="J1692" s="2932">
        <f>ROUND(H1692*I1692,2)</f>
        <v>9000</v>
      </c>
      <c r="K1692" s="2933"/>
      <c r="L1692" s="2731">
        <f t="shared" ref="L1692:L1693" si="181">VLOOKUP($E1692,$D$1744:$G$1761,2,0)</f>
        <v>1</v>
      </c>
      <c r="M1692" s="2731" t="str">
        <f t="shared" ref="M1692:M1693" si="182">VLOOKUP($E1692,$D$1744:$G$1761,3,0)</f>
        <v>WNI</v>
      </c>
      <c r="N1692" s="2729">
        <f t="shared" si="180"/>
        <v>9000</v>
      </c>
      <c r="O1692" s="2920"/>
      <c r="Q1692" s="2717"/>
      <c r="R1692" s="2717"/>
      <c r="S1692" s="2719"/>
      <c r="T1692" s="2717"/>
      <c r="U1692" s="2717"/>
      <c r="V1692" s="2717"/>
    </row>
    <row r="1693" spans="2:22" s="2922" customFormat="1" ht="14.1" customHeight="1" x14ac:dyDescent="0.2">
      <c r="B1693" s="2625"/>
      <c r="C1693" s="2924"/>
      <c r="D1693" s="2929"/>
      <c r="E1693" s="2994" t="s">
        <v>290</v>
      </c>
      <c r="F1693" s="2994"/>
      <c r="G1693" s="2633" t="s">
        <v>291</v>
      </c>
      <c r="H1693" s="2995">
        <v>0.01</v>
      </c>
      <c r="I1693" s="2932">
        <f>I1631</f>
        <v>90000</v>
      </c>
      <c r="J1693" s="2932">
        <f>ROUND(H1693*I1693,2)</f>
        <v>900</v>
      </c>
      <c r="K1693" s="2934"/>
      <c r="L1693" s="2731">
        <f t="shared" si="181"/>
        <v>1</v>
      </c>
      <c r="M1693" s="2731" t="str">
        <f t="shared" si="182"/>
        <v>WNI</v>
      </c>
      <c r="N1693" s="2729">
        <f t="shared" si="180"/>
        <v>900</v>
      </c>
      <c r="O1693" s="2920"/>
      <c r="Q1693" s="2717"/>
      <c r="R1693" s="2717"/>
      <c r="S1693" s="2719"/>
      <c r="T1693" s="2717"/>
      <c r="U1693" s="2717"/>
      <c r="V1693" s="2717"/>
    </row>
    <row r="1694" spans="2:22" s="2922" customFormat="1" ht="14.1" customHeight="1" x14ac:dyDescent="0.2">
      <c r="B1694" s="2625"/>
      <c r="C1694" s="2926"/>
      <c r="D1694" s="2928"/>
      <c r="E1694" s="2939"/>
      <c r="F1694" s="2935"/>
      <c r="G1694" s="2940"/>
      <c r="H1694" s="2941"/>
      <c r="I1694" s="2973"/>
      <c r="J1694" s="2937"/>
      <c r="K1694" s="2942">
        <f>SUM(J1692:J1693)</f>
        <v>9900</v>
      </c>
      <c r="L1694" s="2731"/>
      <c r="M1694" s="2732"/>
      <c r="N1694" s="2729">
        <f t="shared" si="180"/>
        <v>0</v>
      </c>
      <c r="O1694" s="2920"/>
      <c r="Q1694" s="2717"/>
      <c r="R1694" s="2717"/>
      <c r="S1694" s="2719"/>
      <c r="T1694" s="2717"/>
      <c r="U1694" s="2717"/>
      <c r="V1694" s="2717"/>
    </row>
    <row r="1695" spans="2:22" s="2922" customFormat="1" ht="14.1" customHeight="1" x14ac:dyDescent="0.2">
      <c r="B1695" s="2625"/>
      <c r="C1695" s="2924" t="s">
        <v>609</v>
      </c>
      <c r="D1695" s="2938" t="s">
        <v>606</v>
      </c>
      <c r="E1695" s="2930"/>
      <c r="F1695" s="2930"/>
      <c r="G1695" s="2633"/>
      <c r="H1695" s="2943"/>
      <c r="I1695" s="2944"/>
      <c r="J1695" s="2932"/>
      <c r="K1695" s="2933"/>
      <c r="L1695" s="2731"/>
      <c r="M1695" s="2732"/>
      <c r="N1695" s="2729">
        <f t="shared" si="180"/>
        <v>0</v>
      </c>
      <c r="O1695" s="2920"/>
      <c r="Q1695" s="2717"/>
      <c r="R1695" s="2717"/>
      <c r="S1695" s="2719"/>
      <c r="T1695" s="2717"/>
      <c r="U1695" s="2717"/>
      <c r="V1695" s="2717"/>
    </row>
    <row r="1696" spans="2:22" s="2922" customFormat="1" ht="14.1" customHeight="1" x14ac:dyDescent="0.2">
      <c r="B1696" s="2625"/>
      <c r="C1696" s="2926"/>
      <c r="D1696" s="2928"/>
      <c r="E1696" s="2939"/>
      <c r="F1696" s="2935"/>
      <c r="G1696" s="2940"/>
      <c r="H1696" s="2941"/>
      <c r="I1696" s="2945"/>
      <c r="J1696" s="2937"/>
      <c r="K1696" s="2942">
        <f>SUM(J1695:J1695)</f>
        <v>0</v>
      </c>
      <c r="L1696" s="2731"/>
      <c r="M1696" s="2732"/>
      <c r="N1696" s="2729">
        <f t="shared" si="180"/>
        <v>0</v>
      </c>
      <c r="O1696" s="2920"/>
      <c r="Q1696" s="2717"/>
      <c r="R1696" s="2717"/>
      <c r="S1696" s="2719"/>
      <c r="T1696" s="2717"/>
      <c r="U1696" s="2717"/>
      <c r="V1696" s="2717"/>
    </row>
    <row r="1697" spans="2:22" s="2922" customFormat="1" ht="14.1" customHeight="1" x14ac:dyDescent="0.2">
      <c r="B1697" s="2625"/>
      <c r="C1697" s="2633" t="s">
        <v>610</v>
      </c>
      <c r="D1697" s="2946" t="s">
        <v>651</v>
      </c>
      <c r="E1697" s="2935"/>
      <c r="F1697" s="2935"/>
      <c r="G1697" s="2940"/>
      <c r="H1697" s="2941"/>
      <c r="I1697" s="2945"/>
      <c r="J1697" s="2947" t="s">
        <v>652</v>
      </c>
      <c r="K1697" s="2942">
        <f>K1691+K1694+K1696</f>
        <v>492900</v>
      </c>
      <c r="L1697" s="2746">
        <f>N1697/K1697</f>
        <v>0.11594643944004869</v>
      </c>
      <c r="M1697" s="2745"/>
      <c r="N1697" s="2747">
        <f>SUM(N1686:N1696)</f>
        <v>57150</v>
      </c>
      <c r="O1697" s="2920"/>
      <c r="Q1697" s="2717"/>
      <c r="R1697" s="2717"/>
      <c r="S1697" s="2719"/>
      <c r="T1697" s="2717"/>
      <c r="U1697" s="2717"/>
      <c r="V1697" s="2717"/>
    </row>
    <row r="1698" spans="2:22" s="2922" customFormat="1" ht="14.1" customHeight="1" x14ac:dyDescent="0.2">
      <c r="B1698" s="2625"/>
      <c r="C1698" s="2926" t="s">
        <v>611</v>
      </c>
      <c r="D1698" s="2946" t="s">
        <v>653</v>
      </c>
      <c r="E1698" s="2935"/>
      <c r="F1698" s="2748">
        <f>$F$42</f>
        <v>0.1</v>
      </c>
      <c r="G1698" s="2727" t="s">
        <v>425</v>
      </c>
      <c r="H1698" s="2748">
        <f>$H$42</f>
        <v>0.03</v>
      </c>
      <c r="I1698" s="2948" t="s">
        <v>424</v>
      </c>
      <c r="J1698" s="2942" t="s">
        <v>610</v>
      </c>
      <c r="K1698" s="2949">
        <f>ROUND((K1697*(F1698+H1698)),2)</f>
        <v>64077</v>
      </c>
      <c r="L1698" s="2732"/>
      <c r="M1698" s="2732"/>
      <c r="N1698" s="2732"/>
      <c r="O1698" s="2920"/>
      <c r="Q1698" s="2717"/>
      <c r="R1698" s="2717"/>
      <c r="S1698" s="2719"/>
      <c r="T1698" s="2717"/>
      <c r="U1698" s="2717"/>
      <c r="V1698" s="2717"/>
    </row>
    <row r="1699" spans="2:22" s="2922" customFormat="1" ht="14.1" customHeight="1" x14ac:dyDescent="0.2">
      <c r="B1699" s="2625"/>
      <c r="C1699" s="2950" t="s">
        <v>654</v>
      </c>
      <c r="D1699" s="2951" t="s">
        <v>301</v>
      </c>
      <c r="E1699" s="2952"/>
      <c r="F1699" s="2952"/>
      <c r="G1699" s="2952"/>
      <c r="H1699" s="2953"/>
      <c r="I1699" s="2952"/>
      <c r="J1699" s="2954" t="s">
        <v>668</v>
      </c>
      <c r="K1699" s="2955">
        <f>SUM(K1697:K1698)</f>
        <v>556977</v>
      </c>
      <c r="L1699" s="2746"/>
      <c r="M1699" s="2755"/>
      <c r="N1699" s="2757"/>
      <c r="O1699" s="2920"/>
      <c r="Q1699" s="2717"/>
      <c r="R1699" s="2717"/>
      <c r="S1699" s="2719"/>
      <c r="T1699" s="2717"/>
      <c r="U1699" s="2717"/>
      <c r="V1699" s="2717"/>
    </row>
    <row r="1700" spans="2:22" x14ac:dyDescent="0.25">
      <c r="Q1700" s="2717"/>
      <c r="R1700" s="2717"/>
      <c r="S1700" s="2719"/>
      <c r="T1700" s="2717"/>
      <c r="U1700" s="2717"/>
      <c r="V1700" s="2717"/>
    </row>
    <row r="1701" spans="2:22" s="2721" customFormat="1" ht="14.1" customHeight="1" x14ac:dyDescent="0.2">
      <c r="B1701" s="2711">
        <f>B1684+1</f>
        <v>86</v>
      </c>
      <c r="C1701" s="2711"/>
      <c r="D1701" s="2712" t="s">
        <v>234</v>
      </c>
      <c r="E1701" s="2713"/>
      <c r="F1701" s="2713"/>
      <c r="G1701" s="2713"/>
      <c r="H1701" s="2713"/>
      <c r="I1701" s="2713"/>
      <c r="J1701" s="2713"/>
      <c r="K1701" s="2715" t="s">
        <v>720</v>
      </c>
      <c r="L1701" s="2715"/>
      <c r="M1701" s="2715"/>
      <c r="N1701" s="2715"/>
      <c r="O1701" s="2721" t="str">
        <f>D1702</f>
        <v>m2</v>
      </c>
      <c r="P1701" s="2810">
        <f>K1718</f>
        <v>206637.45</v>
      </c>
      <c r="Q1701" s="2718">
        <f>L1716</f>
        <v>1</v>
      </c>
      <c r="R1701" s="2717"/>
      <c r="S1701" s="2719">
        <f>N1716</f>
        <v>182865</v>
      </c>
      <c r="T1701" s="2515">
        <f>U1701+S1701</f>
        <v>206637.45</v>
      </c>
      <c r="U1701" s="2719">
        <f>S1701*V1701</f>
        <v>23772.45</v>
      </c>
      <c r="V1701" s="2718">
        <f>$F$42+$H$42</f>
        <v>0.13</v>
      </c>
    </row>
    <row r="1702" spans="2:22" s="2721" customFormat="1" ht="14.1" customHeight="1" x14ac:dyDescent="0.2">
      <c r="B1702" s="2711"/>
      <c r="C1702" s="2711"/>
      <c r="D1702" s="2721" t="s">
        <v>338</v>
      </c>
      <c r="Q1702" s="2717"/>
      <c r="R1702" s="2717"/>
      <c r="S1702" s="2719"/>
      <c r="T1702" s="2717"/>
      <c r="U1702" s="2717"/>
      <c r="V1702" s="2717"/>
    </row>
    <row r="1703" spans="2:22" s="2721" customFormat="1" ht="14.1" customHeight="1" x14ac:dyDescent="0.2">
      <c r="B1703" s="2711"/>
      <c r="C1703" s="2524"/>
      <c r="D1703" s="3427" t="s">
        <v>280</v>
      </c>
      <c r="E1703" s="3428"/>
      <c r="F1703" s="2722"/>
      <c r="G1703" s="3433" t="s">
        <v>281</v>
      </c>
      <c r="H1703" s="3433" t="s">
        <v>282</v>
      </c>
      <c r="I1703" s="2524" t="s">
        <v>283</v>
      </c>
      <c r="J1703" s="2524" t="s">
        <v>284</v>
      </c>
      <c r="K1703" s="2524" t="s">
        <v>340</v>
      </c>
      <c r="L1703" s="2524" t="s">
        <v>2008</v>
      </c>
      <c r="M1703" s="2524" t="s">
        <v>2009</v>
      </c>
      <c r="N1703" s="2524" t="s">
        <v>284</v>
      </c>
      <c r="Q1703" s="2717"/>
      <c r="R1703" s="2717"/>
      <c r="S1703" s="2719"/>
      <c r="T1703" s="2717"/>
      <c r="U1703" s="2717"/>
      <c r="V1703" s="2717"/>
    </row>
    <row r="1704" spans="2:22" s="2721" customFormat="1" ht="14.1" customHeight="1" x14ac:dyDescent="0.2">
      <c r="B1704" s="2711"/>
      <c r="C1704" s="2528" t="s">
        <v>669</v>
      </c>
      <c r="D1704" s="3429"/>
      <c r="E1704" s="3430"/>
      <c r="F1704" s="2723"/>
      <c r="G1704" s="3434"/>
      <c r="H1704" s="3434"/>
      <c r="I1704" s="2528" t="s">
        <v>285</v>
      </c>
      <c r="J1704" s="2528" t="s">
        <v>286</v>
      </c>
      <c r="K1704" s="2528" t="s">
        <v>286</v>
      </c>
      <c r="L1704" s="2528" t="s">
        <v>2011</v>
      </c>
      <c r="M1704" s="2528"/>
      <c r="N1704" s="2528" t="s">
        <v>2013</v>
      </c>
      <c r="Q1704" s="2717"/>
      <c r="R1704" s="2717"/>
      <c r="S1704" s="2719"/>
      <c r="T1704" s="2717"/>
      <c r="U1704" s="2717"/>
      <c r="V1704" s="2717"/>
    </row>
    <row r="1705" spans="2:22" s="2721" customFormat="1" ht="14.1" customHeight="1" x14ac:dyDescent="0.2">
      <c r="B1705" s="2711"/>
      <c r="C1705" s="2537"/>
      <c r="D1705" s="3431"/>
      <c r="E1705" s="3432"/>
      <c r="F1705" s="2724"/>
      <c r="G1705" s="3435"/>
      <c r="H1705" s="3435"/>
      <c r="I1705" s="2537" t="s">
        <v>286</v>
      </c>
      <c r="J1705" s="2536"/>
      <c r="K1705" s="2536"/>
      <c r="L1705" s="2536"/>
      <c r="M1705" s="2536"/>
      <c r="N1705" s="2537" t="s">
        <v>286</v>
      </c>
      <c r="Q1705" s="2717"/>
      <c r="R1705" s="2717"/>
      <c r="S1705" s="2719"/>
      <c r="T1705" s="2717"/>
      <c r="U1705" s="2717"/>
      <c r="V1705" s="2717"/>
    </row>
    <row r="1706" spans="2:22" s="2721" customFormat="1" ht="14.1" customHeight="1" x14ac:dyDescent="0.2">
      <c r="B1706" s="2711"/>
      <c r="C1706" s="2524" t="s">
        <v>607</v>
      </c>
      <c r="D1706" s="2725" t="s">
        <v>287</v>
      </c>
      <c r="E1706" s="3017" t="s">
        <v>411</v>
      </c>
      <c r="F1706" s="3017"/>
      <c r="G1706" s="2727" t="s">
        <v>338</v>
      </c>
      <c r="H1706" s="3018">
        <v>1</v>
      </c>
      <c r="I1706" s="2729">
        <f>'Upah &amp; Bahan'!$I$123</f>
        <v>128000</v>
      </c>
      <c r="J1706" s="2729">
        <f>ROUND(H1706*I1706,2)</f>
        <v>128000</v>
      </c>
      <c r="K1706" s="2730"/>
      <c r="L1706" s="2731">
        <v>1</v>
      </c>
      <c r="M1706" s="2732"/>
      <c r="N1706" s="2729">
        <f t="shared" ref="N1706:N1715" si="183">L1706*J1706</f>
        <v>128000</v>
      </c>
      <c r="Q1706" s="2717"/>
      <c r="R1706" s="2717"/>
      <c r="S1706" s="2719"/>
      <c r="T1706" s="2717"/>
      <c r="U1706" s="2717"/>
      <c r="V1706" s="2717"/>
    </row>
    <row r="1707" spans="2:22" s="2721" customFormat="1" ht="14.1" customHeight="1" x14ac:dyDescent="0.2">
      <c r="B1707" s="2711"/>
      <c r="C1707" s="2733"/>
      <c r="D1707" s="2733"/>
      <c r="E1707" s="2726" t="s">
        <v>331</v>
      </c>
      <c r="F1707" s="2726"/>
      <c r="G1707" s="2727" t="s">
        <v>293</v>
      </c>
      <c r="H1707" s="3018">
        <v>0.08</v>
      </c>
      <c r="I1707" s="2729">
        <f>'Upah &amp; Bahan'!$I$121</f>
        <v>260000</v>
      </c>
      <c r="J1707" s="2729">
        <f>ROUND(H1707*I1707,2)</f>
        <v>20800</v>
      </c>
      <c r="K1707" s="2735"/>
      <c r="L1707" s="2731">
        <v>1</v>
      </c>
      <c r="M1707" s="2732"/>
      <c r="N1707" s="2729">
        <f t="shared" si="183"/>
        <v>20800</v>
      </c>
      <c r="Q1707" s="2717"/>
      <c r="R1707" s="2717"/>
      <c r="S1707" s="2719"/>
      <c r="T1707" s="2717"/>
      <c r="U1707" s="2717"/>
      <c r="V1707" s="2717"/>
    </row>
    <row r="1708" spans="2:22" s="2721" customFormat="1" ht="14.1" customHeight="1" x14ac:dyDescent="0.2">
      <c r="B1708" s="2711"/>
      <c r="C1708" s="2528"/>
      <c r="D1708" s="2733"/>
      <c r="E1708" s="2984"/>
      <c r="F1708" s="2985"/>
      <c r="G1708" s="2742"/>
      <c r="H1708" s="3019"/>
      <c r="I1708" s="2842"/>
      <c r="J1708" s="2813"/>
      <c r="K1708" s="2729">
        <f>SUM(J1706:J1707)</f>
        <v>148800</v>
      </c>
      <c r="L1708" s="2731"/>
      <c r="M1708" s="2732"/>
      <c r="N1708" s="2729">
        <f t="shared" si="183"/>
        <v>0</v>
      </c>
      <c r="Q1708" s="2717"/>
      <c r="R1708" s="2717"/>
      <c r="S1708" s="2719"/>
      <c r="T1708" s="2717"/>
      <c r="U1708" s="2717"/>
      <c r="V1708" s="2717"/>
    </row>
    <row r="1709" spans="2:22" s="2721" customFormat="1" ht="14.1" customHeight="1" x14ac:dyDescent="0.2">
      <c r="B1709" s="2711"/>
      <c r="C1709" s="2524" t="s">
        <v>608</v>
      </c>
      <c r="D1709" s="2725" t="s">
        <v>288</v>
      </c>
      <c r="E1709" s="2726" t="s">
        <v>289</v>
      </c>
      <c r="F1709" s="2726"/>
      <c r="G1709" s="2727" t="s">
        <v>291</v>
      </c>
      <c r="H1709" s="3018">
        <v>0.15</v>
      </c>
      <c r="I1709" s="2729">
        <f>'Upah &amp; Bahan'!$I$24</f>
        <v>88300</v>
      </c>
      <c r="J1709" s="2729">
        <f>ROUND(H1709*I1709,2)</f>
        <v>13245</v>
      </c>
      <c r="K1709" s="2730"/>
      <c r="L1709" s="2731">
        <f t="shared" ref="L1709:L1712" si="184">VLOOKUP($E1709,$D$1744:$G$1761,2,0)</f>
        <v>1</v>
      </c>
      <c r="M1709" s="2731" t="str">
        <f t="shared" ref="M1709:M1712" si="185">VLOOKUP($E1709,$D$1744:$G$1761,3,0)</f>
        <v>WNI</v>
      </c>
      <c r="N1709" s="2729">
        <f t="shared" si="183"/>
        <v>13245</v>
      </c>
      <c r="Q1709" s="2717"/>
      <c r="R1709" s="2717"/>
      <c r="S1709" s="2719"/>
      <c r="T1709" s="2717"/>
      <c r="U1709" s="2717"/>
      <c r="V1709" s="2717"/>
    </row>
    <row r="1710" spans="2:22" s="2721" customFormat="1" ht="14.1" customHeight="1" x14ac:dyDescent="0.2">
      <c r="B1710" s="2711"/>
      <c r="C1710" s="2733"/>
      <c r="D1710" s="2733"/>
      <c r="E1710" s="2726" t="s">
        <v>370</v>
      </c>
      <c r="F1710" s="2726"/>
      <c r="G1710" s="2727" t="s">
        <v>291</v>
      </c>
      <c r="H1710" s="3018">
        <v>0.2</v>
      </c>
      <c r="I1710" s="2729">
        <f>'Upah &amp; Bahan'!$I$32</f>
        <v>90000</v>
      </c>
      <c r="J1710" s="2729">
        <f>ROUND(H1710*I1710,2)</f>
        <v>18000</v>
      </c>
      <c r="K1710" s="2734"/>
      <c r="L1710" s="2731">
        <f t="shared" si="184"/>
        <v>1</v>
      </c>
      <c r="M1710" s="2731" t="str">
        <f t="shared" si="185"/>
        <v>WNI</v>
      </c>
      <c r="N1710" s="2729">
        <f t="shared" si="183"/>
        <v>18000</v>
      </c>
      <c r="Q1710" s="2717"/>
      <c r="R1710" s="2717"/>
      <c r="S1710" s="2719"/>
      <c r="T1710" s="2717"/>
      <c r="U1710" s="2717"/>
      <c r="V1710" s="2717"/>
    </row>
    <row r="1711" spans="2:22" s="2721" customFormat="1" ht="14.1" customHeight="1" x14ac:dyDescent="0.2">
      <c r="B1711" s="2711"/>
      <c r="C1711" s="2733"/>
      <c r="D1711" s="2733"/>
      <c r="E1711" s="2726" t="s">
        <v>369</v>
      </c>
      <c r="F1711" s="2726"/>
      <c r="G1711" s="2727" t="s">
        <v>291</v>
      </c>
      <c r="H1711" s="3018">
        <v>0.02</v>
      </c>
      <c r="I1711" s="2729">
        <f>'Upah &amp; Bahan'!$I$26</f>
        <v>96000</v>
      </c>
      <c r="J1711" s="2729">
        <f>ROUND(H1711*I1711,2)</f>
        <v>1920</v>
      </c>
      <c r="K1711" s="2734"/>
      <c r="L1711" s="2731">
        <f t="shared" si="184"/>
        <v>1</v>
      </c>
      <c r="M1711" s="2731" t="str">
        <f t="shared" si="185"/>
        <v>WNI</v>
      </c>
      <c r="N1711" s="2729">
        <f t="shared" si="183"/>
        <v>1920</v>
      </c>
      <c r="Q1711" s="2717"/>
      <c r="R1711" s="2717"/>
      <c r="S1711" s="2719"/>
      <c r="T1711" s="2717"/>
      <c r="U1711" s="2717"/>
      <c r="V1711" s="2717"/>
    </row>
    <row r="1712" spans="2:22" s="2721" customFormat="1" ht="14.1" customHeight="1" x14ac:dyDescent="0.2">
      <c r="B1712" s="2711"/>
      <c r="C1712" s="2733"/>
      <c r="D1712" s="2733"/>
      <c r="E1712" s="2726" t="s">
        <v>290</v>
      </c>
      <c r="F1712" s="2726"/>
      <c r="G1712" s="2727" t="s">
        <v>291</v>
      </c>
      <c r="H1712" s="3018">
        <v>0.01</v>
      </c>
      <c r="I1712" s="2729">
        <f>'Upah &amp; Bahan'!$I$31</f>
        <v>90000</v>
      </c>
      <c r="J1712" s="2729">
        <f>ROUND(H1712*I1712,2)</f>
        <v>900</v>
      </c>
      <c r="K1712" s="2733"/>
      <c r="L1712" s="2731">
        <f t="shared" si="184"/>
        <v>1</v>
      </c>
      <c r="M1712" s="2731" t="str">
        <f t="shared" si="185"/>
        <v>WNI</v>
      </c>
      <c r="N1712" s="2729">
        <f t="shared" si="183"/>
        <v>900</v>
      </c>
      <c r="Q1712" s="2717"/>
      <c r="R1712" s="2717"/>
      <c r="S1712" s="2719"/>
      <c r="T1712" s="2717"/>
      <c r="U1712" s="2717"/>
      <c r="V1712" s="2717"/>
    </row>
    <row r="1713" spans="2:22" s="2721" customFormat="1" ht="14.1" customHeight="1" x14ac:dyDescent="0.2">
      <c r="B1713" s="2711"/>
      <c r="C1713" s="2537"/>
      <c r="D1713" s="2536"/>
      <c r="E1713" s="2736"/>
      <c r="F1713" s="2741"/>
      <c r="G1713" s="2742"/>
      <c r="H1713" s="3020"/>
      <c r="I1713" s="2842"/>
      <c r="J1713" s="2813"/>
      <c r="K1713" s="2732">
        <f>SUM(J1709:J1712)</f>
        <v>34065</v>
      </c>
      <c r="L1713" s="2731"/>
      <c r="M1713" s="2732"/>
      <c r="N1713" s="2729">
        <f t="shared" si="183"/>
        <v>0</v>
      </c>
      <c r="Q1713" s="2717"/>
      <c r="R1713" s="2717"/>
      <c r="S1713" s="2719"/>
      <c r="T1713" s="2717"/>
      <c r="U1713" s="2717"/>
      <c r="V1713" s="2717"/>
    </row>
    <row r="1714" spans="2:22" s="2721" customFormat="1" ht="14.1" customHeight="1" x14ac:dyDescent="0.2">
      <c r="B1714" s="2711"/>
      <c r="C1714" s="2528" t="s">
        <v>609</v>
      </c>
      <c r="D1714" s="2725" t="s">
        <v>606</v>
      </c>
      <c r="E1714" s="2739"/>
      <c r="F1714" s="2739"/>
      <c r="G1714" s="2727"/>
      <c r="H1714" s="3021"/>
      <c r="I1714" s="2814"/>
      <c r="J1714" s="2729"/>
      <c r="K1714" s="2730"/>
      <c r="L1714" s="2731"/>
      <c r="M1714" s="2732"/>
      <c r="N1714" s="2729">
        <f t="shared" si="183"/>
        <v>0</v>
      </c>
      <c r="Q1714" s="2717"/>
      <c r="R1714" s="2717"/>
      <c r="S1714" s="2719"/>
      <c r="T1714" s="2717"/>
      <c r="U1714" s="2717"/>
      <c r="V1714" s="2717"/>
    </row>
    <row r="1715" spans="2:22" s="2721" customFormat="1" ht="14.1" customHeight="1" x14ac:dyDescent="0.2">
      <c r="B1715" s="2711"/>
      <c r="C1715" s="2537"/>
      <c r="D1715" s="2536"/>
      <c r="E1715" s="2736"/>
      <c r="F1715" s="2741"/>
      <c r="G1715" s="2742"/>
      <c r="H1715" s="3020"/>
      <c r="I1715" s="2744"/>
      <c r="J1715" s="2813"/>
      <c r="K1715" s="2732">
        <f>SUM(J1714:J1714)</f>
        <v>0</v>
      </c>
      <c r="L1715" s="2731"/>
      <c r="M1715" s="2732"/>
      <c r="N1715" s="2729">
        <f t="shared" si="183"/>
        <v>0</v>
      </c>
      <c r="Q1715" s="2717"/>
      <c r="R1715" s="2717"/>
      <c r="S1715" s="2719"/>
      <c r="T1715" s="2717"/>
      <c r="U1715" s="2717"/>
      <c r="V1715" s="2717"/>
    </row>
    <row r="1716" spans="2:22" s="2721" customFormat="1" ht="14.1" customHeight="1" x14ac:dyDescent="0.2">
      <c r="B1716" s="2711"/>
      <c r="C1716" s="2537" t="s">
        <v>610</v>
      </c>
      <c r="D1716" s="2738" t="s">
        <v>651</v>
      </c>
      <c r="E1716" s="2741"/>
      <c r="F1716" s="2741"/>
      <c r="G1716" s="2742"/>
      <c r="H1716" s="3020"/>
      <c r="I1716" s="2744"/>
      <c r="J1716" s="2745" t="s">
        <v>652</v>
      </c>
      <c r="K1716" s="2732">
        <f>K1708+K1713+K1715</f>
        <v>182865</v>
      </c>
      <c r="L1716" s="2746">
        <f>N1716/K1716</f>
        <v>1</v>
      </c>
      <c r="M1716" s="2745"/>
      <c r="N1716" s="2747">
        <f>SUM(N1705:N1715)</f>
        <v>182865</v>
      </c>
      <c r="Q1716" s="2717"/>
      <c r="R1716" s="2717"/>
      <c r="S1716" s="2719"/>
      <c r="T1716" s="2717"/>
      <c r="U1716" s="2717"/>
      <c r="V1716" s="2717"/>
    </row>
    <row r="1717" spans="2:22" s="2721" customFormat="1" ht="14.1" customHeight="1" x14ac:dyDescent="0.2">
      <c r="B1717" s="2711"/>
      <c r="C1717" s="2537" t="s">
        <v>611</v>
      </c>
      <c r="D1717" s="2738" t="s">
        <v>653</v>
      </c>
      <c r="E1717" s="2741"/>
      <c r="F1717" s="2748">
        <f>$F$42</f>
        <v>0.1</v>
      </c>
      <c r="G1717" s="2727" t="s">
        <v>425</v>
      </c>
      <c r="H1717" s="2748">
        <f>$H$42</f>
        <v>0.03</v>
      </c>
      <c r="I1717" s="2749" t="s">
        <v>424</v>
      </c>
      <c r="J1717" s="2732" t="s">
        <v>610</v>
      </c>
      <c r="K1717" s="2750">
        <f>ROUND((K1716*(F1717+H1717)),2)</f>
        <v>23772.45</v>
      </c>
      <c r="L1717" s="2732"/>
      <c r="M1717" s="2732"/>
      <c r="N1717" s="2732"/>
      <c r="Q1717" s="2717"/>
      <c r="R1717" s="2717"/>
      <c r="S1717" s="2719"/>
      <c r="T1717" s="2717"/>
      <c r="U1717" s="2717"/>
      <c r="V1717" s="2717"/>
    </row>
    <row r="1718" spans="2:22" s="2721" customFormat="1" ht="14.1" customHeight="1" x14ac:dyDescent="0.2">
      <c r="B1718" s="2711"/>
      <c r="C1718" s="2880" t="s">
        <v>654</v>
      </c>
      <c r="D1718" s="2752" t="s">
        <v>301</v>
      </c>
      <c r="E1718" s="2815"/>
      <c r="F1718" s="2815"/>
      <c r="G1718" s="2815"/>
      <c r="H1718" s="2815"/>
      <c r="I1718" s="2815"/>
      <c r="J1718" s="2755" t="s">
        <v>668</v>
      </c>
      <c r="K1718" s="2756">
        <f>SUM(K1716:K1717)</f>
        <v>206637.45</v>
      </c>
      <c r="L1718" s="2746"/>
      <c r="M1718" s="2755"/>
      <c r="N1718" s="2757"/>
      <c r="Q1718" s="2717"/>
      <c r="R1718" s="2717"/>
      <c r="S1718" s="2719"/>
      <c r="T1718" s="2717"/>
      <c r="U1718" s="2717"/>
      <c r="V1718" s="2717"/>
    </row>
    <row r="1719" spans="2:22" s="2721" customFormat="1" ht="14.1" customHeight="1" x14ac:dyDescent="0.2">
      <c r="Q1719" s="2717"/>
      <c r="R1719" s="2717"/>
      <c r="S1719" s="2719"/>
      <c r="T1719" s="2717"/>
      <c r="U1719" s="2717"/>
      <c r="V1719" s="2717"/>
    </row>
    <row r="1721" spans="2:22" x14ac:dyDescent="0.25">
      <c r="K1721" s="2625" t="str">
        <f>'data primer'!$E$11</f>
        <v>Karanganyar,                               2022</v>
      </c>
    </row>
    <row r="1722" spans="2:22" x14ac:dyDescent="0.25">
      <c r="K1722" s="2625" t="str">
        <f>'data primer'!$E$12</f>
        <v>PEJABAT PENANDATANGAN KONTRAK</v>
      </c>
    </row>
    <row r="1723" spans="2:22" x14ac:dyDescent="0.25">
      <c r="K1723" s="2615"/>
    </row>
    <row r="1724" spans="2:22" x14ac:dyDescent="0.25">
      <c r="K1724" s="2625"/>
    </row>
    <row r="1725" spans="2:22" x14ac:dyDescent="0.25">
      <c r="K1725" s="2625"/>
    </row>
    <row r="1726" spans="2:22" x14ac:dyDescent="0.25">
      <c r="K1726" s="2625"/>
    </row>
    <row r="1727" spans="2:22" x14ac:dyDescent="0.25">
      <c r="H1727" s="2884"/>
      <c r="K1727" s="2625"/>
    </row>
    <row r="1728" spans="2:22" x14ac:dyDescent="0.25">
      <c r="H1728" s="2884"/>
      <c r="K1728" s="2625"/>
    </row>
    <row r="1729" spans="4:11" x14ac:dyDescent="0.25">
      <c r="H1729" s="2884"/>
      <c r="K1729" s="2688" t="str">
        <f>'data primer'!$E$15</f>
        <v>FERIANA DWI KURNIAWATI, SP, M.Si</v>
      </c>
    </row>
    <row r="1730" spans="4:11" x14ac:dyDescent="0.25">
      <c r="H1730" s="2884"/>
      <c r="K1730" s="2625" t="str">
        <f>'data primer'!$E$16</f>
        <v>NIP. 19810226 200501 2 015</v>
      </c>
    </row>
    <row r="1744" spans="4:11" x14ac:dyDescent="0.25">
      <c r="D1744" s="2830" t="s">
        <v>334</v>
      </c>
      <c r="E1744" s="3023">
        <v>1</v>
      </c>
      <c r="F1744" s="2884" t="s">
        <v>2012</v>
      </c>
    </row>
    <row r="1745" spans="4:6" x14ac:dyDescent="0.25">
      <c r="D1745" s="2830" t="s">
        <v>289</v>
      </c>
      <c r="E1745" s="3023">
        <f>$E$1744</f>
        <v>1</v>
      </c>
      <c r="F1745" s="2884" t="str">
        <f>F1744</f>
        <v>WNI</v>
      </c>
    </row>
    <row r="1746" spans="4:6" x14ac:dyDescent="0.25">
      <c r="D1746" s="2830" t="s">
        <v>369</v>
      </c>
      <c r="E1746" s="3023">
        <f t="shared" ref="E1746:E1762" si="186">$E$1744</f>
        <v>1</v>
      </c>
      <c r="F1746" s="2884" t="str">
        <f t="shared" ref="F1746:F1758" si="187">F1745</f>
        <v>WNI</v>
      </c>
    </row>
    <row r="1747" spans="4:6" x14ac:dyDescent="0.25">
      <c r="D1747" s="2830" t="s">
        <v>290</v>
      </c>
      <c r="E1747" s="3023">
        <f t="shared" si="186"/>
        <v>1</v>
      </c>
      <c r="F1747" s="2884" t="str">
        <f t="shared" si="187"/>
        <v>WNI</v>
      </c>
    </row>
    <row r="1748" spans="4:6" x14ac:dyDescent="0.25">
      <c r="D1748" s="2994" t="s">
        <v>20</v>
      </c>
      <c r="E1748" s="3023">
        <f t="shared" si="186"/>
        <v>1</v>
      </c>
      <c r="F1748" s="2884" t="str">
        <f t="shared" si="187"/>
        <v>WNI</v>
      </c>
    </row>
    <row r="1749" spans="4:6" x14ac:dyDescent="0.25">
      <c r="D1749" s="2726" t="s">
        <v>289</v>
      </c>
      <c r="E1749" s="3023">
        <f t="shared" si="186"/>
        <v>1</v>
      </c>
      <c r="F1749" s="2884" t="str">
        <f t="shared" si="187"/>
        <v>WNI</v>
      </c>
    </row>
    <row r="1750" spans="4:6" x14ac:dyDescent="0.25">
      <c r="D1750" s="2726" t="s">
        <v>370</v>
      </c>
      <c r="E1750" s="3023">
        <f t="shared" si="186"/>
        <v>1</v>
      </c>
      <c r="F1750" s="2884" t="str">
        <f t="shared" si="187"/>
        <v>WNI</v>
      </c>
    </row>
    <row r="1751" spans="4:6" x14ac:dyDescent="0.25">
      <c r="D1751" s="2726" t="s">
        <v>716</v>
      </c>
      <c r="E1751" s="3023">
        <f t="shared" si="186"/>
        <v>1</v>
      </c>
      <c r="F1751" s="2884" t="str">
        <f t="shared" si="187"/>
        <v>WNI</v>
      </c>
    </row>
    <row r="1752" spans="4:6" x14ac:dyDescent="0.25">
      <c r="D1752" s="2726" t="s">
        <v>290</v>
      </c>
      <c r="E1752" s="3023">
        <f t="shared" si="186"/>
        <v>1</v>
      </c>
      <c r="F1752" s="2884" t="str">
        <f t="shared" si="187"/>
        <v>WNI</v>
      </c>
    </row>
    <row r="1753" spans="4:6" x14ac:dyDescent="0.25">
      <c r="D1753" s="2739" t="s">
        <v>294</v>
      </c>
      <c r="E1753" s="3023">
        <f t="shared" si="186"/>
        <v>1</v>
      </c>
      <c r="F1753" s="2884" t="str">
        <f t="shared" si="187"/>
        <v>WNI</v>
      </c>
    </row>
    <row r="1754" spans="4:6" x14ac:dyDescent="0.25">
      <c r="D1754" s="2739" t="s">
        <v>313</v>
      </c>
      <c r="E1754" s="3023">
        <f t="shared" si="186"/>
        <v>1</v>
      </c>
      <c r="F1754" s="2884" t="str">
        <f t="shared" si="187"/>
        <v>WNI</v>
      </c>
    </row>
    <row r="1755" spans="4:6" x14ac:dyDescent="0.25">
      <c r="D1755" s="2739" t="s">
        <v>327</v>
      </c>
      <c r="E1755" s="3023">
        <f t="shared" si="186"/>
        <v>1</v>
      </c>
      <c r="F1755" s="2884" t="str">
        <f t="shared" si="187"/>
        <v>WNI</v>
      </c>
    </row>
    <row r="1756" spans="4:6" x14ac:dyDescent="0.25">
      <c r="D1756" s="2739" t="s">
        <v>328</v>
      </c>
      <c r="E1756" s="3023">
        <f t="shared" si="186"/>
        <v>1</v>
      </c>
      <c r="F1756" s="2884" t="str">
        <f t="shared" si="187"/>
        <v>WNI</v>
      </c>
    </row>
    <row r="1757" spans="4:6" x14ac:dyDescent="0.25">
      <c r="D1757" s="2739" t="s">
        <v>296</v>
      </c>
      <c r="E1757" s="3023">
        <f t="shared" si="186"/>
        <v>1</v>
      </c>
      <c r="F1757" s="2884" t="str">
        <f t="shared" si="187"/>
        <v>WNI</v>
      </c>
    </row>
    <row r="1758" spans="4:6" x14ac:dyDescent="0.25">
      <c r="D1758" s="2739" t="s">
        <v>290</v>
      </c>
      <c r="E1758" s="3023">
        <f t="shared" si="186"/>
        <v>1</v>
      </c>
      <c r="F1758" s="2884" t="str">
        <f t="shared" si="187"/>
        <v>WNI</v>
      </c>
    </row>
    <row r="1759" spans="4:6" x14ac:dyDescent="0.25">
      <c r="D1759" s="2737" t="s">
        <v>367</v>
      </c>
      <c r="E1759" s="3023">
        <f t="shared" si="186"/>
        <v>1</v>
      </c>
      <c r="F1759" s="2884" t="str">
        <f t="shared" ref="F1759" si="188">F1758</f>
        <v>WNI</v>
      </c>
    </row>
    <row r="1760" spans="4:6" x14ac:dyDescent="0.25">
      <c r="D1760" s="2739" t="s">
        <v>399</v>
      </c>
      <c r="E1760" s="3023">
        <f t="shared" si="186"/>
        <v>1</v>
      </c>
      <c r="F1760" s="2884" t="str">
        <f t="shared" ref="F1760" si="189">F1759</f>
        <v>WNI</v>
      </c>
    </row>
    <row r="1761" spans="4:6" x14ac:dyDescent="0.25">
      <c r="D1761" s="2726" t="s">
        <v>371</v>
      </c>
      <c r="E1761" s="3023">
        <f t="shared" si="186"/>
        <v>1</v>
      </c>
      <c r="F1761" s="2884" t="str">
        <f t="shared" ref="F1761" si="190">F1760</f>
        <v>WNI</v>
      </c>
    </row>
    <row r="1762" spans="4:6" x14ac:dyDescent="0.25">
      <c r="D1762" s="2739" t="s">
        <v>400</v>
      </c>
      <c r="E1762" s="3023">
        <f t="shared" si="186"/>
        <v>1</v>
      </c>
      <c r="F1762" s="2884" t="str">
        <f t="shared" ref="F1762" si="191">F1761</f>
        <v>WNI</v>
      </c>
    </row>
  </sheetData>
  <mergeCells count="260">
    <mergeCell ref="H1475:H1477"/>
    <mergeCell ref="G1275:G1277"/>
    <mergeCell ref="H1275:H1277"/>
    <mergeCell ref="D1180:E1182"/>
    <mergeCell ref="D1083:E1085"/>
    <mergeCell ref="G1083:G1085"/>
    <mergeCell ref="H1083:H1085"/>
    <mergeCell ref="D777:E779"/>
    <mergeCell ref="G777:G779"/>
    <mergeCell ref="H777:H779"/>
    <mergeCell ref="D1354:E1356"/>
    <mergeCell ref="G1354:G1356"/>
    <mergeCell ref="H1354:H1356"/>
    <mergeCell ref="D1334:E1336"/>
    <mergeCell ref="G1334:G1336"/>
    <mergeCell ref="H1334:H1336"/>
    <mergeCell ref="D1103:E1105"/>
    <mergeCell ref="G1103:G1105"/>
    <mergeCell ref="H1103:H1105"/>
    <mergeCell ref="H1256:H1258"/>
    <mergeCell ref="D1218:E1220"/>
    <mergeCell ref="G1218:G1220"/>
    <mergeCell ref="H1218:H1220"/>
    <mergeCell ref="G1237:G1239"/>
    <mergeCell ref="D1703:E1705"/>
    <mergeCell ref="G1703:G1705"/>
    <mergeCell ref="H1703:H1705"/>
    <mergeCell ref="D1603:E1605"/>
    <mergeCell ref="G1603:G1605"/>
    <mergeCell ref="H1603:H1605"/>
    <mergeCell ref="D1623:E1625"/>
    <mergeCell ref="G1623:G1625"/>
    <mergeCell ref="H1623:H1625"/>
    <mergeCell ref="D1643:E1645"/>
    <mergeCell ref="G1643:G1645"/>
    <mergeCell ref="H1643:H1645"/>
    <mergeCell ref="D1664:E1666"/>
    <mergeCell ref="G1664:G1666"/>
    <mergeCell ref="H1664:H1666"/>
    <mergeCell ref="D1686:E1688"/>
    <mergeCell ref="G1686:G1688"/>
    <mergeCell ref="H1686:H1688"/>
    <mergeCell ref="H1495:H1497"/>
    <mergeCell ref="G1294:G1296"/>
    <mergeCell ref="D1275:E1277"/>
    <mergeCell ref="D1546:E1548"/>
    <mergeCell ref="G1546:G1548"/>
    <mergeCell ref="H1546:H1548"/>
    <mergeCell ref="D1199:E1201"/>
    <mergeCell ref="G1199:G1201"/>
    <mergeCell ref="G1180:G1182"/>
    <mergeCell ref="D1237:E1239"/>
    <mergeCell ref="H1395:H1397"/>
    <mergeCell ref="D1415:E1417"/>
    <mergeCell ref="G1415:G1417"/>
    <mergeCell ref="H1415:H1417"/>
    <mergeCell ref="D1512:E1514"/>
    <mergeCell ref="G1512:G1514"/>
    <mergeCell ref="H1512:H1514"/>
    <mergeCell ref="D1256:E1258"/>
    <mergeCell ref="G1256:G1258"/>
    <mergeCell ref="D1455:E1457"/>
    <mergeCell ref="G1455:G1457"/>
    <mergeCell ref="H1455:H1457"/>
    <mergeCell ref="D1475:E1477"/>
    <mergeCell ref="G1475:G1477"/>
    <mergeCell ref="D1563:E1565"/>
    <mergeCell ref="G1563:G1565"/>
    <mergeCell ref="H1563:H1565"/>
    <mergeCell ref="D1583:E1585"/>
    <mergeCell ref="G1583:G1585"/>
    <mergeCell ref="H1583:H1585"/>
    <mergeCell ref="H1294:H1296"/>
    <mergeCell ref="D1314:E1316"/>
    <mergeCell ref="G1314:G1316"/>
    <mergeCell ref="H1314:H1316"/>
    <mergeCell ref="D1294:E1296"/>
    <mergeCell ref="D1374:E1376"/>
    <mergeCell ref="G1374:G1376"/>
    <mergeCell ref="H1374:H1376"/>
    <mergeCell ref="D1435:E1437"/>
    <mergeCell ref="G1435:G1437"/>
    <mergeCell ref="H1435:H1437"/>
    <mergeCell ref="D1395:E1397"/>
    <mergeCell ref="G1395:G1397"/>
    <mergeCell ref="D1529:E1531"/>
    <mergeCell ref="G1529:G1531"/>
    <mergeCell ref="H1529:H1531"/>
    <mergeCell ref="D1495:E1497"/>
    <mergeCell ref="G1495:G1497"/>
    <mergeCell ref="H1237:H1239"/>
    <mergeCell ref="D1123:E1125"/>
    <mergeCell ref="G1123:G1125"/>
    <mergeCell ref="H1123:H1125"/>
    <mergeCell ref="D1142:E1144"/>
    <mergeCell ref="G1142:G1144"/>
    <mergeCell ref="H1142:H1144"/>
    <mergeCell ref="D1161:E1163"/>
    <mergeCell ref="H1199:H1201"/>
    <mergeCell ref="H1180:H1182"/>
    <mergeCell ref="G1161:G1163"/>
    <mergeCell ref="H1161:H1163"/>
    <mergeCell ref="D1065:E1067"/>
    <mergeCell ref="G1065:G1067"/>
    <mergeCell ref="H1065:H1067"/>
    <mergeCell ref="D1043:E1045"/>
    <mergeCell ref="G1043:G1045"/>
    <mergeCell ref="H1043:H1045"/>
    <mergeCell ref="D1003:E1005"/>
    <mergeCell ref="G1003:G1005"/>
    <mergeCell ref="H1003:H1005"/>
    <mergeCell ref="D1023:E1025"/>
    <mergeCell ref="G1023:G1025"/>
    <mergeCell ref="H1023:H1025"/>
    <mergeCell ref="D985:E987"/>
    <mergeCell ref="G985:G987"/>
    <mergeCell ref="H985:H987"/>
    <mergeCell ref="D966:E968"/>
    <mergeCell ref="G966:G968"/>
    <mergeCell ref="H966:H968"/>
    <mergeCell ref="D947:E949"/>
    <mergeCell ref="G947:G949"/>
    <mergeCell ref="H947:H949"/>
    <mergeCell ref="D822:E824"/>
    <mergeCell ref="G822:G824"/>
    <mergeCell ref="H822:H824"/>
    <mergeCell ref="D863:E865"/>
    <mergeCell ref="G863:G865"/>
    <mergeCell ref="H863:H865"/>
    <mergeCell ref="D884:E886"/>
    <mergeCell ref="G884:G886"/>
    <mergeCell ref="H884:H886"/>
    <mergeCell ref="D905:E907"/>
    <mergeCell ref="G905:G907"/>
    <mergeCell ref="H905:H907"/>
    <mergeCell ref="D926:E928"/>
    <mergeCell ref="G926:G928"/>
    <mergeCell ref="H926:H928"/>
    <mergeCell ref="D843:E845"/>
    <mergeCell ref="G843:G845"/>
    <mergeCell ref="H843:H845"/>
    <mergeCell ref="D755:E757"/>
    <mergeCell ref="G755:G757"/>
    <mergeCell ref="H755:H757"/>
    <mergeCell ref="D693:E695"/>
    <mergeCell ref="G693:G695"/>
    <mergeCell ref="H693:H695"/>
    <mergeCell ref="D714:E716"/>
    <mergeCell ref="G714:G716"/>
    <mergeCell ref="H714:H716"/>
    <mergeCell ref="D733:E735"/>
    <mergeCell ref="G733:G735"/>
    <mergeCell ref="H733:H735"/>
    <mergeCell ref="D673:E675"/>
    <mergeCell ref="G673:G675"/>
    <mergeCell ref="H673:H675"/>
    <mergeCell ref="D635:E637"/>
    <mergeCell ref="G635:G637"/>
    <mergeCell ref="H635:H637"/>
    <mergeCell ref="D597:E599"/>
    <mergeCell ref="G597:G599"/>
    <mergeCell ref="H597:H599"/>
    <mergeCell ref="D616:E618"/>
    <mergeCell ref="G616:G618"/>
    <mergeCell ref="H616:H618"/>
    <mergeCell ref="D654:E656"/>
    <mergeCell ref="G654:G656"/>
    <mergeCell ref="H654:H656"/>
    <mergeCell ref="H544:H546"/>
    <mergeCell ref="D470:E472"/>
    <mergeCell ref="G470:G472"/>
    <mergeCell ref="H470:H472"/>
    <mergeCell ref="D495:E497"/>
    <mergeCell ref="G495:G497"/>
    <mergeCell ref="H495:H497"/>
    <mergeCell ref="D519:E521"/>
    <mergeCell ref="G519:G521"/>
    <mergeCell ref="H519:H521"/>
    <mergeCell ref="D99:E101"/>
    <mergeCell ref="G99:G101"/>
    <mergeCell ref="H99:H101"/>
    <mergeCell ref="D113:E115"/>
    <mergeCell ref="D346:E348"/>
    <mergeCell ref="G346:G348"/>
    <mergeCell ref="H346:H348"/>
    <mergeCell ref="D428:E430"/>
    <mergeCell ref="G428:G430"/>
    <mergeCell ref="H428:H430"/>
    <mergeCell ref="D407:E409"/>
    <mergeCell ref="G407:G409"/>
    <mergeCell ref="H407:H409"/>
    <mergeCell ref="G113:G115"/>
    <mergeCell ref="H113:H115"/>
    <mergeCell ref="D128:E130"/>
    <mergeCell ref="G128:G130"/>
    <mergeCell ref="H128:H130"/>
    <mergeCell ref="H172:H174"/>
    <mergeCell ref="D188:E190"/>
    <mergeCell ref="G188:G190"/>
    <mergeCell ref="H188:H190"/>
    <mergeCell ref="D142:E144"/>
    <mergeCell ref="G142:G144"/>
    <mergeCell ref="B11:K11"/>
    <mergeCell ref="B12:K12"/>
    <mergeCell ref="B13:K13"/>
    <mergeCell ref="D78:E80"/>
    <mergeCell ref="G78:G80"/>
    <mergeCell ref="H78:H80"/>
    <mergeCell ref="D30:E32"/>
    <mergeCell ref="G30:G32"/>
    <mergeCell ref="H30:H32"/>
    <mergeCell ref="D64:E66"/>
    <mergeCell ref="G64:G66"/>
    <mergeCell ref="H64:H66"/>
    <mergeCell ref="G47:G49"/>
    <mergeCell ref="H47:H49"/>
    <mergeCell ref="H142:H144"/>
    <mergeCell ref="D156:E158"/>
    <mergeCell ref="G156:G158"/>
    <mergeCell ref="H156:H158"/>
    <mergeCell ref="D172:E174"/>
    <mergeCell ref="G172:G174"/>
    <mergeCell ref="D208:E210"/>
    <mergeCell ref="G208:G210"/>
    <mergeCell ref="H208:H210"/>
    <mergeCell ref="D229:E231"/>
    <mergeCell ref="G229:G231"/>
    <mergeCell ref="H229:H231"/>
    <mergeCell ref="D269:E271"/>
    <mergeCell ref="G269:G271"/>
    <mergeCell ref="H269:H271"/>
    <mergeCell ref="G249:G251"/>
    <mergeCell ref="H249:H251"/>
    <mergeCell ref="D309:E311"/>
    <mergeCell ref="G309:G311"/>
    <mergeCell ref="H309:H311"/>
    <mergeCell ref="D800:E802"/>
    <mergeCell ref="G800:G802"/>
    <mergeCell ref="H800:H802"/>
    <mergeCell ref="D249:E251"/>
    <mergeCell ref="D328:E330"/>
    <mergeCell ref="G328:G330"/>
    <mergeCell ref="H328:H330"/>
    <mergeCell ref="D289:E291"/>
    <mergeCell ref="G289:G291"/>
    <mergeCell ref="H289:H291"/>
    <mergeCell ref="D386:E388"/>
    <mergeCell ref="G386:G388"/>
    <mergeCell ref="H386:H388"/>
    <mergeCell ref="D365:E367"/>
    <mergeCell ref="G365:G367"/>
    <mergeCell ref="H365:H367"/>
    <mergeCell ref="D449:E451"/>
    <mergeCell ref="G449:G451"/>
    <mergeCell ref="H449:H451"/>
    <mergeCell ref="D571:E573"/>
    <mergeCell ref="G571:G573"/>
    <mergeCell ref="H571:H573"/>
    <mergeCell ref="D544:E546"/>
    <mergeCell ref="G544:G54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L372"/>
  <sheetViews>
    <sheetView topLeftCell="A37" workbookViewId="0">
      <selection activeCell="D193" sqref="D193"/>
    </sheetView>
  </sheetViews>
  <sheetFormatPr defaultRowHeight="15" x14ac:dyDescent="0.25"/>
  <cols>
    <col min="1" max="1" width="11.140625" style="886" customWidth="1"/>
    <col min="2" max="2" width="6.28515625" style="886" customWidth="1"/>
    <col min="3" max="3" width="4.5703125" style="886" customWidth="1"/>
    <col min="4" max="4" width="42.28515625" style="886" customWidth="1"/>
    <col min="5" max="5" width="13" style="886" customWidth="1"/>
    <col min="6" max="6" width="14.140625" style="886" customWidth="1"/>
    <col min="7" max="7" width="16.28515625" style="886" customWidth="1"/>
    <col min="8" max="8" width="15.5703125" style="886" customWidth="1"/>
    <col min="9" max="10" width="9.140625" style="886"/>
    <col min="11" max="11" width="12.85546875" style="886" bestFit="1" customWidth="1"/>
    <col min="12" max="12" width="11.85546875" style="886" bestFit="1" customWidth="1"/>
    <col min="13" max="16384" width="9.140625" style="886"/>
  </cols>
  <sheetData>
    <row r="2" spans="2:9" ht="18.75" x14ac:dyDescent="0.3">
      <c r="B2" s="3477" t="s">
        <v>1559</v>
      </c>
      <c r="C2" s="3477"/>
      <c r="D2" s="3477"/>
      <c r="E2" s="3477"/>
      <c r="F2" s="3477"/>
      <c r="G2" s="3477"/>
      <c r="H2" s="3477"/>
      <c r="I2" s="3477"/>
    </row>
    <row r="3" spans="2:9" ht="15.75" thickBot="1" x14ac:dyDescent="0.3"/>
    <row r="4" spans="2:9" x14ac:dyDescent="0.25">
      <c r="B4" s="3478" t="s">
        <v>362</v>
      </c>
      <c r="C4" s="3480" t="s">
        <v>1560</v>
      </c>
      <c r="D4" s="3480"/>
      <c r="E4" s="3480" t="s">
        <v>1561</v>
      </c>
      <c r="F4" s="3480" t="s">
        <v>1562</v>
      </c>
      <c r="G4" s="887" t="s">
        <v>1349</v>
      </c>
      <c r="H4" s="887" t="s">
        <v>1563</v>
      </c>
      <c r="I4" s="3482" t="s">
        <v>396</v>
      </c>
    </row>
    <row r="5" spans="2:9" x14ac:dyDescent="0.25">
      <c r="B5" s="3479"/>
      <c r="C5" s="3481"/>
      <c r="D5" s="3481"/>
      <c r="E5" s="3481"/>
      <c r="F5" s="3481"/>
      <c r="G5" s="888" t="s">
        <v>1564</v>
      </c>
      <c r="H5" s="888" t="s">
        <v>1564</v>
      </c>
      <c r="I5" s="3483"/>
    </row>
    <row r="6" spans="2:9" s="893" customFormat="1" x14ac:dyDescent="0.2">
      <c r="B6" s="889">
        <v>1</v>
      </c>
      <c r="C6" s="890" t="s">
        <v>1565</v>
      </c>
      <c r="D6" s="891"/>
      <c r="E6" s="891"/>
      <c r="F6" s="891"/>
      <c r="G6" s="891"/>
      <c r="H6" s="891"/>
      <c r="I6" s="892"/>
    </row>
    <row r="7" spans="2:9" s="893" customFormat="1" x14ac:dyDescent="0.2">
      <c r="B7" s="894"/>
      <c r="C7" s="895" t="s">
        <v>1566</v>
      </c>
      <c r="D7" s="896" t="s">
        <v>1567</v>
      </c>
      <c r="E7" s="3470" t="s">
        <v>1568</v>
      </c>
      <c r="F7" s="3473">
        <v>1</v>
      </c>
      <c r="G7" s="3473">
        <v>100000</v>
      </c>
      <c r="H7" s="3476">
        <f>F7*G7</f>
        <v>100000</v>
      </c>
      <c r="I7" s="897"/>
    </row>
    <row r="8" spans="2:9" s="893" customFormat="1" x14ac:dyDescent="0.2">
      <c r="B8" s="898"/>
      <c r="C8" s="899" t="s">
        <v>1569</v>
      </c>
      <c r="D8" s="900" t="s">
        <v>1570</v>
      </c>
      <c r="E8" s="3471"/>
      <c r="F8" s="3474"/>
      <c r="G8" s="3474"/>
      <c r="H8" s="3471"/>
      <c r="I8" s="901"/>
    </row>
    <row r="9" spans="2:9" s="893" customFormat="1" x14ac:dyDescent="0.2">
      <c r="B9" s="898"/>
      <c r="C9" s="902" t="s">
        <v>1571</v>
      </c>
      <c r="D9" s="903" t="s">
        <v>1572</v>
      </c>
      <c r="E9" s="3472"/>
      <c r="F9" s="3475"/>
      <c r="G9" s="3475"/>
      <c r="H9" s="3472"/>
      <c r="I9" s="904"/>
    </row>
    <row r="10" spans="2:9" s="893" customFormat="1" x14ac:dyDescent="0.2">
      <c r="B10" s="905"/>
      <c r="C10" s="906" t="s">
        <v>607</v>
      </c>
      <c r="D10" s="907" t="s">
        <v>1573</v>
      </c>
      <c r="E10" s="908"/>
      <c r="F10" s="908"/>
      <c r="G10" s="908"/>
      <c r="H10" s="909">
        <f>SUM(H7)</f>
        <v>100000</v>
      </c>
      <c r="I10" s="892"/>
    </row>
    <row r="11" spans="2:9" s="893" customFormat="1" x14ac:dyDescent="0.2">
      <c r="B11" s="910">
        <v>2</v>
      </c>
      <c r="C11" s="911" t="s">
        <v>1574</v>
      </c>
      <c r="D11" s="895"/>
      <c r="E11" s="912"/>
      <c r="F11" s="912"/>
      <c r="G11" s="912"/>
      <c r="H11" s="912"/>
      <c r="I11" s="913"/>
    </row>
    <row r="12" spans="2:9" s="893" customFormat="1" x14ac:dyDescent="0.2">
      <c r="B12" s="898"/>
      <c r="C12" s="899" t="s">
        <v>1566</v>
      </c>
      <c r="D12" s="899" t="s">
        <v>1575</v>
      </c>
      <c r="E12" s="914" t="s">
        <v>270</v>
      </c>
      <c r="F12" s="915">
        <v>2</v>
      </c>
      <c r="G12" s="915">
        <v>40000</v>
      </c>
      <c r="H12" s="915">
        <f>F12*G12</f>
        <v>80000</v>
      </c>
      <c r="I12" s="916"/>
    </row>
    <row r="13" spans="2:9" s="893" customFormat="1" x14ac:dyDescent="0.2">
      <c r="B13" s="905"/>
      <c r="C13" s="899" t="s">
        <v>1569</v>
      </c>
      <c r="D13" s="899" t="s">
        <v>1576</v>
      </c>
      <c r="E13" s="914" t="s">
        <v>268</v>
      </c>
      <c r="F13" s="915">
        <v>2</v>
      </c>
      <c r="G13" s="915">
        <f>G12</f>
        <v>40000</v>
      </c>
      <c r="H13" s="915">
        <f>F13*G13</f>
        <v>80000</v>
      </c>
      <c r="I13" s="916"/>
    </row>
    <row r="14" spans="2:9" s="893" customFormat="1" x14ac:dyDescent="0.2">
      <c r="B14" s="917"/>
      <c r="C14" s="918" t="s">
        <v>608</v>
      </c>
      <c r="D14" s="919" t="s">
        <v>1577</v>
      </c>
      <c r="E14" s="920"/>
      <c r="F14" s="920"/>
      <c r="G14" s="920"/>
      <c r="H14" s="921">
        <f>SUM(H12:H13)</f>
        <v>160000</v>
      </c>
      <c r="I14" s="922"/>
    </row>
    <row r="15" spans="2:9" s="893" customFormat="1" x14ac:dyDescent="0.2">
      <c r="B15" s="923">
        <v>3</v>
      </c>
      <c r="C15" s="906" t="s">
        <v>1578</v>
      </c>
      <c r="D15" s="924"/>
      <c r="E15" s="924"/>
      <c r="F15" s="925"/>
      <c r="G15" s="925"/>
      <c r="H15" s="925"/>
      <c r="I15" s="926"/>
    </row>
    <row r="16" spans="2:9" s="893" customFormat="1" x14ac:dyDescent="0.2">
      <c r="B16" s="927"/>
      <c r="C16" s="928" t="s">
        <v>1566</v>
      </c>
      <c r="D16" s="928" t="s">
        <v>1579</v>
      </c>
      <c r="E16" s="928" t="s">
        <v>268</v>
      </c>
      <c r="F16" s="929">
        <v>15</v>
      </c>
      <c r="G16" s="929">
        <v>35000</v>
      </c>
      <c r="H16" s="929">
        <f>F16*G16</f>
        <v>525000</v>
      </c>
      <c r="I16" s="930"/>
    </row>
    <row r="17" spans="2:11" s="893" customFormat="1" x14ac:dyDescent="0.2">
      <c r="B17" s="931"/>
      <c r="C17" s="899" t="s">
        <v>1569</v>
      </c>
      <c r="D17" s="899" t="s">
        <v>1580</v>
      </c>
      <c r="E17" s="899" t="s">
        <v>268</v>
      </c>
      <c r="F17" s="932">
        <f>F16</f>
        <v>15</v>
      </c>
      <c r="G17" s="932">
        <v>25000</v>
      </c>
      <c r="H17" s="932">
        <f>G17*F17</f>
        <v>375000</v>
      </c>
      <c r="I17" s="916"/>
    </row>
    <row r="18" spans="2:11" s="893" customFormat="1" x14ac:dyDescent="0.2">
      <c r="B18" s="931"/>
      <c r="C18" s="899" t="s">
        <v>1571</v>
      </c>
      <c r="D18" s="899" t="s">
        <v>1581</v>
      </c>
      <c r="E18" s="899" t="s">
        <v>268</v>
      </c>
      <c r="F18" s="932">
        <f>F17</f>
        <v>15</v>
      </c>
      <c r="G18" s="932">
        <v>20000</v>
      </c>
      <c r="H18" s="932">
        <f>G18*F18</f>
        <v>300000</v>
      </c>
      <c r="I18" s="916"/>
    </row>
    <row r="19" spans="2:11" s="893" customFormat="1" x14ac:dyDescent="0.2">
      <c r="B19" s="931"/>
      <c r="C19" s="899" t="s">
        <v>1582</v>
      </c>
      <c r="D19" s="899" t="s">
        <v>1583</v>
      </c>
      <c r="E19" s="899" t="s">
        <v>268</v>
      </c>
      <c r="F19" s="932">
        <f>F18</f>
        <v>15</v>
      </c>
      <c r="G19" s="932">
        <v>30000</v>
      </c>
      <c r="H19" s="932">
        <f>G19*F19</f>
        <v>450000</v>
      </c>
      <c r="I19" s="916"/>
    </row>
    <row r="20" spans="2:11" s="893" customFormat="1" x14ac:dyDescent="0.2">
      <c r="B20" s="931"/>
      <c r="C20" s="899" t="s">
        <v>1584</v>
      </c>
      <c r="D20" s="899" t="s">
        <v>1585</v>
      </c>
      <c r="E20" s="899" t="s">
        <v>268</v>
      </c>
      <c r="F20" s="932">
        <f>F19</f>
        <v>15</v>
      </c>
      <c r="G20" s="932">
        <v>25000</v>
      </c>
      <c r="H20" s="932">
        <f>G20*F20</f>
        <v>375000</v>
      </c>
      <c r="I20" s="916"/>
    </row>
    <row r="21" spans="2:11" s="893" customFormat="1" x14ac:dyDescent="0.2">
      <c r="B21" s="917"/>
      <c r="C21" s="918" t="s">
        <v>609</v>
      </c>
      <c r="D21" s="919" t="s">
        <v>1586</v>
      </c>
      <c r="E21" s="920"/>
      <c r="F21" s="920"/>
      <c r="G21" s="920"/>
      <c r="H21" s="921">
        <f>SUM(H16:H20)</f>
        <v>2025000</v>
      </c>
      <c r="I21" s="922"/>
    </row>
    <row r="22" spans="2:11" s="893" customFormat="1" x14ac:dyDescent="0.2">
      <c r="B22" s="923">
        <v>4</v>
      </c>
      <c r="C22" s="906" t="s">
        <v>1587</v>
      </c>
      <c r="D22" s="924"/>
      <c r="E22" s="924"/>
      <c r="F22" s="925"/>
      <c r="G22" s="925"/>
      <c r="H22" s="925"/>
      <c r="I22" s="926"/>
    </row>
    <row r="23" spans="2:11" s="893" customFormat="1" x14ac:dyDescent="0.2">
      <c r="B23" s="931"/>
      <c r="C23" s="899" t="s">
        <v>1566</v>
      </c>
      <c r="D23" s="899" t="s">
        <v>1587</v>
      </c>
      <c r="E23" s="899" t="s">
        <v>273</v>
      </c>
      <c r="F23" s="932">
        <v>1</v>
      </c>
      <c r="G23" s="932">
        <v>300000</v>
      </c>
      <c r="H23" s="932">
        <f>F23*G23</f>
        <v>300000</v>
      </c>
      <c r="I23" s="916"/>
    </row>
    <row r="24" spans="2:11" s="893" customFormat="1" x14ac:dyDescent="0.2">
      <c r="B24" s="917"/>
      <c r="C24" s="918" t="s">
        <v>610</v>
      </c>
      <c r="D24" s="919" t="s">
        <v>1588</v>
      </c>
      <c r="E24" s="920"/>
      <c r="F24" s="920"/>
      <c r="G24" s="920"/>
      <c r="H24" s="921">
        <f>SUM(H23)</f>
        <v>300000</v>
      </c>
      <c r="I24" s="922"/>
    </row>
    <row r="25" spans="2:11" s="893" customFormat="1" x14ac:dyDescent="0.2">
      <c r="B25" s="923">
        <v>5</v>
      </c>
      <c r="C25" s="906" t="s">
        <v>1589</v>
      </c>
      <c r="D25" s="924"/>
      <c r="E25" s="924"/>
      <c r="F25" s="925"/>
      <c r="G25" s="925"/>
      <c r="H25" s="925"/>
      <c r="I25" s="926"/>
    </row>
    <row r="26" spans="2:11" s="893" customFormat="1" x14ac:dyDescent="0.2">
      <c r="B26" s="931"/>
      <c r="C26" s="899" t="s">
        <v>1566</v>
      </c>
      <c r="D26" s="899" t="s">
        <v>1590</v>
      </c>
      <c r="E26" s="899" t="s">
        <v>291</v>
      </c>
      <c r="F26" s="932"/>
      <c r="G26" s="932"/>
      <c r="H26" s="932">
        <f>F26*G26</f>
        <v>0</v>
      </c>
      <c r="I26" s="916"/>
    </row>
    <row r="27" spans="2:11" s="893" customFormat="1" x14ac:dyDescent="0.2">
      <c r="B27" s="917"/>
      <c r="C27" s="918" t="s">
        <v>611</v>
      </c>
      <c r="D27" s="919" t="s">
        <v>1591</v>
      </c>
      <c r="E27" s="920"/>
      <c r="F27" s="920"/>
      <c r="G27" s="920"/>
      <c r="H27" s="921">
        <f>SUM(H26)</f>
        <v>0</v>
      </c>
      <c r="I27" s="922"/>
    </row>
    <row r="28" spans="2:11" s="893" customFormat="1" x14ac:dyDescent="0.2">
      <c r="B28" s="923">
        <v>6</v>
      </c>
      <c r="C28" s="906" t="s">
        <v>1592</v>
      </c>
      <c r="D28" s="924"/>
      <c r="E28" s="924"/>
      <c r="F28" s="925"/>
      <c r="G28" s="925"/>
      <c r="H28" s="925"/>
      <c r="I28" s="926"/>
    </row>
    <row r="29" spans="2:11" s="893" customFormat="1" x14ac:dyDescent="0.2">
      <c r="B29" s="931"/>
      <c r="C29" s="899" t="s">
        <v>1566</v>
      </c>
      <c r="D29" s="899" t="s">
        <v>1593</v>
      </c>
      <c r="E29" s="899" t="s">
        <v>273</v>
      </c>
      <c r="F29" s="932">
        <v>1</v>
      </c>
      <c r="G29" s="932">
        <v>150000</v>
      </c>
      <c r="H29" s="932">
        <f>G29*F29</f>
        <v>150000</v>
      </c>
      <c r="I29" s="916"/>
    </row>
    <row r="30" spans="2:11" s="893" customFormat="1" x14ac:dyDescent="0.2">
      <c r="B30" s="931"/>
      <c r="C30" s="899" t="s">
        <v>1569</v>
      </c>
      <c r="D30" s="899" t="s">
        <v>1594</v>
      </c>
      <c r="E30" s="899" t="s">
        <v>268</v>
      </c>
      <c r="F30" s="932">
        <v>1</v>
      </c>
      <c r="G30" s="932">
        <v>100000</v>
      </c>
      <c r="H30" s="932">
        <f>G30*F30</f>
        <v>100000</v>
      </c>
      <c r="I30" s="916"/>
    </row>
    <row r="31" spans="2:11" s="893" customFormat="1" x14ac:dyDescent="0.2">
      <c r="B31" s="931"/>
      <c r="C31" s="899" t="s">
        <v>1571</v>
      </c>
      <c r="D31" s="899" t="s">
        <v>1595</v>
      </c>
      <c r="E31" s="899" t="s">
        <v>268</v>
      </c>
      <c r="F31" s="932">
        <v>1</v>
      </c>
      <c r="G31" s="932">
        <v>200000</v>
      </c>
      <c r="H31" s="932">
        <f>G31*F31</f>
        <v>200000</v>
      </c>
      <c r="I31" s="916"/>
    </row>
    <row r="32" spans="2:11" s="893" customFormat="1" x14ac:dyDescent="0.2">
      <c r="B32" s="931"/>
      <c r="C32" s="899" t="s">
        <v>1582</v>
      </c>
      <c r="D32" s="899" t="s">
        <v>1596</v>
      </c>
      <c r="E32" s="899" t="s">
        <v>1597</v>
      </c>
      <c r="F32" s="932">
        <v>1</v>
      </c>
      <c r="G32" s="932">
        <v>750000</v>
      </c>
      <c r="H32" s="932">
        <f>G32*F32</f>
        <v>750000</v>
      </c>
      <c r="I32" s="916"/>
      <c r="K32" s="933"/>
    </row>
    <row r="33" spans="2:12" s="893" customFormat="1" ht="18" customHeight="1" x14ac:dyDescent="0.2">
      <c r="B33" s="931"/>
      <c r="C33" s="899" t="s">
        <v>1584</v>
      </c>
      <c r="D33" s="899" t="s">
        <v>1598</v>
      </c>
      <c r="E33" s="899" t="s">
        <v>1597</v>
      </c>
      <c r="F33" s="932">
        <v>1</v>
      </c>
      <c r="G33" s="932">
        <v>100000</v>
      </c>
      <c r="H33" s="932">
        <f>G33*F33</f>
        <v>100000</v>
      </c>
      <c r="I33" s="916"/>
    </row>
    <row r="34" spans="2:12" s="893" customFormat="1" ht="18" customHeight="1" x14ac:dyDescent="0.2">
      <c r="B34" s="917"/>
      <c r="C34" s="918" t="s">
        <v>1599</v>
      </c>
      <c r="D34" s="919" t="s">
        <v>1600</v>
      </c>
      <c r="E34" s="920"/>
      <c r="F34" s="920"/>
      <c r="G34" s="920"/>
      <c r="H34" s="921">
        <f>SUM(H29:H33)</f>
        <v>1300000</v>
      </c>
      <c r="I34" s="922"/>
    </row>
    <row r="35" spans="2:12" s="893" customFormat="1" ht="18" customHeight="1" x14ac:dyDescent="0.2">
      <c r="B35" s="923">
        <v>7</v>
      </c>
      <c r="C35" s="906" t="s">
        <v>1601</v>
      </c>
      <c r="D35" s="924"/>
      <c r="E35" s="924"/>
      <c r="F35" s="925"/>
      <c r="G35" s="925"/>
      <c r="H35" s="925"/>
      <c r="I35" s="926"/>
    </row>
    <row r="36" spans="2:12" s="893" customFormat="1" ht="18" customHeight="1" x14ac:dyDescent="0.2">
      <c r="B36" s="931"/>
      <c r="C36" s="899" t="s">
        <v>1566</v>
      </c>
      <c r="D36" s="899" t="s">
        <v>1602</v>
      </c>
      <c r="E36" s="899" t="s">
        <v>268</v>
      </c>
      <c r="F36" s="932">
        <v>2</v>
      </c>
      <c r="G36" s="932">
        <v>50000</v>
      </c>
      <c r="H36" s="932">
        <f>G36*F36</f>
        <v>100000</v>
      </c>
      <c r="I36" s="916"/>
    </row>
    <row r="37" spans="2:12" s="893" customFormat="1" ht="18" customHeight="1" x14ac:dyDescent="0.2">
      <c r="B37" s="931"/>
      <c r="C37" s="899" t="s">
        <v>1569</v>
      </c>
      <c r="D37" s="899" t="s">
        <v>1603</v>
      </c>
      <c r="E37" s="899" t="s">
        <v>268</v>
      </c>
      <c r="F37" s="932">
        <v>2</v>
      </c>
      <c r="G37" s="932">
        <v>50000</v>
      </c>
      <c r="H37" s="932">
        <f>G37*F37</f>
        <v>100000</v>
      </c>
      <c r="I37" s="916"/>
    </row>
    <row r="38" spans="2:12" s="893" customFormat="1" ht="18" customHeight="1" x14ac:dyDescent="0.2">
      <c r="B38" s="931"/>
      <c r="C38" s="899" t="s">
        <v>1571</v>
      </c>
      <c r="D38" s="899" t="s">
        <v>1604</v>
      </c>
      <c r="E38" s="899" t="s">
        <v>268</v>
      </c>
      <c r="F38" s="932">
        <v>2</v>
      </c>
      <c r="G38" s="932">
        <v>50000</v>
      </c>
      <c r="H38" s="932">
        <f>G38*F38</f>
        <v>100000</v>
      </c>
      <c r="I38" s="916"/>
    </row>
    <row r="39" spans="2:12" s="893" customFormat="1" ht="18" customHeight="1" x14ac:dyDescent="0.2">
      <c r="B39" s="931"/>
      <c r="C39" s="899" t="s">
        <v>1582</v>
      </c>
      <c r="D39" s="899" t="s">
        <v>1605</v>
      </c>
      <c r="E39" s="899" t="s">
        <v>268</v>
      </c>
      <c r="F39" s="932">
        <v>2</v>
      </c>
      <c r="G39" s="932">
        <v>50000</v>
      </c>
      <c r="H39" s="932">
        <f>G39*F39</f>
        <v>100000</v>
      </c>
      <c r="I39" s="916"/>
    </row>
    <row r="40" spans="2:12" s="893" customFormat="1" ht="18" customHeight="1" x14ac:dyDescent="0.2">
      <c r="B40" s="917"/>
      <c r="C40" s="918" t="s">
        <v>698</v>
      </c>
      <c r="D40" s="919" t="s">
        <v>1606</v>
      </c>
      <c r="E40" s="920"/>
      <c r="F40" s="920"/>
      <c r="G40" s="920"/>
      <c r="H40" s="921">
        <f>SUM(H36:H39)</f>
        <v>400000</v>
      </c>
      <c r="I40" s="922"/>
    </row>
    <row r="41" spans="2:12" s="893" customFormat="1" ht="18" customHeight="1" x14ac:dyDescent="0.2">
      <c r="B41" s="923">
        <v>8</v>
      </c>
      <c r="C41" s="906" t="s">
        <v>1607</v>
      </c>
      <c r="D41" s="924"/>
      <c r="E41" s="924"/>
      <c r="F41" s="925"/>
      <c r="G41" s="925"/>
      <c r="H41" s="925"/>
      <c r="I41" s="926"/>
    </row>
    <row r="42" spans="2:12" s="893" customFormat="1" ht="18" customHeight="1" x14ac:dyDescent="0.2">
      <c r="B42" s="931"/>
      <c r="C42" s="899" t="s">
        <v>1566</v>
      </c>
      <c r="D42" s="899" t="s">
        <v>1608</v>
      </c>
      <c r="E42" s="899" t="s">
        <v>1609</v>
      </c>
      <c r="F42" s="932">
        <v>0</v>
      </c>
      <c r="G42" s="932">
        <v>0</v>
      </c>
      <c r="H42" s="932">
        <v>0</v>
      </c>
      <c r="I42" s="916"/>
    </row>
    <row r="43" spans="2:12" s="893" customFormat="1" ht="18" customHeight="1" x14ac:dyDescent="0.2">
      <c r="B43" s="917"/>
      <c r="C43" s="918" t="s">
        <v>699</v>
      </c>
      <c r="D43" s="919" t="s">
        <v>1610</v>
      </c>
      <c r="E43" s="920"/>
      <c r="F43" s="920"/>
      <c r="G43" s="920"/>
      <c r="H43" s="921">
        <f>SUM(H42)</f>
        <v>0</v>
      </c>
      <c r="I43" s="922"/>
    </row>
    <row r="44" spans="2:12" s="893" customFormat="1" ht="18" customHeight="1" x14ac:dyDescent="0.2">
      <c r="B44" s="923">
        <v>9</v>
      </c>
      <c r="C44" s="906" t="s">
        <v>1611</v>
      </c>
      <c r="D44" s="924"/>
      <c r="E44" s="924"/>
      <c r="F44" s="925"/>
      <c r="G44" s="925"/>
      <c r="H44" s="925"/>
      <c r="I44" s="926"/>
    </row>
    <row r="45" spans="2:12" s="893" customFormat="1" ht="18" customHeight="1" x14ac:dyDescent="0.2">
      <c r="B45" s="931"/>
      <c r="C45" s="899" t="s">
        <v>1566</v>
      </c>
      <c r="D45" s="899" t="s">
        <v>1612</v>
      </c>
      <c r="E45" s="899" t="s">
        <v>268</v>
      </c>
      <c r="F45" s="932">
        <v>5</v>
      </c>
      <c r="G45" s="932">
        <v>50000</v>
      </c>
      <c r="H45" s="932">
        <f>F45*G45</f>
        <v>250000</v>
      </c>
      <c r="I45" s="916"/>
    </row>
    <row r="46" spans="2:12" s="893" customFormat="1" ht="18" customHeight="1" x14ac:dyDescent="0.2">
      <c r="B46" s="917"/>
      <c r="C46" s="918" t="s">
        <v>542</v>
      </c>
      <c r="D46" s="919" t="s">
        <v>1613</v>
      </c>
      <c r="E46" s="920"/>
      <c r="F46" s="920"/>
      <c r="G46" s="920"/>
      <c r="H46" s="921">
        <f>SUM(H45)</f>
        <v>250000</v>
      </c>
      <c r="I46" s="922"/>
    </row>
    <row r="47" spans="2:12" s="893" customFormat="1" ht="30" customHeight="1" thickBot="1" x14ac:dyDescent="0.25">
      <c r="B47" s="934"/>
      <c r="C47" s="935"/>
      <c r="D47" s="935" t="s">
        <v>360</v>
      </c>
      <c r="E47" s="936"/>
      <c r="F47" s="937"/>
      <c r="G47" s="938"/>
      <c r="H47" s="939">
        <f>H46+H43+H40+H34+H27+H24+H21+H14+H10</f>
        <v>4535000</v>
      </c>
      <c r="I47" s="940"/>
      <c r="K47" s="933"/>
      <c r="L47" s="933"/>
    </row>
    <row r="49" spans="7:7" x14ac:dyDescent="0.25">
      <c r="G49" s="941" t="str">
        <f>SNI!K1721</f>
        <v>Karanganyar,                               2022</v>
      </c>
    </row>
    <row r="50" spans="7:7" x14ac:dyDescent="0.25">
      <c r="G50" s="941" t="str">
        <f>SNI!K1722</f>
        <v>PEJABAT PENANDATANGAN KONTRAK</v>
      </c>
    </row>
    <row r="51" spans="7:7" x14ac:dyDescent="0.25">
      <c r="G51" s="942">
        <f>SNI!K1723</f>
        <v>0</v>
      </c>
    </row>
    <row r="52" spans="7:7" x14ac:dyDescent="0.25">
      <c r="G52" s="941"/>
    </row>
    <row r="53" spans="7:7" x14ac:dyDescent="0.25">
      <c r="G53" s="941"/>
    </row>
    <row r="54" spans="7:7" x14ac:dyDescent="0.25">
      <c r="G54" s="941"/>
    </row>
    <row r="55" spans="7:7" x14ac:dyDescent="0.25">
      <c r="G55" s="941"/>
    </row>
    <row r="56" spans="7:7" x14ac:dyDescent="0.25">
      <c r="G56" s="941"/>
    </row>
    <row r="57" spans="7:7" x14ac:dyDescent="0.25">
      <c r="G57" s="942" t="str">
        <f>SNI!K1729</f>
        <v>FERIANA DWI KURNIAWATI, SP, M.Si</v>
      </c>
    </row>
    <row r="58" spans="7:7" x14ac:dyDescent="0.25">
      <c r="G58" s="941" t="str">
        <f>SNI!K1730</f>
        <v>NIP. 19810226 200501 2 015</v>
      </c>
    </row>
    <row r="59" spans="7:7" x14ac:dyDescent="0.25">
      <c r="G59" s="941"/>
    </row>
    <row r="60" spans="7:7" x14ac:dyDescent="0.25">
      <c r="G60" s="941"/>
    </row>
    <row r="61" spans="7:7" x14ac:dyDescent="0.25">
      <c r="G61" s="941"/>
    </row>
    <row r="62" spans="7:7" x14ac:dyDescent="0.25">
      <c r="G62" s="941"/>
    </row>
    <row r="70" spans="6:12" x14ac:dyDescent="0.25">
      <c r="F70" s="943"/>
      <c r="H70" s="944"/>
      <c r="K70" s="944"/>
      <c r="L70" s="944"/>
    </row>
    <row r="71" spans="6:12" x14ac:dyDescent="0.25">
      <c r="F71" s="943"/>
      <c r="H71" s="944"/>
    </row>
    <row r="77" spans="6:12" x14ac:dyDescent="0.25">
      <c r="K77" s="945"/>
      <c r="L77" s="944"/>
    </row>
    <row r="79" spans="6:12" x14ac:dyDescent="0.25">
      <c r="L79" s="944"/>
    </row>
    <row r="82" spans="12:12" x14ac:dyDescent="0.25">
      <c r="L82" s="944"/>
    </row>
    <row r="85" spans="12:12" x14ac:dyDescent="0.25">
      <c r="L85" s="944"/>
    </row>
    <row r="372" spans="7:7" ht="15.75" x14ac:dyDescent="0.25">
      <c r="G372" s="946"/>
    </row>
  </sheetData>
  <mergeCells count="10">
    <mergeCell ref="E7:E9"/>
    <mergeCell ref="F7:F9"/>
    <mergeCell ref="G7:G9"/>
    <mergeCell ref="H7:H9"/>
    <mergeCell ref="B2:I2"/>
    <mergeCell ref="B4:B5"/>
    <mergeCell ref="C4:D5"/>
    <mergeCell ref="E4:E5"/>
    <mergeCell ref="F4:F5"/>
    <mergeCell ref="I4:I5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9:O146"/>
  <sheetViews>
    <sheetView topLeftCell="A40" zoomScaleNormal="100" workbookViewId="0">
      <selection activeCell="I113" sqref="I113"/>
    </sheetView>
  </sheetViews>
  <sheetFormatPr defaultRowHeight="15" customHeight="1" x14ac:dyDescent="0.2"/>
  <cols>
    <col min="1" max="1" width="5.42578125" style="2513" customWidth="1"/>
    <col min="2" max="2" width="5.7109375" style="2607" customWidth="1"/>
    <col min="3" max="3" width="11.85546875" style="2513" customWidth="1"/>
    <col min="4" max="4" width="2.7109375" style="2513" customWidth="1"/>
    <col min="5" max="5" width="34.7109375" style="2513" customWidth="1"/>
    <col min="6" max="6" width="14.5703125" style="2513" customWidth="1"/>
    <col min="7" max="7" width="14.7109375" style="2513" customWidth="1"/>
    <col min="8" max="8" width="7.140625" style="2513" customWidth="1"/>
    <col min="9" max="10" width="12.42578125" style="2513" customWidth="1"/>
    <col min="11" max="11" width="12.42578125" style="2513" hidden="1" customWidth="1"/>
    <col min="12" max="12" width="11" style="2513" customWidth="1"/>
    <col min="13" max="13" width="9.140625" style="2513"/>
    <col min="14" max="14" width="9.85546875" style="2607" bestFit="1" customWidth="1"/>
    <col min="15" max="15" width="13.28515625" style="2513" customWidth="1"/>
    <col min="16" max="16384" width="9.140625" style="2513"/>
  </cols>
  <sheetData>
    <row r="9" spans="2:12" ht="24.75" customHeight="1" x14ac:dyDescent="0.3">
      <c r="B9" s="3490" t="s">
        <v>474</v>
      </c>
      <c r="C9" s="3490"/>
      <c r="D9" s="3490"/>
      <c r="E9" s="3490"/>
      <c r="F9" s="3490"/>
      <c r="G9" s="3490"/>
      <c r="H9" s="3490"/>
      <c r="I9" s="3490"/>
      <c r="J9" s="3490"/>
      <c r="K9" s="3490"/>
      <c r="L9" s="3490"/>
    </row>
    <row r="11" spans="2:12" ht="15" customHeight="1" x14ac:dyDescent="0.2">
      <c r="B11" s="2607" t="str">
        <f>'Upah &amp; Bahan'!B11</f>
        <v>KEGIATAN</v>
      </c>
      <c r="D11" s="2607" t="str">
        <f>'Upah &amp; Bahan'!E11</f>
        <v>:</v>
      </c>
      <c r="E11" s="2607" t="str">
        <f>RAB.PERTANIAN!F3</f>
        <v>PEMBANGUNAN GEDUNG KANTOR DINAS PERTANIAN, PANGAN DAN PERIKANAN KARANGANYAR</v>
      </c>
    </row>
    <row r="12" spans="2:12" ht="15" customHeight="1" x14ac:dyDescent="0.2">
      <c r="B12" s="2607" t="str">
        <f>'Upah &amp; Bahan'!B12</f>
        <v>L O K A S I</v>
      </c>
      <c r="D12" s="2607" t="str">
        <f>'Upah &amp; Bahan'!E12</f>
        <v>:</v>
      </c>
      <c r="E12" s="2607" t="str">
        <f>RAB.PERTANIAN!F4</f>
        <v>PEMBANGUNAN GEDUNG KANTOR DINAS PERTANIAN, PANGAN DAN PERIKANAN KARANGANYAR</v>
      </c>
    </row>
    <row r="13" spans="2:12" ht="15" customHeight="1" x14ac:dyDescent="0.2">
      <c r="B13" s="2607" t="str">
        <f>'Upah &amp; Bahan'!B13</f>
        <v>KABUPATEN</v>
      </c>
      <c r="D13" s="2607" t="str">
        <f>'Upah &amp; Bahan'!E13</f>
        <v>:</v>
      </c>
      <c r="E13" s="2607" t="str">
        <f>RAB.PERTANIAN!F5</f>
        <v>KARANGANYAR</v>
      </c>
    </row>
    <row r="14" spans="2:12" ht="15" customHeight="1" x14ac:dyDescent="0.2">
      <c r="B14" s="2607" t="str">
        <f>'Upah &amp; Bahan'!B14</f>
        <v>SUMBER DANA</v>
      </c>
      <c r="D14" s="2607" t="str">
        <f>'Upah &amp; Bahan'!E14</f>
        <v>:</v>
      </c>
      <c r="E14" s="2607" t="str">
        <f>RAB.PERTANIAN!F6</f>
        <v>KARANGANYAR</v>
      </c>
    </row>
    <row r="15" spans="2:12" ht="15" customHeight="1" x14ac:dyDescent="0.2">
      <c r="B15" s="2607" t="str">
        <f>'Upah &amp; Bahan'!B15</f>
        <v>TAHUN ANGGARAN</v>
      </c>
      <c r="D15" s="2607" t="str">
        <f>'Upah &amp; Bahan'!E15</f>
        <v>:</v>
      </c>
      <c r="E15" s="2607" t="str">
        <f>RAB.PERTANIAN!F7</f>
        <v>2023</v>
      </c>
    </row>
    <row r="16" spans="2:12" ht="15" customHeight="1" thickBot="1" x14ac:dyDescent="0.25"/>
    <row r="17" spans="2:15" s="2615" customFormat="1" ht="24.95" customHeight="1" x14ac:dyDescent="0.2">
      <c r="B17" s="2608" t="s">
        <v>362</v>
      </c>
      <c r="C17" s="3484" t="s">
        <v>363</v>
      </c>
      <c r="D17" s="3485"/>
      <c r="E17" s="3486"/>
      <c r="F17" s="2609" t="s">
        <v>1348</v>
      </c>
      <c r="G17" s="2609" t="s">
        <v>1349</v>
      </c>
      <c r="H17" s="2610" t="s">
        <v>1350</v>
      </c>
      <c r="I17" s="2611" t="s">
        <v>2010</v>
      </c>
      <c r="J17" s="2612" t="s">
        <v>2014</v>
      </c>
      <c r="K17" s="2613" t="str">
        <f>J17</f>
        <v>JUMLAH BIAYA KDN</v>
      </c>
      <c r="L17" s="2614" t="s">
        <v>396</v>
      </c>
      <c r="N17" s="2616"/>
    </row>
    <row r="18" spans="2:15" s="2625" customFormat="1" ht="15" customHeight="1" x14ac:dyDescent="0.2">
      <c r="B18" s="2617"/>
      <c r="C18" s="3487"/>
      <c r="D18" s="3488"/>
      <c r="E18" s="3489"/>
      <c r="F18" s="2618"/>
      <c r="G18" s="2619"/>
      <c r="H18" s="2620"/>
      <c r="I18" s="2621"/>
      <c r="J18" s="2622"/>
      <c r="K18" s="2623" t="s">
        <v>2020</v>
      </c>
      <c r="L18" s="2624"/>
      <c r="N18" s="2626"/>
    </row>
    <row r="19" spans="2:15" s="2625" customFormat="1" ht="15" customHeight="1" x14ac:dyDescent="0.2">
      <c r="B19" s="2627">
        <f>SNI!C26</f>
        <v>0</v>
      </c>
      <c r="C19" s="2628">
        <f>SNI!D26</f>
        <v>0</v>
      </c>
      <c r="D19" s="2628"/>
      <c r="E19" s="2628"/>
      <c r="F19" s="2629"/>
      <c r="G19" s="2630"/>
      <c r="H19" s="2631"/>
      <c r="I19" s="2632"/>
      <c r="J19" s="2633"/>
      <c r="K19" s="2634"/>
      <c r="L19" s="2635"/>
      <c r="N19" s="2626"/>
    </row>
    <row r="20" spans="2:15" s="2625" customFormat="1" ht="15" customHeight="1" x14ac:dyDescent="0.2">
      <c r="B20" s="2636">
        <f>SNI!B28</f>
        <v>1</v>
      </c>
      <c r="C20" s="2637" t="str">
        <f>VLOOKUP($B20,SNI!$B$28:$W$1730,3,0)</f>
        <v>Administrasi dan dokumentasi</v>
      </c>
      <c r="D20" s="2638"/>
      <c r="E20" s="2639"/>
      <c r="F20" s="2640" t="str">
        <f>VLOOKUP($B20,SNI!$B$28:$W$1730,10,0)</f>
        <v>An. Dihitung</v>
      </c>
      <c r="G20" s="2641">
        <f>VLOOKUP($B20,SNI!$B$28:$W$1730,15,0)</f>
        <v>287076.5</v>
      </c>
      <c r="H20" s="2642" t="str">
        <f>VLOOKUP($B20,SNI!$B$28:$W$1730,14,0)</f>
        <v>ls</v>
      </c>
      <c r="I20" s="3183">
        <f>VLOOKUP($B20,SNI!$B$28:$W$1727,16,0)</f>
        <v>0.58185101358000391</v>
      </c>
      <c r="J20" s="2641">
        <f>VLOOKUP($B20,SNI!$B$28:$W$1727,18,0)</f>
        <v>147819.25</v>
      </c>
      <c r="K20" s="2641">
        <f>VLOOKUP($B20,SNI!$B$28:$W$1727,19,0)</f>
        <v>167035.7525</v>
      </c>
      <c r="L20" s="2644"/>
      <c r="N20" s="2626"/>
      <c r="O20" s="2645"/>
    </row>
    <row r="21" spans="2:15" s="2625" customFormat="1" ht="15" customHeight="1" x14ac:dyDescent="0.2">
      <c r="B21" s="2646">
        <f>SNI!B45</f>
        <v>2</v>
      </c>
      <c r="C21" s="2647" t="str">
        <f>VLOOKUP($B21,SNI!$B$28:$W$1730,3,0)</f>
        <v>Air dan listrik kerja</v>
      </c>
      <c r="D21" s="2648"/>
      <c r="E21" s="2649"/>
      <c r="F21" s="2650" t="str">
        <f>VLOOKUP($B21,SNI!$B$28:$W$1730,10,0)</f>
        <v>An. Dihitung</v>
      </c>
      <c r="G21" s="2651">
        <f>VLOOKUP($B21,SNI!$B$28:$W$1730,15,0)</f>
        <v>10379502</v>
      </c>
      <c r="H21" s="2652" t="str">
        <f>VLOOKUP($B21,SNI!$B$28:$W$1730,14,0)</f>
        <v>ls</v>
      </c>
      <c r="I21" s="3183">
        <f>VLOOKUP($B21,SNI!$B$28:$W$1727,16,0)</f>
        <v>0.45130315500685869</v>
      </c>
      <c r="J21" s="2641">
        <f>VLOOKUP($B21,SNI!$B$28:$W$1727,18,0)</f>
        <v>4145400</v>
      </c>
      <c r="K21" s="2641">
        <f>VLOOKUP($B21,SNI!$B$28:$W$1727,19,0)</f>
        <v>4684302</v>
      </c>
      <c r="L21" s="2653"/>
      <c r="N21" s="2626"/>
      <c r="O21" s="2645"/>
    </row>
    <row r="22" spans="2:15" s="2625" customFormat="1" ht="15" customHeight="1" x14ac:dyDescent="0.2">
      <c r="B22" s="2646">
        <f>SNI!B62</f>
        <v>3</v>
      </c>
      <c r="C22" s="2647" t="str">
        <f>VLOOKUP($B22,SNI!$B$28:$W$1730,3,0)</f>
        <v>Pembersihan lapangan dan perataan</v>
      </c>
      <c r="D22" s="2648"/>
      <c r="E22" s="2649"/>
      <c r="F22" s="2650" t="str">
        <f>VLOOKUP($B22,SNI!$B$28:$W$1730,10,0)</f>
        <v>A.2.2.1.9.</v>
      </c>
      <c r="G22" s="2651">
        <f>VLOOKUP($B22,SNI!$B$28:$W$1730,15,0)</f>
        <v>15062.9</v>
      </c>
      <c r="H22" s="2652" t="str">
        <f>VLOOKUP($B22,SNI!$B$28:$W$1730,14,0)</f>
        <v>m2</v>
      </c>
      <c r="I22" s="3183">
        <f>VLOOKUP($B22,SNI!$B$28:$W$1727,16,0)</f>
        <v>1</v>
      </c>
      <c r="J22" s="2641">
        <f>VLOOKUP($B22,SNI!$B$28:$W$1727,18,0)</f>
        <v>13330</v>
      </c>
      <c r="K22" s="2641">
        <f>VLOOKUP($B22,SNI!$B$28:$W$1727,19,0)</f>
        <v>15062.9</v>
      </c>
      <c r="L22" s="2653"/>
      <c r="N22" s="2626"/>
      <c r="O22" s="2645"/>
    </row>
    <row r="23" spans="2:15" s="2625" customFormat="1" ht="15" customHeight="1" x14ac:dyDescent="0.2">
      <c r="B23" s="2646">
        <f>SNI!B76</f>
        <v>4</v>
      </c>
      <c r="C23" s="2647" t="str">
        <f>VLOOKUP($B23,SNI!$B$28:$W$1730,3,0)</f>
        <v xml:space="preserve">Pengukuran dan pemasangan bouwplank  </v>
      </c>
      <c r="D23" s="2648"/>
      <c r="E23" s="2649"/>
      <c r="F23" s="2650" t="str">
        <f>VLOOKUP($B23,SNI!$B$28:$W$1730,10,0)</f>
        <v>A.2.2.1.4.</v>
      </c>
      <c r="G23" s="2651">
        <f>VLOOKUP($B23,SNI!$B$28:$W$1730,15,0)</f>
        <v>59589.42</v>
      </c>
      <c r="H23" s="2652" t="str">
        <f>VLOOKUP($B23,SNI!$B$28:$W$1730,14,0)</f>
        <v>m'</v>
      </c>
      <c r="I23" s="3183">
        <f>VLOOKUP($B23,SNI!$B$28:$W$1727,16,0)</f>
        <v>0.99355254674403615</v>
      </c>
      <c r="J23" s="2641">
        <f>VLOOKUP($B23,SNI!$B$28:$W$1727,18,0)</f>
        <v>52394</v>
      </c>
      <c r="K23" s="2641">
        <f>VLOOKUP($B23,SNI!$B$28:$W$1727,19,0)</f>
        <v>59205.22</v>
      </c>
      <c r="L23" s="2653"/>
      <c r="N23" s="2626"/>
      <c r="O23" s="2645"/>
    </row>
    <row r="24" spans="2:15" s="2625" customFormat="1" ht="15" customHeight="1" x14ac:dyDescent="0.2">
      <c r="B24" s="2646">
        <f>SNI!B97</f>
        <v>5</v>
      </c>
      <c r="C24" s="2647" t="str">
        <f>VLOOKUP($B24,SNI!$B$28:$W$1730,3,0)</f>
        <v xml:space="preserve">Menggali tanah biasa sedalam 1 m' </v>
      </c>
      <c r="D24" s="2648"/>
      <c r="E24" s="2649"/>
      <c r="F24" s="2650" t="str">
        <f>VLOOKUP($B24,SNI!$B$28:$W$1730,10,0)</f>
        <v>A.2.3.1.1.</v>
      </c>
      <c r="G24" s="2651">
        <f>VLOOKUP($B24,SNI!$B$28:$W$1730,15,0)</f>
        <v>77376.75</v>
      </c>
      <c r="H24" s="2652" t="str">
        <f>VLOOKUP($B24,SNI!$B$28:$W$1730,14,0)</f>
        <v>m3</v>
      </c>
      <c r="I24" s="3183">
        <f>VLOOKUP($B24,SNI!$B$28:$W$1727,16,0)</f>
        <v>1</v>
      </c>
      <c r="J24" s="2641">
        <f>VLOOKUP($B24,SNI!$B$28:$W$1727,18,0)</f>
        <v>68475</v>
      </c>
      <c r="K24" s="2641">
        <f>VLOOKUP($B24,SNI!$B$28:$W$1727,19,0)</f>
        <v>77376.75</v>
      </c>
      <c r="L24" s="2653"/>
      <c r="N24" s="2626"/>
      <c r="O24" s="2645"/>
    </row>
    <row r="25" spans="2:15" s="2625" customFormat="1" ht="15" customHeight="1" x14ac:dyDescent="0.2">
      <c r="B25" s="2646">
        <f>SNI!B111</f>
        <v>6</v>
      </c>
      <c r="C25" s="2647" t="str">
        <f>VLOOKUP($B25,SNI!$B$28:$W$1730,3,0)</f>
        <v>Menggali tanah biasa sedalam 2 m'</v>
      </c>
      <c r="D25" s="2648"/>
      <c r="E25" s="2649"/>
      <c r="F25" s="2650" t="str">
        <f>VLOOKUP($B25,SNI!$B$28:$W$1730,10,0)</f>
        <v>A.2.3.1.2.</v>
      </c>
      <c r="G25" s="2651">
        <f>VLOOKUP($B25,SNI!$B$28:$W$1730,15,0)</f>
        <v>94377.600000000006</v>
      </c>
      <c r="H25" s="2652" t="str">
        <f>VLOOKUP($B25,SNI!$B$28:$W$1730,14,0)</f>
        <v>m3</v>
      </c>
      <c r="I25" s="3183">
        <f>VLOOKUP($B25,SNI!$B$28:$W$1727,16,0)</f>
        <v>1</v>
      </c>
      <c r="J25" s="2641">
        <f>VLOOKUP($B25,SNI!$B$28:$W$1727,18,0)</f>
        <v>83520</v>
      </c>
      <c r="K25" s="2641">
        <f>VLOOKUP($B25,SNI!$B$28:$W$1727,19,0)</f>
        <v>94377.600000000006</v>
      </c>
      <c r="L25" s="2653"/>
      <c r="N25" s="2626"/>
      <c r="O25" s="2645"/>
    </row>
    <row r="26" spans="2:15" s="2625" customFormat="1" ht="15" customHeight="1" x14ac:dyDescent="0.2">
      <c r="B26" s="2646">
        <f>SNI!B126</f>
        <v>7</v>
      </c>
      <c r="C26" s="2647" t="str">
        <f>VLOOKUP($B26,SNI!$B$28:$W$1730,3,0)</f>
        <v>Pengurugan kembali galian tanah</v>
      </c>
      <c r="D26" s="2648"/>
      <c r="E26" s="2649"/>
      <c r="F26" s="2650" t="str">
        <f>VLOOKUP($B26,SNI!$B$28:$W$1730,10,0)</f>
        <v>A.2.3.1.9.</v>
      </c>
      <c r="G26" s="2651">
        <f>VLOOKUP($B26,SNI!$B$28:$W$1730,15,0)</f>
        <v>54974.5</v>
      </c>
      <c r="H26" s="2652" t="str">
        <f>VLOOKUP($B26,SNI!$B$28:$W$1730,14,0)</f>
        <v>m3</v>
      </c>
      <c r="I26" s="3183">
        <f>VLOOKUP($B26,SNI!$B$28:$W$1727,16,0)</f>
        <v>1</v>
      </c>
      <c r="J26" s="2641">
        <f>VLOOKUP($B26,SNI!$B$28:$W$1727,18,0)</f>
        <v>48650</v>
      </c>
      <c r="K26" s="2641">
        <f>VLOOKUP($B26,SNI!$B$28:$W$1727,19,0)</f>
        <v>54974.5</v>
      </c>
      <c r="L26" s="2653"/>
      <c r="N26" s="2626"/>
      <c r="O26" s="2645"/>
    </row>
    <row r="27" spans="2:15" s="2625" customFormat="1" ht="15" customHeight="1" x14ac:dyDescent="0.2">
      <c r="B27" s="2646">
        <f>SNI!B140</f>
        <v>8</v>
      </c>
      <c r="C27" s="2647" t="str">
        <f>VLOOKUP($B27,SNI!$B$28:$W$1730,3,0)</f>
        <v>Memadatkan tanah ( per 20 cm )</v>
      </c>
      <c r="D27" s="2648"/>
      <c r="E27" s="2649"/>
      <c r="F27" s="2650" t="str">
        <f>VLOOKUP($B27,SNI!$B$28:$W$1730,10,0)</f>
        <v>A.2.3.1.10.</v>
      </c>
      <c r="G27" s="2651">
        <f>VLOOKUP($B27,SNI!$B$28:$W$1730,15,0)</f>
        <v>54974.5</v>
      </c>
      <c r="H27" s="2652" t="str">
        <f>VLOOKUP($B27,SNI!$B$28:$W$1730,14,0)</f>
        <v>m3</v>
      </c>
      <c r="I27" s="3183">
        <f>VLOOKUP($B27,SNI!$B$28:$W$1727,16,0)</f>
        <v>1</v>
      </c>
      <c r="J27" s="2641">
        <f>VLOOKUP($B27,SNI!$B$28:$W$1727,18,0)</f>
        <v>48650</v>
      </c>
      <c r="K27" s="2641">
        <f>VLOOKUP($B27,SNI!$B$28:$W$1727,19,0)</f>
        <v>54974.5</v>
      </c>
      <c r="L27" s="2653"/>
      <c r="N27" s="2626"/>
      <c r="O27" s="2645"/>
    </row>
    <row r="28" spans="2:15" s="2625" customFormat="1" ht="15" customHeight="1" x14ac:dyDescent="0.2">
      <c r="B28" s="2646">
        <f>SNI!B154</f>
        <v>9</v>
      </c>
      <c r="C28" s="2647" t="str">
        <f>VLOOKUP($B28,SNI!$B$28:$W$1730,3,0)</f>
        <v>Urug tanah padat</v>
      </c>
      <c r="D28" s="2648"/>
      <c r="E28" s="2649"/>
      <c r="F28" s="2650" t="str">
        <f>VLOOKUP($B28,SNI!$B$28:$W$1730,10,0)</f>
        <v>An. Dihitung</v>
      </c>
      <c r="G28" s="2651">
        <f>VLOOKUP($B28,SNI!$B$28:$W$1730,15,0)</f>
        <v>93326.7</v>
      </c>
      <c r="H28" s="2652" t="str">
        <f>VLOOKUP($B28,SNI!$B$28:$W$1730,14,0)</f>
        <v>m3</v>
      </c>
      <c r="I28" s="3183">
        <f>VLOOKUP($B28,SNI!$B$28:$W$1727,16,0)</f>
        <v>1</v>
      </c>
      <c r="J28" s="2641">
        <f>VLOOKUP($B28,SNI!$B$28:$W$1727,18,0)</f>
        <v>82590</v>
      </c>
      <c r="K28" s="2641">
        <f>VLOOKUP($B28,SNI!$B$28:$W$1727,19,0)</f>
        <v>93326.7</v>
      </c>
      <c r="L28" s="2653"/>
      <c r="N28" s="2626"/>
      <c r="O28" s="2645"/>
    </row>
    <row r="29" spans="2:15" s="2625" customFormat="1" ht="15" customHeight="1" x14ac:dyDescent="0.2">
      <c r="B29" s="2646">
        <f>SNI!B170</f>
        <v>10</v>
      </c>
      <c r="C29" s="2647" t="str">
        <f>VLOOKUP($B29,SNI!$B$28:$W$1730,3,0)</f>
        <v>Mengurug pasir urug</v>
      </c>
      <c r="D29" s="2648"/>
      <c r="E29" s="2649"/>
      <c r="F29" s="2650" t="str">
        <f>VLOOKUP($B29,SNI!$B$28:$W$1730,10,0)</f>
        <v>A.2.3.1.11.</v>
      </c>
      <c r="G29" s="2651">
        <f>VLOOKUP($B29,SNI!$B$28:$W$1730,15,0)</f>
        <v>251978.7</v>
      </c>
      <c r="H29" s="2652" t="str">
        <f>VLOOKUP($B29,SNI!$B$28:$W$1730,14,0)</f>
        <v>m3</v>
      </c>
      <c r="I29" s="3183">
        <f>VLOOKUP($B29,SNI!$B$28:$W$1727,16,0)</f>
        <v>1</v>
      </c>
      <c r="J29" s="2641">
        <f>VLOOKUP($B29,SNI!$B$28:$W$1727,18,0)</f>
        <v>222990</v>
      </c>
      <c r="K29" s="2641">
        <f>VLOOKUP($B29,SNI!$B$28:$W$1727,19,0)</f>
        <v>251978.7</v>
      </c>
      <c r="L29" s="2653"/>
      <c r="N29" s="2626"/>
      <c r="O29" s="2645"/>
    </row>
    <row r="30" spans="2:15" s="2625" customFormat="1" ht="15" customHeight="1" x14ac:dyDescent="0.2">
      <c r="B30" s="2646">
        <f>SNI!B186</f>
        <v>11</v>
      </c>
      <c r="C30" s="2647" t="str">
        <f>VLOOKUP($B30,SNI!$B$28:$W$1730,3,0)</f>
        <v>Memasang pondasi batu belah, campuran 1 PC : 6 PP</v>
      </c>
      <c r="D30" s="2648"/>
      <c r="E30" s="2649"/>
      <c r="F30" s="2650" t="str">
        <f>VLOOKUP($B30,SNI!$B$28:$W$1730,10,0)</f>
        <v>A.3.2.1.4.</v>
      </c>
      <c r="G30" s="2651">
        <f>VLOOKUP($B30,SNI!$B$28:$W$1730,15,0)</f>
        <v>931300.8</v>
      </c>
      <c r="H30" s="2652" t="str">
        <f>VLOOKUP($B30,SNI!$B$28:$W$1730,14,0)</f>
        <v>m3</v>
      </c>
      <c r="I30" s="3183">
        <f>VLOOKUP($B30,SNI!$B$28:$W$1727,16,0)</f>
        <v>0.97468520675596981</v>
      </c>
      <c r="J30" s="2641">
        <f>VLOOKUP($B30,SNI!$B$28:$W$1727,18,0)</f>
        <v>803296.56</v>
      </c>
      <c r="K30" s="2641">
        <f>VLOOKUP($B30,SNI!$B$28:$W$1727,19,0)</f>
        <v>907725.1128</v>
      </c>
      <c r="L30" s="2653"/>
      <c r="N30" s="2626"/>
      <c r="O30" s="2645"/>
    </row>
    <row r="31" spans="2:15" s="2625" customFormat="1" ht="15" customHeight="1" x14ac:dyDescent="0.2">
      <c r="B31" s="2646">
        <f>SNI!B206</f>
        <v>12</v>
      </c>
      <c r="C31" s="2647" t="str">
        <f>VLOOKUP($B31,SNI!$B$28:$W$1730,3,0)</f>
        <v>Memasang pondasi batu belah, campuran 1 PC : 8 PP</v>
      </c>
      <c r="D31" s="2648"/>
      <c r="E31" s="2649"/>
      <c r="F31" s="2650" t="str">
        <f>VLOOKUP($B31,SNI!$B$28:$W$1730,10,0)</f>
        <v>A.3.2.1.5.</v>
      </c>
      <c r="G31" s="2651">
        <f>VLOOKUP($B31,SNI!$B$28:$W$1730,15,0)</f>
        <v>923142.2</v>
      </c>
      <c r="H31" s="2652" t="str">
        <f>VLOOKUP($B31,SNI!$B$28:$W$1730,14,0)</f>
        <v>m3</v>
      </c>
      <c r="I31" s="3183">
        <f>VLOOKUP($B31,SNI!$B$28:$W$1727,16,0)</f>
        <v>0.98013670526599261</v>
      </c>
      <c r="J31" s="2641">
        <f>VLOOKUP($B31,SNI!$B$28:$W$1727,18,0)</f>
        <v>800712.88</v>
      </c>
      <c r="K31" s="2641">
        <f>VLOOKUP($B31,SNI!$B$28:$W$1727,19,0)</f>
        <v>904805.55440000002</v>
      </c>
      <c r="L31" s="2653"/>
      <c r="N31" s="2626"/>
      <c r="O31" s="2645"/>
    </row>
    <row r="32" spans="2:15" s="2625" customFormat="1" ht="15" customHeight="1" x14ac:dyDescent="0.2">
      <c r="B32" s="2646">
        <f>SNI!B226</f>
        <v>13</v>
      </c>
      <c r="C32" s="2647" t="str">
        <f>VLOOKUP($B32,SNI!$B$28:$W$1730,3,0)</f>
        <v>Memasang batu kosong ( anstamping )</v>
      </c>
      <c r="D32" s="2648"/>
      <c r="E32" s="2649"/>
      <c r="F32" s="2650" t="str">
        <f>VLOOKUP($B32,SNI!$B$28:$W$1730,10,0)</f>
        <v>A.3.2.1.9.</v>
      </c>
      <c r="G32" s="2651">
        <f>VLOOKUP($B32,SNI!$B$28:$W$1730,15,0)</f>
        <v>571377.72</v>
      </c>
      <c r="H32" s="2652" t="str">
        <f>VLOOKUP($B32,SNI!$B$28:$W$1730,14,0)</f>
        <v>m3</v>
      </c>
      <c r="I32" s="3183">
        <f>VLOOKUP($B32,SNI!$B$28:$W$1727,16,0)</f>
        <v>1</v>
      </c>
      <c r="J32" s="2641">
        <f>VLOOKUP($B32,SNI!$B$28:$W$1727,18,0)</f>
        <v>505644</v>
      </c>
      <c r="K32" s="2641">
        <f>VLOOKUP($B32,SNI!$B$28:$W$1727,19,0)</f>
        <v>571377.72</v>
      </c>
      <c r="L32" s="2653"/>
      <c r="N32" s="2626"/>
      <c r="O32" s="2645"/>
    </row>
    <row r="33" spans="2:15" s="2625" customFormat="1" ht="15" customHeight="1" x14ac:dyDescent="0.2">
      <c r="B33" s="2646">
        <f>SNI!B246</f>
        <v>14</v>
      </c>
      <c r="C33" s="2647" t="str">
        <f>VLOOKUP($B33,SNI!$B$28:$W$1730,3,0)</f>
        <v>Membuat dinding bata merah tebal 1 bata , camp 1 PC : 5 PP</v>
      </c>
      <c r="D33" s="2648"/>
      <c r="E33" s="2649"/>
      <c r="F33" s="2650" t="str">
        <f>VLOOKUP($B33,SNI!$B$28:$W$1730,10,0)</f>
        <v>A.4.4.1.4.</v>
      </c>
      <c r="G33" s="2651">
        <f>VLOOKUP($B33,SNI!$B$28:$W$1730,15,0)</f>
        <v>272058.8</v>
      </c>
      <c r="H33" s="2652" t="str">
        <f>VLOOKUP($B33,SNI!$B$28:$W$1730,14,0)</f>
        <v>m2</v>
      </c>
      <c r="I33" s="3183">
        <f>VLOOKUP($B33,SNI!$B$28:$W$1727,16,0)</f>
        <v>0.98355746801794319</v>
      </c>
      <c r="J33" s="2641">
        <f>VLOOKUP($B33,SNI!$B$28:$W$1727,18,0)</f>
        <v>236801.296</v>
      </c>
      <c r="K33" s="2641">
        <f>VLOOKUP($B33,SNI!$B$28:$W$1727,19,0)</f>
        <v>267585.46448000002</v>
      </c>
      <c r="L33" s="2653"/>
      <c r="N33" s="2626"/>
      <c r="O33" s="2645"/>
    </row>
    <row r="34" spans="2:15" s="2625" customFormat="1" ht="15" customHeight="1" x14ac:dyDescent="0.2">
      <c r="B34" s="2646">
        <f>SNI!B267</f>
        <v>15</v>
      </c>
      <c r="C34" s="2647" t="str">
        <f>VLOOKUP($B34,SNI!$B$28:$W$1730,3,0)</f>
        <v>Membuat dinding bt. merah t: 1/2bata, camp 1PC:8PP</v>
      </c>
      <c r="D34" s="2648"/>
      <c r="E34" s="2649"/>
      <c r="F34" s="2650" t="str">
        <f>VLOOKUP($B34,SNI!$B$28:$W$1730,10,0)</f>
        <v>A.4.4.1.12.</v>
      </c>
      <c r="G34" s="2651">
        <f>VLOOKUP($B34,SNI!$B$28:$W$1730,15,0)</f>
        <v>129498</v>
      </c>
      <c r="H34" s="2652" t="str">
        <f>VLOOKUP($B34,SNI!$B$28:$W$1730,14,0)</f>
        <v>m2</v>
      </c>
      <c r="I34" s="3183">
        <f>VLOOKUP($B34,SNI!$B$28:$W$1727,16,0)</f>
        <v>0.98988586387434552</v>
      </c>
      <c r="J34" s="2641">
        <f>VLOOKUP($B34,SNI!$B$28:$W$1727,18,0)</f>
        <v>113440.92</v>
      </c>
      <c r="K34" s="2641">
        <f>VLOOKUP($B34,SNI!$B$28:$W$1727,19,0)</f>
        <v>128188.2396</v>
      </c>
      <c r="L34" s="2653"/>
      <c r="N34" s="2626"/>
      <c r="O34" s="2645"/>
    </row>
    <row r="35" spans="2:15" s="2625" customFormat="1" ht="15" customHeight="1" x14ac:dyDescent="0.2">
      <c r="B35" s="2646">
        <f>SNI!B287</f>
        <v>16</v>
      </c>
      <c r="C35" s="2647" t="str">
        <f>VLOOKUP($B35,SNI!$B$28:$W$1730,3,0)</f>
        <v>Memasang plesteran 1 PC : 5 PP, tebal 15 mm</v>
      </c>
      <c r="D35" s="2648"/>
      <c r="E35" s="2649"/>
      <c r="F35" s="2650" t="str">
        <f>VLOOKUP($B35,SNI!$B$28:$W$1730,10,0)</f>
        <v>A.4.4.2.5.</v>
      </c>
      <c r="G35" s="2651">
        <f>VLOOKUP($B35,SNI!$B$28:$W$1730,15,0)</f>
        <v>63009.700000000004</v>
      </c>
      <c r="H35" s="2652" t="str">
        <f>VLOOKUP($B35,SNI!$B$28:$W$1730,14,0)</f>
        <v>m2</v>
      </c>
      <c r="I35" s="3183">
        <f>VLOOKUP($B35,SNI!$B$28:$W$1727,16,0)</f>
        <v>0.98342185047560293</v>
      </c>
      <c r="J35" s="2641">
        <f>VLOOKUP($B35,SNI!$B$28:$W$1727,18,0)</f>
        <v>54836.38912</v>
      </c>
      <c r="K35" s="2641">
        <f>VLOOKUP($B35,SNI!$B$28:$W$1727,19,0)</f>
        <v>61965.119705600002</v>
      </c>
      <c r="L35" s="2653"/>
      <c r="N35" s="2626"/>
      <c r="O35" s="2645"/>
    </row>
    <row r="36" spans="2:15" s="2625" customFormat="1" ht="15" customHeight="1" x14ac:dyDescent="0.2">
      <c r="B36" s="2646">
        <f>SNI!B306</f>
        <v>17</v>
      </c>
      <c r="C36" s="2647" t="str">
        <f>VLOOKUP($B36,SNI!$B$28:$W$1730,3,0)</f>
        <v>Memasang plesteran 1 PC : 6 PP, tebal 15 mm</v>
      </c>
      <c r="D36" s="2648"/>
      <c r="E36" s="2649"/>
      <c r="F36" s="2650" t="str">
        <f>VLOOKUP($B36,SNI!$B$28:$W$1730,10,0)</f>
        <v>A.4.4.2.6.</v>
      </c>
      <c r="G36" s="2651">
        <f>VLOOKUP($B36,SNI!$B$28:$W$1730,15,0)</f>
        <v>62262.1</v>
      </c>
      <c r="H36" s="2652" t="str">
        <f>VLOOKUP($B36,SNI!$B$28:$W$1730,14,0)</f>
        <v>m2</v>
      </c>
      <c r="I36" s="3183">
        <f>VLOOKUP($B36,SNI!$B$28:$W$1727,16,0)</f>
        <v>0.9857083021169093</v>
      </c>
      <c r="J36" s="2641">
        <f>VLOOKUP($B36,SNI!$B$28:$W$1727,18,0)</f>
        <v>54311.738880000004</v>
      </c>
      <c r="K36" s="2641">
        <f>VLOOKUP($B36,SNI!$B$28:$W$1727,19,0)</f>
        <v>61372.264934400009</v>
      </c>
      <c r="L36" s="2653"/>
      <c r="N36" s="2626"/>
      <c r="O36" s="2645"/>
    </row>
    <row r="37" spans="2:15" s="2625" customFormat="1" ht="15" customHeight="1" x14ac:dyDescent="0.2">
      <c r="B37" s="2646">
        <f>SNI!B326</f>
        <v>18</v>
      </c>
      <c r="C37" s="2647" t="str">
        <f>VLOOKUP($B37,SNI!$B$28:$W$1730,3,0)</f>
        <v>Memasang acian</v>
      </c>
      <c r="D37" s="2648"/>
      <c r="E37" s="2649"/>
      <c r="F37" s="2650" t="str">
        <f>VLOOKUP($B37,SNI!$B$28:$W$1730,10,0)</f>
        <v>A.4.4.2.27.</v>
      </c>
      <c r="G37" s="2651">
        <f>VLOOKUP($B37,SNI!$B$28:$W$1730,15,0)</f>
        <v>36634.6</v>
      </c>
      <c r="H37" s="2652" t="str">
        <f>VLOOKUP($B37,SNI!$B$28:$W$1730,14,0)</f>
        <v>m2</v>
      </c>
      <c r="I37" s="3183">
        <f>VLOOKUP($B37,SNI!$B$28:$W$1727,16,0)</f>
        <v>0.98212399753238744</v>
      </c>
      <c r="J37" s="2641">
        <f>VLOOKUP($B37,SNI!$B$28:$W$1727,18,0)</f>
        <v>31840.46</v>
      </c>
      <c r="K37" s="2641">
        <f>VLOOKUP($B37,SNI!$B$28:$W$1727,19,0)</f>
        <v>35979.719799999999</v>
      </c>
      <c r="L37" s="2653"/>
      <c r="N37" s="2626"/>
      <c r="O37" s="2645"/>
    </row>
    <row r="38" spans="2:15" s="2625" customFormat="1" ht="15" customHeight="1" x14ac:dyDescent="0.2">
      <c r="B38" s="2646">
        <f>SNI!B344</f>
        <v>19</v>
      </c>
      <c r="C38" s="2647" t="str">
        <f>VLOOKUP($B38,SNI!$B$28:$W$1730,3,0)</f>
        <v>Memasang lisplank woodplank</v>
      </c>
      <c r="D38" s="2648"/>
      <c r="E38" s="2649"/>
      <c r="F38" s="2650" t="str">
        <f>VLOOKUP($B38,SNI!$B$28:$W$1730,10,0)</f>
        <v>An. Dihitung</v>
      </c>
      <c r="G38" s="2651">
        <f>VLOOKUP($B38,SNI!$B$28:$W$1730,15,0)</f>
        <v>68139</v>
      </c>
      <c r="H38" s="2652" t="str">
        <f>VLOOKUP($B38,SNI!$B$28:$W$1730,14,0)</f>
        <v>m'</v>
      </c>
      <c r="I38" s="3183">
        <f>VLOOKUP($B38,SNI!$B$28:$W$1727,16,0)</f>
        <v>0.69652404643449417</v>
      </c>
      <c r="J38" s="2641">
        <f>VLOOKUP($B38,SNI!$B$28:$W$1727,18,0)</f>
        <v>42000.4</v>
      </c>
      <c r="K38" s="2641">
        <f>VLOOKUP($B38,SNI!$B$28:$W$1727,19,0)</f>
        <v>47460.452000000005</v>
      </c>
      <c r="L38" s="2653"/>
      <c r="N38" s="2626"/>
      <c r="O38" s="2645"/>
    </row>
    <row r="39" spans="2:15" s="2625" customFormat="1" ht="15" customHeight="1" x14ac:dyDescent="0.2">
      <c r="B39" s="2646">
        <f>SNI!B363</f>
        <v>20</v>
      </c>
      <c r="C39" s="2647" t="str">
        <f>VLOOKUP($B39,SNI!$B$28:$W$1730,3,0)</f>
        <v>Membuat beton mutu f'c = 7,4 Mpa - K 100</v>
      </c>
      <c r="D39" s="2648"/>
      <c r="E39" s="2649"/>
      <c r="F39" s="2650" t="str">
        <f>VLOOKUP($B39,SNI!$B$28:$W$1730,10,0)</f>
        <v>A.4.1.1.1.</v>
      </c>
      <c r="G39" s="2651">
        <f>VLOOKUP($B39,SNI!$B$28:$W$1730,15,0)</f>
        <v>958085.99</v>
      </c>
      <c r="H39" s="2652" t="str">
        <f>VLOOKUP($B39,SNI!$B$28:$W$1730,14,0)</f>
        <v>m3</v>
      </c>
      <c r="I39" s="3183">
        <f>VLOOKUP($B39,SNI!$B$28:$W$1727,16,0)</f>
        <v>0.94805174525042479</v>
      </c>
      <c r="J39" s="2641">
        <f>VLOOKUP($B39,SNI!$B$28:$W$1727,18,0)</f>
        <v>803818.67</v>
      </c>
      <c r="K39" s="2641">
        <f>VLOOKUP($B39,SNI!$B$28:$W$1727,19,0)</f>
        <v>908315.09710000001</v>
      </c>
      <c r="L39" s="2653"/>
      <c r="N39" s="2626"/>
      <c r="O39" s="2645"/>
    </row>
    <row r="40" spans="2:15" s="2625" customFormat="1" ht="15" customHeight="1" x14ac:dyDescent="0.2">
      <c r="B40" s="2646">
        <f>SNI!B384</f>
        <v>21</v>
      </c>
      <c r="C40" s="2647" t="str">
        <f>VLOOKUP($B40,SNI!$B$28:$W$1730,3,0)</f>
        <v>Membuat beton mutu f'c = 21,7 Mpa - K 250</v>
      </c>
      <c r="D40" s="2648"/>
      <c r="E40" s="2649"/>
      <c r="F40" s="2650" t="str">
        <f>VLOOKUP($B40,SNI!$B$28:$W$1730,10,0)</f>
        <v>A.4.1.1.8.</v>
      </c>
      <c r="G40" s="2651">
        <f>VLOOKUP($B40,SNI!$B$28:$W$1730,15,0)</f>
        <v>1115753.29</v>
      </c>
      <c r="H40" s="2652" t="str">
        <f>VLOOKUP($B40,SNI!$B$28:$W$1730,14,0)</f>
        <v>m3</v>
      </c>
      <c r="I40" s="3183">
        <f>VLOOKUP($B40,SNI!$B$28:$W$1727,16,0)</f>
        <v>0.93065078521121514</v>
      </c>
      <c r="J40" s="2641">
        <f>VLOOKUP($B40,SNI!$B$28:$W$1727,18,0)</f>
        <v>918917.40999999992</v>
      </c>
      <c r="K40" s="2641">
        <f>VLOOKUP($B40,SNI!$B$28:$W$1727,19,0)</f>
        <v>1038376.6732999999</v>
      </c>
      <c r="L40" s="2653"/>
      <c r="N40" s="2626"/>
      <c r="O40" s="2645"/>
    </row>
    <row r="41" spans="2:15" s="2625" customFormat="1" ht="15" customHeight="1" x14ac:dyDescent="0.2">
      <c r="B41" s="2646">
        <f>SNI!B405</f>
        <v>22</v>
      </c>
      <c r="C41" s="2647" t="str">
        <f>VLOOKUP($B41,SNI!$B$28:$W$1730,3,0)</f>
        <v>Pembesian 1 kg dengan besi polos atau besi ulir</v>
      </c>
      <c r="D41" s="2648"/>
      <c r="E41" s="2649"/>
      <c r="F41" s="2650" t="str">
        <f>VLOOKUP($B41,SNI!$B$28:$W$1730,10,0)</f>
        <v>A.4.1.1.17.</v>
      </c>
      <c r="G41" s="2651">
        <f>VLOOKUP($B41,SNI!$B$28:$W$1730,15,0)</f>
        <v>15603.94</v>
      </c>
      <c r="H41" s="2652" t="str">
        <f>VLOOKUP($B41,SNI!$B$28:$W$1730,14,0)</f>
        <v>kg</v>
      </c>
      <c r="I41" s="3183">
        <f>VLOOKUP($B41,SNI!$B$28:$W$1727,16,0)</f>
        <v>0.46415793062521393</v>
      </c>
      <c r="J41" s="2641">
        <f>VLOOKUP($B41,SNI!$B$28:$W$1727,18,0)</f>
        <v>7242.692500000001</v>
      </c>
      <c r="K41" s="2641">
        <f>VLOOKUP($B41,SNI!$B$28:$W$1727,19,0)</f>
        <v>8184.2425250000015</v>
      </c>
      <c r="L41" s="2653"/>
      <c r="N41" s="2626"/>
      <c r="O41" s="2645"/>
    </row>
    <row r="42" spans="2:15" s="2625" customFormat="1" ht="15" customHeight="1" x14ac:dyDescent="0.2">
      <c r="B42" s="2646">
        <f>SNI!B425</f>
        <v>23</v>
      </c>
      <c r="C42" s="2647" t="str">
        <f>VLOOKUP($B42,SNI!$B$28:$W$1730,3,0)</f>
        <v>Memasang bekisting untuk pondasi ( 2x pakai )</v>
      </c>
      <c r="D42" s="2648"/>
      <c r="E42" s="2649"/>
      <c r="F42" s="2650" t="str">
        <f>VLOOKUP($B42,SNI!$B$28:$W$1730,10,0)</f>
        <v>A.4.1.1.20.</v>
      </c>
      <c r="G42" s="2651">
        <f>VLOOKUP($B42,SNI!$B$28:$W$1730,15,0)</f>
        <v>115782.06</v>
      </c>
      <c r="H42" s="2652" t="str">
        <f>VLOOKUP($B42,SNI!$B$28:$W$1730,14,0)</f>
        <v>m2</v>
      </c>
      <c r="I42" s="3183">
        <f>VLOOKUP($B42,SNI!$B$28:$W$1727,16,0)</f>
        <v>0.94349124553493002</v>
      </c>
      <c r="J42" s="2641">
        <f>VLOOKUP($B42,SNI!$B$28:$W$1727,18,0)</f>
        <v>96672</v>
      </c>
      <c r="K42" s="2641">
        <f>VLOOKUP($B42,SNI!$B$28:$W$1727,19,0)</f>
        <v>109239.36</v>
      </c>
      <c r="L42" s="2653"/>
      <c r="N42" s="2626"/>
      <c r="O42" s="2645"/>
    </row>
    <row r="43" spans="2:15" s="2625" customFormat="1" ht="15" customHeight="1" x14ac:dyDescent="0.2">
      <c r="B43" s="2646">
        <f>SNI!B446</f>
        <v>24</v>
      </c>
      <c r="C43" s="2647" t="str">
        <f>VLOOKUP($B43,SNI!$B$28:$W$1730,3,0)</f>
        <v>Memasang bekisting untuk sloof (2 kali pakai)</v>
      </c>
      <c r="D43" s="2648"/>
      <c r="E43" s="2649"/>
      <c r="F43" s="2650" t="str">
        <f>VLOOKUP($B43,SNI!$B$28:$W$1730,10,0)</f>
        <v>A.4.1.1.21.</v>
      </c>
      <c r="G43" s="2651">
        <f>VLOOKUP($B43,SNI!$B$28:$W$1730,15,0)</f>
        <v>118889.56</v>
      </c>
      <c r="H43" s="2652" t="str">
        <f>VLOOKUP($B43,SNI!$B$28:$W$1730,14,0)</f>
        <v>m2</v>
      </c>
      <c r="I43" s="3183">
        <f>VLOOKUP($B43,SNI!$B$28:$W$1727,16,0)</f>
        <v>0.94496825457172184</v>
      </c>
      <c r="J43" s="2641">
        <f>VLOOKUP($B43,SNI!$B$28:$W$1727,18,0)</f>
        <v>99422</v>
      </c>
      <c r="K43" s="2641">
        <f>VLOOKUP($B43,SNI!$B$28:$W$1727,19,0)</f>
        <v>112346.86</v>
      </c>
      <c r="L43" s="2653"/>
      <c r="N43" s="2626"/>
      <c r="O43" s="2645"/>
    </row>
    <row r="44" spans="2:15" s="2625" customFormat="1" ht="15" customHeight="1" x14ac:dyDescent="0.2">
      <c r="B44" s="2646">
        <f>SNI!B467</f>
        <v>25</v>
      </c>
      <c r="C44" s="2647" t="str">
        <f>VLOOKUP($B44,SNI!$B$28:$W$1730,3,0)</f>
        <v>Memasang bekisting untuk kolom (2 kali pakai)</v>
      </c>
      <c r="D44" s="2648"/>
      <c r="E44" s="2649"/>
      <c r="F44" s="2650" t="str">
        <f>VLOOKUP($B44,SNI!$B$28:$W$1730,10,0)</f>
        <v>A.4.1.1.22.</v>
      </c>
      <c r="G44" s="2651">
        <f>VLOOKUP($B44,SNI!$B$28:$W$1730,15,0)</f>
        <v>192050.28</v>
      </c>
      <c r="H44" s="2652" t="str">
        <f>VLOOKUP($B44,SNI!$B$28:$W$1730,14,0)</f>
        <v>m2</v>
      </c>
      <c r="I44" s="3183">
        <f>VLOOKUP($B44,SNI!$B$28:$W$1727,16,0)</f>
        <v>0.82830850337734474</v>
      </c>
      <c r="J44" s="2641">
        <f>VLOOKUP($B44,SNI!$B$28:$W$1727,18,0)</f>
        <v>140776</v>
      </c>
      <c r="K44" s="2641">
        <f>VLOOKUP($B44,SNI!$B$28:$W$1727,19,0)</f>
        <v>159076.88</v>
      </c>
      <c r="L44" s="2653"/>
      <c r="N44" s="2626"/>
      <c r="O44" s="2645"/>
    </row>
    <row r="45" spans="2:15" s="2625" customFormat="1" ht="15" customHeight="1" x14ac:dyDescent="0.2">
      <c r="B45" s="2646">
        <f>SNI!B492</f>
        <v>26</v>
      </c>
      <c r="C45" s="2647" t="str">
        <f>VLOOKUP($B45,SNI!$B$28:$W$1730,3,0)</f>
        <v>Memasang bekisting untuk balok (2x pakai)</v>
      </c>
      <c r="D45" s="2648"/>
      <c r="E45" s="2649"/>
      <c r="F45" s="2650" t="str">
        <f>VLOOKUP($B45,SNI!$B$28:$W$1730,10,0)</f>
        <v>A.4.1.1.23.</v>
      </c>
      <c r="G45" s="2651">
        <f>VLOOKUP($B45,SNI!$B$28:$W$1730,15,0)</f>
        <v>194762.28</v>
      </c>
      <c r="H45" s="2652" t="str">
        <f>VLOOKUP($B45,SNI!$B$28:$W$1730,14,0)</f>
        <v>m2</v>
      </c>
      <c r="I45" s="3183">
        <f>VLOOKUP($B45,SNI!$B$28:$W$1727,16,0)</f>
        <v>0.83069925038873027</v>
      </c>
      <c r="J45" s="2641">
        <f>VLOOKUP($B45,SNI!$B$28:$W$1727,18,0)</f>
        <v>143176</v>
      </c>
      <c r="K45" s="2641">
        <f>VLOOKUP($B45,SNI!$B$28:$W$1727,19,0)</f>
        <v>161788.88</v>
      </c>
      <c r="L45" s="2653"/>
      <c r="N45" s="2626"/>
      <c r="O45" s="2645"/>
    </row>
    <row r="46" spans="2:15" s="2625" customFormat="1" ht="15" customHeight="1" x14ac:dyDescent="0.2">
      <c r="B46" s="2646">
        <f>SNI!B517</f>
        <v>27</v>
      </c>
      <c r="C46" s="2647" t="str">
        <f>VLOOKUP($B46,SNI!$B$28:$W$1730,3,0)</f>
        <v>Memasang bekisting untuk lantai (2x pakai)</v>
      </c>
      <c r="D46" s="2648"/>
      <c r="E46" s="2649"/>
      <c r="F46" s="2650" t="str">
        <f>VLOOKUP($B46,SNI!$B$28:$W$1730,10,0)</f>
        <v>A.4.1.1.24</v>
      </c>
      <c r="G46" s="2651">
        <f>VLOOKUP($B46,SNI!$B$28:$W$1730,15,0)</f>
        <v>242900.28</v>
      </c>
      <c r="H46" s="2652" t="str">
        <f>VLOOKUP($B46,SNI!$B$28:$W$1730,14,0)</f>
        <v>m2</v>
      </c>
      <c r="I46" s="3183">
        <f>VLOOKUP($B46,SNI!$B$28:$W$1727,16,0)</f>
        <v>0.76655687675617334</v>
      </c>
      <c r="J46" s="2641">
        <f>VLOOKUP($B46,SNI!$B$28:$W$1727,18,0)</f>
        <v>164776</v>
      </c>
      <c r="K46" s="2641">
        <f>VLOOKUP($B46,SNI!$B$28:$W$1727,19,0)</f>
        <v>186196.88</v>
      </c>
      <c r="L46" s="2653"/>
      <c r="N46" s="2626"/>
      <c r="O46" s="2645"/>
    </row>
    <row r="47" spans="2:15" s="2625" customFormat="1" ht="15" customHeight="1" x14ac:dyDescent="0.2">
      <c r="B47" s="2646">
        <f>SNI!B541</f>
        <v>28</v>
      </c>
      <c r="C47" s="2647" t="str">
        <f>VLOOKUP($B47,SNI!$B$28:$W$1730,3,0)</f>
        <v>Membuat kolom praktis beton bertulang 11/11 cm</v>
      </c>
      <c r="D47" s="2648"/>
      <c r="E47" s="2649"/>
      <c r="F47" s="2650" t="str">
        <f>VLOOKUP($B47,SNI!$B$28:$W$1730,10,0)</f>
        <v>A.4.1.1.35.</v>
      </c>
      <c r="G47" s="2651">
        <f>VLOOKUP($B47,SNI!$B$28:$W$1730,15,0)</f>
        <v>112610.15</v>
      </c>
      <c r="H47" s="2652" t="str">
        <f>VLOOKUP($B47,SNI!$B$28:$W$1730,14,0)</f>
        <v>m'</v>
      </c>
      <c r="I47" s="3183">
        <f>VLOOKUP($B47,SNI!$B$28:$W$1727,16,0)</f>
        <v>0.69870322613014901</v>
      </c>
      <c r="J47" s="2641">
        <f>VLOOKUP($B47,SNI!$B$28:$W$1727,18,0)</f>
        <v>69629.27</v>
      </c>
      <c r="K47" s="2641">
        <f>VLOOKUP($B47,SNI!$B$28:$W$1727,19,0)</f>
        <v>78681.075100000002</v>
      </c>
      <c r="L47" s="2653"/>
      <c r="N47" s="2626"/>
      <c r="O47" s="2645"/>
    </row>
    <row r="48" spans="2:15" s="2625" customFormat="1" ht="15" customHeight="1" x14ac:dyDescent="0.2">
      <c r="B48" s="2646">
        <f>SNI!B568</f>
        <v>29</v>
      </c>
      <c r="C48" s="2647" t="str">
        <f>VLOOKUP($B48,SNI!$B$28:$W$1730,3,0)</f>
        <v>Membuat ring balok beton bertulang ( 10 x 15 ) cm</v>
      </c>
      <c r="D48" s="2648"/>
      <c r="E48" s="2649"/>
      <c r="F48" s="2650" t="str">
        <f>VLOOKUP($B48,SNI!$B$28:$W$1730,10,0)</f>
        <v>A.4.1.1.36.</v>
      </c>
      <c r="G48" s="2651">
        <f>VLOOKUP($B48,SNI!$B$28:$W$1730,15,0)</f>
        <v>109402.19</v>
      </c>
      <c r="H48" s="2652" t="str">
        <f>VLOOKUP($B48,SNI!$B$28:$W$1730,14,0)</f>
        <v>m'</v>
      </c>
      <c r="I48" s="3183">
        <f>VLOOKUP($B48,SNI!$B$28:$W$1727,16,0)</f>
        <v>0.75420720314079981</v>
      </c>
      <c r="J48" s="2641">
        <f>VLOOKUP($B48,SNI!$B$28:$W$1727,18,0)</f>
        <v>73019.399999999994</v>
      </c>
      <c r="K48" s="2641">
        <f>VLOOKUP($B48,SNI!$B$28:$W$1727,19,0)</f>
        <v>82511.921999999991</v>
      </c>
      <c r="L48" s="2653"/>
      <c r="N48" s="2626"/>
      <c r="O48" s="2645"/>
    </row>
    <row r="49" spans="2:15" s="2625" customFormat="1" ht="15" customHeight="1" x14ac:dyDescent="0.2">
      <c r="B49" s="2646">
        <f>SNI!B595</f>
        <v>30</v>
      </c>
      <c r="C49" s="2647" t="str">
        <f>VLOOKUP($B49,SNI!$B$28:$W$1730,3,0)</f>
        <v>Memasang langit-langit gypsum board uk. (120x240), tb. 9 mm.</v>
      </c>
      <c r="D49" s="2648"/>
      <c r="E49" s="2649"/>
      <c r="F49" s="2650" t="str">
        <f>VLOOKUP($B49,SNI!$B$28:$W$1730,10,0)</f>
        <v>A.4.5.1.7.</v>
      </c>
      <c r="G49" s="2651">
        <f>VLOOKUP($B49,SNI!$B$28:$W$1730,15,0)</f>
        <v>54047.9</v>
      </c>
      <c r="H49" s="2652" t="str">
        <f>VLOOKUP($B49,SNI!$B$28:$W$1730,14,0)</f>
        <v>m2</v>
      </c>
      <c r="I49" s="3183">
        <f>VLOOKUP($B49,SNI!$B$28:$W$1727,16,0)</f>
        <v>0.47799105164122929</v>
      </c>
      <c r="J49" s="2641">
        <f>VLOOKUP($B49,SNI!$B$28:$W$1727,18,0)</f>
        <v>22862.311999999998</v>
      </c>
      <c r="K49" s="2641">
        <f>VLOOKUP($B49,SNI!$B$28:$W$1727,19,0)</f>
        <v>25834.412559999997</v>
      </c>
      <c r="L49" s="2653"/>
      <c r="N49" s="2626"/>
      <c r="O49" s="2645"/>
    </row>
    <row r="50" spans="2:15" s="2625" customFormat="1" ht="15" customHeight="1" x14ac:dyDescent="0.2">
      <c r="B50" s="2646">
        <f>SNI!B614</f>
        <v>31</v>
      </c>
      <c r="C50" s="2647" t="str">
        <f>VLOOKUP($B50,SNI!$B$28:$W$1730,3,0)</f>
        <v>Memasang plafond PVC</v>
      </c>
      <c r="D50" s="2648"/>
      <c r="E50" s="2649"/>
      <c r="F50" s="2650" t="str">
        <f>VLOOKUP($B50,SNI!$B$28:$W$1730,10,0)</f>
        <v>An.Dihitung</v>
      </c>
      <c r="G50" s="2651">
        <f>VLOOKUP($B50,SNI!$B$28:$W$1730,15,0)</f>
        <v>167579</v>
      </c>
      <c r="H50" s="2652" t="str">
        <f>VLOOKUP($B50,SNI!$B$28:$W$1730,14,0)</f>
        <v>m2</v>
      </c>
      <c r="I50" s="3183">
        <f>VLOOKUP($B50,SNI!$B$28:$W$1727,16,0)</f>
        <v>0.65594032366824007</v>
      </c>
      <c r="J50" s="2641">
        <f>VLOOKUP($B50,SNI!$B$28:$W$1727,18,0)</f>
        <v>97275.95</v>
      </c>
      <c r="K50" s="2641">
        <f>VLOOKUP($B50,SNI!$B$28:$W$1727,19,0)</f>
        <v>109921.8235</v>
      </c>
      <c r="L50" s="2653"/>
      <c r="N50" s="2626"/>
      <c r="O50" s="2645"/>
    </row>
    <row r="51" spans="2:15" s="2625" customFormat="1" ht="15" customHeight="1" x14ac:dyDescent="0.2">
      <c r="B51" s="2646">
        <f>SNI!B633</f>
        <v>32</v>
      </c>
      <c r="C51" s="2647" t="str">
        <f>VLOOKUP($B51,SNI!$B$28:$W$1730,3,0)</f>
        <v>Memasang list plafond gypsum profil</v>
      </c>
      <c r="D51" s="2648"/>
      <c r="E51" s="2649"/>
      <c r="F51" s="2650" t="str">
        <f>VLOOKUP($B51,SNI!$B$28:$W$1730,10,0)</f>
        <v>An.Dihitung</v>
      </c>
      <c r="G51" s="2651">
        <f>VLOOKUP($B51,SNI!$B$28:$W$1730,15,0)</f>
        <v>30469.32</v>
      </c>
      <c r="H51" s="2652" t="str">
        <f>VLOOKUP($B51,SNI!$B$28:$W$1730,14,0)</f>
        <v>m'</v>
      </c>
      <c r="I51" s="3183">
        <f>VLOOKUP($B51,SNI!$B$28:$W$1727,16,0)</f>
        <v>0.58238985313751668</v>
      </c>
      <c r="J51" s="2641">
        <f>VLOOKUP($B51,SNI!$B$28:$W$1727,18,0)</f>
        <v>15703.56</v>
      </c>
      <c r="K51" s="2641">
        <f>VLOOKUP($B51,SNI!$B$28:$W$1727,19,0)</f>
        <v>17745.022799999999</v>
      </c>
      <c r="L51" s="2653"/>
      <c r="N51" s="2626"/>
      <c r="O51" s="2645"/>
    </row>
    <row r="52" spans="2:15" s="2625" customFormat="1" ht="15" customHeight="1" x14ac:dyDescent="0.2">
      <c r="B52" s="2646">
        <f>SNI!B652</f>
        <v>33</v>
      </c>
      <c r="C52" s="2647" t="str">
        <f>VLOOKUP($B52,SNI!$B$28:$W$1730,3,0)</f>
        <v>Memasang list plafond PVC</v>
      </c>
      <c r="D52" s="2648"/>
      <c r="E52" s="2649"/>
      <c r="F52" s="2650" t="str">
        <f>VLOOKUP($B52,SNI!$B$28:$W$1730,10,0)</f>
        <v>An.Dihitung</v>
      </c>
      <c r="G52" s="2651">
        <f>VLOOKUP($B52,SNI!$B$28:$W$1730,15,0)</f>
        <v>39690.120000000003</v>
      </c>
      <c r="H52" s="2652" t="str">
        <f>VLOOKUP($B52,SNI!$B$28:$W$1730,14,0)</f>
        <v>m'</v>
      </c>
      <c r="I52" s="3183">
        <f>VLOOKUP($B52,SNI!$B$28:$W$1727,16,0)</f>
        <v>0.74739921421250433</v>
      </c>
      <c r="J52" s="2641">
        <f>VLOOKUP($B52,SNI!$B$28:$W$1727,18,0)</f>
        <v>26251.65</v>
      </c>
      <c r="K52" s="2641">
        <f>VLOOKUP($B52,SNI!$B$28:$W$1727,19,0)</f>
        <v>29664.364500000003</v>
      </c>
      <c r="L52" s="2653"/>
      <c r="N52" s="2626"/>
      <c r="O52" s="2645"/>
    </row>
    <row r="53" spans="2:15" s="2625" customFormat="1" ht="15" customHeight="1" x14ac:dyDescent="0.2">
      <c r="B53" s="2646">
        <f>SNI!B671</f>
        <v>34</v>
      </c>
      <c r="C53" s="2647" t="str">
        <f>VLOOKUP($B53,SNI!$B$28:$W$1730,3,0)</f>
        <v>Memasang rk. plafond besi hollow uk. (60x80) cm</v>
      </c>
      <c r="D53" s="2648"/>
      <c r="E53" s="2649"/>
      <c r="F53" s="2650" t="str">
        <f>VLOOKUP($B53,SNI!$B$28:$W$1730,10,0)</f>
        <v>A.4.2.1.20.</v>
      </c>
      <c r="G53" s="2651">
        <f>VLOOKUP($B53,SNI!$B$28:$W$1730,15,0)</f>
        <v>98134.85</v>
      </c>
      <c r="H53" s="2652" t="str">
        <f>VLOOKUP($B53,SNI!$B$28:$W$1730,14,0)</f>
        <v>m2</v>
      </c>
      <c r="I53" s="3183">
        <f>VLOOKUP($B53,SNI!$B$28:$W$1727,16,0)</f>
        <v>0.71051931602279927</v>
      </c>
      <c r="J53" s="2641">
        <f>VLOOKUP($B53,SNI!$B$28:$W$1727,18,0)</f>
        <v>61705.05</v>
      </c>
      <c r="K53" s="2641">
        <f>VLOOKUP($B53,SNI!$B$28:$W$1727,19,0)</f>
        <v>69726.7065</v>
      </c>
      <c r="L53" s="2653"/>
      <c r="N53" s="2626"/>
      <c r="O53" s="2645"/>
    </row>
    <row r="54" spans="2:15" s="2625" customFormat="1" ht="15" customHeight="1" x14ac:dyDescent="0.2">
      <c r="B54" s="2646">
        <f>SNI!B691</f>
        <v>35</v>
      </c>
      <c r="C54" s="2647" t="str">
        <f>VLOOKUP($B54,SNI!$B$28:$W$1730,3,0)</f>
        <v xml:space="preserve">Memasang kusen pintu/jendela alluminium </v>
      </c>
      <c r="D54" s="2648"/>
      <c r="E54" s="2649"/>
      <c r="F54" s="2650" t="str">
        <f>VLOOKUP($B54,SNI!$B$28:$W$1730,10,0)</f>
        <v>A.4.2.1.11.</v>
      </c>
      <c r="G54" s="2651">
        <f>VLOOKUP($B54,SNI!$B$28:$W$1730,15,0)</f>
        <v>152243.43000000002</v>
      </c>
      <c r="H54" s="2652" t="str">
        <f>VLOOKUP($B54,SNI!$B$28:$W$1730,14,0)</f>
        <v>m'</v>
      </c>
      <c r="I54" s="3183">
        <f>VLOOKUP($B54,SNI!$B$28:$W$1727,16,0)</f>
        <v>0.52703841126649331</v>
      </c>
      <c r="J54" s="2641">
        <f>VLOOKUP($B54,SNI!$B$28:$W$1727,18,0)</f>
        <v>71007.199999999997</v>
      </c>
      <c r="K54" s="2641">
        <f>VLOOKUP($B54,SNI!$B$28:$W$1727,19,0)</f>
        <v>80238.135999999999</v>
      </c>
      <c r="L54" s="2653"/>
      <c r="N54" s="2626"/>
      <c r="O54" s="2645"/>
    </row>
    <row r="55" spans="2:15" s="2625" customFormat="1" ht="15" customHeight="1" x14ac:dyDescent="0.2">
      <c r="B55" s="2646">
        <f>SNI!B711</f>
        <v>36</v>
      </c>
      <c r="C55" s="2647" t="str">
        <f>VLOOKUP($B55,SNI!$B$28:$W$1730,3,0)</f>
        <v>Memasang pintu alluminium strip</v>
      </c>
      <c r="D55" s="2648"/>
      <c r="E55" s="2649"/>
      <c r="F55" s="2650" t="str">
        <f>VLOOKUP($B55,SNI!$B$28:$W$1730,10,0)</f>
        <v>A.4.2.1.12.</v>
      </c>
      <c r="G55" s="2651">
        <f>VLOOKUP($B55,SNI!$B$28:$W$1730,15,0)</f>
        <v>765224.14</v>
      </c>
      <c r="H55" s="2652" t="str">
        <f>VLOOKUP($B55,SNI!$B$28:$W$1730,14,0)</f>
        <v>m2</v>
      </c>
      <c r="I55" s="3183">
        <f>VLOOKUP($B55,SNI!$B$28:$W$1727,16,0)</f>
        <v>0.53012493548703865</v>
      </c>
      <c r="J55" s="2641">
        <f>VLOOKUP($B55,SNI!$B$28:$W$1727,18,0)</f>
        <v>358995.04</v>
      </c>
      <c r="K55" s="2641">
        <f>VLOOKUP($B55,SNI!$B$28:$W$1727,19,0)</f>
        <v>405664.39519999997</v>
      </c>
      <c r="L55" s="2653"/>
      <c r="N55" s="2626"/>
      <c r="O55" s="2645"/>
    </row>
    <row r="56" spans="2:15" s="2625" customFormat="1" ht="15" customHeight="1" x14ac:dyDescent="0.2">
      <c r="B56" s="2646">
        <f>SNI!B731</f>
        <v>37</v>
      </c>
      <c r="C56" s="2647" t="str">
        <f>VLOOKUP($B56,SNI!$B$28:$W$1730,3,0)</f>
        <v>Memasang pintu kaca es rangka alluminium</v>
      </c>
      <c r="D56" s="2648"/>
      <c r="E56" s="2649"/>
      <c r="F56" s="2650" t="str">
        <f>VLOOKUP($B56,SNI!$B$28:$W$1730,10,0)</f>
        <v>An. Dihitung</v>
      </c>
      <c r="G56" s="2651">
        <f>VLOOKUP($B56,SNI!$B$28:$W$1730,15,0)</f>
        <v>853707.66</v>
      </c>
      <c r="H56" s="2652" t="str">
        <f>VLOOKUP($B56,SNI!$B$28:$W$1730,14,0)</f>
        <v>m2</v>
      </c>
      <c r="I56" s="3183">
        <f>VLOOKUP($B56,SNI!$B$28:$W$1727,16,0)</f>
        <v>0.47846365322798945</v>
      </c>
      <c r="J56" s="2641">
        <f>VLOOKUP($B56,SNI!$B$28:$W$1727,18,0)</f>
        <v>361476.18000000005</v>
      </c>
      <c r="K56" s="2641">
        <f>VLOOKUP($B56,SNI!$B$28:$W$1727,19,0)</f>
        <v>408468.08340000006</v>
      </c>
      <c r="L56" s="2653"/>
      <c r="N56" s="2626"/>
      <c r="O56" s="2645"/>
    </row>
    <row r="57" spans="2:15" s="2625" customFormat="1" ht="15" customHeight="1" x14ac:dyDescent="0.2">
      <c r="B57" s="2646">
        <f>SNI!B753</f>
        <v>38</v>
      </c>
      <c r="C57" s="2647" t="str">
        <f>VLOOKUP($B57,SNI!$B$28:$W$1730,3,0)</f>
        <v>Memasang jendela &amp; boven kaca rangka aluminium</v>
      </c>
      <c r="D57" s="2648"/>
      <c r="E57" s="2649"/>
      <c r="F57" s="2650" t="str">
        <f>VLOOKUP($B57,SNI!$B$28:$W$1730,10,0)</f>
        <v>An. Dihitung</v>
      </c>
      <c r="G57" s="2651">
        <f>VLOOKUP($B57,SNI!$B$28:$W$1730,15,0)</f>
        <v>845503.86</v>
      </c>
      <c r="H57" s="2652" t="str">
        <f>VLOOKUP($B57,SNI!$B$28:$W$1730,14,0)</f>
        <v>m2</v>
      </c>
      <c r="I57" s="3183">
        <f>VLOOKUP($B57,SNI!$B$28:$W$1727,16,0)</f>
        <v>0.47806680668534629</v>
      </c>
      <c r="J57" s="2641">
        <f>VLOOKUP($B57,SNI!$B$28:$W$1727,18,0)</f>
        <v>357705.60000000003</v>
      </c>
      <c r="K57" s="2641">
        <f>VLOOKUP($B57,SNI!$B$28:$W$1727,19,0)</f>
        <v>404207.32800000004</v>
      </c>
      <c r="L57" s="2653"/>
      <c r="N57" s="2626"/>
      <c r="O57" s="2645"/>
    </row>
    <row r="58" spans="2:15" s="2625" customFormat="1" ht="15" customHeight="1" x14ac:dyDescent="0.2">
      <c r="B58" s="2646">
        <f>SNI!B775</f>
        <v>39</v>
      </c>
      <c r="C58" s="2647" t="str">
        <f>VLOOKUP($B58,SNI!$B$28:$W$1730,3,0)</f>
        <v>Membuat dinding partisi gypsum 9mm double</v>
      </c>
      <c r="D58" s="2648"/>
      <c r="E58" s="2649"/>
      <c r="F58" s="2650" t="str">
        <f>VLOOKUP($B58,SNI!$B$28:$W$1730,10,0)</f>
        <v>A.4.2.1.20.</v>
      </c>
      <c r="G58" s="2651">
        <f>VLOOKUP($B58,SNI!$B$28:$W$1730,15,0)</f>
        <v>210845.94</v>
      </c>
      <c r="H58" s="2652" t="str">
        <f>VLOOKUP($B58,SNI!$B$28:$W$1730,14,0)</f>
        <v>m2</v>
      </c>
      <c r="I58" s="3183">
        <f>VLOOKUP($B58,SNI!$B$28:$W$1727,16,0)</f>
        <v>0.45788799844557021</v>
      </c>
      <c r="J58" s="2641">
        <f>VLOOKUP($B58,SNI!$B$28:$W$1727,18,0)</f>
        <v>85437.014844999998</v>
      </c>
      <c r="K58" s="2641">
        <f>VLOOKUP($B58,SNI!$B$28:$W$1727,19,0)</f>
        <v>96543.826774849993</v>
      </c>
      <c r="L58" s="2653"/>
      <c r="N58" s="2626"/>
      <c r="O58" s="2645"/>
    </row>
    <row r="59" spans="2:15" s="2625" customFormat="1" ht="15" customHeight="1" x14ac:dyDescent="0.2">
      <c r="B59" s="2646">
        <f>SNI!B797</f>
        <v>40</v>
      </c>
      <c r="C59" s="2647" t="str">
        <f>VLOOKUP($B59,SNI!$B$28:$W$1730,3,0)</f>
        <v>Memasang plint lantai Homogenius tile uk. (10 x 60) cm</v>
      </c>
      <c r="D59" s="2648"/>
      <c r="E59" s="2649"/>
      <c r="F59" s="2650" t="str">
        <f>VLOOKUP($B59,SNI!$B$28:$W$1730,10,0)</f>
        <v>A.4.4.3.28.a.</v>
      </c>
      <c r="G59" s="2651">
        <f>VLOOKUP($B59,SNI!$B$28:$W$1730,15,0)</f>
        <v>38068.57</v>
      </c>
      <c r="H59" s="2652" t="str">
        <f>VLOOKUP($B59,SNI!$B$28:$W$1730,14,0)</f>
        <v>m'</v>
      </c>
      <c r="I59" s="3183">
        <f>VLOOKUP($B59,SNI!$B$28:$W$1727,16,0)</f>
        <v>0.83654205230193834</v>
      </c>
      <c r="J59" s="2641">
        <f>VLOOKUP($B59,SNI!$B$28:$W$1727,18,0)</f>
        <v>28182.265200000002</v>
      </c>
      <c r="K59" s="2641">
        <f>VLOOKUP($B59,SNI!$B$28:$W$1727,19,0)</f>
        <v>31845.959676000002</v>
      </c>
      <c r="L59" s="2653"/>
      <c r="N59" s="2626"/>
      <c r="O59" s="2645"/>
    </row>
    <row r="60" spans="2:15" s="2625" customFormat="1" ht="15" customHeight="1" x14ac:dyDescent="0.2">
      <c r="B60" s="2646">
        <f>SNI!B819</f>
        <v>41</v>
      </c>
      <c r="C60" s="2647" t="str">
        <f>VLOOKUP($B60,SNI!$B$28:$W$1730,3,0)</f>
        <v xml:space="preserve">Memasang lantai keramik unpolish ukuran 30/30 cm </v>
      </c>
      <c r="D60" s="2648"/>
      <c r="E60" s="2649"/>
      <c r="F60" s="2650" t="str">
        <f>VLOOKUP($B60,SNI!$B$28:$W$1730,10,0)</f>
        <v>A.4.4.3.35.</v>
      </c>
      <c r="G60" s="2651">
        <f>VLOOKUP($B60,SNI!$B$28:$W$1730,15,0)</f>
        <v>186829.68</v>
      </c>
      <c r="H60" s="2652" t="str">
        <f>VLOOKUP($B60,SNI!$B$28:$W$1730,14,0)</f>
        <v>m2</v>
      </c>
      <c r="I60" s="3183">
        <f>VLOOKUP($B60,SNI!$B$28:$W$1727,16,0)</f>
        <v>0.83020878695504929</v>
      </c>
      <c r="J60" s="2641">
        <f>VLOOKUP($B60,SNI!$B$28:$W$1727,18,0)</f>
        <v>137263.40000000002</v>
      </c>
      <c r="K60" s="2641">
        <f>VLOOKUP($B60,SNI!$B$28:$W$1727,19,0)</f>
        <v>155107.64200000002</v>
      </c>
      <c r="L60" s="2653"/>
      <c r="N60" s="2626"/>
      <c r="O60" s="2645"/>
    </row>
    <row r="61" spans="2:15" s="2625" customFormat="1" ht="15" customHeight="1" x14ac:dyDescent="0.2">
      <c r="B61" s="2646">
        <f>SNI!B841</f>
        <v>42</v>
      </c>
      <c r="C61" s="2647" t="str">
        <f>VLOOKUP($B61,SNI!$B$28:$W$1730,3,0)</f>
        <v>Pasang batu andesit</v>
      </c>
      <c r="D61" s="2648"/>
      <c r="E61" s="2649"/>
      <c r="F61" s="2650" t="str">
        <f>VLOOKUP($B61,SNI!$B$28:$W$1730,10,0)</f>
        <v>A.4.4.3.58b.</v>
      </c>
      <c r="G61" s="2651">
        <f>VLOOKUP($B61,SNI!$B$28:$W$1730,15,0)</f>
        <v>362752.6</v>
      </c>
      <c r="H61" s="2652" t="str">
        <f>VLOOKUP($B61,SNI!$B$28:$W$1730,14,0)</f>
        <v>m2</v>
      </c>
      <c r="I61" s="3183">
        <f>VLOOKUP($B61,SNI!$B$28:$W$1727,16,0)</f>
        <v>0.99347311693975449</v>
      </c>
      <c r="J61" s="2641">
        <f>VLOOKUP($B61,SNI!$B$28:$W$1727,18,0)</f>
        <v>318924.74</v>
      </c>
      <c r="K61" s="2641">
        <f>VLOOKUP($B61,SNI!$B$28:$W$1727,19,0)</f>
        <v>360384.95620000002</v>
      </c>
      <c r="L61" s="2653"/>
      <c r="N61" s="2626"/>
      <c r="O61" s="2645"/>
    </row>
    <row r="62" spans="2:15" s="2625" customFormat="1" ht="15" customHeight="1" x14ac:dyDescent="0.2">
      <c r="B62" s="2646">
        <f>SNI!B861</f>
        <v>43</v>
      </c>
      <c r="C62" s="2647" t="str">
        <f>VLOOKUP($B62,SNI!$B$28:$W$1730,3,0)</f>
        <v>Memasang lantai homogenius tile polished ( 60 x 60 ) cm</v>
      </c>
      <c r="D62" s="2648"/>
      <c r="E62" s="2649"/>
      <c r="F62" s="2650" t="str">
        <f>VLOOKUP($B62,SNI!$B$28:$W$1730,10,0)</f>
        <v>An. Dihitung</v>
      </c>
      <c r="G62" s="2651">
        <f>VLOOKUP($B62,SNI!$B$28:$W$1730,15,0)</f>
        <v>245041.63</v>
      </c>
      <c r="H62" s="2652" t="str">
        <f>VLOOKUP($B62,SNI!$B$28:$W$1730,14,0)</f>
        <v>m2</v>
      </c>
      <c r="I62" s="3183">
        <f>VLOOKUP($B62,SNI!$B$28:$W$1727,16,0)</f>
        <v>0.81409874983283448</v>
      </c>
      <c r="J62" s="2641">
        <f>VLOOKUP($B62,SNI!$B$28:$W$1727,18,0)</f>
        <v>176538.128</v>
      </c>
      <c r="K62" s="2641">
        <f>VLOOKUP($B62,SNI!$B$28:$W$1727,19,0)</f>
        <v>199488.08463999999</v>
      </c>
      <c r="L62" s="2653"/>
      <c r="N62" s="2626"/>
      <c r="O62" s="2645"/>
    </row>
    <row r="63" spans="2:15" s="2625" customFormat="1" ht="15" customHeight="1" x14ac:dyDescent="0.2">
      <c r="B63" s="2646">
        <f>SNI!B882</f>
        <v>44</v>
      </c>
      <c r="C63" s="2647" t="str">
        <f>VLOOKUP($B63,SNI!$B$28:$W$1730,3,0)</f>
        <v>Memasang lantai granit tile ( 60 x 60 ) cm, exterior texture</v>
      </c>
      <c r="D63" s="2648"/>
      <c r="E63" s="2649"/>
      <c r="F63" s="2650" t="str">
        <f>VLOOKUP($B63,SNI!$B$28:$W$1730,10,0)</f>
        <v>An. Dihitung</v>
      </c>
      <c r="G63" s="2651">
        <f>VLOOKUP($B63,SNI!$B$28:$W$1730,15,0)</f>
        <v>301541.63</v>
      </c>
      <c r="H63" s="2652" t="str">
        <f>VLOOKUP($B63,SNI!$B$28:$W$1730,14,0)</f>
        <v>m2</v>
      </c>
      <c r="I63" s="3183">
        <f>VLOOKUP($B63,SNI!$B$28:$W$1727,16,0)</f>
        <v>0.79200800446691222</v>
      </c>
      <c r="J63" s="2641">
        <f>VLOOKUP($B63,SNI!$B$28:$W$1727,18,0)</f>
        <v>211348.128</v>
      </c>
      <c r="K63" s="2641">
        <f>VLOOKUP($B63,SNI!$B$28:$W$1727,19,0)</f>
        <v>238823.38464</v>
      </c>
      <c r="L63" s="2653"/>
      <c r="N63" s="2626"/>
      <c r="O63" s="2645"/>
    </row>
    <row r="64" spans="2:15" s="2625" customFormat="1" ht="15" customHeight="1" x14ac:dyDescent="0.2">
      <c r="B64" s="2646">
        <f>SNI!B903</f>
        <v>45</v>
      </c>
      <c r="C64" s="2647" t="str">
        <f>VLOOKUP($B64,SNI!$B$28:$W$1730,3,0)</f>
        <v>Memasang dinding Homogenius tile  uk. (30x60) cm</v>
      </c>
      <c r="D64" s="2648"/>
      <c r="E64" s="2649"/>
      <c r="F64" s="2650" t="str">
        <f>VLOOKUP($B64,SNI!$B$28:$W$1730,10,0)</f>
        <v>An. Dihitung</v>
      </c>
      <c r="G64" s="2651">
        <f>VLOOKUP($B64,SNI!$B$28:$W$1730,15,0)</f>
        <v>281318.25</v>
      </c>
      <c r="H64" s="2652" t="str">
        <f>VLOOKUP($B64,SNI!$B$28:$W$1730,14,0)</f>
        <v>m2</v>
      </c>
      <c r="I64" s="3183">
        <f>VLOOKUP($B64,SNI!$B$28:$W$1727,16,0)</f>
        <v>0.85772412757045269</v>
      </c>
      <c r="J64" s="2641">
        <f>VLOOKUP($B64,SNI!$B$28:$W$1727,18,0)</f>
        <v>213534.024</v>
      </c>
      <c r="K64" s="2641">
        <f>VLOOKUP($B64,SNI!$B$28:$W$1727,19,0)</f>
        <v>241293.44712</v>
      </c>
      <c r="L64" s="2653"/>
      <c r="N64" s="2626"/>
      <c r="O64" s="2645"/>
    </row>
    <row r="65" spans="2:15" s="2625" customFormat="1" ht="15" customHeight="1" x14ac:dyDescent="0.2">
      <c r="B65" s="2646">
        <f>SNI!B924</f>
        <v>46</v>
      </c>
      <c r="C65" s="2647" t="str">
        <f>VLOOKUP($B65,SNI!$B$28:$W$1730,3,0)</f>
        <v>Memasang 1 m' "step nose" uk. (10x40) cm</v>
      </c>
      <c r="D65" s="2648"/>
      <c r="E65" s="2649"/>
      <c r="F65" s="2650" t="str">
        <f>VLOOKUP($B65,SNI!$B$28:$W$1730,10,0)</f>
        <v>An. Dihitung</v>
      </c>
      <c r="G65" s="2651">
        <f>VLOOKUP($B65,SNI!$B$28:$W$1730,15,0)</f>
        <v>65535.37</v>
      </c>
      <c r="H65" s="2652" t="str">
        <f>VLOOKUP($B65,SNI!$B$28:$W$1730,14,0)</f>
        <v>m'</v>
      </c>
      <c r="I65" s="3183">
        <f>VLOOKUP($B65,SNI!$B$28:$W$1727,16,0)</f>
        <v>0.7887839071382633</v>
      </c>
      <c r="J65" s="2641">
        <f>VLOOKUP($B65,SNI!$B$28:$W$1727,18,0)</f>
        <v>45746.232600000003</v>
      </c>
      <c r="K65" s="2641">
        <f>VLOOKUP($B65,SNI!$B$28:$W$1727,19,0)</f>
        <v>51693.242838000006</v>
      </c>
      <c r="L65" s="2653"/>
      <c r="N65" s="2626"/>
      <c r="O65" s="2645"/>
    </row>
    <row r="66" spans="2:15" s="2625" customFormat="1" ht="15" customHeight="1" x14ac:dyDescent="0.2">
      <c r="B66" s="2646">
        <f>SNI!B945</f>
        <v>47</v>
      </c>
      <c r="C66" s="2647" t="str">
        <f>VLOOKUP($B66,SNI!$B$28:$W$1730,3,0)</f>
        <v>Memasang penutup atap galvalum pasir</v>
      </c>
      <c r="D66" s="2648"/>
      <c r="E66" s="2649"/>
      <c r="F66" s="2650" t="str">
        <f>VLOOKUP($B66,SNI!$B$28:$W$1730,10,0)</f>
        <v>An. Dihitung</v>
      </c>
      <c r="G66" s="2651">
        <f>VLOOKUP($B66,SNI!$B$28:$W$1730,15,0)</f>
        <v>108751.2</v>
      </c>
      <c r="H66" s="2652" t="str">
        <f>VLOOKUP($B66,SNI!$B$28:$W$1730,14,0)</f>
        <v>m2</v>
      </c>
      <c r="I66" s="3183">
        <f>VLOOKUP($B66,SNI!$B$28:$W$1727,16,0)</f>
        <v>0.57070756442227766</v>
      </c>
      <c r="J66" s="2641">
        <f>VLOOKUP($B66,SNI!$B$28:$W$1727,18,0)</f>
        <v>54924.896000000001</v>
      </c>
      <c r="K66" s="2641">
        <f>VLOOKUP($B66,SNI!$B$28:$W$1727,19,0)</f>
        <v>62065.13248</v>
      </c>
      <c r="L66" s="2653"/>
      <c r="N66" s="2626"/>
      <c r="O66" s="2645"/>
    </row>
    <row r="67" spans="2:15" s="2625" customFormat="1" ht="15" customHeight="1" x14ac:dyDescent="0.2">
      <c r="B67" s="2646">
        <f>SNI!B964</f>
        <v>48</v>
      </c>
      <c r="C67" s="2647" t="str">
        <f>VLOOKUP($B67,SNI!$B$28:$W$1730,3,0)</f>
        <v>Pasang bubungan galvalum pasir</v>
      </c>
      <c r="D67" s="2648"/>
      <c r="E67" s="2649"/>
      <c r="F67" s="2650" t="str">
        <f>VLOOKUP($B67,SNI!$B$28:$W$1730,10,0)</f>
        <v>A.4.5.2.39a.</v>
      </c>
      <c r="G67" s="2651">
        <f>VLOOKUP($B67,SNI!$B$28:$W$1730,15,0)</f>
        <v>66180.710000000006</v>
      </c>
      <c r="H67" s="2652" t="str">
        <f>VLOOKUP($B67,SNI!$B$28:$W$1730,14,0)</f>
        <v>m'</v>
      </c>
      <c r="I67" s="3183">
        <f>VLOOKUP($B67,SNI!$B$28:$W$1727,16,0)</f>
        <v>0.67431317977700755</v>
      </c>
      <c r="J67" s="2641">
        <f>VLOOKUP($B67,SNI!$B$28:$W$1727,18,0)</f>
        <v>39492.5</v>
      </c>
      <c r="K67" s="2641">
        <f>VLOOKUP($B67,SNI!$B$28:$W$1727,19,0)</f>
        <v>44626.525000000001</v>
      </c>
      <c r="L67" s="2653"/>
      <c r="N67" s="2626"/>
      <c r="O67" s="2645"/>
    </row>
    <row r="68" spans="2:15" s="2625" customFormat="1" ht="15" customHeight="1" x14ac:dyDescent="0.2">
      <c r="B68" s="2646">
        <f>SNI!B983</f>
        <v>49</v>
      </c>
      <c r="C68" s="2647" t="str">
        <f>VLOOKUP($B68,SNI!$B$28:$W$1730,3,0)</f>
        <v>Pasang aluminium foil/sisalation</v>
      </c>
      <c r="D68" s="2648"/>
      <c r="E68" s="2649"/>
      <c r="F68" s="2650" t="str">
        <f>VLOOKUP($B68,SNI!$B$28:$W$1730,10,0)</f>
        <v>A.4.5.2.43.</v>
      </c>
      <c r="G68" s="2651">
        <f>VLOOKUP($B68,SNI!$B$28:$W$1730,15,0)</f>
        <v>38843.75</v>
      </c>
      <c r="H68" s="2652" t="str">
        <f>VLOOKUP($B68,SNI!$B$28:$W$1730,14,0)</f>
        <v>m2</v>
      </c>
      <c r="I68" s="3183">
        <f>VLOOKUP($B68,SNI!$B$28:$W$1727,16,0)</f>
        <v>0.55403636363636366</v>
      </c>
      <c r="J68" s="2641">
        <f>VLOOKUP($B68,SNI!$B$28:$W$1727,18,0)</f>
        <v>19045</v>
      </c>
      <c r="K68" s="2641">
        <f>VLOOKUP($B68,SNI!$B$28:$W$1727,19,0)</f>
        <v>21520.85</v>
      </c>
      <c r="L68" s="2653"/>
      <c r="N68" s="2626"/>
      <c r="O68" s="2645"/>
    </row>
    <row r="69" spans="2:15" s="2625" customFormat="1" ht="15" customHeight="1" x14ac:dyDescent="0.2">
      <c r="B69" s="2646">
        <f>SNI!B1001</f>
        <v>50</v>
      </c>
      <c r="C69" s="2647" t="str">
        <f>VLOOKUP($B69,SNI!$B$28:$W$1730,3,0)</f>
        <v>Memasang kloset duduk/monoblok dan aksesoris</v>
      </c>
      <c r="D69" s="2648"/>
      <c r="E69" s="2649"/>
      <c r="F69" s="2650" t="str">
        <f>VLOOKUP($B69,SNI!$B$28:$W$1730,10,0)</f>
        <v>A.5.1.1.1.</v>
      </c>
      <c r="G69" s="2651">
        <f>VLOOKUP($B69,SNI!$B$28:$W$1730,15,0)</f>
        <v>3373897.5</v>
      </c>
      <c r="H69" s="2652" t="str">
        <f>VLOOKUP($B69,SNI!$B$28:$W$1730,14,0)</f>
        <v>bh</v>
      </c>
      <c r="I69" s="3183">
        <f>VLOOKUP($B69,SNI!$B$28:$W$1727,16,0)</f>
        <v>0.46447123838231602</v>
      </c>
      <c r="J69" s="2641">
        <f>VLOOKUP($B69,SNI!$B$28:$W$1727,18,0)</f>
        <v>1386795</v>
      </c>
      <c r="K69" s="2641">
        <f>VLOOKUP($B69,SNI!$B$28:$W$1727,19,0)</f>
        <v>1567078.35</v>
      </c>
      <c r="L69" s="2653"/>
      <c r="N69" s="2626"/>
      <c r="O69" s="2645"/>
    </row>
    <row r="70" spans="2:15" s="2625" customFormat="1" ht="15" customHeight="1" x14ac:dyDescent="0.2">
      <c r="B70" s="2646">
        <f>SNI!B1021</f>
        <v>51</v>
      </c>
      <c r="C70" s="2647" t="str">
        <f>VLOOKUP($B70,SNI!$B$28:$W$1730,3,0)</f>
        <v xml:space="preserve">Memasang kloset jongklok porselin </v>
      </c>
      <c r="D70" s="2648"/>
      <c r="E70" s="2649"/>
      <c r="F70" s="2650" t="str">
        <f>VLOOKUP($B70,SNI!$B$28:$W$1730,10,0)</f>
        <v>A.5.1.1.2.</v>
      </c>
      <c r="G70" s="2651">
        <f>VLOOKUP($B70,SNI!$B$28:$W$1730,15,0)</f>
        <v>578447</v>
      </c>
      <c r="H70" s="2652" t="str">
        <f>VLOOKUP($B70,SNI!$B$28:$W$1730,14,0)</f>
        <v>bh</v>
      </c>
      <c r="I70" s="3183">
        <f>VLOOKUP($B70,SNI!$B$28:$W$1727,16,0)</f>
        <v>0.8547178745848798</v>
      </c>
      <c r="J70" s="2641">
        <f>VLOOKUP($B70,SNI!$B$28:$W$1727,18,0)</f>
        <v>437530.07999999996</v>
      </c>
      <c r="K70" s="2641">
        <f>VLOOKUP($B70,SNI!$B$28:$W$1727,19,0)</f>
        <v>494408.99039999995</v>
      </c>
      <c r="L70" s="2653"/>
      <c r="N70" s="2626"/>
      <c r="O70" s="2645"/>
    </row>
    <row r="71" spans="2:15" s="2625" customFormat="1" ht="15" customHeight="1" x14ac:dyDescent="0.2">
      <c r="B71" s="2646">
        <f>SNI!B1041</f>
        <v>52</v>
      </c>
      <c r="C71" s="2647" t="str">
        <f>VLOOKUP($B71,SNI!$B$28:$W$1730,3,0)</f>
        <v>Memasang wastafel lengkap sifon stainless</v>
      </c>
      <c r="D71" s="2648"/>
      <c r="E71" s="2649"/>
      <c r="F71" s="2650" t="str">
        <f>VLOOKUP($B71,SNI!$B$28:$W$1730,10,0)</f>
        <v>A.5.1.1.5.</v>
      </c>
      <c r="G71" s="2651">
        <f>VLOOKUP($B71,SNI!$B$28:$W$1730,15,0)</f>
        <v>1376407.8</v>
      </c>
      <c r="H71" s="2652" t="str">
        <f>VLOOKUP($B71,SNI!$B$28:$W$1730,14,0)</f>
        <v>bh</v>
      </c>
      <c r="I71" s="3183">
        <f>VLOOKUP($B71,SNI!$B$28:$W$1727,16,0)</f>
        <v>0.71936118089420875</v>
      </c>
      <c r="J71" s="2641">
        <f>VLOOKUP($B71,SNI!$B$28:$W$1727,18,0)</f>
        <v>876225.08</v>
      </c>
      <c r="K71" s="2641">
        <f>VLOOKUP($B71,SNI!$B$28:$W$1727,19,0)</f>
        <v>990134.34039999999</v>
      </c>
      <c r="L71" s="2653"/>
      <c r="N71" s="2626"/>
      <c r="O71" s="2645"/>
    </row>
    <row r="72" spans="2:15" s="2625" customFormat="1" ht="15" customHeight="1" x14ac:dyDescent="0.2">
      <c r="B72" s="2646">
        <f>SNI!B1063</f>
        <v>53</v>
      </c>
      <c r="C72" s="2647" t="str">
        <f>VLOOKUP($B72,SNI!$B$28:$W$1730,3,0)</f>
        <v>Memasang floor drain stainless</v>
      </c>
      <c r="D72" s="2648"/>
      <c r="E72" s="2649"/>
      <c r="F72" s="2650" t="str">
        <f>VLOOKUP($B72,SNI!$B$28:$W$1730,10,0)</f>
        <v>A.5.1.1.14.</v>
      </c>
      <c r="G72" s="2651">
        <f>VLOOKUP($B72,SNI!$B$28:$W$1730,15,0)</f>
        <v>120111.09</v>
      </c>
      <c r="H72" s="2652" t="str">
        <f>VLOOKUP($B72,SNI!$B$28:$W$1730,14,0)</f>
        <v>bh</v>
      </c>
      <c r="I72" s="3183">
        <f>VLOOKUP($B72,SNI!$B$28:$W$1727,16,0)</f>
        <v>0.10624406122698578</v>
      </c>
      <c r="J72" s="2641">
        <f>VLOOKUP($B72,SNI!$B$28:$W$1727,18,0)</f>
        <v>11293</v>
      </c>
      <c r="K72" s="2641">
        <f>VLOOKUP($B72,SNI!$B$28:$W$1727,19,0)</f>
        <v>12761.09</v>
      </c>
      <c r="L72" s="2653"/>
      <c r="N72" s="2626"/>
      <c r="O72" s="2645"/>
    </row>
    <row r="73" spans="2:15" s="2625" customFormat="1" ht="15" customHeight="1" x14ac:dyDescent="0.2">
      <c r="B73" s="2646">
        <f>SNI!B1081</f>
        <v>54</v>
      </c>
      <c r="C73" s="2647" t="str">
        <f>VLOOKUP($B73,SNI!$B$28:$W$1730,3,0)</f>
        <v>Memasang pipa PVC tipe AW diameter 3/4"</v>
      </c>
      <c r="D73" s="2648"/>
      <c r="E73" s="2649"/>
      <c r="F73" s="2650" t="str">
        <f>VLOOKUP($B73,SNI!$B$28:$W$1730,10,0)</f>
        <v>A.5.1.1.26.</v>
      </c>
      <c r="G73" s="2651">
        <f>VLOOKUP($B73,SNI!$B$28:$W$1730,15,0)</f>
        <v>24034.87</v>
      </c>
      <c r="H73" s="2652" t="str">
        <f>VLOOKUP($B73,SNI!$B$28:$W$1730,14,0)</f>
        <v>m'</v>
      </c>
      <c r="I73" s="3183">
        <f>VLOOKUP($B73,SNI!$B$28:$W$1727,16,0)</f>
        <v>0.94560353176804668</v>
      </c>
      <c r="J73" s="2641">
        <f>VLOOKUP($B73,SNI!$B$28:$W$1727,18,0)</f>
        <v>20112.797999999999</v>
      </c>
      <c r="K73" s="2641">
        <f>VLOOKUP($B73,SNI!$B$28:$W$1727,19,0)</f>
        <v>22727.461739999999</v>
      </c>
      <c r="L73" s="2653"/>
      <c r="N73" s="2626"/>
      <c r="O73" s="2645"/>
    </row>
    <row r="74" spans="2:15" s="2625" customFormat="1" ht="15" customHeight="1" x14ac:dyDescent="0.2">
      <c r="B74" s="2646">
        <f>SNI!B1100</f>
        <v>55</v>
      </c>
      <c r="C74" s="2647" t="str">
        <f>VLOOKUP($B74,SNI!$B$28:$W$1730,3,0)</f>
        <v>Memasang pipa PVC tipe AW diameter 1"</v>
      </c>
      <c r="D74" s="2648"/>
      <c r="E74" s="2649"/>
      <c r="F74" s="2650" t="str">
        <f>VLOOKUP($B74,SNI!$B$28:$W$1730,10,0)</f>
        <v>A.5.1.1.27.</v>
      </c>
      <c r="G74" s="2651">
        <f>VLOOKUP($B74,SNI!$B$28:$W$1730,15,0)</f>
        <v>26924.85</v>
      </c>
      <c r="H74" s="2652" t="str">
        <f>VLOOKUP($B74,SNI!$B$28:$W$1730,14,0)</f>
        <v>m'</v>
      </c>
      <c r="I74" s="3183">
        <f>VLOOKUP($B74,SNI!$B$28:$W$1727,16,0)</f>
        <v>0.94103691983565063</v>
      </c>
      <c r="J74" s="2641">
        <f>VLOOKUP($B74,SNI!$B$28:$W$1727,18,0)</f>
        <v>22422.368999999999</v>
      </c>
      <c r="K74" s="2641">
        <f>VLOOKUP($B74,SNI!$B$28:$W$1727,19,0)</f>
        <v>25337.276969999999</v>
      </c>
      <c r="L74" s="2653"/>
      <c r="N74" s="2626"/>
      <c r="O74" s="2645"/>
    </row>
    <row r="75" spans="2:15" s="2625" customFormat="1" ht="15" customHeight="1" x14ac:dyDescent="0.2">
      <c r="B75" s="2646">
        <f>SNI!B1120</f>
        <v>56</v>
      </c>
      <c r="C75" s="2647" t="str">
        <f>VLOOKUP($B75,SNI!$B$28:$W$1730,3,0)</f>
        <v>Memasang pipa PVC tipe AW diameter 1 1/2"</v>
      </c>
      <c r="D75" s="2648"/>
      <c r="E75" s="2649"/>
      <c r="F75" s="2650" t="str">
        <f>VLOOKUP($B75,SNI!$B$28:$W$1730,10,0)</f>
        <v>A.5.1.1.28.</v>
      </c>
      <c r="G75" s="2651">
        <f>VLOOKUP($B75,SNI!$B$28:$W$1730,15,0)</f>
        <v>49932.95</v>
      </c>
      <c r="H75" s="2652" t="str">
        <f>VLOOKUP($B75,SNI!$B$28:$W$1730,14,0)</f>
        <v>m'</v>
      </c>
      <c r="I75" s="3183">
        <f>VLOOKUP($B75,SNI!$B$28:$W$1727,16,0)</f>
        <v>0.93377650720946315</v>
      </c>
      <c r="J75" s="2641">
        <f>VLOOKUP($B75,SNI!$B$28:$W$1727,18,0)</f>
        <v>41262.136500000001</v>
      </c>
      <c r="K75" s="2641">
        <f>VLOOKUP($B75,SNI!$B$28:$W$1727,19,0)</f>
        <v>46626.214245000003</v>
      </c>
      <c r="L75" s="2653"/>
      <c r="N75" s="2626"/>
      <c r="O75" s="2645"/>
    </row>
    <row r="76" spans="2:15" s="2625" customFormat="1" ht="15" customHeight="1" x14ac:dyDescent="0.2">
      <c r="B76" s="2646">
        <f>SNI!B1140</f>
        <v>57</v>
      </c>
      <c r="C76" s="2647" t="str">
        <f>VLOOKUP($B76,SNI!$B$28:$W$1730,3,0)</f>
        <v>Memasang pipa PVC tipe AW diameter 2"</v>
      </c>
      <c r="D76" s="2648"/>
      <c r="E76" s="2649"/>
      <c r="F76" s="2650" t="str">
        <f>VLOOKUP($B76,SNI!$B$28:$W$1730,10,0)</f>
        <v>A.5.1.1.29.</v>
      </c>
      <c r="G76" s="2651">
        <f>VLOOKUP($B76,SNI!$B$28:$W$1730,15,0)</f>
        <v>78438.61</v>
      </c>
      <c r="H76" s="2652" t="str">
        <f>VLOOKUP($B76,SNI!$B$28:$W$1730,14,0)</f>
        <v>m'</v>
      </c>
      <c r="I76" s="3183">
        <f>VLOOKUP($B76,SNI!$B$28:$W$1727,16,0)</f>
        <v>0.92261300560255965</v>
      </c>
      <c r="J76" s="2641">
        <f>VLOOKUP($B76,SNI!$B$28:$W$1727,18,0)</f>
        <v>64042.904999999999</v>
      </c>
      <c r="K76" s="2641">
        <f>VLOOKUP($B76,SNI!$B$28:$W$1727,19,0)</f>
        <v>72368.482649999991</v>
      </c>
      <c r="L76" s="2653"/>
      <c r="N76" s="2626"/>
      <c r="O76" s="2645"/>
    </row>
    <row r="77" spans="2:15" s="2625" customFormat="1" ht="15" customHeight="1" x14ac:dyDescent="0.2">
      <c r="B77" s="2646">
        <f>SNI!B1159</f>
        <v>58</v>
      </c>
      <c r="C77" s="2647" t="str">
        <f>VLOOKUP($B77,SNI!$B$28:$W$1730,3,0)</f>
        <v>Memasang pipa PVC tipe AW diameter 2,5"</v>
      </c>
      <c r="D77" s="2648"/>
      <c r="E77" s="2649"/>
      <c r="F77" s="2650" t="str">
        <f>VLOOKUP($B77,SNI!$B$28:$W$1730,10,0)</f>
        <v>A.5.1.1.30.</v>
      </c>
      <c r="G77" s="2651">
        <f>VLOOKUP($B77,SNI!$B$28:$W$1730,15,0)</f>
        <v>302171.38</v>
      </c>
      <c r="H77" s="2652" t="str">
        <f>VLOOKUP($B77,SNI!$B$28:$W$1730,14,0)</f>
        <v>m'</v>
      </c>
      <c r="I77" s="3183">
        <f>VLOOKUP($B77,SNI!$B$28:$W$1727,16,0)</f>
        <v>0.91065595196558968</v>
      </c>
      <c r="J77" s="2641">
        <f>VLOOKUP($B77,SNI!$B$28:$W$1727,18,0)</f>
        <v>243516.96</v>
      </c>
      <c r="K77" s="2641">
        <f>VLOOKUP($B77,SNI!$B$28:$W$1727,19,0)</f>
        <v>275174.16479999997</v>
      </c>
      <c r="L77" s="2653"/>
      <c r="N77" s="2626"/>
      <c r="O77" s="2645"/>
    </row>
    <row r="78" spans="2:15" s="2625" customFormat="1" ht="15" customHeight="1" x14ac:dyDescent="0.2">
      <c r="B78" s="2646">
        <f>SNI!B1178</f>
        <v>59</v>
      </c>
      <c r="C78" s="2647" t="str">
        <f>VLOOKUP($B78,SNI!$B$28:$W$1730,3,0)</f>
        <v>Memasang pipa PVC tipe AW diameter 3"</v>
      </c>
      <c r="D78" s="2648"/>
      <c r="E78" s="2649"/>
      <c r="F78" s="2650" t="str">
        <f>VLOOKUP($B78,SNI!$B$28:$W$1730,10,0)</f>
        <v>A.5.1.1.31.</v>
      </c>
      <c r="G78" s="2651">
        <f>VLOOKUP($B78,SNI!$B$28:$W$1730,15,0)</f>
        <v>103284.6</v>
      </c>
      <c r="H78" s="2652" t="str">
        <f>VLOOKUP($B78,SNI!$B$28:$W$1730,14,0)</f>
        <v>m'</v>
      </c>
      <c r="I78" s="3183">
        <f>VLOOKUP($B78,SNI!$B$28:$W$1727,16,0)</f>
        <v>0.92520067875753675</v>
      </c>
      <c r="J78" s="2641">
        <f>VLOOKUP($B78,SNI!$B$28:$W$1727,18,0)</f>
        <v>84565.47</v>
      </c>
      <c r="K78" s="2641">
        <f>VLOOKUP($B78,SNI!$B$28:$W$1727,19,0)</f>
        <v>95558.981100000005</v>
      </c>
      <c r="L78" s="2653"/>
      <c r="N78" s="2626"/>
      <c r="O78" s="2645"/>
    </row>
    <row r="79" spans="2:15" s="2625" customFormat="1" ht="15" customHeight="1" x14ac:dyDescent="0.2">
      <c r="B79" s="2646">
        <f>SNI!B1197</f>
        <v>60</v>
      </c>
      <c r="C79" s="2647" t="str">
        <f>VLOOKUP($B79,SNI!$B$28:$W$1730,3,0)</f>
        <v>Memasang pipa PVC tipe AW diameter 4"</v>
      </c>
      <c r="D79" s="2648"/>
      <c r="E79" s="2649"/>
      <c r="F79" s="2650" t="str">
        <f>VLOOKUP($B79,SNI!$B$28:$W$1730,10,0)</f>
        <v>A.5.1.1.32.</v>
      </c>
      <c r="G79" s="2651">
        <f>VLOOKUP($B79,SNI!$B$28:$W$1730,15,0)</f>
        <v>167743.75</v>
      </c>
      <c r="H79" s="2652" t="str">
        <f>VLOOKUP($B79,SNI!$B$28:$W$1730,14,0)</f>
        <v>m'</v>
      </c>
      <c r="I79" s="3183">
        <f>VLOOKUP($B79,SNI!$B$28:$W$1727,16,0)</f>
        <v>0.91674479843821799</v>
      </c>
      <c r="J79" s="2641">
        <f>VLOOKUP($B79,SNI!$B$28:$W$1727,18,0)</f>
        <v>136086.91500000001</v>
      </c>
      <c r="K79" s="2641">
        <f>VLOOKUP($B79,SNI!$B$28:$W$1727,19,0)</f>
        <v>153778.21395</v>
      </c>
      <c r="L79" s="2653"/>
      <c r="N79" s="2626"/>
      <c r="O79" s="2645"/>
    </row>
    <row r="80" spans="2:15" s="2625" customFormat="1" ht="15" customHeight="1" x14ac:dyDescent="0.2">
      <c r="B80" s="2646">
        <f>SNI!B1216</f>
        <v>61</v>
      </c>
      <c r="C80" s="2647" t="str">
        <f>VLOOKUP($B80,SNI!$B$28:$W$1730,3,0)</f>
        <v>Memasang pipa PVC tipe D diameter 3"</v>
      </c>
      <c r="D80" s="2648"/>
      <c r="E80" s="2649"/>
      <c r="F80" s="2650" t="str">
        <f>VLOOKUP($B80,SNI!$B$28:$W$1730,10,0)</f>
        <v>An. Dihit</v>
      </c>
      <c r="G80" s="2651">
        <f>VLOOKUP($B80,SNI!$B$28:$W$1730,15,0)</f>
        <v>93651.35</v>
      </c>
      <c r="H80" s="2652" t="str">
        <f>VLOOKUP($B80,SNI!$B$28:$W$1730,14,0)</f>
        <v>m'</v>
      </c>
      <c r="I80" s="3183">
        <f>VLOOKUP($B80,SNI!$B$28:$W$1727,16,0)</f>
        <v>0.92747833242637001</v>
      </c>
      <c r="J80" s="2641">
        <f>VLOOKUP($B80,SNI!$B$28:$W$1727,18,0)</f>
        <v>76866.899999999994</v>
      </c>
      <c r="K80" s="2641">
        <f>VLOOKUP($B80,SNI!$B$28:$W$1727,19,0)</f>
        <v>86859.596999999994</v>
      </c>
      <c r="L80" s="2653"/>
      <c r="N80" s="2626"/>
      <c r="O80" s="2645"/>
    </row>
    <row r="81" spans="2:15" s="2625" customFormat="1" ht="15" customHeight="1" x14ac:dyDescent="0.2">
      <c r="B81" s="2646">
        <f>SNI!B1235</f>
        <v>62</v>
      </c>
      <c r="C81" s="2647" t="str">
        <f>VLOOKUP($B81,SNI!$B$28:$W$1730,3,0)</f>
        <v>Memasang bak cuci piring stainlessteel dan aksesoris</v>
      </c>
      <c r="D81" s="2648"/>
      <c r="E81" s="2649"/>
      <c r="F81" s="2650" t="str">
        <f>VLOOKUP($B81,SNI!$B$28:$W$1730,10,0)</f>
        <v>A.5.1.1.12.</v>
      </c>
      <c r="G81" s="2651">
        <f>VLOOKUP($B81,SNI!$B$28:$W$1730,15,0)</f>
        <v>1106133.27</v>
      </c>
      <c r="H81" s="2652" t="str">
        <f>VLOOKUP($B81,SNI!$B$28:$W$1730,14,0)</f>
        <v>bh</v>
      </c>
      <c r="I81" s="3183">
        <f>VLOOKUP($B81,SNI!$B$28:$W$1727,16,0)</f>
        <v>3.460999776274698E-2</v>
      </c>
      <c r="J81" s="2641">
        <f>VLOOKUP($B81,SNI!$B$28:$W$1727,18,0)</f>
        <v>33879</v>
      </c>
      <c r="K81" s="2641">
        <f>VLOOKUP($B81,SNI!$B$28:$W$1727,19,0)</f>
        <v>38283.270000000004</v>
      </c>
      <c r="L81" s="2653"/>
      <c r="N81" s="2626"/>
      <c r="O81" s="2645"/>
    </row>
    <row r="82" spans="2:15" s="2625" customFormat="1" ht="15" customHeight="1" x14ac:dyDescent="0.2">
      <c r="B82" s="2646">
        <f>SNI!B1254</f>
        <v>63</v>
      </c>
      <c r="C82" s="2647" t="str">
        <f>VLOOKUP($B82,SNI!$B$28:$W$1730,3,0)</f>
        <v>Memasang kran diameter 1/2", onda stainless</v>
      </c>
      <c r="D82" s="2648"/>
      <c r="E82" s="2649"/>
      <c r="F82" s="2650" t="str">
        <f>VLOOKUP($B82,SNI!$B$28:$W$1730,10,0)</f>
        <v>A.5.1.1.19.</v>
      </c>
      <c r="G82" s="2651">
        <f>VLOOKUP($B82,SNI!$B$28:$W$1730,15,0)</f>
        <v>170986.52</v>
      </c>
      <c r="H82" s="2652" t="str">
        <f>VLOOKUP($B82,SNI!$B$28:$W$1730,14,0)</f>
        <v>bh</v>
      </c>
      <c r="I82" s="3183">
        <f>VLOOKUP($B82,SNI!$B$28:$W$1727,16,0)</f>
        <v>0.95355069374915324</v>
      </c>
      <c r="J82" s="2641">
        <f>VLOOKUP($B82,SNI!$B$28:$W$1727,18,0)</f>
        <v>144287</v>
      </c>
      <c r="K82" s="2641">
        <f>VLOOKUP($B82,SNI!$B$28:$W$1727,19,0)</f>
        <v>163044.31</v>
      </c>
      <c r="L82" s="2653"/>
      <c r="N82" s="2626"/>
      <c r="O82" s="2645"/>
    </row>
    <row r="83" spans="2:15" s="2625" customFormat="1" ht="15" customHeight="1" x14ac:dyDescent="0.2">
      <c r="B83" s="2646">
        <f>SNI!B1273</f>
        <v>64</v>
      </c>
      <c r="C83" s="2647" t="str">
        <f>VLOOKUP($B83,SNI!$B$28:$W$1730,3,0)</f>
        <v>Pasang kaca mati tebal 5 mm</v>
      </c>
      <c r="D83" s="2648"/>
      <c r="E83" s="2649"/>
      <c r="F83" s="2650" t="str">
        <f>VLOOKUP($B83,SNI!$B$28:$W$1730,10,0)</f>
        <v>A.4.6.2.17.</v>
      </c>
      <c r="G83" s="2651">
        <f>VLOOKUP($B83,SNI!$B$28:$W$1730,15,0)</f>
        <v>170445.25</v>
      </c>
      <c r="H83" s="2652" t="str">
        <f>VLOOKUP($B83,SNI!$B$28:$W$1730,14,0)</f>
        <v>m2</v>
      </c>
      <c r="I83" s="3183">
        <f>VLOOKUP($B83,SNI!$B$28:$W$1727,16,0)</f>
        <v>0.61858343305499663</v>
      </c>
      <c r="J83" s="2641">
        <f>VLOOKUP($B83,SNI!$B$28:$W$1727,18,0)</f>
        <v>93304.960000000006</v>
      </c>
      <c r="K83" s="2641">
        <f>VLOOKUP($B83,SNI!$B$28:$W$1727,19,0)</f>
        <v>105434.6048</v>
      </c>
      <c r="L83" s="2653"/>
      <c r="N83" s="2626"/>
      <c r="O83" s="2645"/>
    </row>
    <row r="84" spans="2:15" s="2625" customFormat="1" ht="15" customHeight="1" x14ac:dyDescent="0.2">
      <c r="B84" s="2646">
        <f>SNI!B1292</f>
        <v>65</v>
      </c>
      <c r="C84" s="2647" t="str">
        <f>VLOOKUP($B84,SNI!$B$28:$W$1730,3,0)</f>
        <v>Pengecatan dinding dalam (cat interior)</v>
      </c>
      <c r="D84" s="2648"/>
      <c r="E84" s="2649"/>
      <c r="F84" s="2650" t="str">
        <f>VLOOKUP($B84,SNI!$B$28:$W$1730,10,0)</f>
        <v>A.4.7.1.10.</v>
      </c>
      <c r="G84" s="2651">
        <f>VLOOKUP($B84,SNI!$B$28:$W$1730,15,0)</f>
        <v>23041.599999999999</v>
      </c>
      <c r="H84" s="2652" t="str">
        <f>VLOOKUP($B84,SNI!$B$28:$W$1730,14,0)</f>
        <v>m2</v>
      </c>
      <c r="I84" s="3183">
        <f>VLOOKUP($B84,SNI!$B$28:$W$1727,16,0)</f>
        <v>0.52513015673735219</v>
      </c>
      <c r="J84" s="2641">
        <f>VLOOKUP($B84,SNI!$B$28:$W$1727,18,0)</f>
        <v>10707.824000000001</v>
      </c>
      <c r="K84" s="2641">
        <f>VLOOKUP($B84,SNI!$B$28:$W$1727,19,0)</f>
        <v>12099.841120000001</v>
      </c>
      <c r="L84" s="2653"/>
      <c r="N84" s="2626"/>
      <c r="O84" s="2645"/>
    </row>
    <row r="85" spans="2:15" s="2625" customFormat="1" ht="15" customHeight="1" x14ac:dyDescent="0.2">
      <c r="B85" s="2646">
        <f>SNI!B1312</f>
        <v>66</v>
      </c>
      <c r="C85" s="2647" t="str">
        <f>VLOOKUP($B85,SNI!$B$28:$W$1730,3,0)</f>
        <v>Pengecatan dinding luar (cat exterior)</v>
      </c>
      <c r="D85" s="2648"/>
      <c r="E85" s="2649"/>
      <c r="F85" s="2650" t="str">
        <f>VLOOKUP($B85,SNI!$B$28:$W$1730,10,0)</f>
        <v>A.4.7.1.10a.</v>
      </c>
      <c r="G85" s="2651">
        <f>VLOOKUP($B85,SNI!$B$28:$W$1730,15,0)</f>
        <v>56348.350000000006</v>
      </c>
      <c r="H85" s="2652" t="str">
        <f>VLOOKUP($B85,SNI!$B$28:$W$1730,14,0)</f>
        <v>m2</v>
      </c>
      <c r="I85" s="3183">
        <f>VLOOKUP($B85,SNI!$B$28:$W$1727,16,0)</f>
        <v>0.35460536078835592</v>
      </c>
      <c r="J85" s="2641">
        <f>VLOOKUP($B85,SNI!$B$28:$W$1727,18,0)</f>
        <v>17682.68</v>
      </c>
      <c r="K85" s="2641">
        <f>VLOOKUP($B85,SNI!$B$28:$W$1727,19,0)</f>
        <v>19981.428400000001</v>
      </c>
      <c r="L85" s="2653"/>
      <c r="N85" s="2626"/>
      <c r="O85" s="2645"/>
    </row>
    <row r="86" spans="2:15" s="2625" customFormat="1" ht="15" customHeight="1" x14ac:dyDescent="0.2">
      <c r="B86" s="2646">
        <f>SNI!B1332</f>
        <v>67</v>
      </c>
      <c r="C86" s="2647" t="str">
        <f>VLOOKUP($B86,SNI!$B$28:$W$1730,3,0)</f>
        <v>Instalasi kabel power (4x16mm)</v>
      </c>
      <c r="D86" s="2648"/>
      <c r="E86" s="2649"/>
      <c r="F86" s="2650" t="str">
        <f>VLOOKUP($B86,SNI!$B$28:$W$1730,10,0)</f>
        <v>An. Dihitung</v>
      </c>
      <c r="G86" s="2651">
        <f>VLOOKUP($B86,SNI!$B$28:$W$1730,15,0)</f>
        <v>490227.9</v>
      </c>
      <c r="H86" s="2652" t="str">
        <f>VLOOKUP($B86,SNI!$B$28:$W$1730,14,0)</f>
        <v>ttk</v>
      </c>
      <c r="I86" s="3183">
        <f>VLOOKUP($B86,SNI!$B$28:$W$1727,16,0)</f>
        <v>0.87737132056335432</v>
      </c>
      <c r="J86" s="2641">
        <f>VLOOKUP($B86,SNI!$B$28:$W$1727,18,0)</f>
        <v>380630</v>
      </c>
      <c r="K86" s="2641">
        <f>VLOOKUP($B86,SNI!$B$28:$W$1727,19,0)</f>
        <v>430111.9</v>
      </c>
      <c r="L86" s="2653"/>
      <c r="N86" s="2626"/>
      <c r="O86" s="2645"/>
    </row>
    <row r="87" spans="2:15" s="2625" customFormat="1" ht="15" customHeight="1" x14ac:dyDescent="0.2">
      <c r="B87" s="2646">
        <f>SNI!B1352</f>
        <v>68</v>
      </c>
      <c r="C87" s="2647" t="str">
        <f>VLOOKUP($B87,SNI!$B$28:$W$1730,3,0)</f>
        <v>Instalasi kabel power (4x70mm)</v>
      </c>
      <c r="D87" s="2648"/>
      <c r="E87" s="2649"/>
      <c r="F87" s="2650" t="str">
        <f>VLOOKUP($B87,SNI!$B$28:$W$1730,10,0)</f>
        <v>An. Dihitung</v>
      </c>
      <c r="G87" s="2651">
        <f>VLOOKUP($B87,SNI!$B$28:$W$1730,15,0)</f>
        <v>841092.9</v>
      </c>
      <c r="H87" s="2652" t="str">
        <f>VLOOKUP($B87,SNI!$B$28:$W$1730,14,0)</f>
        <v>ttk</v>
      </c>
      <c r="I87" s="3183">
        <f>VLOOKUP($B87,SNI!$B$28:$W$1727,16,0)</f>
        <v>0.87338949122029208</v>
      </c>
      <c r="J87" s="2641">
        <f>VLOOKUP($B87,SNI!$B$28:$W$1727,18,0)</f>
        <v>650090</v>
      </c>
      <c r="K87" s="2641">
        <f>VLOOKUP($B87,SNI!$B$28:$W$1727,19,0)</f>
        <v>734601.7</v>
      </c>
      <c r="L87" s="2653"/>
      <c r="N87" s="2626"/>
      <c r="O87" s="2645"/>
    </row>
    <row r="88" spans="2:15" s="2625" customFormat="1" ht="15" customHeight="1" x14ac:dyDescent="0.2">
      <c r="B88" s="2646">
        <f>SNI!B1372</f>
        <v>69</v>
      </c>
      <c r="C88" s="2647" t="str">
        <f>VLOOKUP($B88,SNI!$B$28:$W$1730,3,0)</f>
        <v>Memasang instalasi titik lampu (kabel 2x1,5 mm) + fitting</v>
      </c>
      <c r="D88" s="2648"/>
      <c r="E88" s="2649"/>
      <c r="F88" s="2650" t="str">
        <f>VLOOKUP($B88,SNI!$B$28:$W$1730,10,0)</f>
        <v>An. Dihitung</v>
      </c>
      <c r="G88" s="2651">
        <f>VLOOKUP($B88,SNI!$B$28:$W$1730,15,0)</f>
        <v>125050.32</v>
      </c>
      <c r="H88" s="2652" t="str">
        <f>VLOOKUP($B88,SNI!$B$28:$W$1730,14,0)</f>
        <v>ttk</v>
      </c>
      <c r="I88" s="3183">
        <f>VLOOKUP($B88,SNI!$B$28:$W$1727,16,0)</f>
        <v>0.73794097448131279</v>
      </c>
      <c r="J88" s="2641">
        <f>VLOOKUP($B88,SNI!$B$28:$W$1727,18,0)</f>
        <v>81663.5</v>
      </c>
      <c r="K88" s="2641">
        <f>VLOOKUP($B88,SNI!$B$28:$W$1727,19,0)</f>
        <v>92279.755000000005</v>
      </c>
      <c r="L88" s="2653"/>
      <c r="N88" s="2626"/>
      <c r="O88" s="2645"/>
    </row>
    <row r="89" spans="2:15" s="2625" customFormat="1" ht="15" customHeight="1" x14ac:dyDescent="0.2">
      <c r="B89" s="2646">
        <f>SNI!B1393</f>
        <v>70</v>
      </c>
      <c r="C89" s="2647" t="str">
        <f>VLOOKUP($B89,SNI!$B$28:$W$1730,3,0)</f>
        <v>Memasang instalasi titik lampu (kabel 2x1,5 mm) tanpa fitting</v>
      </c>
      <c r="D89" s="2648"/>
      <c r="E89" s="2649"/>
      <c r="F89" s="2650" t="str">
        <f>VLOOKUP($B89,SNI!$B$28:$W$1730,10,0)</f>
        <v>An. Dihitung</v>
      </c>
      <c r="G89" s="2651">
        <f>VLOOKUP($B89,SNI!$B$28:$W$1730,15,0)</f>
        <v>115332.32</v>
      </c>
      <c r="H89" s="2652" t="str">
        <f>VLOOKUP($B89,SNI!$B$28:$W$1730,14,0)</f>
        <v>ttk</v>
      </c>
      <c r="I89" s="3183">
        <f>VLOOKUP($B89,SNI!$B$28:$W$1727,16,0)</f>
        <v>0.80012051261953288</v>
      </c>
      <c r="J89" s="2641">
        <f>VLOOKUP($B89,SNI!$B$28:$W$1727,18,0)</f>
        <v>81663.5</v>
      </c>
      <c r="K89" s="2641">
        <f>VLOOKUP($B89,SNI!$B$28:$W$1727,19,0)</f>
        <v>92279.755000000005</v>
      </c>
      <c r="L89" s="2653"/>
      <c r="N89" s="2626"/>
      <c r="O89" s="2645"/>
    </row>
    <row r="90" spans="2:15" s="2625" customFormat="1" ht="15" customHeight="1" x14ac:dyDescent="0.2">
      <c r="B90" s="2646">
        <f>SNI!B1413</f>
        <v>71</v>
      </c>
      <c r="C90" s="2647" t="str">
        <f>VLOOKUP($B90,SNI!$B$28:$W$1730,3,0)</f>
        <v>Memasang Instalasi titik saklar (kabel 2x1,5 mm)</v>
      </c>
      <c r="D90" s="2648"/>
      <c r="E90" s="2649"/>
      <c r="F90" s="2650" t="str">
        <f>VLOOKUP($B90,SNI!$B$28:$W$1730,10,0)</f>
        <v>An. Dihitung</v>
      </c>
      <c r="G90" s="2651">
        <f>VLOOKUP($B90,SNI!$B$28:$W$1730,15,0)</f>
        <v>145842.32</v>
      </c>
      <c r="H90" s="2652" t="str">
        <f>VLOOKUP($B90,SNI!$B$28:$W$1730,14,0)</f>
        <v>ttk</v>
      </c>
      <c r="I90" s="3183">
        <f>VLOOKUP($B90,SNI!$B$28:$W$1727,16,0)</f>
        <v>0.8179817764829852</v>
      </c>
      <c r="J90" s="2641">
        <f>VLOOKUP($B90,SNI!$B$28:$W$1727,18,0)</f>
        <v>105572</v>
      </c>
      <c r="K90" s="2641">
        <f>VLOOKUP($B90,SNI!$B$28:$W$1727,19,0)</f>
        <v>119296.36</v>
      </c>
      <c r="L90" s="2653"/>
      <c r="N90" s="2626"/>
      <c r="O90" s="2645"/>
    </row>
    <row r="91" spans="2:15" s="2625" customFormat="1" ht="15" customHeight="1" x14ac:dyDescent="0.2">
      <c r="B91" s="2646">
        <f>SNI!B1433</f>
        <v>72</v>
      </c>
      <c r="C91" s="2647" t="str">
        <f>VLOOKUP($B91,SNI!$B$28:$W$1730,3,0)</f>
        <v>Memasang Instalasi titik stop kontak (kabel 3x2,5 mm)</v>
      </c>
      <c r="D91" s="2648"/>
      <c r="E91" s="2649"/>
      <c r="F91" s="2650" t="str">
        <f>VLOOKUP($B91,SNI!$B$28:$W$1730,10,0)</f>
        <v>An. Dihitung</v>
      </c>
      <c r="G91" s="2651">
        <f>VLOOKUP($B91,SNI!$B$28:$W$1730,15,0)</f>
        <v>145842.32</v>
      </c>
      <c r="H91" s="2652" t="str">
        <f>VLOOKUP($B91,SNI!$B$28:$W$1730,14,0)</f>
        <v>ttk</v>
      </c>
      <c r="I91" s="3183">
        <f>VLOOKUP($B91,SNI!$B$28:$W$1727,16,0)</f>
        <v>0.8179817764829852</v>
      </c>
      <c r="J91" s="2641">
        <f>VLOOKUP($B91,SNI!$B$28:$W$1727,18,0)</f>
        <v>105572</v>
      </c>
      <c r="K91" s="2641">
        <f>VLOOKUP($B91,SNI!$B$28:$W$1727,19,0)</f>
        <v>119296.36</v>
      </c>
      <c r="L91" s="2653"/>
      <c r="N91" s="2626"/>
      <c r="O91" s="2645"/>
    </row>
    <row r="92" spans="2:15" s="2625" customFormat="1" ht="15" customHeight="1" x14ac:dyDescent="0.2">
      <c r="B92" s="2646">
        <f>SNI!B1453</f>
        <v>73</v>
      </c>
      <c r="C92" s="2647" t="str">
        <f>VLOOKUP($B92,SNI!$B$28:$W$1730,3,0)</f>
        <v>Instalasi titik Telephone 2 pair</v>
      </c>
      <c r="D92" s="2648"/>
      <c r="E92" s="2649"/>
      <c r="F92" s="2650" t="str">
        <f>VLOOKUP($B92,SNI!$B$28:$W$1730,10,0)</f>
        <v>An. Dihitung</v>
      </c>
      <c r="G92" s="2651">
        <f>VLOOKUP($B92,SNI!$B$28:$W$1730,15,0)</f>
        <v>93371.9</v>
      </c>
      <c r="H92" s="2652" t="str">
        <f>VLOOKUP($B92,SNI!$B$28:$W$1730,14,0)</f>
        <v>ttk</v>
      </c>
      <c r="I92" s="3183">
        <f>VLOOKUP($B92,SNI!$B$28:$W$1727,16,0)</f>
        <v>0.9071039574004599</v>
      </c>
      <c r="J92" s="2641">
        <f>VLOOKUP($B92,SNI!$B$28:$W$1727,18,0)</f>
        <v>74954</v>
      </c>
      <c r="K92" s="2641">
        <f>VLOOKUP($B92,SNI!$B$28:$W$1727,19,0)</f>
        <v>84698.02</v>
      </c>
      <c r="L92" s="2653"/>
      <c r="N92" s="2626"/>
      <c r="O92" s="2645"/>
    </row>
    <row r="93" spans="2:15" s="2625" customFormat="1" ht="15" customHeight="1" x14ac:dyDescent="0.2">
      <c r="B93" s="2646">
        <f>SNI!B1473</f>
        <v>74</v>
      </c>
      <c r="C93" s="2647" t="str">
        <f>VLOOKUP($B93,SNI!$B$28:$W$1730,3,0)</f>
        <v>Instalasi titik Data CAT 6</v>
      </c>
      <c r="D93" s="2648"/>
      <c r="E93" s="2649"/>
      <c r="F93" s="2650" t="str">
        <f>VLOOKUP($B93,SNI!$B$28:$W$1730,10,0)</f>
        <v>An. Dihitung</v>
      </c>
      <c r="G93" s="2651">
        <f>VLOOKUP($B93,SNI!$B$28:$W$1730,15,0)</f>
        <v>140437.33000000002</v>
      </c>
      <c r="H93" s="2652" t="str">
        <f>VLOOKUP($B93,SNI!$B$28:$W$1730,14,0)</f>
        <v>ttk</v>
      </c>
      <c r="I93" s="3183">
        <f>VLOOKUP($B93,SNI!$B$28:$W$1727,16,0)</f>
        <v>0.88809056240536555</v>
      </c>
      <c r="J93" s="2641">
        <f>VLOOKUP($B93,SNI!$B$28:$W$1727,18,0)</f>
        <v>110372.62333</v>
      </c>
      <c r="K93" s="2641">
        <f>VLOOKUP($B93,SNI!$B$28:$W$1727,19,0)</f>
        <v>124721.0643629</v>
      </c>
      <c r="L93" s="2653"/>
      <c r="N93" s="2626"/>
      <c r="O93" s="2645"/>
    </row>
    <row r="94" spans="2:15" s="2625" customFormat="1" ht="15" customHeight="1" x14ac:dyDescent="0.2">
      <c r="B94" s="2646">
        <f>SNI!B1493</f>
        <v>75</v>
      </c>
      <c r="C94" s="2647" t="str">
        <f>VLOOKUP($B94,SNI!$B$28:$W$1730,3,0)</f>
        <v>Memasang saklar ganda</v>
      </c>
      <c r="D94" s="2648"/>
      <c r="E94" s="2649"/>
      <c r="F94" s="2650" t="str">
        <f>VLOOKUP($B94,SNI!$B$28:$W$1730,10,0)</f>
        <v>An. Dihitung</v>
      </c>
      <c r="G94" s="2651">
        <f>VLOOKUP($B94,SNI!$B$28:$W$1730,15,0)</f>
        <v>49855.6</v>
      </c>
      <c r="H94" s="2652" t="str">
        <f>VLOOKUP($B94,SNI!$B$28:$W$1730,14,0)</f>
        <v>bh</v>
      </c>
      <c r="I94" s="3183">
        <f>VLOOKUP($B94,SNI!$B$28:$W$1727,16,0)</f>
        <v>0.55736627379873072</v>
      </c>
      <c r="J94" s="2641">
        <f>VLOOKUP($B94,SNI!$B$28:$W$1727,18,0)</f>
        <v>24591</v>
      </c>
      <c r="K94" s="2641">
        <f>VLOOKUP($B94,SNI!$B$28:$W$1727,19,0)</f>
        <v>27787.83</v>
      </c>
      <c r="L94" s="2653"/>
      <c r="N94" s="2626"/>
      <c r="O94" s="2645"/>
    </row>
    <row r="95" spans="2:15" s="2625" customFormat="1" ht="15" customHeight="1" x14ac:dyDescent="0.2">
      <c r="B95" s="2646">
        <f>SNI!B1510</f>
        <v>76</v>
      </c>
      <c r="C95" s="2647" t="str">
        <f>VLOOKUP($B95,SNI!$B$28:$W$1730,3,0)</f>
        <v>Memasang saklar tunggal</v>
      </c>
      <c r="D95" s="2648"/>
      <c r="E95" s="2649"/>
      <c r="F95" s="2650" t="str">
        <f>VLOOKUP($B95,SNI!$B$28:$W$1730,10,0)</f>
        <v>An. Dihitung</v>
      </c>
      <c r="G95" s="2651">
        <f>VLOOKUP($B95,SNI!$B$28:$W$1730,15,0)</f>
        <v>41826.949999999997</v>
      </c>
      <c r="H95" s="2652" t="str">
        <f>VLOOKUP($B95,SNI!$B$28:$W$1730,14,0)</f>
        <v>bh</v>
      </c>
      <c r="I95" s="3183">
        <f>VLOOKUP($B95,SNI!$B$28:$W$1727,16,0)</f>
        <v>0.5819465081723626</v>
      </c>
      <c r="J95" s="2641">
        <f>VLOOKUP($B95,SNI!$B$28:$W$1727,18,0)</f>
        <v>21540.75</v>
      </c>
      <c r="K95" s="2641">
        <f>VLOOKUP($B95,SNI!$B$28:$W$1727,19,0)</f>
        <v>24341.047500000001</v>
      </c>
      <c r="L95" s="2653"/>
      <c r="N95" s="2626"/>
      <c r="O95" s="2645"/>
    </row>
    <row r="96" spans="2:15" s="2625" customFormat="1" ht="15" customHeight="1" x14ac:dyDescent="0.2">
      <c r="B96" s="2646">
        <f>SNI!B1527</f>
        <v>77</v>
      </c>
      <c r="C96" s="2647" t="str">
        <f>VLOOKUP($B96,SNI!$B$28:$W$1730,3,0)</f>
        <v>Memasang stop kontak</v>
      </c>
      <c r="D96" s="2648"/>
      <c r="E96" s="2649"/>
      <c r="F96" s="2650" t="str">
        <f>VLOOKUP($B96,SNI!$B$28:$W$1730,10,0)</f>
        <v>An. Dihitung</v>
      </c>
      <c r="G96" s="2651">
        <f>VLOOKUP($B96,SNI!$B$28:$W$1730,15,0)</f>
        <v>37730.699999999997</v>
      </c>
      <c r="H96" s="2652" t="str">
        <f>VLOOKUP($B96,SNI!$B$28:$W$1730,14,0)</f>
        <v>bh</v>
      </c>
      <c r="I96" s="3183">
        <f>VLOOKUP($B96,SNI!$B$28:$W$1727,16,0)</f>
        <v>0.59851752021563343</v>
      </c>
      <c r="J96" s="2641">
        <f>VLOOKUP($B96,SNI!$B$28:$W$1727,18,0)</f>
        <v>19984.5</v>
      </c>
      <c r="K96" s="2641">
        <f>VLOOKUP($B96,SNI!$B$28:$W$1727,19,0)</f>
        <v>22582.485000000001</v>
      </c>
      <c r="L96" s="2653"/>
      <c r="N96" s="2626"/>
      <c r="O96" s="2645"/>
    </row>
    <row r="97" spans="2:15" s="2625" customFormat="1" ht="15" customHeight="1" x14ac:dyDescent="0.2">
      <c r="B97" s="2646">
        <f>SNI!B1544</f>
        <v>78</v>
      </c>
      <c r="C97" s="2647" t="str">
        <f>VLOOKUP($B97,SNI!$B$28:$W$1730,3,0)</f>
        <v xml:space="preserve">Memasang stop kontak AC </v>
      </c>
      <c r="D97" s="2648"/>
      <c r="E97" s="2649"/>
      <c r="F97" s="2650" t="str">
        <f>VLOOKUP($B97,SNI!$B$28:$W$1730,10,0)</f>
        <v>An. Dihitung</v>
      </c>
      <c r="G97" s="2651">
        <f>VLOOKUP($B97,SNI!$B$28:$W$1730,15,0)</f>
        <v>115836.3</v>
      </c>
      <c r="H97" s="2652" t="str">
        <f>VLOOKUP($B97,SNI!$B$28:$W$1730,14,0)</f>
        <v>bh</v>
      </c>
      <c r="I97" s="3183">
        <f>VLOOKUP($B97,SNI!$B$28:$W$1727,16,0)</f>
        <v>0.46296458882060287</v>
      </c>
      <c r="J97" s="2641">
        <f>VLOOKUP($B97,SNI!$B$28:$W$1727,18,0)</f>
        <v>47458.5</v>
      </c>
      <c r="K97" s="2641">
        <f>VLOOKUP($B97,SNI!$B$28:$W$1727,19,0)</f>
        <v>53628.105000000003</v>
      </c>
      <c r="L97" s="2653"/>
      <c r="N97" s="2626"/>
      <c r="O97" s="2645"/>
    </row>
    <row r="98" spans="2:15" s="2625" customFormat="1" ht="15" customHeight="1" x14ac:dyDescent="0.2">
      <c r="B98" s="2646">
        <f>SNI!B1561</f>
        <v>79</v>
      </c>
      <c r="C98" s="2647" t="str">
        <f>VLOOKUP($B98,SNI!$B$28:$W$1730,3,0)</f>
        <v>Memasang stop kontak outlet Telephone</v>
      </c>
      <c r="D98" s="2648"/>
      <c r="E98" s="2649"/>
      <c r="F98" s="2650" t="str">
        <f>VLOOKUP($B98,SNI!$B$28:$W$1730,10,0)</f>
        <v>An. Dihitung</v>
      </c>
      <c r="G98" s="2651">
        <f>VLOOKUP($B98,SNI!$B$28:$W$1730,15,0)</f>
        <v>82122.75</v>
      </c>
      <c r="H98" s="2652" t="str">
        <f>VLOOKUP($B98,SNI!$B$28:$W$1730,14,0)</f>
        <v>bh</v>
      </c>
      <c r="I98" s="3183">
        <f>VLOOKUP($B98,SNI!$B$28:$W$1727,16,0)</f>
        <v>0.48653250773993806</v>
      </c>
      <c r="J98" s="2641">
        <f>VLOOKUP($B98,SNI!$B$28:$W$1727,18,0)</f>
        <v>35358.75</v>
      </c>
      <c r="K98" s="2641">
        <f>VLOOKUP($B98,SNI!$B$28:$W$1727,19,0)</f>
        <v>39955.387499999997</v>
      </c>
      <c r="L98" s="2653"/>
      <c r="N98" s="2626"/>
      <c r="O98" s="2645"/>
    </row>
    <row r="99" spans="2:15" s="2625" customFormat="1" ht="15" customHeight="1" x14ac:dyDescent="0.2">
      <c r="B99" s="2646">
        <f>SNI!B1581</f>
        <v>80</v>
      </c>
      <c r="C99" s="2647" t="str">
        <f>VLOOKUP($B99,SNI!$B$28:$W$1730,3,0)</f>
        <v>Memasang stop kontak outlet Data</v>
      </c>
      <c r="D99" s="2648"/>
      <c r="E99" s="2649"/>
      <c r="F99" s="2650" t="str">
        <f>VLOOKUP($B99,SNI!$B$28:$W$1730,10,0)</f>
        <v>An. Dihitung</v>
      </c>
      <c r="G99" s="2651">
        <f>VLOOKUP($B99,SNI!$B$28:$W$1730,15,0)</f>
        <v>136278</v>
      </c>
      <c r="H99" s="2652" t="str">
        <f>VLOOKUP($B99,SNI!$B$28:$W$1730,14,0)</f>
        <v>bh</v>
      </c>
      <c r="I99" s="3183">
        <f>VLOOKUP($B99,SNI!$B$28:$W$1727,16,0)</f>
        <v>0.45435323383084575</v>
      </c>
      <c r="J99" s="2641">
        <f>VLOOKUP($B99,SNI!$B$28:$W$1727,18,0)</f>
        <v>54795</v>
      </c>
      <c r="K99" s="2641">
        <f>VLOOKUP($B99,SNI!$B$28:$W$1727,19,0)</f>
        <v>61918.35</v>
      </c>
      <c r="L99" s="2653"/>
      <c r="N99" s="2626"/>
      <c r="O99" s="2645"/>
    </row>
    <row r="100" spans="2:15" s="2625" customFormat="1" ht="15" customHeight="1" x14ac:dyDescent="0.2">
      <c r="B100" s="2646">
        <f>SNI!B1601:C1601</f>
        <v>81</v>
      </c>
      <c r="C100" s="2647" t="str">
        <f>VLOOKUP($B100,SNI!$B$28:$W$1730,3,0)</f>
        <v>Memasang downlight LED 10 watt tipe inbow</v>
      </c>
      <c r="D100" s="2648"/>
      <c r="E100" s="2649"/>
      <c r="F100" s="2650" t="str">
        <f>VLOOKUP($B100,SNI!$B$28:$W$1730,10,0)</f>
        <v>An. Dihitung</v>
      </c>
      <c r="G100" s="2651">
        <f>VLOOKUP($B100,SNI!$B$28:$W$1730,15,0)</f>
        <v>124333.9</v>
      </c>
      <c r="H100" s="2652" t="str">
        <f>VLOOKUP($B100,SNI!$B$28:$W$1730,14,0)</f>
        <v>ttk</v>
      </c>
      <c r="I100" s="3183">
        <f>VLOOKUP($B100,SNI!$B$28:$W$1727,16,0)</f>
        <v>0.71568663091884033</v>
      </c>
      <c r="J100" s="2641">
        <f>VLOOKUP($B100,SNI!$B$28:$W$1727,18,0)</f>
        <v>78747</v>
      </c>
      <c r="K100" s="2641">
        <f>VLOOKUP($B100,SNI!$B$28:$W$1727,19,0)</f>
        <v>88984.11</v>
      </c>
      <c r="L100" s="2653"/>
      <c r="N100" s="2626"/>
      <c r="O100" s="2645"/>
    </row>
    <row r="101" spans="2:15" s="2625" customFormat="1" ht="15" customHeight="1" x14ac:dyDescent="0.2">
      <c r="B101" s="2646">
        <f>SNI!B1621</f>
        <v>82</v>
      </c>
      <c r="C101" s="2647" t="str">
        <f>VLOOKUP($B101,SNI!$B$28:$W$1730,3,0)</f>
        <v>Memasang downlight LED 17 watt tipe inbow</v>
      </c>
      <c r="D101" s="2648"/>
      <c r="E101" s="2649"/>
      <c r="F101" s="2650" t="str">
        <f>VLOOKUP($B101,SNI!$B$28:$W$1730,10,0)</f>
        <v>An. Dihitung</v>
      </c>
      <c r="G101" s="2651">
        <f>VLOOKUP($B101,SNI!$B$28:$W$1730,15,0)</f>
        <v>186709.9</v>
      </c>
      <c r="H101" s="2652" t="str">
        <f>VLOOKUP($B101,SNI!$B$28:$W$1730,14,0)</f>
        <v>ttk</v>
      </c>
      <c r="I101" s="3183">
        <f>VLOOKUP($B101,SNI!$B$28:$W$1727,16,0)</f>
        <v>0.68084367245657573</v>
      </c>
      <c r="J101" s="2641">
        <f>VLOOKUP($B101,SNI!$B$28:$W$1727,18,0)</f>
        <v>112495.8</v>
      </c>
      <c r="K101" s="2641">
        <f>VLOOKUP($B101,SNI!$B$28:$W$1727,19,0)</f>
        <v>127120.254</v>
      </c>
      <c r="L101" s="2653"/>
      <c r="N101" s="2626"/>
      <c r="O101" s="2645"/>
    </row>
    <row r="102" spans="2:15" s="2625" customFormat="1" ht="15" customHeight="1" x14ac:dyDescent="0.2">
      <c r="B102" s="2646">
        <f>SNI!B1641</f>
        <v>83</v>
      </c>
      <c r="C102" s="2647" t="str">
        <f>VLOOKUP($B102,SNI!$B$28:$W$1730,3,0)</f>
        <v>Memasang downlight LED 17 watt tipe outbow</v>
      </c>
      <c r="D102" s="2648"/>
      <c r="E102" s="2649"/>
      <c r="F102" s="2650" t="str">
        <f>VLOOKUP($B102,SNI!$B$28:$W$1730,10,0)</f>
        <v>An. Dihitung</v>
      </c>
      <c r="G102" s="2651">
        <f>VLOOKUP($B102,SNI!$B$28:$W$1730,15,0)</f>
        <v>118457.9</v>
      </c>
      <c r="H102" s="2652" t="str">
        <f>VLOOKUP($B102,SNI!$B$28:$W$1730,14,0)</f>
        <v>ttk</v>
      </c>
      <c r="I102" s="3183">
        <f>VLOOKUP($B102,SNI!$B$28:$W$1727,16,0)</f>
        <v>0.67070304302203565</v>
      </c>
      <c r="J102" s="2641">
        <f>VLOOKUP($B102,SNI!$B$28:$W$1727,18,0)</f>
        <v>70309.8</v>
      </c>
      <c r="K102" s="2641">
        <f>VLOOKUP($B102,SNI!$B$28:$W$1727,19,0)</f>
        <v>79450.074000000008</v>
      </c>
      <c r="L102" s="2653"/>
      <c r="N102" s="2626"/>
      <c r="O102" s="2645"/>
    </row>
    <row r="103" spans="2:15" s="2625" customFormat="1" ht="15" customHeight="1" x14ac:dyDescent="0.2">
      <c r="B103" s="2646">
        <f>SNI!B1662</f>
        <v>84</v>
      </c>
      <c r="C103" s="2647" t="str">
        <f>VLOOKUP($B103,SNI!$B$28:$W$1730,3,0)</f>
        <v>Memasang kabel tray galvanis</v>
      </c>
      <c r="D103" s="2648"/>
      <c r="E103" s="2649"/>
      <c r="F103" s="2650" t="str">
        <f>VLOOKUP($B103,SNI!$B$28:$W$1730,10,0)</f>
        <v>An. Dihitung</v>
      </c>
      <c r="G103" s="2651">
        <f>VLOOKUP($B103,SNI!$B$28:$W$1730,15,0)</f>
        <v>274370.78000000003</v>
      </c>
      <c r="H103" s="2652" t="str">
        <f>VLOOKUP($B103,SNI!$B$28:$W$1730,14,0)</f>
        <v>m'</v>
      </c>
      <c r="I103" s="3183">
        <f>VLOOKUP($B103,SNI!$B$28:$W$1727,16,0)</f>
        <v>0.80899051094289265</v>
      </c>
      <c r="J103" s="2641">
        <f>VLOOKUP($B103,SNI!$B$28:$W$1727,18,0)</f>
        <v>196427.75</v>
      </c>
      <c r="K103" s="2641">
        <f>VLOOKUP($B103,SNI!$B$28:$W$1727,19,0)</f>
        <v>221963.35750000001</v>
      </c>
      <c r="L103" s="2653"/>
      <c r="N103" s="2626"/>
      <c r="O103" s="2645"/>
    </row>
    <row r="104" spans="2:15" s="2625" customFormat="1" ht="15" customHeight="1" x14ac:dyDescent="0.2">
      <c r="B104" s="2646">
        <f>SNI!B1684</f>
        <v>85</v>
      </c>
      <c r="C104" s="2647" t="str">
        <f>VLOOKUP($B104,SNI!$B$28:$W$1730,3,0)</f>
        <v>Memasang Exhaust fan</v>
      </c>
      <c r="D104" s="2648"/>
      <c r="E104" s="2649"/>
      <c r="F104" s="2650" t="str">
        <f>VLOOKUP($B104,SNI!$B$28:$W$1730,10,0)</f>
        <v>An. Dihitung</v>
      </c>
      <c r="G104" s="2651">
        <f>VLOOKUP($B104,SNI!$B$28:$W$1730,15,0)</f>
        <v>556977</v>
      </c>
      <c r="H104" s="2652" t="str">
        <f>VLOOKUP($B104,SNI!$B$28:$W$1730,14,0)</f>
        <v>bh</v>
      </c>
      <c r="I104" s="3183">
        <f>VLOOKUP($B104,SNI!$B$28:$W$1727,16,0)</f>
        <v>0.11594643944004869</v>
      </c>
      <c r="J104" s="2641">
        <f>VLOOKUP($B104,SNI!$B$28:$W$1727,18,0)</f>
        <v>57150</v>
      </c>
      <c r="K104" s="2641">
        <f>VLOOKUP($B104,SNI!$B$28:$W$1727,19,0)</f>
        <v>64579.5</v>
      </c>
      <c r="L104" s="2653"/>
      <c r="N104" s="2626"/>
      <c r="O104" s="2645"/>
    </row>
    <row r="105" spans="2:15" s="2625" customFormat="1" ht="15" customHeight="1" x14ac:dyDescent="0.2">
      <c r="B105" s="2646">
        <f>SNI!B1701</f>
        <v>86</v>
      </c>
      <c r="C105" s="2647" t="str">
        <f>VLOOKUP($B105,SNI!$B$28:$W$1730,3,0)</f>
        <v>Memasang paving tb. 8 cm, K.250, polos</v>
      </c>
      <c r="D105" s="2648"/>
      <c r="E105" s="2649"/>
      <c r="F105" s="2650" t="str">
        <f>VLOOKUP($B105,SNI!$B$28:$W$1730,10,0)</f>
        <v>An. Dihitung</v>
      </c>
      <c r="G105" s="2651">
        <f>VLOOKUP($B105,SNI!$B$28:$W$1730,15,0)</f>
        <v>206637.45</v>
      </c>
      <c r="H105" s="2652" t="str">
        <f>VLOOKUP($B105,SNI!$B$28:$W$1730,14,0)</f>
        <v>m2</v>
      </c>
      <c r="I105" s="3183">
        <f>VLOOKUP($B105,SNI!$B$28:$W$1727,16,0)</f>
        <v>1</v>
      </c>
      <c r="J105" s="2641">
        <f>VLOOKUP($B105,SNI!$B$28:$W$1727,18,0)</f>
        <v>182865</v>
      </c>
      <c r="K105" s="2641">
        <f>VLOOKUP($B105,SNI!$B$28:$W$1727,19,0)</f>
        <v>206637.45</v>
      </c>
      <c r="L105" s="2653"/>
      <c r="N105" s="2626"/>
      <c r="O105" s="2645"/>
    </row>
    <row r="106" spans="2:15" s="2625" customFormat="1" ht="15" customHeight="1" x14ac:dyDescent="0.2">
      <c r="B106" s="2654">
        <f>B105+1</f>
        <v>87</v>
      </c>
      <c r="C106" s="2647" t="s">
        <v>2003</v>
      </c>
      <c r="D106" s="2648"/>
      <c r="E106" s="2649"/>
      <c r="F106" s="2650" t="s">
        <v>283</v>
      </c>
      <c r="G106" s="2651">
        <v>550000</v>
      </c>
      <c r="H106" s="2652" t="s">
        <v>247</v>
      </c>
      <c r="I106" s="3183">
        <v>0.2</v>
      </c>
      <c r="J106" s="2641"/>
      <c r="K106" s="2641">
        <f>I106*G106</f>
        <v>110000</v>
      </c>
      <c r="L106" s="2653"/>
      <c r="N106" s="2626"/>
      <c r="O106" s="2645"/>
    </row>
    <row r="107" spans="2:15" s="2625" customFormat="1" ht="15" customHeight="1" x14ac:dyDescent="0.2">
      <c r="B107" s="2654">
        <f>B106+1</f>
        <v>88</v>
      </c>
      <c r="C107" s="2647" t="s">
        <v>1395</v>
      </c>
      <c r="D107" s="2648"/>
      <c r="E107" s="2649"/>
      <c r="F107" s="2650" t="s">
        <v>365</v>
      </c>
      <c r="G107" s="2651">
        <f>K3.!K30</f>
        <v>8258800</v>
      </c>
      <c r="H107" s="2652" t="s">
        <v>273</v>
      </c>
      <c r="I107" s="3183">
        <f>K3.!L28</f>
        <v>0.46616941928609484</v>
      </c>
      <c r="J107" s="2641"/>
      <c r="K107" s="2641">
        <f t="shared" ref="K107:K130" si="0">I107*G107</f>
        <v>3850000</v>
      </c>
      <c r="L107" s="2653"/>
      <c r="N107" s="2626"/>
      <c r="O107" s="2645"/>
    </row>
    <row r="108" spans="2:15" s="2625" customFormat="1" ht="15" customHeight="1" x14ac:dyDescent="0.2">
      <c r="B108" s="2654">
        <f t="shared" ref="B108:B120" si="1">B107+1</f>
        <v>89</v>
      </c>
      <c r="C108" s="2647" t="s">
        <v>427</v>
      </c>
      <c r="D108" s="2648"/>
      <c r="E108" s="2649"/>
      <c r="F108" s="2650" t="s">
        <v>604</v>
      </c>
      <c r="G108" s="2651">
        <v>350000</v>
      </c>
      <c r="H108" s="2652" t="s">
        <v>273</v>
      </c>
      <c r="I108" s="3183">
        <v>0.2</v>
      </c>
      <c r="J108" s="2641"/>
      <c r="K108" s="2641">
        <f t="shared" si="0"/>
        <v>70000</v>
      </c>
      <c r="L108" s="2653"/>
      <c r="N108" s="2626"/>
      <c r="O108" s="2645"/>
    </row>
    <row r="109" spans="2:15" s="2625" customFormat="1" ht="15" customHeight="1" x14ac:dyDescent="0.2">
      <c r="B109" s="2654">
        <f t="shared" si="1"/>
        <v>90</v>
      </c>
      <c r="C109" s="2647" t="s">
        <v>585</v>
      </c>
      <c r="D109" s="2648"/>
      <c r="E109" s="2649"/>
      <c r="F109" s="2650" t="s">
        <v>283</v>
      </c>
      <c r="G109" s="2651">
        <v>15000</v>
      </c>
      <c r="H109" s="2652" t="s">
        <v>247</v>
      </c>
      <c r="I109" s="3183">
        <v>0.5</v>
      </c>
      <c r="J109" s="2641"/>
      <c r="K109" s="2641">
        <f t="shared" si="0"/>
        <v>7500</v>
      </c>
      <c r="L109" s="2653"/>
      <c r="N109" s="2626"/>
      <c r="O109" s="2645"/>
    </row>
    <row r="110" spans="2:15" s="2625" customFormat="1" ht="15" customHeight="1" x14ac:dyDescent="0.2">
      <c r="B110" s="2654">
        <f t="shared" si="1"/>
        <v>91</v>
      </c>
      <c r="C110" s="2647" t="s">
        <v>1966</v>
      </c>
      <c r="D110" s="2648"/>
      <c r="E110" s="2649"/>
      <c r="F110" s="2650" t="s">
        <v>604</v>
      </c>
      <c r="G110" s="2651">
        <v>640000</v>
      </c>
      <c r="H110" s="2652" t="s">
        <v>247</v>
      </c>
      <c r="I110" s="3183">
        <v>0.2</v>
      </c>
      <c r="J110" s="2641"/>
      <c r="K110" s="2641">
        <f t="shared" si="0"/>
        <v>128000</v>
      </c>
      <c r="L110" s="2653"/>
      <c r="N110" s="2626"/>
      <c r="O110" s="2645"/>
    </row>
    <row r="111" spans="2:15" s="2625" customFormat="1" ht="15" customHeight="1" x14ac:dyDescent="0.2">
      <c r="B111" s="2654">
        <f t="shared" si="1"/>
        <v>92</v>
      </c>
      <c r="C111" s="2647" t="s">
        <v>592</v>
      </c>
      <c r="D111" s="2648"/>
      <c r="E111" s="2649"/>
      <c r="F111" s="2650" t="s">
        <v>604</v>
      </c>
      <c r="G111" s="2651">
        <v>45000</v>
      </c>
      <c r="H111" s="2652" t="s">
        <v>338</v>
      </c>
      <c r="I111" s="3183">
        <v>0.2</v>
      </c>
      <c r="J111" s="2641"/>
      <c r="K111" s="2641">
        <f t="shared" si="0"/>
        <v>9000</v>
      </c>
      <c r="L111" s="2653"/>
      <c r="N111" s="2626"/>
      <c r="O111" s="2645"/>
    </row>
    <row r="112" spans="2:15" s="2625" customFormat="1" ht="15" customHeight="1" x14ac:dyDescent="0.2">
      <c r="B112" s="2654">
        <f t="shared" si="1"/>
        <v>93</v>
      </c>
      <c r="C112" s="2647" t="s">
        <v>594</v>
      </c>
      <c r="D112" s="2648"/>
      <c r="E112" s="2649"/>
      <c r="F112" s="2650" t="s">
        <v>604</v>
      </c>
      <c r="G112" s="2651">
        <v>52000</v>
      </c>
      <c r="H112" s="2652" t="s">
        <v>338</v>
      </c>
      <c r="I112" s="3183">
        <v>0.2</v>
      </c>
      <c r="J112" s="2641"/>
      <c r="K112" s="2641">
        <f t="shared" si="0"/>
        <v>10400</v>
      </c>
      <c r="L112" s="2653"/>
      <c r="N112" s="2626"/>
      <c r="O112" s="2645"/>
    </row>
    <row r="113" spans="2:15" s="2625" customFormat="1" ht="15" customHeight="1" x14ac:dyDescent="0.2">
      <c r="B113" s="2654">
        <f t="shared" si="1"/>
        <v>94</v>
      </c>
      <c r="C113" s="2655" t="s">
        <v>1688</v>
      </c>
      <c r="D113" s="2656"/>
      <c r="E113" s="2657"/>
      <c r="F113" s="2658" t="s">
        <v>604</v>
      </c>
      <c r="G113" s="2659">
        <v>310000</v>
      </c>
      <c r="H113" s="2652" t="s">
        <v>338</v>
      </c>
      <c r="I113" s="3183">
        <v>0.60189999999999999</v>
      </c>
      <c r="J113" s="2641"/>
      <c r="K113" s="2641">
        <f t="shared" si="0"/>
        <v>186589</v>
      </c>
      <c r="L113" s="2653"/>
      <c r="N113" s="2626"/>
      <c r="O113" s="2645"/>
    </row>
    <row r="114" spans="2:15" s="2625" customFormat="1" ht="15" customHeight="1" x14ac:dyDescent="0.2">
      <c r="B114" s="2654">
        <f t="shared" si="1"/>
        <v>95</v>
      </c>
      <c r="C114" s="2655" t="s">
        <v>1826</v>
      </c>
      <c r="D114" s="2656"/>
      <c r="E114" s="2657"/>
      <c r="F114" s="2658" t="s">
        <v>604</v>
      </c>
      <c r="G114" s="2659">
        <v>16000000</v>
      </c>
      <c r="H114" s="2652" t="s">
        <v>275</v>
      </c>
      <c r="I114" s="3183">
        <v>0.25</v>
      </c>
      <c r="J114" s="2641"/>
      <c r="K114" s="2641">
        <f t="shared" si="0"/>
        <v>4000000</v>
      </c>
      <c r="L114" s="2653"/>
      <c r="N114" s="2626"/>
      <c r="O114" s="2645"/>
    </row>
    <row r="115" spans="2:15" s="2625" customFormat="1" ht="15" customHeight="1" x14ac:dyDescent="0.2">
      <c r="B115" s="2654">
        <f t="shared" si="1"/>
        <v>96</v>
      </c>
      <c r="C115" s="2660" t="s">
        <v>1967</v>
      </c>
      <c r="D115" s="2661"/>
      <c r="E115" s="2662"/>
      <c r="F115" s="2663" t="s">
        <v>604</v>
      </c>
      <c r="G115" s="2664">
        <v>159000</v>
      </c>
      <c r="H115" s="2665" t="s">
        <v>268</v>
      </c>
      <c r="I115" s="3183">
        <v>0.2</v>
      </c>
      <c r="J115" s="2641"/>
      <c r="K115" s="2641">
        <f t="shared" si="0"/>
        <v>31800</v>
      </c>
      <c r="L115" s="2653"/>
      <c r="N115" s="2626"/>
      <c r="O115" s="2645"/>
    </row>
    <row r="116" spans="2:15" s="2625" customFormat="1" ht="15" customHeight="1" x14ac:dyDescent="0.2">
      <c r="B116" s="2654">
        <f t="shared" si="1"/>
        <v>97</v>
      </c>
      <c r="C116" s="2666" t="s">
        <v>1888</v>
      </c>
      <c r="D116" s="2667"/>
      <c r="E116" s="2668"/>
      <c r="F116" s="2663" t="s">
        <v>604</v>
      </c>
      <c r="G116" s="2669">
        <v>4500000</v>
      </c>
      <c r="H116" s="2665" t="s">
        <v>275</v>
      </c>
      <c r="I116" s="3183">
        <v>0.3</v>
      </c>
      <c r="J116" s="2641"/>
      <c r="K116" s="2641">
        <f t="shared" si="0"/>
        <v>1350000</v>
      </c>
      <c r="L116" s="2653"/>
      <c r="N116" s="2626"/>
      <c r="O116" s="2645"/>
    </row>
    <row r="117" spans="2:15" s="2625" customFormat="1" ht="15" customHeight="1" x14ac:dyDescent="0.2">
      <c r="B117" s="2654">
        <f t="shared" si="1"/>
        <v>98</v>
      </c>
      <c r="C117" s="2666" t="s">
        <v>1885</v>
      </c>
      <c r="D117" s="2667"/>
      <c r="E117" s="2668"/>
      <c r="F117" s="2663" t="s">
        <v>604</v>
      </c>
      <c r="G117" s="2669">
        <v>5000000</v>
      </c>
      <c r="H117" s="2665" t="s">
        <v>275</v>
      </c>
      <c r="I117" s="3183">
        <v>0.3</v>
      </c>
      <c r="J117" s="2641"/>
      <c r="K117" s="2641">
        <f t="shared" si="0"/>
        <v>1500000</v>
      </c>
      <c r="L117" s="2653"/>
      <c r="N117" s="2626"/>
      <c r="O117" s="2645"/>
    </row>
    <row r="118" spans="2:15" s="2625" customFormat="1" ht="15" customHeight="1" x14ac:dyDescent="0.2">
      <c r="B118" s="2670">
        <f t="shared" si="1"/>
        <v>99</v>
      </c>
      <c r="C118" s="2666" t="s">
        <v>1827</v>
      </c>
      <c r="D118" s="2667"/>
      <c r="E118" s="2668"/>
      <c r="F118" s="2663" t="s">
        <v>604</v>
      </c>
      <c r="G118" s="2669">
        <v>850000</v>
      </c>
      <c r="H118" s="2665" t="s">
        <v>268</v>
      </c>
      <c r="I118" s="3183">
        <v>0.5</v>
      </c>
      <c r="J118" s="2641"/>
      <c r="K118" s="2641">
        <f t="shared" si="0"/>
        <v>425000</v>
      </c>
      <c r="L118" s="2653"/>
      <c r="N118" s="2626"/>
      <c r="O118" s="2645"/>
    </row>
    <row r="119" spans="2:15" s="2625" customFormat="1" ht="15" customHeight="1" x14ac:dyDescent="0.2">
      <c r="B119" s="2670">
        <f t="shared" si="1"/>
        <v>100</v>
      </c>
      <c r="C119" s="2666" t="s">
        <v>1851</v>
      </c>
      <c r="D119" s="2667"/>
      <c r="E119" s="2668"/>
      <c r="F119" s="2663" t="s">
        <v>604</v>
      </c>
      <c r="G119" s="2669">
        <v>25000000</v>
      </c>
      <c r="H119" s="2665" t="s">
        <v>275</v>
      </c>
      <c r="I119" s="3183">
        <v>0.2</v>
      </c>
      <c r="J119" s="2641"/>
      <c r="K119" s="2641">
        <f t="shared" si="0"/>
        <v>5000000</v>
      </c>
      <c r="L119" s="2653"/>
      <c r="N119" s="2626"/>
      <c r="O119" s="2645"/>
    </row>
    <row r="120" spans="2:15" s="2625" customFormat="1" ht="15" customHeight="1" x14ac:dyDescent="0.2">
      <c r="B120" s="2670">
        <f t="shared" si="1"/>
        <v>101</v>
      </c>
      <c r="C120" s="2666" t="s">
        <v>1852</v>
      </c>
      <c r="D120" s="2667"/>
      <c r="E120" s="2668"/>
      <c r="F120" s="2663" t="s">
        <v>604</v>
      </c>
      <c r="G120" s="2669">
        <v>10887500</v>
      </c>
      <c r="H120" s="2665" t="s">
        <v>275</v>
      </c>
      <c r="I120" s="3183">
        <v>0.2</v>
      </c>
      <c r="J120" s="2641"/>
      <c r="K120" s="2641">
        <f t="shared" si="0"/>
        <v>2177500</v>
      </c>
      <c r="L120" s="2653"/>
      <c r="N120" s="2626"/>
      <c r="O120" s="2645"/>
    </row>
    <row r="121" spans="2:15" s="2625" customFormat="1" ht="15" customHeight="1" x14ac:dyDescent="0.2">
      <c r="B121" s="2670"/>
      <c r="C121" s="2666" t="s">
        <v>1853</v>
      </c>
      <c r="D121" s="2667"/>
      <c r="E121" s="2668"/>
      <c r="F121" s="2671"/>
      <c r="G121" s="2669"/>
      <c r="H121" s="2665"/>
      <c r="I121" s="3183"/>
      <c r="J121" s="2641"/>
      <c r="K121" s="2641">
        <f t="shared" si="0"/>
        <v>0</v>
      </c>
      <c r="L121" s="2653"/>
      <c r="N121" s="2626"/>
      <c r="O121" s="2645"/>
    </row>
    <row r="122" spans="2:15" s="2625" customFormat="1" ht="15" customHeight="1" x14ac:dyDescent="0.2">
      <c r="B122" s="2670"/>
      <c r="C122" s="2666" t="s">
        <v>1855</v>
      </c>
      <c r="D122" s="2667"/>
      <c r="E122" s="2668"/>
      <c r="F122" s="2671"/>
      <c r="G122" s="2669"/>
      <c r="H122" s="2665"/>
      <c r="I122" s="3183"/>
      <c r="J122" s="2641"/>
      <c r="K122" s="2641">
        <f t="shared" si="0"/>
        <v>0</v>
      </c>
      <c r="L122" s="2653"/>
      <c r="N122" s="2626"/>
      <c r="O122" s="2645"/>
    </row>
    <row r="123" spans="2:15" s="2625" customFormat="1" ht="15" customHeight="1" x14ac:dyDescent="0.2">
      <c r="B123" s="2670">
        <f>B120+1</f>
        <v>102</v>
      </c>
      <c r="C123" s="2666" t="s">
        <v>1862</v>
      </c>
      <c r="D123" s="2667"/>
      <c r="E123" s="2668"/>
      <c r="F123" s="2663" t="s">
        <v>604</v>
      </c>
      <c r="G123" s="2669">
        <v>2250000</v>
      </c>
      <c r="H123" s="2665" t="s">
        <v>275</v>
      </c>
      <c r="I123" s="3183">
        <v>0.2</v>
      </c>
      <c r="J123" s="2641"/>
      <c r="K123" s="2641">
        <f t="shared" si="0"/>
        <v>450000</v>
      </c>
      <c r="L123" s="2653"/>
      <c r="N123" s="2626"/>
      <c r="O123" s="2645"/>
    </row>
    <row r="124" spans="2:15" s="2625" customFormat="1" ht="15" customHeight="1" x14ac:dyDescent="0.2">
      <c r="B124" s="2670">
        <f t="shared" ref="B124" si="2">B123+1</f>
        <v>103</v>
      </c>
      <c r="C124" s="2666" t="s">
        <v>1866</v>
      </c>
      <c r="D124" s="2667"/>
      <c r="E124" s="2668"/>
      <c r="F124" s="2663" t="s">
        <v>604</v>
      </c>
      <c r="G124" s="2669">
        <f>G125</f>
        <v>1564.5</v>
      </c>
      <c r="H124" s="2665" t="s">
        <v>1867</v>
      </c>
      <c r="I124" s="3183">
        <v>0.2</v>
      </c>
      <c r="J124" s="2641"/>
      <c r="K124" s="2641">
        <f t="shared" si="0"/>
        <v>312.90000000000003</v>
      </c>
      <c r="L124" s="2653"/>
      <c r="N124" s="2626"/>
      <c r="O124" s="2645"/>
    </row>
    <row r="125" spans="2:15" s="2625" customFormat="1" ht="15" customHeight="1" x14ac:dyDescent="0.2">
      <c r="B125" s="2670"/>
      <c r="C125" s="2666" t="s">
        <v>1868</v>
      </c>
      <c r="D125" s="2667"/>
      <c r="E125" s="2668"/>
      <c r="F125" s="2671"/>
      <c r="G125" s="2669">
        <f>1490*1.05</f>
        <v>1564.5</v>
      </c>
      <c r="H125" s="2665"/>
      <c r="I125" s="2643"/>
      <c r="J125" s="2641"/>
      <c r="K125" s="2641">
        <f t="shared" si="0"/>
        <v>0</v>
      </c>
      <c r="L125" s="2653"/>
      <c r="N125" s="2626"/>
      <c r="O125" s="2645"/>
    </row>
    <row r="126" spans="2:15" s="2625" customFormat="1" ht="15" customHeight="1" x14ac:dyDescent="0.2">
      <c r="B126" s="2670"/>
      <c r="C126" s="2666" t="s">
        <v>1869</v>
      </c>
      <c r="D126" s="2667"/>
      <c r="E126" s="2668"/>
      <c r="F126" s="2671"/>
      <c r="G126" s="2669">
        <v>1350</v>
      </c>
      <c r="H126" s="2665"/>
      <c r="I126" s="2643"/>
      <c r="J126" s="2641"/>
      <c r="K126" s="2641">
        <f t="shared" si="0"/>
        <v>0</v>
      </c>
      <c r="L126" s="2653"/>
      <c r="N126" s="2626"/>
      <c r="O126" s="2645"/>
    </row>
    <row r="127" spans="2:15" s="2625" customFormat="1" ht="15" customHeight="1" x14ac:dyDescent="0.2">
      <c r="B127" s="2670"/>
      <c r="C127" s="2666" t="s">
        <v>1870</v>
      </c>
      <c r="D127" s="2667"/>
      <c r="E127" s="2668"/>
      <c r="F127" s="2671"/>
      <c r="G127" s="2669"/>
      <c r="H127" s="2665"/>
      <c r="I127" s="2643"/>
      <c r="J127" s="2641"/>
      <c r="K127" s="2641">
        <f t="shared" si="0"/>
        <v>0</v>
      </c>
      <c r="L127" s="2653"/>
      <c r="N127" s="2626"/>
      <c r="O127" s="2645"/>
    </row>
    <row r="128" spans="2:15" s="2625" customFormat="1" ht="15" customHeight="1" x14ac:dyDescent="0.2">
      <c r="B128" s="2670"/>
      <c r="C128" s="2666" t="s">
        <v>1871</v>
      </c>
      <c r="D128" s="2667"/>
      <c r="E128" s="2668"/>
      <c r="F128" s="2671"/>
      <c r="G128" s="2669"/>
      <c r="H128" s="2665"/>
      <c r="I128" s="2643"/>
      <c r="J128" s="2641"/>
      <c r="K128" s="2641">
        <f t="shared" si="0"/>
        <v>0</v>
      </c>
      <c r="L128" s="2653"/>
      <c r="N128" s="2626"/>
      <c r="O128" s="2645"/>
    </row>
    <row r="129" spans="1:15" s="2625" customFormat="1" ht="15" customHeight="1" x14ac:dyDescent="0.2">
      <c r="B129" s="2670">
        <f>B124+1</f>
        <v>104</v>
      </c>
      <c r="C129" s="2666" t="s">
        <v>1884</v>
      </c>
      <c r="D129" s="2667"/>
      <c r="E129" s="2668"/>
      <c r="F129" s="2663" t="s">
        <v>604</v>
      </c>
      <c r="G129" s="2669">
        <v>4950000</v>
      </c>
      <c r="H129" s="2665" t="s">
        <v>275</v>
      </c>
      <c r="I129" s="3183">
        <v>0.1082</v>
      </c>
      <c r="J129" s="2641"/>
      <c r="K129" s="2641">
        <f t="shared" si="0"/>
        <v>535590</v>
      </c>
      <c r="L129" s="2653"/>
      <c r="N129" s="2626"/>
      <c r="O129" s="2645"/>
    </row>
    <row r="130" spans="1:15" s="2625" customFormat="1" ht="15" customHeight="1" x14ac:dyDescent="0.2">
      <c r="A130" s="3172"/>
      <c r="B130" s="2670">
        <f t="shared" ref="B130:B131" si="3">B129+1</f>
        <v>105</v>
      </c>
      <c r="C130" s="2666" t="s">
        <v>1392</v>
      </c>
      <c r="D130" s="2667"/>
      <c r="E130" s="2668"/>
      <c r="F130" s="2663" t="s">
        <v>604</v>
      </c>
      <c r="G130" s="2669">
        <v>8200000</v>
      </c>
      <c r="H130" s="2665" t="s">
        <v>275</v>
      </c>
      <c r="I130" s="3183">
        <v>0.2</v>
      </c>
      <c r="J130" s="2641"/>
      <c r="K130" s="2641">
        <f t="shared" si="0"/>
        <v>1640000</v>
      </c>
      <c r="L130" s="2653"/>
      <c r="N130" s="2626"/>
      <c r="O130" s="2645"/>
    </row>
    <row r="131" spans="1:15" s="2625" customFormat="1" ht="15" customHeight="1" x14ac:dyDescent="0.2">
      <c r="B131" s="2670">
        <f t="shared" si="3"/>
        <v>106</v>
      </c>
      <c r="C131" s="2672" t="s">
        <v>1889</v>
      </c>
      <c r="D131" s="2673"/>
      <c r="E131" s="2674"/>
      <c r="F131" s="2663" t="s">
        <v>604</v>
      </c>
      <c r="G131" s="2669">
        <v>3100000</v>
      </c>
      <c r="H131" s="2665" t="s">
        <v>1890</v>
      </c>
      <c r="I131" s="3183">
        <v>0.75</v>
      </c>
      <c r="J131" s="2641"/>
      <c r="K131" s="2641">
        <f t="shared" ref="K131" si="4">I131*G131</f>
        <v>2325000</v>
      </c>
      <c r="L131" s="2675"/>
      <c r="N131" s="2626"/>
      <c r="O131" s="2645"/>
    </row>
    <row r="132" spans="1:15" s="2625" customFormat="1" ht="15" customHeight="1" x14ac:dyDescent="0.2">
      <c r="B132" s="2670"/>
      <c r="C132" s="2666"/>
      <c r="D132" s="2667"/>
      <c r="E132" s="2668"/>
      <c r="F132" s="2671"/>
      <c r="G132" s="2669"/>
      <c r="H132" s="2665"/>
      <c r="I132" s="2676"/>
      <c r="J132" s="2671"/>
      <c r="K132" s="2677"/>
      <c r="L132" s="2653"/>
      <c r="N132" s="2626"/>
      <c r="O132" s="2645"/>
    </row>
    <row r="133" spans="1:15" s="2625" customFormat="1" ht="15" customHeight="1" thickBot="1" x14ac:dyDescent="0.25">
      <c r="B133" s="2678"/>
      <c r="C133" s="2679"/>
      <c r="D133" s="2680"/>
      <c r="E133" s="2681"/>
      <c r="F133" s="2682"/>
      <c r="G133" s="2683"/>
      <c r="H133" s="2684"/>
      <c r="I133" s="2685"/>
      <c r="J133" s="2686"/>
      <c r="K133" s="2684"/>
      <c r="L133" s="2687"/>
      <c r="N133" s="2626"/>
      <c r="O133" s="2645"/>
    </row>
    <row r="134" spans="1:15" s="2625" customFormat="1" ht="15" customHeight="1" x14ac:dyDescent="0.2">
      <c r="B134" s="2626"/>
      <c r="N134" s="2626"/>
    </row>
    <row r="135" spans="1:15" s="2625" customFormat="1" ht="15" customHeight="1" x14ac:dyDescent="0.2">
      <c r="B135" s="2626"/>
      <c r="H135" s="2625" t="str">
        <f>'data primer'!$E$11</f>
        <v>Karanganyar,                               2022</v>
      </c>
      <c r="N135" s="2626"/>
    </row>
    <row r="136" spans="1:15" ht="15" customHeight="1" x14ac:dyDescent="0.2">
      <c r="H136" s="2625" t="str">
        <f>'data primer'!$E$12</f>
        <v>PEJABAT PENANDATANGAN KONTRAK</v>
      </c>
    </row>
    <row r="137" spans="1:15" ht="15" customHeight="1" x14ac:dyDescent="0.2">
      <c r="H137" s="2615"/>
    </row>
    <row r="138" spans="1:15" ht="15" customHeight="1" x14ac:dyDescent="0.2">
      <c r="H138" s="2625"/>
    </row>
    <row r="139" spans="1:15" ht="15" customHeight="1" x14ac:dyDescent="0.2">
      <c r="H139" s="2625"/>
    </row>
    <row r="140" spans="1:15" ht="15" customHeight="1" x14ac:dyDescent="0.2">
      <c r="H140" s="2625"/>
    </row>
    <row r="141" spans="1:15" ht="15" customHeight="1" x14ac:dyDescent="0.2">
      <c r="H141" s="2625"/>
    </row>
    <row r="142" spans="1:15" ht="15" customHeight="1" x14ac:dyDescent="0.2">
      <c r="H142" s="2625"/>
    </row>
    <row r="143" spans="1:15" ht="15" customHeight="1" x14ac:dyDescent="0.2">
      <c r="H143" s="2688" t="str">
        <f>'data primer'!$E$15</f>
        <v>FERIANA DWI KURNIAWATI, SP, M.Si</v>
      </c>
    </row>
    <row r="144" spans="1:15" ht="15" customHeight="1" x14ac:dyDescent="0.2">
      <c r="H144" s="2625" t="str">
        <f>'data primer'!$E$16</f>
        <v>NIP. 19810226 200501 2 015</v>
      </c>
    </row>
    <row r="145" spans="7:7" ht="15" customHeight="1" x14ac:dyDescent="0.2">
      <c r="G145" s="2625"/>
    </row>
    <row r="146" spans="7:7" ht="15" customHeight="1" x14ac:dyDescent="0.2">
      <c r="G146" s="2625"/>
    </row>
  </sheetData>
  <autoFilter ref="C18:E136">
    <filterColumn colId="0" showButton="0"/>
    <filterColumn colId="1" showButton="0"/>
  </autoFilter>
  <mergeCells count="3">
    <mergeCell ref="C17:E17"/>
    <mergeCell ref="C18:E18"/>
    <mergeCell ref="B9:L9"/>
  </mergeCell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L742"/>
  <sheetViews>
    <sheetView view="pageBreakPreview" zoomScaleSheetLayoutView="100" workbookViewId="0">
      <selection activeCell="F21" sqref="F21"/>
    </sheetView>
  </sheetViews>
  <sheetFormatPr defaultRowHeight="12.75" x14ac:dyDescent="0.2"/>
  <cols>
    <col min="1" max="1" width="6" style="58" customWidth="1"/>
    <col min="2" max="2" width="1.140625" style="58" customWidth="1"/>
    <col min="3" max="3" width="9.140625" style="58"/>
    <col min="4" max="4" width="2.85546875" style="58" customWidth="1"/>
    <col min="5" max="5" width="27" style="58" customWidth="1"/>
    <col min="6" max="6" width="14.7109375" style="58" bestFit="1" customWidth="1"/>
    <col min="7" max="7" width="16" style="58" customWidth="1"/>
    <col min="8" max="10" width="18.7109375" customWidth="1"/>
  </cols>
  <sheetData>
    <row r="2" spans="1:10" ht="15.75" x14ac:dyDescent="0.25">
      <c r="A2" s="3494" t="s">
        <v>1277</v>
      </c>
      <c r="B2" s="3494"/>
      <c r="C2" s="3494"/>
      <c r="D2" s="3494"/>
      <c r="E2" s="3494"/>
      <c r="F2" s="3494"/>
      <c r="G2" s="3494"/>
      <c r="H2" s="3494"/>
      <c r="I2" s="3494"/>
      <c r="J2" s="3494"/>
    </row>
    <row r="3" spans="1:10" ht="15.75" x14ac:dyDescent="0.25">
      <c r="A3" s="3494" t="s">
        <v>1058</v>
      </c>
      <c r="B3" s="3494"/>
      <c r="C3" s="3494"/>
      <c r="D3" s="3494"/>
      <c r="E3" s="3494"/>
      <c r="F3" s="3494"/>
      <c r="G3" s="3494"/>
      <c r="H3" s="3494"/>
      <c r="I3" s="3494"/>
      <c r="J3" s="3494"/>
    </row>
    <row r="4" spans="1:10" ht="15.75" x14ac:dyDescent="0.25">
      <c r="A4" s="3494" t="s">
        <v>361</v>
      </c>
      <c r="B4" s="3494"/>
      <c r="C4" s="3494"/>
      <c r="D4" s="3494"/>
      <c r="E4" s="3494"/>
      <c r="F4" s="3494"/>
      <c r="G4" s="3494"/>
      <c r="H4" s="3494"/>
      <c r="I4" s="3494"/>
      <c r="J4" s="3494"/>
    </row>
    <row r="5" spans="1:10" ht="15.75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 ht="15.75" x14ac:dyDescent="0.25">
      <c r="A7" s="96" t="s">
        <v>1278</v>
      </c>
      <c r="B7" s="95"/>
      <c r="C7" s="95"/>
      <c r="D7" s="95"/>
      <c r="E7" s="95"/>
      <c r="F7" s="95"/>
      <c r="G7" s="95"/>
      <c r="H7" s="95"/>
      <c r="I7" s="95"/>
      <c r="J7" s="95"/>
    </row>
    <row r="8" spans="1:10" ht="15.75" x14ac:dyDescent="0.25">
      <c r="A8" s="97" t="s">
        <v>1279</v>
      </c>
      <c r="B8" s="95"/>
      <c r="C8" s="95"/>
      <c r="D8" s="95"/>
      <c r="E8" s="95"/>
      <c r="F8" s="95"/>
      <c r="G8" s="95"/>
      <c r="H8" s="95"/>
      <c r="I8" s="95"/>
      <c r="J8" s="95"/>
    </row>
    <row r="9" spans="1:10" ht="15.75" x14ac:dyDescent="0.25">
      <c r="A9" s="97" t="s">
        <v>1280</v>
      </c>
      <c r="B9" s="95"/>
      <c r="C9" s="95"/>
      <c r="D9" s="95"/>
      <c r="E9" s="95"/>
      <c r="F9" s="95"/>
      <c r="G9" s="95"/>
      <c r="H9" s="95"/>
      <c r="I9" s="95"/>
      <c r="J9" s="95"/>
    </row>
    <row r="11" spans="1:10" x14ac:dyDescent="0.2">
      <c r="A11" s="64" t="s">
        <v>1156</v>
      </c>
      <c r="G11" s="59"/>
    </row>
    <row r="12" spans="1:10" ht="13.5" thickBot="1" x14ac:dyDescent="0.25">
      <c r="H12" s="98"/>
      <c r="I12" s="98"/>
      <c r="J12" s="98"/>
    </row>
    <row r="13" spans="1:10" ht="13.5" customHeight="1" thickTop="1" x14ac:dyDescent="0.2">
      <c r="A13" s="3495" t="s">
        <v>362</v>
      </c>
      <c r="B13" s="3498" t="s">
        <v>4</v>
      </c>
      <c r="C13" s="3498"/>
      <c r="D13" s="3498"/>
      <c r="E13" s="3498"/>
      <c r="F13" s="3498" t="s">
        <v>262</v>
      </c>
      <c r="G13" s="3501" t="s">
        <v>1281</v>
      </c>
      <c r="H13" s="99" t="s">
        <v>1282</v>
      </c>
      <c r="I13" s="99" t="s">
        <v>1282</v>
      </c>
      <c r="J13" s="100" t="s">
        <v>1282</v>
      </c>
    </row>
    <row r="14" spans="1:10" ht="12.75" customHeight="1" x14ac:dyDescent="0.2">
      <c r="A14" s="3496"/>
      <c r="B14" s="3499"/>
      <c r="C14" s="3499"/>
      <c r="D14" s="3499"/>
      <c r="E14" s="3499"/>
      <c r="F14" s="3499"/>
      <c r="G14" s="3502"/>
      <c r="H14" s="93" t="s">
        <v>1283</v>
      </c>
      <c r="I14" s="93" t="s">
        <v>1283</v>
      </c>
      <c r="J14" s="101" t="s">
        <v>1283</v>
      </c>
    </row>
    <row r="15" spans="1:10" ht="13.5" thickBot="1" x14ac:dyDescent="0.25">
      <c r="A15" s="3497"/>
      <c r="B15" s="3500"/>
      <c r="C15" s="3500"/>
      <c r="D15" s="3500"/>
      <c r="E15" s="3500"/>
      <c r="F15" s="3500"/>
      <c r="G15" s="3503"/>
      <c r="H15" s="94" t="s">
        <v>1284</v>
      </c>
      <c r="I15" s="94" t="s">
        <v>1285</v>
      </c>
      <c r="J15" s="102" t="s">
        <v>1286</v>
      </c>
    </row>
    <row r="16" spans="1:10" ht="13.5" thickTop="1" x14ac:dyDescent="0.2">
      <c r="A16" s="103" t="s">
        <v>349</v>
      </c>
      <c r="B16" s="3491" t="s">
        <v>228</v>
      </c>
      <c r="C16" s="3492"/>
      <c r="D16" s="3492"/>
      <c r="E16" s="3493"/>
      <c r="F16" s="104" t="s">
        <v>1</v>
      </c>
      <c r="G16" s="105">
        <v>4</v>
      </c>
      <c r="H16" s="104">
        <v>5</v>
      </c>
      <c r="I16" s="104">
        <v>6</v>
      </c>
      <c r="J16" s="106">
        <v>7</v>
      </c>
    </row>
    <row r="17" spans="1:10" x14ac:dyDescent="0.2">
      <c r="A17" s="107"/>
      <c r="B17" s="79"/>
      <c r="C17" s="80"/>
      <c r="D17" s="80"/>
      <c r="E17" s="81"/>
      <c r="F17" s="82"/>
      <c r="G17" s="79"/>
      <c r="H17" s="108"/>
      <c r="I17" s="108"/>
      <c r="J17" s="109"/>
    </row>
    <row r="18" spans="1:10" x14ac:dyDescent="0.2">
      <c r="A18" s="68">
        <v>1</v>
      </c>
      <c r="B18" s="65"/>
      <c r="C18" s="66" t="s">
        <v>543</v>
      </c>
      <c r="D18" s="66"/>
      <c r="E18" s="67"/>
      <c r="F18" s="69" t="s">
        <v>291</v>
      </c>
      <c r="G18" s="110">
        <v>130000</v>
      </c>
      <c r="H18" s="111">
        <v>105000</v>
      </c>
      <c r="I18" s="111">
        <v>105000</v>
      </c>
      <c r="J18" s="112">
        <v>105000</v>
      </c>
    </row>
    <row r="19" spans="1:10" x14ac:dyDescent="0.2">
      <c r="A19" s="68">
        <f>SUM(A18+1)</f>
        <v>2</v>
      </c>
      <c r="B19" s="113"/>
      <c r="C19" s="114" t="s">
        <v>5</v>
      </c>
      <c r="D19" s="114"/>
      <c r="E19" s="115"/>
      <c r="F19" s="72" t="s">
        <v>291</v>
      </c>
      <c r="G19" s="116">
        <v>85000</v>
      </c>
      <c r="H19" s="117">
        <v>69000</v>
      </c>
      <c r="I19" s="117">
        <v>69000</v>
      </c>
      <c r="J19" s="118">
        <v>69000</v>
      </c>
    </row>
    <row r="20" spans="1:10" x14ac:dyDescent="0.2">
      <c r="A20" s="68">
        <f t="shared" ref="A20:A52" si="0">SUM(A19+1)</f>
        <v>3</v>
      </c>
      <c r="B20" s="113"/>
      <c r="C20" s="114" t="s">
        <v>187</v>
      </c>
      <c r="D20" s="114"/>
      <c r="E20" s="115"/>
      <c r="F20" s="72" t="s">
        <v>291</v>
      </c>
      <c r="G20" s="116">
        <v>80000</v>
      </c>
      <c r="H20" s="117">
        <v>65000</v>
      </c>
      <c r="I20" s="117">
        <v>65000</v>
      </c>
      <c r="J20" s="118">
        <v>65000</v>
      </c>
    </row>
    <row r="21" spans="1:10" x14ac:dyDescent="0.2">
      <c r="A21" s="68">
        <f t="shared" si="0"/>
        <v>4</v>
      </c>
      <c r="B21" s="113"/>
      <c r="C21" s="114" t="s">
        <v>6</v>
      </c>
      <c r="D21" s="114"/>
      <c r="E21" s="115"/>
      <c r="F21" s="72" t="s">
        <v>291</v>
      </c>
      <c r="G21" s="116">
        <v>95000</v>
      </c>
      <c r="H21" s="117">
        <v>77000</v>
      </c>
      <c r="I21" s="117">
        <v>77000</v>
      </c>
      <c r="J21" s="118">
        <v>77000</v>
      </c>
    </row>
    <row r="22" spans="1:10" x14ac:dyDescent="0.2">
      <c r="A22" s="68">
        <f t="shared" si="0"/>
        <v>5</v>
      </c>
      <c r="B22" s="113"/>
      <c r="C22" s="114" t="s">
        <v>544</v>
      </c>
      <c r="D22" s="114"/>
      <c r="E22" s="115"/>
      <c r="F22" s="72" t="s">
        <v>291</v>
      </c>
      <c r="G22" s="116">
        <v>87000</v>
      </c>
      <c r="H22" s="117">
        <v>70000</v>
      </c>
      <c r="I22" s="117">
        <v>70000</v>
      </c>
      <c r="J22" s="118">
        <v>70000</v>
      </c>
    </row>
    <row r="23" spans="1:10" x14ac:dyDescent="0.2">
      <c r="A23" s="68">
        <f t="shared" si="0"/>
        <v>6</v>
      </c>
      <c r="B23" s="113"/>
      <c r="C23" s="114" t="s">
        <v>545</v>
      </c>
      <c r="D23" s="114"/>
      <c r="E23" s="115"/>
      <c r="F23" s="72" t="s">
        <v>291</v>
      </c>
      <c r="G23" s="116">
        <v>185000</v>
      </c>
      <c r="H23" s="117">
        <v>150000</v>
      </c>
      <c r="I23" s="117">
        <v>150000</v>
      </c>
      <c r="J23" s="118">
        <v>150000</v>
      </c>
    </row>
    <row r="24" spans="1:10" x14ac:dyDescent="0.2">
      <c r="A24" s="68">
        <f t="shared" si="0"/>
        <v>7</v>
      </c>
      <c r="B24" s="113"/>
      <c r="C24" s="114" t="s">
        <v>614</v>
      </c>
      <c r="D24" s="114"/>
      <c r="E24" s="115"/>
      <c r="F24" s="72" t="s">
        <v>291</v>
      </c>
      <c r="G24" s="116">
        <v>230000</v>
      </c>
      <c r="H24" s="117">
        <v>186000</v>
      </c>
      <c r="I24" s="117">
        <v>186000</v>
      </c>
      <c r="J24" s="118">
        <v>186000</v>
      </c>
    </row>
    <row r="25" spans="1:10" x14ac:dyDescent="0.2">
      <c r="A25" s="68">
        <f t="shared" si="0"/>
        <v>8</v>
      </c>
      <c r="B25" s="113"/>
      <c r="C25" s="114" t="s">
        <v>7</v>
      </c>
      <c r="D25" s="114"/>
      <c r="E25" s="115"/>
      <c r="F25" s="72" t="s">
        <v>291</v>
      </c>
      <c r="G25" s="116">
        <v>110000</v>
      </c>
      <c r="H25" s="117">
        <v>89000</v>
      </c>
      <c r="I25" s="117">
        <v>89000</v>
      </c>
      <c r="J25" s="118">
        <v>89000</v>
      </c>
    </row>
    <row r="26" spans="1:10" x14ac:dyDescent="0.2">
      <c r="A26" s="68">
        <f t="shared" si="0"/>
        <v>9</v>
      </c>
      <c r="B26" s="113"/>
      <c r="C26" s="114" t="s">
        <v>8</v>
      </c>
      <c r="D26" s="114"/>
      <c r="E26" s="115"/>
      <c r="F26" s="72" t="s">
        <v>291</v>
      </c>
      <c r="G26" s="116">
        <v>110000</v>
      </c>
      <c r="H26" s="117">
        <v>89000</v>
      </c>
      <c r="I26" s="117">
        <v>89000</v>
      </c>
      <c r="J26" s="118">
        <v>89000</v>
      </c>
    </row>
    <row r="27" spans="1:10" x14ac:dyDescent="0.2">
      <c r="A27" s="68">
        <f t="shared" si="0"/>
        <v>10</v>
      </c>
      <c r="B27" s="113"/>
      <c r="C27" s="114" t="s">
        <v>9</v>
      </c>
      <c r="D27" s="114"/>
      <c r="E27" s="115"/>
      <c r="F27" s="72" t="s">
        <v>291</v>
      </c>
      <c r="G27" s="116">
        <v>110000</v>
      </c>
      <c r="H27" s="117">
        <v>89000</v>
      </c>
      <c r="I27" s="117">
        <v>89000</v>
      </c>
      <c r="J27" s="118">
        <v>89000</v>
      </c>
    </row>
    <row r="28" spans="1:10" x14ac:dyDescent="0.2">
      <c r="A28" s="68">
        <f t="shared" si="0"/>
        <v>11</v>
      </c>
      <c r="B28" s="113"/>
      <c r="C28" s="114" t="s">
        <v>10</v>
      </c>
      <c r="D28" s="114"/>
      <c r="E28" s="115"/>
      <c r="F28" s="72" t="s">
        <v>291</v>
      </c>
      <c r="G28" s="116">
        <v>110000</v>
      </c>
      <c r="H28" s="117">
        <v>89000</v>
      </c>
      <c r="I28" s="117">
        <v>89000</v>
      </c>
      <c r="J28" s="118">
        <v>89000</v>
      </c>
    </row>
    <row r="29" spans="1:10" x14ac:dyDescent="0.2">
      <c r="A29" s="68">
        <f t="shared" si="0"/>
        <v>12</v>
      </c>
      <c r="B29" s="113"/>
      <c r="C29" s="114" t="s">
        <v>11</v>
      </c>
      <c r="D29" s="114"/>
      <c r="E29" s="115"/>
      <c r="F29" s="72" t="s">
        <v>291</v>
      </c>
      <c r="G29" s="116">
        <v>110000</v>
      </c>
      <c r="H29" s="117">
        <v>89000</v>
      </c>
      <c r="I29" s="117">
        <v>89000</v>
      </c>
      <c r="J29" s="118">
        <v>89000</v>
      </c>
    </row>
    <row r="30" spans="1:10" x14ac:dyDescent="0.2">
      <c r="A30" s="68">
        <f t="shared" si="0"/>
        <v>13</v>
      </c>
      <c r="B30" s="113"/>
      <c r="C30" s="114" t="s">
        <v>633</v>
      </c>
      <c r="D30" s="114"/>
      <c r="E30" s="115"/>
      <c r="F30" s="72" t="s">
        <v>291</v>
      </c>
      <c r="G30" s="116">
        <v>225000</v>
      </c>
      <c r="H30" s="117">
        <v>182000</v>
      </c>
      <c r="I30" s="117">
        <v>182000</v>
      </c>
      <c r="J30" s="118">
        <v>182000</v>
      </c>
    </row>
    <row r="31" spans="1:10" x14ac:dyDescent="0.2">
      <c r="A31" s="68">
        <f t="shared" si="0"/>
        <v>14</v>
      </c>
      <c r="B31" s="113"/>
      <c r="C31" s="114" t="s">
        <v>290</v>
      </c>
      <c r="D31" s="114"/>
      <c r="E31" s="115"/>
      <c r="F31" s="72" t="s">
        <v>291</v>
      </c>
      <c r="G31" s="116">
        <v>100000</v>
      </c>
      <c r="H31" s="117">
        <v>81000</v>
      </c>
      <c r="I31" s="117">
        <v>81000</v>
      </c>
      <c r="J31" s="118">
        <v>81000</v>
      </c>
    </row>
    <row r="32" spans="1:10" x14ac:dyDescent="0.2">
      <c r="A32" s="68">
        <f t="shared" si="0"/>
        <v>15</v>
      </c>
      <c r="B32" s="113"/>
      <c r="C32" s="114" t="s">
        <v>12</v>
      </c>
      <c r="D32" s="114"/>
      <c r="E32" s="115"/>
      <c r="F32" s="72" t="s">
        <v>291</v>
      </c>
      <c r="G32" s="116">
        <v>100000</v>
      </c>
      <c r="H32" s="117">
        <v>81000</v>
      </c>
      <c r="I32" s="117">
        <v>81000</v>
      </c>
      <c r="J32" s="118">
        <v>81000</v>
      </c>
    </row>
    <row r="33" spans="1:10" x14ac:dyDescent="0.2">
      <c r="A33" s="68">
        <f t="shared" si="0"/>
        <v>16</v>
      </c>
      <c r="B33" s="113"/>
      <c r="C33" s="114" t="s">
        <v>931</v>
      </c>
      <c r="D33" s="114"/>
      <c r="E33" s="115"/>
      <c r="F33" s="72" t="s">
        <v>291</v>
      </c>
      <c r="G33" s="116">
        <v>100000</v>
      </c>
      <c r="H33" s="117">
        <v>81000</v>
      </c>
      <c r="I33" s="117">
        <v>81000</v>
      </c>
      <c r="J33" s="118">
        <v>81000</v>
      </c>
    </row>
    <row r="34" spans="1:10" x14ac:dyDescent="0.2">
      <c r="A34" s="68">
        <f t="shared" si="0"/>
        <v>17</v>
      </c>
      <c r="B34" s="113"/>
      <c r="C34" s="114" t="s">
        <v>932</v>
      </c>
      <c r="D34" s="114"/>
      <c r="E34" s="115"/>
      <c r="F34" s="72" t="s">
        <v>291</v>
      </c>
      <c r="G34" s="116">
        <v>95000</v>
      </c>
      <c r="H34" s="117">
        <v>77000</v>
      </c>
      <c r="I34" s="117">
        <v>77000</v>
      </c>
      <c r="J34" s="118">
        <v>77000</v>
      </c>
    </row>
    <row r="35" spans="1:10" x14ac:dyDescent="0.2">
      <c r="A35" s="68">
        <f>SUM(A34+1)</f>
        <v>18</v>
      </c>
      <c r="B35" s="113"/>
      <c r="C35" s="114" t="s">
        <v>619</v>
      </c>
      <c r="D35" s="114"/>
      <c r="E35" s="115"/>
      <c r="F35" s="72" t="s">
        <v>291</v>
      </c>
      <c r="G35" s="116">
        <v>105000</v>
      </c>
      <c r="H35" s="117">
        <v>85000</v>
      </c>
      <c r="I35" s="117">
        <v>85000</v>
      </c>
      <c r="J35" s="118">
        <v>85000</v>
      </c>
    </row>
    <row r="36" spans="1:10" x14ac:dyDescent="0.2">
      <c r="A36" s="68">
        <f t="shared" si="0"/>
        <v>19</v>
      </c>
      <c r="B36" s="113"/>
      <c r="C36" s="114" t="s">
        <v>933</v>
      </c>
      <c r="D36" s="114"/>
      <c r="E36" s="115"/>
      <c r="F36" s="72" t="s">
        <v>291</v>
      </c>
      <c r="G36" s="116">
        <v>85000</v>
      </c>
      <c r="H36" s="117">
        <v>69000</v>
      </c>
      <c r="I36" s="117">
        <v>69000</v>
      </c>
      <c r="J36" s="118">
        <v>69000</v>
      </c>
    </row>
    <row r="37" spans="1:10" x14ac:dyDescent="0.2">
      <c r="A37" s="68">
        <f t="shared" si="0"/>
        <v>20</v>
      </c>
      <c r="B37" s="113"/>
      <c r="C37" s="114" t="s">
        <v>15</v>
      </c>
      <c r="D37" s="114"/>
      <c r="E37" s="115"/>
      <c r="F37" s="72" t="s">
        <v>291</v>
      </c>
      <c r="G37" s="116">
        <v>100000</v>
      </c>
      <c r="H37" s="117">
        <v>81000</v>
      </c>
      <c r="I37" s="117">
        <v>81000</v>
      </c>
      <c r="J37" s="118">
        <v>81000</v>
      </c>
    </row>
    <row r="38" spans="1:10" x14ac:dyDescent="0.2">
      <c r="A38" s="68">
        <f t="shared" si="0"/>
        <v>21</v>
      </c>
      <c r="B38" s="113"/>
      <c r="C38" s="114" t="s">
        <v>934</v>
      </c>
      <c r="D38" s="114"/>
      <c r="E38" s="115"/>
      <c r="F38" s="72" t="s">
        <v>291</v>
      </c>
      <c r="G38" s="116">
        <v>200000</v>
      </c>
      <c r="H38" s="117">
        <v>162000</v>
      </c>
      <c r="I38" s="117">
        <v>162000</v>
      </c>
      <c r="J38" s="118">
        <v>162000</v>
      </c>
    </row>
    <row r="39" spans="1:10" x14ac:dyDescent="0.2">
      <c r="A39" s="68">
        <f t="shared" si="0"/>
        <v>22</v>
      </c>
      <c r="B39" s="113"/>
      <c r="C39" s="114" t="s">
        <v>935</v>
      </c>
      <c r="D39" s="114"/>
      <c r="E39" s="115"/>
      <c r="F39" s="72" t="s">
        <v>291</v>
      </c>
      <c r="G39" s="116">
        <v>85000</v>
      </c>
      <c r="H39" s="117">
        <v>69000</v>
      </c>
      <c r="I39" s="117">
        <v>69000</v>
      </c>
      <c r="J39" s="118">
        <v>69000</v>
      </c>
    </row>
    <row r="40" spans="1:10" x14ac:dyDescent="0.2">
      <c r="A40" s="68">
        <f t="shared" si="0"/>
        <v>23</v>
      </c>
      <c r="B40" s="113"/>
      <c r="C40" s="114" t="s">
        <v>936</v>
      </c>
      <c r="D40" s="114"/>
      <c r="E40" s="115"/>
      <c r="F40" s="72" t="s">
        <v>291</v>
      </c>
      <c r="G40" s="116">
        <v>85000</v>
      </c>
      <c r="H40" s="117">
        <v>69000</v>
      </c>
      <c r="I40" s="117">
        <v>69000</v>
      </c>
      <c r="J40" s="118">
        <v>69000</v>
      </c>
    </row>
    <row r="41" spans="1:10" x14ac:dyDescent="0.2">
      <c r="A41" s="68">
        <f t="shared" si="0"/>
        <v>24</v>
      </c>
      <c r="B41" s="113"/>
      <c r="C41" s="114" t="s">
        <v>937</v>
      </c>
      <c r="D41" s="114"/>
      <c r="E41" s="115"/>
      <c r="F41" s="72" t="s">
        <v>291</v>
      </c>
      <c r="G41" s="116">
        <v>80000</v>
      </c>
      <c r="H41" s="117">
        <v>65000</v>
      </c>
      <c r="I41" s="117">
        <v>65000</v>
      </c>
      <c r="J41" s="118">
        <v>65000</v>
      </c>
    </row>
    <row r="42" spans="1:10" x14ac:dyDescent="0.2">
      <c r="A42" s="68">
        <f t="shared" si="0"/>
        <v>25</v>
      </c>
      <c r="B42" s="113"/>
      <c r="C42" s="114" t="s">
        <v>938</v>
      </c>
      <c r="D42" s="114"/>
      <c r="E42" s="115"/>
      <c r="F42" s="72" t="s">
        <v>291</v>
      </c>
      <c r="G42" s="116">
        <v>80000</v>
      </c>
      <c r="H42" s="117">
        <v>65000</v>
      </c>
      <c r="I42" s="117">
        <v>65000</v>
      </c>
      <c r="J42" s="118">
        <v>65000</v>
      </c>
    </row>
    <row r="43" spans="1:10" x14ac:dyDescent="0.2">
      <c r="A43" s="68">
        <f t="shared" si="0"/>
        <v>26</v>
      </c>
      <c r="B43" s="113"/>
      <c r="C43" s="114" t="s">
        <v>17</v>
      </c>
      <c r="D43" s="114"/>
      <c r="E43" s="115"/>
      <c r="F43" s="72" t="s">
        <v>291</v>
      </c>
      <c r="G43" s="116">
        <v>95000</v>
      </c>
      <c r="H43" s="117">
        <v>77000</v>
      </c>
      <c r="I43" s="117">
        <v>77000</v>
      </c>
      <c r="J43" s="118">
        <v>77000</v>
      </c>
    </row>
    <row r="44" spans="1:10" x14ac:dyDescent="0.2">
      <c r="A44" s="68">
        <f t="shared" si="0"/>
        <v>27</v>
      </c>
      <c r="B44" s="113"/>
      <c r="C44" s="114" t="s">
        <v>370</v>
      </c>
      <c r="D44" s="114"/>
      <c r="E44" s="115"/>
      <c r="F44" s="72" t="s">
        <v>291</v>
      </c>
      <c r="G44" s="116">
        <v>95000</v>
      </c>
      <c r="H44" s="117">
        <v>77000</v>
      </c>
      <c r="I44" s="117">
        <v>77000</v>
      </c>
      <c r="J44" s="118">
        <v>77000</v>
      </c>
    </row>
    <row r="45" spans="1:10" x14ac:dyDescent="0.2">
      <c r="A45" s="68">
        <f t="shared" si="0"/>
        <v>28</v>
      </c>
      <c r="B45" s="113"/>
      <c r="C45" s="114" t="s">
        <v>249</v>
      </c>
      <c r="D45" s="114"/>
      <c r="E45" s="115"/>
      <c r="F45" s="72" t="s">
        <v>291</v>
      </c>
      <c r="G45" s="116">
        <v>95000</v>
      </c>
      <c r="H45" s="117">
        <v>77000</v>
      </c>
      <c r="I45" s="117">
        <v>77000</v>
      </c>
      <c r="J45" s="118">
        <v>77000</v>
      </c>
    </row>
    <row r="46" spans="1:10" x14ac:dyDescent="0.2">
      <c r="A46" s="68">
        <f t="shared" si="0"/>
        <v>29</v>
      </c>
      <c r="B46" s="113"/>
      <c r="C46" s="114" t="s">
        <v>371</v>
      </c>
      <c r="D46" s="114"/>
      <c r="E46" s="115"/>
      <c r="F46" s="72" t="s">
        <v>291</v>
      </c>
      <c r="G46" s="116">
        <v>95000</v>
      </c>
      <c r="H46" s="117">
        <v>77000</v>
      </c>
      <c r="I46" s="117">
        <v>77000</v>
      </c>
      <c r="J46" s="118">
        <v>77000</v>
      </c>
    </row>
    <row r="47" spans="1:10" x14ac:dyDescent="0.2">
      <c r="A47" s="68">
        <f t="shared" si="0"/>
        <v>30</v>
      </c>
      <c r="B47" s="113"/>
      <c r="C47" s="114" t="s">
        <v>19</v>
      </c>
      <c r="D47" s="114"/>
      <c r="E47" s="115"/>
      <c r="F47" s="72" t="s">
        <v>291</v>
      </c>
      <c r="G47" s="116">
        <v>95000</v>
      </c>
      <c r="H47" s="117">
        <v>77000</v>
      </c>
      <c r="I47" s="117">
        <v>77000</v>
      </c>
      <c r="J47" s="118">
        <v>77000</v>
      </c>
    </row>
    <row r="48" spans="1:10" x14ac:dyDescent="0.2">
      <c r="A48" s="68">
        <f t="shared" si="0"/>
        <v>31</v>
      </c>
      <c r="B48" s="113"/>
      <c r="C48" s="114" t="s">
        <v>334</v>
      </c>
      <c r="D48" s="114"/>
      <c r="E48" s="115"/>
      <c r="F48" s="72" t="s">
        <v>291</v>
      </c>
      <c r="G48" s="116">
        <v>100000</v>
      </c>
      <c r="H48" s="117">
        <v>81000</v>
      </c>
      <c r="I48" s="117">
        <v>81000</v>
      </c>
      <c r="J48" s="118">
        <v>81000</v>
      </c>
    </row>
    <row r="49" spans="1:10" x14ac:dyDescent="0.2">
      <c r="A49" s="68">
        <f t="shared" si="0"/>
        <v>32</v>
      </c>
      <c r="B49" s="113"/>
      <c r="C49" s="114" t="s">
        <v>248</v>
      </c>
      <c r="D49" s="114"/>
      <c r="E49" s="115"/>
      <c r="F49" s="72" t="s">
        <v>291</v>
      </c>
      <c r="G49" s="116">
        <v>95000</v>
      </c>
      <c r="H49" s="117">
        <v>77000</v>
      </c>
      <c r="I49" s="117">
        <v>77000</v>
      </c>
      <c r="J49" s="118">
        <v>77000</v>
      </c>
    </row>
    <row r="50" spans="1:10" x14ac:dyDescent="0.2">
      <c r="A50" s="68">
        <f t="shared" si="0"/>
        <v>33</v>
      </c>
      <c r="B50" s="113"/>
      <c r="C50" s="114" t="s">
        <v>20</v>
      </c>
      <c r="D50" s="114"/>
      <c r="E50" s="115"/>
      <c r="F50" s="72" t="s">
        <v>291</v>
      </c>
      <c r="G50" s="116">
        <v>95000</v>
      </c>
      <c r="H50" s="117">
        <v>77000</v>
      </c>
      <c r="I50" s="117">
        <v>77000</v>
      </c>
      <c r="J50" s="118">
        <v>77000</v>
      </c>
    </row>
    <row r="51" spans="1:10" x14ac:dyDescent="0.2">
      <c r="A51" s="68">
        <f t="shared" si="0"/>
        <v>34</v>
      </c>
      <c r="B51" s="113"/>
      <c r="C51" s="114" t="s">
        <v>116</v>
      </c>
      <c r="D51" s="114"/>
      <c r="E51" s="115"/>
      <c r="F51" s="72" t="s">
        <v>291</v>
      </c>
      <c r="G51" s="116">
        <v>110000</v>
      </c>
      <c r="H51" s="117">
        <v>89000</v>
      </c>
      <c r="I51" s="117">
        <v>89000</v>
      </c>
      <c r="J51" s="118">
        <v>89000</v>
      </c>
    </row>
    <row r="52" spans="1:10" x14ac:dyDescent="0.2">
      <c r="A52" s="68">
        <f t="shared" si="0"/>
        <v>35</v>
      </c>
      <c r="B52" s="113"/>
      <c r="C52" s="114" t="s">
        <v>825</v>
      </c>
      <c r="D52" s="114"/>
      <c r="E52" s="115"/>
      <c r="F52" s="72" t="s">
        <v>291</v>
      </c>
      <c r="G52" s="116">
        <v>100000</v>
      </c>
      <c r="H52" s="117">
        <v>81000</v>
      </c>
      <c r="I52" s="117">
        <v>81000</v>
      </c>
      <c r="J52" s="118">
        <v>81000</v>
      </c>
    </row>
    <row r="53" spans="1:10" ht="13.5" thickBot="1" x14ac:dyDescent="0.25">
      <c r="A53" s="74"/>
      <c r="B53" s="75"/>
      <c r="C53" s="119"/>
      <c r="D53" s="119"/>
      <c r="E53" s="120"/>
      <c r="F53" s="76"/>
      <c r="G53" s="75"/>
      <c r="H53" s="121"/>
      <c r="I53" s="121"/>
      <c r="J53" s="122"/>
    </row>
    <row r="54" spans="1:10" ht="13.5" thickTop="1" x14ac:dyDescent="0.2">
      <c r="C54" s="77"/>
      <c r="D54" s="77"/>
    </row>
    <row r="55" spans="1:10" x14ac:dyDescent="0.2">
      <c r="A55" s="64" t="s">
        <v>21</v>
      </c>
      <c r="C55" s="77"/>
      <c r="D55" s="77"/>
    </row>
    <row r="56" spans="1:10" ht="13.5" thickBot="1" x14ac:dyDescent="0.25">
      <c r="H56" s="98"/>
      <c r="I56" s="98"/>
      <c r="J56" s="98"/>
    </row>
    <row r="57" spans="1:10" ht="13.5" customHeight="1" thickTop="1" x14ac:dyDescent="0.2">
      <c r="A57" s="3495" t="s">
        <v>362</v>
      </c>
      <c r="B57" s="3498" t="s">
        <v>4</v>
      </c>
      <c r="C57" s="3498"/>
      <c r="D57" s="3498"/>
      <c r="E57" s="3498"/>
      <c r="F57" s="3498" t="s">
        <v>262</v>
      </c>
      <c r="G57" s="3501" t="s">
        <v>1281</v>
      </c>
      <c r="H57" s="99" t="s">
        <v>1282</v>
      </c>
      <c r="I57" s="99" t="s">
        <v>1282</v>
      </c>
      <c r="J57" s="100" t="s">
        <v>1282</v>
      </c>
    </row>
    <row r="58" spans="1:10" ht="12.75" customHeight="1" x14ac:dyDescent="0.2">
      <c r="A58" s="3496"/>
      <c r="B58" s="3499"/>
      <c r="C58" s="3499"/>
      <c r="D58" s="3499"/>
      <c r="E58" s="3499"/>
      <c r="F58" s="3499"/>
      <c r="G58" s="3502"/>
      <c r="H58" s="93" t="s">
        <v>1283</v>
      </c>
      <c r="I58" s="93" t="s">
        <v>1283</v>
      </c>
      <c r="J58" s="101" t="s">
        <v>1283</v>
      </c>
    </row>
    <row r="59" spans="1:10" ht="13.5" thickBot="1" x14ac:dyDescent="0.25">
      <c r="A59" s="3497"/>
      <c r="B59" s="3500"/>
      <c r="C59" s="3500"/>
      <c r="D59" s="3500"/>
      <c r="E59" s="3500"/>
      <c r="F59" s="3500"/>
      <c r="G59" s="3503"/>
      <c r="H59" s="94" t="s">
        <v>1284</v>
      </c>
      <c r="I59" s="94" t="s">
        <v>1285</v>
      </c>
      <c r="J59" s="102" t="s">
        <v>1286</v>
      </c>
    </row>
    <row r="60" spans="1:10" ht="13.5" thickTop="1" x14ac:dyDescent="0.2">
      <c r="A60" s="103" t="s">
        <v>349</v>
      </c>
      <c r="B60" s="3491" t="s">
        <v>228</v>
      </c>
      <c r="C60" s="3492"/>
      <c r="D60" s="3492"/>
      <c r="E60" s="3493"/>
      <c r="F60" s="104" t="s">
        <v>1</v>
      </c>
      <c r="G60" s="105">
        <v>4</v>
      </c>
      <c r="H60" s="104">
        <v>5</v>
      </c>
      <c r="I60" s="104">
        <v>6</v>
      </c>
      <c r="J60" s="106">
        <v>7</v>
      </c>
    </row>
    <row r="61" spans="1:10" x14ac:dyDescent="0.2">
      <c r="A61" s="78"/>
      <c r="B61" s="79"/>
      <c r="C61" s="80"/>
      <c r="D61" s="80"/>
      <c r="E61" s="81"/>
      <c r="F61" s="82"/>
      <c r="G61" s="79"/>
      <c r="H61" s="108"/>
      <c r="I61" s="108"/>
      <c r="J61" s="109"/>
    </row>
    <row r="62" spans="1:10" x14ac:dyDescent="0.2">
      <c r="A62" s="83"/>
      <c r="B62" s="84"/>
      <c r="C62" s="123" t="s">
        <v>117</v>
      </c>
      <c r="D62" s="77"/>
      <c r="E62" s="85"/>
      <c r="F62" s="86"/>
      <c r="G62" s="84"/>
      <c r="H62" s="1"/>
      <c r="I62" s="1"/>
      <c r="J62" s="124"/>
    </row>
    <row r="63" spans="1:10" x14ac:dyDescent="0.2">
      <c r="A63" s="125">
        <v>1</v>
      </c>
      <c r="B63" s="65"/>
      <c r="C63" s="66" t="s">
        <v>163</v>
      </c>
      <c r="D63" s="66"/>
      <c r="E63" s="67"/>
      <c r="F63" s="87" t="s">
        <v>264</v>
      </c>
      <c r="G63" s="126">
        <v>233800</v>
      </c>
      <c r="H63" s="111">
        <v>190000</v>
      </c>
      <c r="I63" s="111">
        <v>190000</v>
      </c>
      <c r="J63" s="112">
        <v>190000</v>
      </c>
    </row>
    <row r="64" spans="1:10" x14ac:dyDescent="0.2">
      <c r="A64" s="71">
        <f t="shared" ref="A64:A113" si="1">SUM(A63+1)</f>
        <v>2</v>
      </c>
      <c r="B64" s="113"/>
      <c r="C64" s="114" t="s">
        <v>305</v>
      </c>
      <c r="D64" s="114"/>
      <c r="E64" s="115"/>
      <c r="F64" s="88" t="s">
        <v>392</v>
      </c>
      <c r="G64" s="116">
        <v>105</v>
      </c>
      <c r="H64" s="127">
        <f>ROUNDDOWN(G64/1.23,)</f>
        <v>85</v>
      </c>
      <c r="I64" s="117">
        <v>85</v>
      </c>
      <c r="J64" s="118">
        <v>85</v>
      </c>
    </row>
    <row r="65" spans="1:10" x14ac:dyDescent="0.2">
      <c r="A65" s="71">
        <f t="shared" si="1"/>
        <v>3</v>
      </c>
      <c r="B65" s="113"/>
      <c r="C65" s="114" t="s">
        <v>157</v>
      </c>
      <c r="D65" s="114"/>
      <c r="E65" s="115"/>
      <c r="F65" s="88" t="s">
        <v>338</v>
      </c>
      <c r="G65" s="116">
        <v>16800</v>
      </c>
      <c r="H65" s="117">
        <v>13600</v>
      </c>
      <c r="I65" s="117">
        <v>13600</v>
      </c>
      <c r="J65" s="118">
        <v>13600</v>
      </c>
    </row>
    <row r="66" spans="1:10" x14ac:dyDescent="0.2">
      <c r="A66" s="71">
        <f t="shared" si="1"/>
        <v>4</v>
      </c>
      <c r="B66" s="113"/>
      <c r="C66" s="114" t="s">
        <v>677</v>
      </c>
      <c r="D66" s="114"/>
      <c r="E66" s="115"/>
      <c r="F66" s="88" t="s">
        <v>247</v>
      </c>
      <c r="G66" s="116">
        <v>10800</v>
      </c>
      <c r="H66" s="117">
        <v>8700</v>
      </c>
      <c r="I66" s="117">
        <v>8700</v>
      </c>
      <c r="J66" s="118">
        <v>8700</v>
      </c>
    </row>
    <row r="67" spans="1:10" x14ac:dyDescent="0.2">
      <c r="A67" s="71">
        <f t="shared" si="1"/>
        <v>5</v>
      </c>
      <c r="B67" s="113"/>
      <c r="C67" s="114" t="s">
        <v>476</v>
      </c>
      <c r="D67" s="114"/>
      <c r="E67" s="115"/>
      <c r="F67" s="88" t="s">
        <v>277</v>
      </c>
      <c r="G67" s="116">
        <v>6700</v>
      </c>
      <c r="H67" s="117">
        <v>5400</v>
      </c>
      <c r="I67" s="117">
        <v>5400</v>
      </c>
      <c r="J67" s="118">
        <v>5400</v>
      </c>
    </row>
    <row r="68" spans="1:10" x14ac:dyDescent="0.2">
      <c r="A68" s="71">
        <f t="shared" si="1"/>
        <v>6</v>
      </c>
      <c r="B68" s="113"/>
      <c r="C68" s="114" t="s">
        <v>566</v>
      </c>
      <c r="D68" s="114"/>
      <c r="E68" s="115"/>
      <c r="F68" s="88" t="s">
        <v>247</v>
      </c>
      <c r="G68" s="116">
        <v>38200</v>
      </c>
      <c r="H68" s="117">
        <v>31000</v>
      </c>
      <c r="I68" s="117">
        <v>31000</v>
      </c>
      <c r="J68" s="118">
        <v>31000</v>
      </c>
    </row>
    <row r="69" spans="1:10" x14ac:dyDescent="0.2">
      <c r="A69" s="71">
        <f t="shared" si="1"/>
        <v>7</v>
      </c>
      <c r="B69" s="113"/>
      <c r="C69" s="114" t="s">
        <v>22</v>
      </c>
      <c r="D69" s="114"/>
      <c r="E69" s="115"/>
      <c r="F69" s="88" t="s">
        <v>277</v>
      </c>
      <c r="G69" s="116">
        <v>140300</v>
      </c>
      <c r="H69" s="117">
        <v>114000</v>
      </c>
      <c r="I69" s="117">
        <v>114000</v>
      </c>
      <c r="J69" s="118">
        <v>114000</v>
      </c>
    </row>
    <row r="70" spans="1:10" x14ac:dyDescent="0.2">
      <c r="A70" s="71">
        <f t="shared" si="1"/>
        <v>8</v>
      </c>
      <c r="B70" s="113"/>
      <c r="C70" s="114" t="s">
        <v>23</v>
      </c>
      <c r="D70" s="114"/>
      <c r="E70" s="115"/>
      <c r="F70" s="88" t="s">
        <v>277</v>
      </c>
      <c r="G70" s="116">
        <v>133600</v>
      </c>
      <c r="H70" s="117">
        <v>108600</v>
      </c>
      <c r="I70" s="117">
        <v>108600</v>
      </c>
      <c r="J70" s="118">
        <v>108600</v>
      </c>
    </row>
    <row r="71" spans="1:10" x14ac:dyDescent="0.2">
      <c r="A71" s="71">
        <f t="shared" si="1"/>
        <v>9</v>
      </c>
      <c r="B71" s="113"/>
      <c r="C71" s="114" t="s">
        <v>939</v>
      </c>
      <c r="D71" s="114"/>
      <c r="E71" s="115"/>
      <c r="F71" s="88" t="s">
        <v>298</v>
      </c>
      <c r="G71" s="116">
        <v>13800</v>
      </c>
      <c r="H71" s="128">
        <v>9500</v>
      </c>
      <c r="I71" s="128">
        <v>9500</v>
      </c>
      <c r="J71" s="129">
        <v>9500</v>
      </c>
    </row>
    <row r="72" spans="1:10" x14ac:dyDescent="0.2">
      <c r="A72" s="71">
        <f t="shared" si="1"/>
        <v>10</v>
      </c>
      <c r="B72" s="113"/>
      <c r="C72" s="114" t="s">
        <v>940</v>
      </c>
      <c r="D72" s="114"/>
      <c r="E72" s="115"/>
      <c r="F72" s="88" t="s">
        <v>298</v>
      </c>
      <c r="G72" s="116">
        <v>15100</v>
      </c>
      <c r="H72" s="128">
        <v>12000</v>
      </c>
      <c r="I72" s="128">
        <v>12000</v>
      </c>
      <c r="J72" s="129">
        <v>12000</v>
      </c>
    </row>
    <row r="73" spans="1:10" x14ac:dyDescent="0.2">
      <c r="A73" s="71">
        <f t="shared" si="1"/>
        <v>11</v>
      </c>
      <c r="B73" s="113"/>
      <c r="C73" s="114" t="s">
        <v>24</v>
      </c>
      <c r="D73" s="114"/>
      <c r="E73" s="115"/>
      <c r="F73" s="88" t="s">
        <v>266</v>
      </c>
      <c r="G73" s="116">
        <v>65600</v>
      </c>
      <c r="H73" s="117">
        <v>53000</v>
      </c>
      <c r="I73" s="117">
        <v>53000</v>
      </c>
      <c r="J73" s="118">
        <v>53000</v>
      </c>
    </row>
    <row r="74" spans="1:10" x14ac:dyDescent="0.2">
      <c r="A74" s="71">
        <f t="shared" si="1"/>
        <v>12</v>
      </c>
      <c r="B74" s="113"/>
      <c r="C74" s="114" t="s">
        <v>941</v>
      </c>
      <c r="D74" s="114"/>
      <c r="E74" s="115"/>
      <c r="F74" s="88" t="s">
        <v>266</v>
      </c>
      <c r="G74" s="116">
        <v>126900</v>
      </c>
      <c r="H74" s="117">
        <v>103000</v>
      </c>
      <c r="I74" s="117">
        <v>103000</v>
      </c>
      <c r="J74" s="118">
        <v>103000</v>
      </c>
    </row>
    <row r="75" spans="1:10" x14ac:dyDescent="0.2">
      <c r="A75" s="71">
        <f t="shared" si="1"/>
        <v>13</v>
      </c>
      <c r="B75" s="113"/>
      <c r="C75" s="114" t="s">
        <v>567</v>
      </c>
      <c r="D75" s="114"/>
      <c r="E75" s="115"/>
      <c r="F75" s="88" t="s">
        <v>266</v>
      </c>
      <c r="G75" s="116">
        <v>360700</v>
      </c>
      <c r="H75" s="117">
        <v>293000</v>
      </c>
      <c r="I75" s="117">
        <v>293000</v>
      </c>
      <c r="J75" s="118">
        <v>293000</v>
      </c>
    </row>
    <row r="76" spans="1:10" x14ac:dyDescent="0.2">
      <c r="A76" s="71">
        <f t="shared" si="1"/>
        <v>14</v>
      </c>
      <c r="B76" s="113"/>
      <c r="C76" s="114" t="s">
        <v>189</v>
      </c>
      <c r="D76" s="114"/>
      <c r="E76" s="115"/>
      <c r="F76" s="88" t="s">
        <v>266</v>
      </c>
      <c r="G76" s="116">
        <v>333900</v>
      </c>
      <c r="H76" s="117">
        <v>271000</v>
      </c>
      <c r="I76" s="117">
        <v>271000</v>
      </c>
      <c r="J76" s="118">
        <v>271000</v>
      </c>
    </row>
    <row r="77" spans="1:10" x14ac:dyDescent="0.2">
      <c r="A77" s="71">
        <f t="shared" si="1"/>
        <v>15</v>
      </c>
      <c r="B77" s="113"/>
      <c r="C77" s="114" t="s">
        <v>788</v>
      </c>
      <c r="D77" s="114"/>
      <c r="E77" s="115"/>
      <c r="F77" s="88" t="s">
        <v>1157</v>
      </c>
      <c r="G77" s="116">
        <v>120300</v>
      </c>
      <c r="H77" s="117">
        <v>97000</v>
      </c>
      <c r="I77" s="117">
        <v>97000</v>
      </c>
      <c r="J77" s="118">
        <v>97000</v>
      </c>
    </row>
    <row r="78" spans="1:10" x14ac:dyDescent="0.2">
      <c r="A78" s="71">
        <f t="shared" si="1"/>
        <v>16</v>
      </c>
      <c r="B78" s="113"/>
      <c r="C78" s="114" t="s">
        <v>118</v>
      </c>
      <c r="D78" s="114"/>
      <c r="E78" s="115"/>
      <c r="F78" s="88" t="s">
        <v>277</v>
      </c>
      <c r="G78" s="116">
        <v>213700</v>
      </c>
      <c r="H78" s="117">
        <v>173000</v>
      </c>
      <c r="I78" s="117">
        <v>173000</v>
      </c>
      <c r="J78" s="118">
        <v>173000</v>
      </c>
    </row>
    <row r="79" spans="1:10" x14ac:dyDescent="0.2">
      <c r="A79" s="71">
        <f t="shared" si="1"/>
        <v>17</v>
      </c>
      <c r="B79" s="113"/>
      <c r="C79" s="114" t="s">
        <v>843</v>
      </c>
      <c r="D79" s="114"/>
      <c r="E79" s="115"/>
      <c r="F79" s="88" t="s">
        <v>277</v>
      </c>
      <c r="G79" s="116">
        <v>133600</v>
      </c>
      <c r="H79" s="117">
        <v>108000</v>
      </c>
      <c r="I79" s="117">
        <v>108000</v>
      </c>
      <c r="J79" s="118">
        <v>108000</v>
      </c>
    </row>
    <row r="80" spans="1:10" x14ac:dyDescent="0.2">
      <c r="A80" s="71">
        <f t="shared" si="1"/>
        <v>18</v>
      </c>
      <c r="B80" s="113"/>
      <c r="C80" s="114" t="s">
        <v>844</v>
      </c>
      <c r="D80" s="114"/>
      <c r="E80" s="115"/>
      <c r="F80" s="88" t="s">
        <v>247</v>
      </c>
      <c r="G80" s="116">
        <v>40100</v>
      </c>
      <c r="H80" s="117">
        <v>32000</v>
      </c>
      <c r="I80" s="117">
        <v>32000</v>
      </c>
      <c r="J80" s="118">
        <v>32000</v>
      </c>
    </row>
    <row r="81" spans="1:10" x14ac:dyDescent="0.2">
      <c r="A81" s="71">
        <f t="shared" si="1"/>
        <v>19</v>
      </c>
      <c r="B81" s="113"/>
      <c r="C81" s="114" t="s">
        <v>845</v>
      </c>
      <c r="D81" s="114"/>
      <c r="E81" s="115"/>
      <c r="F81" s="88" t="s">
        <v>266</v>
      </c>
      <c r="G81" s="116">
        <v>80200</v>
      </c>
      <c r="H81" s="117">
        <v>65000</v>
      </c>
      <c r="I81" s="117">
        <v>65000</v>
      </c>
      <c r="J81" s="118">
        <v>65000</v>
      </c>
    </row>
    <row r="82" spans="1:10" x14ac:dyDescent="0.2">
      <c r="A82" s="71">
        <f t="shared" si="1"/>
        <v>20</v>
      </c>
      <c r="B82" s="113"/>
      <c r="C82" s="114" t="s">
        <v>25</v>
      </c>
      <c r="D82" s="114"/>
      <c r="E82" s="115"/>
      <c r="F82" s="88" t="s">
        <v>266</v>
      </c>
      <c r="G82" s="116">
        <v>601100</v>
      </c>
      <c r="H82" s="117">
        <v>488000</v>
      </c>
      <c r="I82" s="117">
        <v>488000</v>
      </c>
      <c r="J82" s="118">
        <v>488000</v>
      </c>
    </row>
    <row r="83" spans="1:10" x14ac:dyDescent="0.2">
      <c r="A83" s="71">
        <f t="shared" si="1"/>
        <v>21</v>
      </c>
      <c r="B83" s="113"/>
      <c r="C83" s="114" t="s">
        <v>190</v>
      </c>
      <c r="D83" s="114"/>
      <c r="E83" s="115"/>
      <c r="F83" s="88" t="s">
        <v>266</v>
      </c>
      <c r="G83" s="116">
        <v>534300</v>
      </c>
      <c r="H83" s="117">
        <v>434000</v>
      </c>
      <c r="I83" s="117">
        <v>434000</v>
      </c>
      <c r="J83" s="118">
        <v>434000</v>
      </c>
    </row>
    <row r="84" spans="1:10" x14ac:dyDescent="0.2">
      <c r="A84" s="71">
        <f t="shared" si="1"/>
        <v>22</v>
      </c>
      <c r="B84" s="113"/>
      <c r="C84" s="114" t="s">
        <v>119</v>
      </c>
      <c r="D84" s="114"/>
      <c r="E84" s="115"/>
      <c r="F84" s="88" t="s">
        <v>266</v>
      </c>
      <c r="G84" s="116">
        <v>935000</v>
      </c>
      <c r="H84" s="117">
        <v>760000</v>
      </c>
      <c r="I84" s="117">
        <v>760000</v>
      </c>
      <c r="J84" s="118">
        <v>760000</v>
      </c>
    </row>
    <row r="85" spans="1:10" x14ac:dyDescent="0.2">
      <c r="A85" s="71">
        <f t="shared" si="1"/>
        <v>23</v>
      </c>
      <c r="B85" s="113"/>
      <c r="C85" s="114" t="s">
        <v>550</v>
      </c>
      <c r="D85" s="114"/>
      <c r="E85" s="115"/>
      <c r="F85" s="88" t="s">
        <v>275</v>
      </c>
      <c r="G85" s="116">
        <v>2337300</v>
      </c>
      <c r="H85" s="117">
        <v>1900000</v>
      </c>
      <c r="I85" s="117">
        <v>1900000</v>
      </c>
      <c r="J85" s="118">
        <v>1900000</v>
      </c>
    </row>
    <row r="86" spans="1:10" x14ac:dyDescent="0.2">
      <c r="A86" s="71">
        <f t="shared" si="1"/>
        <v>24</v>
      </c>
      <c r="B86" s="113"/>
      <c r="C86" s="114" t="s">
        <v>161</v>
      </c>
      <c r="D86" s="114"/>
      <c r="E86" s="115"/>
      <c r="F86" s="88" t="s">
        <v>268</v>
      </c>
      <c r="G86" s="116">
        <v>93500</v>
      </c>
      <c r="H86" s="117">
        <v>76000</v>
      </c>
      <c r="I86" s="117">
        <v>76000</v>
      </c>
      <c r="J86" s="118">
        <v>76000</v>
      </c>
    </row>
    <row r="87" spans="1:10" x14ac:dyDescent="0.2">
      <c r="A87" s="71">
        <f t="shared" si="1"/>
        <v>25</v>
      </c>
      <c r="B87" s="113"/>
      <c r="C87" s="114" t="s">
        <v>678</v>
      </c>
      <c r="D87" s="114"/>
      <c r="E87" s="115"/>
      <c r="F87" s="88" t="s">
        <v>298</v>
      </c>
      <c r="G87" s="116">
        <v>18200</v>
      </c>
      <c r="H87" s="117">
        <v>14700</v>
      </c>
      <c r="I87" s="117">
        <v>14700</v>
      </c>
      <c r="J87" s="118">
        <v>14700</v>
      </c>
    </row>
    <row r="88" spans="1:10" x14ac:dyDescent="0.2">
      <c r="A88" s="71">
        <f t="shared" si="1"/>
        <v>26</v>
      </c>
      <c r="B88" s="113"/>
      <c r="C88" s="114" t="s">
        <v>26</v>
      </c>
      <c r="D88" s="114"/>
      <c r="E88" s="115"/>
      <c r="F88" s="88" t="s">
        <v>276</v>
      </c>
      <c r="G88" s="116">
        <v>13400</v>
      </c>
      <c r="H88" s="117">
        <v>10000</v>
      </c>
      <c r="I88" s="117">
        <v>10000</v>
      </c>
      <c r="J88" s="118">
        <v>10000</v>
      </c>
    </row>
    <row r="89" spans="1:10" x14ac:dyDescent="0.2">
      <c r="A89" s="71">
        <f t="shared" si="1"/>
        <v>27</v>
      </c>
      <c r="B89" s="113"/>
      <c r="C89" s="114" t="s">
        <v>27</v>
      </c>
      <c r="D89" s="114"/>
      <c r="E89" s="115"/>
      <c r="F89" s="88" t="s">
        <v>276</v>
      </c>
      <c r="G89" s="116">
        <v>23500</v>
      </c>
      <c r="H89" s="117">
        <v>19000</v>
      </c>
      <c r="I89" s="117">
        <v>19000</v>
      </c>
      <c r="J89" s="118">
        <v>19000</v>
      </c>
    </row>
    <row r="90" spans="1:10" x14ac:dyDescent="0.2">
      <c r="A90" s="71">
        <f t="shared" si="1"/>
        <v>28</v>
      </c>
      <c r="B90" s="113"/>
      <c r="C90" s="114" t="s">
        <v>477</v>
      </c>
      <c r="D90" s="114"/>
      <c r="E90" s="115"/>
      <c r="F90" s="88" t="s">
        <v>265</v>
      </c>
      <c r="G90" s="116">
        <v>4100</v>
      </c>
      <c r="H90" s="117">
        <v>3300</v>
      </c>
      <c r="I90" s="117">
        <v>3300</v>
      </c>
      <c r="J90" s="118">
        <v>3300</v>
      </c>
    </row>
    <row r="91" spans="1:10" x14ac:dyDescent="0.2">
      <c r="A91" s="71">
        <f t="shared" si="1"/>
        <v>29</v>
      </c>
      <c r="B91" s="113"/>
      <c r="C91" s="114" t="s">
        <v>1158</v>
      </c>
      <c r="D91" s="114"/>
      <c r="E91" s="115"/>
      <c r="F91" s="88" t="s">
        <v>266</v>
      </c>
      <c r="G91" s="116">
        <v>233800</v>
      </c>
      <c r="H91" s="117">
        <v>190000</v>
      </c>
      <c r="I91" s="117">
        <v>190000</v>
      </c>
      <c r="J91" s="118">
        <v>190000</v>
      </c>
    </row>
    <row r="92" spans="1:10" x14ac:dyDescent="0.2">
      <c r="A92" s="71">
        <f t="shared" si="1"/>
        <v>30</v>
      </c>
      <c r="B92" s="113"/>
      <c r="C92" s="114" t="s">
        <v>1159</v>
      </c>
      <c r="D92" s="114"/>
      <c r="E92" s="115"/>
      <c r="F92" s="88" t="s">
        <v>264</v>
      </c>
      <c r="G92" s="116">
        <v>1001700</v>
      </c>
      <c r="H92" s="117">
        <v>814000</v>
      </c>
      <c r="I92" s="117">
        <v>814000</v>
      </c>
      <c r="J92" s="118">
        <v>814000</v>
      </c>
    </row>
    <row r="93" spans="1:10" x14ac:dyDescent="0.2">
      <c r="A93" s="71">
        <f t="shared" si="1"/>
        <v>31</v>
      </c>
      <c r="B93" s="113"/>
      <c r="C93" s="114" t="s">
        <v>847</v>
      </c>
      <c r="D93" s="114"/>
      <c r="E93" s="115"/>
      <c r="F93" s="88" t="s">
        <v>298</v>
      </c>
      <c r="G93" s="73">
        <v>14800</v>
      </c>
      <c r="H93" s="117">
        <v>12000</v>
      </c>
      <c r="I93" s="117">
        <v>12000</v>
      </c>
      <c r="J93" s="118">
        <v>12000</v>
      </c>
    </row>
    <row r="94" spans="1:10" x14ac:dyDescent="0.2">
      <c r="A94" s="71">
        <f t="shared" si="1"/>
        <v>32</v>
      </c>
      <c r="B94" s="113"/>
      <c r="C94" s="114" t="s">
        <v>30</v>
      </c>
      <c r="D94" s="114"/>
      <c r="E94" s="115"/>
      <c r="F94" s="88" t="s">
        <v>265</v>
      </c>
      <c r="G94" s="73">
        <v>1000</v>
      </c>
      <c r="H94" s="117">
        <v>800</v>
      </c>
      <c r="I94" s="117">
        <v>800</v>
      </c>
      <c r="J94" s="118">
        <v>800</v>
      </c>
    </row>
    <row r="95" spans="1:10" x14ac:dyDescent="0.2">
      <c r="A95" s="71">
        <f>SUM(A94+1)</f>
        <v>33</v>
      </c>
      <c r="B95" s="113"/>
      <c r="C95" s="114" t="s">
        <v>893</v>
      </c>
      <c r="D95" s="114"/>
      <c r="E95" s="115"/>
      <c r="F95" s="88" t="s">
        <v>268</v>
      </c>
      <c r="G95" s="116">
        <v>27500</v>
      </c>
      <c r="H95" s="117">
        <v>22000</v>
      </c>
      <c r="I95" s="117">
        <v>22000</v>
      </c>
      <c r="J95" s="118">
        <v>22000</v>
      </c>
    </row>
    <row r="96" spans="1:10" x14ac:dyDescent="0.2">
      <c r="A96" s="71">
        <f t="shared" si="1"/>
        <v>34</v>
      </c>
      <c r="B96" s="113"/>
      <c r="C96" s="114" t="s">
        <v>28</v>
      </c>
      <c r="D96" s="114"/>
      <c r="E96" s="115"/>
      <c r="F96" s="88" t="s">
        <v>264</v>
      </c>
      <c r="G96" s="116">
        <v>333900</v>
      </c>
      <c r="H96" s="117">
        <v>271000</v>
      </c>
      <c r="I96" s="117">
        <v>271000</v>
      </c>
      <c r="J96" s="118">
        <v>271000</v>
      </c>
    </row>
    <row r="97" spans="1:10" x14ac:dyDescent="0.2">
      <c r="A97" s="71">
        <f t="shared" si="1"/>
        <v>35</v>
      </c>
      <c r="B97" s="113"/>
      <c r="C97" s="114" t="s">
        <v>560</v>
      </c>
      <c r="D97" s="114"/>
      <c r="E97" s="115"/>
      <c r="F97" s="88" t="s">
        <v>266</v>
      </c>
      <c r="G97" s="116">
        <v>120300</v>
      </c>
      <c r="H97" s="117">
        <v>97000</v>
      </c>
      <c r="I97" s="117">
        <v>97000</v>
      </c>
      <c r="J97" s="118">
        <v>97000</v>
      </c>
    </row>
    <row r="98" spans="1:10" s="3" customFormat="1" x14ac:dyDescent="0.2">
      <c r="A98" s="130">
        <f t="shared" si="1"/>
        <v>36</v>
      </c>
      <c r="B98" s="131"/>
      <c r="C98" s="132" t="s">
        <v>29</v>
      </c>
      <c r="D98" s="132"/>
      <c r="E98" s="133"/>
      <c r="F98" s="134" t="s">
        <v>264</v>
      </c>
      <c r="G98" s="135">
        <v>333900</v>
      </c>
      <c r="H98" s="136">
        <v>271000</v>
      </c>
      <c r="I98" s="137">
        <v>261000</v>
      </c>
      <c r="J98" s="138">
        <v>261000</v>
      </c>
    </row>
    <row r="99" spans="1:10" s="3" customFormat="1" x14ac:dyDescent="0.2">
      <c r="A99" s="130">
        <f t="shared" si="1"/>
        <v>37</v>
      </c>
      <c r="B99" s="131"/>
      <c r="C99" s="132" t="s">
        <v>33</v>
      </c>
      <c r="D99" s="132"/>
      <c r="E99" s="133"/>
      <c r="F99" s="134" t="s">
        <v>266</v>
      </c>
      <c r="G99" s="135">
        <v>106900</v>
      </c>
      <c r="H99" s="136">
        <v>86000</v>
      </c>
      <c r="I99" s="136">
        <v>86000</v>
      </c>
      <c r="J99" s="139">
        <v>86000</v>
      </c>
    </row>
    <row r="100" spans="1:10" s="3" customFormat="1" x14ac:dyDescent="0.2">
      <c r="A100" s="130">
        <f t="shared" si="1"/>
        <v>38</v>
      </c>
      <c r="B100" s="131"/>
      <c r="C100" s="132" t="s">
        <v>31</v>
      </c>
      <c r="D100" s="132"/>
      <c r="E100" s="133"/>
      <c r="F100" s="134" t="s">
        <v>266</v>
      </c>
      <c r="G100" s="135">
        <v>177100</v>
      </c>
      <c r="H100" s="136">
        <v>143000</v>
      </c>
      <c r="I100" s="136">
        <v>143000</v>
      </c>
      <c r="J100" s="139">
        <v>143000</v>
      </c>
    </row>
    <row r="101" spans="1:10" s="3" customFormat="1" x14ac:dyDescent="0.2">
      <c r="A101" s="130">
        <f t="shared" si="1"/>
        <v>39</v>
      </c>
      <c r="B101" s="131"/>
      <c r="C101" s="132" t="s">
        <v>32</v>
      </c>
      <c r="D101" s="132"/>
      <c r="E101" s="133"/>
      <c r="F101" s="134" t="s">
        <v>266</v>
      </c>
      <c r="G101" s="135">
        <v>133600</v>
      </c>
      <c r="H101" s="136">
        <v>108000</v>
      </c>
      <c r="I101" s="136">
        <v>108000</v>
      </c>
      <c r="J101" s="139">
        <v>108000</v>
      </c>
    </row>
    <row r="102" spans="1:10" s="3" customFormat="1" x14ac:dyDescent="0.2">
      <c r="A102" s="130">
        <f t="shared" si="1"/>
        <v>40</v>
      </c>
      <c r="B102" s="131"/>
      <c r="C102" s="132" t="s">
        <v>34</v>
      </c>
      <c r="D102" s="132"/>
      <c r="E102" s="133"/>
      <c r="F102" s="134" t="s">
        <v>264</v>
      </c>
      <c r="G102" s="135">
        <v>347300</v>
      </c>
      <c r="H102" s="137">
        <v>220000</v>
      </c>
      <c r="I102" s="137">
        <v>225000</v>
      </c>
      <c r="J102" s="138">
        <v>230000</v>
      </c>
    </row>
    <row r="103" spans="1:10" s="3" customFormat="1" x14ac:dyDescent="0.2">
      <c r="A103" s="130">
        <f t="shared" si="1"/>
        <v>41</v>
      </c>
      <c r="B103" s="131"/>
      <c r="C103" s="132" t="s">
        <v>35</v>
      </c>
      <c r="D103" s="132"/>
      <c r="E103" s="133"/>
      <c r="F103" s="134" t="s">
        <v>264</v>
      </c>
      <c r="G103" s="135">
        <v>347300</v>
      </c>
      <c r="H103" s="137">
        <v>220000</v>
      </c>
      <c r="I103" s="137">
        <v>225000</v>
      </c>
      <c r="J103" s="138">
        <v>230000</v>
      </c>
    </row>
    <row r="104" spans="1:10" s="3" customFormat="1" x14ac:dyDescent="0.2">
      <c r="A104" s="130">
        <f t="shared" si="1"/>
        <v>42</v>
      </c>
      <c r="B104" s="131"/>
      <c r="C104" s="132" t="s">
        <v>36</v>
      </c>
      <c r="D104" s="132"/>
      <c r="E104" s="133"/>
      <c r="F104" s="134" t="s">
        <v>264</v>
      </c>
      <c r="G104" s="135">
        <v>347300</v>
      </c>
      <c r="H104" s="137">
        <v>220000</v>
      </c>
      <c r="I104" s="137">
        <v>225000</v>
      </c>
      <c r="J104" s="138">
        <v>230000</v>
      </c>
    </row>
    <row r="105" spans="1:10" s="3" customFormat="1" x14ac:dyDescent="0.2">
      <c r="A105" s="130">
        <f>SUM(A104+1)</f>
        <v>43</v>
      </c>
      <c r="B105" s="131"/>
      <c r="C105" s="132" t="s">
        <v>37</v>
      </c>
      <c r="D105" s="132"/>
      <c r="E105" s="133"/>
      <c r="F105" s="134" t="s">
        <v>264</v>
      </c>
      <c r="G105" s="135">
        <v>347300</v>
      </c>
      <c r="H105" s="137">
        <v>220000</v>
      </c>
      <c r="I105" s="137">
        <v>225000</v>
      </c>
      <c r="J105" s="138">
        <v>230000</v>
      </c>
    </row>
    <row r="106" spans="1:10" s="3" customFormat="1" x14ac:dyDescent="0.2">
      <c r="A106" s="130">
        <f t="shared" si="1"/>
        <v>44</v>
      </c>
      <c r="B106" s="131"/>
      <c r="C106" s="132" t="s">
        <v>38</v>
      </c>
      <c r="D106" s="132"/>
      <c r="E106" s="133"/>
      <c r="F106" s="134" t="s">
        <v>264</v>
      </c>
      <c r="G106" s="135">
        <v>340600</v>
      </c>
      <c r="H106" s="137">
        <v>265000</v>
      </c>
      <c r="I106" s="137">
        <v>255000</v>
      </c>
      <c r="J106" s="138">
        <v>255000</v>
      </c>
    </row>
    <row r="107" spans="1:10" s="3" customFormat="1" x14ac:dyDescent="0.2">
      <c r="A107" s="130">
        <f t="shared" si="1"/>
        <v>45</v>
      </c>
      <c r="B107" s="131"/>
      <c r="C107" s="132" t="s">
        <v>39</v>
      </c>
      <c r="D107" s="132"/>
      <c r="E107" s="133"/>
      <c r="F107" s="134" t="s">
        <v>264</v>
      </c>
      <c r="G107" s="135">
        <v>340600</v>
      </c>
      <c r="H107" s="137">
        <v>265000</v>
      </c>
      <c r="I107" s="137">
        <v>255000</v>
      </c>
      <c r="J107" s="138">
        <v>255000</v>
      </c>
    </row>
    <row r="108" spans="1:10" s="3" customFormat="1" x14ac:dyDescent="0.2">
      <c r="A108" s="130">
        <f t="shared" si="1"/>
        <v>46</v>
      </c>
      <c r="B108" s="131"/>
      <c r="C108" s="132" t="s">
        <v>40</v>
      </c>
      <c r="D108" s="132"/>
      <c r="E108" s="133"/>
      <c r="F108" s="134" t="s">
        <v>264</v>
      </c>
      <c r="G108" s="135">
        <v>338000</v>
      </c>
      <c r="H108" s="137">
        <v>263000</v>
      </c>
      <c r="I108" s="137">
        <v>253000</v>
      </c>
      <c r="J108" s="138">
        <v>253000</v>
      </c>
    </row>
    <row r="109" spans="1:10" s="3" customFormat="1" x14ac:dyDescent="0.2">
      <c r="A109" s="130">
        <f t="shared" si="1"/>
        <v>47</v>
      </c>
      <c r="B109" s="131"/>
      <c r="C109" s="132" t="s">
        <v>41</v>
      </c>
      <c r="D109" s="132"/>
      <c r="E109" s="133"/>
      <c r="F109" s="134" t="s">
        <v>264</v>
      </c>
      <c r="G109" s="135">
        <v>336700</v>
      </c>
      <c r="H109" s="137">
        <v>262000</v>
      </c>
      <c r="I109" s="137">
        <v>252000</v>
      </c>
      <c r="J109" s="138">
        <v>252000</v>
      </c>
    </row>
    <row r="110" spans="1:10" s="3" customFormat="1" x14ac:dyDescent="0.2">
      <c r="A110" s="130">
        <f t="shared" si="1"/>
        <v>48</v>
      </c>
      <c r="B110" s="131"/>
      <c r="C110" s="132" t="s">
        <v>42</v>
      </c>
      <c r="D110" s="132"/>
      <c r="E110" s="133"/>
      <c r="F110" s="134" t="s">
        <v>264</v>
      </c>
      <c r="G110" s="135">
        <v>333900</v>
      </c>
      <c r="H110" s="137">
        <v>260000</v>
      </c>
      <c r="I110" s="137">
        <v>250000</v>
      </c>
      <c r="J110" s="138">
        <v>250000</v>
      </c>
    </row>
    <row r="111" spans="1:10" s="3" customFormat="1" x14ac:dyDescent="0.2">
      <c r="A111" s="130">
        <f t="shared" si="1"/>
        <v>49</v>
      </c>
      <c r="B111" s="131"/>
      <c r="C111" s="132" t="s">
        <v>648</v>
      </c>
      <c r="D111" s="132"/>
      <c r="E111" s="133"/>
      <c r="F111" s="134" t="s">
        <v>298</v>
      </c>
      <c r="G111" s="135">
        <v>40100</v>
      </c>
      <c r="H111" s="136">
        <v>32600</v>
      </c>
      <c r="I111" s="136">
        <v>32600</v>
      </c>
      <c r="J111" s="139">
        <v>32600</v>
      </c>
    </row>
    <row r="112" spans="1:10" x14ac:dyDescent="0.2">
      <c r="A112" s="71">
        <f t="shared" si="1"/>
        <v>50</v>
      </c>
      <c r="B112" s="113"/>
      <c r="C112" s="114" t="s">
        <v>454</v>
      </c>
      <c r="D112" s="114"/>
      <c r="E112" s="115"/>
      <c r="F112" s="88" t="s">
        <v>298</v>
      </c>
      <c r="G112" s="116">
        <v>14800</v>
      </c>
      <c r="H112" s="128">
        <v>11500</v>
      </c>
      <c r="I112" s="128">
        <v>11500</v>
      </c>
      <c r="J112" s="129">
        <v>11500</v>
      </c>
    </row>
    <row r="113" spans="1:10" x14ac:dyDescent="0.2">
      <c r="A113" s="71">
        <f t="shared" si="1"/>
        <v>51</v>
      </c>
      <c r="B113" s="113"/>
      <c r="C113" s="115" t="s">
        <v>848</v>
      </c>
      <c r="D113" s="140"/>
      <c r="E113" s="140"/>
      <c r="F113" s="88" t="s">
        <v>247</v>
      </c>
      <c r="G113" s="116">
        <v>6100</v>
      </c>
      <c r="H113" s="117">
        <v>4900</v>
      </c>
      <c r="I113" s="117">
        <v>4900</v>
      </c>
      <c r="J113" s="118">
        <v>4900</v>
      </c>
    </row>
    <row r="114" spans="1:10" x14ac:dyDescent="0.2">
      <c r="A114" s="89">
        <f>SUM(A113+1)</f>
        <v>52</v>
      </c>
      <c r="B114" s="113"/>
      <c r="C114" s="114" t="s">
        <v>849</v>
      </c>
      <c r="D114" s="114"/>
      <c r="E114" s="115"/>
      <c r="F114" s="88" t="s">
        <v>247</v>
      </c>
      <c r="G114" s="116">
        <v>10100</v>
      </c>
      <c r="H114" s="117">
        <v>8200</v>
      </c>
      <c r="I114" s="117">
        <v>8200</v>
      </c>
      <c r="J114" s="118">
        <v>8200</v>
      </c>
    </row>
    <row r="115" spans="1:10" x14ac:dyDescent="0.2">
      <c r="A115" s="71">
        <f t="shared" ref="A115:A172" si="2">SUM(A114+1)</f>
        <v>53</v>
      </c>
      <c r="B115" s="113"/>
      <c r="C115" s="114" t="s">
        <v>850</v>
      </c>
      <c r="D115" s="114"/>
      <c r="E115" s="115"/>
      <c r="F115" s="88" t="s">
        <v>247</v>
      </c>
      <c r="G115" s="116">
        <v>10800</v>
      </c>
      <c r="H115" s="117">
        <v>8700</v>
      </c>
      <c r="I115" s="117">
        <v>8700</v>
      </c>
      <c r="J115" s="118">
        <v>8700</v>
      </c>
    </row>
    <row r="116" spans="1:10" x14ac:dyDescent="0.2">
      <c r="A116" s="71">
        <f t="shared" si="2"/>
        <v>54</v>
      </c>
      <c r="B116" s="113"/>
      <c r="C116" s="114" t="s">
        <v>851</v>
      </c>
      <c r="D116" s="114"/>
      <c r="E116" s="115"/>
      <c r="F116" s="88" t="s">
        <v>247</v>
      </c>
      <c r="G116" s="116">
        <v>16200</v>
      </c>
      <c r="H116" s="117">
        <v>13000</v>
      </c>
      <c r="I116" s="117">
        <v>13000</v>
      </c>
      <c r="J116" s="118">
        <v>13000</v>
      </c>
    </row>
    <row r="117" spans="1:10" x14ac:dyDescent="0.2">
      <c r="A117" s="71">
        <f t="shared" si="2"/>
        <v>55</v>
      </c>
      <c r="B117" s="113"/>
      <c r="C117" s="114" t="s">
        <v>647</v>
      </c>
      <c r="D117" s="114"/>
      <c r="E117" s="115"/>
      <c r="F117" s="88" t="s">
        <v>298</v>
      </c>
      <c r="G117" s="116">
        <v>23500</v>
      </c>
      <c r="H117" s="117">
        <v>19000</v>
      </c>
      <c r="I117" s="117">
        <v>19000</v>
      </c>
      <c r="J117" s="118">
        <v>19000</v>
      </c>
    </row>
    <row r="118" spans="1:10" x14ac:dyDescent="0.2">
      <c r="A118" s="71">
        <f t="shared" si="2"/>
        <v>56</v>
      </c>
      <c r="B118" s="113"/>
      <c r="C118" s="114" t="s">
        <v>852</v>
      </c>
      <c r="D118" s="114"/>
      <c r="E118" s="115"/>
      <c r="F118" s="88" t="s">
        <v>298</v>
      </c>
      <c r="G118" s="116">
        <v>23500</v>
      </c>
      <c r="H118" s="117">
        <v>19000</v>
      </c>
      <c r="I118" s="117">
        <v>19000</v>
      </c>
      <c r="J118" s="118">
        <v>19000</v>
      </c>
    </row>
    <row r="119" spans="1:10" x14ac:dyDescent="0.2">
      <c r="A119" s="71">
        <f t="shared" si="2"/>
        <v>57</v>
      </c>
      <c r="B119" s="113"/>
      <c r="C119" s="114" t="s">
        <v>853</v>
      </c>
      <c r="D119" s="114"/>
      <c r="E119" s="115"/>
      <c r="F119" s="88" t="s">
        <v>277</v>
      </c>
      <c r="G119" s="116">
        <v>318200</v>
      </c>
      <c r="H119" s="117">
        <v>258000</v>
      </c>
      <c r="I119" s="117">
        <v>258000</v>
      </c>
      <c r="J119" s="118">
        <v>258000</v>
      </c>
    </row>
    <row r="120" spans="1:10" x14ac:dyDescent="0.2">
      <c r="A120" s="71">
        <f t="shared" si="2"/>
        <v>58</v>
      </c>
      <c r="B120" s="113"/>
      <c r="C120" s="114" t="s">
        <v>854</v>
      </c>
      <c r="D120" s="114"/>
      <c r="E120" s="115"/>
      <c r="F120" s="88" t="s">
        <v>277</v>
      </c>
      <c r="G120" s="116">
        <v>441000</v>
      </c>
      <c r="H120" s="117">
        <v>358000</v>
      </c>
      <c r="I120" s="117">
        <v>358000</v>
      </c>
      <c r="J120" s="118">
        <v>358000</v>
      </c>
    </row>
    <row r="121" spans="1:10" x14ac:dyDescent="0.2">
      <c r="A121" s="71">
        <f t="shared" si="2"/>
        <v>59</v>
      </c>
      <c r="B121" s="113"/>
      <c r="C121" s="114" t="s">
        <v>855</v>
      </c>
      <c r="D121" s="114"/>
      <c r="E121" s="115"/>
      <c r="F121" s="88" t="s">
        <v>277</v>
      </c>
      <c r="G121" s="116">
        <v>473600</v>
      </c>
      <c r="H121" s="117">
        <v>385000</v>
      </c>
      <c r="I121" s="117">
        <v>385000</v>
      </c>
      <c r="J121" s="118">
        <v>385000</v>
      </c>
    </row>
    <row r="122" spans="1:10" x14ac:dyDescent="0.2">
      <c r="A122" s="71">
        <f t="shared" si="2"/>
        <v>60</v>
      </c>
      <c r="B122" s="113"/>
      <c r="C122" s="114" t="s">
        <v>856</v>
      </c>
      <c r="D122" s="114"/>
      <c r="E122" s="115"/>
      <c r="F122" s="88" t="s">
        <v>277</v>
      </c>
      <c r="G122" s="116">
        <v>509600</v>
      </c>
      <c r="H122" s="117">
        <v>414000</v>
      </c>
      <c r="I122" s="117">
        <v>414000</v>
      </c>
      <c r="J122" s="118">
        <v>414000</v>
      </c>
    </row>
    <row r="123" spans="1:10" x14ac:dyDescent="0.2">
      <c r="A123" s="71">
        <f t="shared" si="2"/>
        <v>61</v>
      </c>
      <c r="B123" s="113"/>
      <c r="C123" s="114" t="s">
        <v>857</v>
      </c>
      <c r="D123" s="114"/>
      <c r="E123" s="115"/>
      <c r="F123" s="88" t="s">
        <v>277</v>
      </c>
      <c r="G123" s="116">
        <v>661500</v>
      </c>
      <c r="H123" s="117">
        <v>537000</v>
      </c>
      <c r="I123" s="117">
        <v>537000</v>
      </c>
      <c r="J123" s="118">
        <v>537000</v>
      </c>
    </row>
    <row r="124" spans="1:10" x14ac:dyDescent="0.2">
      <c r="A124" s="71">
        <f t="shared" si="2"/>
        <v>62</v>
      </c>
      <c r="B124" s="113"/>
      <c r="C124" s="114" t="s">
        <v>858</v>
      </c>
      <c r="D124" s="114"/>
      <c r="E124" s="115"/>
      <c r="F124" s="88" t="s">
        <v>277</v>
      </c>
      <c r="G124" s="116">
        <v>835000</v>
      </c>
      <c r="H124" s="117">
        <v>678000</v>
      </c>
      <c r="I124" s="117">
        <v>678000</v>
      </c>
      <c r="J124" s="118">
        <v>678000</v>
      </c>
    </row>
    <row r="125" spans="1:10" x14ac:dyDescent="0.2">
      <c r="A125" s="71">
        <f t="shared" si="2"/>
        <v>63</v>
      </c>
      <c r="B125" s="113"/>
      <c r="C125" s="114" t="s">
        <v>859</v>
      </c>
      <c r="D125" s="114"/>
      <c r="E125" s="115"/>
      <c r="F125" s="88" t="s">
        <v>277</v>
      </c>
      <c r="G125" s="116">
        <v>880200</v>
      </c>
      <c r="H125" s="117">
        <v>715000</v>
      </c>
      <c r="I125" s="117">
        <v>715000</v>
      </c>
      <c r="J125" s="118">
        <v>715000</v>
      </c>
    </row>
    <row r="126" spans="1:10" x14ac:dyDescent="0.2">
      <c r="A126" s="71">
        <f t="shared" si="2"/>
        <v>64</v>
      </c>
      <c r="B126" s="113"/>
      <c r="C126" s="114" t="s">
        <v>860</v>
      </c>
      <c r="D126" s="114"/>
      <c r="E126" s="115"/>
      <c r="F126" s="88" t="s">
        <v>277</v>
      </c>
      <c r="G126" s="116">
        <v>928900</v>
      </c>
      <c r="H126" s="117">
        <v>755000</v>
      </c>
      <c r="I126" s="117">
        <v>755000</v>
      </c>
      <c r="J126" s="118">
        <v>755000</v>
      </c>
    </row>
    <row r="127" spans="1:10" x14ac:dyDescent="0.2">
      <c r="A127" s="71">
        <f t="shared" si="2"/>
        <v>65</v>
      </c>
      <c r="B127" s="113"/>
      <c r="C127" s="114" t="s">
        <v>861</v>
      </c>
      <c r="D127" s="114"/>
      <c r="E127" s="115"/>
      <c r="F127" s="88" t="s">
        <v>277</v>
      </c>
      <c r="G127" s="116">
        <v>1447600</v>
      </c>
      <c r="H127" s="117">
        <v>1176000</v>
      </c>
      <c r="I127" s="117">
        <v>1176000</v>
      </c>
      <c r="J127" s="118">
        <v>1176000</v>
      </c>
    </row>
    <row r="128" spans="1:10" x14ac:dyDescent="0.2">
      <c r="A128" s="71">
        <f t="shared" si="2"/>
        <v>66</v>
      </c>
      <c r="B128" s="113"/>
      <c r="C128" s="114" t="s">
        <v>862</v>
      </c>
      <c r="D128" s="114"/>
      <c r="E128" s="115"/>
      <c r="F128" s="88" t="s">
        <v>277</v>
      </c>
      <c r="G128" s="116">
        <v>2253500</v>
      </c>
      <c r="H128" s="117">
        <v>1832000</v>
      </c>
      <c r="I128" s="117">
        <v>1832000</v>
      </c>
      <c r="J128" s="118">
        <v>1832000</v>
      </c>
    </row>
    <row r="129" spans="1:10" x14ac:dyDescent="0.2">
      <c r="A129" s="71">
        <f t="shared" si="2"/>
        <v>67</v>
      </c>
      <c r="B129" s="113"/>
      <c r="C129" s="114" t="s">
        <v>435</v>
      </c>
      <c r="D129" s="114"/>
      <c r="E129" s="115"/>
      <c r="F129" s="88" t="s">
        <v>247</v>
      </c>
      <c r="G129" s="116">
        <v>37500</v>
      </c>
      <c r="H129" s="117">
        <v>30000</v>
      </c>
      <c r="I129" s="117">
        <v>30000</v>
      </c>
      <c r="J129" s="118">
        <v>30000</v>
      </c>
    </row>
    <row r="130" spans="1:10" x14ac:dyDescent="0.2">
      <c r="A130" s="71">
        <f t="shared" si="2"/>
        <v>68</v>
      </c>
      <c r="B130" s="113"/>
      <c r="C130" s="114" t="s">
        <v>482</v>
      </c>
      <c r="D130" s="114"/>
      <c r="E130" s="115"/>
      <c r="F130" s="88" t="s">
        <v>247</v>
      </c>
      <c r="G130" s="116">
        <v>47500</v>
      </c>
      <c r="H130" s="117">
        <v>38000</v>
      </c>
      <c r="I130" s="117">
        <v>38000</v>
      </c>
      <c r="J130" s="118">
        <v>38000</v>
      </c>
    </row>
    <row r="131" spans="1:10" x14ac:dyDescent="0.2">
      <c r="A131" s="71">
        <f t="shared" si="2"/>
        <v>69</v>
      </c>
      <c r="B131" s="113"/>
      <c r="C131" s="114" t="s">
        <v>434</v>
      </c>
      <c r="D131" s="114"/>
      <c r="E131" s="115"/>
      <c r="F131" s="88" t="s">
        <v>247</v>
      </c>
      <c r="G131" s="116">
        <v>47500</v>
      </c>
      <c r="H131" s="117">
        <v>38000</v>
      </c>
      <c r="I131" s="117">
        <v>38000</v>
      </c>
      <c r="J131" s="118">
        <v>38000</v>
      </c>
    </row>
    <row r="132" spans="1:10" x14ac:dyDescent="0.2">
      <c r="A132" s="71">
        <f t="shared" si="2"/>
        <v>70</v>
      </c>
      <c r="B132" s="113"/>
      <c r="C132" s="114" t="s">
        <v>478</v>
      </c>
      <c r="D132" s="114"/>
      <c r="E132" s="115"/>
      <c r="F132" s="88" t="s">
        <v>247</v>
      </c>
      <c r="G132" s="116">
        <v>67600</v>
      </c>
      <c r="H132" s="117">
        <v>54000</v>
      </c>
      <c r="I132" s="117">
        <v>54000</v>
      </c>
      <c r="J132" s="118">
        <v>54000</v>
      </c>
    </row>
    <row r="133" spans="1:10" x14ac:dyDescent="0.2">
      <c r="A133" s="71">
        <f t="shared" si="2"/>
        <v>71</v>
      </c>
      <c r="B133" s="113"/>
      <c r="C133" s="114" t="s">
        <v>479</v>
      </c>
      <c r="D133" s="114"/>
      <c r="E133" s="115"/>
      <c r="F133" s="88" t="s">
        <v>247</v>
      </c>
      <c r="G133" s="116">
        <v>70900</v>
      </c>
      <c r="H133" s="117">
        <v>57000</v>
      </c>
      <c r="I133" s="117">
        <v>57000</v>
      </c>
      <c r="J133" s="118">
        <v>57000</v>
      </c>
    </row>
    <row r="134" spans="1:10" x14ac:dyDescent="0.2">
      <c r="A134" s="71">
        <f t="shared" si="2"/>
        <v>72</v>
      </c>
      <c r="B134" s="113"/>
      <c r="C134" s="114" t="s">
        <v>480</v>
      </c>
      <c r="D134" s="114"/>
      <c r="E134" s="115"/>
      <c r="F134" s="88" t="s">
        <v>247</v>
      </c>
      <c r="G134" s="116">
        <v>97600</v>
      </c>
      <c r="H134" s="117">
        <v>79000</v>
      </c>
      <c r="I134" s="117">
        <v>79000</v>
      </c>
      <c r="J134" s="118">
        <v>79000</v>
      </c>
    </row>
    <row r="135" spans="1:10" x14ac:dyDescent="0.2">
      <c r="A135" s="71">
        <f t="shared" si="2"/>
        <v>73</v>
      </c>
      <c r="B135" s="113"/>
      <c r="C135" s="114" t="s">
        <v>481</v>
      </c>
      <c r="D135" s="114"/>
      <c r="E135" s="115"/>
      <c r="F135" s="88" t="s">
        <v>247</v>
      </c>
      <c r="G135" s="116">
        <v>110900</v>
      </c>
      <c r="H135" s="117">
        <v>90000</v>
      </c>
      <c r="I135" s="117">
        <v>90000</v>
      </c>
      <c r="J135" s="118">
        <v>90000</v>
      </c>
    </row>
    <row r="136" spans="1:10" x14ac:dyDescent="0.2">
      <c r="A136" s="71">
        <f t="shared" si="2"/>
        <v>74</v>
      </c>
      <c r="B136" s="113"/>
      <c r="C136" s="114" t="s">
        <v>43</v>
      </c>
      <c r="D136" s="114"/>
      <c r="E136" s="115"/>
      <c r="F136" s="88" t="s">
        <v>265</v>
      </c>
      <c r="G136" s="116">
        <v>117600</v>
      </c>
      <c r="H136" s="117">
        <v>95000</v>
      </c>
      <c r="I136" s="117">
        <v>95000</v>
      </c>
      <c r="J136" s="118">
        <v>95000</v>
      </c>
    </row>
    <row r="137" spans="1:10" x14ac:dyDescent="0.2">
      <c r="A137" s="71">
        <f t="shared" si="2"/>
        <v>75</v>
      </c>
      <c r="B137" s="113"/>
      <c r="C137" s="114" t="s">
        <v>44</v>
      </c>
      <c r="D137" s="114"/>
      <c r="E137" s="115"/>
      <c r="F137" s="88" t="s">
        <v>265</v>
      </c>
      <c r="G137" s="116">
        <v>171000</v>
      </c>
      <c r="H137" s="117">
        <v>139000</v>
      </c>
      <c r="I137" s="117">
        <v>139000</v>
      </c>
      <c r="J137" s="118">
        <v>139000</v>
      </c>
    </row>
    <row r="138" spans="1:10" x14ac:dyDescent="0.2">
      <c r="A138" s="71">
        <f t="shared" si="2"/>
        <v>76</v>
      </c>
      <c r="B138" s="113"/>
      <c r="C138" s="114" t="s">
        <v>624</v>
      </c>
      <c r="D138" s="114"/>
      <c r="E138" s="115"/>
      <c r="F138" s="88" t="s">
        <v>298</v>
      </c>
      <c r="G138" s="116">
        <v>73500</v>
      </c>
      <c r="H138" s="117">
        <v>59000</v>
      </c>
      <c r="I138" s="117">
        <v>59000</v>
      </c>
      <c r="J138" s="118">
        <v>59000</v>
      </c>
    </row>
    <row r="139" spans="1:10" x14ac:dyDescent="0.2">
      <c r="A139" s="71">
        <f t="shared" si="2"/>
        <v>77</v>
      </c>
      <c r="B139" s="113"/>
      <c r="C139" s="114" t="s">
        <v>483</v>
      </c>
      <c r="D139" s="114"/>
      <c r="E139" s="115"/>
      <c r="F139" s="88" t="s">
        <v>298</v>
      </c>
      <c r="G139" s="116">
        <v>73500</v>
      </c>
      <c r="H139" s="117">
        <v>59000</v>
      </c>
      <c r="I139" s="117">
        <v>59000</v>
      </c>
      <c r="J139" s="118">
        <v>59000</v>
      </c>
    </row>
    <row r="140" spans="1:10" x14ac:dyDescent="0.2">
      <c r="A140" s="71">
        <f t="shared" si="2"/>
        <v>78</v>
      </c>
      <c r="B140" s="113"/>
      <c r="C140" s="114" t="s">
        <v>436</v>
      </c>
      <c r="D140" s="114"/>
      <c r="E140" s="115"/>
      <c r="F140" s="88" t="s">
        <v>298</v>
      </c>
      <c r="G140" s="116">
        <v>73500</v>
      </c>
      <c r="H140" s="117">
        <v>59000</v>
      </c>
      <c r="I140" s="117">
        <v>59000</v>
      </c>
      <c r="J140" s="118">
        <v>59000</v>
      </c>
    </row>
    <row r="141" spans="1:10" x14ac:dyDescent="0.2">
      <c r="A141" s="71">
        <f t="shared" si="2"/>
        <v>79</v>
      </c>
      <c r="B141" s="113"/>
      <c r="C141" s="114" t="s">
        <v>437</v>
      </c>
      <c r="D141" s="114"/>
      <c r="E141" s="115"/>
      <c r="F141" s="88" t="s">
        <v>298</v>
      </c>
      <c r="G141" s="116">
        <v>33400</v>
      </c>
      <c r="H141" s="117">
        <v>27000</v>
      </c>
      <c r="I141" s="117">
        <v>27000</v>
      </c>
      <c r="J141" s="118">
        <v>27000</v>
      </c>
    </row>
    <row r="142" spans="1:10" x14ac:dyDescent="0.2">
      <c r="A142" s="71">
        <f t="shared" si="2"/>
        <v>80</v>
      </c>
      <c r="B142" s="113"/>
      <c r="C142" s="114" t="s">
        <v>484</v>
      </c>
      <c r="D142" s="114"/>
      <c r="E142" s="115"/>
      <c r="F142" s="88" t="s">
        <v>298</v>
      </c>
      <c r="G142" s="116">
        <v>167000</v>
      </c>
      <c r="H142" s="117">
        <v>135000</v>
      </c>
      <c r="I142" s="117">
        <v>135000</v>
      </c>
      <c r="J142" s="118">
        <v>135000</v>
      </c>
    </row>
    <row r="143" spans="1:10" x14ac:dyDescent="0.2">
      <c r="A143" s="71">
        <f t="shared" si="2"/>
        <v>81</v>
      </c>
      <c r="B143" s="113"/>
      <c r="C143" s="114" t="s">
        <v>738</v>
      </c>
      <c r="D143" s="114"/>
      <c r="E143" s="115"/>
      <c r="F143" s="88" t="s">
        <v>268</v>
      </c>
      <c r="G143" s="116">
        <v>1669500</v>
      </c>
      <c r="H143" s="117">
        <v>1357000</v>
      </c>
      <c r="I143" s="117">
        <v>1357000</v>
      </c>
      <c r="J143" s="118">
        <v>1357000</v>
      </c>
    </row>
    <row r="144" spans="1:10" x14ac:dyDescent="0.2">
      <c r="A144" s="71">
        <f t="shared" si="2"/>
        <v>82</v>
      </c>
      <c r="B144" s="113"/>
      <c r="C144" s="114" t="s">
        <v>863</v>
      </c>
      <c r="D144" s="114"/>
      <c r="E144" s="115"/>
      <c r="F144" s="88" t="s">
        <v>268</v>
      </c>
      <c r="G144" s="116">
        <v>1803100</v>
      </c>
      <c r="H144" s="117">
        <v>1465000</v>
      </c>
      <c r="I144" s="117">
        <v>1465000</v>
      </c>
      <c r="J144" s="118">
        <v>1465000</v>
      </c>
    </row>
    <row r="145" spans="1:10" x14ac:dyDescent="0.2">
      <c r="A145" s="71">
        <f t="shared" si="2"/>
        <v>83</v>
      </c>
      <c r="B145" s="113"/>
      <c r="C145" s="114" t="s">
        <v>864</v>
      </c>
      <c r="D145" s="114"/>
      <c r="E145" s="115"/>
      <c r="F145" s="88" t="s">
        <v>268</v>
      </c>
      <c r="G145" s="116">
        <v>3071900</v>
      </c>
      <c r="H145" s="117">
        <v>2497000</v>
      </c>
      <c r="I145" s="117">
        <v>2497000</v>
      </c>
      <c r="J145" s="118">
        <v>2497000</v>
      </c>
    </row>
    <row r="146" spans="1:10" x14ac:dyDescent="0.2">
      <c r="A146" s="71">
        <f t="shared" si="2"/>
        <v>84</v>
      </c>
      <c r="B146" s="113"/>
      <c r="C146" s="114" t="s">
        <v>865</v>
      </c>
      <c r="D146" s="114"/>
      <c r="E146" s="115"/>
      <c r="F146" s="88" t="s">
        <v>268</v>
      </c>
      <c r="G146" s="116">
        <v>1335600</v>
      </c>
      <c r="H146" s="117">
        <v>1085000</v>
      </c>
      <c r="I146" s="117">
        <v>1085000</v>
      </c>
      <c r="J146" s="118">
        <v>1085000</v>
      </c>
    </row>
    <row r="147" spans="1:10" x14ac:dyDescent="0.2">
      <c r="A147" s="71">
        <f t="shared" si="2"/>
        <v>85</v>
      </c>
      <c r="B147" s="113"/>
      <c r="C147" s="114" t="s">
        <v>866</v>
      </c>
      <c r="D147" s="114"/>
      <c r="E147" s="115"/>
      <c r="F147" s="88" t="s">
        <v>268</v>
      </c>
      <c r="G147" s="116">
        <v>133600</v>
      </c>
      <c r="H147" s="117">
        <v>108000</v>
      </c>
      <c r="I147" s="117">
        <v>108000</v>
      </c>
      <c r="J147" s="118">
        <v>108000</v>
      </c>
    </row>
    <row r="148" spans="1:10" x14ac:dyDescent="0.2">
      <c r="A148" s="71">
        <f t="shared" si="2"/>
        <v>86</v>
      </c>
      <c r="B148" s="113"/>
      <c r="C148" s="114" t="s">
        <v>867</v>
      </c>
      <c r="D148" s="114"/>
      <c r="E148" s="115"/>
      <c r="F148" s="88" t="s">
        <v>268</v>
      </c>
      <c r="G148" s="116">
        <v>200400</v>
      </c>
      <c r="H148" s="117">
        <v>162000</v>
      </c>
      <c r="I148" s="117">
        <v>162000</v>
      </c>
      <c r="J148" s="118">
        <v>162000</v>
      </c>
    </row>
    <row r="149" spans="1:10" x14ac:dyDescent="0.2">
      <c r="A149" s="71">
        <f t="shared" si="2"/>
        <v>87</v>
      </c>
      <c r="B149" s="113"/>
      <c r="C149" s="114" t="s">
        <v>942</v>
      </c>
      <c r="D149" s="114"/>
      <c r="E149" s="115"/>
      <c r="F149" s="88" t="s">
        <v>298</v>
      </c>
      <c r="G149" s="116">
        <v>26800</v>
      </c>
      <c r="H149" s="117">
        <v>21000</v>
      </c>
      <c r="I149" s="117">
        <v>21000</v>
      </c>
      <c r="J149" s="118">
        <v>21000</v>
      </c>
    </row>
    <row r="150" spans="1:10" x14ac:dyDescent="0.2">
      <c r="A150" s="71">
        <f t="shared" si="2"/>
        <v>88</v>
      </c>
      <c r="B150" s="113"/>
      <c r="C150" s="114" t="s">
        <v>714</v>
      </c>
      <c r="D150" s="114"/>
      <c r="E150" s="115"/>
      <c r="F150" s="88" t="s">
        <v>268</v>
      </c>
      <c r="G150" s="116">
        <v>40100</v>
      </c>
      <c r="H150" s="117">
        <v>32000</v>
      </c>
      <c r="I150" s="117">
        <v>32000</v>
      </c>
      <c r="J150" s="118">
        <v>32000</v>
      </c>
    </row>
    <row r="151" spans="1:10" x14ac:dyDescent="0.2">
      <c r="A151" s="71">
        <f t="shared" si="2"/>
        <v>89</v>
      </c>
      <c r="B151" s="113"/>
      <c r="C151" s="114" t="s">
        <v>582</v>
      </c>
      <c r="D151" s="114"/>
      <c r="E151" s="115"/>
      <c r="F151" s="88" t="s">
        <v>268</v>
      </c>
      <c r="G151" s="116">
        <v>13400</v>
      </c>
      <c r="H151" s="117">
        <v>10000</v>
      </c>
      <c r="I151" s="117">
        <v>10000</v>
      </c>
      <c r="J151" s="118">
        <v>10000</v>
      </c>
    </row>
    <row r="152" spans="1:10" x14ac:dyDescent="0.2">
      <c r="A152" s="71">
        <f t="shared" si="2"/>
        <v>90</v>
      </c>
      <c r="B152" s="113"/>
      <c r="C152" s="114" t="s">
        <v>583</v>
      </c>
      <c r="D152" s="114"/>
      <c r="E152" s="115"/>
      <c r="F152" s="88" t="s">
        <v>268</v>
      </c>
      <c r="G152" s="116">
        <v>16200</v>
      </c>
      <c r="H152" s="117">
        <v>13000</v>
      </c>
      <c r="I152" s="117">
        <v>13000</v>
      </c>
      <c r="J152" s="118">
        <v>13000</v>
      </c>
    </row>
    <row r="153" spans="1:10" x14ac:dyDescent="0.2">
      <c r="A153" s="71">
        <f t="shared" si="2"/>
        <v>91</v>
      </c>
      <c r="B153" s="113"/>
      <c r="C153" s="114" t="s">
        <v>584</v>
      </c>
      <c r="D153" s="114"/>
      <c r="E153" s="115"/>
      <c r="F153" s="88" t="s">
        <v>268</v>
      </c>
      <c r="G153" s="116">
        <v>20100</v>
      </c>
      <c r="H153" s="117">
        <v>16000</v>
      </c>
      <c r="I153" s="117">
        <v>16000</v>
      </c>
      <c r="J153" s="118">
        <v>16000</v>
      </c>
    </row>
    <row r="154" spans="1:10" x14ac:dyDescent="0.2">
      <c r="A154" s="71">
        <f t="shared" si="2"/>
        <v>92</v>
      </c>
      <c r="B154" s="113"/>
      <c r="C154" s="114" t="s">
        <v>579</v>
      </c>
      <c r="D154" s="114"/>
      <c r="E154" s="115"/>
      <c r="F154" s="88" t="s">
        <v>268</v>
      </c>
      <c r="G154" s="116">
        <v>13400</v>
      </c>
      <c r="H154" s="117">
        <v>10000</v>
      </c>
      <c r="I154" s="117">
        <v>10000</v>
      </c>
      <c r="J154" s="118">
        <v>10000</v>
      </c>
    </row>
    <row r="155" spans="1:10" x14ac:dyDescent="0.2">
      <c r="A155" s="71">
        <f t="shared" si="2"/>
        <v>93</v>
      </c>
      <c r="B155" s="113"/>
      <c r="C155" s="114" t="s">
        <v>580</v>
      </c>
      <c r="D155" s="114"/>
      <c r="E155" s="115"/>
      <c r="F155" s="88" t="s">
        <v>268</v>
      </c>
      <c r="G155" s="116">
        <v>20100</v>
      </c>
      <c r="H155" s="117">
        <v>16000</v>
      </c>
      <c r="I155" s="117">
        <v>16000</v>
      </c>
      <c r="J155" s="118">
        <v>16000</v>
      </c>
    </row>
    <row r="156" spans="1:10" x14ac:dyDescent="0.2">
      <c r="A156" s="71">
        <f t="shared" si="2"/>
        <v>94</v>
      </c>
      <c r="B156" s="113"/>
      <c r="C156" s="114" t="s">
        <v>581</v>
      </c>
      <c r="D156" s="114"/>
      <c r="E156" s="115"/>
      <c r="F156" s="88" t="s">
        <v>268</v>
      </c>
      <c r="G156" s="116">
        <v>26800</v>
      </c>
      <c r="H156" s="117">
        <v>21000</v>
      </c>
      <c r="I156" s="117">
        <v>21000</v>
      </c>
      <c r="J156" s="118">
        <v>21000</v>
      </c>
    </row>
    <row r="157" spans="1:10" x14ac:dyDescent="0.2">
      <c r="A157" s="71">
        <f t="shared" si="2"/>
        <v>95</v>
      </c>
      <c r="B157" s="113"/>
      <c r="C157" s="114" t="s">
        <v>45</v>
      </c>
      <c r="D157" s="114"/>
      <c r="E157" s="115"/>
      <c r="F157" s="88" t="s">
        <v>277</v>
      </c>
      <c r="G157" s="116">
        <v>18800</v>
      </c>
      <c r="H157" s="117">
        <v>15000</v>
      </c>
      <c r="I157" s="117">
        <v>15000</v>
      </c>
      <c r="J157" s="118">
        <v>15000</v>
      </c>
    </row>
    <row r="158" spans="1:10" x14ac:dyDescent="0.2">
      <c r="A158" s="71">
        <f t="shared" si="2"/>
        <v>96</v>
      </c>
      <c r="B158" s="113"/>
      <c r="C158" s="114" t="s">
        <v>943</v>
      </c>
      <c r="D158" s="114"/>
      <c r="E158" s="115"/>
      <c r="F158" s="88" t="s">
        <v>268</v>
      </c>
      <c r="G158" s="116">
        <v>801400</v>
      </c>
      <c r="H158" s="117">
        <v>651000</v>
      </c>
      <c r="I158" s="117">
        <v>651000</v>
      </c>
      <c r="J158" s="118">
        <v>651000</v>
      </c>
    </row>
    <row r="159" spans="1:10" x14ac:dyDescent="0.2">
      <c r="A159" s="71">
        <f t="shared" si="2"/>
        <v>97</v>
      </c>
      <c r="B159" s="113"/>
      <c r="C159" s="114" t="s">
        <v>944</v>
      </c>
      <c r="D159" s="114"/>
      <c r="E159" s="115"/>
      <c r="F159" s="88" t="s">
        <v>268</v>
      </c>
      <c r="G159" s="116">
        <v>1335600</v>
      </c>
      <c r="H159" s="117">
        <v>1085000</v>
      </c>
      <c r="I159" s="117">
        <v>1085000</v>
      </c>
      <c r="J159" s="118">
        <v>1085000</v>
      </c>
    </row>
    <row r="160" spans="1:10" x14ac:dyDescent="0.2">
      <c r="A160" s="71">
        <f t="shared" si="2"/>
        <v>98</v>
      </c>
      <c r="B160" s="113"/>
      <c r="C160" s="114" t="s">
        <v>438</v>
      </c>
      <c r="D160" s="114"/>
      <c r="E160" s="115"/>
      <c r="F160" s="88" t="s">
        <v>268</v>
      </c>
      <c r="G160" s="116">
        <v>10100</v>
      </c>
      <c r="H160" s="117">
        <v>8000</v>
      </c>
      <c r="I160" s="117">
        <v>8000</v>
      </c>
      <c r="J160" s="118">
        <v>8000</v>
      </c>
    </row>
    <row r="161" spans="1:10" x14ac:dyDescent="0.2">
      <c r="A161" s="71">
        <f t="shared" si="2"/>
        <v>99</v>
      </c>
      <c r="B161" s="113"/>
      <c r="C161" s="114" t="s">
        <v>639</v>
      </c>
      <c r="D161" s="114"/>
      <c r="E161" s="115"/>
      <c r="F161" s="88" t="s">
        <v>268</v>
      </c>
      <c r="G161" s="116">
        <v>86900</v>
      </c>
      <c r="H161" s="117">
        <v>70000</v>
      </c>
      <c r="I161" s="117">
        <v>70000</v>
      </c>
      <c r="J161" s="118">
        <v>70000</v>
      </c>
    </row>
    <row r="162" spans="1:10" x14ac:dyDescent="0.2">
      <c r="A162" s="71">
        <f t="shared" si="2"/>
        <v>100</v>
      </c>
      <c r="B162" s="113"/>
      <c r="C162" s="114" t="s">
        <v>1160</v>
      </c>
      <c r="D162" s="114"/>
      <c r="E162" s="115"/>
      <c r="F162" s="88" t="s">
        <v>268</v>
      </c>
      <c r="G162" s="116">
        <v>93500</v>
      </c>
      <c r="H162" s="117">
        <v>76000</v>
      </c>
      <c r="I162" s="117">
        <v>76000</v>
      </c>
      <c r="J162" s="118">
        <v>76000</v>
      </c>
    </row>
    <row r="163" spans="1:10" x14ac:dyDescent="0.2">
      <c r="A163" s="71">
        <f t="shared" si="2"/>
        <v>101</v>
      </c>
      <c r="B163" s="113"/>
      <c r="C163" s="114" t="s">
        <v>46</v>
      </c>
      <c r="D163" s="114"/>
      <c r="E163" s="115"/>
      <c r="F163" s="88" t="s">
        <v>266</v>
      </c>
      <c r="G163" s="116">
        <v>1602800</v>
      </c>
      <c r="H163" s="117">
        <v>1303000</v>
      </c>
      <c r="I163" s="117">
        <v>1303000</v>
      </c>
      <c r="J163" s="118">
        <v>1303000</v>
      </c>
    </row>
    <row r="164" spans="1:10" x14ac:dyDescent="0.2">
      <c r="A164" s="71">
        <f t="shared" si="2"/>
        <v>102</v>
      </c>
      <c r="B164" s="113"/>
      <c r="C164" s="114" t="s">
        <v>47</v>
      </c>
      <c r="D164" s="114"/>
      <c r="E164" s="115"/>
      <c r="F164" s="88" t="s">
        <v>266</v>
      </c>
      <c r="G164" s="116">
        <v>1335600</v>
      </c>
      <c r="H164" s="117">
        <v>1085000</v>
      </c>
      <c r="I164" s="117">
        <v>1085000</v>
      </c>
      <c r="J164" s="118">
        <v>1085000</v>
      </c>
    </row>
    <row r="165" spans="1:10" x14ac:dyDescent="0.2">
      <c r="A165" s="71">
        <f t="shared" si="2"/>
        <v>103</v>
      </c>
      <c r="B165" s="113"/>
      <c r="C165" s="114" t="s">
        <v>48</v>
      </c>
      <c r="D165" s="114"/>
      <c r="E165" s="115"/>
      <c r="F165" s="88" t="s">
        <v>266</v>
      </c>
      <c r="G165" s="116">
        <v>1068500</v>
      </c>
      <c r="H165" s="117">
        <v>868000</v>
      </c>
      <c r="I165" s="117">
        <v>868000</v>
      </c>
      <c r="J165" s="118">
        <v>868000</v>
      </c>
    </row>
    <row r="166" spans="1:10" x14ac:dyDescent="0.2">
      <c r="A166" s="71">
        <f t="shared" si="2"/>
        <v>104</v>
      </c>
      <c r="B166" s="113"/>
      <c r="C166" s="114" t="s">
        <v>49</v>
      </c>
      <c r="D166" s="114"/>
      <c r="E166" s="115"/>
      <c r="F166" s="88" t="s">
        <v>266</v>
      </c>
      <c r="G166" s="116">
        <v>868200</v>
      </c>
      <c r="H166" s="117">
        <v>705000</v>
      </c>
      <c r="I166" s="117">
        <v>705000</v>
      </c>
      <c r="J166" s="118">
        <v>705000</v>
      </c>
    </row>
    <row r="167" spans="1:10" x14ac:dyDescent="0.2">
      <c r="A167" s="71">
        <f t="shared" si="2"/>
        <v>105</v>
      </c>
      <c r="B167" s="113"/>
      <c r="C167" s="114" t="s">
        <v>868</v>
      </c>
      <c r="D167" s="114"/>
      <c r="E167" s="115"/>
      <c r="F167" s="88" t="s">
        <v>268</v>
      </c>
      <c r="G167" s="116">
        <v>6700</v>
      </c>
      <c r="H167" s="117">
        <v>5400</v>
      </c>
      <c r="I167" s="117">
        <v>5400</v>
      </c>
      <c r="J167" s="118">
        <v>5400</v>
      </c>
    </row>
    <row r="168" spans="1:10" x14ac:dyDescent="0.2">
      <c r="A168" s="71">
        <f t="shared" si="2"/>
        <v>106</v>
      </c>
      <c r="B168" s="113"/>
      <c r="C168" s="114" t="s">
        <v>869</v>
      </c>
      <c r="D168" s="114"/>
      <c r="E168" s="115"/>
      <c r="F168" s="88" t="s">
        <v>268</v>
      </c>
      <c r="G168" s="116">
        <v>9500</v>
      </c>
      <c r="H168" s="117">
        <v>7700</v>
      </c>
      <c r="I168" s="117">
        <v>7700</v>
      </c>
      <c r="J168" s="118">
        <v>7700</v>
      </c>
    </row>
    <row r="169" spans="1:10" x14ac:dyDescent="0.2">
      <c r="A169" s="71">
        <f t="shared" si="2"/>
        <v>107</v>
      </c>
      <c r="B169" s="113"/>
      <c r="C169" s="114" t="s">
        <v>945</v>
      </c>
      <c r="D169" s="114"/>
      <c r="E169" s="115"/>
      <c r="F169" s="88" t="s">
        <v>268</v>
      </c>
      <c r="G169" s="116">
        <v>2600</v>
      </c>
      <c r="H169" s="117">
        <v>2100</v>
      </c>
      <c r="I169" s="117">
        <v>2100</v>
      </c>
      <c r="J169" s="118">
        <v>2100</v>
      </c>
    </row>
    <row r="170" spans="1:10" x14ac:dyDescent="0.2">
      <c r="A170" s="71">
        <f t="shared" si="2"/>
        <v>108</v>
      </c>
      <c r="B170" s="113"/>
      <c r="C170" s="114" t="s">
        <v>946</v>
      </c>
      <c r="D170" s="114"/>
      <c r="E170" s="115"/>
      <c r="F170" s="88" t="s">
        <v>268</v>
      </c>
      <c r="G170" s="116">
        <v>9500</v>
      </c>
      <c r="H170" s="117">
        <v>7700</v>
      </c>
      <c r="I170" s="117">
        <v>7700</v>
      </c>
      <c r="J170" s="118">
        <v>7700</v>
      </c>
    </row>
    <row r="171" spans="1:10" x14ac:dyDescent="0.2">
      <c r="A171" s="71">
        <f t="shared" si="2"/>
        <v>109</v>
      </c>
      <c r="B171" s="113"/>
      <c r="C171" s="114" t="s">
        <v>50</v>
      </c>
      <c r="D171" s="114"/>
      <c r="E171" s="115"/>
      <c r="F171" s="88" t="s">
        <v>268</v>
      </c>
      <c r="G171" s="116">
        <v>3900</v>
      </c>
      <c r="H171" s="117">
        <v>3100</v>
      </c>
      <c r="I171" s="117">
        <v>3100</v>
      </c>
      <c r="J171" s="118">
        <v>3100</v>
      </c>
    </row>
    <row r="172" spans="1:10" x14ac:dyDescent="0.2">
      <c r="A172" s="71">
        <f t="shared" si="2"/>
        <v>110</v>
      </c>
      <c r="B172" s="113"/>
      <c r="C172" s="114" t="s">
        <v>52</v>
      </c>
      <c r="D172" s="114"/>
      <c r="E172" s="115"/>
      <c r="F172" s="88" t="s">
        <v>268</v>
      </c>
      <c r="G172" s="116">
        <v>5500</v>
      </c>
      <c r="H172" s="117">
        <v>4400</v>
      </c>
      <c r="I172" s="117">
        <v>4400</v>
      </c>
      <c r="J172" s="118">
        <v>4400</v>
      </c>
    </row>
    <row r="173" spans="1:10" x14ac:dyDescent="0.2">
      <c r="A173" s="89">
        <f>SUM(A172+1)</f>
        <v>111</v>
      </c>
      <c r="B173" s="113"/>
      <c r="C173" s="114" t="s">
        <v>53</v>
      </c>
      <c r="D173" s="114"/>
      <c r="E173" s="115"/>
      <c r="F173" s="88" t="s">
        <v>268</v>
      </c>
      <c r="G173" s="116">
        <v>10800</v>
      </c>
      <c r="H173" s="117">
        <v>8700</v>
      </c>
      <c r="I173" s="117">
        <v>8700</v>
      </c>
      <c r="J173" s="118">
        <v>8700</v>
      </c>
    </row>
    <row r="174" spans="1:10" x14ac:dyDescent="0.2">
      <c r="A174" s="71">
        <f t="shared" ref="A174:A231" si="3">SUM(A173+1)</f>
        <v>112</v>
      </c>
      <c r="B174" s="113"/>
      <c r="C174" s="114" t="s">
        <v>51</v>
      </c>
      <c r="D174" s="114"/>
      <c r="E174" s="115"/>
      <c r="F174" s="88" t="s">
        <v>268</v>
      </c>
      <c r="G174" s="116">
        <v>5500</v>
      </c>
      <c r="H174" s="117">
        <v>4400</v>
      </c>
      <c r="I174" s="117">
        <v>4400</v>
      </c>
      <c r="J174" s="118">
        <v>4400</v>
      </c>
    </row>
    <row r="175" spans="1:10" x14ac:dyDescent="0.2">
      <c r="A175" s="71">
        <f t="shared" si="3"/>
        <v>113</v>
      </c>
      <c r="B175" s="113"/>
      <c r="C175" s="114" t="s">
        <v>54</v>
      </c>
      <c r="D175" s="114"/>
      <c r="E175" s="115"/>
      <c r="F175" s="88" t="s">
        <v>268</v>
      </c>
      <c r="G175" s="116">
        <v>10800</v>
      </c>
      <c r="H175" s="117">
        <v>8700</v>
      </c>
      <c r="I175" s="117">
        <v>8700</v>
      </c>
      <c r="J175" s="118">
        <v>8700</v>
      </c>
    </row>
    <row r="176" spans="1:10" x14ac:dyDescent="0.2">
      <c r="A176" s="71">
        <f t="shared" si="3"/>
        <v>114</v>
      </c>
      <c r="B176" s="113"/>
      <c r="C176" s="114" t="s">
        <v>55</v>
      </c>
      <c r="D176" s="114"/>
      <c r="E176" s="115"/>
      <c r="F176" s="88" t="s">
        <v>268</v>
      </c>
      <c r="G176" s="116">
        <v>7000</v>
      </c>
      <c r="H176" s="117">
        <v>5600</v>
      </c>
      <c r="I176" s="117">
        <v>5600</v>
      </c>
      <c r="J176" s="118">
        <v>5600</v>
      </c>
    </row>
    <row r="177" spans="1:10" x14ac:dyDescent="0.2">
      <c r="A177" s="71">
        <f t="shared" si="3"/>
        <v>115</v>
      </c>
      <c r="B177" s="113"/>
      <c r="C177" s="114" t="s">
        <v>56</v>
      </c>
      <c r="D177" s="114"/>
      <c r="E177" s="115"/>
      <c r="F177" s="88" t="s">
        <v>268</v>
      </c>
      <c r="G177" s="116">
        <v>16200</v>
      </c>
      <c r="H177" s="117">
        <v>13100</v>
      </c>
      <c r="I177" s="117">
        <v>13100</v>
      </c>
      <c r="J177" s="118">
        <v>13100</v>
      </c>
    </row>
    <row r="178" spans="1:10" x14ac:dyDescent="0.2">
      <c r="A178" s="71">
        <f t="shared" si="3"/>
        <v>116</v>
      </c>
      <c r="B178" s="113"/>
      <c r="C178" s="114" t="s">
        <v>57</v>
      </c>
      <c r="D178" s="114"/>
      <c r="E178" s="115"/>
      <c r="F178" s="88" t="s">
        <v>268</v>
      </c>
      <c r="G178" s="116">
        <v>10100</v>
      </c>
      <c r="H178" s="117">
        <v>8200</v>
      </c>
      <c r="I178" s="117">
        <v>8200</v>
      </c>
      <c r="J178" s="118">
        <v>8200</v>
      </c>
    </row>
    <row r="179" spans="1:10" x14ac:dyDescent="0.2">
      <c r="A179" s="71">
        <f t="shared" si="3"/>
        <v>117</v>
      </c>
      <c r="B179" s="113"/>
      <c r="C179" s="114" t="s">
        <v>58</v>
      </c>
      <c r="D179" s="114"/>
      <c r="E179" s="115"/>
      <c r="F179" s="88" t="s">
        <v>268</v>
      </c>
      <c r="G179" s="116">
        <v>13400</v>
      </c>
      <c r="H179" s="117">
        <v>10800</v>
      </c>
      <c r="I179" s="117">
        <v>10800</v>
      </c>
      <c r="J179" s="118">
        <v>10800</v>
      </c>
    </row>
    <row r="180" spans="1:10" x14ac:dyDescent="0.2">
      <c r="A180" s="71">
        <f t="shared" si="3"/>
        <v>118</v>
      </c>
      <c r="B180" s="113"/>
      <c r="C180" s="114" t="s">
        <v>564</v>
      </c>
      <c r="D180" s="114"/>
      <c r="E180" s="115"/>
      <c r="F180" s="88" t="s">
        <v>268</v>
      </c>
      <c r="G180" s="116">
        <v>16200</v>
      </c>
      <c r="H180" s="117">
        <v>13100</v>
      </c>
      <c r="I180" s="117">
        <v>13100</v>
      </c>
      <c r="J180" s="118">
        <v>13100</v>
      </c>
    </row>
    <row r="181" spans="1:10" x14ac:dyDescent="0.2">
      <c r="A181" s="71">
        <f t="shared" si="3"/>
        <v>119</v>
      </c>
      <c r="B181" s="113"/>
      <c r="C181" s="114" t="s">
        <v>565</v>
      </c>
      <c r="D181" s="114"/>
      <c r="E181" s="115"/>
      <c r="F181" s="88" t="s">
        <v>268</v>
      </c>
      <c r="G181" s="116">
        <v>21500</v>
      </c>
      <c r="H181" s="117">
        <v>17400</v>
      </c>
      <c r="I181" s="117">
        <v>17400</v>
      </c>
      <c r="J181" s="118">
        <v>17400</v>
      </c>
    </row>
    <row r="182" spans="1:10" x14ac:dyDescent="0.2">
      <c r="A182" s="71">
        <f t="shared" si="3"/>
        <v>120</v>
      </c>
      <c r="B182" s="113"/>
      <c r="C182" s="114" t="s">
        <v>870</v>
      </c>
      <c r="D182" s="114"/>
      <c r="E182" s="115"/>
      <c r="F182" s="88" t="s">
        <v>268</v>
      </c>
      <c r="G182" s="116">
        <v>26800</v>
      </c>
      <c r="H182" s="117">
        <v>21000</v>
      </c>
      <c r="I182" s="117">
        <v>21000</v>
      </c>
      <c r="J182" s="118">
        <v>21000</v>
      </c>
    </row>
    <row r="183" spans="1:10" x14ac:dyDescent="0.2">
      <c r="A183" s="71">
        <f t="shared" si="3"/>
        <v>121</v>
      </c>
      <c r="B183" s="113"/>
      <c r="C183" s="114" t="s">
        <v>871</v>
      </c>
      <c r="D183" s="114"/>
      <c r="E183" s="115"/>
      <c r="F183" s="88" t="s">
        <v>268</v>
      </c>
      <c r="G183" s="116">
        <v>40100</v>
      </c>
      <c r="H183" s="117">
        <v>32000</v>
      </c>
      <c r="I183" s="117">
        <v>32000</v>
      </c>
      <c r="J183" s="118">
        <v>32000</v>
      </c>
    </row>
    <row r="184" spans="1:10" x14ac:dyDescent="0.2">
      <c r="A184" s="71">
        <f t="shared" si="3"/>
        <v>122</v>
      </c>
      <c r="B184" s="113"/>
      <c r="C184" s="114" t="s">
        <v>872</v>
      </c>
      <c r="D184" s="114"/>
      <c r="E184" s="115"/>
      <c r="F184" s="88" t="s">
        <v>338</v>
      </c>
      <c r="G184" s="116">
        <v>350000</v>
      </c>
      <c r="H184" s="117">
        <v>284000</v>
      </c>
      <c r="I184" s="117">
        <v>284000</v>
      </c>
      <c r="J184" s="118">
        <v>284000</v>
      </c>
    </row>
    <row r="185" spans="1:10" x14ac:dyDescent="0.2">
      <c r="A185" s="71">
        <f t="shared" si="3"/>
        <v>123</v>
      </c>
      <c r="B185" s="113"/>
      <c r="C185" s="114" t="s">
        <v>873</v>
      </c>
      <c r="D185" s="114"/>
      <c r="E185" s="115"/>
      <c r="F185" s="88" t="s">
        <v>338</v>
      </c>
      <c r="G185" s="116">
        <v>326700</v>
      </c>
      <c r="H185" s="117">
        <v>265000</v>
      </c>
      <c r="I185" s="117">
        <v>265000</v>
      </c>
      <c r="J185" s="118">
        <v>265000</v>
      </c>
    </row>
    <row r="186" spans="1:10" x14ac:dyDescent="0.2">
      <c r="A186" s="71">
        <f t="shared" si="3"/>
        <v>124</v>
      </c>
      <c r="B186" s="113"/>
      <c r="C186" s="114" t="s">
        <v>874</v>
      </c>
      <c r="D186" s="114"/>
      <c r="E186" s="115"/>
      <c r="F186" s="88" t="s">
        <v>338</v>
      </c>
      <c r="G186" s="116">
        <v>390900</v>
      </c>
      <c r="H186" s="117">
        <v>317000</v>
      </c>
      <c r="I186" s="117">
        <v>317000</v>
      </c>
      <c r="J186" s="118">
        <v>317000</v>
      </c>
    </row>
    <row r="187" spans="1:10" x14ac:dyDescent="0.2">
      <c r="A187" s="71">
        <f t="shared" si="3"/>
        <v>125</v>
      </c>
      <c r="B187" s="113"/>
      <c r="C187" s="114" t="s">
        <v>875</v>
      </c>
      <c r="D187" s="114"/>
      <c r="E187" s="115"/>
      <c r="F187" s="88" t="s">
        <v>338</v>
      </c>
      <c r="G187" s="116">
        <v>158000</v>
      </c>
      <c r="H187" s="117">
        <v>128000</v>
      </c>
      <c r="I187" s="117">
        <v>128000</v>
      </c>
      <c r="J187" s="118">
        <v>128000</v>
      </c>
    </row>
    <row r="188" spans="1:10" x14ac:dyDescent="0.2">
      <c r="A188" s="71">
        <f t="shared" si="3"/>
        <v>126</v>
      </c>
      <c r="B188" s="113"/>
      <c r="C188" s="114" t="s">
        <v>876</v>
      </c>
      <c r="D188" s="114"/>
      <c r="E188" s="115"/>
      <c r="F188" s="88" t="s">
        <v>338</v>
      </c>
      <c r="G188" s="116">
        <v>477600</v>
      </c>
      <c r="H188" s="117">
        <v>388000</v>
      </c>
      <c r="I188" s="117">
        <v>388000</v>
      </c>
      <c r="J188" s="118">
        <v>388000</v>
      </c>
    </row>
    <row r="189" spans="1:10" x14ac:dyDescent="0.2">
      <c r="A189" s="71">
        <f t="shared" si="3"/>
        <v>127</v>
      </c>
      <c r="B189" s="113"/>
      <c r="C189" s="114" t="s">
        <v>877</v>
      </c>
      <c r="D189" s="114"/>
      <c r="E189" s="115"/>
      <c r="F189" s="88" t="s">
        <v>338</v>
      </c>
      <c r="G189" s="116">
        <v>293900</v>
      </c>
      <c r="H189" s="117">
        <v>238000</v>
      </c>
      <c r="I189" s="117">
        <v>238000</v>
      </c>
      <c r="J189" s="118">
        <v>238000</v>
      </c>
    </row>
    <row r="190" spans="1:10" x14ac:dyDescent="0.2">
      <c r="A190" s="71">
        <f t="shared" si="3"/>
        <v>128</v>
      </c>
      <c r="B190" s="113"/>
      <c r="C190" s="114" t="s">
        <v>878</v>
      </c>
      <c r="D190" s="114"/>
      <c r="E190" s="115"/>
      <c r="F190" s="88" t="s">
        <v>338</v>
      </c>
      <c r="G190" s="116">
        <v>734600</v>
      </c>
      <c r="H190" s="117">
        <v>597000</v>
      </c>
      <c r="I190" s="117">
        <v>597000</v>
      </c>
      <c r="J190" s="118">
        <v>597000</v>
      </c>
    </row>
    <row r="191" spans="1:10" x14ac:dyDescent="0.2">
      <c r="A191" s="71">
        <f t="shared" si="3"/>
        <v>129</v>
      </c>
      <c r="B191" s="113"/>
      <c r="C191" s="114" t="s">
        <v>879</v>
      </c>
      <c r="D191" s="114"/>
      <c r="E191" s="115"/>
      <c r="F191" s="88" t="s">
        <v>338</v>
      </c>
      <c r="G191" s="116">
        <v>587700</v>
      </c>
      <c r="H191" s="117">
        <v>477000</v>
      </c>
      <c r="I191" s="117">
        <v>477000</v>
      </c>
      <c r="J191" s="118">
        <v>477000</v>
      </c>
    </row>
    <row r="192" spans="1:10" x14ac:dyDescent="0.2">
      <c r="A192" s="71">
        <f t="shared" si="3"/>
        <v>130</v>
      </c>
      <c r="B192" s="113"/>
      <c r="C192" s="114" t="s">
        <v>880</v>
      </c>
      <c r="D192" s="114"/>
      <c r="E192" s="115"/>
      <c r="F192" s="88" t="s">
        <v>338</v>
      </c>
      <c r="G192" s="116">
        <v>1175400</v>
      </c>
      <c r="H192" s="117">
        <v>955000</v>
      </c>
      <c r="I192" s="117">
        <v>955000</v>
      </c>
      <c r="J192" s="118">
        <v>955000</v>
      </c>
    </row>
    <row r="193" spans="1:10" x14ac:dyDescent="0.2">
      <c r="A193" s="71">
        <f t="shared" si="3"/>
        <v>131</v>
      </c>
      <c r="B193" s="113"/>
      <c r="C193" s="114" t="s">
        <v>61</v>
      </c>
      <c r="D193" s="114"/>
      <c r="E193" s="115"/>
      <c r="F193" s="88" t="s">
        <v>264</v>
      </c>
      <c r="G193" s="116">
        <v>534300</v>
      </c>
      <c r="H193" s="117">
        <v>434000</v>
      </c>
      <c r="I193" s="117">
        <v>434000</v>
      </c>
      <c r="J193" s="118">
        <v>434000</v>
      </c>
    </row>
    <row r="194" spans="1:10" x14ac:dyDescent="0.2">
      <c r="A194" s="71">
        <f t="shared" si="3"/>
        <v>132</v>
      </c>
      <c r="B194" s="113"/>
      <c r="C194" s="114" t="s">
        <v>947</v>
      </c>
      <c r="D194" s="114"/>
      <c r="E194" s="115"/>
      <c r="F194" s="88" t="s">
        <v>298</v>
      </c>
      <c r="G194" s="116">
        <v>60200</v>
      </c>
      <c r="H194" s="117">
        <v>48000</v>
      </c>
      <c r="I194" s="117">
        <v>48000</v>
      </c>
      <c r="J194" s="118">
        <v>48000</v>
      </c>
    </row>
    <row r="195" spans="1:10" x14ac:dyDescent="0.2">
      <c r="A195" s="71">
        <f t="shared" si="3"/>
        <v>133</v>
      </c>
      <c r="B195" s="113"/>
      <c r="C195" s="114" t="s">
        <v>485</v>
      </c>
      <c r="D195" s="114"/>
      <c r="E195" s="115"/>
      <c r="F195" s="88" t="s">
        <v>268</v>
      </c>
      <c r="G195" s="116">
        <v>8100</v>
      </c>
      <c r="H195" s="117">
        <v>6500</v>
      </c>
      <c r="I195" s="117">
        <v>6500</v>
      </c>
      <c r="J195" s="118">
        <v>6500</v>
      </c>
    </row>
    <row r="196" spans="1:10" x14ac:dyDescent="0.2">
      <c r="A196" s="71">
        <f t="shared" si="3"/>
        <v>134</v>
      </c>
      <c r="B196" s="113"/>
      <c r="C196" s="114" t="s">
        <v>433</v>
      </c>
      <c r="D196" s="114"/>
      <c r="E196" s="115"/>
      <c r="F196" s="88" t="s">
        <v>268</v>
      </c>
      <c r="G196" s="116">
        <v>10800</v>
      </c>
      <c r="H196" s="117">
        <v>8700</v>
      </c>
      <c r="I196" s="117">
        <v>8700</v>
      </c>
      <c r="J196" s="118">
        <v>8700</v>
      </c>
    </row>
    <row r="197" spans="1:10" x14ac:dyDescent="0.2">
      <c r="A197" s="71">
        <f t="shared" si="3"/>
        <v>135</v>
      </c>
      <c r="B197" s="113"/>
      <c r="C197" s="114" t="s">
        <v>486</v>
      </c>
      <c r="D197" s="114"/>
      <c r="E197" s="115"/>
      <c r="F197" s="88" t="s">
        <v>268</v>
      </c>
      <c r="G197" s="116">
        <v>13400</v>
      </c>
      <c r="H197" s="117">
        <v>10800</v>
      </c>
      <c r="I197" s="117">
        <v>10800</v>
      </c>
      <c r="J197" s="118">
        <v>10800</v>
      </c>
    </row>
    <row r="198" spans="1:10" x14ac:dyDescent="0.2">
      <c r="A198" s="71">
        <f t="shared" si="3"/>
        <v>136</v>
      </c>
      <c r="B198" s="113"/>
      <c r="C198" s="114" t="s">
        <v>1059</v>
      </c>
      <c r="D198" s="114"/>
      <c r="E198" s="115"/>
      <c r="F198" s="88" t="s">
        <v>264</v>
      </c>
      <c r="G198" s="116">
        <v>267200</v>
      </c>
      <c r="H198" s="117">
        <v>217000</v>
      </c>
      <c r="I198" s="117">
        <v>217000</v>
      </c>
      <c r="J198" s="118">
        <v>217000</v>
      </c>
    </row>
    <row r="199" spans="1:10" x14ac:dyDescent="0.2">
      <c r="A199" s="71">
        <f t="shared" si="3"/>
        <v>137</v>
      </c>
      <c r="B199" s="113"/>
      <c r="C199" s="114" t="s">
        <v>59</v>
      </c>
      <c r="D199" s="114"/>
      <c r="E199" s="115"/>
      <c r="F199" s="88" t="s">
        <v>264</v>
      </c>
      <c r="G199" s="116">
        <v>267200</v>
      </c>
      <c r="H199" s="117">
        <v>217000</v>
      </c>
      <c r="I199" s="117">
        <v>217000</v>
      </c>
      <c r="J199" s="118">
        <v>217000</v>
      </c>
    </row>
    <row r="200" spans="1:10" x14ac:dyDescent="0.2">
      <c r="A200" s="71">
        <f t="shared" si="3"/>
        <v>138</v>
      </c>
      <c r="B200" s="113"/>
      <c r="C200" s="114" t="s">
        <v>884</v>
      </c>
      <c r="D200" s="114"/>
      <c r="E200" s="115"/>
      <c r="F200" s="88" t="s">
        <v>277</v>
      </c>
      <c r="G200" s="116">
        <v>106900</v>
      </c>
      <c r="H200" s="117">
        <v>86000</v>
      </c>
      <c r="I200" s="117">
        <v>86000</v>
      </c>
      <c r="J200" s="118">
        <v>86000</v>
      </c>
    </row>
    <row r="201" spans="1:10" x14ac:dyDescent="0.2">
      <c r="A201" s="71">
        <f t="shared" si="3"/>
        <v>139</v>
      </c>
      <c r="B201" s="113"/>
      <c r="C201" s="114" t="s">
        <v>882</v>
      </c>
      <c r="D201" s="114"/>
      <c r="E201" s="115"/>
      <c r="F201" s="88" t="s">
        <v>277</v>
      </c>
      <c r="G201" s="116">
        <v>80200</v>
      </c>
      <c r="H201" s="117">
        <v>65000</v>
      </c>
      <c r="I201" s="117">
        <v>65000</v>
      </c>
      <c r="J201" s="118">
        <v>65000</v>
      </c>
    </row>
    <row r="202" spans="1:10" x14ac:dyDescent="0.2">
      <c r="A202" s="71">
        <f t="shared" si="3"/>
        <v>140</v>
      </c>
      <c r="B202" s="113"/>
      <c r="C202" s="114" t="s">
        <v>883</v>
      </c>
      <c r="D202" s="114"/>
      <c r="E202" s="115"/>
      <c r="F202" s="88" t="s">
        <v>277</v>
      </c>
      <c r="G202" s="116">
        <v>100200</v>
      </c>
      <c r="H202" s="117">
        <v>81000</v>
      </c>
      <c r="I202" s="117">
        <v>81000</v>
      </c>
      <c r="J202" s="118">
        <v>81000</v>
      </c>
    </row>
    <row r="203" spans="1:10" x14ac:dyDescent="0.2">
      <c r="A203" s="71">
        <f>SUM(A202+1)</f>
        <v>141</v>
      </c>
      <c r="B203" s="113"/>
      <c r="C203" s="114" t="s">
        <v>432</v>
      </c>
      <c r="D203" s="114"/>
      <c r="E203" s="115"/>
      <c r="F203" s="88" t="s">
        <v>268</v>
      </c>
      <c r="G203" s="116">
        <v>6100</v>
      </c>
      <c r="H203" s="117">
        <v>4900</v>
      </c>
      <c r="I203" s="117">
        <v>4900</v>
      </c>
      <c r="J203" s="118">
        <v>4900</v>
      </c>
    </row>
    <row r="204" spans="1:10" x14ac:dyDescent="0.2">
      <c r="A204" s="71">
        <f t="shared" si="3"/>
        <v>142</v>
      </c>
      <c r="B204" s="113"/>
      <c r="C204" s="114" t="s">
        <v>487</v>
      </c>
      <c r="D204" s="114"/>
      <c r="E204" s="115"/>
      <c r="F204" s="88" t="s">
        <v>268</v>
      </c>
      <c r="G204" s="116">
        <v>11500</v>
      </c>
      <c r="H204" s="117">
        <v>9300</v>
      </c>
      <c r="I204" s="117">
        <v>9300</v>
      </c>
      <c r="J204" s="118">
        <v>9300</v>
      </c>
    </row>
    <row r="205" spans="1:10" x14ac:dyDescent="0.2">
      <c r="A205" s="71">
        <f t="shared" si="3"/>
        <v>143</v>
      </c>
      <c r="B205" s="113"/>
      <c r="C205" s="114" t="s">
        <v>488</v>
      </c>
      <c r="D205" s="114"/>
      <c r="E205" s="115"/>
      <c r="F205" s="88" t="s">
        <v>268</v>
      </c>
      <c r="G205" s="116">
        <v>18200</v>
      </c>
      <c r="H205" s="117">
        <v>14700</v>
      </c>
      <c r="I205" s="117">
        <v>14700</v>
      </c>
      <c r="J205" s="118">
        <v>14700</v>
      </c>
    </row>
    <row r="206" spans="1:10" x14ac:dyDescent="0.2">
      <c r="A206" s="71">
        <f t="shared" si="3"/>
        <v>144</v>
      </c>
      <c r="B206" s="113"/>
      <c r="C206" s="114" t="s">
        <v>389</v>
      </c>
      <c r="D206" s="114"/>
      <c r="E206" s="115"/>
      <c r="F206" s="88" t="s">
        <v>268</v>
      </c>
      <c r="G206" s="116">
        <v>13400</v>
      </c>
      <c r="H206" s="117">
        <v>10800</v>
      </c>
      <c r="I206" s="117">
        <v>10800</v>
      </c>
      <c r="J206" s="118">
        <v>10800</v>
      </c>
    </row>
    <row r="207" spans="1:10" x14ac:dyDescent="0.2">
      <c r="A207" s="71">
        <f t="shared" si="3"/>
        <v>145</v>
      </c>
      <c r="B207" s="113"/>
      <c r="C207" s="114" t="s">
        <v>885</v>
      </c>
      <c r="D207" s="114"/>
      <c r="E207" s="115"/>
      <c r="F207" s="88" t="s">
        <v>277</v>
      </c>
      <c r="G207" s="116">
        <v>23500</v>
      </c>
      <c r="H207" s="117">
        <v>19000</v>
      </c>
      <c r="I207" s="117">
        <v>19000</v>
      </c>
      <c r="J207" s="118">
        <v>19000</v>
      </c>
    </row>
    <row r="208" spans="1:10" x14ac:dyDescent="0.2">
      <c r="A208" s="71">
        <f t="shared" si="3"/>
        <v>146</v>
      </c>
      <c r="B208" s="113"/>
      <c r="C208" s="114" t="s">
        <v>948</v>
      </c>
      <c r="D208" s="114">
        <v>900000</v>
      </c>
      <c r="E208" s="115"/>
      <c r="F208" s="88" t="s">
        <v>268</v>
      </c>
      <c r="G208" s="116">
        <v>12100</v>
      </c>
      <c r="H208" s="117">
        <v>9800</v>
      </c>
      <c r="I208" s="117">
        <v>9800</v>
      </c>
      <c r="J208" s="118">
        <v>9800</v>
      </c>
    </row>
    <row r="209" spans="1:10" x14ac:dyDescent="0.2">
      <c r="A209" s="71">
        <f t="shared" si="3"/>
        <v>147</v>
      </c>
      <c r="B209" s="113"/>
      <c r="C209" s="114" t="s">
        <v>886</v>
      </c>
      <c r="D209" s="114"/>
      <c r="E209" s="115"/>
      <c r="F209" s="88" t="s">
        <v>268</v>
      </c>
      <c r="G209" s="116">
        <v>24500</v>
      </c>
      <c r="H209" s="117">
        <v>19000</v>
      </c>
      <c r="I209" s="117">
        <v>19000</v>
      </c>
      <c r="J209" s="118">
        <v>19000</v>
      </c>
    </row>
    <row r="210" spans="1:10" x14ac:dyDescent="0.2">
      <c r="A210" s="71">
        <f t="shared" si="3"/>
        <v>148</v>
      </c>
      <c r="B210" s="113"/>
      <c r="C210" s="114" t="s">
        <v>887</v>
      </c>
      <c r="D210" s="114"/>
      <c r="E210" s="115"/>
      <c r="F210" s="88" t="s">
        <v>268</v>
      </c>
      <c r="G210" s="116">
        <v>53500</v>
      </c>
      <c r="H210" s="117">
        <v>43000</v>
      </c>
      <c r="I210" s="117">
        <v>43000</v>
      </c>
      <c r="J210" s="118">
        <v>43000</v>
      </c>
    </row>
    <row r="211" spans="1:10" x14ac:dyDescent="0.2">
      <c r="A211" s="71">
        <f t="shared" si="3"/>
        <v>149</v>
      </c>
      <c r="B211" s="113"/>
      <c r="C211" s="114" t="s">
        <v>297</v>
      </c>
      <c r="D211" s="114"/>
      <c r="E211" s="115"/>
      <c r="F211" s="88" t="s">
        <v>298</v>
      </c>
      <c r="G211" s="116">
        <v>16800</v>
      </c>
      <c r="H211" s="117">
        <v>13000</v>
      </c>
      <c r="I211" s="117">
        <v>13000</v>
      </c>
      <c r="J211" s="118">
        <v>13000</v>
      </c>
    </row>
    <row r="212" spans="1:10" x14ac:dyDescent="0.2">
      <c r="A212" s="71">
        <f t="shared" si="3"/>
        <v>150</v>
      </c>
      <c r="B212" s="113"/>
      <c r="C212" s="114" t="s">
        <v>717</v>
      </c>
      <c r="D212" s="114"/>
      <c r="E212" s="115"/>
      <c r="F212" s="88" t="s">
        <v>268</v>
      </c>
      <c r="G212" s="116">
        <v>160300</v>
      </c>
      <c r="H212" s="117">
        <v>130000</v>
      </c>
      <c r="I212" s="117">
        <v>130000</v>
      </c>
      <c r="J212" s="118">
        <v>130000</v>
      </c>
    </row>
    <row r="213" spans="1:10" x14ac:dyDescent="0.2">
      <c r="A213" s="71">
        <f t="shared" si="3"/>
        <v>151</v>
      </c>
      <c r="B213" s="113"/>
      <c r="C213" s="114" t="s">
        <v>62</v>
      </c>
      <c r="D213" s="114"/>
      <c r="E213" s="115"/>
      <c r="F213" s="88" t="s">
        <v>247</v>
      </c>
      <c r="G213" s="116">
        <v>6700</v>
      </c>
      <c r="H213" s="117">
        <v>5400</v>
      </c>
      <c r="I213" s="117">
        <v>5400</v>
      </c>
      <c r="J213" s="118">
        <v>5400</v>
      </c>
    </row>
    <row r="214" spans="1:10" x14ac:dyDescent="0.2">
      <c r="A214" s="71">
        <f t="shared" si="3"/>
        <v>152</v>
      </c>
      <c r="B214" s="113"/>
      <c r="C214" s="114" t="s">
        <v>63</v>
      </c>
      <c r="D214" s="114"/>
      <c r="E214" s="115"/>
      <c r="F214" s="88" t="s">
        <v>247</v>
      </c>
      <c r="G214" s="116">
        <v>8100</v>
      </c>
      <c r="H214" s="117">
        <v>6500</v>
      </c>
      <c r="I214" s="117">
        <v>6500</v>
      </c>
      <c r="J214" s="118">
        <v>6500</v>
      </c>
    </row>
    <row r="215" spans="1:10" x14ac:dyDescent="0.2">
      <c r="A215" s="71">
        <f t="shared" si="3"/>
        <v>153</v>
      </c>
      <c r="B215" s="113"/>
      <c r="C215" s="114" t="s">
        <v>640</v>
      </c>
      <c r="D215" s="114"/>
      <c r="E215" s="115"/>
      <c r="F215" s="88" t="s">
        <v>275</v>
      </c>
      <c r="G215" s="116">
        <v>2270600</v>
      </c>
      <c r="H215" s="117">
        <v>1846000</v>
      </c>
      <c r="I215" s="117">
        <v>1846000</v>
      </c>
      <c r="J215" s="118">
        <v>1846000</v>
      </c>
    </row>
    <row r="216" spans="1:10" x14ac:dyDescent="0.2">
      <c r="A216" s="71">
        <f t="shared" si="3"/>
        <v>154</v>
      </c>
      <c r="B216" s="113"/>
      <c r="C216" s="114" t="s">
        <v>888</v>
      </c>
      <c r="D216" s="114"/>
      <c r="E216" s="115"/>
      <c r="F216" s="88" t="s">
        <v>247</v>
      </c>
      <c r="G216" s="116">
        <v>333900</v>
      </c>
      <c r="H216" s="117">
        <v>271000</v>
      </c>
      <c r="I216" s="117">
        <v>271000</v>
      </c>
      <c r="J216" s="118">
        <v>271000</v>
      </c>
    </row>
    <row r="217" spans="1:10" x14ac:dyDescent="0.2">
      <c r="A217" s="71">
        <f t="shared" si="3"/>
        <v>155</v>
      </c>
      <c r="B217" s="113"/>
      <c r="C217" s="114" t="s">
        <v>889</v>
      </c>
      <c r="D217" s="114"/>
      <c r="E217" s="115"/>
      <c r="F217" s="88" t="s">
        <v>247</v>
      </c>
      <c r="G217" s="116">
        <v>1068500</v>
      </c>
      <c r="H217" s="117">
        <v>868000</v>
      </c>
      <c r="I217" s="117">
        <v>868000</v>
      </c>
      <c r="J217" s="118">
        <v>868000</v>
      </c>
    </row>
    <row r="218" spans="1:10" x14ac:dyDescent="0.2">
      <c r="A218" s="71">
        <f t="shared" si="3"/>
        <v>156</v>
      </c>
      <c r="B218" s="113"/>
      <c r="C218" s="114" t="s">
        <v>489</v>
      </c>
      <c r="D218" s="114"/>
      <c r="E218" s="115"/>
      <c r="F218" s="88" t="s">
        <v>338</v>
      </c>
      <c r="G218" s="116">
        <v>106900</v>
      </c>
      <c r="H218" s="117">
        <v>86000</v>
      </c>
      <c r="I218" s="117">
        <v>86000</v>
      </c>
      <c r="J218" s="118">
        <v>86000</v>
      </c>
    </row>
    <row r="219" spans="1:10" x14ac:dyDescent="0.2">
      <c r="A219" s="71">
        <f t="shared" si="3"/>
        <v>157</v>
      </c>
      <c r="B219" s="113"/>
      <c r="C219" s="114" t="s">
        <v>431</v>
      </c>
      <c r="D219" s="114"/>
      <c r="E219" s="115"/>
      <c r="F219" s="88" t="s">
        <v>338</v>
      </c>
      <c r="G219" s="116">
        <v>140300</v>
      </c>
      <c r="H219" s="117">
        <v>114000</v>
      </c>
      <c r="I219" s="117">
        <v>114000</v>
      </c>
      <c r="J219" s="118">
        <v>114000</v>
      </c>
    </row>
    <row r="220" spans="1:10" x14ac:dyDescent="0.2">
      <c r="A220" s="71">
        <f t="shared" si="3"/>
        <v>158</v>
      </c>
      <c r="B220" s="113"/>
      <c r="C220" s="114" t="s">
        <v>890</v>
      </c>
      <c r="D220" s="114"/>
      <c r="E220" s="115"/>
      <c r="F220" s="88" t="s">
        <v>338</v>
      </c>
      <c r="G220" s="116">
        <v>253800</v>
      </c>
      <c r="H220" s="117">
        <v>206000</v>
      </c>
      <c r="I220" s="117">
        <v>206000</v>
      </c>
      <c r="J220" s="118">
        <v>206000</v>
      </c>
    </row>
    <row r="221" spans="1:10" x14ac:dyDescent="0.2">
      <c r="A221" s="71">
        <f t="shared" si="3"/>
        <v>159</v>
      </c>
      <c r="B221" s="113"/>
      <c r="C221" s="114" t="s">
        <v>490</v>
      </c>
      <c r="D221" s="114"/>
      <c r="E221" s="115"/>
      <c r="F221" s="88" t="s">
        <v>338</v>
      </c>
      <c r="G221" s="116">
        <v>320600</v>
      </c>
      <c r="H221" s="117">
        <v>260000</v>
      </c>
      <c r="I221" s="117">
        <v>260000</v>
      </c>
      <c r="J221" s="118">
        <v>260000</v>
      </c>
    </row>
    <row r="222" spans="1:10" x14ac:dyDescent="0.2">
      <c r="A222" s="71">
        <f t="shared" si="3"/>
        <v>160</v>
      </c>
      <c r="B222" s="113"/>
      <c r="C222" s="114" t="s">
        <v>232</v>
      </c>
      <c r="D222" s="114"/>
      <c r="E222" s="115"/>
      <c r="F222" s="88" t="s">
        <v>338</v>
      </c>
      <c r="G222" s="116">
        <v>133600</v>
      </c>
      <c r="H222" s="117">
        <v>108000</v>
      </c>
      <c r="I222" s="117">
        <v>108000</v>
      </c>
      <c r="J222" s="118">
        <v>108000</v>
      </c>
    </row>
    <row r="223" spans="1:10" x14ac:dyDescent="0.2">
      <c r="A223" s="71">
        <f t="shared" si="3"/>
        <v>161</v>
      </c>
      <c r="B223" s="113"/>
      <c r="C223" s="114" t="s">
        <v>598</v>
      </c>
      <c r="D223" s="114"/>
      <c r="E223" s="115"/>
      <c r="F223" s="88" t="s">
        <v>275</v>
      </c>
      <c r="G223" s="116">
        <v>1068500</v>
      </c>
      <c r="H223" s="117">
        <v>868000</v>
      </c>
      <c r="I223" s="117">
        <v>868000</v>
      </c>
      <c r="J223" s="118">
        <v>868000</v>
      </c>
    </row>
    <row r="224" spans="1:10" x14ac:dyDescent="0.2">
      <c r="A224" s="71">
        <f t="shared" si="3"/>
        <v>162</v>
      </c>
      <c r="B224" s="113"/>
      <c r="C224" s="114" t="s">
        <v>120</v>
      </c>
      <c r="D224" s="114"/>
      <c r="E224" s="115"/>
      <c r="F224" s="88" t="s">
        <v>338</v>
      </c>
      <c r="G224" s="116">
        <v>106900</v>
      </c>
      <c r="H224" s="117">
        <v>86000</v>
      </c>
      <c r="I224" s="117">
        <v>86000</v>
      </c>
      <c r="J224" s="118">
        <v>86000</v>
      </c>
    </row>
    <row r="225" spans="1:10" x14ac:dyDescent="0.2">
      <c r="A225" s="71">
        <f t="shared" si="3"/>
        <v>163</v>
      </c>
      <c r="B225" s="113"/>
      <c r="C225" s="114" t="s">
        <v>491</v>
      </c>
      <c r="D225" s="114"/>
      <c r="E225" s="115"/>
      <c r="F225" s="88" t="s">
        <v>338</v>
      </c>
      <c r="G225" s="116">
        <v>120300</v>
      </c>
      <c r="H225" s="117">
        <v>97000</v>
      </c>
      <c r="I225" s="117">
        <v>97000</v>
      </c>
      <c r="J225" s="118">
        <v>97000</v>
      </c>
    </row>
    <row r="226" spans="1:10" x14ac:dyDescent="0.2">
      <c r="A226" s="71">
        <f t="shared" si="3"/>
        <v>164</v>
      </c>
      <c r="B226" s="113"/>
      <c r="C226" s="114" t="s">
        <v>891</v>
      </c>
      <c r="D226" s="114"/>
      <c r="E226" s="115"/>
      <c r="F226" s="88" t="s">
        <v>275</v>
      </c>
      <c r="G226" s="116">
        <v>10684800</v>
      </c>
      <c r="H226" s="117">
        <v>8686000</v>
      </c>
      <c r="I226" s="117">
        <v>8686000</v>
      </c>
      <c r="J226" s="118">
        <v>8686000</v>
      </c>
    </row>
    <row r="227" spans="1:10" x14ac:dyDescent="0.2">
      <c r="A227" s="71">
        <f t="shared" si="3"/>
        <v>165</v>
      </c>
      <c r="B227" s="113"/>
      <c r="C227" s="114" t="s">
        <v>892</v>
      </c>
      <c r="D227" s="114"/>
      <c r="E227" s="115"/>
      <c r="F227" s="88" t="s">
        <v>268</v>
      </c>
      <c r="G227" s="116">
        <v>40100</v>
      </c>
      <c r="H227" s="117">
        <v>32000</v>
      </c>
      <c r="I227" s="117">
        <v>32000</v>
      </c>
      <c r="J227" s="118">
        <v>32000</v>
      </c>
    </row>
    <row r="228" spans="1:10" x14ac:dyDescent="0.2">
      <c r="A228" s="71">
        <f t="shared" si="3"/>
        <v>166</v>
      </c>
      <c r="B228" s="113"/>
      <c r="C228" s="114" t="s">
        <v>80</v>
      </c>
      <c r="D228" s="114"/>
      <c r="E228" s="115"/>
      <c r="F228" s="88" t="s">
        <v>338</v>
      </c>
      <c r="G228" s="116">
        <v>66800</v>
      </c>
      <c r="H228" s="117">
        <v>54000</v>
      </c>
      <c r="I228" s="117">
        <v>54000</v>
      </c>
      <c r="J228" s="118">
        <v>54000</v>
      </c>
    </row>
    <row r="229" spans="1:10" x14ac:dyDescent="0.2">
      <c r="A229" s="71">
        <f t="shared" si="3"/>
        <v>167</v>
      </c>
      <c r="B229" s="113"/>
      <c r="C229" s="114" t="s">
        <v>81</v>
      </c>
      <c r="D229" s="114"/>
      <c r="E229" s="115"/>
      <c r="F229" s="88" t="s">
        <v>338</v>
      </c>
      <c r="G229" s="116">
        <v>113600</v>
      </c>
      <c r="H229" s="117">
        <v>92000</v>
      </c>
      <c r="I229" s="117">
        <v>92000</v>
      </c>
      <c r="J229" s="118">
        <v>92000</v>
      </c>
    </row>
    <row r="230" spans="1:10" x14ac:dyDescent="0.2">
      <c r="A230" s="71">
        <f t="shared" si="3"/>
        <v>168</v>
      </c>
      <c r="B230" s="113"/>
      <c r="C230" s="114" t="s">
        <v>688</v>
      </c>
      <c r="D230" s="114"/>
      <c r="E230" s="115"/>
      <c r="F230" s="88" t="s">
        <v>298</v>
      </c>
      <c r="G230" s="116">
        <v>29500</v>
      </c>
      <c r="H230" s="117">
        <v>23000</v>
      </c>
      <c r="I230" s="117">
        <v>23000</v>
      </c>
      <c r="J230" s="118">
        <v>23000</v>
      </c>
    </row>
    <row r="231" spans="1:10" x14ac:dyDescent="0.2">
      <c r="A231" s="71">
        <f t="shared" si="3"/>
        <v>169</v>
      </c>
      <c r="B231" s="113"/>
      <c r="C231" s="114" t="s">
        <v>561</v>
      </c>
      <c r="D231" s="114"/>
      <c r="E231" s="115"/>
      <c r="F231" s="88" t="s">
        <v>298</v>
      </c>
      <c r="G231" s="116">
        <v>14800</v>
      </c>
      <c r="H231" s="117">
        <v>12000</v>
      </c>
      <c r="I231" s="117">
        <v>12000</v>
      </c>
      <c r="J231" s="118">
        <v>12000</v>
      </c>
    </row>
    <row r="232" spans="1:10" x14ac:dyDescent="0.2">
      <c r="A232" s="89">
        <f>SUM(A231+1)</f>
        <v>170</v>
      </c>
      <c r="B232" s="113"/>
      <c r="C232" s="114" t="s">
        <v>230</v>
      </c>
      <c r="D232" s="114"/>
      <c r="E232" s="115"/>
      <c r="F232" s="88" t="s">
        <v>679</v>
      </c>
      <c r="G232" s="116">
        <v>601100</v>
      </c>
      <c r="H232" s="117">
        <v>488000</v>
      </c>
      <c r="I232" s="117">
        <v>488000</v>
      </c>
      <c r="J232" s="118">
        <v>488000</v>
      </c>
    </row>
    <row r="233" spans="1:10" x14ac:dyDescent="0.2">
      <c r="A233" s="71">
        <f t="shared" ref="A233:A290" si="4">SUM(A232+1)</f>
        <v>171</v>
      </c>
      <c r="B233" s="113"/>
      <c r="C233" s="114" t="s">
        <v>245</v>
      </c>
      <c r="D233" s="114"/>
      <c r="E233" s="115"/>
      <c r="F233" s="88" t="s">
        <v>298</v>
      </c>
      <c r="G233" s="116">
        <v>22100</v>
      </c>
      <c r="H233" s="117">
        <v>17000</v>
      </c>
      <c r="I233" s="117">
        <v>17000</v>
      </c>
      <c r="J233" s="118">
        <v>17000</v>
      </c>
    </row>
    <row r="234" spans="1:10" x14ac:dyDescent="0.2">
      <c r="A234" s="71">
        <f t="shared" si="4"/>
        <v>172</v>
      </c>
      <c r="B234" s="113"/>
      <c r="C234" s="114" t="s">
        <v>949</v>
      </c>
      <c r="D234" s="114"/>
      <c r="E234" s="115"/>
      <c r="F234" s="88" t="s">
        <v>298</v>
      </c>
      <c r="G234" s="116">
        <v>33400</v>
      </c>
      <c r="H234" s="117">
        <v>27000</v>
      </c>
      <c r="I234" s="117">
        <v>27000</v>
      </c>
      <c r="J234" s="118">
        <v>27000</v>
      </c>
    </row>
    <row r="235" spans="1:10" x14ac:dyDescent="0.2">
      <c r="A235" s="71">
        <f t="shared" si="4"/>
        <v>173</v>
      </c>
      <c r="B235" s="113"/>
      <c r="C235" s="114" t="s">
        <v>950</v>
      </c>
      <c r="D235" s="114"/>
      <c r="E235" s="115"/>
      <c r="F235" s="88" t="s">
        <v>264</v>
      </c>
      <c r="G235" s="116">
        <v>300600</v>
      </c>
      <c r="H235" s="117">
        <v>244000</v>
      </c>
      <c r="I235" s="117">
        <v>244000</v>
      </c>
      <c r="J235" s="118">
        <v>244000</v>
      </c>
    </row>
    <row r="236" spans="1:10" x14ac:dyDescent="0.2">
      <c r="A236" s="71">
        <f t="shared" si="4"/>
        <v>174</v>
      </c>
      <c r="B236" s="113"/>
      <c r="C236" s="114" t="s">
        <v>64</v>
      </c>
      <c r="D236" s="114"/>
      <c r="E236" s="115"/>
      <c r="F236" s="88" t="s">
        <v>298</v>
      </c>
      <c r="G236" s="116">
        <v>1500</v>
      </c>
      <c r="H236" s="117">
        <v>1200</v>
      </c>
      <c r="I236" s="117">
        <v>1200</v>
      </c>
      <c r="J236" s="118">
        <v>1200</v>
      </c>
    </row>
    <row r="237" spans="1:10" x14ac:dyDescent="0.2">
      <c r="A237" s="71">
        <f t="shared" si="4"/>
        <v>175</v>
      </c>
      <c r="B237" s="113"/>
      <c r="C237" s="114" t="s">
        <v>65</v>
      </c>
      <c r="D237" s="114"/>
      <c r="E237" s="115"/>
      <c r="F237" s="88" t="s">
        <v>264</v>
      </c>
      <c r="G237" s="116">
        <v>2003400</v>
      </c>
      <c r="H237" s="117">
        <v>1628000</v>
      </c>
      <c r="I237" s="117">
        <v>1628000</v>
      </c>
      <c r="J237" s="118">
        <v>1628000</v>
      </c>
    </row>
    <row r="238" spans="1:10" x14ac:dyDescent="0.2">
      <c r="A238" s="71">
        <f t="shared" si="4"/>
        <v>176</v>
      </c>
      <c r="B238" s="113"/>
      <c r="C238" s="114" t="s">
        <v>894</v>
      </c>
      <c r="D238" s="114"/>
      <c r="E238" s="115"/>
      <c r="F238" s="88" t="s">
        <v>268</v>
      </c>
      <c r="G238" s="116">
        <v>16200</v>
      </c>
      <c r="H238" s="117">
        <v>13000</v>
      </c>
      <c r="I238" s="117">
        <v>13000</v>
      </c>
      <c r="J238" s="118">
        <v>13000</v>
      </c>
    </row>
    <row r="239" spans="1:10" x14ac:dyDescent="0.2">
      <c r="A239" s="71">
        <f t="shared" si="4"/>
        <v>177</v>
      </c>
      <c r="B239" s="113"/>
      <c r="C239" s="114" t="s">
        <v>66</v>
      </c>
      <c r="D239" s="114"/>
      <c r="E239" s="115"/>
      <c r="F239" s="88" t="s">
        <v>268</v>
      </c>
      <c r="G239" s="116">
        <v>5500</v>
      </c>
      <c r="H239" s="117">
        <v>4400</v>
      </c>
      <c r="I239" s="117">
        <v>4400</v>
      </c>
      <c r="J239" s="118">
        <v>4400</v>
      </c>
    </row>
    <row r="240" spans="1:10" x14ac:dyDescent="0.2">
      <c r="A240" s="71">
        <f t="shared" si="4"/>
        <v>178</v>
      </c>
      <c r="B240" s="113"/>
      <c r="C240" s="114" t="s">
        <v>67</v>
      </c>
      <c r="D240" s="114"/>
      <c r="E240" s="115"/>
      <c r="F240" s="88" t="s">
        <v>264</v>
      </c>
      <c r="G240" s="116">
        <v>15359400</v>
      </c>
      <c r="H240" s="117">
        <v>12487000</v>
      </c>
      <c r="I240" s="117">
        <v>12487000</v>
      </c>
      <c r="J240" s="118">
        <v>12487000</v>
      </c>
    </row>
    <row r="241" spans="1:10" x14ac:dyDescent="0.2">
      <c r="A241" s="71">
        <f t="shared" si="4"/>
        <v>179</v>
      </c>
      <c r="B241" s="113"/>
      <c r="C241" s="114" t="s">
        <v>68</v>
      </c>
      <c r="D241" s="114"/>
      <c r="E241" s="115"/>
      <c r="F241" s="88" t="s">
        <v>264</v>
      </c>
      <c r="G241" s="116">
        <v>16695000</v>
      </c>
      <c r="H241" s="117">
        <v>13573000</v>
      </c>
      <c r="I241" s="117">
        <v>13573000</v>
      </c>
      <c r="J241" s="118">
        <v>13573000</v>
      </c>
    </row>
    <row r="242" spans="1:10" x14ac:dyDescent="0.2">
      <c r="A242" s="71">
        <f t="shared" si="4"/>
        <v>180</v>
      </c>
      <c r="B242" s="113"/>
      <c r="C242" s="114" t="s">
        <v>69</v>
      </c>
      <c r="D242" s="114"/>
      <c r="E242" s="115"/>
      <c r="F242" s="88" t="s">
        <v>264</v>
      </c>
      <c r="G242" s="116">
        <v>31800200</v>
      </c>
      <c r="H242" s="117">
        <v>25853000</v>
      </c>
      <c r="I242" s="117">
        <v>25853000</v>
      </c>
      <c r="J242" s="118">
        <v>25853000</v>
      </c>
    </row>
    <row r="243" spans="1:10" x14ac:dyDescent="0.2">
      <c r="A243" s="71">
        <f t="shared" si="4"/>
        <v>181</v>
      </c>
      <c r="B243" s="113"/>
      <c r="C243" s="114" t="s">
        <v>70</v>
      </c>
      <c r="D243" s="114"/>
      <c r="E243" s="115"/>
      <c r="F243" s="88" t="s">
        <v>266</v>
      </c>
      <c r="G243" s="116">
        <v>427400</v>
      </c>
      <c r="H243" s="117">
        <v>347000</v>
      </c>
      <c r="I243" s="117">
        <v>347000</v>
      </c>
      <c r="J243" s="118">
        <v>347000</v>
      </c>
    </row>
    <row r="244" spans="1:10" x14ac:dyDescent="0.2">
      <c r="A244" s="71">
        <f t="shared" si="4"/>
        <v>182</v>
      </c>
      <c r="B244" s="113"/>
      <c r="C244" s="114" t="s">
        <v>71</v>
      </c>
      <c r="D244" s="114"/>
      <c r="E244" s="115"/>
      <c r="F244" s="88" t="s">
        <v>264</v>
      </c>
      <c r="G244" s="116">
        <v>29383200</v>
      </c>
      <c r="H244" s="117">
        <v>23888000</v>
      </c>
      <c r="I244" s="117">
        <v>23888000</v>
      </c>
      <c r="J244" s="118">
        <v>23888000</v>
      </c>
    </row>
    <row r="245" spans="1:10" x14ac:dyDescent="0.2">
      <c r="A245" s="71">
        <f t="shared" si="4"/>
        <v>183</v>
      </c>
      <c r="B245" s="113"/>
      <c r="C245" s="114" t="s">
        <v>951</v>
      </c>
      <c r="D245" s="114"/>
      <c r="E245" s="115"/>
      <c r="F245" s="88" t="s">
        <v>264</v>
      </c>
      <c r="G245" s="116">
        <v>29383200</v>
      </c>
      <c r="H245" s="117">
        <v>23888000</v>
      </c>
      <c r="I245" s="117">
        <v>23888000</v>
      </c>
      <c r="J245" s="118">
        <v>23888000</v>
      </c>
    </row>
    <row r="246" spans="1:10" x14ac:dyDescent="0.2">
      <c r="A246" s="71">
        <f t="shared" si="4"/>
        <v>184</v>
      </c>
      <c r="B246" s="113"/>
      <c r="C246" s="114" t="s">
        <v>72</v>
      </c>
      <c r="D246" s="114"/>
      <c r="E246" s="115"/>
      <c r="F246" s="88" t="s">
        <v>264</v>
      </c>
      <c r="G246" s="116">
        <v>21369600</v>
      </c>
      <c r="H246" s="117">
        <v>17373000</v>
      </c>
      <c r="I246" s="117">
        <v>17373000</v>
      </c>
      <c r="J246" s="118">
        <v>17373000</v>
      </c>
    </row>
    <row r="247" spans="1:10" x14ac:dyDescent="0.2">
      <c r="A247" s="71">
        <f t="shared" si="4"/>
        <v>185</v>
      </c>
      <c r="B247" s="113"/>
      <c r="C247" s="114" t="s">
        <v>73</v>
      </c>
      <c r="D247" s="114"/>
      <c r="E247" s="115"/>
      <c r="F247" s="88" t="s">
        <v>264</v>
      </c>
      <c r="G247" s="116">
        <v>20034000</v>
      </c>
      <c r="H247" s="117">
        <v>16287000</v>
      </c>
      <c r="I247" s="117">
        <v>16287000</v>
      </c>
      <c r="J247" s="118">
        <v>16287000</v>
      </c>
    </row>
    <row r="248" spans="1:10" x14ac:dyDescent="0.2">
      <c r="A248" s="71">
        <f t="shared" si="4"/>
        <v>186</v>
      </c>
      <c r="B248" s="113"/>
      <c r="C248" s="114" t="s">
        <v>74</v>
      </c>
      <c r="D248" s="114"/>
      <c r="E248" s="115"/>
      <c r="F248" s="88" t="s">
        <v>264</v>
      </c>
      <c r="G248" s="116">
        <v>12688200</v>
      </c>
      <c r="H248" s="117">
        <v>10315000</v>
      </c>
      <c r="I248" s="117">
        <v>10315000</v>
      </c>
      <c r="J248" s="118">
        <v>10315000</v>
      </c>
    </row>
    <row r="249" spans="1:10" x14ac:dyDescent="0.2">
      <c r="A249" s="71">
        <f t="shared" si="4"/>
        <v>187</v>
      </c>
      <c r="B249" s="113"/>
      <c r="C249" s="114" t="s">
        <v>75</v>
      </c>
      <c r="D249" s="114"/>
      <c r="E249" s="115"/>
      <c r="F249" s="88" t="s">
        <v>264</v>
      </c>
      <c r="G249" s="116">
        <v>14023800</v>
      </c>
      <c r="H249" s="117">
        <v>11401000</v>
      </c>
      <c r="I249" s="117">
        <v>11401000</v>
      </c>
      <c r="J249" s="118">
        <v>11401000</v>
      </c>
    </row>
    <row r="250" spans="1:10" x14ac:dyDescent="0.2">
      <c r="A250" s="71">
        <f t="shared" si="4"/>
        <v>188</v>
      </c>
      <c r="B250" s="113"/>
      <c r="C250" s="114" t="s">
        <v>76</v>
      </c>
      <c r="D250" s="114"/>
      <c r="E250" s="115"/>
      <c r="F250" s="88" t="s">
        <v>264</v>
      </c>
      <c r="G250" s="116">
        <v>9349200</v>
      </c>
      <c r="H250" s="117">
        <v>7600000</v>
      </c>
      <c r="I250" s="117">
        <v>7600000</v>
      </c>
      <c r="J250" s="118">
        <v>7600000</v>
      </c>
    </row>
    <row r="251" spans="1:10" x14ac:dyDescent="0.2">
      <c r="A251" s="71">
        <f t="shared" si="4"/>
        <v>189</v>
      </c>
      <c r="B251" s="113"/>
      <c r="C251" s="114" t="s">
        <v>77</v>
      </c>
      <c r="D251" s="114"/>
      <c r="E251" s="115"/>
      <c r="F251" s="88" t="s">
        <v>264</v>
      </c>
      <c r="G251" s="116">
        <v>10017000</v>
      </c>
      <c r="H251" s="117">
        <v>8143000</v>
      </c>
      <c r="I251" s="117">
        <v>8143000</v>
      </c>
      <c r="J251" s="118">
        <v>8143000</v>
      </c>
    </row>
    <row r="252" spans="1:10" x14ac:dyDescent="0.2">
      <c r="A252" s="71">
        <f t="shared" si="4"/>
        <v>190</v>
      </c>
      <c r="B252" s="113"/>
      <c r="C252" s="114" t="s">
        <v>739</v>
      </c>
      <c r="D252" s="114"/>
      <c r="E252" s="115"/>
      <c r="F252" s="88" t="s">
        <v>247</v>
      </c>
      <c r="G252" s="116">
        <v>10100</v>
      </c>
      <c r="H252" s="117">
        <v>8000</v>
      </c>
      <c r="I252" s="117">
        <v>8000</v>
      </c>
      <c r="J252" s="118">
        <v>8000</v>
      </c>
    </row>
    <row r="253" spans="1:10" x14ac:dyDescent="0.2">
      <c r="A253" s="71">
        <f t="shared" si="4"/>
        <v>191</v>
      </c>
      <c r="B253" s="113"/>
      <c r="C253" s="114" t="s">
        <v>159</v>
      </c>
      <c r="D253" s="114"/>
      <c r="E253" s="115"/>
      <c r="F253" s="88" t="s">
        <v>264</v>
      </c>
      <c r="G253" s="116">
        <v>8681400</v>
      </c>
      <c r="H253" s="117">
        <v>7058000</v>
      </c>
      <c r="I253" s="117">
        <v>7058000</v>
      </c>
      <c r="J253" s="118">
        <v>7058000</v>
      </c>
    </row>
    <row r="254" spans="1:10" x14ac:dyDescent="0.2">
      <c r="A254" s="71">
        <f t="shared" si="4"/>
        <v>192</v>
      </c>
      <c r="B254" s="113"/>
      <c r="C254" s="114" t="s">
        <v>160</v>
      </c>
      <c r="D254" s="114"/>
      <c r="E254" s="115"/>
      <c r="F254" s="88" t="s">
        <v>264</v>
      </c>
      <c r="G254" s="116">
        <v>6678000</v>
      </c>
      <c r="H254" s="117">
        <v>5429000</v>
      </c>
      <c r="I254" s="117">
        <v>5429000</v>
      </c>
      <c r="J254" s="118">
        <v>5429000</v>
      </c>
    </row>
    <row r="255" spans="1:10" x14ac:dyDescent="0.2">
      <c r="A255" s="71">
        <f t="shared" si="4"/>
        <v>193</v>
      </c>
      <c r="B255" s="113"/>
      <c r="C255" s="114" t="s">
        <v>78</v>
      </c>
      <c r="D255" s="114"/>
      <c r="E255" s="115"/>
      <c r="F255" s="88" t="s">
        <v>264</v>
      </c>
      <c r="G255" s="116">
        <v>9349200</v>
      </c>
      <c r="H255" s="117">
        <v>7600000</v>
      </c>
      <c r="I255" s="117">
        <v>7600000</v>
      </c>
      <c r="J255" s="118">
        <v>7600000</v>
      </c>
    </row>
    <row r="256" spans="1:10" x14ac:dyDescent="0.2">
      <c r="A256" s="71">
        <f t="shared" si="4"/>
        <v>194</v>
      </c>
      <c r="B256" s="113"/>
      <c r="C256" s="114" t="s">
        <v>896</v>
      </c>
      <c r="D256" s="114"/>
      <c r="E256" s="115"/>
      <c r="F256" s="88" t="s">
        <v>264</v>
      </c>
      <c r="G256" s="116">
        <v>2003400</v>
      </c>
      <c r="H256" s="117">
        <v>1628000</v>
      </c>
      <c r="I256" s="117">
        <v>1628000</v>
      </c>
      <c r="J256" s="118">
        <v>1628000</v>
      </c>
    </row>
    <row r="257" spans="1:10" x14ac:dyDescent="0.2">
      <c r="A257" s="71">
        <f t="shared" si="4"/>
        <v>195</v>
      </c>
      <c r="B257" s="113"/>
      <c r="C257" s="114" t="s">
        <v>121</v>
      </c>
      <c r="D257" s="114"/>
      <c r="E257" s="115"/>
      <c r="F257" s="88" t="s">
        <v>264</v>
      </c>
      <c r="G257" s="116">
        <v>2337300</v>
      </c>
      <c r="H257" s="117">
        <v>1900000</v>
      </c>
      <c r="I257" s="117">
        <v>1900000</v>
      </c>
      <c r="J257" s="118">
        <v>1900000</v>
      </c>
    </row>
    <row r="258" spans="1:10" x14ac:dyDescent="0.2">
      <c r="A258" s="71">
        <f t="shared" si="4"/>
        <v>196</v>
      </c>
      <c r="B258" s="113"/>
      <c r="C258" s="114" t="s">
        <v>79</v>
      </c>
      <c r="D258" s="114"/>
      <c r="E258" s="115"/>
      <c r="F258" s="88" t="s">
        <v>264</v>
      </c>
      <c r="G258" s="116">
        <v>2671200</v>
      </c>
      <c r="H258" s="117">
        <v>2171000</v>
      </c>
      <c r="I258" s="117">
        <v>2171000</v>
      </c>
      <c r="J258" s="118">
        <v>2171000</v>
      </c>
    </row>
    <row r="259" spans="1:10" x14ac:dyDescent="0.2">
      <c r="A259" s="71">
        <f t="shared" si="4"/>
        <v>197</v>
      </c>
      <c r="B259" s="113"/>
      <c r="C259" s="114" t="s">
        <v>733</v>
      </c>
      <c r="D259" s="114"/>
      <c r="E259" s="115"/>
      <c r="F259" s="88" t="s">
        <v>554</v>
      </c>
      <c r="G259" s="116">
        <v>167000</v>
      </c>
      <c r="H259" s="117">
        <v>135000</v>
      </c>
      <c r="I259" s="117">
        <v>135000</v>
      </c>
      <c r="J259" s="118">
        <v>135000</v>
      </c>
    </row>
    <row r="260" spans="1:10" x14ac:dyDescent="0.2">
      <c r="A260" s="71">
        <f t="shared" si="4"/>
        <v>198</v>
      </c>
      <c r="B260" s="113"/>
      <c r="C260" s="114" t="s">
        <v>82</v>
      </c>
      <c r="D260" s="114"/>
      <c r="E260" s="115"/>
      <c r="F260" s="88" t="s">
        <v>338</v>
      </c>
      <c r="G260" s="116">
        <v>66800</v>
      </c>
      <c r="H260" s="117">
        <v>54000</v>
      </c>
      <c r="I260" s="117">
        <v>54000</v>
      </c>
      <c r="J260" s="118">
        <v>54000</v>
      </c>
    </row>
    <row r="261" spans="1:10" x14ac:dyDescent="0.2">
      <c r="A261" s="71">
        <f t="shared" si="4"/>
        <v>199</v>
      </c>
      <c r="B261" s="113"/>
      <c r="C261" s="114" t="s">
        <v>441</v>
      </c>
      <c r="D261" s="114"/>
      <c r="E261" s="115"/>
      <c r="F261" s="88" t="s">
        <v>338</v>
      </c>
      <c r="G261" s="116">
        <v>73500</v>
      </c>
      <c r="H261" s="117">
        <v>59000</v>
      </c>
      <c r="I261" s="117">
        <v>59000</v>
      </c>
      <c r="J261" s="118">
        <v>59000</v>
      </c>
    </row>
    <row r="262" spans="1:10" x14ac:dyDescent="0.2">
      <c r="A262" s="71">
        <f t="shared" si="4"/>
        <v>200</v>
      </c>
      <c r="B262" s="113"/>
      <c r="C262" s="114" t="s">
        <v>680</v>
      </c>
      <c r="D262" s="114"/>
      <c r="E262" s="115"/>
      <c r="F262" s="88" t="s">
        <v>338</v>
      </c>
      <c r="G262" s="116">
        <v>60200</v>
      </c>
      <c r="H262" s="117">
        <v>48000</v>
      </c>
      <c r="I262" s="117">
        <v>48000</v>
      </c>
      <c r="J262" s="118">
        <v>48000</v>
      </c>
    </row>
    <row r="263" spans="1:10" x14ac:dyDescent="0.2">
      <c r="A263" s="71">
        <f t="shared" si="4"/>
        <v>201</v>
      </c>
      <c r="B263" s="113"/>
      <c r="C263" s="114" t="s">
        <v>898</v>
      </c>
      <c r="D263" s="114"/>
      <c r="E263" s="115"/>
      <c r="F263" s="88" t="s">
        <v>338</v>
      </c>
      <c r="G263" s="116">
        <v>69600</v>
      </c>
      <c r="H263" s="117">
        <v>56000</v>
      </c>
      <c r="I263" s="117">
        <v>56000</v>
      </c>
      <c r="J263" s="118">
        <v>56000</v>
      </c>
    </row>
    <row r="264" spans="1:10" x14ac:dyDescent="0.2">
      <c r="A264" s="71">
        <f t="shared" si="4"/>
        <v>202</v>
      </c>
      <c r="B264" s="113"/>
      <c r="C264" s="114" t="s">
        <v>794</v>
      </c>
      <c r="D264" s="114"/>
      <c r="E264" s="115"/>
      <c r="F264" s="88" t="s">
        <v>338</v>
      </c>
      <c r="G264" s="116">
        <v>80200</v>
      </c>
      <c r="H264" s="117">
        <v>65000</v>
      </c>
      <c r="I264" s="117">
        <v>65000</v>
      </c>
      <c r="J264" s="118">
        <v>65000</v>
      </c>
    </row>
    <row r="265" spans="1:10" x14ac:dyDescent="0.2">
      <c r="A265" s="71">
        <f t="shared" si="4"/>
        <v>203</v>
      </c>
      <c r="B265" s="113"/>
      <c r="C265" s="114" t="s">
        <v>122</v>
      </c>
      <c r="D265" s="114"/>
      <c r="E265" s="115"/>
      <c r="F265" s="88" t="s">
        <v>338</v>
      </c>
      <c r="G265" s="116">
        <v>117000</v>
      </c>
      <c r="H265" s="117">
        <v>95000</v>
      </c>
      <c r="I265" s="117">
        <v>95000</v>
      </c>
      <c r="J265" s="118">
        <v>95000</v>
      </c>
    </row>
    <row r="266" spans="1:10" x14ac:dyDescent="0.2">
      <c r="A266" s="71">
        <f t="shared" si="4"/>
        <v>204</v>
      </c>
      <c r="B266" s="113"/>
      <c r="C266" s="114" t="s">
        <v>123</v>
      </c>
      <c r="D266" s="114"/>
      <c r="E266" s="115"/>
      <c r="F266" s="88" t="s">
        <v>338</v>
      </c>
      <c r="G266" s="116">
        <v>73500</v>
      </c>
      <c r="H266" s="117">
        <v>59000</v>
      </c>
      <c r="I266" s="117">
        <v>59000</v>
      </c>
      <c r="J266" s="118">
        <v>59000</v>
      </c>
    </row>
    <row r="267" spans="1:10" x14ac:dyDescent="0.2">
      <c r="A267" s="71">
        <f t="shared" si="4"/>
        <v>205</v>
      </c>
      <c r="B267" s="113"/>
      <c r="C267" s="114" t="s">
        <v>124</v>
      </c>
      <c r="D267" s="114"/>
      <c r="E267" s="115"/>
      <c r="F267" s="88" t="s">
        <v>338</v>
      </c>
      <c r="G267" s="116">
        <v>86900</v>
      </c>
      <c r="H267" s="117">
        <v>70000</v>
      </c>
      <c r="I267" s="117">
        <v>70000</v>
      </c>
      <c r="J267" s="118">
        <v>70000</v>
      </c>
    </row>
    <row r="268" spans="1:10" x14ac:dyDescent="0.2">
      <c r="A268" s="71">
        <f t="shared" si="4"/>
        <v>206</v>
      </c>
      <c r="B268" s="113"/>
      <c r="C268" s="114" t="s">
        <v>795</v>
      </c>
      <c r="D268" s="114"/>
      <c r="E268" s="115"/>
      <c r="F268" s="88" t="s">
        <v>338</v>
      </c>
      <c r="G268" s="116">
        <v>100900</v>
      </c>
      <c r="H268" s="117">
        <v>82000</v>
      </c>
      <c r="I268" s="117">
        <v>82000</v>
      </c>
      <c r="J268" s="118">
        <v>82000</v>
      </c>
    </row>
    <row r="269" spans="1:10" x14ac:dyDescent="0.2">
      <c r="A269" s="71">
        <f t="shared" si="4"/>
        <v>207</v>
      </c>
      <c r="B269" s="113"/>
      <c r="C269" s="114" t="s">
        <v>492</v>
      </c>
      <c r="D269" s="114"/>
      <c r="E269" s="115"/>
      <c r="F269" s="88" t="s">
        <v>338</v>
      </c>
      <c r="G269" s="116">
        <v>80200</v>
      </c>
      <c r="H269" s="117">
        <v>65000</v>
      </c>
      <c r="I269" s="117">
        <v>65000</v>
      </c>
      <c r="J269" s="118">
        <v>65000</v>
      </c>
    </row>
    <row r="270" spans="1:10" x14ac:dyDescent="0.2">
      <c r="A270" s="71">
        <f t="shared" si="4"/>
        <v>208</v>
      </c>
      <c r="B270" s="113"/>
      <c r="C270" s="114" t="s">
        <v>899</v>
      </c>
      <c r="D270" s="114"/>
      <c r="E270" s="115"/>
      <c r="F270" s="88" t="s">
        <v>338</v>
      </c>
      <c r="G270" s="116">
        <v>387400</v>
      </c>
      <c r="H270" s="117">
        <v>314000</v>
      </c>
      <c r="I270" s="117">
        <v>314000</v>
      </c>
      <c r="J270" s="118">
        <v>314000</v>
      </c>
    </row>
    <row r="271" spans="1:10" x14ac:dyDescent="0.2">
      <c r="A271" s="71">
        <f t="shared" si="4"/>
        <v>209</v>
      </c>
      <c r="B271" s="113"/>
      <c r="C271" s="114" t="s">
        <v>815</v>
      </c>
      <c r="D271" s="114"/>
      <c r="E271" s="115"/>
      <c r="F271" s="88" t="s">
        <v>268</v>
      </c>
      <c r="G271" s="116">
        <v>16200</v>
      </c>
      <c r="H271" s="117">
        <v>13000</v>
      </c>
      <c r="I271" s="117">
        <v>13000</v>
      </c>
      <c r="J271" s="118">
        <v>13000</v>
      </c>
    </row>
    <row r="272" spans="1:10" x14ac:dyDescent="0.2">
      <c r="A272" s="71">
        <f t="shared" si="4"/>
        <v>210</v>
      </c>
      <c r="B272" s="113"/>
      <c r="C272" s="114" t="s">
        <v>125</v>
      </c>
      <c r="D272" s="114"/>
      <c r="E272" s="115"/>
      <c r="F272" s="88" t="s">
        <v>264</v>
      </c>
      <c r="G272" s="116">
        <v>33400</v>
      </c>
      <c r="H272" s="117">
        <v>27000</v>
      </c>
      <c r="I272" s="117">
        <v>27000</v>
      </c>
      <c r="J272" s="118">
        <v>27000</v>
      </c>
    </row>
    <row r="273" spans="1:10" x14ac:dyDescent="0.2">
      <c r="A273" s="71">
        <f t="shared" si="4"/>
        <v>211</v>
      </c>
      <c r="B273" s="113"/>
      <c r="C273" s="114" t="s">
        <v>645</v>
      </c>
      <c r="D273" s="114"/>
      <c r="E273" s="115"/>
      <c r="F273" s="88" t="s">
        <v>268</v>
      </c>
      <c r="G273" s="116">
        <v>82900</v>
      </c>
      <c r="H273" s="117">
        <v>67000</v>
      </c>
      <c r="I273" s="117">
        <v>67000</v>
      </c>
      <c r="J273" s="118">
        <v>67000</v>
      </c>
    </row>
    <row r="274" spans="1:10" x14ac:dyDescent="0.2">
      <c r="A274" s="71">
        <f t="shared" si="4"/>
        <v>212</v>
      </c>
      <c r="B274" s="113"/>
      <c r="C274" s="114" t="s">
        <v>494</v>
      </c>
      <c r="D274" s="114"/>
      <c r="E274" s="115"/>
      <c r="F274" s="88" t="s">
        <v>268</v>
      </c>
      <c r="G274" s="116">
        <v>22100</v>
      </c>
      <c r="H274" s="117">
        <v>17000</v>
      </c>
      <c r="I274" s="117">
        <v>17000</v>
      </c>
      <c r="J274" s="118">
        <v>17000</v>
      </c>
    </row>
    <row r="275" spans="1:10" x14ac:dyDescent="0.2">
      <c r="A275" s="71">
        <f t="shared" si="4"/>
        <v>213</v>
      </c>
      <c r="B275" s="113"/>
      <c r="C275" s="114" t="s">
        <v>495</v>
      </c>
      <c r="D275" s="114"/>
      <c r="E275" s="115"/>
      <c r="F275" s="88" t="s">
        <v>268</v>
      </c>
      <c r="G275" s="116">
        <v>36800</v>
      </c>
      <c r="H275" s="117">
        <v>29000</v>
      </c>
      <c r="I275" s="117">
        <v>29000</v>
      </c>
      <c r="J275" s="118">
        <v>29000</v>
      </c>
    </row>
    <row r="276" spans="1:10" x14ac:dyDescent="0.2">
      <c r="A276" s="71">
        <f t="shared" si="4"/>
        <v>214</v>
      </c>
      <c r="B276" s="113"/>
      <c r="C276" s="114" t="s">
        <v>493</v>
      </c>
      <c r="D276" s="114"/>
      <c r="E276" s="115"/>
      <c r="F276" s="88" t="s">
        <v>268</v>
      </c>
      <c r="G276" s="116">
        <v>73500</v>
      </c>
      <c r="H276" s="117">
        <v>59000</v>
      </c>
      <c r="I276" s="117">
        <v>59000</v>
      </c>
      <c r="J276" s="118">
        <v>59000</v>
      </c>
    </row>
    <row r="277" spans="1:10" x14ac:dyDescent="0.2">
      <c r="A277" s="71">
        <f t="shared" si="4"/>
        <v>215</v>
      </c>
      <c r="B277" s="113"/>
      <c r="C277" s="114" t="s">
        <v>501</v>
      </c>
      <c r="D277" s="114"/>
      <c r="E277" s="115"/>
      <c r="F277" s="88" t="s">
        <v>268</v>
      </c>
      <c r="G277" s="116">
        <v>26800</v>
      </c>
      <c r="H277" s="117">
        <v>21000</v>
      </c>
      <c r="I277" s="117">
        <v>21000</v>
      </c>
      <c r="J277" s="118">
        <v>21000</v>
      </c>
    </row>
    <row r="278" spans="1:10" x14ac:dyDescent="0.2">
      <c r="A278" s="71">
        <f t="shared" si="4"/>
        <v>216</v>
      </c>
      <c r="B278" s="113"/>
      <c r="C278" s="114" t="s">
        <v>500</v>
      </c>
      <c r="D278" s="114"/>
      <c r="E278" s="115"/>
      <c r="F278" s="88" t="s">
        <v>268</v>
      </c>
      <c r="G278" s="116">
        <v>34200</v>
      </c>
      <c r="H278" s="117">
        <v>27000</v>
      </c>
      <c r="I278" s="117">
        <v>27000</v>
      </c>
      <c r="J278" s="118">
        <v>27000</v>
      </c>
    </row>
    <row r="279" spans="1:10" x14ac:dyDescent="0.2">
      <c r="A279" s="71">
        <f t="shared" si="4"/>
        <v>217</v>
      </c>
      <c r="B279" s="113"/>
      <c r="C279" s="114" t="s">
        <v>499</v>
      </c>
      <c r="D279" s="114"/>
      <c r="E279" s="115"/>
      <c r="F279" s="88" t="s">
        <v>268</v>
      </c>
      <c r="G279" s="116">
        <v>83600</v>
      </c>
      <c r="H279" s="117">
        <v>67000</v>
      </c>
      <c r="I279" s="117">
        <v>67000</v>
      </c>
      <c r="J279" s="118">
        <v>67000</v>
      </c>
    </row>
    <row r="280" spans="1:10" x14ac:dyDescent="0.2">
      <c r="A280" s="71">
        <f t="shared" si="4"/>
        <v>218</v>
      </c>
      <c r="B280" s="113"/>
      <c r="C280" s="114" t="s">
        <v>497</v>
      </c>
      <c r="D280" s="114"/>
      <c r="E280" s="115"/>
      <c r="F280" s="88" t="s">
        <v>268</v>
      </c>
      <c r="G280" s="116">
        <v>23500</v>
      </c>
      <c r="H280" s="117">
        <v>19000</v>
      </c>
      <c r="I280" s="117">
        <v>19000</v>
      </c>
      <c r="J280" s="118">
        <v>19000</v>
      </c>
    </row>
    <row r="281" spans="1:10" x14ac:dyDescent="0.2">
      <c r="A281" s="71">
        <f t="shared" si="4"/>
        <v>219</v>
      </c>
      <c r="B281" s="113"/>
      <c r="C281" s="114" t="s">
        <v>498</v>
      </c>
      <c r="D281" s="114"/>
      <c r="E281" s="115"/>
      <c r="F281" s="88" t="s">
        <v>268</v>
      </c>
      <c r="G281" s="116">
        <v>40100</v>
      </c>
      <c r="H281" s="117">
        <v>32000</v>
      </c>
      <c r="I281" s="117">
        <v>32000</v>
      </c>
      <c r="J281" s="118">
        <v>32000</v>
      </c>
    </row>
    <row r="282" spans="1:10" x14ac:dyDescent="0.2">
      <c r="A282" s="71">
        <f t="shared" si="4"/>
        <v>220</v>
      </c>
      <c r="B282" s="113"/>
      <c r="C282" s="114" t="s">
        <v>496</v>
      </c>
      <c r="D282" s="114"/>
      <c r="E282" s="115"/>
      <c r="F282" s="88" t="s">
        <v>268</v>
      </c>
      <c r="G282" s="116">
        <v>60200</v>
      </c>
      <c r="H282" s="117">
        <v>48000</v>
      </c>
      <c r="I282" s="117">
        <v>48000</v>
      </c>
      <c r="J282" s="118">
        <v>48000</v>
      </c>
    </row>
    <row r="283" spans="1:10" x14ac:dyDescent="0.2">
      <c r="A283" s="71">
        <f t="shared" si="4"/>
        <v>221</v>
      </c>
      <c r="B283" s="113"/>
      <c r="C283" s="114" t="s">
        <v>644</v>
      </c>
      <c r="D283" s="114"/>
      <c r="E283" s="115"/>
      <c r="F283" s="88" t="s">
        <v>268</v>
      </c>
      <c r="G283" s="116">
        <v>53500</v>
      </c>
      <c r="H283" s="117">
        <v>43000</v>
      </c>
      <c r="I283" s="117">
        <v>43000</v>
      </c>
      <c r="J283" s="118">
        <v>43000</v>
      </c>
    </row>
    <row r="284" spans="1:10" x14ac:dyDescent="0.2">
      <c r="A284" s="71">
        <f t="shared" si="4"/>
        <v>222</v>
      </c>
      <c r="B284" s="113"/>
      <c r="C284" s="114" t="s">
        <v>900</v>
      </c>
      <c r="D284" s="114"/>
      <c r="E284" s="115"/>
      <c r="F284" s="88" t="s">
        <v>247</v>
      </c>
      <c r="G284" s="116">
        <v>126900</v>
      </c>
      <c r="H284" s="117">
        <v>103000</v>
      </c>
      <c r="I284" s="117">
        <v>103000</v>
      </c>
      <c r="J284" s="118">
        <v>103000</v>
      </c>
    </row>
    <row r="285" spans="1:10" x14ac:dyDescent="0.2">
      <c r="A285" s="71">
        <f t="shared" si="4"/>
        <v>223</v>
      </c>
      <c r="B285" s="113"/>
      <c r="C285" s="114" t="s">
        <v>901</v>
      </c>
      <c r="D285" s="114"/>
      <c r="E285" s="115"/>
      <c r="F285" s="88" t="s">
        <v>247</v>
      </c>
      <c r="G285" s="116">
        <v>93500</v>
      </c>
      <c r="H285" s="117">
        <v>76000</v>
      </c>
      <c r="I285" s="117">
        <v>76000</v>
      </c>
      <c r="J285" s="118">
        <v>76000</v>
      </c>
    </row>
    <row r="286" spans="1:10" x14ac:dyDescent="0.2">
      <c r="A286" s="71">
        <f t="shared" si="4"/>
        <v>224</v>
      </c>
      <c r="B286" s="113"/>
      <c r="C286" s="114" t="s">
        <v>902</v>
      </c>
      <c r="D286" s="114"/>
      <c r="E286" s="115"/>
      <c r="F286" s="88" t="s">
        <v>247</v>
      </c>
      <c r="G286" s="116">
        <v>187000</v>
      </c>
      <c r="H286" s="117">
        <v>152000</v>
      </c>
      <c r="I286" s="117">
        <v>152000</v>
      </c>
      <c r="J286" s="118">
        <v>152000</v>
      </c>
    </row>
    <row r="287" spans="1:10" x14ac:dyDescent="0.2">
      <c r="A287" s="71">
        <f t="shared" si="4"/>
        <v>225</v>
      </c>
      <c r="B287" s="113"/>
      <c r="C287" s="114" t="s">
        <v>903</v>
      </c>
      <c r="D287" s="114"/>
      <c r="E287" s="115"/>
      <c r="F287" s="88" t="s">
        <v>247</v>
      </c>
      <c r="G287" s="116">
        <v>133600</v>
      </c>
      <c r="H287" s="117">
        <v>108000</v>
      </c>
      <c r="I287" s="117">
        <v>108000</v>
      </c>
      <c r="J287" s="118">
        <v>108000</v>
      </c>
    </row>
    <row r="288" spans="1:10" x14ac:dyDescent="0.2">
      <c r="A288" s="71">
        <f t="shared" si="4"/>
        <v>226</v>
      </c>
      <c r="B288" s="113"/>
      <c r="C288" s="114" t="s">
        <v>904</v>
      </c>
      <c r="D288" s="114"/>
      <c r="E288" s="115"/>
      <c r="F288" s="88" t="s">
        <v>247</v>
      </c>
      <c r="G288" s="116">
        <v>106900</v>
      </c>
      <c r="H288" s="117">
        <v>86000</v>
      </c>
      <c r="I288" s="117">
        <v>86000</v>
      </c>
      <c r="J288" s="118">
        <v>86000</v>
      </c>
    </row>
    <row r="289" spans="1:10" x14ac:dyDescent="0.2">
      <c r="A289" s="71">
        <f t="shared" si="4"/>
        <v>227</v>
      </c>
      <c r="B289" s="113"/>
      <c r="C289" s="114" t="s">
        <v>905</v>
      </c>
      <c r="D289" s="114"/>
      <c r="E289" s="115"/>
      <c r="F289" s="88" t="s">
        <v>247</v>
      </c>
      <c r="G289" s="116">
        <v>86900</v>
      </c>
      <c r="H289" s="117">
        <v>70000</v>
      </c>
      <c r="I289" s="117">
        <v>70000</v>
      </c>
      <c r="J289" s="118">
        <v>70000</v>
      </c>
    </row>
    <row r="290" spans="1:10" x14ac:dyDescent="0.2">
      <c r="A290" s="71">
        <f t="shared" si="4"/>
        <v>228</v>
      </c>
      <c r="B290" s="113"/>
      <c r="C290" s="114" t="s">
        <v>83</v>
      </c>
      <c r="D290" s="114"/>
      <c r="E290" s="115"/>
      <c r="F290" s="88" t="s">
        <v>268</v>
      </c>
      <c r="G290" s="116">
        <v>18200</v>
      </c>
      <c r="H290" s="117">
        <v>14000</v>
      </c>
      <c r="I290" s="117">
        <v>14000</v>
      </c>
      <c r="J290" s="118">
        <v>14000</v>
      </c>
    </row>
    <row r="291" spans="1:10" x14ac:dyDescent="0.2">
      <c r="A291" s="89">
        <f>SUM(A290+1)</f>
        <v>229</v>
      </c>
      <c r="B291" s="113"/>
      <c r="C291" s="114" t="s">
        <v>415</v>
      </c>
      <c r="D291" s="114"/>
      <c r="E291" s="115"/>
      <c r="F291" s="88" t="s">
        <v>268</v>
      </c>
      <c r="G291" s="116">
        <v>46800</v>
      </c>
      <c r="H291" s="117">
        <v>38000</v>
      </c>
      <c r="I291" s="117">
        <v>38000</v>
      </c>
      <c r="J291" s="118">
        <v>38000</v>
      </c>
    </row>
    <row r="292" spans="1:10" x14ac:dyDescent="0.2">
      <c r="A292" s="71">
        <f t="shared" ref="A292:A350" si="5">SUM(A291+1)</f>
        <v>230</v>
      </c>
      <c r="B292" s="113"/>
      <c r="C292" s="114" t="s">
        <v>416</v>
      </c>
      <c r="D292" s="114"/>
      <c r="E292" s="115"/>
      <c r="F292" s="88" t="s">
        <v>268</v>
      </c>
      <c r="G292" s="116">
        <v>50200</v>
      </c>
      <c r="H292" s="117">
        <v>40000</v>
      </c>
      <c r="I292" s="117">
        <v>40000</v>
      </c>
      <c r="J292" s="118">
        <v>40000</v>
      </c>
    </row>
    <row r="293" spans="1:10" x14ac:dyDescent="0.2">
      <c r="A293" s="71">
        <f t="shared" si="5"/>
        <v>231</v>
      </c>
      <c r="B293" s="113"/>
      <c r="C293" s="114" t="s">
        <v>84</v>
      </c>
      <c r="D293" s="114"/>
      <c r="E293" s="115"/>
      <c r="F293" s="88" t="s">
        <v>268</v>
      </c>
      <c r="G293" s="116">
        <v>66800</v>
      </c>
      <c r="H293" s="117">
        <v>54000</v>
      </c>
      <c r="I293" s="117">
        <v>54000</v>
      </c>
      <c r="J293" s="118">
        <v>54000</v>
      </c>
    </row>
    <row r="294" spans="1:10" x14ac:dyDescent="0.2">
      <c r="A294" s="71">
        <f t="shared" si="5"/>
        <v>232</v>
      </c>
      <c r="B294" s="113"/>
      <c r="C294" s="114" t="s">
        <v>333</v>
      </c>
      <c r="D294" s="114"/>
      <c r="E294" s="115"/>
      <c r="F294" s="88" t="s">
        <v>298</v>
      </c>
      <c r="G294" s="116">
        <v>16800</v>
      </c>
      <c r="H294" s="117">
        <v>13000</v>
      </c>
      <c r="I294" s="117">
        <v>13000</v>
      </c>
      <c r="J294" s="118">
        <v>13000</v>
      </c>
    </row>
    <row r="295" spans="1:10" x14ac:dyDescent="0.2">
      <c r="A295" s="71">
        <f t="shared" si="5"/>
        <v>233</v>
      </c>
      <c r="B295" s="113"/>
      <c r="C295" s="114" t="s">
        <v>126</v>
      </c>
      <c r="D295" s="114"/>
      <c r="E295" s="115"/>
      <c r="F295" s="88" t="s">
        <v>298</v>
      </c>
      <c r="G295" s="116">
        <v>73500</v>
      </c>
      <c r="H295" s="117">
        <v>59000</v>
      </c>
      <c r="I295" s="117">
        <v>59000</v>
      </c>
      <c r="J295" s="118">
        <v>59000</v>
      </c>
    </row>
    <row r="296" spans="1:10" x14ac:dyDescent="0.2">
      <c r="A296" s="71">
        <f t="shared" si="5"/>
        <v>234</v>
      </c>
      <c r="B296" s="113"/>
      <c r="C296" s="114" t="s">
        <v>741</v>
      </c>
      <c r="D296" s="114"/>
      <c r="E296" s="115"/>
      <c r="F296" s="88" t="s">
        <v>298</v>
      </c>
      <c r="G296" s="116">
        <v>16200</v>
      </c>
      <c r="H296" s="117">
        <v>13000</v>
      </c>
      <c r="I296" s="117">
        <v>13000</v>
      </c>
      <c r="J296" s="118">
        <v>13000</v>
      </c>
    </row>
    <row r="297" spans="1:10" x14ac:dyDescent="0.2">
      <c r="A297" s="71">
        <f t="shared" si="5"/>
        <v>235</v>
      </c>
      <c r="B297" s="113"/>
      <c r="C297" s="114" t="s">
        <v>681</v>
      </c>
      <c r="D297" s="114"/>
      <c r="E297" s="115"/>
      <c r="F297" s="88" t="s">
        <v>298</v>
      </c>
      <c r="G297" s="116">
        <v>73500</v>
      </c>
      <c r="H297" s="117">
        <v>59000</v>
      </c>
      <c r="I297" s="117">
        <v>59000</v>
      </c>
      <c r="J297" s="118">
        <v>59000</v>
      </c>
    </row>
    <row r="298" spans="1:10" x14ac:dyDescent="0.2">
      <c r="A298" s="71">
        <f t="shared" si="5"/>
        <v>236</v>
      </c>
      <c r="B298" s="113"/>
      <c r="C298" s="114" t="s">
        <v>397</v>
      </c>
      <c r="D298" s="114"/>
      <c r="E298" s="115"/>
      <c r="F298" s="88" t="s">
        <v>309</v>
      </c>
      <c r="G298" s="116">
        <v>16200</v>
      </c>
      <c r="H298" s="117">
        <v>13000</v>
      </c>
      <c r="I298" s="117">
        <v>13000</v>
      </c>
      <c r="J298" s="118">
        <v>13000</v>
      </c>
    </row>
    <row r="299" spans="1:10" x14ac:dyDescent="0.2">
      <c r="A299" s="71">
        <f t="shared" si="5"/>
        <v>237</v>
      </c>
      <c r="B299" s="113"/>
      <c r="C299" s="114" t="s">
        <v>731</v>
      </c>
      <c r="D299" s="114"/>
      <c r="E299" s="115"/>
      <c r="F299" s="88" t="s">
        <v>338</v>
      </c>
      <c r="G299" s="116">
        <v>103000</v>
      </c>
      <c r="H299" s="117">
        <v>83000</v>
      </c>
      <c r="I299" s="117">
        <v>83000</v>
      </c>
      <c r="J299" s="118">
        <v>83000</v>
      </c>
    </row>
    <row r="300" spans="1:10" x14ac:dyDescent="0.2">
      <c r="A300" s="71">
        <f>SUM(A299+1)</f>
        <v>238</v>
      </c>
      <c r="B300" s="113"/>
      <c r="C300" s="114" t="s">
        <v>703</v>
      </c>
      <c r="D300" s="114"/>
      <c r="E300" s="115"/>
      <c r="F300" s="88" t="s">
        <v>338</v>
      </c>
      <c r="G300" s="116">
        <v>125000</v>
      </c>
      <c r="H300" s="117">
        <v>101000</v>
      </c>
      <c r="I300" s="117">
        <v>101000</v>
      </c>
      <c r="J300" s="118">
        <v>101000</v>
      </c>
    </row>
    <row r="301" spans="1:10" x14ac:dyDescent="0.2">
      <c r="A301" s="71">
        <f t="shared" si="5"/>
        <v>239</v>
      </c>
      <c r="B301" s="113"/>
      <c r="C301" s="114" t="s">
        <v>704</v>
      </c>
      <c r="D301" s="114"/>
      <c r="E301" s="115"/>
      <c r="F301" s="88" t="s">
        <v>338</v>
      </c>
      <c r="G301" s="116">
        <v>147000</v>
      </c>
      <c r="H301" s="117">
        <v>119000</v>
      </c>
      <c r="I301" s="117">
        <v>119000</v>
      </c>
      <c r="J301" s="118">
        <v>119000</v>
      </c>
    </row>
    <row r="302" spans="1:10" x14ac:dyDescent="0.2">
      <c r="A302" s="71">
        <f t="shared" si="5"/>
        <v>240</v>
      </c>
      <c r="B302" s="113"/>
      <c r="C302" s="114" t="s">
        <v>85</v>
      </c>
      <c r="D302" s="114"/>
      <c r="E302" s="115"/>
      <c r="F302" s="88" t="s">
        <v>266</v>
      </c>
      <c r="G302" s="116">
        <v>293900</v>
      </c>
      <c r="H302" s="117">
        <v>238000</v>
      </c>
      <c r="I302" s="117">
        <v>238000</v>
      </c>
      <c r="J302" s="118">
        <v>238000</v>
      </c>
    </row>
    <row r="303" spans="1:10" x14ac:dyDescent="0.2">
      <c r="A303" s="71">
        <f t="shared" si="5"/>
        <v>241</v>
      </c>
      <c r="B303" s="113"/>
      <c r="C303" s="114" t="s">
        <v>732</v>
      </c>
      <c r="D303" s="114"/>
      <c r="E303" s="115"/>
      <c r="F303" s="88" t="s">
        <v>266</v>
      </c>
      <c r="G303" s="116">
        <v>367300</v>
      </c>
      <c r="H303" s="117">
        <v>298000</v>
      </c>
      <c r="I303" s="117">
        <v>298000</v>
      </c>
      <c r="J303" s="118">
        <v>298000</v>
      </c>
    </row>
    <row r="304" spans="1:10" x14ac:dyDescent="0.2">
      <c r="A304" s="71">
        <f t="shared" si="5"/>
        <v>242</v>
      </c>
      <c r="B304" s="113"/>
      <c r="C304" s="114" t="s">
        <v>906</v>
      </c>
      <c r="D304" s="114"/>
      <c r="E304" s="115"/>
      <c r="F304" s="88" t="s">
        <v>266</v>
      </c>
      <c r="G304" s="116">
        <v>3672900</v>
      </c>
      <c r="H304" s="117">
        <v>2986000</v>
      </c>
      <c r="I304" s="117">
        <v>2986000</v>
      </c>
      <c r="J304" s="118">
        <v>2986000</v>
      </c>
    </row>
    <row r="305" spans="1:10" x14ac:dyDescent="0.2">
      <c r="A305" s="71">
        <f t="shared" si="5"/>
        <v>243</v>
      </c>
      <c r="B305" s="113"/>
      <c r="C305" s="114" t="s">
        <v>907</v>
      </c>
      <c r="D305" s="114"/>
      <c r="E305" s="115"/>
      <c r="F305" s="88" t="s">
        <v>266</v>
      </c>
      <c r="G305" s="116">
        <v>1836500</v>
      </c>
      <c r="H305" s="117">
        <v>1493000</v>
      </c>
      <c r="I305" s="117">
        <v>1493000</v>
      </c>
      <c r="J305" s="118">
        <v>1493000</v>
      </c>
    </row>
    <row r="306" spans="1:10" x14ac:dyDescent="0.2">
      <c r="A306" s="71">
        <f t="shared" si="5"/>
        <v>244</v>
      </c>
      <c r="B306" s="113"/>
      <c r="C306" s="114" t="s">
        <v>952</v>
      </c>
      <c r="D306" s="114"/>
      <c r="E306" s="115"/>
      <c r="F306" s="88" t="s">
        <v>268</v>
      </c>
      <c r="G306" s="116">
        <v>167000</v>
      </c>
      <c r="H306" s="117">
        <v>135000</v>
      </c>
      <c r="I306" s="117">
        <v>135000</v>
      </c>
      <c r="J306" s="118">
        <v>135000</v>
      </c>
    </row>
    <row r="307" spans="1:10" x14ac:dyDescent="0.2">
      <c r="A307" s="71">
        <f t="shared" si="5"/>
        <v>245</v>
      </c>
      <c r="B307" s="113"/>
      <c r="C307" s="114" t="s">
        <v>713</v>
      </c>
      <c r="D307" s="114"/>
      <c r="E307" s="115"/>
      <c r="F307" s="88" t="s">
        <v>268</v>
      </c>
      <c r="G307" s="116">
        <v>72200</v>
      </c>
      <c r="H307" s="117">
        <v>58000</v>
      </c>
      <c r="I307" s="117">
        <v>58000</v>
      </c>
      <c r="J307" s="118">
        <v>58000</v>
      </c>
    </row>
    <row r="308" spans="1:10" x14ac:dyDescent="0.2">
      <c r="A308" s="71">
        <f t="shared" si="5"/>
        <v>246</v>
      </c>
      <c r="B308" s="113"/>
      <c r="C308" s="114" t="s">
        <v>953</v>
      </c>
      <c r="D308" s="114"/>
      <c r="E308" s="115"/>
      <c r="F308" s="88" t="s">
        <v>268</v>
      </c>
      <c r="G308" s="116">
        <v>23500</v>
      </c>
      <c r="H308" s="117">
        <v>19000</v>
      </c>
      <c r="I308" s="117">
        <v>19000</v>
      </c>
      <c r="J308" s="118">
        <v>19000</v>
      </c>
    </row>
    <row r="309" spans="1:10" x14ac:dyDescent="0.2">
      <c r="A309" s="71">
        <f t="shared" si="5"/>
        <v>247</v>
      </c>
      <c r="B309" s="113"/>
      <c r="C309" s="114" t="s">
        <v>127</v>
      </c>
      <c r="D309" s="114"/>
      <c r="E309" s="115"/>
      <c r="F309" s="88" t="s">
        <v>298</v>
      </c>
      <c r="G309" s="116">
        <v>33400</v>
      </c>
      <c r="H309" s="117">
        <v>27000</v>
      </c>
      <c r="I309" s="117">
        <v>27000</v>
      </c>
      <c r="J309" s="118">
        <v>27000</v>
      </c>
    </row>
    <row r="310" spans="1:10" x14ac:dyDescent="0.2">
      <c r="A310" s="71">
        <f t="shared" si="5"/>
        <v>248</v>
      </c>
      <c r="B310" s="113"/>
      <c r="C310" s="114" t="s">
        <v>86</v>
      </c>
      <c r="D310" s="114"/>
      <c r="E310" s="115"/>
      <c r="F310" s="88" t="s">
        <v>298</v>
      </c>
      <c r="G310" s="116">
        <v>33400</v>
      </c>
      <c r="H310" s="117">
        <v>27000</v>
      </c>
      <c r="I310" s="117">
        <v>27000</v>
      </c>
      <c r="J310" s="118">
        <v>27000</v>
      </c>
    </row>
    <row r="311" spans="1:10" x14ac:dyDescent="0.2">
      <c r="A311" s="71">
        <f t="shared" si="5"/>
        <v>249</v>
      </c>
      <c r="B311" s="113"/>
      <c r="C311" s="114" t="s">
        <v>442</v>
      </c>
      <c r="D311" s="114"/>
      <c r="E311" s="115"/>
      <c r="F311" s="88" t="s">
        <v>392</v>
      </c>
      <c r="G311" s="116">
        <v>9200</v>
      </c>
      <c r="H311" s="117">
        <v>7400</v>
      </c>
      <c r="I311" s="117">
        <v>7400</v>
      </c>
      <c r="J311" s="118">
        <v>7400</v>
      </c>
    </row>
    <row r="312" spans="1:10" x14ac:dyDescent="0.2">
      <c r="A312" s="71">
        <f t="shared" si="5"/>
        <v>250</v>
      </c>
      <c r="B312" s="113"/>
      <c r="C312" s="114" t="s">
        <v>737</v>
      </c>
      <c r="D312" s="114"/>
      <c r="E312" s="115"/>
      <c r="F312" s="88" t="s">
        <v>392</v>
      </c>
      <c r="G312" s="116">
        <v>12300</v>
      </c>
      <c r="H312" s="117">
        <v>10000</v>
      </c>
      <c r="I312" s="117">
        <v>10000</v>
      </c>
      <c r="J312" s="118">
        <v>10000</v>
      </c>
    </row>
    <row r="313" spans="1:10" x14ac:dyDescent="0.2">
      <c r="A313" s="71">
        <f t="shared" si="5"/>
        <v>251</v>
      </c>
      <c r="B313" s="113"/>
      <c r="C313" s="114" t="s">
        <v>250</v>
      </c>
      <c r="D313" s="114"/>
      <c r="E313" s="115"/>
      <c r="F313" s="88" t="s">
        <v>392</v>
      </c>
      <c r="G313" s="116">
        <v>26800</v>
      </c>
      <c r="H313" s="117">
        <v>21000</v>
      </c>
      <c r="I313" s="117">
        <v>21000</v>
      </c>
      <c r="J313" s="118">
        <v>21000</v>
      </c>
    </row>
    <row r="314" spans="1:10" x14ac:dyDescent="0.2">
      <c r="A314" s="71">
        <f t="shared" si="5"/>
        <v>252</v>
      </c>
      <c r="B314" s="113"/>
      <c r="C314" s="114" t="s">
        <v>736</v>
      </c>
      <c r="D314" s="114"/>
      <c r="E314" s="115"/>
      <c r="F314" s="88" t="s">
        <v>392</v>
      </c>
      <c r="G314" s="116">
        <v>12300</v>
      </c>
      <c r="H314" s="128">
        <v>10500</v>
      </c>
      <c r="I314" s="128">
        <v>10500</v>
      </c>
      <c r="J314" s="129">
        <v>10500</v>
      </c>
    </row>
    <row r="315" spans="1:10" x14ac:dyDescent="0.2">
      <c r="A315" s="71">
        <f t="shared" si="5"/>
        <v>253</v>
      </c>
      <c r="B315" s="113"/>
      <c r="C315" s="114" t="s">
        <v>735</v>
      </c>
      <c r="D315" s="114"/>
      <c r="E315" s="115"/>
      <c r="F315" s="88" t="s">
        <v>392</v>
      </c>
      <c r="G315" s="116">
        <v>10000</v>
      </c>
      <c r="H315" s="117">
        <v>8100</v>
      </c>
      <c r="I315" s="117">
        <v>8100</v>
      </c>
      <c r="J315" s="118">
        <v>8100</v>
      </c>
    </row>
    <row r="316" spans="1:10" x14ac:dyDescent="0.2">
      <c r="A316" s="71">
        <f t="shared" si="5"/>
        <v>254</v>
      </c>
      <c r="B316" s="113"/>
      <c r="C316" s="114" t="s">
        <v>114</v>
      </c>
      <c r="D316" s="114"/>
      <c r="E316" s="115"/>
      <c r="F316" s="88" t="s">
        <v>392</v>
      </c>
      <c r="G316" s="116">
        <v>14800</v>
      </c>
      <c r="H316" s="117">
        <v>12000</v>
      </c>
      <c r="I316" s="117">
        <v>12000</v>
      </c>
      <c r="J316" s="118">
        <v>12000</v>
      </c>
    </row>
    <row r="317" spans="1:10" x14ac:dyDescent="0.2">
      <c r="A317" s="71">
        <f t="shared" si="5"/>
        <v>255</v>
      </c>
      <c r="B317" s="113"/>
      <c r="C317" s="114" t="s">
        <v>1287</v>
      </c>
      <c r="D317" s="114"/>
      <c r="E317" s="115"/>
      <c r="F317" s="88"/>
      <c r="G317" s="116">
        <v>20000</v>
      </c>
      <c r="H317" s="117">
        <v>16000</v>
      </c>
      <c r="I317" s="117">
        <v>16000</v>
      </c>
      <c r="J317" s="118">
        <v>16000</v>
      </c>
    </row>
    <row r="318" spans="1:10" x14ac:dyDescent="0.2">
      <c r="A318" s="71">
        <f t="shared" si="5"/>
        <v>256</v>
      </c>
      <c r="B318" s="113"/>
      <c r="C318" s="114" t="s">
        <v>502</v>
      </c>
      <c r="D318" s="114"/>
      <c r="E318" s="115"/>
      <c r="F318" s="88" t="s">
        <v>277</v>
      </c>
      <c r="G318" s="116">
        <v>86900</v>
      </c>
      <c r="H318" s="117">
        <v>70000</v>
      </c>
      <c r="I318" s="117">
        <v>70000</v>
      </c>
      <c r="J318" s="118">
        <v>70000</v>
      </c>
    </row>
    <row r="319" spans="1:10" x14ac:dyDescent="0.2">
      <c r="A319" s="71">
        <f t="shared" si="5"/>
        <v>257</v>
      </c>
      <c r="B319" s="113"/>
      <c r="C319" s="114" t="s">
        <v>503</v>
      </c>
      <c r="D319" s="114"/>
      <c r="E319" s="115"/>
      <c r="F319" s="88" t="s">
        <v>277</v>
      </c>
      <c r="G319" s="116">
        <v>133600</v>
      </c>
      <c r="H319" s="117">
        <v>108000</v>
      </c>
      <c r="I319" s="117">
        <v>108000</v>
      </c>
      <c r="J319" s="118">
        <v>108000</v>
      </c>
    </row>
    <row r="320" spans="1:10" x14ac:dyDescent="0.2">
      <c r="A320" s="71">
        <f t="shared" si="5"/>
        <v>258</v>
      </c>
      <c r="B320" s="113"/>
      <c r="C320" s="114" t="s">
        <v>682</v>
      </c>
      <c r="D320" s="114"/>
      <c r="E320" s="115"/>
      <c r="F320" s="88" t="s">
        <v>277</v>
      </c>
      <c r="G320" s="116">
        <v>147000</v>
      </c>
      <c r="H320" s="117">
        <v>119000</v>
      </c>
      <c r="I320" s="117">
        <v>119000</v>
      </c>
      <c r="J320" s="118">
        <v>119000</v>
      </c>
    </row>
    <row r="321" spans="1:12" x14ac:dyDescent="0.2">
      <c r="A321" s="71">
        <f t="shared" si="5"/>
        <v>259</v>
      </c>
      <c r="B321" s="113"/>
      <c r="C321" s="114" t="s">
        <v>504</v>
      </c>
      <c r="D321" s="114"/>
      <c r="E321" s="115"/>
      <c r="F321" s="88" t="s">
        <v>277</v>
      </c>
      <c r="G321" s="116">
        <v>180400</v>
      </c>
      <c r="H321" s="117">
        <v>146000</v>
      </c>
      <c r="I321" s="117">
        <v>146000</v>
      </c>
      <c r="J321" s="118">
        <v>146000</v>
      </c>
    </row>
    <row r="322" spans="1:12" x14ac:dyDescent="0.2">
      <c r="A322" s="71">
        <f t="shared" si="5"/>
        <v>260</v>
      </c>
      <c r="B322" s="113"/>
      <c r="C322" s="114" t="s">
        <v>505</v>
      </c>
      <c r="D322" s="114"/>
      <c r="E322" s="115"/>
      <c r="F322" s="88" t="s">
        <v>277</v>
      </c>
      <c r="G322" s="116">
        <v>220400</v>
      </c>
      <c r="H322" s="117">
        <v>179000</v>
      </c>
      <c r="I322" s="117">
        <v>179000</v>
      </c>
      <c r="J322" s="118">
        <v>179000</v>
      </c>
    </row>
    <row r="323" spans="1:12" x14ac:dyDescent="0.2">
      <c r="A323" s="71">
        <f t="shared" si="5"/>
        <v>261</v>
      </c>
      <c r="B323" s="113"/>
      <c r="C323" s="114" t="s">
        <v>954</v>
      </c>
      <c r="D323" s="114"/>
      <c r="E323" s="115"/>
      <c r="F323" s="88" t="s">
        <v>277</v>
      </c>
      <c r="G323" s="116">
        <v>257200</v>
      </c>
      <c r="H323" s="117">
        <v>209000</v>
      </c>
      <c r="I323" s="117">
        <v>209000</v>
      </c>
      <c r="J323" s="118">
        <v>209000</v>
      </c>
    </row>
    <row r="324" spans="1:12" x14ac:dyDescent="0.2">
      <c r="A324" s="71">
        <f t="shared" si="5"/>
        <v>262</v>
      </c>
      <c r="B324" s="113"/>
      <c r="C324" s="114" t="s">
        <v>89</v>
      </c>
      <c r="D324" s="114"/>
      <c r="E324" s="115"/>
      <c r="F324" s="88" t="s">
        <v>298</v>
      </c>
      <c r="G324" s="116">
        <v>26800</v>
      </c>
      <c r="H324" s="117">
        <v>21000</v>
      </c>
      <c r="I324" s="117">
        <v>21000</v>
      </c>
      <c r="J324" s="118">
        <v>21000</v>
      </c>
    </row>
    <row r="325" spans="1:12" x14ac:dyDescent="0.2">
      <c r="A325" s="71">
        <f t="shared" si="5"/>
        <v>263</v>
      </c>
      <c r="B325" s="113"/>
      <c r="C325" s="114" t="s">
        <v>90</v>
      </c>
      <c r="D325" s="114"/>
      <c r="E325" s="115"/>
      <c r="F325" s="88" t="s">
        <v>298</v>
      </c>
      <c r="G325" s="116">
        <v>26800</v>
      </c>
      <c r="H325" s="117">
        <v>21000</v>
      </c>
      <c r="I325" s="117">
        <v>21000</v>
      </c>
      <c r="J325" s="118">
        <v>21000</v>
      </c>
    </row>
    <row r="326" spans="1:12" x14ac:dyDescent="0.2">
      <c r="A326" s="71">
        <f t="shared" si="5"/>
        <v>264</v>
      </c>
      <c r="B326" s="113"/>
      <c r="C326" s="114" t="s">
        <v>90</v>
      </c>
      <c r="D326" s="114"/>
      <c r="E326" s="115"/>
      <c r="F326" s="88" t="s">
        <v>265</v>
      </c>
      <c r="G326" s="116">
        <v>900</v>
      </c>
      <c r="H326" s="117">
        <v>700</v>
      </c>
      <c r="I326" s="117">
        <v>700</v>
      </c>
      <c r="J326" s="118">
        <v>700</v>
      </c>
    </row>
    <row r="327" spans="1:12" x14ac:dyDescent="0.2">
      <c r="A327" s="71">
        <f t="shared" si="5"/>
        <v>265</v>
      </c>
      <c r="B327" s="113"/>
      <c r="C327" s="114" t="s">
        <v>91</v>
      </c>
      <c r="D327" s="114"/>
      <c r="E327" s="115"/>
      <c r="F327" s="88" t="s">
        <v>298</v>
      </c>
      <c r="G327" s="116">
        <v>20100</v>
      </c>
      <c r="H327" s="117">
        <v>16000</v>
      </c>
      <c r="I327" s="117">
        <v>16000</v>
      </c>
      <c r="J327" s="118">
        <v>16000</v>
      </c>
    </row>
    <row r="328" spans="1:12" x14ac:dyDescent="0.2">
      <c r="A328" s="71">
        <f t="shared" si="5"/>
        <v>266</v>
      </c>
      <c r="B328" s="113"/>
      <c r="C328" s="114" t="s">
        <v>421</v>
      </c>
      <c r="D328" s="114"/>
      <c r="E328" s="115"/>
      <c r="F328" s="88" t="s">
        <v>298</v>
      </c>
      <c r="G328" s="116">
        <v>30200</v>
      </c>
      <c r="H328" s="117">
        <v>24000</v>
      </c>
      <c r="I328" s="117">
        <v>24000</v>
      </c>
      <c r="J328" s="118">
        <v>24000</v>
      </c>
    </row>
    <row r="329" spans="1:12" x14ac:dyDescent="0.2">
      <c r="A329" s="71">
        <f t="shared" si="5"/>
        <v>267</v>
      </c>
      <c r="B329" s="113"/>
      <c r="C329" s="114" t="s">
        <v>421</v>
      </c>
      <c r="D329" s="114"/>
      <c r="E329" s="115"/>
      <c r="F329" s="88" t="s">
        <v>265</v>
      </c>
      <c r="G329" s="116">
        <v>300</v>
      </c>
      <c r="H329" s="117">
        <v>200</v>
      </c>
      <c r="I329" s="117">
        <v>200</v>
      </c>
      <c r="J329" s="118">
        <v>200</v>
      </c>
    </row>
    <row r="330" spans="1:12" x14ac:dyDescent="0.2">
      <c r="A330" s="71">
        <f t="shared" si="5"/>
        <v>268</v>
      </c>
      <c r="B330" s="113"/>
      <c r="C330" s="114" t="s">
        <v>908</v>
      </c>
      <c r="D330" s="114"/>
      <c r="E330" s="115"/>
      <c r="F330" s="88" t="s">
        <v>265</v>
      </c>
      <c r="G330" s="116">
        <v>6700</v>
      </c>
      <c r="H330" s="117">
        <v>5400</v>
      </c>
      <c r="I330" s="117">
        <v>5400</v>
      </c>
      <c r="J330" s="118">
        <v>5400</v>
      </c>
    </row>
    <row r="331" spans="1:12" x14ac:dyDescent="0.2">
      <c r="A331" s="71">
        <f t="shared" si="5"/>
        <v>269</v>
      </c>
      <c r="B331" s="113"/>
      <c r="C331" s="114" t="s">
        <v>789</v>
      </c>
      <c r="D331" s="114"/>
      <c r="E331" s="115"/>
      <c r="F331" s="88" t="s">
        <v>265</v>
      </c>
      <c r="G331" s="116">
        <v>1200</v>
      </c>
      <c r="H331" s="117">
        <v>900</v>
      </c>
      <c r="I331" s="117">
        <v>900</v>
      </c>
      <c r="J331" s="118">
        <v>900</v>
      </c>
    </row>
    <row r="332" spans="1:12" x14ac:dyDescent="0.2">
      <c r="A332" s="71">
        <f t="shared" si="5"/>
        <v>270</v>
      </c>
      <c r="B332" s="113"/>
      <c r="C332" s="114" t="s">
        <v>92</v>
      </c>
      <c r="D332" s="114"/>
      <c r="E332" s="115"/>
      <c r="F332" s="88" t="s">
        <v>298</v>
      </c>
      <c r="G332" s="116">
        <v>26800</v>
      </c>
      <c r="H332" s="117">
        <v>21000</v>
      </c>
      <c r="I332" s="117">
        <v>21000</v>
      </c>
      <c r="J332" s="118">
        <v>21000</v>
      </c>
    </row>
    <row r="333" spans="1:12" x14ac:dyDescent="0.2">
      <c r="A333" s="71">
        <f t="shared" si="5"/>
        <v>271</v>
      </c>
      <c r="B333" s="113"/>
      <c r="C333" s="114" t="s">
        <v>93</v>
      </c>
      <c r="D333" s="114"/>
      <c r="E333" s="115"/>
      <c r="F333" s="88" t="s">
        <v>298</v>
      </c>
      <c r="G333" s="116">
        <v>20100</v>
      </c>
      <c r="H333" s="117">
        <v>16000</v>
      </c>
      <c r="I333" s="117">
        <v>16000</v>
      </c>
      <c r="J333" s="118">
        <v>16000</v>
      </c>
    </row>
    <row r="334" spans="1:12" x14ac:dyDescent="0.2">
      <c r="A334" s="71">
        <f t="shared" si="5"/>
        <v>272</v>
      </c>
      <c r="B334" s="113"/>
      <c r="C334" s="114" t="s">
        <v>605</v>
      </c>
      <c r="D334" s="114"/>
      <c r="E334" s="115"/>
      <c r="F334" s="88" t="s">
        <v>338</v>
      </c>
      <c r="G334" s="116">
        <v>267200</v>
      </c>
      <c r="H334" s="117">
        <v>217000</v>
      </c>
      <c r="I334" s="117">
        <v>217000</v>
      </c>
      <c r="J334" s="118">
        <v>217000</v>
      </c>
    </row>
    <row r="335" spans="1:12" x14ac:dyDescent="0.2">
      <c r="A335" s="71">
        <f t="shared" si="5"/>
        <v>273</v>
      </c>
      <c r="B335" s="141"/>
      <c r="C335" s="142" t="s">
        <v>816</v>
      </c>
      <c r="D335" s="142"/>
      <c r="E335" s="143"/>
      <c r="F335" s="144" t="s">
        <v>298</v>
      </c>
      <c r="G335" s="145">
        <v>1600</v>
      </c>
      <c r="H335" s="128">
        <v>1250</v>
      </c>
      <c r="I335" s="128">
        <v>1250</v>
      </c>
      <c r="J335" s="129">
        <v>1250</v>
      </c>
      <c r="K335" s="146"/>
      <c r="L335" s="146"/>
    </row>
    <row r="336" spans="1:12" x14ac:dyDescent="0.2">
      <c r="A336" s="71">
        <f t="shared" si="5"/>
        <v>274</v>
      </c>
      <c r="B336" s="141"/>
      <c r="C336" s="142" t="s">
        <v>87</v>
      </c>
      <c r="D336" s="142"/>
      <c r="E336" s="143"/>
      <c r="F336" s="144" t="s">
        <v>298</v>
      </c>
      <c r="G336" s="145">
        <v>3100</v>
      </c>
      <c r="H336" s="117">
        <v>2500</v>
      </c>
      <c r="I336" s="117">
        <v>2500</v>
      </c>
      <c r="J336" s="118">
        <v>2500</v>
      </c>
      <c r="K336" s="146"/>
      <c r="L336" s="146"/>
    </row>
    <row r="337" spans="1:12" x14ac:dyDescent="0.2">
      <c r="A337" s="71">
        <f t="shared" si="5"/>
        <v>275</v>
      </c>
      <c r="B337" s="141"/>
      <c r="C337" s="142" t="s">
        <v>88</v>
      </c>
      <c r="D337" s="142"/>
      <c r="E337" s="143"/>
      <c r="F337" s="144" t="s">
        <v>298</v>
      </c>
      <c r="G337" s="145">
        <v>16500</v>
      </c>
      <c r="H337" s="117">
        <v>13000</v>
      </c>
      <c r="I337" s="117">
        <v>13000</v>
      </c>
      <c r="J337" s="118">
        <v>13000</v>
      </c>
      <c r="K337" s="146"/>
      <c r="L337" s="146"/>
    </row>
    <row r="338" spans="1:12" x14ac:dyDescent="0.2">
      <c r="A338" s="71">
        <f t="shared" si="5"/>
        <v>276</v>
      </c>
      <c r="B338" s="141"/>
      <c r="C338" s="142" t="s">
        <v>555</v>
      </c>
      <c r="D338" s="142"/>
      <c r="E338" s="143"/>
      <c r="F338" s="144" t="s">
        <v>275</v>
      </c>
      <c r="G338" s="145">
        <v>6010200</v>
      </c>
      <c r="H338" s="117">
        <v>4886000</v>
      </c>
      <c r="I338" s="117">
        <v>4886000</v>
      </c>
      <c r="J338" s="118">
        <v>4886000</v>
      </c>
      <c r="K338" s="146"/>
      <c r="L338" s="146"/>
    </row>
    <row r="339" spans="1:12" s="3" customFormat="1" x14ac:dyDescent="0.2">
      <c r="A339" s="130">
        <f t="shared" si="5"/>
        <v>277</v>
      </c>
      <c r="B339" s="131"/>
      <c r="C339" s="132" t="s">
        <v>955</v>
      </c>
      <c r="D339" s="132"/>
      <c r="E339" s="133"/>
      <c r="F339" s="134" t="s">
        <v>264</v>
      </c>
      <c r="G339" s="135">
        <v>374000</v>
      </c>
      <c r="H339" s="137">
        <v>260000</v>
      </c>
      <c r="I339" s="137">
        <v>265000</v>
      </c>
      <c r="J339" s="138">
        <v>271000</v>
      </c>
    </row>
    <row r="340" spans="1:12" s="3" customFormat="1" x14ac:dyDescent="0.2">
      <c r="A340" s="130">
        <f t="shared" si="5"/>
        <v>278</v>
      </c>
      <c r="B340" s="131"/>
      <c r="C340" s="132" t="s">
        <v>379</v>
      </c>
      <c r="D340" s="132"/>
      <c r="E340" s="133"/>
      <c r="F340" s="134" t="s">
        <v>264</v>
      </c>
      <c r="G340" s="135">
        <v>333900</v>
      </c>
      <c r="H340" s="137">
        <v>260000</v>
      </c>
      <c r="I340" s="137">
        <v>265000</v>
      </c>
      <c r="J340" s="139">
        <v>271000</v>
      </c>
    </row>
    <row r="341" spans="1:12" s="3" customFormat="1" x14ac:dyDescent="0.2">
      <c r="A341" s="130">
        <f t="shared" si="5"/>
        <v>279</v>
      </c>
      <c r="B341" s="131"/>
      <c r="C341" s="132" t="s">
        <v>832</v>
      </c>
      <c r="D341" s="132"/>
      <c r="E341" s="133"/>
      <c r="F341" s="134" t="s">
        <v>264</v>
      </c>
      <c r="G341" s="135">
        <v>200400</v>
      </c>
      <c r="H341" s="137">
        <v>162000</v>
      </c>
      <c r="I341" s="137">
        <v>157000</v>
      </c>
      <c r="J341" s="138">
        <v>157000</v>
      </c>
    </row>
    <row r="342" spans="1:12" s="3" customFormat="1" x14ac:dyDescent="0.2">
      <c r="A342" s="130">
        <f t="shared" si="5"/>
        <v>280</v>
      </c>
      <c r="B342" s="131"/>
      <c r="C342" s="132" t="s">
        <v>909</v>
      </c>
      <c r="D342" s="132"/>
      <c r="E342" s="133"/>
      <c r="F342" s="134" t="s">
        <v>264</v>
      </c>
      <c r="G342" s="135">
        <v>293900</v>
      </c>
      <c r="H342" s="137">
        <v>228000</v>
      </c>
      <c r="I342" s="137">
        <v>233000</v>
      </c>
      <c r="J342" s="139">
        <v>238000</v>
      </c>
    </row>
    <row r="343" spans="1:12" s="3" customFormat="1" x14ac:dyDescent="0.2">
      <c r="A343" s="130">
        <f t="shared" si="5"/>
        <v>281</v>
      </c>
      <c r="B343" s="131"/>
      <c r="C343" s="132" t="s">
        <v>475</v>
      </c>
      <c r="D343" s="132"/>
      <c r="E343" s="133"/>
      <c r="F343" s="134" t="s">
        <v>264</v>
      </c>
      <c r="G343" s="135">
        <v>167000</v>
      </c>
      <c r="H343" s="137">
        <v>125000</v>
      </c>
      <c r="I343" s="137">
        <v>130000</v>
      </c>
      <c r="J343" s="139">
        <v>135000</v>
      </c>
    </row>
    <row r="344" spans="1:12" s="3" customFormat="1" x14ac:dyDescent="0.2">
      <c r="A344" s="130">
        <f t="shared" si="5"/>
        <v>282</v>
      </c>
      <c r="B344" s="131"/>
      <c r="C344" s="132" t="s">
        <v>302</v>
      </c>
      <c r="D344" s="132"/>
      <c r="E344" s="133"/>
      <c r="F344" s="134" t="s">
        <v>264</v>
      </c>
      <c r="G344" s="135">
        <v>187000</v>
      </c>
      <c r="H344" s="137">
        <v>142000</v>
      </c>
      <c r="I344" s="137">
        <v>147000</v>
      </c>
      <c r="J344" s="139">
        <v>152000</v>
      </c>
    </row>
    <row r="345" spans="1:12" x14ac:dyDescent="0.2">
      <c r="A345" s="71">
        <f t="shared" si="5"/>
        <v>283</v>
      </c>
      <c r="B345" s="113"/>
      <c r="C345" s="114" t="s">
        <v>910</v>
      </c>
      <c r="D345" s="114"/>
      <c r="E345" s="115"/>
      <c r="F345" s="88" t="s">
        <v>266</v>
      </c>
      <c r="G345" s="116">
        <v>93500</v>
      </c>
      <c r="H345" s="117">
        <v>76000</v>
      </c>
      <c r="I345" s="117">
        <v>76000</v>
      </c>
      <c r="J345" s="118">
        <v>76000</v>
      </c>
    </row>
    <row r="346" spans="1:12" x14ac:dyDescent="0.2">
      <c r="A346" s="71">
        <f t="shared" si="5"/>
        <v>284</v>
      </c>
      <c r="B346" s="113"/>
      <c r="C346" s="114" t="s">
        <v>911</v>
      </c>
      <c r="D346" s="114"/>
      <c r="E346" s="115"/>
      <c r="F346" s="88" t="s">
        <v>266</v>
      </c>
      <c r="G346" s="116">
        <v>93500</v>
      </c>
      <c r="H346" s="117">
        <v>76000</v>
      </c>
      <c r="I346" s="117">
        <v>76000</v>
      </c>
      <c r="J346" s="118">
        <v>76000</v>
      </c>
    </row>
    <row r="347" spans="1:12" x14ac:dyDescent="0.2">
      <c r="A347" s="71">
        <f t="shared" si="5"/>
        <v>285</v>
      </c>
      <c r="B347" s="113"/>
      <c r="C347" s="114" t="s">
        <v>171</v>
      </c>
      <c r="D347" s="114"/>
      <c r="E347" s="115"/>
      <c r="F347" s="88" t="s">
        <v>266</v>
      </c>
      <c r="G347" s="116">
        <v>106900</v>
      </c>
      <c r="H347" s="117">
        <v>86000</v>
      </c>
      <c r="I347" s="117">
        <v>86000</v>
      </c>
      <c r="J347" s="118">
        <v>86000</v>
      </c>
    </row>
    <row r="348" spans="1:12" x14ac:dyDescent="0.2">
      <c r="A348" s="71">
        <f t="shared" si="5"/>
        <v>286</v>
      </c>
      <c r="B348" s="113"/>
      <c r="C348" s="114" t="s">
        <v>912</v>
      </c>
      <c r="D348" s="114"/>
      <c r="E348" s="115"/>
      <c r="F348" s="88" t="s">
        <v>266</v>
      </c>
      <c r="G348" s="116">
        <v>93500</v>
      </c>
      <c r="H348" s="117">
        <v>76000</v>
      </c>
      <c r="I348" s="117">
        <v>76000</v>
      </c>
      <c r="J348" s="118">
        <v>76000</v>
      </c>
    </row>
    <row r="349" spans="1:12" x14ac:dyDescent="0.2">
      <c r="A349" s="71">
        <f t="shared" si="5"/>
        <v>287</v>
      </c>
      <c r="B349" s="113"/>
      <c r="C349" s="114" t="s">
        <v>913</v>
      </c>
      <c r="D349" s="114"/>
      <c r="E349" s="115"/>
      <c r="F349" s="88" t="s">
        <v>266</v>
      </c>
      <c r="G349" s="116">
        <v>100200</v>
      </c>
      <c r="H349" s="117">
        <v>81000</v>
      </c>
      <c r="I349" s="117">
        <v>81000</v>
      </c>
      <c r="J349" s="118">
        <v>81000</v>
      </c>
    </row>
    <row r="350" spans="1:12" x14ac:dyDescent="0.2">
      <c r="A350" s="71">
        <f t="shared" si="5"/>
        <v>288</v>
      </c>
      <c r="B350" s="113"/>
      <c r="C350" s="114" t="s">
        <v>915</v>
      </c>
      <c r="D350" s="114"/>
      <c r="E350" s="115"/>
      <c r="F350" s="88" t="s">
        <v>266</v>
      </c>
      <c r="G350" s="116">
        <v>113600</v>
      </c>
      <c r="H350" s="117">
        <v>92000</v>
      </c>
      <c r="I350" s="117">
        <v>92000</v>
      </c>
      <c r="J350" s="118">
        <v>92000</v>
      </c>
    </row>
    <row r="351" spans="1:12" x14ac:dyDescent="0.2">
      <c r="A351" s="89">
        <f>SUM(A350+1)</f>
        <v>289</v>
      </c>
      <c r="B351" s="113"/>
      <c r="C351" s="114" t="s">
        <v>129</v>
      </c>
      <c r="D351" s="114"/>
      <c r="E351" s="115"/>
      <c r="F351" s="88" t="s">
        <v>266</v>
      </c>
      <c r="G351" s="116">
        <v>120300</v>
      </c>
      <c r="H351" s="117">
        <v>97000</v>
      </c>
      <c r="I351" s="117">
        <v>97000</v>
      </c>
      <c r="J351" s="118">
        <v>97000</v>
      </c>
    </row>
    <row r="352" spans="1:12" x14ac:dyDescent="0.2">
      <c r="A352" s="71">
        <f t="shared" ref="A352:A409" si="6">SUM(A351+1)</f>
        <v>290</v>
      </c>
      <c r="B352" s="113"/>
      <c r="C352" s="114" t="s">
        <v>919</v>
      </c>
      <c r="D352" s="114"/>
      <c r="E352" s="115"/>
      <c r="F352" s="88" t="s">
        <v>266</v>
      </c>
      <c r="G352" s="116">
        <v>100200</v>
      </c>
      <c r="H352" s="117">
        <v>81000</v>
      </c>
      <c r="I352" s="117">
        <v>81000</v>
      </c>
      <c r="J352" s="118">
        <v>81000</v>
      </c>
    </row>
    <row r="353" spans="1:10" x14ac:dyDescent="0.2">
      <c r="A353" s="71">
        <f t="shared" si="6"/>
        <v>291</v>
      </c>
      <c r="B353" s="113"/>
      <c r="C353" s="114" t="s">
        <v>920</v>
      </c>
      <c r="D353" s="114"/>
      <c r="E353" s="115"/>
      <c r="F353" s="88" t="s">
        <v>266</v>
      </c>
      <c r="G353" s="116">
        <v>133600</v>
      </c>
      <c r="H353" s="117">
        <v>108000</v>
      </c>
      <c r="I353" s="117">
        <v>108000</v>
      </c>
      <c r="J353" s="118">
        <v>108000</v>
      </c>
    </row>
    <row r="354" spans="1:10" x14ac:dyDescent="0.2">
      <c r="A354" s="71">
        <f t="shared" si="6"/>
        <v>292</v>
      </c>
      <c r="B354" s="113"/>
      <c r="C354" s="114" t="s">
        <v>921</v>
      </c>
      <c r="D354" s="114"/>
      <c r="E354" s="115"/>
      <c r="F354" s="88" t="s">
        <v>266</v>
      </c>
      <c r="G354" s="116">
        <v>102700</v>
      </c>
      <c r="H354" s="117">
        <v>83000</v>
      </c>
      <c r="I354" s="117">
        <v>83000</v>
      </c>
      <c r="J354" s="118">
        <v>83000</v>
      </c>
    </row>
    <row r="355" spans="1:10" x14ac:dyDescent="0.2">
      <c r="A355" s="71">
        <f t="shared" si="6"/>
        <v>293</v>
      </c>
      <c r="B355" s="113"/>
      <c r="C355" s="114" t="s">
        <v>922</v>
      </c>
      <c r="D355" s="114"/>
      <c r="E355" s="115"/>
      <c r="F355" s="88" t="s">
        <v>266</v>
      </c>
      <c r="G355" s="116">
        <v>113600</v>
      </c>
      <c r="H355" s="117">
        <v>92000</v>
      </c>
      <c r="I355" s="117">
        <v>92000</v>
      </c>
      <c r="J355" s="118">
        <v>92000</v>
      </c>
    </row>
    <row r="356" spans="1:10" x14ac:dyDescent="0.2">
      <c r="A356" s="71">
        <f t="shared" si="6"/>
        <v>294</v>
      </c>
      <c r="B356" s="113"/>
      <c r="C356" s="114" t="s">
        <v>916</v>
      </c>
      <c r="D356" s="114"/>
      <c r="E356" s="115"/>
      <c r="F356" s="88" t="s">
        <v>266</v>
      </c>
      <c r="G356" s="116">
        <v>147000</v>
      </c>
      <c r="H356" s="117">
        <v>119000</v>
      </c>
      <c r="I356" s="117">
        <v>119000</v>
      </c>
      <c r="J356" s="118">
        <v>119000</v>
      </c>
    </row>
    <row r="357" spans="1:10" x14ac:dyDescent="0.2">
      <c r="A357" s="71">
        <f t="shared" si="6"/>
        <v>295</v>
      </c>
      <c r="B357" s="113"/>
      <c r="C357" s="114" t="s">
        <v>923</v>
      </c>
      <c r="D357" s="114"/>
      <c r="E357" s="115"/>
      <c r="F357" s="88" t="s">
        <v>266</v>
      </c>
      <c r="G357" s="116">
        <v>153600</v>
      </c>
      <c r="H357" s="117">
        <v>124000</v>
      </c>
      <c r="I357" s="117">
        <v>124000</v>
      </c>
      <c r="J357" s="118">
        <v>124000</v>
      </c>
    </row>
    <row r="358" spans="1:10" x14ac:dyDescent="0.2">
      <c r="A358" s="71">
        <f t="shared" si="6"/>
        <v>296</v>
      </c>
      <c r="B358" s="113"/>
      <c r="C358" s="114" t="s">
        <v>917</v>
      </c>
      <c r="D358" s="114"/>
      <c r="E358" s="115"/>
      <c r="F358" s="88" t="s">
        <v>266</v>
      </c>
      <c r="G358" s="116">
        <v>167000</v>
      </c>
      <c r="H358" s="117">
        <v>135000</v>
      </c>
      <c r="I358" s="117">
        <v>135000</v>
      </c>
      <c r="J358" s="118">
        <v>135000</v>
      </c>
    </row>
    <row r="359" spans="1:10" x14ac:dyDescent="0.2">
      <c r="A359" s="71">
        <f t="shared" si="6"/>
        <v>297</v>
      </c>
      <c r="B359" s="113"/>
      <c r="C359" s="114" t="s">
        <v>918</v>
      </c>
      <c r="D359" s="114"/>
      <c r="E359" s="115"/>
      <c r="F359" s="88" t="s">
        <v>266</v>
      </c>
      <c r="G359" s="116">
        <v>173700</v>
      </c>
      <c r="H359" s="117">
        <v>141000</v>
      </c>
      <c r="I359" s="117">
        <v>141000</v>
      </c>
      <c r="J359" s="118">
        <v>141000</v>
      </c>
    </row>
    <row r="360" spans="1:10" x14ac:dyDescent="0.2">
      <c r="A360" s="71">
        <f t="shared" si="6"/>
        <v>298</v>
      </c>
      <c r="B360" s="113"/>
      <c r="C360" s="114" t="s">
        <v>928</v>
      </c>
      <c r="D360" s="114"/>
      <c r="E360" s="115"/>
      <c r="F360" s="88" t="s">
        <v>268</v>
      </c>
      <c r="G360" s="116">
        <v>60200</v>
      </c>
      <c r="H360" s="117">
        <v>48000</v>
      </c>
      <c r="I360" s="117">
        <v>48000</v>
      </c>
      <c r="J360" s="118">
        <v>48000</v>
      </c>
    </row>
    <row r="361" spans="1:10" x14ac:dyDescent="0.2">
      <c r="A361" s="71">
        <f t="shared" si="6"/>
        <v>299</v>
      </c>
      <c r="B361" s="113"/>
      <c r="C361" s="114" t="s">
        <v>929</v>
      </c>
      <c r="D361" s="114"/>
      <c r="E361" s="115"/>
      <c r="F361" s="88" t="s">
        <v>266</v>
      </c>
      <c r="G361" s="116">
        <v>147000</v>
      </c>
      <c r="H361" s="117">
        <v>119000</v>
      </c>
      <c r="I361" s="117">
        <v>119000</v>
      </c>
      <c r="J361" s="118">
        <v>119000</v>
      </c>
    </row>
    <row r="362" spans="1:10" x14ac:dyDescent="0.2">
      <c r="A362" s="71">
        <f t="shared" si="6"/>
        <v>300</v>
      </c>
      <c r="B362" s="113"/>
      <c r="C362" s="114" t="s">
        <v>818</v>
      </c>
      <c r="D362" s="114"/>
      <c r="E362" s="115" t="s">
        <v>830</v>
      </c>
      <c r="F362" s="88" t="s">
        <v>268</v>
      </c>
      <c r="G362" s="116">
        <v>734600</v>
      </c>
      <c r="H362" s="117">
        <v>597000</v>
      </c>
      <c r="I362" s="117">
        <v>597000</v>
      </c>
      <c r="J362" s="118">
        <v>597000</v>
      </c>
    </row>
    <row r="363" spans="1:10" x14ac:dyDescent="0.2">
      <c r="A363" s="71">
        <f t="shared" si="6"/>
        <v>301</v>
      </c>
      <c r="B363" s="113"/>
      <c r="C363" s="114" t="s">
        <v>412</v>
      </c>
      <c r="D363" s="114"/>
      <c r="E363" s="115" t="s">
        <v>829</v>
      </c>
      <c r="F363" s="88" t="s">
        <v>268</v>
      </c>
      <c r="G363" s="116">
        <v>300600</v>
      </c>
      <c r="H363" s="117">
        <v>244000</v>
      </c>
      <c r="I363" s="117">
        <v>244000</v>
      </c>
      <c r="J363" s="118">
        <v>244000</v>
      </c>
    </row>
    <row r="364" spans="1:10" x14ac:dyDescent="0.2">
      <c r="A364" s="71">
        <f t="shared" si="6"/>
        <v>302</v>
      </c>
      <c r="B364" s="113"/>
      <c r="C364" s="114" t="s">
        <v>153</v>
      </c>
      <c r="D364" s="114"/>
      <c r="E364" s="115"/>
      <c r="F364" s="88" t="s">
        <v>338</v>
      </c>
      <c r="G364" s="116">
        <v>467500</v>
      </c>
      <c r="H364" s="117">
        <v>380000</v>
      </c>
      <c r="I364" s="117">
        <v>380000</v>
      </c>
      <c r="J364" s="118">
        <v>380000</v>
      </c>
    </row>
    <row r="365" spans="1:10" x14ac:dyDescent="0.2">
      <c r="A365" s="71">
        <f t="shared" si="6"/>
        <v>303</v>
      </c>
      <c r="B365" s="113"/>
      <c r="C365" s="114" t="s">
        <v>506</v>
      </c>
      <c r="D365" s="114"/>
      <c r="E365" s="115"/>
      <c r="F365" s="88" t="s">
        <v>274</v>
      </c>
      <c r="G365" s="116">
        <v>66800</v>
      </c>
      <c r="H365" s="117">
        <v>54000</v>
      </c>
      <c r="I365" s="117">
        <v>54000</v>
      </c>
      <c r="J365" s="118">
        <v>54000</v>
      </c>
    </row>
    <row r="366" spans="1:10" x14ac:dyDescent="0.2">
      <c r="A366" s="71">
        <f t="shared" si="6"/>
        <v>304</v>
      </c>
      <c r="B366" s="113"/>
      <c r="C366" s="114" t="s">
        <v>507</v>
      </c>
      <c r="D366" s="114"/>
      <c r="E366" s="115"/>
      <c r="F366" s="88" t="s">
        <v>274</v>
      </c>
      <c r="G366" s="116">
        <v>86900</v>
      </c>
      <c r="H366" s="117">
        <v>70000</v>
      </c>
      <c r="I366" s="117">
        <v>70000</v>
      </c>
      <c r="J366" s="118">
        <v>70000</v>
      </c>
    </row>
    <row r="367" spans="1:10" x14ac:dyDescent="0.2">
      <c r="A367" s="71">
        <f t="shared" si="6"/>
        <v>305</v>
      </c>
      <c r="B367" s="113"/>
      <c r="C367" s="114" t="s">
        <v>508</v>
      </c>
      <c r="D367" s="114"/>
      <c r="E367" s="115"/>
      <c r="F367" s="88" t="s">
        <v>274</v>
      </c>
      <c r="G367" s="116">
        <v>93500</v>
      </c>
      <c r="H367" s="117">
        <v>76000</v>
      </c>
      <c r="I367" s="117">
        <v>76000</v>
      </c>
      <c r="J367" s="118">
        <v>76000</v>
      </c>
    </row>
    <row r="368" spans="1:10" x14ac:dyDescent="0.2">
      <c r="A368" s="71">
        <f t="shared" si="6"/>
        <v>306</v>
      </c>
      <c r="B368" s="113"/>
      <c r="C368" s="114" t="s">
        <v>509</v>
      </c>
      <c r="D368" s="114"/>
      <c r="E368" s="115"/>
      <c r="F368" s="88" t="s">
        <v>274</v>
      </c>
      <c r="G368" s="116">
        <v>120300</v>
      </c>
      <c r="H368" s="117">
        <v>97000</v>
      </c>
      <c r="I368" s="117">
        <v>97000</v>
      </c>
      <c r="J368" s="118">
        <v>97000</v>
      </c>
    </row>
    <row r="369" spans="1:10" x14ac:dyDescent="0.2">
      <c r="A369" s="71">
        <f t="shared" si="6"/>
        <v>307</v>
      </c>
      <c r="B369" s="113"/>
      <c r="C369" s="114" t="s">
        <v>510</v>
      </c>
      <c r="D369" s="114"/>
      <c r="E369" s="115"/>
      <c r="F369" s="88" t="s">
        <v>274</v>
      </c>
      <c r="G369" s="116">
        <v>167000</v>
      </c>
      <c r="H369" s="117">
        <v>135000</v>
      </c>
      <c r="I369" s="117">
        <v>135000</v>
      </c>
      <c r="J369" s="118">
        <v>135000</v>
      </c>
    </row>
    <row r="370" spans="1:10" x14ac:dyDescent="0.2">
      <c r="A370" s="71">
        <f t="shared" si="6"/>
        <v>308</v>
      </c>
      <c r="B370" s="113"/>
      <c r="C370" s="114" t="s">
        <v>511</v>
      </c>
      <c r="D370" s="114"/>
      <c r="E370" s="115"/>
      <c r="F370" s="88" t="s">
        <v>274</v>
      </c>
      <c r="G370" s="116">
        <v>200400</v>
      </c>
      <c r="H370" s="117">
        <v>162000</v>
      </c>
      <c r="I370" s="117">
        <v>162000</v>
      </c>
      <c r="J370" s="118">
        <v>162000</v>
      </c>
    </row>
    <row r="371" spans="1:10" x14ac:dyDescent="0.2">
      <c r="A371" s="71">
        <f t="shared" si="6"/>
        <v>309</v>
      </c>
      <c r="B371" s="113"/>
      <c r="C371" s="114" t="s">
        <v>512</v>
      </c>
      <c r="D371" s="114"/>
      <c r="E371" s="115"/>
      <c r="F371" s="88" t="s">
        <v>274</v>
      </c>
      <c r="G371" s="116">
        <v>360700</v>
      </c>
      <c r="H371" s="117">
        <v>293000</v>
      </c>
      <c r="I371" s="117">
        <v>293000</v>
      </c>
      <c r="J371" s="118">
        <v>293000</v>
      </c>
    </row>
    <row r="372" spans="1:10" x14ac:dyDescent="0.2">
      <c r="A372" s="71">
        <f t="shared" si="6"/>
        <v>310</v>
      </c>
      <c r="B372" s="113"/>
      <c r="C372" s="114" t="s">
        <v>513</v>
      </c>
      <c r="D372" s="114"/>
      <c r="E372" s="115"/>
      <c r="F372" s="88" t="s">
        <v>274</v>
      </c>
      <c r="G372" s="116">
        <v>173700</v>
      </c>
      <c r="H372" s="117">
        <v>141000</v>
      </c>
      <c r="I372" s="117">
        <v>141000</v>
      </c>
      <c r="J372" s="118">
        <v>141000</v>
      </c>
    </row>
    <row r="373" spans="1:10" x14ac:dyDescent="0.2">
      <c r="A373" s="71">
        <f t="shared" si="6"/>
        <v>311</v>
      </c>
      <c r="B373" s="113"/>
      <c r="C373" s="114" t="s">
        <v>514</v>
      </c>
      <c r="D373" s="114"/>
      <c r="E373" s="115"/>
      <c r="F373" s="88" t="s">
        <v>274</v>
      </c>
      <c r="G373" s="116">
        <v>200400</v>
      </c>
      <c r="H373" s="117">
        <v>162000</v>
      </c>
      <c r="I373" s="117">
        <v>162000</v>
      </c>
      <c r="J373" s="118">
        <v>162000</v>
      </c>
    </row>
    <row r="374" spans="1:10" x14ac:dyDescent="0.2">
      <c r="A374" s="71">
        <f t="shared" si="6"/>
        <v>312</v>
      </c>
      <c r="B374" s="113"/>
      <c r="C374" s="114" t="s">
        <v>515</v>
      </c>
      <c r="D374" s="114"/>
      <c r="E374" s="115"/>
      <c r="F374" s="88" t="s">
        <v>274</v>
      </c>
      <c r="G374" s="116">
        <v>300600</v>
      </c>
      <c r="H374" s="117">
        <v>244000</v>
      </c>
      <c r="I374" s="117">
        <v>244000</v>
      </c>
      <c r="J374" s="118">
        <v>244000</v>
      </c>
    </row>
    <row r="375" spans="1:10" x14ac:dyDescent="0.2">
      <c r="A375" s="71">
        <f t="shared" si="6"/>
        <v>313</v>
      </c>
      <c r="B375" s="113"/>
      <c r="C375" s="114" t="s">
        <v>516</v>
      </c>
      <c r="D375" s="114"/>
      <c r="E375" s="115"/>
      <c r="F375" s="88" t="s">
        <v>274</v>
      </c>
      <c r="G375" s="116">
        <v>380700</v>
      </c>
      <c r="H375" s="117">
        <v>309000</v>
      </c>
      <c r="I375" s="117">
        <v>309000</v>
      </c>
      <c r="J375" s="118">
        <v>309000</v>
      </c>
    </row>
    <row r="376" spans="1:10" x14ac:dyDescent="0.2">
      <c r="A376" s="71">
        <f t="shared" si="6"/>
        <v>314</v>
      </c>
      <c r="B376" s="113"/>
      <c r="C376" s="114" t="s">
        <v>517</v>
      </c>
      <c r="D376" s="114"/>
      <c r="E376" s="115"/>
      <c r="F376" s="88" t="s">
        <v>274</v>
      </c>
      <c r="G376" s="116">
        <v>601100</v>
      </c>
      <c r="H376" s="117">
        <v>488000</v>
      </c>
      <c r="I376" s="117">
        <v>488000</v>
      </c>
      <c r="J376" s="118">
        <v>488000</v>
      </c>
    </row>
    <row r="377" spans="1:10" x14ac:dyDescent="0.2">
      <c r="A377" s="71">
        <f t="shared" si="6"/>
        <v>315</v>
      </c>
      <c r="B377" s="113"/>
      <c r="C377" s="114" t="s">
        <v>518</v>
      </c>
      <c r="D377" s="114"/>
      <c r="E377" s="115"/>
      <c r="F377" s="88" t="s">
        <v>274</v>
      </c>
      <c r="G377" s="116">
        <v>734600</v>
      </c>
      <c r="H377" s="117">
        <v>597000</v>
      </c>
      <c r="I377" s="117">
        <v>597000</v>
      </c>
      <c r="J377" s="118">
        <v>597000</v>
      </c>
    </row>
    <row r="378" spans="1:10" x14ac:dyDescent="0.2">
      <c r="A378" s="71">
        <f t="shared" si="6"/>
        <v>316</v>
      </c>
      <c r="B378" s="113"/>
      <c r="C378" s="114" t="s">
        <v>519</v>
      </c>
      <c r="D378" s="114"/>
      <c r="E378" s="115"/>
      <c r="F378" s="88" t="s">
        <v>274</v>
      </c>
      <c r="G378" s="116">
        <v>868200</v>
      </c>
      <c r="H378" s="117">
        <v>705000</v>
      </c>
      <c r="I378" s="117">
        <v>705000</v>
      </c>
      <c r="J378" s="118">
        <v>705000</v>
      </c>
    </row>
    <row r="379" spans="1:10" x14ac:dyDescent="0.2">
      <c r="A379" s="71">
        <f t="shared" si="6"/>
        <v>317</v>
      </c>
      <c r="B379" s="113"/>
      <c r="C379" s="114" t="s">
        <v>94</v>
      </c>
      <c r="D379" s="114"/>
      <c r="E379" s="115"/>
      <c r="F379" s="88" t="s">
        <v>274</v>
      </c>
      <c r="G379" s="116">
        <v>601100</v>
      </c>
      <c r="H379" s="117">
        <v>488000</v>
      </c>
      <c r="I379" s="117">
        <v>488000</v>
      </c>
      <c r="J379" s="118">
        <v>488000</v>
      </c>
    </row>
    <row r="380" spans="1:10" x14ac:dyDescent="0.2">
      <c r="A380" s="71">
        <f t="shared" si="6"/>
        <v>318</v>
      </c>
      <c r="B380" s="113"/>
      <c r="C380" s="114" t="s">
        <v>520</v>
      </c>
      <c r="D380" s="114"/>
      <c r="E380" s="115"/>
      <c r="F380" s="88" t="s">
        <v>274</v>
      </c>
      <c r="G380" s="116">
        <v>734600</v>
      </c>
      <c r="H380" s="117">
        <v>597000</v>
      </c>
      <c r="I380" s="117">
        <v>597000</v>
      </c>
      <c r="J380" s="118">
        <v>597000</v>
      </c>
    </row>
    <row r="381" spans="1:10" x14ac:dyDescent="0.2">
      <c r="A381" s="71">
        <f t="shared" si="6"/>
        <v>319</v>
      </c>
      <c r="B381" s="113"/>
      <c r="C381" s="114" t="s">
        <v>521</v>
      </c>
      <c r="D381" s="114"/>
      <c r="E381" s="115"/>
      <c r="F381" s="88" t="s">
        <v>274</v>
      </c>
      <c r="G381" s="116">
        <v>935000</v>
      </c>
      <c r="H381" s="117">
        <v>760000</v>
      </c>
      <c r="I381" s="117">
        <v>760000</v>
      </c>
      <c r="J381" s="118">
        <v>760000</v>
      </c>
    </row>
    <row r="382" spans="1:10" x14ac:dyDescent="0.2">
      <c r="A382" s="71">
        <f t="shared" si="6"/>
        <v>320</v>
      </c>
      <c r="B382" s="113"/>
      <c r="C382" s="114" t="s">
        <v>95</v>
      </c>
      <c r="D382" s="114"/>
      <c r="E382" s="115"/>
      <c r="F382" s="88" t="s">
        <v>274</v>
      </c>
      <c r="G382" s="116">
        <v>29500</v>
      </c>
      <c r="H382" s="117">
        <v>23000</v>
      </c>
      <c r="I382" s="117">
        <v>23000</v>
      </c>
      <c r="J382" s="118">
        <v>23000</v>
      </c>
    </row>
    <row r="383" spans="1:10" x14ac:dyDescent="0.2">
      <c r="A383" s="71">
        <f t="shared" si="6"/>
        <v>321</v>
      </c>
      <c r="B383" s="113"/>
      <c r="C383" s="114" t="s">
        <v>96</v>
      </c>
      <c r="D383" s="114"/>
      <c r="E383" s="115"/>
      <c r="F383" s="88" t="s">
        <v>274</v>
      </c>
      <c r="G383" s="116">
        <v>36200</v>
      </c>
      <c r="H383" s="117">
        <v>29000</v>
      </c>
      <c r="I383" s="117">
        <v>29000</v>
      </c>
      <c r="J383" s="118">
        <v>29000</v>
      </c>
    </row>
    <row r="384" spans="1:10" x14ac:dyDescent="0.2">
      <c r="A384" s="71">
        <f t="shared" si="6"/>
        <v>322</v>
      </c>
      <c r="B384" s="113"/>
      <c r="C384" s="114" t="s">
        <v>522</v>
      </c>
      <c r="D384" s="114"/>
      <c r="E384" s="115"/>
      <c r="F384" s="88" t="s">
        <v>274</v>
      </c>
      <c r="G384" s="116">
        <v>42900</v>
      </c>
      <c r="H384" s="117">
        <v>34000</v>
      </c>
      <c r="I384" s="117">
        <v>34000</v>
      </c>
      <c r="J384" s="118">
        <v>34000</v>
      </c>
    </row>
    <row r="385" spans="1:10" x14ac:dyDescent="0.2">
      <c r="A385" s="71">
        <f t="shared" si="6"/>
        <v>323</v>
      </c>
      <c r="B385" s="113"/>
      <c r="C385" s="114" t="s">
        <v>523</v>
      </c>
      <c r="D385" s="114"/>
      <c r="E385" s="115"/>
      <c r="F385" s="88" t="s">
        <v>274</v>
      </c>
      <c r="G385" s="116">
        <v>89600</v>
      </c>
      <c r="H385" s="117">
        <v>72000</v>
      </c>
      <c r="I385" s="117">
        <v>72000</v>
      </c>
      <c r="J385" s="118">
        <v>72000</v>
      </c>
    </row>
    <row r="386" spans="1:10" x14ac:dyDescent="0.2">
      <c r="A386" s="71">
        <f t="shared" si="6"/>
        <v>324</v>
      </c>
      <c r="B386" s="113"/>
      <c r="C386" s="114" t="s">
        <v>524</v>
      </c>
      <c r="D386" s="114"/>
      <c r="E386" s="115"/>
      <c r="F386" s="88" t="s">
        <v>274</v>
      </c>
      <c r="G386" s="116">
        <v>256400</v>
      </c>
      <c r="H386" s="117">
        <v>208000</v>
      </c>
      <c r="I386" s="117">
        <v>208000</v>
      </c>
      <c r="J386" s="118">
        <v>208000</v>
      </c>
    </row>
    <row r="387" spans="1:10" x14ac:dyDescent="0.2">
      <c r="A387" s="71">
        <f t="shared" si="6"/>
        <v>325</v>
      </c>
      <c r="B387" s="113"/>
      <c r="C387" s="114" t="s">
        <v>837</v>
      </c>
      <c r="D387" s="114"/>
      <c r="E387" s="115"/>
      <c r="F387" s="88" t="s">
        <v>274</v>
      </c>
      <c r="G387" s="116">
        <v>183100</v>
      </c>
      <c r="H387" s="117">
        <v>148000</v>
      </c>
      <c r="I387" s="117">
        <v>148000</v>
      </c>
      <c r="J387" s="118">
        <v>148000</v>
      </c>
    </row>
    <row r="388" spans="1:10" x14ac:dyDescent="0.2">
      <c r="A388" s="71">
        <f t="shared" si="6"/>
        <v>326</v>
      </c>
      <c r="B388" s="113"/>
      <c r="C388" s="114" t="s">
        <v>525</v>
      </c>
      <c r="D388" s="114"/>
      <c r="E388" s="115"/>
      <c r="F388" s="88" t="s">
        <v>274</v>
      </c>
      <c r="G388" s="116">
        <v>209800</v>
      </c>
      <c r="H388" s="117">
        <v>170000</v>
      </c>
      <c r="I388" s="117">
        <v>170000</v>
      </c>
      <c r="J388" s="118">
        <v>170000</v>
      </c>
    </row>
    <row r="389" spans="1:10" x14ac:dyDescent="0.2">
      <c r="A389" s="71">
        <f t="shared" si="6"/>
        <v>327</v>
      </c>
      <c r="B389" s="113"/>
      <c r="C389" s="114" t="s">
        <v>443</v>
      </c>
      <c r="D389" s="114"/>
      <c r="E389" s="115"/>
      <c r="F389" s="88" t="s">
        <v>274</v>
      </c>
      <c r="G389" s="116">
        <v>376800</v>
      </c>
      <c r="H389" s="117">
        <v>306000</v>
      </c>
      <c r="I389" s="117">
        <v>306000</v>
      </c>
      <c r="J389" s="118">
        <v>306000</v>
      </c>
    </row>
    <row r="390" spans="1:10" x14ac:dyDescent="0.2">
      <c r="A390" s="71">
        <f t="shared" si="6"/>
        <v>328</v>
      </c>
      <c r="B390" s="113"/>
      <c r="C390" s="114" t="s">
        <v>526</v>
      </c>
      <c r="D390" s="114"/>
      <c r="E390" s="115"/>
      <c r="F390" s="88" t="s">
        <v>274</v>
      </c>
      <c r="G390" s="116">
        <v>597100</v>
      </c>
      <c r="H390" s="117">
        <v>485000</v>
      </c>
      <c r="I390" s="117">
        <v>485000</v>
      </c>
      <c r="J390" s="118">
        <v>485000</v>
      </c>
    </row>
    <row r="391" spans="1:10" x14ac:dyDescent="0.2">
      <c r="A391" s="71">
        <f t="shared" si="6"/>
        <v>329</v>
      </c>
      <c r="B391" s="113"/>
      <c r="C391" s="114" t="s">
        <v>527</v>
      </c>
      <c r="D391" s="114"/>
      <c r="E391" s="115"/>
      <c r="F391" s="88" t="s">
        <v>274</v>
      </c>
      <c r="G391" s="116">
        <v>924400</v>
      </c>
      <c r="H391" s="117">
        <v>751000</v>
      </c>
      <c r="I391" s="117">
        <v>751000</v>
      </c>
      <c r="J391" s="118">
        <v>751000</v>
      </c>
    </row>
    <row r="392" spans="1:10" x14ac:dyDescent="0.2">
      <c r="A392" s="71">
        <f t="shared" si="6"/>
        <v>330</v>
      </c>
      <c r="B392" s="113"/>
      <c r="C392" s="114" t="s">
        <v>97</v>
      </c>
      <c r="D392" s="114"/>
      <c r="E392" s="115"/>
      <c r="F392" s="88" t="s">
        <v>274</v>
      </c>
      <c r="G392" s="116">
        <v>169800</v>
      </c>
      <c r="H392" s="117">
        <v>138000</v>
      </c>
      <c r="I392" s="117">
        <v>138000</v>
      </c>
      <c r="J392" s="118">
        <v>138000</v>
      </c>
    </row>
    <row r="393" spans="1:10" x14ac:dyDescent="0.2">
      <c r="A393" s="71">
        <f t="shared" si="6"/>
        <v>331</v>
      </c>
      <c r="B393" s="113"/>
      <c r="C393" s="114" t="s">
        <v>98</v>
      </c>
      <c r="D393" s="114"/>
      <c r="E393" s="115"/>
      <c r="F393" s="88" t="s">
        <v>274</v>
      </c>
      <c r="G393" s="116">
        <v>189800</v>
      </c>
      <c r="H393" s="117">
        <v>154000</v>
      </c>
      <c r="I393" s="117">
        <v>154000</v>
      </c>
      <c r="J393" s="118">
        <v>154000</v>
      </c>
    </row>
    <row r="394" spans="1:10" x14ac:dyDescent="0.2">
      <c r="A394" s="71">
        <f t="shared" si="6"/>
        <v>332</v>
      </c>
      <c r="B394" s="113"/>
      <c r="C394" s="114" t="s">
        <v>642</v>
      </c>
      <c r="D394" s="114"/>
      <c r="E394" s="115"/>
      <c r="F394" s="88" t="s">
        <v>274</v>
      </c>
      <c r="G394" s="116">
        <v>156400</v>
      </c>
      <c r="H394" s="117">
        <v>127000</v>
      </c>
      <c r="I394" s="117">
        <v>127000</v>
      </c>
      <c r="J394" s="118">
        <v>127000</v>
      </c>
    </row>
    <row r="395" spans="1:10" x14ac:dyDescent="0.2">
      <c r="A395" s="71">
        <f t="shared" si="6"/>
        <v>333</v>
      </c>
      <c r="B395" s="113"/>
      <c r="C395" s="114" t="s">
        <v>643</v>
      </c>
      <c r="D395" s="114"/>
      <c r="E395" s="115"/>
      <c r="F395" s="88" t="s">
        <v>274</v>
      </c>
      <c r="G395" s="116">
        <v>470300</v>
      </c>
      <c r="H395" s="117">
        <v>382000</v>
      </c>
      <c r="I395" s="117">
        <v>382000</v>
      </c>
      <c r="J395" s="118">
        <v>382000</v>
      </c>
    </row>
    <row r="396" spans="1:10" x14ac:dyDescent="0.2">
      <c r="A396" s="71">
        <f t="shared" si="6"/>
        <v>334</v>
      </c>
      <c r="B396" s="113"/>
      <c r="C396" s="114" t="s">
        <v>380</v>
      </c>
      <c r="D396" s="114"/>
      <c r="E396" s="115"/>
      <c r="F396" s="88" t="s">
        <v>298</v>
      </c>
      <c r="G396" s="116">
        <v>23500</v>
      </c>
      <c r="H396" s="117">
        <v>19000</v>
      </c>
      <c r="I396" s="117">
        <v>19000</v>
      </c>
      <c r="J396" s="118">
        <v>19000</v>
      </c>
    </row>
    <row r="397" spans="1:10" x14ac:dyDescent="0.2">
      <c r="A397" s="71">
        <f t="shared" si="6"/>
        <v>335</v>
      </c>
      <c r="B397" s="113"/>
      <c r="C397" s="114" t="s">
        <v>130</v>
      </c>
      <c r="D397" s="114"/>
      <c r="E397" s="115"/>
      <c r="F397" s="88" t="s">
        <v>338</v>
      </c>
      <c r="G397" s="116">
        <v>16800</v>
      </c>
      <c r="H397" s="117">
        <v>13000</v>
      </c>
      <c r="I397" s="117">
        <v>13000</v>
      </c>
      <c r="J397" s="118">
        <v>13000</v>
      </c>
    </row>
    <row r="398" spans="1:10" x14ac:dyDescent="0.2">
      <c r="A398" s="71">
        <f>SUM(A397+1)</f>
        <v>336</v>
      </c>
      <c r="B398" s="113"/>
      <c r="C398" s="114" t="s">
        <v>684</v>
      </c>
      <c r="D398" s="114"/>
      <c r="E398" s="115"/>
      <c r="F398" s="88" t="s">
        <v>268</v>
      </c>
      <c r="G398" s="116">
        <v>26800</v>
      </c>
      <c r="H398" s="117">
        <v>21000</v>
      </c>
      <c r="I398" s="117">
        <v>21000</v>
      </c>
      <c r="J398" s="118">
        <v>21000</v>
      </c>
    </row>
    <row r="399" spans="1:10" x14ac:dyDescent="0.2">
      <c r="A399" s="71">
        <f t="shared" si="6"/>
        <v>337</v>
      </c>
      <c r="B399" s="113"/>
      <c r="C399" s="114" t="s">
        <v>685</v>
      </c>
      <c r="D399" s="114"/>
      <c r="E399" s="115"/>
      <c r="F399" s="88" t="s">
        <v>268</v>
      </c>
      <c r="G399" s="116">
        <v>33400</v>
      </c>
      <c r="H399" s="117">
        <v>27000</v>
      </c>
      <c r="I399" s="117">
        <v>27000</v>
      </c>
      <c r="J399" s="118">
        <v>27000</v>
      </c>
    </row>
    <row r="400" spans="1:10" x14ac:dyDescent="0.2">
      <c r="A400" s="71">
        <f t="shared" si="6"/>
        <v>338</v>
      </c>
      <c r="B400" s="113"/>
      <c r="C400" s="114" t="s">
        <v>131</v>
      </c>
      <c r="D400" s="114"/>
      <c r="E400" s="115"/>
      <c r="F400" s="88" t="s">
        <v>268</v>
      </c>
      <c r="G400" s="116">
        <v>40100</v>
      </c>
      <c r="H400" s="117">
        <v>32000</v>
      </c>
      <c r="I400" s="117">
        <v>32000</v>
      </c>
      <c r="J400" s="118">
        <v>32000</v>
      </c>
    </row>
    <row r="401" spans="1:10" x14ac:dyDescent="0.2">
      <c r="A401" s="71">
        <f t="shared" si="6"/>
        <v>339</v>
      </c>
      <c r="B401" s="113"/>
      <c r="C401" s="114" t="s">
        <v>132</v>
      </c>
      <c r="D401" s="114"/>
      <c r="E401" s="115"/>
      <c r="F401" s="88" t="s">
        <v>268</v>
      </c>
      <c r="G401" s="116">
        <v>4100</v>
      </c>
      <c r="H401" s="117">
        <v>3000</v>
      </c>
      <c r="I401" s="117">
        <v>3000</v>
      </c>
      <c r="J401" s="118">
        <v>3000</v>
      </c>
    </row>
    <row r="402" spans="1:10" x14ac:dyDescent="0.2">
      <c r="A402" s="71">
        <f t="shared" si="6"/>
        <v>340</v>
      </c>
      <c r="B402" s="113"/>
      <c r="C402" s="114" t="s">
        <v>133</v>
      </c>
      <c r="D402" s="114"/>
      <c r="E402" s="115"/>
      <c r="F402" s="88" t="s">
        <v>268</v>
      </c>
      <c r="G402" s="116">
        <v>6100</v>
      </c>
      <c r="H402" s="117">
        <v>4000</v>
      </c>
      <c r="I402" s="117">
        <v>4000</v>
      </c>
      <c r="J402" s="118">
        <v>4000</v>
      </c>
    </row>
    <row r="403" spans="1:10" x14ac:dyDescent="0.2">
      <c r="A403" s="71">
        <f t="shared" si="6"/>
        <v>341</v>
      </c>
      <c r="B403" s="113"/>
      <c r="C403" s="114" t="s">
        <v>154</v>
      </c>
      <c r="D403" s="114"/>
      <c r="E403" s="115"/>
      <c r="F403" s="88" t="s">
        <v>268</v>
      </c>
      <c r="G403" s="116">
        <v>6700</v>
      </c>
      <c r="H403" s="117">
        <v>5000</v>
      </c>
      <c r="I403" s="117">
        <v>5000</v>
      </c>
      <c r="J403" s="118">
        <v>5000</v>
      </c>
    </row>
    <row r="404" spans="1:10" x14ac:dyDescent="0.2">
      <c r="A404" s="71">
        <f t="shared" si="6"/>
        <v>342</v>
      </c>
      <c r="B404" s="113"/>
      <c r="C404" s="114" t="s">
        <v>154</v>
      </c>
      <c r="D404" s="114"/>
      <c r="E404" s="115"/>
      <c r="F404" s="88" t="s">
        <v>268</v>
      </c>
      <c r="G404" s="116">
        <v>7500</v>
      </c>
      <c r="H404" s="117">
        <v>6000</v>
      </c>
      <c r="I404" s="117">
        <v>6000</v>
      </c>
      <c r="J404" s="118">
        <v>6000</v>
      </c>
    </row>
    <row r="405" spans="1:10" x14ac:dyDescent="0.2">
      <c r="A405" s="71">
        <f t="shared" si="6"/>
        <v>343</v>
      </c>
      <c r="B405" s="113"/>
      <c r="C405" s="114" t="s">
        <v>155</v>
      </c>
      <c r="D405" s="114"/>
      <c r="E405" s="115"/>
      <c r="F405" s="88" t="s">
        <v>268</v>
      </c>
      <c r="G405" s="116">
        <v>8700</v>
      </c>
      <c r="H405" s="117">
        <v>7000</v>
      </c>
      <c r="I405" s="117">
        <v>7000</v>
      </c>
      <c r="J405" s="118">
        <v>7000</v>
      </c>
    </row>
    <row r="406" spans="1:10" x14ac:dyDescent="0.2">
      <c r="A406" s="71">
        <f t="shared" si="6"/>
        <v>344</v>
      </c>
      <c r="B406" s="113"/>
      <c r="C406" s="114" t="s">
        <v>99</v>
      </c>
      <c r="D406" s="114"/>
      <c r="E406" s="115"/>
      <c r="F406" s="88" t="s">
        <v>268</v>
      </c>
      <c r="G406" s="116">
        <v>8100</v>
      </c>
      <c r="H406" s="117">
        <v>6000</v>
      </c>
      <c r="I406" s="117">
        <v>6000</v>
      </c>
      <c r="J406" s="118">
        <v>6000</v>
      </c>
    </row>
    <row r="407" spans="1:10" x14ac:dyDescent="0.2">
      <c r="A407" s="71">
        <f t="shared" si="6"/>
        <v>345</v>
      </c>
      <c r="B407" s="113"/>
      <c r="C407" s="114" t="s">
        <v>100</v>
      </c>
      <c r="D407" s="114"/>
      <c r="E407" s="115"/>
      <c r="F407" s="88" t="s">
        <v>268</v>
      </c>
      <c r="G407" s="116">
        <v>5100</v>
      </c>
      <c r="H407" s="117">
        <v>4000</v>
      </c>
      <c r="I407" s="117">
        <v>4000</v>
      </c>
      <c r="J407" s="118">
        <v>4000</v>
      </c>
    </row>
    <row r="408" spans="1:10" x14ac:dyDescent="0.2">
      <c r="A408" s="71">
        <f t="shared" si="6"/>
        <v>346</v>
      </c>
      <c r="B408" s="113"/>
      <c r="C408" s="114" t="s">
        <v>465</v>
      </c>
      <c r="D408" s="114"/>
      <c r="E408" s="115"/>
      <c r="F408" s="88" t="s">
        <v>392</v>
      </c>
      <c r="G408" s="116">
        <v>93500</v>
      </c>
      <c r="H408" s="117">
        <v>76000</v>
      </c>
      <c r="I408" s="117">
        <v>76000</v>
      </c>
      <c r="J408" s="118">
        <v>76000</v>
      </c>
    </row>
    <row r="409" spans="1:10" x14ac:dyDescent="0.2">
      <c r="A409" s="71">
        <f t="shared" si="6"/>
        <v>347</v>
      </c>
      <c r="B409" s="113"/>
      <c r="C409" s="114" t="s">
        <v>466</v>
      </c>
      <c r="D409" s="114"/>
      <c r="E409" s="115"/>
      <c r="F409" s="88" t="s">
        <v>392</v>
      </c>
      <c r="G409" s="116">
        <v>106900</v>
      </c>
      <c r="H409" s="117">
        <v>86000</v>
      </c>
      <c r="I409" s="117">
        <v>86000</v>
      </c>
      <c r="J409" s="118">
        <v>86000</v>
      </c>
    </row>
    <row r="410" spans="1:10" x14ac:dyDescent="0.2">
      <c r="A410" s="147">
        <f>SUM(A409+1)</f>
        <v>348</v>
      </c>
      <c r="B410" s="113"/>
      <c r="C410" s="114" t="s">
        <v>101</v>
      </c>
      <c r="D410" s="114"/>
      <c r="E410" s="115"/>
      <c r="F410" s="88" t="s">
        <v>268</v>
      </c>
      <c r="G410" s="116">
        <v>734600</v>
      </c>
      <c r="H410" s="117">
        <v>597000</v>
      </c>
      <c r="I410" s="117">
        <v>597000</v>
      </c>
      <c r="J410" s="118">
        <v>597000</v>
      </c>
    </row>
    <row r="411" spans="1:10" x14ac:dyDescent="0.2">
      <c r="A411" s="71">
        <f t="shared" ref="A411:A468" si="7">SUM(A410+1)</f>
        <v>349</v>
      </c>
      <c r="B411" s="113"/>
      <c r="C411" s="114" t="s">
        <v>686</v>
      </c>
      <c r="D411" s="114"/>
      <c r="E411" s="115"/>
      <c r="F411" s="88" t="s">
        <v>275</v>
      </c>
      <c r="G411" s="116">
        <v>23506600</v>
      </c>
      <c r="H411" s="117">
        <v>19111000</v>
      </c>
      <c r="I411" s="117">
        <v>19111000</v>
      </c>
      <c r="J411" s="118">
        <v>19111000</v>
      </c>
    </row>
    <row r="412" spans="1:10" x14ac:dyDescent="0.2">
      <c r="A412" s="71">
        <f t="shared" si="7"/>
        <v>350</v>
      </c>
      <c r="B412" s="113"/>
      <c r="C412" s="114" t="s">
        <v>134</v>
      </c>
      <c r="D412" s="114"/>
      <c r="E412" s="115"/>
      <c r="F412" s="88" t="s">
        <v>275</v>
      </c>
      <c r="G412" s="116">
        <v>36061200</v>
      </c>
      <c r="H412" s="117">
        <v>29318000</v>
      </c>
      <c r="I412" s="117">
        <v>29318000</v>
      </c>
      <c r="J412" s="118">
        <v>29318000</v>
      </c>
    </row>
    <row r="413" spans="1:10" x14ac:dyDescent="0.2">
      <c r="A413" s="71">
        <f t="shared" si="7"/>
        <v>351</v>
      </c>
      <c r="B413" s="113"/>
      <c r="C413" s="114" t="s">
        <v>792</v>
      </c>
      <c r="D413" s="114"/>
      <c r="E413" s="115"/>
      <c r="F413" s="88" t="s">
        <v>309</v>
      </c>
      <c r="G413" s="116">
        <v>9500</v>
      </c>
      <c r="H413" s="117">
        <v>7700</v>
      </c>
      <c r="I413" s="117">
        <v>7700</v>
      </c>
      <c r="J413" s="118">
        <v>7700</v>
      </c>
    </row>
    <row r="414" spans="1:10" x14ac:dyDescent="0.2">
      <c r="A414" s="71">
        <f t="shared" si="7"/>
        <v>352</v>
      </c>
      <c r="B414" s="113"/>
      <c r="C414" s="114" t="s">
        <v>956</v>
      </c>
      <c r="D414" s="114"/>
      <c r="E414" s="115"/>
      <c r="F414" s="88" t="s">
        <v>309</v>
      </c>
      <c r="G414" s="116">
        <v>147000</v>
      </c>
      <c r="H414" s="117">
        <v>119000</v>
      </c>
      <c r="I414" s="117">
        <v>119000</v>
      </c>
      <c r="J414" s="118">
        <v>119000</v>
      </c>
    </row>
    <row r="415" spans="1:10" x14ac:dyDescent="0.2">
      <c r="A415" s="71">
        <f t="shared" si="7"/>
        <v>353</v>
      </c>
      <c r="B415" s="113"/>
      <c r="C415" s="114" t="s">
        <v>246</v>
      </c>
      <c r="D415" s="114"/>
      <c r="E415" s="115"/>
      <c r="F415" s="88" t="s">
        <v>268</v>
      </c>
      <c r="G415" s="116">
        <v>2000</v>
      </c>
      <c r="H415" s="117">
        <v>1600</v>
      </c>
      <c r="I415" s="117">
        <v>1600</v>
      </c>
      <c r="J415" s="118">
        <v>1600</v>
      </c>
    </row>
    <row r="416" spans="1:10" x14ac:dyDescent="0.2">
      <c r="A416" s="71">
        <f t="shared" si="7"/>
        <v>354</v>
      </c>
      <c r="B416" s="113"/>
      <c r="C416" s="114" t="s">
        <v>957</v>
      </c>
      <c r="D416" s="114"/>
      <c r="E416" s="115"/>
      <c r="F416" s="88" t="s">
        <v>392</v>
      </c>
      <c r="G416" s="116">
        <v>5500</v>
      </c>
      <c r="H416" s="117">
        <v>4400</v>
      </c>
      <c r="I416" s="117">
        <v>4400</v>
      </c>
      <c r="J416" s="118">
        <v>4400</v>
      </c>
    </row>
    <row r="417" spans="1:10" x14ac:dyDescent="0.2">
      <c r="A417" s="71">
        <f t="shared" si="7"/>
        <v>355</v>
      </c>
      <c r="B417" s="113"/>
      <c r="C417" s="114" t="s">
        <v>958</v>
      </c>
      <c r="D417" s="114"/>
      <c r="E417" s="115"/>
      <c r="F417" s="88" t="s">
        <v>338</v>
      </c>
      <c r="G417" s="116">
        <v>567700</v>
      </c>
      <c r="H417" s="117">
        <v>461000</v>
      </c>
      <c r="I417" s="117">
        <v>461000</v>
      </c>
      <c r="J417" s="118">
        <v>461000</v>
      </c>
    </row>
    <row r="418" spans="1:10" x14ac:dyDescent="0.2">
      <c r="A418" s="71">
        <f t="shared" si="7"/>
        <v>356</v>
      </c>
      <c r="B418" s="113"/>
      <c r="C418" s="114" t="s">
        <v>180</v>
      </c>
      <c r="D418" s="114"/>
      <c r="E418" s="115"/>
      <c r="F418" s="88" t="s">
        <v>268</v>
      </c>
      <c r="G418" s="116">
        <v>47500</v>
      </c>
      <c r="H418" s="117">
        <v>38000</v>
      </c>
      <c r="I418" s="117">
        <v>38000</v>
      </c>
      <c r="J418" s="118">
        <v>38000</v>
      </c>
    </row>
    <row r="419" spans="1:10" x14ac:dyDescent="0.2">
      <c r="A419" s="71">
        <f t="shared" si="7"/>
        <v>357</v>
      </c>
      <c r="B419" s="113"/>
      <c r="C419" s="114" t="s">
        <v>959</v>
      </c>
      <c r="D419" s="114"/>
      <c r="E419" s="115"/>
      <c r="F419" s="88" t="s">
        <v>268</v>
      </c>
      <c r="G419" s="116">
        <v>18200</v>
      </c>
      <c r="H419" s="117">
        <v>14000</v>
      </c>
      <c r="I419" s="117">
        <v>14000</v>
      </c>
      <c r="J419" s="118">
        <v>14000</v>
      </c>
    </row>
    <row r="420" spans="1:10" x14ac:dyDescent="0.2">
      <c r="A420" s="71">
        <f t="shared" si="7"/>
        <v>358</v>
      </c>
      <c r="B420" s="113"/>
      <c r="C420" s="114" t="s">
        <v>960</v>
      </c>
      <c r="D420" s="114"/>
      <c r="E420" s="115"/>
      <c r="F420" s="88" t="s">
        <v>268</v>
      </c>
      <c r="G420" s="116">
        <v>50800</v>
      </c>
      <c r="H420" s="117">
        <v>41000</v>
      </c>
      <c r="I420" s="117">
        <v>41000</v>
      </c>
      <c r="J420" s="118">
        <v>41000</v>
      </c>
    </row>
    <row r="421" spans="1:10" x14ac:dyDescent="0.2">
      <c r="A421" s="71">
        <f t="shared" si="7"/>
        <v>359</v>
      </c>
      <c r="B421" s="113"/>
      <c r="C421" s="114" t="s">
        <v>813</v>
      </c>
      <c r="D421" s="114"/>
      <c r="E421" s="115"/>
      <c r="F421" s="88" t="s">
        <v>268</v>
      </c>
      <c r="G421" s="116">
        <v>11500</v>
      </c>
      <c r="H421" s="117">
        <v>9000</v>
      </c>
      <c r="I421" s="117">
        <v>9000</v>
      </c>
      <c r="J421" s="118">
        <v>9000</v>
      </c>
    </row>
    <row r="422" spans="1:10" x14ac:dyDescent="0.2">
      <c r="A422" s="71">
        <f t="shared" si="7"/>
        <v>360</v>
      </c>
      <c r="B422" s="113"/>
      <c r="C422" s="114" t="s">
        <v>961</v>
      </c>
      <c r="D422" s="114"/>
      <c r="E422" s="115"/>
      <c r="F422" s="88" t="s">
        <v>268</v>
      </c>
      <c r="G422" s="116">
        <v>48200</v>
      </c>
      <c r="H422" s="117">
        <v>39000</v>
      </c>
      <c r="I422" s="117">
        <v>39000</v>
      </c>
      <c r="J422" s="118">
        <v>39000</v>
      </c>
    </row>
    <row r="423" spans="1:10" x14ac:dyDescent="0.2">
      <c r="A423" s="71">
        <f t="shared" si="7"/>
        <v>361</v>
      </c>
      <c r="B423" s="113"/>
      <c r="C423" s="114" t="s">
        <v>414</v>
      </c>
      <c r="D423" s="114"/>
      <c r="E423" s="115"/>
      <c r="F423" s="88" t="s">
        <v>268</v>
      </c>
      <c r="G423" s="116">
        <v>26800</v>
      </c>
      <c r="H423" s="117">
        <v>21000</v>
      </c>
      <c r="I423" s="117">
        <v>21000</v>
      </c>
      <c r="J423" s="118">
        <v>21000</v>
      </c>
    </row>
    <row r="424" spans="1:10" x14ac:dyDescent="0.2">
      <c r="A424" s="71">
        <f t="shared" si="7"/>
        <v>362</v>
      </c>
      <c r="B424" s="113"/>
      <c r="C424" s="114" t="s">
        <v>413</v>
      </c>
      <c r="D424" s="114"/>
      <c r="E424" s="115"/>
      <c r="F424" s="88" t="s">
        <v>268</v>
      </c>
      <c r="G424" s="116">
        <v>20800</v>
      </c>
      <c r="H424" s="117">
        <v>16000</v>
      </c>
      <c r="I424" s="117">
        <v>16000</v>
      </c>
      <c r="J424" s="118">
        <v>16000</v>
      </c>
    </row>
    <row r="425" spans="1:10" x14ac:dyDescent="0.2">
      <c r="A425" s="71">
        <f t="shared" si="7"/>
        <v>363</v>
      </c>
      <c r="B425" s="113"/>
      <c r="C425" s="114" t="s">
        <v>307</v>
      </c>
      <c r="D425" s="114"/>
      <c r="E425" s="115"/>
      <c r="F425" s="88" t="s">
        <v>256</v>
      </c>
      <c r="G425" s="116">
        <v>82900</v>
      </c>
      <c r="H425" s="117">
        <v>67000</v>
      </c>
      <c r="I425" s="117">
        <v>67000</v>
      </c>
      <c r="J425" s="118">
        <v>67000</v>
      </c>
    </row>
    <row r="426" spans="1:10" x14ac:dyDescent="0.2">
      <c r="A426" s="71">
        <f t="shared" si="7"/>
        <v>364</v>
      </c>
      <c r="B426" s="113"/>
      <c r="C426" s="114" t="s">
        <v>386</v>
      </c>
      <c r="D426" s="114"/>
      <c r="E426" s="115"/>
      <c r="F426" s="88" t="s">
        <v>268</v>
      </c>
      <c r="G426" s="116">
        <v>6700</v>
      </c>
      <c r="H426" s="117">
        <v>5000</v>
      </c>
      <c r="I426" s="117">
        <v>5000</v>
      </c>
      <c r="J426" s="118">
        <v>5000</v>
      </c>
    </row>
    <row r="427" spans="1:10" x14ac:dyDescent="0.2">
      <c r="A427" s="71">
        <f t="shared" si="7"/>
        <v>365</v>
      </c>
      <c r="B427" s="113"/>
      <c r="C427" s="114" t="s">
        <v>641</v>
      </c>
      <c r="D427" s="114"/>
      <c r="E427" s="115"/>
      <c r="F427" s="88" t="s">
        <v>275</v>
      </c>
      <c r="G427" s="116">
        <v>1469200</v>
      </c>
      <c r="H427" s="117">
        <v>1194000</v>
      </c>
      <c r="I427" s="117">
        <v>1194000</v>
      </c>
      <c r="J427" s="118">
        <v>1194000</v>
      </c>
    </row>
    <row r="428" spans="1:10" x14ac:dyDescent="0.2">
      <c r="A428" s="71">
        <f t="shared" si="7"/>
        <v>366</v>
      </c>
      <c r="B428" s="113"/>
      <c r="C428" s="114" t="s">
        <v>551</v>
      </c>
      <c r="D428" s="114"/>
      <c r="E428" s="115"/>
      <c r="F428" s="88" t="s">
        <v>277</v>
      </c>
      <c r="G428" s="116">
        <v>100200</v>
      </c>
      <c r="H428" s="117">
        <v>81000</v>
      </c>
      <c r="I428" s="117">
        <v>81000</v>
      </c>
      <c r="J428" s="118">
        <v>81000</v>
      </c>
    </row>
    <row r="429" spans="1:10" x14ac:dyDescent="0.2">
      <c r="A429" s="71">
        <f t="shared" si="7"/>
        <v>367</v>
      </c>
      <c r="B429" s="113"/>
      <c r="C429" s="114" t="s">
        <v>552</v>
      </c>
      <c r="D429" s="114"/>
      <c r="E429" s="115"/>
      <c r="F429" s="88" t="s">
        <v>277</v>
      </c>
      <c r="G429" s="116">
        <v>106900</v>
      </c>
      <c r="H429" s="117">
        <v>86000</v>
      </c>
      <c r="I429" s="117">
        <v>86000</v>
      </c>
      <c r="J429" s="118">
        <v>86000</v>
      </c>
    </row>
    <row r="430" spans="1:10" x14ac:dyDescent="0.2">
      <c r="A430" s="71">
        <f t="shared" si="7"/>
        <v>368</v>
      </c>
      <c r="B430" s="113"/>
      <c r="C430" s="114" t="s">
        <v>553</v>
      </c>
      <c r="D430" s="114"/>
      <c r="E430" s="115"/>
      <c r="F430" s="88" t="s">
        <v>277</v>
      </c>
      <c r="G430" s="116">
        <v>87600</v>
      </c>
      <c r="H430" s="117">
        <v>71000</v>
      </c>
      <c r="I430" s="117">
        <v>71000</v>
      </c>
      <c r="J430" s="118">
        <v>71000</v>
      </c>
    </row>
    <row r="431" spans="1:10" x14ac:dyDescent="0.2">
      <c r="A431" s="71">
        <f t="shared" si="7"/>
        <v>369</v>
      </c>
      <c r="B431" s="113"/>
      <c r="C431" s="114" t="s">
        <v>962</v>
      </c>
      <c r="D431" s="114"/>
      <c r="E431" s="115"/>
      <c r="F431" s="88" t="s">
        <v>102</v>
      </c>
      <c r="G431" s="116">
        <v>40100</v>
      </c>
      <c r="H431" s="117">
        <v>32000</v>
      </c>
      <c r="I431" s="117">
        <v>32000</v>
      </c>
      <c r="J431" s="118">
        <v>32000</v>
      </c>
    </row>
    <row r="432" spans="1:10" x14ac:dyDescent="0.2">
      <c r="A432" s="71">
        <f t="shared" si="7"/>
        <v>370</v>
      </c>
      <c r="B432" s="113"/>
      <c r="C432" s="114" t="s">
        <v>963</v>
      </c>
      <c r="D432" s="114"/>
      <c r="E432" s="115"/>
      <c r="F432" s="88" t="s">
        <v>102</v>
      </c>
      <c r="G432" s="116">
        <v>66800</v>
      </c>
      <c r="H432" s="117">
        <v>54000</v>
      </c>
      <c r="I432" s="117">
        <v>54000</v>
      </c>
      <c r="J432" s="118">
        <v>54000</v>
      </c>
    </row>
    <row r="433" spans="1:10" x14ac:dyDescent="0.2">
      <c r="A433" s="71">
        <f t="shared" si="7"/>
        <v>371</v>
      </c>
      <c r="B433" s="113"/>
      <c r="C433" s="114" t="s">
        <v>718</v>
      </c>
      <c r="D433" s="114"/>
      <c r="E433" s="115"/>
      <c r="F433" s="88" t="s">
        <v>268</v>
      </c>
      <c r="G433" s="116">
        <v>333900</v>
      </c>
      <c r="H433" s="117">
        <v>271000</v>
      </c>
      <c r="I433" s="117">
        <v>271000</v>
      </c>
      <c r="J433" s="118">
        <v>271000</v>
      </c>
    </row>
    <row r="434" spans="1:10" x14ac:dyDescent="0.2">
      <c r="A434" s="71">
        <f t="shared" si="7"/>
        <v>372</v>
      </c>
      <c r="B434" s="113"/>
      <c r="C434" s="114" t="s">
        <v>158</v>
      </c>
      <c r="D434" s="114"/>
      <c r="E434" s="115"/>
      <c r="F434" s="88" t="s">
        <v>268</v>
      </c>
      <c r="G434" s="116">
        <v>93500</v>
      </c>
      <c r="H434" s="117">
        <v>76000</v>
      </c>
      <c r="I434" s="117">
        <v>76000</v>
      </c>
      <c r="J434" s="118">
        <v>76000</v>
      </c>
    </row>
    <row r="435" spans="1:10" x14ac:dyDescent="0.2">
      <c r="A435" s="71">
        <f t="shared" si="7"/>
        <v>373</v>
      </c>
      <c r="B435" s="113"/>
      <c r="C435" s="114" t="s">
        <v>103</v>
      </c>
      <c r="D435" s="114"/>
      <c r="E435" s="115"/>
      <c r="F435" s="88" t="s">
        <v>268</v>
      </c>
      <c r="G435" s="116">
        <v>153600</v>
      </c>
      <c r="H435" s="117">
        <v>124000</v>
      </c>
      <c r="I435" s="117">
        <v>124000</v>
      </c>
      <c r="J435" s="118">
        <v>124000</v>
      </c>
    </row>
    <row r="436" spans="1:10" x14ac:dyDescent="0.2">
      <c r="A436" s="71">
        <f t="shared" si="7"/>
        <v>374</v>
      </c>
      <c r="B436" s="113"/>
      <c r="C436" s="114" t="s">
        <v>377</v>
      </c>
      <c r="D436" s="114"/>
      <c r="E436" s="115"/>
      <c r="F436" s="88" t="s">
        <v>268</v>
      </c>
      <c r="G436" s="116">
        <v>267200</v>
      </c>
      <c r="H436" s="117">
        <v>217000</v>
      </c>
      <c r="I436" s="117">
        <v>217000</v>
      </c>
      <c r="J436" s="118">
        <v>217000</v>
      </c>
    </row>
    <row r="437" spans="1:10" x14ac:dyDescent="0.2">
      <c r="A437" s="71">
        <f t="shared" si="7"/>
        <v>375</v>
      </c>
      <c r="B437" s="113"/>
      <c r="C437" s="114" t="s">
        <v>378</v>
      </c>
      <c r="D437" s="114"/>
      <c r="E437" s="115"/>
      <c r="F437" s="88" t="s">
        <v>268</v>
      </c>
      <c r="G437" s="116">
        <v>273800</v>
      </c>
      <c r="H437" s="117">
        <v>222000</v>
      </c>
      <c r="I437" s="117">
        <v>222000</v>
      </c>
      <c r="J437" s="118">
        <v>222000</v>
      </c>
    </row>
    <row r="438" spans="1:10" x14ac:dyDescent="0.2">
      <c r="A438" s="71">
        <f t="shared" si="7"/>
        <v>376</v>
      </c>
      <c r="B438" s="113"/>
      <c r="C438" s="114" t="s">
        <v>387</v>
      </c>
      <c r="D438" s="114"/>
      <c r="E438" s="115"/>
      <c r="F438" s="88" t="s">
        <v>268</v>
      </c>
      <c r="G438" s="116">
        <v>4674600</v>
      </c>
      <c r="H438" s="117">
        <v>3800000</v>
      </c>
      <c r="I438" s="117">
        <v>3800000</v>
      </c>
      <c r="J438" s="118">
        <v>3800000</v>
      </c>
    </row>
    <row r="439" spans="1:10" x14ac:dyDescent="0.2">
      <c r="A439" s="71">
        <f t="shared" si="7"/>
        <v>377</v>
      </c>
      <c r="B439" s="113"/>
      <c r="C439" s="114" t="s">
        <v>388</v>
      </c>
      <c r="D439" s="114"/>
      <c r="E439" s="115"/>
      <c r="F439" s="88" t="s">
        <v>268</v>
      </c>
      <c r="G439" s="116">
        <v>20800</v>
      </c>
      <c r="H439" s="117">
        <v>16000</v>
      </c>
      <c r="I439" s="117">
        <v>16000</v>
      </c>
      <c r="J439" s="118">
        <v>16000</v>
      </c>
    </row>
    <row r="440" spans="1:10" x14ac:dyDescent="0.2">
      <c r="A440" s="71">
        <f t="shared" si="7"/>
        <v>378</v>
      </c>
      <c r="B440" s="113"/>
      <c r="C440" s="114" t="s">
        <v>719</v>
      </c>
      <c r="D440" s="114"/>
      <c r="E440" s="115"/>
      <c r="F440" s="88" t="s">
        <v>268</v>
      </c>
      <c r="G440" s="116">
        <v>100200</v>
      </c>
      <c r="H440" s="117">
        <v>81000</v>
      </c>
      <c r="I440" s="117">
        <v>81000</v>
      </c>
      <c r="J440" s="118">
        <v>81000</v>
      </c>
    </row>
    <row r="441" spans="1:10" x14ac:dyDescent="0.2">
      <c r="A441" s="71">
        <f t="shared" si="7"/>
        <v>379</v>
      </c>
      <c r="B441" s="113"/>
      <c r="C441" s="114" t="s">
        <v>1161</v>
      </c>
      <c r="D441" s="114"/>
      <c r="E441" s="115"/>
      <c r="F441" s="88" t="s">
        <v>268</v>
      </c>
      <c r="G441" s="116">
        <v>267200</v>
      </c>
      <c r="H441" s="117">
        <v>217000</v>
      </c>
      <c r="I441" s="117">
        <v>217000</v>
      </c>
      <c r="J441" s="118">
        <v>217000</v>
      </c>
    </row>
    <row r="442" spans="1:10" x14ac:dyDescent="0.2">
      <c r="A442" s="71">
        <f t="shared" si="7"/>
        <v>380</v>
      </c>
      <c r="B442" s="113"/>
      <c r="C442" s="114" t="s">
        <v>1162</v>
      </c>
      <c r="D442" s="114"/>
      <c r="E442" s="115"/>
      <c r="F442" s="88" t="s">
        <v>268</v>
      </c>
      <c r="G442" s="116">
        <v>467500</v>
      </c>
      <c r="H442" s="117">
        <v>380000</v>
      </c>
      <c r="I442" s="117">
        <v>380000</v>
      </c>
      <c r="J442" s="118">
        <v>380000</v>
      </c>
    </row>
    <row r="443" spans="1:10" x14ac:dyDescent="0.2">
      <c r="A443" s="71">
        <f t="shared" si="7"/>
        <v>381</v>
      </c>
      <c r="B443" s="113"/>
      <c r="C443" s="114" t="s">
        <v>235</v>
      </c>
      <c r="D443" s="114"/>
      <c r="E443" s="115"/>
      <c r="F443" s="88" t="s">
        <v>298</v>
      </c>
      <c r="G443" s="116">
        <v>60200</v>
      </c>
      <c r="H443" s="117">
        <v>48000</v>
      </c>
      <c r="I443" s="117">
        <v>48000</v>
      </c>
      <c r="J443" s="118">
        <v>48000</v>
      </c>
    </row>
    <row r="444" spans="1:10" x14ac:dyDescent="0.2">
      <c r="A444" s="71">
        <f t="shared" si="7"/>
        <v>382</v>
      </c>
      <c r="B444" s="113"/>
      <c r="C444" s="114" t="s">
        <v>104</v>
      </c>
      <c r="D444" s="114"/>
      <c r="E444" s="115"/>
      <c r="F444" s="88" t="s">
        <v>298</v>
      </c>
      <c r="G444" s="116">
        <v>7500</v>
      </c>
      <c r="H444" s="117">
        <v>6000</v>
      </c>
      <c r="I444" s="117">
        <v>6000</v>
      </c>
      <c r="J444" s="118">
        <v>6000</v>
      </c>
    </row>
    <row r="445" spans="1:10" x14ac:dyDescent="0.2">
      <c r="A445" s="71">
        <f t="shared" si="7"/>
        <v>383</v>
      </c>
      <c r="B445" s="113"/>
      <c r="C445" s="114" t="s">
        <v>105</v>
      </c>
      <c r="D445" s="114"/>
      <c r="E445" s="115"/>
      <c r="F445" s="88" t="s">
        <v>264</v>
      </c>
      <c r="G445" s="116">
        <v>53500</v>
      </c>
      <c r="H445" s="117">
        <v>43000</v>
      </c>
      <c r="I445" s="117">
        <v>43000</v>
      </c>
      <c r="J445" s="118">
        <v>43000</v>
      </c>
    </row>
    <row r="446" spans="1:10" x14ac:dyDescent="0.2">
      <c r="A446" s="71">
        <f t="shared" si="7"/>
        <v>384</v>
      </c>
      <c r="B446" s="113"/>
      <c r="C446" s="114" t="s">
        <v>106</v>
      </c>
      <c r="D446" s="114"/>
      <c r="E446" s="115"/>
      <c r="F446" s="88" t="s">
        <v>264</v>
      </c>
      <c r="G446" s="116">
        <v>46800</v>
      </c>
      <c r="H446" s="117">
        <v>38000</v>
      </c>
      <c r="I446" s="117">
        <v>38000</v>
      </c>
      <c r="J446" s="118">
        <v>38000</v>
      </c>
    </row>
    <row r="447" spans="1:10" x14ac:dyDescent="0.2">
      <c r="A447" s="71">
        <f t="shared" si="7"/>
        <v>385</v>
      </c>
      <c r="B447" s="113"/>
      <c r="C447" s="114" t="s">
        <v>612</v>
      </c>
      <c r="D447" s="114"/>
      <c r="E447" s="115"/>
      <c r="F447" s="88" t="s">
        <v>264</v>
      </c>
      <c r="G447" s="116">
        <v>53900</v>
      </c>
      <c r="H447" s="117">
        <v>43000</v>
      </c>
      <c r="I447" s="117">
        <v>43000</v>
      </c>
      <c r="J447" s="118">
        <v>43000</v>
      </c>
    </row>
    <row r="448" spans="1:10" x14ac:dyDescent="0.2">
      <c r="A448" s="71">
        <f t="shared" si="7"/>
        <v>386</v>
      </c>
      <c r="B448" s="113"/>
      <c r="C448" s="114" t="s">
        <v>926</v>
      </c>
      <c r="D448" s="114"/>
      <c r="E448" s="115"/>
      <c r="F448" s="88" t="s">
        <v>268</v>
      </c>
      <c r="G448" s="116">
        <v>2003400</v>
      </c>
      <c r="H448" s="117">
        <v>1628000</v>
      </c>
      <c r="I448" s="117">
        <v>1628000</v>
      </c>
      <c r="J448" s="118">
        <v>1628000</v>
      </c>
    </row>
    <row r="449" spans="1:10" x14ac:dyDescent="0.2">
      <c r="A449" s="71">
        <f t="shared" si="7"/>
        <v>387</v>
      </c>
      <c r="B449" s="113"/>
      <c r="C449" s="114" t="s">
        <v>927</v>
      </c>
      <c r="D449" s="114"/>
      <c r="E449" s="115"/>
      <c r="F449" s="88" t="s">
        <v>268</v>
      </c>
      <c r="G449" s="116">
        <v>5008500</v>
      </c>
      <c r="H449" s="117">
        <v>4071000</v>
      </c>
      <c r="I449" s="117">
        <v>4071000</v>
      </c>
      <c r="J449" s="118">
        <v>4071000</v>
      </c>
    </row>
    <row r="450" spans="1:10" x14ac:dyDescent="0.2">
      <c r="A450" s="71">
        <f t="shared" si="7"/>
        <v>388</v>
      </c>
      <c r="B450" s="113"/>
      <c r="C450" s="114" t="s">
        <v>535</v>
      </c>
      <c r="D450" s="114"/>
      <c r="E450" s="115"/>
      <c r="F450" s="88" t="s">
        <v>277</v>
      </c>
      <c r="G450" s="116">
        <v>147000</v>
      </c>
      <c r="H450" s="117">
        <v>119000</v>
      </c>
      <c r="I450" s="117">
        <v>119000</v>
      </c>
      <c r="J450" s="118">
        <v>119000</v>
      </c>
    </row>
    <row r="451" spans="1:10" x14ac:dyDescent="0.2">
      <c r="A451" s="71">
        <f t="shared" si="7"/>
        <v>389</v>
      </c>
      <c r="B451" s="113"/>
      <c r="C451" s="114" t="s">
        <v>536</v>
      </c>
      <c r="D451" s="114"/>
      <c r="E451" s="115"/>
      <c r="F451" s="88" t="s">
        <v>277</v>
      </c>
      <c r="G451" s="116">
        <v>160300</v>
      </c>
      <c r="H451" s="117">
        <v>130000</v>
      </c>
      <c r="I451" s="117">
        <v>130000</v>
      </c>
      <c r="J451" s="118">
        <v>130000</v>
      </c>
    </row>
    <row r="452" spans="1:10" x14ac:dyDescent="0.2">
      <c r="A452" s="71">
        <f t="shared" si="7"/>
        <v>390</v>
      </c>
      <c r="B452" s="113"/>
      <c r="C452" s="114" t="s">
        <v>107</v>
      </c>
      <c r="D452" s="114"/>
      <c r="E452" s="115"/>
      <c r="F452" s="88" t="s">
        <v>266</v>
      </c>
      <c r="G452" s="116">
        <v>29500</v>
      </c>
      <c r="H452" s="117">
        <v>23000</v>
      </c>
      <c r="I452" s="117">
        <v>23000</v>
      </c>
      <c r="J452" s="118">
        <v>23000</v>
      </c>
    </row>
    <row r="453" spans="1:10" x14ac:dyDescent="0.2">
      <c r="A453" s="71">
        <f t="shared" si="7"/>
        <v>391</v>
      </c>
      <c r="B453" s="113"/>
      <c r="C453" s="114" t="s">
        <v>108</v>
      </c>
      <c r="D453" s="114"/>
      <c r="E453" s="115"/>
      <c r="F453" s="88" t="s">
        <v>266</v>
      </c>
      <c r="G453" s="116">
        <v>38300</v>
      </c>
      <c r="H453" s="117">
        <v>31000</v>
      </c>
      <c r="I453" s="117">
        <v>31000</v>
      </c>
      <c r="J453" s="118">
        <v>31000</v>
      </c>
    </row>
    <row r="454" spans="1:10" x14ac:dyDescent="0.2">
      <c r="A454" s="71">
        <f t="shared" si="7"/>
        <v>392</v>
      </c>
      <c r="B454" s="113"/>
      <c r="C454" s="114" t="s">
        <v>110</v>
      </c>
      <c r="D454" s="114"/>
      <c r="E454" s="115"/>
      <c r="F454" s="88" t="s">
        <v>266</v>
      </c>
      <c r="G454" s="116">
        <v>35300</v>
      </c>
      <c r="H454" s="117">
        <v>28000</v>
      </c>
      <c r="I454" s="117">
        <v>28000</v>
      </c>
      <c r="J454" s="118">
        <v>28000</v>
      </c>
    </row>
    <row r="455" spans="1:10" x14ac:dyDescent="0.2">
      <c r="A455" s="71">
        <f t="shared" si="7"/>
        <v>393</v>
      </c>
      <c r="B455" s="113"/>
      <c r="C455" s="114" t="s">
        <v>109</v>
      </c>
      <c r="D455" s="114"/>
      <c r="E455" s="115"/>
      <c r="F455" s="88" t="s">
        <v>266</v>
      </c>
      <c r="G455" s="116">
        <v>42700</v>
      </c>
      <c r="H455" s="117">
        <v>34000</v>
      </c>
      <c r="I455" s="117">
        <v>34000</v>
      </c>
      <c r="J455" s="118">
        <v>34000</v>
      </c>
    </row>
    <row r="456" spans="1:10" x14ac:dyDescent="0.2">
      <c r="A456" s="71">
        <f t="shared" si="7"/>
        <v>394</v>
      </c>
      <c r="B456" s="113"/>
      <c r="C456" s="114" t="s">
        <v>398</v>
      </c>
      <c r="D456" s="114"/>
      <c r="E456" s="115"/>
      <c r="F456" s="88" t="s">
        <v>298</v>
      </c>
      <c r="G456" s="116">
        <v>4800</v>
      </c>
      <c r="H456" s="117">
        <v>3900</v>
      </c>
      <c r="I456" s="117">
        <v>3900</v>
      </c>
      <c r="J456" s="118">
        <v>3900</v>
      </c>
    </row>
    <row r="457" spans="1:10" x14ac:dyDescent="0.2">
      <c r="A457" s="71">
        <f t="shared" si="7"/>
        <v>395</v>
      </c>
      <c r="B457" s="113"/>
      <c r="C457" s="114" t="s">
        <v>135</v>
      </c>
      <c r="D457" s="114"/>
      <c r="E457" s="115"/>
      <c r="F457" s="88" t="s">
        <v>268</v>
      </c>
      <c r="G457" s="116">
        <v>0</v>
      </c>
      <c r="H457" s="117">
        <v>0</v>
      </c>
      <c r="I457" s="117">
        <v>0</v>
      </c>
      <c r="J457" s="118">
        <v>0</v>
      </c>
    </row>
    <row r="458" spans="1:10" x14ac:dyDescent="0.2">
      <c r="A458" s="71">
        <f t="shared" si="7"/>
        <v>396</v>
      </c>
      <c r="B458" s="113"/>
      <c r="C458" s="114" t="s">
        <v>136</v>
      </c>
      <c r="D458" s="114"/>
      <c r="E458" s="115"/>
      <c r="F458" s="88" t="s">
        <v>268</v>
      </c>
      <c r="G458" s="116">
        <v>0</v>
      </c>
      <c r="H458" s="117">
        <v>0</v>
      </c>
      <c r="I458" s="117">
        <v>0</v>
      </c>
      <c r="J458" s="118">
        <v>0</v>
      </c>
    </row>
    <row r="459" spans="1:10" x14ac:dyDescent="0.2">
      <c r="A459" s="71">
        <f t="shared" si="7"/>
        <v>397</v>
      </c>
      <c r="B459" s="113"/>
      <c r="C459" s="114" t="s">
        <v>137</v>
      </c>
      <c r="D459" s="114"/>
      <c r="E459" s="115"/>
      <c r="F459" s="88" t="s">
        <v>268</v>
      </c>
      <c r="G459" s="116">
        <v>0</v>
      </c>
      <c r="H459" s="117">
        <v>0</v>
      </c>
      <c r="I459" s="117">
        <v>0</v>
      </c>
      <c r="J459" s="118">
        <v>0</v>
      </c>
    </row>
    <row r="460" spans="1:10" x14ac:dyDescent="0.2">
      <c r="A460" s="71">
        <f t="shared" si="7"/>
        <v>398</v>
      </c>
      <c r="B460" s="113"/>
      <c r="C460" s="114" t="s">
        <v>138</v>
      </c>
      <c r="D460" s="114"/>
      <c r="E460" s="115"/>
      <c r="F460" s="88" t="s">
        <v>268</v>
      </c>
      <c r="G460" s="116">
        <v>0</v>
      </c>
      <c r="H460" s="117">
        <v>0</v>
      </c>
      <c r="I460" s="117">
        <v>0</v>
      </c>
      <c r="J460" s="118">
        <v>0</v>
      </c>
    </row>
    <row r="461" spans="1:10" x14ac:dyDescent="0.2">
      <c r="A461" s="71">
        <f t="shared" si="7"/>
        <v>399</v>
      </c>
      <c r="B461" s="113"/>
      <c r="C461" s="114" t="s">
        <v>139</v>
      </c>
      <c r="D461" s="114"/>
      <c r="E461" s="115"/>
      <c r="F461" s="88" t="s">
        <v>268</v>
      </c>
      <c r="G461" s="116">
        <v>0</v>
      </c>
      <c r="H461" s="117">
        <v>0</v>
      </c>
      <c r="I461" s="117">
        <v>0</v>
      </c>
      <c r="J461" s="118">
        <v>0</v>
      </c>
    </row>
    <row r="462" spans="1:10" x14ac:dyDescent="0.2">
      <c r="A462" s="71">
        <f t="shared" si="7"/>
        <v>400</v>
      </c>
      <c r="B462" s="113"/>
      <c r="C462" s="114" t="s">
        <v>537</v>
      </c>
      <c r="D462" s="114"/>
      <c r="E462" s="115"/>
      <c r="F462" s="88" t="s">
        <v>277</v>
      </c>
      <c r="G462" s="116">
        <v>80200</v>
      </c>
      <c r="H462" s="117">
        <v>65000</v>
      </c>
      <c r="I462" s="117">
        <v>65000</v>
      </c>
      <c r="J462" s="118">
        <v>65000</v>
      </c>
    </row>
    <row r="463" spans="1:10" x14ac:dyDescent="0.2">
      <c r="A463" s="71">
        <f t="shared" si="7"/>
        <v>401</v>
      </c>
      <c r="B463" s="113"/>
      <c r="C463" s="114" t="s">
        <v>538</v>
      </c>
      <c r="D463" s="114"/>
      <c r="E463" s="115"/>
      <c r="F463" s="88" t="s">
        <v>277</v>
      </c>
      <c r="G463" s="116">
        <v>73500</v>
      </c>
      <c r="H463" s="117">
        <v>59000</v>
      </c>
      <c r="I463" s="117">
        <v>59000</v>
      </c>
      <c r="J463" s="118">
        <v>59000</v>
      </c>
    </row>
    <row r="464" spans="1:10" x14ac:dyDescent="0.2">
      <c r="A464" s="71">
        <f t="shared" si="7"/>
        <v>402</v>
      </c>
      <c r="B464" s="113"/>
      <c r="C464" s="114" t="s">
        <v>539</v>
      </c>
      <c r="D464" s="114"/>
      <c r="E464" s="115"/>
      <c r="F464" s="88" t="s">
        <v>277</v>
      </c>
      <c r="G464" s="116">
        <v>93500</v>
      </c>
      <c r="H464" s="117">
        <v>76000</v>
      </c>
      <c r="I464" s="117">
        <v>76000</v>
      </c>
      <c r="J464" s="118">
        <v>76000</v>
      </c>
    </row>
    <row r="465" spans="1:10" x14ac:dyDescent="0.2">
      <c r="A465" s="71">
        <f t="shared" si="7"/>
        <v>403</v>
      </c>
      <c r="B465" s="113"/>
      <c r="C465" s="114" t="s">
        <v>540</v>
      </c>
      <c r="D465" s="114"/>
      <c r="E465" s="115"/>
      <c r="F465" s="88" t="s">
        <v>277</v>
      </c>
      <c r="G465" s="116">
        <v>86900</v>
      </c>
      <c r="H465" s="117">
        <v>70000</v>
      </c>
      <c r="I465" s="117">
        <v>70000</v>
      </c>
      <c r="J465" s="118">
        <v>70000</v>
      </c>
    </row>
    <row r="466" spans="1:10" x14ac:dyDescent="0.2">
      <c r="A466" s="71">
        <f t="shared" si="7"/>
        <v>404</v>
      </c>
      <c r="B466" s="113"/>
      <c r="C466" s="114" t="s">
        <v>453</v>
      </c>
      <c r="D466" s="114"/>
      <c r="E466" s="115"/>
      <c r="F466" s="88" t="s">
        <v>268</v>
      </c>
      <c r="G466" s="116">
        <v>2337300</v>
      </c>
      <c r="H466" s="117">
        <v>1900000</v>
      </c>
      <c r="I466" s="117">
        <v>1900000</v>
      </c>
      <c r="J466" s="118">
        <v>1900000</v>
      </c>
    </row>
    <row r="467" spans="1:10" x14ac:dyDescent="0.2">
      <c r="A467" s="71">
        <f t="shared" si="7"/>
        <v>405</v>
      </c>
      <c r="B467" s="113"/>
      <c r="C467" s="114" t="s">
        <v>764</v>
      </c>
      <c r="D467" s="114"/>
      <c r="E467" s="115"/>
      <c r="F467" s="88" t="s">
        <v>392</v>
      </c>
      <c r="G467" s="116">
        <v>200400</v>
      </c>
      <c r="H467" s="117">
        <v>162000</v>
      </c>
      <c r="I467" s="117">
        <v>162000</v>
      </c>
      <c r="J467" s="118">
        <v>162000</v>
      </c>
    </row>
    <row r="468" spans="1:10" x14ac:dyDescent="0.2">
      <c r="A468" s="71">
        <f t="shared" si="7"/>
        <v>406</v>
      </c>
      <c r="B468" s="113"/>
      <c r="C468" s="114" t="s">
        <v>541</v>
      </c>
      <c r="D468" s="114"/>
      <c r="E468" s="115"/>
      <c r="F468" s="88" t="s">
        <v>247</v>
      </c>
      <c r="G468" s="116">
        <v>66800</v>
      </c>
      <c r="H468" s="117">
        <v>54000</v>
      </c>
      <c r="I468" s="117">
        <v>54000</v>
      </c>
      <c r="J468" s="118">
        <v>54000</v>
      </c>
    </row>
    <row r="469" spans="1:10" x14ac:dyDescent="0.2">
      <c r="A469" s="89">
        <f>SUM(A468+1)</f>
        <v>407</v>
      </c>
      <c r="B469" s="113"/>
      <c r="C469" s="114" t="s">
        <v>176</v>
      </c>
      <c r="D469" s="114"/>
      <c r="E469" s="115"/>
      <c r="F469" s="88" t="s">
        <v>275</v>
      </c>
      <c r="G469" s="116">
        <v>801400</v>
      </c>
      <c r="H469" s="117">
        <v>651000</v>
      </c>
      <c r="I469" s="117">
        <v>651000</v>
      </c>
      <c r="J469" s="118">
        <v>651000</v>
      </c>
    </row>
    <row r="470" spans="1:10" x14ac:dyDescent="0.2">
      <c r="A470" s="71">
        <f>SUM(A469+1)</f>
        <v>408</v>
      </c>
      <c r="B470" s="113"/>
      <c r="C470" s="114" t="s">
        <v>780</v>
      </c>
      <c r="D470" s="114"/>
      <c r="E470" s="115"/>
      <c r="F470" s="88" t="s">
        <v>275</v>
      </c>
      <c r="G470" s="116">
        <v>534300</v>
      </c>
      <c r="H470" s="117">
        <v>434000</v>
      </c>
      <c r="I470" s="117">
        <v>434000</v>
      </c>
      <c r="J470" s="118">
        <v>434000</v>
      </c>
    </row>
    <row r="471" spans="1:10" x14ac:dyDescent="0.2">
      <c r="A471" s="71">
        <f>SUM(A470+1)</f>
        <v>409</v>
      </c>
      <c r="B471" s="113"/>
      <c r="C471" s="114" t="s">
        <v>439</v>
      </c>
      <c r="D471" s="114"/>
      <c r="E471" s="115"/>
      <c r="F471" s="88" t="s">
        <v>1163</v>
      </c>
      <c r="G471" s="116">
        <v>133600</v>
      </c>
      <c r="H471" s="117">
        <v>108000</v>
      </c>
      <c r="I471" s="117">
        <v>108000</v>
      </c>
      <c r="J471" s="118">
        <v>108000</v>
      </c>
    </row>
    <row r="472" spans="1:10" x14ac:dyDescent="0.2">
      <c r="A472" s="148"/>
      <c r="B472" s="149"/>
      <c r="C472" s="150"/>
      <c r="D472" s="150"/>
      <c r="E472" s="151"/>
      <c r="F472" s="152"/>
      <c r="G472" s="153"/>
      <c r="H472" s="154"/>
      <c r="I472" s="154"/>
      <c r="J472" s="155"/>
    </row>
    <row r="473" spans="1:10" x14ac:dyDescent="0.2">
      <c r="A473" s="83"/>
      <c r="B473" s="84"/>
      <c r="C473" s="123" t="s">
        <v>140</v>
      </c>
      <c r="D473" s="123"/>
      <c r="E473" s="156"/>
      <c r="F473" s="157"/>
      <c r="G473" s="158"/>
      <c r="H473" s="127"/>
      <c r="I473" s="127"/>
      <c r="J473" s="159"/>
    </row>
    <row r="474" spans="1:10" x14ac:dyDescent="0.2">
      <c r="A474" s="83"/>
      <c r="B474" s="84"/>
      <c r="C474" s="123" t="s">
        <v>141</v>
      </c>
      <c r="D474" s="77"/>
      <c r="E474" s="85"/>
      <c r="F474" s="157"/>
      <c r="G474" s="158"/>
      <c r="H474" s="127"/>
      <c r="I474" s="127"/>
      <c r="J474" s="159"/>
    </row>
    <row r="475" spans="1:10" x14ac:dyDescent="0.2">
      <c r="A475" s="83">
        <v>1</v>
      </c>
      <c r="B475" s="84"/>
      <c r="C475" s="77" t="s">
        <v>142</v>
      </c>
      <c r="D475" s="77"/>
      <c r="E475" s="85"/>
      <c r="F475" s="157" t="s">
        <v>275</v>
      </c>
      <c r="G475" s="158">
        <v>1142000</v>
      </c>
      <c r="H475" s="127">
        <v>928000</v>
      </c>
      <c r="I475" s="127">
        <v>928000</v>
      </c>
      <c r="J475" s="159">
        <v>928000</v>
      </c>
    </row>
    <row r="476" spans="1:10" x14ac:dyDescent="0.2">
      <c r="A476" s="71">
        <f t="shared" ref="A476:A485" si="8">SUM(A475+1)</f>
        <v>2</v>
      </c>
      <c r="B476" s="113"/>
      <c r="C476" s="114" t="s">
        <v>143</v>
      </c>
      <c r="D476" s="114"/>
      <c r="E476" s="115"/>
      <c r="F476" s="88" t="s">
        <v>275</v>
      </c>
      <c r="G476" s="116">
        <v>1469200</v>
      </c>
      <c r="H476" s="117">
        <v>1194000</v>
      </c>
      <c r="I476" s="117">
        <v>1194000</v>
      </c>
      <c r="J476" s="118">
        <v>1194000</v>
      </c>
    </row>
    <row r="477" spans="1:10" x14ac:dyDescent="0.2">
      <c r="A477" s="71">
        <f t="shared" si="8"/>
        <v>3</v>
      </c>
      <c r="B477" s="113"/>
      <c r="C477" s="114" t="s">
        <v>144</v>
      </c>
      <c r="D477" s="114"/>
      <c r="E477" s="115"/>
      <c r="F477" s="88" t="s">
        <v>275</v>
      </c>
      <c r="G477" s="116">
        <v>1869900</v>
      </c>
      <c r="H477" s="117">
        <v>1520000</v>
      </c>
      <c r="I477" s="117">
        <v>1520000</v>
      </c>
      <c r="J477" s="118">
        <v>1520000</v>
      </c>
    </row>
    <row r="478" spans="1:10" x14ac:dyDescent="0.2">
      <c r="A478" s="71">
        <f t="shared" si="8"/>
        <v>4</v>
      </c>
      <c r="B478" s="113"/>
      <c r="C478" s="114" t="s">
        <v>145</v>
      </c>
      <c r="D478" s="114"/>
      <c r="E478" s="115"/>
      <c r="F478" s="88" t="s">
        <v>275</v>
      </c>
      <c r="G478" s="116">
        <v>3339000</v>
      </c>
      <c r="H478" s="117">
        <v>2714000</v>
      </c>
      <c r="I478" s="117">
        <v>2714000</v>
      </c>
      <c r="J478" s="118">
        <v>2714000</v>
      </c>
    </row>
    <row r="479" spans="1:10" x14ac:dyDescent="0.2">
      <c r="A479" s="71">
        <f t="shared" si="8"/>
        <v>5</v>
      </c>
      <c r="B479" s="113"/>
      <c r="C479" s="114" t="s">
        <v>146</v>
      </c>
      <c r="D479" s="114"/>
      <c r="E479" s="115"/>
      <c r="F479" s="88" t="s">
        <v>275</v>
      </c>
      <c r="G479" s="116">
        <v>4407500</v>
      </c>
      <c r="H479" s="117">
        <v>3583000</v>
      </c>
      <c r="I479" s="117">
        <v>3583000</v>
      </c>
      <c r="J479" s="118">
        <v>3583000</v>
      </c>
    </row>
    <row r="480" spans="1:10" x14ac:dyDescent="0.2">
      <c r="A480" s="71">
        <f t="shared" si="8"/>
        <v>6</v>
      </c>
      <c r="B480" s="113"/>
      <c r="C480" s="114" t="s">
        <v>147</v>
      </c>
      <c r="D480" s="114"/>
      <c r="E480" s="115"/>
      <c r="F480" s="88" t="s">
        <v>275</v>
      </c>
      <c r="G480" s="116">
        <v>6678000</v>
      </c>
      <c r="H480" s="117">
        <v>5429000</v>
      </c>
      <c r="I480" s="117">
        <v>5429000</v>
      </c>
      <c r="J480" s="118">
        <v>5429000</v>
      </c>
    </row>
    <row r="481" spans="1:10" x14ac:dyDescent="0.2">
      <c r="A481" s="71">
        <f t="shared" si="8"/>
        <v>7</v>
      </c>
      <c r="B481" s="113"/>
      <c r="C481" s="114" t="s">
        <v>148</v>
      </c>
      <c r="D481" s="114"/>
      <c r="E481" s="115"/>
      <c r="F481" s="88" t="s">
        <v>275</v>
      </c>
      <c r="G481" s="116">
        <v>8013600</v>
      </c>
      <c r="H481" s="117">
        <v>6515000</v>
      </c>
      <c r="I481" s="117">
        <v>6515000</v>
      </c>
      <c r="J481" s="118">
        <v>6515000</v>
      </c>
    </row>
    <row r="482" spans="1:10" x14ac:dyDescent="0.2">
      <c r="A482" s="71">
        <f t="shared" si="8"/>
        <v>8</v>
      </c>
      <c r="B482" s="113"/>
      <c r="C482" s="114" t="s">
        <v>149</v>
      </c>
      <c r="D482" s="114"/>
      <c r="E482" s="115"/>
      <c r="F482" s="88" t="s">
        <v>275</v>
      </c>
      <c r="G482" s="116">
        <v>11352600</v>
      </c>
      <c r="H482" s="117">
        <v>9229000</v>
      </c>
      <c r="I482" s="117">
        <v>9229000</v>
      </c>
      <c r="J482" s="118">
        <v>9229000</v>
      </c>
    </row>
    <row r="483" spans="1:10" x14ac:dyDescent="0.2">
      <c r="A483" s="71">
        <f t="shared" si="8"/>
        <v>9</v>
      </c>
      <c r="B483" s="113"/>
      <c r="C483" s="114" t="s">
        <v>150</v>
      </c>
      <c r="D483" s="114"/>
      <c r="E483" s="115"/>
      <c r="F483" s="88" t="s">
        <v>275</v>
      </c>
      <c r="G483" s="116">
        <v>12020400</v>
      </c>
      <c r="H483" s="117">
        <v>9772000</v>
      </c>
      <c r="I483" s="117">
        <v>9772000</v>
      </c>
      <c r="J483" s="118">
        <v>9772000</v>
      </c>
    </row>
    <row r="484" spans="1:10" x14ac:dyDescent="0.2">
      <c r="A484" s="71">
        <f t="shared" si="8"/>
        <v>10</v>
      </c>
      <c r="B484" s="113"/>
      <c r="C484" s="114" t="s">
        <v>151</v>
      </c>
      <c r="D484" s="114"/>
      <c r="E484" s="115"/>
      <c r="F484" s="88" t="s">
        <v>275</v>
      </c>
      <c r="G484" s="116">
        <v>13356000</v>
      </c>
      <c r="H484" s="117">
        <v>10858000</v>
      </c>
      <c r="I484" s="117">
        <v>10858000</v>
      </c>
      <c r="J484" s="118">
        <v>10858000</v>
      </c>
    </row>
    <row r="485" spans="1:10" x14ac:dyDescent="0.2">
      <c r="A485" s="71">
        <f t="shared" si="8"/>
        <v>11</v>
      </c>
      <c r="B485" s="113"/>
      <c r="C485" s="114" t="s">
        <v>152</v>
      </c>
      <c r="D485" s="114"/>
      <c r="E485" s="115"/>
      <c r="F485" s="88" t="s">
        <v>275</v>
      </c>
      <c r="G485" s="116">
        <v>16027200</v>
      </c>
      <c r="H485" s="117">
        <v>13030000</v>
      </c>
      <c r="I485" s="117">
        <v>13030000</v>
      </c>
      <c r="J485" s="118">
        <v>13030000</v>
      </c>
    </row>
    <row r="486" spans="1:10" x14ac:dyDescent="0.2">
      <c r="A486" s="83"/>
      <c r="B486" s="149"/>
      <c r="C486" s="150"/>
      <c r="D486" s="150"/>
      <c r="E486" s="151"/>
      <c r="F486" s="152"/>
      <c r="G486" s="153"/>
      <c r="H486" s="160"/>
      <c r="I486" s="160"/>
      <c r="J486" s="161"/>
    </row>
    <row r="487" spans="1:10" x14ac:dyDescent="0.2">
      <c r="A487" s="83"/>
      <c r="B487" s="84"/>
      <c r="C487" s="123" t="s">
        <v>964</v>
      </c>
      <c r="D487" s="77"/>
      <c r="E487" s="85"/>
      <c r="F487" s="157"/>
      <c r="G487" s="158"/>
      <c r="H487" s="1"/>
      <c r="I487" s="1"/>
      <c r="J487" s="124"/>
    </row>
    <row r="488" spans="1:10" x14ac:dyDescent="0.2">
      <c r="A488" s="125">
        <v>1</v>
      </c>
      <c r="B488" s="65"/>
      <c r="C488" s="66" t="s">
        <v>965</v>
      </c>
      <c r="D488" s="66"/>
      <c r="E488" s="67"/>
      <c r="F488" s="87" t="s">
        <v>266</v>
      </c>
      <c r="G488" s="126">
        <v>2337300</v>
      </c>
      <c r="H488" s="111">
        <v>1900000</v>
      </c>
      <c r="I488" s="111">
        <v>1900000</v>
      </c>
      <c r="J488" s="112">
        <v>1900000</v>
      </c>
    </row>
    <row r="489" spans="1:10" x14ac:dyDescent="0.2">
      <c r="A489" s="71">
        <f t="shared" ref="A489:A528" si="9">SUM(A488+1)</f>
        <v>2</v>
      </c>
      <c r="B489" s="113"/>
      <c r="C489" s="114" t="s">
        <v>966</v>
      </c>
      <c r="D489" s="114"/>
      <c r="E489" s="115"/>
      <c r="F489" s="88" t="s">
        <v>247</v>
      </c>
      <c r="G489" s="116">
        <v>2003400</v>
      </c>
      <c r="H489" s="117">
        <v>1628000</v>
      </c>
      <c r="I489" s="117">
        <v>1628000</v>
      </c>
      <c r="J489" s="118">
        <v>1628000</v>
      </c>
    </row>
    <row r="490" spans="1:10" x14ac:dyDescent="0.2">
      <c r="A490" s="71">
        <f t="shared" si="9"/>
        <v>3</v>
      </c>
      <c r="B490" s="113"/>
      <c r="C490" s="114" t="s">
        <v>1288</v>
      </c>
      <c r="D490" s="114"/>
      <c r="E490" s="115"/>
      <c r="F490" s="88" t="s">
        <v>247</v>
      </c>
      <c r="G490" s="116">
        <v>1024000</v>
      </c>
      <c r="H490" s="117">
        <v>832000</v>
      </c>
      <c r="I490" s="117">
        <v>832000</v>
      </c>
      <c r="J490" s="118">
        <v>832000</v>
      </c>
    </row>
    <row r="491" spans="1:10" x14ac:dyDescent="0.2">
      <c r="A491" s="71">
        <f t="shared" si="9"/>
        <v>4</v>
      </c>
      <c r="B491" s="113"/>
      <c r="C491" s="114" t="s">
        <v>967</v>
      </c>
      <c r="D491" s="114"/>
      <c r="E491" s="115"/>
      <c r="F491" s="88" t="s">
        <v>247</v>
      </c>
      <c r="G491" s="116">
        <v>2671200</v>
      </c>
      <c r="H491" s="117">
        <v>2171000</v>
      </c>
      <c r="I491" s="117">
        <v>2171000</v>
      </c>
      <c r="J491" s="118">
        <v>2171000</v>
      </c>
    </row>
    <row r="492" spans="1:10" x14ac:dyDescent="0.2">
      <c r="A492" s="71">
        <f t="shared" si="9"/>
        <v>5</v>
      </c>
      <c r="B492" s="113"/>
      <c r="C492" s="114" t="s">
        <v>968</v>
      </c>
      <c r="D492" s="114"/>
      <c r="E492" s="115"/>
      <c r="F492" s="88" t="s">
        <v>276</v>
      </c>
      <c r="G492" s="116">
        <v>467500</v>
      </c>
      <c r="H492" s="117">
        <v>380000</v>
      </c>
      <c r="I492" s="117">
        <v>380000</v>
      </c>
      <c r="J492" s="118">
        <v>380000</v>
      </c>
    </row>
    <row r="493" spans="1:10" x14ac:dyDescent="0.2">
      <c r="A493" s="71">
        <f t="shared" si="9"/>
        <v>6</v>
      </c>
      <c r="B493" s="113"/>
      <c r="C493" s="114" t="s">
        <v>1289</v>
      </c>
      <c r="D493" s="114"/>
      <c r="E493" s="115"/>
      <c r="F493" s="88" t="s">
        <v>247</v>
      </c>
      <c r="G493" s="116">
        <v>144000</v>
      </c>
      <c r="H493" s="117">
        <v>117000</v>
      </c>
      <c r="I493" s="117">
        <v>117000</v>
      </c>
      <c r="J493" s="118">
        <v>117000</v>
      </c>
    </row>
    <row r="494" spans="1:10" x14ac:dyDescent="0.2">
      <c r="A494" s="71">
        <f t="shared" si="9"/>
        <v>7</v>
      </c>
      <c r="B494" s="113"/>
      <c r="C494" s="114" t="s">
        <v>969</v>
      </c>
      <c r="D494" s="114"/>
      <c r="E494" s="115"/>
      <c r="F494" s="88" t="s">
        <v>268</v>
      </c>
      <c r="G494" s="116">
        <v>333900</v>
      </c>
      <c r="H494" s="117">
        <v>271000</v>
      </c>
      <c r="I494" s="117">
        <v>271000</v>
      </c>
      <c r="J494" s="118">
        <v>271000</v>
      </c>
    </row>
    <row r="495" spans="1:10" x14ac:dyDescent="0.2">
      <c r="A495" s="71">
        <f t="shared" si="9"/>
        <v>8</v>
      </c>
      <c r="B495" s="113"/>
      <c r="C495" s="114" t="s">
        <v>969</v>
      </c>
      <c r="D495" s="114"/>
      <c r="E495" s="115"/>
      <c r="F495" s="88" t="s">
        <v>268</v>
      </c>
      <c r="G495" s="116">
        <v>133600</v>
      </c>
      <c r="H495" s="117">
        <v>108000</v>
      </c>
      <c r="I495" s="117">
        <v>108000</v>
      </c>
      <c r="J495" s="118">
        <v>108000</v>
      </c>
    </row>
    <row r="496" spans="1:10" x14ac:dyDescent="0.2">
      <c r="A496" s="71">
        <f t="shared" si="9"/>
        <v>9</v>
      </c>
      <c r="B496" s="113"/>
      <c r="C496" s="114" t="s">
        <v>970</v>
      </c>
      <c r="D496" s="114"/>
      <c r="E496" s="115"/>
      <c r="F496" s="88" t="s">
        <v>268</v>
      </c>
      <c r="G496" s="116">
        <v>1335600</v>
      </c>
      <c r="H496" s="117">
        <v>1085000</v>
      </c>
      <c r="I496" s="117">
        <v>1085000</v>
      </c>
      <c r="J496" s="118">
        <v>1085000</v>
      </c>
    </row>
    <row r="497" spans="1:10" x14ac:dyDescent="0.2">
      <c r="A497" s="71">
        <f t="shared" si="9"/>
        <v>10</v>
      </c>
      <c r="B497" s="113"/>
      <c r="C497" s="114" t="s">
        <v>971</v>
      </c>
      <c r="D497" s="114"/>
      <c r="E497" s="115"/>
      <c r="F497" s="88" t="s">
        <v>268</v>
      </c>
      <c r="G497" s="116">
        <v>1001700</v>
      </c>
      <c r="H497" s="117">
        <v>814000</v>
      </c>
      <c r="I497" s="117">
        <v>814000</v>
      </c>
      <c r="J497" s="118">
        <v>814000</v>
      </c>
    </row>
    <row r="498" spans="1:10" x14ac:dyDescent="0.2">
      <c r="A498" s="71">
        <f t="shared" si="9"/>
        <v>11</v>
      </c>
      <c r="B498" s="113"/>
      <c r="C498" s="114" t="s">
        <v>972</v>
      </c>
      <c r="D498" s="114"/>
      <c r="E498" s="115"/>
      <c r="F498" s="88" t="s">
        <v>268</v>
      </c>
      <c r="G498" s="116">
        <v>9500</v>
      </c>
      <c r="H498" s="117">
        <v>7700</v>
      </c>
      <c r="I498" s="117">
        <v>7700</v>
      </c>
      <c r="J498" s="118">
        <v>7700</v>
      </c>
    </row>
    <row r="499" spans="1:10" x14ac:dyDescent="0.2">
      <c r="A499" s="71">
        <f t="shared" si="9"/>
        <v>12</v>
      </c>
      <c r="B499" s="113"/>
      <c r="C499" s="114" t="s">
        <v>973</v>
      </c>
      <c r="D499" s="114"/>
      <c r="E499" s="115"/>
      <c r="F499" s="88" t="s">
        <v>268</v>
      </c>
      <c r="G499" s="116">
        <v>267200</v>
      </c>
      <c r="H499" s="117">
        <v>217200</v>
      </c>
      <c r="I499" s="117">
        <v>217200</v>
      </c>
      <c r="J499" s="118">
        <v>217200</v>
      </c>
    </row>
    <row r="500" spans="1:10" x14ac:dyDescent="0.2">
      <c r="A500" s="71">
        <f t="shared" si="9"/>
        <v>13</v>
      </c>
      <c r="B500" s="113"/>
      <c r="C500" s="114" t="s">
        <v>974</v>
      </c>
      <c r="D500" s="114"/>
      <c r="E500" s="115"/>
      <c r="F500" s="88" t="s">
        <v>268</v>
      </c>
      <c r="G500" s="116">
        <v>133600</v>
      </c>
      <c r="H500" s="117">
        <v>108600</v>
      </c>
      <c r="I500" s="117">
        <v>108600</v>
      </c>
      <c r="J500" s="118">
        <v>108600</v>
      </c>
    </row>
    <row r="501" spans="1:10" x14ac:dyDescent="0.2">
      <c r="A501" s="71">
        <f t="shared" si="9"/>
        <v>14</v>
      </c>
      <c r="B501" s="113"/>
      <c r="C501" s="114" t="s">
        <v>975</v>
      </c>
      <c r="D501" s="114"/>
      <c r="E501" s="115"/>
      <c r="F501" s="88" t="s">
        <v>268</v>
      </c>
      <c r="G501" s="116">
        <v>1335600</v>
      </c>
      <c r="H501" s="117">
        <v>1085800</v>
      </c>
      <c r="I501" s="117">
        <v>1085800</v>
      </c>
      <c r="J501" s="118">
        <v>1085800</v>
      </c>
    </row>
    <row r="502" spans="1:10" x14ac:dyDescent="0.2">
      <c r="A502" s="71">
        <f t="shared" si="9"/>
        <v>15</v>
      </c>
      <c r="B502" s="113"/>
      <c r="C502" s="114" t="s">
        <v>976</v>
      </c>
      <c r="D502" s="114"/>
      <c r="E502" s="115"/>
      <c r="F502" s="88" t="s">
        <v>247</v>
      </c>
      <c r="G502" s="116">
        <v>200400</v>
      </c>
      <c r="H502" s="117">
        <v>162900</v>
      </c>
      <c r="I502" s="117">
        <v>162900</v>
      </c>
      <c r="J502" s="118">
        <v>162900</v>
      </c>
    </row>
    <row r="503" spans="1:10" x14ac:dyDescent="0.2">
      <c r="A503" s="71">
        <f t="shared" si="9"/>
        <v>16</v>
      </c>
      <c r="B503" s="113"/>
      <c r="C503" s="114" t="s">
        <v>977</v>
      </c>
      <c r="D503" s="114"/>
      <c r="E503" s="115"/>
      <c r="F503" s="88" t="s">
        <v>276</v>
      </c>
      <c r="G503" s="116">
        <v>734600</v>
      </c>
      <c r="H503" s="117">
        <v>597200</v>
      </c>
      <c r="I503" s="117">
        <v>597200</v>
      </c>
      <c r="J503" s="118">
        <v>597200</v>
      </c>
    </row>
    <row r="504" spans="1:10" x14ac:dyDescent="0.2">
      <c r="A504" s="71">
        <f t="shared" si="9"/>
        <v>17</v>
      </c>
      <c r="B504" s="113"/>
      <c r="C504" s="114" t="s">
        <v>978</v>
      </c>
      <c r="D504" s="114"/>
      <c r="E504" s="115"/>
      <c r="F504" s="88" t="s">
        <v>276</v>
      </c>
      <c r="G504" s="116">
        <v>801400</v>
      </c>
      <c r="H504" s="117">
        <v>651500</v>
      </c>
      <c r="I504" s="117">
        <v>651500</v>
      </c>
      <c r="J504" s="118">
        <v>651500</v>
      </c>
    </row>
    <row r="505" spans="1:10" x14ac:dyDescent="0.2">
      <c r="A505" s="71">
        <f t="shared" si="9"/>
        <v>18</v>
      </c>
      <c r="B505" s="113"/>
      <c r="C505" s="114" t="s">
        <v>979</v>
      </c>
      <c r="D505" s="114"/>
      <c r="E505" s="115"/>
      <c r="F505" s="88" t="s">
        <v>277</v>
      </c>
      <c r="G505" s="116">
        <v>1536000</v>
      </c>
      <c r="H505" s="117">
        <v>1248700</v>
      </c>
      <c r="I505" s="117">
        <v>1248700</v>
      </c>
      <c r="J505" s="118">
        <v>1248700</v>
      </c>
    </row>
    <row r="506" spans="1:10" x14ac:dyDescent="0.2">
      <c r="A506" s="71">
        <f t="shared" si="9"/>
        <v>19</v>
      </c>
      <c r="B506" s="113"/>
      <c r="C506" s="114" t="s">
        <v>980</v>
      </c>
      <c r="D506" s="114"/>
      <c r="E506" s="115"/>
      <c r="F506" s="88" t="s">
        <v>268</v>
      </c>
      <c r="G506" s="116">
        <v>467500</v>
      </c>
      <c r="H506" s="117">
        <v>380000</v>
      </c>
      <c r="I506" s="117">
        <v>380000</v>
      </c>
      <c r="J506" s="118">
        <v>380000</v>
      </c>
    </row>
    <row r="507" spans="1:10" x14ac:dyDescent="0.2">
      <c r="A507" s="71">
        <f t="shared" si="9"/>
        <v>20</v>
      </c>
      <c r="B507" s="113"/>
      <c r="C507" s="114" t="s">
        <v>981</v>
      </c>
      <c r="D507" s="114"/>
      <c r="E507" s="115"/>
      <c r="F507" s="88" t="s">
        <v>268</v>
      </c>
      <c r="G507" s="116">
        <v>129700</v>
      </c>
      <c r="H507" s="117">
        <v>105400</v>
      </c>
      <c r="I507" s="117">
        <v>105400</v>
      </c>
      <c r="J507" s="118">
        <v>105400</v>
      </c>
    </row>
    <row r="508" spans="1:10" x14ac:dyDescent="0.2">
      <c r="A508" s="71">
        <f t="shared" si="9"/>
        <v>21</v>
      </c>
      <c r="B508" s="113"/>
      <c r="C508" s="114" t="s">
        <v>982</v>
      </c>
      <c r="D508" s="114"/>
      <c r="E508" s="115"/>
      <c r="F508" s="88" t="s">
        <v>268</v>
      </c>
      <c r="G508" s="116">
        <v>4100</v>
      </c>
      <c r="H508" s="117">
        <v>3300</v>
      </c>
      <c r="I508" s="117">
        <v>3300</v>
      </c>
      <c r="J508" s="118">
        <v>3300</v>
      </c>
    </row>
    <row r="509" spans="1:10" x14ac:dyDescent="0.2">
      <c r="A509" s="71">
        <f t="shared" si="9"/>
        <v>22</v>
      </c>
      <c r="B509" s="113"/>
      <c r="C509" s="114" t="s">
        <v>983</v>
      </c>
      <c r="D509" s="114"/>
      <c r="E509" s="115"/>
      <c r="F509" s="88" t="s">
        <v>268</v>
      </c>
      <c r="G509" s="116">
        <v>4100</v>
      </c>
      <c r="H509" s="117">
        <v>3300</v>
      </c>
      <c r="I509" s="117">
        <v>3300</v>
      </c>
      <c r="J509" s="118">
        <v>3300</v>
      </c>
    </row>
    <row r="510" spans="1:10" x14ac:dyDescent="0.2">
      <c r="A510" s="71">
        <f t="shared" si="9"/>
        <v>23</v>
      </c>
      <c r="B510" s="113"/>
      <c r="C510" s="114" t="s">
        <v>984</v>
      </c>
      <c r="D510" s="114"/>
      <c r="E510" s="115"/>
      <c r="F510" s="88" t="s">
        <v>268</v>
      </c>
      <c r="G510" s="116">
        <v>333900</v>
      </c>
      <c r="H510" s="117">
        <v>271400</v>
      </c>
      <c r="I510" s="117">
        <v>271400</v>
      </c>
      <c r="J510" s="118">
        <v>271400</v>
      </c>
    </row>
    <row r="511" spans="1:10" x14ac:dyDescent="0.2">
      <c r="A511" s="71">
        <f t="shared" si="9"/>
        <v>24</v>
      </c>
      <c r="B511" s="113"/>
      <c r="C511" s="114" t="s">
        <v>985</v>
      </c>
      <c r="D511" s="114"/>
      <c r="E511" s="115"/>
      <c r="F511" s="88" t="s">
        <v>268</v>
      </c>
      <c r="G511" s="116">
        <v>267200</v>
      </c>
      <c r="H511" s="117">
        <v>217200</v>
      </c>
      <c r="I511" s="117">
        <v>217200</v>
      </c>
      <c r="J511" s="118">
        <v>217200</v>
      </c>
    </row>
    <row r="512" spans="1:10" x14ac:dyDescent="0.2">
      <c r="A512" s="71">
        <f t="shared" si="9"/>
        <v>25</v>
      </c>
      <c r="B512" s="113"/>
      <c r="C512" s="114" t="s">
        <v>986</v>
      </c>
      <c r="D512" s="114"/>
      <c r="E512" s="115"/>
      <c r="F512" s="88" t="s">
        <v>268</v>
      </c>
      <c r="G512" s="116">
        <v>6700</v>
      </c>
      <c r="H512" s="117">
        <v>5400</v>
      </c>
      <c r="I512" s="117">
        <v>5400</v>
      </c>
      <c r="J512" s="118">
        <v>5400</v>
      </c>
    </row>
    <row r="513" spans="1:10" x14ac:dyDescent="0.2">
      <c r="A513" s="71">
        <f t="shared" si="9"/>
        <v>26</v>
      </c>
      <c r="B513" s="113"/>
      <c r="C513" s="114" t="s">
        <v>987</v>
      </c>
      <c r="D513" s="114"/>
      <c r="E513" s="115"/>
      <c r="F513" s="88" t="s">
        <v>268</v>
      </c>
      <c r="G513" s="116">
        <v>6700</v>
      </c>
      <c r="H513" s="117">
        <v>5400</v>
      </c>
      <c r="I513" s="117">
        <v>5400</v>
      </c>
      <c r="J513" s="118">
        <v>5400</v>
      </c>
    </row>
    <row r="514" spans="1:10" x14ac:dyDescent="0.2">
      <c r="A514" s="71">
        <f t="shared" si="9"/>
        <v>27</v>
      </c>
      <c r="B514" s="113"/>
      <c r="C514" s="114" t="s">
        <v>988</v>
      </c>
      <c r="D514" s="114"/>
      <c r="E514" s="115"/>
      <c r="F514" s="88" t="s">
        <v>276</v>
      </c>
      <c r="G514" s="116">
        <v>1936700</v>
      </c>
      <c r="H514" s="117">
        <v>1574500</v>
      </c>
      <c r="I514" s="117">
        <v>1574500</v>
      </c>
      <c r="J514" s="118">
        <v>1574500</v>
      </c>
    </row>
    <row r="515" spans="1:10" x14ac:dyDescent="0.2">
      <c r="A515" s="71">
        <f t="shared" si="9"/>
        <v>28</v>
      </c>
      <c r="B515" s="113"/>
      <c r="C515" s="114" t="s">
        <v>989</v>
      </c>
      <c r="D515" s="114"/>
      <c r="E515" s="115"/>
      <c r="F515" s="88" t="s">
        <v>277</v>
      </c>
      <c r="G515" s="116">
        <v>1803100</v>
      </c>
      <c r="H515" s="117">
        <v>1465900</v>
      </c>
      <c r="I515" s="117">
        <v>1465900</v>
      </c>
      <c r="J515" s="118">
        <v>1465900</v>
      </c>
    </row>
    <row r="516" spans="1:10" x14ac:dyDescent="0.2">
      <c r="A516" s="71">
        <f t="shared" si="9"/>
        <v>29</v>
      </c>
      <c r="B516" s="113"/>
      <c r="C516" s="114" t="s">
        <v>990</v>
      </c>
      <c r="D516" s="114"/>
      <c r="E516" s="115"/>
      <c r="F516" s="88" t="s">
        <v>268</v>
      </c>
      <c r="G516" s="116">
        <v>6700</v>
      </c>
      <c r="H516" s="117">
        <v>5400</v>
      </c>
      <c r="I516" s="117">
        <v>5400</v>
      </c>
      <c r="J516" s="118">
        <v>5400</v>
      </c>
    </row>
    <row r="517" spans="1:10" x14ac:dyDescent="0.2">
      <c r="A517" s="71">
        <f t="shared" si="9"/>
        <v>30</v>
      </c>
      <c r="B517" s="113"/>
      <c r="C517" s="114" t="s">
        <v>991</v>
      </c>
      <c r="D517" s="114"/>
      <c r="E517" s="115"/>
      <c r="F517" s="88" t="s">
        <v>268</v>
      </c>
      <c r="G517" s="116">
        <v>2671200</v>
      </c>
      <c r="H517" s="117">
        <v>2171700</v>
      </c>
      <c r="I517" s="117">
        <v>2171700</v>
      </c>
      <c r="J517" s="118">
        <v>2171700</v>
      </c>
    </row>
    <row r="518" spans="1:10" x14ac:dyDescent="0.2">
      <c r="A518" s="71">
        <f t="shared" si="9"/>
        <v>31</v>
      </c>
      <c r="B518" s="113"/>
      <c r="C518" s="114" t="s">
        <v>991</v>
      </c>
      <c r="D518" s="114"/>
      <c r="E518" s="115"/>
      <c r="F518" s="88" t="s">
        <v>268</v>
      </c>
      <c r="G518" s="116">
        <v>667800</v>
      </c>
      <c r="H518" s="117">
        <v>542900</v>
      </c>
      <c r="I518" s="117">
        <v>542900</v>
      </c>
      <c r="J518" s="118">
        <v>542900</v>
      </c>
    </row>
    <row r="519" spans="1:10" x14ac:dyDescent="0.2">
      <c r="A519" s="71">
        <f t="shared" si="9"/>
        <v>32</v>
      </c>
      <c r="B519" s="113"/>
      <c r="C519" s="114" t="s">
        <v>992</v>
      </c>
      <c r="D519" s="114"/>
      <c r="E519" s="115"/>
      <c r="F519" s="88" t="s">
        <v>268</v>
      </c>
      <c r="G519" s="116">
        <v>1803100</v>
      </c>
      <c r="H519" s="117">
        <v>1465900</v>
      </c>
      <c r="I519" s="117">
        <v>1465900</v>
      </c>
      <c r="J519" s="118">
        <v>1465900</v>
      </c>
    </row>
    <row r="520" spans="1:10" x14ac:dyDescent="0.2">
      <c r="A520" s="71">
        <f t="shared" si="9"/>
        <v>33</v>
      </c>
      <c r="B520" s="113"/>
      <c r="C520" s="114" t="s">
        <v>993</v>
      </c>
      <c r="D520" s="114"/>
      <c r="E520" s="115"/>
      <c r="F520" s="88" t="s">
        <v>268</v>
      </c>
      <c r="G520" s="116">
        <v>734600</v>
      </c>
      <c r="H520" s="117">
        <v>597200</v>
      </c>
      <c r="I520" s="117">
        <v>597200</v>
      </c>
      <c r="J520" s="118">
        <v>597200</v>
      </c>
    </row>
    <row r="521" spans="1:10" x14ac:dyDescent="0.2">
      <c r="A521" s="71">
        <f t="shared" si="9"/>
        <v>34</v>
      </c>
      <c r="B521" s="113"/>
      <c r="C521" s="114" t="s">
        <v>994</v>
      </c>
      <c r="D521" s="114"/>
      <c r="E521" s="115"/>
      <c r="F521" s="88" t="s">
        <v>268</v>
      </c>
      <c r="G521" s="116">
        <v>1001700</v>
      </c>
      <c r="H521" s="117">
        <v>814300</v>
      </c>
      <c r="I521" s="117">
        <v>814300</v>
      </c>
      <c r="J521" s="118">
        <v>814300</v>
      </c>
    </row>
    <row r="522" spans="1:10" x14ac:dyDescent="0.2">
      <c r="A522" s="71">
        <f t="shared" si="9"/>
        <v>35</v>
      </c>
      <c r="B522" s="113"/>
      <c r="C522" s="114" t="s">
        <v>995</v>
      </c>
      <c r="D522" s="114"/>
      <c r="E522" s="115"/>
      <c r="F522" s="88" t="s">
        <v>247</v>
      </c>
      <c r="G522" s="116">
        <v>277900</v>
      </c>
      <c r="H522" s="117">
        <v>225900</v>
      </c>
      <c r="I522" s="117">
        <v>225900</v>
      </c>
      <c r="J522" s="118">
        <v>225900</v>
      </c>
    </row>
    <row r="523" spans="1:10" x14ac:dyDescent="0.2">
      <c r="A523" s="71">
        <f t="shared" si="9"/>
        <v>36</v>
      </c>
      <c r="B523" s="113"/>
      <c r="C523" s="114" t="s">
        <v>996</v>
      </c>
      <c r="D523" s="114"/>
      <c r="E523" s="115"/>
      <c r="F523" s="88" t="s">
        <v>268</v>
      </c>
      <c r="G523" s="116">
        <v>1001700</v>
      </c>
      <c r="H523" s="117">
        <v>814300</v>
      </c>
      <c r="I523" s="117">
        <v>814300</v>
      </c>
      <c r="J523" s="118">
        <v>814300</v>
      </c>
    </row>
    <row r="524" spans="1:10" x14ac:dyDescent="0.2">
      <c r="A524" s="71">
        <f t="shared" si="9"/>
        <v>37</v>
      </c>
      <c r="B524" s="113"/>
      <c r="C524" s="114" t="s">
        <v>984</v>
      </c>
      <c r="D524" s="114"/>
      <c r="E524" s="115"/>
      <c r="F524" s="88" t="s">
        <v>268</v>
      </c>
      <c r="G524" s="116">
        <v>333900</v>
      </c>
      <c r="H524" s="117">
        <v>271400</v>
      </c>
      <c r="I524" s="117">
        <v>271400</v>
      </c>
      <c r="J524" s="118">
        <v>271400</v>
      </c>
    </row>
    <row r="525" spans="1:10" x14ac:dyDescent="0.2">
      <c r="A525" s="71">
        <f t="shared" si="9"/>
        <v>38</v>
      </c>
      <c r="B525" s="113"/>
      <c r="C525" s="114" t="s">
        <v>985</v>
      </c>
      <c r="D525" s="114"/>
      <c r="E525" s="115"/>
      <c r="F525" s="88" t="s">
        <v>268</v>
      </c>
      <c r="G525" s="116">
        <v>267200</v>
      </c>
      <c r="H525" s="117">
        <v>217200</v>
      </c>
      <c r="I525" s="117">
        <v>217200</v>
      </c>
      <c r="J525" s="118">
        <v>217200</v>
      </c>
    </row>
    <row r="526" spans="1:10" x14ac:dyDescent="0.2">
      <c r="A526" s="71">
        <f t="shared" si="9"/>
        <v>39</v>
      </c>
      <c r="B526" s="113"/>
      <c r="C526" s="114" t="s">
        <v>997</v>
      </c>
      <c r="D526" s="114"/>
      <c r="E526" s="115"/>
      <c r="F526" s="88" t="s">
        <v>268</v>
      </c>
      <c r="G526" s="116">
        <v>1001700</v>
      </c>
      <c r="H526" s="117">
        <v>814300</v>
      </c>
      <c r="I526" s="117">
        <v>814300</v>
      </c>
      <c r="J526" s="118">
        <v>814300</v>
      </c>
    </row>
    <row r="527" spans="1:10" x14ac:dyDescent="0.2">
      <c r="A527" s="71">
        <f t="shared" si="9"/>
        <v>40</v>
      </c>
      <c r="B527" s="113"/>
      <c r="C527" s="114" t="s">
        <v>998</v>
      </c>
      <c r="D527" s="114"/>
      <c r="E527" s="115"/>
      <c r="F527" s="88" t="s">
        <v>268</v>
      </c>
      <c r="G527" s="116">
        <v>667800</v>
      </c>
      <c r="H527" s="117">
        <v>542900</v>
      </c>
      <c r="I527" s="117">
        <v>542900</v>
      </c>
      <c r="J527" s="118">
        <v>542900</v>
      </c>
    </row>
    <row r="528" spans="1:10" x14ac:dyDescent="0.2">
      <c r="A528" s="71">
        <f t="shared" si="9"/>
        <v>41</v>
      </c>
      <c r="B528" s="113"/>
      <c r="C528" s="114" t="s">
        <v>999</v>
      </c>
      <c r="D528" s="114"/>
      <c r="E528" s="115"/>
      <c r="F528" s="88" t="s">
        <v>268</v>
      </c>
      <c r="G528" s="116">
        <v>333900</v>
      </c>
      <c r="H528" s="117">
        <v>271400</v>
      </c>
      <c r="I528" s="117">
        <v>271400</v>
      </c>
      <c r="J528" s="118">
        <v>271400</v>
      </c>
    </row>
    <row r="529" spans="1:10" x14ac:dyDescent="0.2">
      <c r="A529" s="147">
        <f>SUM(A528+1)</f>
        <v>42</v>
      </c>
      <c r="B529" s="162"/>
      <c r="C529" s="114" t="s">
        <v>1290</v>
      </c>
      <c r="D529" s="163"/>
      <c r="E529" s="164"/>
      <c r="F529" s="88" t="s">
        <v>274</v>
      </c>
      <c r="G529" s="165">
        <v>913000</v>
      </c>
      <c r="H529" s="117">
        <v>742200</v>
      </c>
      <c r="I529" s="117">
        <v>742200</v>
      </c>
      <c r="J529" s="118">
        <v>742200</v>
      </c>
    </row>
    <row r="530" spans="1:10" x14ac:dyDescent="0.2">
      <c r="A530" s="71">
        <f t="shared" ref="A530:A575" si="10">SUM(A529+1)</f>
        <v>43</v>
      </c>
      <c r="B530" s="162"/>
      <c r="C530" s="114" t="s">
        <v>1291</v>
      </c>
      <c r="D530" s="163"/>
      <c r="E530" s="164"/>
      <c r="F530" s="88" t="s">
        <v>274</v>
      </c>
      <c r="G530" s="165">
        <v>1141000</v>
      </c>
      <c r="H530" s="117">
        <v>927600</v>
      </c>
      <c r="I530" s="117">
        <v>927600</v>
      </c>
      <c r="J530" s="118">
        <v>927600</v>
      </c>
    </row>
    <row r="531" spans="1:10" x14ac:dyDescent="0.2">
      <c r="A531" s="71">
        <f t="shared" si="10"/>
        <v>44</v>
      </c>
      <c r="B531" s="162"/>
      <c r="C531" s="114" t="s">
        <v>1291</v>
      </c>
      <c r="D531" s="163"/>
      <c r="E531" s="164"/>
      <c r="F531" s="88" t="s">
        <v>274</v>
      </c>
      <c r="G531" s="165">
        <v>1212000</v>
      </c>
      <c r="H531" s="117">
        <v>985300</v>
      </c>
      <c r="I531" s="117">
        <v>985300</v>
      </c>
      <c r="J531" s="118">
        <v>985300</v>
      </c>
    </row>
    <row r="532" spans="1:10" x14ac:dyDescent="0.2">
      <c r="A532" s="71">
        <f t="shared" si="10"/>
        <v>45</v>
      </c>
      <c r="B532" s="162"/>
      <c r="C532" s="114" t="s">
        <v>1292</v>
      </c>
      <c r="D532" s="163"/>
      <c r="E532" s="164"/>
      <c r="F532" s="88" t="s">
        <v>274</v>
      </c>
      <c r="G532" s="165">
        <v>61000</v>
      </c>
      <c r="H532" s="117">
        <v>49500</v>
      </c>
      <c r="I532" s="117">
        <v>49500</v>
      </c>
      <c r="J532" s="118">
        <v>49500</v>
      </c>
    </row>
    <row r="533" spans="1:10" x14ac:dyDescent="0.2">
      <c r="A533" s="71">
        <f t="shared" si="10"/>
        <v>46</v>
      </c>
      <c r="B533" s="162"/>
      <c r="C533" s="114" t="s">
        <v>1293</v>
      </c>
      <c r="D533" s="163"/>
      <c r="E533" s="164"/>
      <c r="F533" s="88" t="s">
        <v>309</v>
      </c>
      <c r="G533" s="165">
        <v>130000</v>
      </c>
      <c r="H533" s="117">
        <v>105600</v>
      </c>
      <c r="I533" s="117">
        <v>105600</v>
      </c>
      <c r="J533" s="118">
        <v>105600</v>
      </c>
    </row>
    <row r="534" spans="1:10" x14ac:dyDescent="0.2">
      <c r="A534" s="71">
        <f t="shared" si="10"/>
        <v>47</v>
      </c>
      <c r="B534" s="162"/>
      <c r="C534" s="114" t="s">
        <v>1294</v>
      </c>
      <c r="D534" s="163"/>
      <c r="E534" s="164"/>
      <c r="F534" s="88" t="s">
        <v>309</v>
      </c>
      <c r="G534" s="165">
        <v>124000</v>
      </c>
      <c r="H534" s="117">
        <v>100800</v>
      </c>
      <c r="I534" s="117">
        <v>100800</v>
      </c>
      <c r="J534" s="118">
        <v>100800</v>
      </c>
    </row>
    <row r="535" spans="1:10" x14ac:dyDescent="0.2">
      <c r="A535" s="71">
        <f t="shared" si="10"/>
        <v>48</v>
      </c>
      <c r="B535" s="162"/>
      <c r="C535" s="114" t="s">
        <v>1295</v>
      </c>
      <c r="D535" s="163"/>
      <c r="E535" s="164"/>
      <c r="F535" s="88" t="s">
        <v>274</v>
      </c>
      <c r="G535" s="165">
        <v>9000</v>
      </c>
      <c r="H535" s="117">
        <v>7300</v>
      </c>
      <c r="I535" s="117">
        <v>7300</v>
      </c>
      <c r="J535" s="118">
        <v>7300</v>
      </c>
    </row>
    <row r="536" spans="1:10" x14ac:dyDescent="0.2">
      <c r="A536" s="71">
        <f t="shared" si="10"/>
        <v>49</v>
      </c>
      <c r="B536" s="162"/>
      <c r="C536" s="114" t="s">
        <v>1296</v>
      </c>
      <c r="D536" s="163"/>
      <c r="E536" s="164"/>
      <c r="F536" s="88" t="s">
        <v>1297</v>
      </c>
      <c r="G536" s="165">
        <v>97000</v>
      </c>
      <c r="H536" s="117">
        <v>78800</v>
      </c>
      <c r="I536" s="117">
        <v>78800</v>
      </c>
      <c r="J536" s="118">
        <v>78800</v>
      </c>
    </row>
    <row r="537" spans="1:10" x14ac:dyDescent="0.2">
      <c r="A537" s="71">
        <f t="shared" si="10"/>
        <v>50</v>
      </c>
      <c r="B537" s="162"/>
      <c r="C537" s="114" t="s">
        <v>1298</v>
      </c>
      <c r="D537" s="163"/>
      <c r="E537" s="164"/>
      <c r="F537" s="88" t="s">
        <v>309</v>
      </c>
      <c r="G537" s="165">
        <v>980000</v>
      </c>
      <c r="H537" s="117">
        <v>796700</v>
      </c>
      <c r="I537" s="117">
        <v>796700</v>
      </c>
      <c r="J537" s="118">
        <v>796700</v>
      </c>
    </row>
    <row r="538" spans="1:10" x14ac:dyDescent="0.2">
      <c r="A538" s="71">
        <f t="shared" si="10"/>
        <v>51</v>
      </c>
      <c r="B538" s="162"/>
      <c r="C538" s="114" t="s">
        <v>1299</v>
      </c>
      <c r="D538" s="163"/>
      <c r="E538" s="164"/>
      <c r="F538" s="88" t="s">
        <v>273</v>
      </c>
      <c r="G538" s="165">
        <v>173000</v>
      </c>
      <c r="H538" s="117">
        <v>140600</v>
      </c>
      <c r="I538" s="117">
        <v>140600</v>
      </c>
      <c r="J538" s="118">
        <v>140600</v>
      </c>
    </row>
    <row r="539" spans="1:10" x14ac:dyDescent="0.2">
      <c r="A539" s="71">
        <f t="shared" si="10"/>
        <v>52</v>
      </c>
      <c r="B539" s="162"/>
      <c r="C539" s="114" t="s">
        <v>1300</v>
      </c>
      <c r="D539" s="163"/>
      <c r="E539" s="164"/>
      <c r="F539" s="88" t="s">
        <v>268</v>
      </c>
      <c r="G539" s="165">
        <v>768000</v>
      </c>
      <c r="H539" s="117">
        <v>624300</v>
      </c>
      <c r="I539" s="117">
        <v>624300</v>
      </c>
      <c r="J539" s="118">
        <v>624300</v>
      </c>
    </row>
    <row r="540" spans="1:10" x14ac:dyDescent="0.2">
      <c r="A540" s="71">
        <f t="shared" si="10"/>
        <v>53</v>
      </c>
      <c r="B540" s="162"/>
      <c r="C540" s="114" t="s">
        <v>1301</v>
      </c>
      <c r="D540" s="163"/>
      <c r="E540" s="164"/>
      <c r="F540" s="88" t="s">
        <v>268</v>
      </c>
      <c r="G540" s="165">
        <v>1344000</v>
      </c>
      <c r="H540" s="117">
        <v>1092600</v>
      </c>
      <c r="I540" s="117">
        <v>1092600</v>
      </c>
      <c r="J540" s="118">
        <v>1092600</v>
      </c>
    </row>
    <row r="541" spans="1:10" x14ac:dyDescent="0.2">
      <c r="A541" s="71">
        <f t="shared" si="10"/>
        <v>54</v>
      </c>
      <c r="B541" s="162"/>
      <c r="C541" s="114" t="s">
        <v>1302</v>
      </c>
      <c r="D541" s="163"/>
      <c r="E541" s="164"/>
      <c r="F541" s="88" t="s">
        <v>268</v>
      </c>
      <c r="G541" s="165">
        <v>256000</v>
      </c>
      <c r="H541" s="117">
        <v>208100</v>
      </c>
      <c r="I541" s="117">
        <v>208100</v>
      </c>
      <c r="J541" s="118">
        <v>208100</v>
      </c>
    </row>
    <row r="542" spans="1:10" x14ac:dyDescent="0.2">
      <c r="A542" s="71">
        <f t="shared" si="10"/>
        <v>55</v>
      </c>
      <c r="B542" s="162"/>
      <c r="C542" s="114" t="s">
        <v>1303</v>
      </c>
      <c r="D542" s="163"/>
      <c r="E542" s="164"/>
      <c r="F542" s="88" t="s">
        <v>309</v>
      </c>
      <c r="G542" s="165">
        <v>1024000</v>
      </c>
      <c r="H542" s="117">
        <v>832500</v>
      </c>
      <c r="I542" s="117">
        <v>832500</v>
      </c>
      <c r="J542" s="118">
        <v>832500</v>
      </c>
    </row>
    <row r="543" spans="1:10" x14ac:dyDescent="0.2">
      <c r="A543" s="71">
        <f t="shared" si="10"/>
        <v>56</v>
      </c>
      <c r="B543" s="162"/>
      <c r="C543" s="114" t="s">
        <v>1304</v>
      </c>
      <c r="D543" s="163"/>
      <c r="E543" s="164"/>
      <c r="F543" s="88" t="s">
        <v>309</v>
      </c>
      <c r="G543" s="165">
        <v>96000</v>
      </c>
      <c r="H543" s="117">
        <v>78000</v>
      </c>
      <c r="I543" s="117">
        <v>78000</v>
      </c>
      <c r="J543" s="118">
        <v>78000</v>
      </c>
    </row>
    <row r="544" spans="1:10" x14ac:dyDescent="0.2">
      <c r="A544" s="71">
        <f t="shared" si="10"/>
        <v>57</v>
      </c>
      <c r="B544" s="162"/>
      <c r="C544" s="114" t="s">
        <v>1305</v>
      </c>
      <c r="D544" s="163"/>
      <c r="E544" s="164"/>
      <c r="F544" s="88" t="s">
        <v>268</v>
      </c>
      <c r="G544" s="165">
        <v>448000</v>
      </c>
      <c r="H544" s="117">
        <v>364200</v>
      </c>
      <c r="I544" s="117">
        <v>364200</v>
      </c>
      <c r="J544" s="118">
        <v>364200</v>
      </c>
    </row>
    <row r="545" spans="1:10" x14ac:dyDescent="0.2">
      <c r="A545" s="71">
        <f t="shared" si="10"/>
        <v>58</v>
      </c>
      <c r="B545" s="162"/>
      <c r="C545" s="114" t="s">
        <v>1306</v>
      </c>
      <c r="D545" s="163"/>
      <c r="E545" s="164"/>
      <c r="F545" s="88" t="s">
        <v>268</v>
      </c>
      <c r="G545" s="165">
        <v>72000</v>
      </c>
      <c r="H545" s="117">
        <v>58500</v>
      </c>
      <c r="I545" s="117">
        <v>58500</v>
      </c>
      <c r="J545" s="118">
        <v>58500</v>
      </c>
    </row>
    <row r="546" spans="1:10" x14ac:dyDescent="0.2">
      <c r="A546" s="71">
        <f t="shared" si="10"/>
        <v>59</v>
      </c>
      <c r="B546" s="162"/>
      <c r="C546" s="114" t="s">
        <v>1307</v>
      </c>
      <c r="D546" s="163"/>
      <c r="E546" s="164"/>
      <c r="F546" s="88" t="s">
        <v>268</v>
      </c>
      <c r="G546" s="165">
        <v>10000</v>
      </c>
      <c r="H546" s="117">
        <v>8100</v>
      </c>
      <c r="I546" s="117">
        <v>8100</v>
      </c>
      <c r="J546" s="118">
        <v>8100</v>
      </c>
    </row>
    <row r="547" spans="1:10" x14ac:dyDescent="0.2">
      <c r="A547" s="71">
        <f t="shared" si="10"/>
        <v>60</v>
      </c>
      <c r="B547" s="162"/>
      <c r="C547" s="114" t="s">
        <v>1308</v>
      </c>
      <c r="D547" s="163"/>
      <c r="E547" s="164"/>
      <c r="F547" s="88" t="s">
        <v>268</v>
      </c>
      <c r="G547" s="165">
        <v>7000</v>
      </c>
      <c r="H547" s="117">
        <v>5600</v>
      </c>
      <c r="I547" s="117">
        <v>5600</v>
      </c>
      <c r="J547" s="118">
        <v>5600</v>
      </c>
    </row>
    <row r="548" spans="1:10" x14ac:dyDescent="0.2">
      <c r="A548" s="71">
        <f t="shared" si="10"/>
        <v>61</v>
      </c>
      <c r="B548" s="113"/>
      <c r="C548" s="114" t="s">
        <v>1000</v>
      </c>
      <c r="D548" s="114"/>
      <c r="E548" s="115"/>
      <c r="F548" s="88" t="s">
        <v>268</v>
      </c>
      <c r="G548" s="116">
        <v>626200</v>
      </c>
      <c r="H548" s="117">
        <v>509100</v>
      </c>
      <c r="I548" s="117">
        <v>509100</v>
      </c>
      <c r="J548" s="118">
        <v>509100</v>
      </c>
    </row>
    <row r="549" spans="1:10" x14ac:dyDescent="0.2">
      <c r="A549" s="71">
        <f t="shared" si="10"/>
        <v>62</v>
      </c>
      <c r="B549" s="113"/>
      <c r="C549" s="114" t="s">
        <v>1001</v>
      </c>
      <c r="D549" s="114"/>
      <c r="E549" s="115"/>
      <c r="F549" s="88" t="s">
        <v>273</v>
      </c>
      <c r="G549" s="116">
        <v>133600</v>
      </c>
      <c r="H549" s="117">
        <v>108600</v>
      </c>
      <c r="I549" s="117">
        <v>108600</v>
      </c>
      <c r="J549" s="118">
        <v>108600</v>
      </c>
    </row>
    <row r="550" spans="1:10" x14ac:dyDescent="0.2">
      <c r="A550" s="71">
        <f t="shared" si="10"/>
        <v>63</v>
      </c>
      <c r="B550" s="113"/>
      <c r="C550" s="114" t="s">
        <v>1002</v>
      </c>
      <c r="D550" s="114"/>
      <c r="E550" s="115"/>
      <c r="F550" s="88" t="s">
        <v>268</v>
      </c>
      <c r="G550" s="116">
        <v>100200</v>
      </c>
      <c r="H550" s="117">
        <v>81400</v>
      </c>
      <c r="I550" s="117">
        <v>81400</v>
      </c>
      <c r="J550" s="118">
        <v>81400</v>
      </c>
    </row>
    <row r="551" spans="1:10" x14ac:dyDescent="0.2">
      <c r="A551" s="71">
        <f t="shared" si="10"/>
        <v>64</v>
      </c>
      <c r="B551" s="113"/>
      <c r="C551" s="114" t="s">
        <v>1003</v>
      </c>
      <c r="D551" s="114"/>
      <c r="E551" s="115"/>
      <c r="F551" s="88" t="s">
        <v>266</v>
      </c>
      <c r="G551" s="116">
        <v>2871600</v>
      </c>
      <c r="H551" s="117">
        <v>2334600</v>
      </c>
      <c r="I551" s="117">
        <v>2334600</v>
      </c>
      <c r="J551" s="118">
        <v>2334600</v>
      </c>
    </row>
    <row r="552" spans="1:10" x14ac:dyDescent="0.2">
      <c r="A552" s="71">
        <f t="shared" si="10"/>
        <v>65</v>
      </c>
      <c r="B552" s="113"/>
      <c r="C552" s="114" t="s">
        <v>1004</v>
      </c>
      <c r="D552" s="114"/>
      <c r="E552" s="115"/>
      <c r="F552" s="88" t="s">
        <v>268</v>
      </c>
      <c r="G552" s="116">
        <v>1001700</v>
      </c>
      <c r="H552" s="117">
        <v>814300</v>
      </c>
      <c r="I552" s="117">
        <v>814300</v>
      </c>
      <c r="J552" s="118">
        <v>814300</v>
      </c>
    </row>
    <row r="553" spans="1:10" x14ac:dyDescent="0.2">
      <c r="A553" s="71">
        <f t="shared" si="10"/>
        <v>66</v>
      </c>
      <c r="B553" s="113"/>
      <c r="C553" s="114" t="s">
        <v>1005</v>
      </c>
      <c r="D553" s="114"/>
      <c r="E553" s="115"/>
      <c r="F553" s="88" t="s">
        <v>268</v>
      </c>
      <c r="G553" s="116">
        <v>1335600</v>
      </c>
      <c r="H553" s="117">
        <v>1085800</v>
      </c>
      <c r="I553" s="117">
        <v>1085800</v>
      </c>
      <c r="J553" s="118">
        <v>1085800</v>
      </c>
    </row>
    <row r="554" spans="1:10" x14ac:dyDescent="0.2">
      <c r="A554" s="71">
        <f t="shared" si="10"/>
        <v>67</v>
      </c>
      <c r="B554" s="113"/>
      <c r="C554" s="114" t="s">
        <v>1164</v>
      </c>
      <c r="D554" s="114"/>
      <c r="E554" s="115"/>
      <c r="F554" s="88" t="s">
        <v>268</v>
      </c>
      <c r="G554" s="116">
        <v>2003400</v>
      </c>
      <c r="H554" s="117">
        <v>1628700</v>
      </c>
      <c r="I554" s="117">
        <v>1628700</v>
      </c>
      <c r="J554" s="118">
        <v>1628700</v>
      </c>
    </row>
    <row r="555" spans="1:10" x14ac:dyDescent="0.2">
      <c r="A555" s="71">
        <f t="shared" si="10"/>
        <v>68</v>
      </c>
      <c r="B555" s="113"/>
      <c r="C555" s="114" t="s">
        <v>1006</v>
      </c>
      <c r="D555" s="114"/>
      <c r="E555" s="115"/>
      <c r="F555" s="88" t="s">
        <v>268</v>
      </c>
      <c r="G555" s="116">
        <v>2671200</v>
      </c>
      <c r="H555" s="117">
        <v>2171700</v>
      </c>
      <c r="I555" s="117">
        <v>2171700</v>
      </c>
      <c r="J555" s="118">
        <v>2171700</v>
      </c>
    </row>
    <row r="556" spans="1:10" x14ac:dyDescent="0.2">
      <c r="A556" s="71">
        <f t="shared" si="10"/>
        <v>69</v>
      </c>
      <c r="B556" s="113"/>
      <c r="C556" s="114" t="s">
        <v>1007</v>
      </c>
      <c r="D556" s="114"/>
      <c r="E556" s="115"/>
      <c r="F556" s="88" t="s">
        <v>268</v>
      </c>
      <c r="G556" s="116">
        <v>3339000</v>
      </c>
      <c r="H556" s="117">
        <v>2714600</v>
      </c>
      <c r="I556" s="117">
        <v>2714600</v>
      </c>
      <c r="J556" s="118">
        <v>2714600</v>
      </c>
    </row>
    <row r="557" spans="1:10" x14ac:dyDescent="0.2">
      <c r="A557" s="71">
        <f t="shared" si="10"/>
        <v>70</v>
      </c>
      <c r="B557" s="113"/>
      <c r="C557" s="114" t="s">
        <v>1008</v>
      </c>
      <c r="D557" s="114"/>
      <c r="E557" s="115"/>
      <c r="F557" s="88" t="s">
        <v>247</v>
      </c>
      <c r="G557" s="116">
        <v>2003400</v>
      </c>
      <c r="H557" s="117">
        <v>1628700</v>
      </c>
      <c r="I557" s="117">
        <v>1628700</v>
      </c>
      <c r="J557" s="118">
        <v>1628700</v>
      </c>
    </row>
    <row r="558" spans="1:10" x14ac:dyDescent="0.2">
      <c r="A558" s="71">
        <f t="shared" si="10"/>
        <v>71</v>
      </c>
      <c r="B558" s="113"/>
      <c r="C558" s="114" t="s">
        <v>1009</v>
      </c>
      <c r="D558" s="114"/>
      <c r="E558" s="115"/>
      <c r="F558" s="88" t="s">
        <v>247</v>
      </c>
      <c r="G558" s="116">
        <v>2671200</v>
      </c>
      <c r="H558" s="117">
        <v>2171700</v>
      </c>
      <c r="I558" s="117">
        <v>2171700</v>
      </c>
      <c r="J558" s="118">
        <v>2171700</v>
      </c>
    </row>
    <row r="559" spans="1:10" x14ac:dyDescent="0.2">
      <c r="A559" s="71">
        <f t="shared" si="10"/>
        <v>72</v>
      </c>
      <c r="B559" s="113"/>
      <c r="C559" s="114" t="s">
        <v>1010</v>
      </c>
      <c r="D559" s="114"/>
      <c r="E559" s="115"/>
      <c r="F559" s="88" t="s">
        <v>247</v>
      </c>
      <c r="G559" s="116">
        <v>3339000</v>
      </c>
      <c r="H559" s="117">
        <v>2714600</v>
      </c>
      <c r="I559" s="117">
        <v>2714600</v>
      </c>
      <c r="J559" s="118">
        <v>2714600</v>
      </c>
    </row>
    <row r="560" spans="1:10" x14ac:dyDescent="0.2">
      <c r="A560" s="71">
        <f t="shared" si="10"/>
        <v>73</v>
      </c>
      <c r="B560" s="113"/>
      <c r="C560" s="114" t="s">
        <v>1011</v>
      </c>
      <c r="D560" s="114"/>
      <c r="E560" s="115"/>
      <c r="F560" s="88" t="s">
        <v>268</v>
      </c>
      <c r="G560" s="116">
        <v>1335600</v>
      </c>
      <c r="H560" s="117">
        <v>1085800</v>
      </c>
      <c r="I560" s="117">
        <v>1085800</v>
      </c>
      <c r="J560" s="118">
        <v>1085800</v>
      </c>
    </row>
    <row r="561" spans="1:10" x14ac:dyDescent="0.2">
      <c r="A561" s="71">
        <f t="shared" si="10"/>
        <v>74</v>
      </c>
      <c r="B561" s="113"/>
      <c r="C561" s="114" t="s">
        <v>1012</v>
      </c>
      <c r="D561" s="114"/>
      <c r="E561" s="115"/>
      <c r="F561" s="88" t="s">
        <v>268</v>
      </c>
      <c r="G561" s="116">
        <v>2003400</v>
      </c>
      <c r="H561" s="117">
        <v>1628700</v>
      </c>
      <c r="I561" s="117">
        <v>1628700</v>
      </c>
      <c r="J561" s="118">
        <v>1628700</v>
      </c>
    </row>
    <row r="562" spans="1:10" x14ac:dyDescent="0.2">
      <c r="A562" s="71">
        <f t="shared" si="10"/>
        <v>75</v>
      </c>
      <c r="B562" s="113"/>
      <c r="C562" s="114" t="s">
        <v>1013</v>
      </c>
      <c r="D562" s="114"/>
      <c r="E562" s="115"/>
      <c r="F562" s="88" t="s">
        <v>268</v>
      </c>
      <c r="G562" s="116">
        <v>3339000</v>
      </c>
      <c r="H562" s="117">
        <v>2714600</v>
      </c>
      <c r="I562" s="117">
        <v>2714600</v>
      </c>
      <c r="J562" s="118">
        <v>2714600</v>
      </c>
    </row>
    <row r="563" spans="1:10" x14ac:dyDescent="0.2">
      <c r="A563" s="71">
        <f t="shared" si="10"/>
        <v>76</v>
      </c>
      <c r="B563" s="113"/>
      <c r="C563" s="114" t="s">
        <v>1014</v>
      </c>
      <c r="D563" s="114"/>
      <c r="E563" s="115"/>
      <c r="F563" s="88" t="s">
        <v>268</v>
      </c>
      <c r="G563" s="116">
        <v>4674600</v>
      </c>
      <c r="H563" s="117">
        <v>3800400</v>
      </c>
      <c r="I563" s="117">
        <v>3800400</v>
      </c>
      <c r="J563" s="118">
        <v>3800400</v>
      </c>
    </row>
    <row r="564" spans="1:10" x14ac:dyDescent="0.2">
      <c r="A564" s="71">
        <f t="shared" si="10"/>
        <v>77</v>
      </c>
      <c r="B564" s="113"/>
      <c r="C564" s="114" t="s">
        <v>1015</v>
      </c>
      <c r="D564" s="114"/>
      <c r="E564" s="115"/>
      <c r="F564" s="88" t="s">
        <v>268</v>
      </c>
      <c r="G564" s="116">
        <v>1335600</v>
      </c>
      <c r="H564" s="117">
        <v>1085800</v>
      </c>
      <c r="I564" s="117">
        <v>1085800</v>
      </c>
      <c r="J564" s="118">
        <v>1085800</v>
      </c>
    </row>
    <row r="565" spans="1:10" x14ac:dyDescent="0.2">
      <c r="A565" s="71">
        <f t="shared" si="10"/>
        <v>78</v>
      </c>
      <c r="B565" s="113"/>
      <c r="C565" s="114" t="s">
        <v>1016</v>
      </c>
      <c r="D565" s="114"/>
      <c r="E565" s="115"/>
      <c r="F565" s="88" t="s">
        <v>268</v>
      </c>
      <c r="G565" s="116">
        <v>2671200</v>
      </c>
      <c r="H565" s="117">
        <v>2171700</v>
      </c>
      <c r="I565" s="117">
        <v>2171700</v>
      </c>
      <c r="J565" s="118">
        <v>2171700</v>
      </c>
    </row>
    <row r="566" spans="1:10" x14ac:dyDescent="0.2">
      <c r="A566" s="71">
        <f t="shared" si="10"/>
        <v>79</v>
      </c>
      <c r="B566" s="113"/>
      <c r="C566" s="114" t="s">
        <v>1165</v>
      </c>
      <c r="D566" s="114"/>
      <c r="E566" s="115"/>
      <c r="F566" s="88" t="s">
        <v>309</v>
      </c>
      <c r="G566" s="116">
        <v>2003400</v>
      </c>
      <c r="H566" s="117">
        <v>1628700</v>
      </c>
      <c r="I566" s="117">
        <v>1628700</v>
      </c>
      <c r="J566" s="118">
        <v>1628700</v>
      </c>
    </row>
    <row r="567" spans="1:10" x14ac:dyDescent="0.2">
      <c r="A567" s="71">
        <f t="shared" si="10"/>
        <v>80</v>
      </c>
      <c r="B567" s="113"/>
      <c r="C567" s="114" t="s">
        <v>1017</v>
      </c>
      <c r="D567" s="114"/>
      <c r="E567" s="115"/>
      <c r="F567" s="88" t="s">
        <v>309</v>
      </c>
      <c r="G567" s="116">
        <v>6010200</v>
      </c>
      <c r="H567" s="117">
        <v>4886300</v>
      </c>
      <c r="I567" s="117">
        <v>4886300</v>
      </c>
      <c r="J567" s="118">
        <v>4886300</v>
      </c>
    </row>
    <row r="568" spans="1:10" x14ac:dyDescent="0.2">
      <c r="A568" s="71">
        <f t="shared" si="10"/>
        <v>81</v>
      </c>
      <c r="B568" s="113"/>
      <c r="C568" s="114" t="s">
        <v>1018</v>
      </c>
      <c r="D568" s="114"/>
      <c r="E568" s="115"/>
      <c r="F568" s="88" t="s">
        <v>268</v>
      </c>
      <c r="G568" s="116">
        <v>1335600</v>
      </c>
      <c r="H568" s="117">
        <v>1085800</v>
      </c>
      <c r="I568" s="117">
        <v>1085800</v>
      </c>
      <c r="J568" s="118">
        <v>1085800</v>
      </c>
    </row>
    <row r="569" spans="1:10" x14ac:dyDescent="0.2">
      <c r="A569" s="71">
        <f t="shared" si="10"/>
        <v>82</v>
      </c>
      <c r="B569" s="113"/>
      <c r="C569" s="114" t="s">
        <v>1019</v>
      </c>
      <c r="D569" s="114"/>
      <c r="E569" s="115"/>
      <c r="F569" s="88" t="s">
        <v>268</v>
      </c>
      <c r="G569" s="116">
        <v>667800</v>
      </c>
      <c r="H569" s="117">
        <v>542900</v>
      </c>
      <c r="I569" s="117">
        <v>542900</v>
      </c>
      <c r="J569" s="118">
        <v>542900</v>
      </c>
    </row>
    <row r="570" spans="1:10" x14ac:dyDescent="0.2">
      <c r="A570" s="71">
        <f t="shared" si="10"/>
        <v>83</v>
      </c>
      <c r="B570" s="113"/>
      <c r="C570" s="114" t="s">
        <v>1020</v>
      </c>
      <c r="D570" s="114"/>
      <c r="E570" s="115"/>
      <c r="F570" s="88" t="s">
        <v>275</v>
      </c>
      <c r="G570" s="116">
        <v>467500</v>
      </c>
      <c r="H570" s="117">
        <v>380000</v>
      </c>
      <c r="I570" s="117">
        <v>380000</v>
      </c>
      <c r="J570" s="118">
        <v>380000</v>
      </c>
    </row>
    <row r="571" spans="1:10" x14ac:dyDescent="0.2">
      <c r="A571" s="71">
        <f t="shared" si="10"/>
        <v>84</v>
      </c>
      <c r="B571" s="113"/>
      <c r="C571" s="114" t="s">
        <v>1021</v>
      </c>
      <c r="D571" s="114"/>
      <c r="E571" s="115"/>
      <c r="F571" s="88" t="s">
        <v>275</v>
      </c>
      <c r="G571" s="116">
        <v>128900</v>
      </c>
      <c r="H571" s="117">
        <v>104700</v>
      </c>
      <c r="I571" s="117">
        <v>104700</v>
      </c>
      <c r="J571" s="118">
        <v>104700</v>
      </c>
    </row>
    <row r="572" spans="1:10" x14ac:dyDescent="0.2">
      <c r="A572" s="71">
        <f t="shared" si="10"/>
        <v>85</v>
      </c>
      <c r="B572" s="113"/>
      <c r="C572" s="114" t="s">
        <v>1022</v>
      </c>
      <c r="D572" s="114"/>
      <c r="E572" s="115"/>
      <c r="F572" s="88" t="s">
        <v>275</v>
      </c>
      <c r="G572" s="116">
        <v>1402400</v>
      </c>
      <c r="H572" s="117">
        <v>1140100</v>
      </c>
      <c r="I572" s="117">
        <v>1140100</v>
      </c>
      <c r="J572" s="118">
        <v>1140100</v>
      </c>
    </row>
    <row r="573" spans="1:10" x14ac:dyDescent="0.2">
      <c r="A573" s="71">
        <f t="shared" si="10"/>
        <v>86</v>
      </c>
      <c r="B573" s="113"/>
      <c r="C573" s="114" t="s">
        <v>1023</v>
      </c>
      <c r="D573" s="114"/>
      <c r="E573" s="115"/>
      <c r="F573" s="88" t="s">
        <v>275</v>
      </c>
      <c r="G573" s="116">
        <v>734600</v>
      </c>
      <c r="H573" s="117">
        <v>597200</v>
      </c>
      <c r="I573" s="117">
        <v>597200</v>
      </c>
      <c r="J573" s="118">
        <v>597200</v>
      </c>
    </row>
    <row r="574" spans="1:10" x14ac:dyDescent="0.2">
      <c r="A574" s="71">
        <f t="shared" si="10"/>
        <v>87</v>
      </c>
      <c r="B574" s="113"/>
      <c r="C574" s="114" t="s">
        <v>1024</v>
      </c>
      <c r="D574" s="114"/>
      <c r="E574" s="115"/>
      <c r="F574" s="88" t="s">
        <v>275</v>
      </c>
      <c r="G574" s="116">
        <v>1335600</v>
      </c>
      <c r="H574" s="117">
        <v>1085800</v>
      </c>
      <c r="I574" s="117">
        <v>1085800</v>
      </c>
      <c r="J574" s="118">
        <v>1085800</v>
      </c>
    </row>
    <row r="575" spans="1:10" x14ac:dyDescent="0.2">
      <c r="A575" s="71">
        <f t="shared" si="10"/>
        <v>88</v>
      </c>
      <c r="B575" s="113"/>
      <c r="C575" s="114" t="s">
        <v>1025</v>
      </c>
      <c r="D575" s="114"/>
      <c r="E575" s="115"/>
      <c r="F575" s="88" t="s">
        <v>275</v>
      </c>
      <c r="G575" s="116">
        <v>667800</v>
      </c>
      <c r="H575" s="117">
        <v>542900</v>
      </c>
      <c r="I575" s="117">
        <v>542900</v>
      </c>
      <c r="J575" s="118">
        <v>542900</v>
      </c>
    </row>
    <row r="576" spans="1:10" x14ac:dyDescent="0.2">
      <c r="A576" s="166"/>
      <c r="B576" s="149"/>
      <c r="C576" s="150"/>
      <c r="D576" s="150"/>
      <c r="E576" s="151"/>
      <c r="F576" s="152"/>
      <c r="G576" s="153"/>
      <c r="H576" s="160"/>
      <c r="I576" s="160"/>
      <c r="J576" s="161"/>
    </row>
    <row r="577" spans="1:10" x14ac:dyDescent="0.2">
      <c r="A577" s="125"/>
      <c r="B577" s="65"/>
      <c r="C577" s="167" t="s">
        <v>1026</v>
      </c>
      <c r="D577" s="66"/>
      <c r="E577" s="67"/>
      <c r="F577" s="87"/>
      <c r="G577" s="126"/>
      <c r="H577" s="1"/>
      <c r="I577" s="1"/>
      <c r="J577" s="124"/>
    </row>
    <row r="578" spans="1:10" x14ac:dyDescent="0.2">
      <c r="A578" s="89">
        <v>1</v>
      </c>
      <c r="B578" s="113"/>
      <c r="C578" s="114" t="s">
        <v>1027</v>
      </c>
      <c r="D578" s="114"/>
      <c r="E578" s="115"/>
      <c r="F578" s="88" t="s">
        <v>268</v>
      </c>
      <c r="G578" s="116">
        <v>8681400</v>
      </c>
      <c r="H578" s="117">
        <v>7058000</v>
      </c>
      <c r="I578" s="117">
        <v>7058000</v>
      </c>
      <c r="J578" s="118">
        <v>7058000</v>
      </c>
    </row>
    <row r="579" spans="1:10" x14ac:dyDescent="0.2">
      <c r="A579" s="71">
        <f t="shared" ref="A579:A593" si="11">SUM(A578+1)</f>
        <v>2</v>
      </c>
      <c r="B579" s="113"/>
      <c r="C579" s="114" t="s">
        <v>1309</v>
      </c>
      <c r="D579" s="114"/>
      <c r="E579" s="115"/>
      <c r="F579" s="88" t="s">
        <v>268</v>
      </c>
      <c r="G579" s="165">
        <v>10304000</v>
      </c>
      <c r="H579" s="117">
        <v>8377200</v>
      </c>
      <c r="I579" s="117">
        <v>8377200</v>
      </c>
      <c r="J579" s="118">
        <v>8377200</v>
      </c>
    </row>
    <row r="580" spans="1:10" x14ac:dyDescent="0.2">
      <c r="A580" s="71">
        <f t="shared" si="11"/>
        <v>3</v>
      </c>
      <c r="B580" s="113"/>
      <c r="C580" s="114" t="s">
        <v>1310</v>
      </c>
      <c r="D580" s="114"/>
      <c r="E580" s="115"/>
      <c r="F580" s="88" t="s">
        <v>268</v>
      </c>
      <c r="G580" s="165">
        <v>9754000</v>
      </c>
      <c r="H580" s="117">
        <v>7930000</v>
      </c>
      <c r="I580" s="117">
        <v>7930000</v>
      </c>
      <c r="J580" s="118">
        <v>7930000</v>
      </c>
    </row>
    <row r="581" spans="1:10" x14ac:dyDescent="0.2">
      <c r="A581" s="71">
        <f t="shared" si="11"/>
        <v>4</v>
      </c>
      <c r="B581" s="113"/>
      <c r="C581" s="114" t="s">
        <v>1028</v>
      </c>
      <c r="D581" s="114"/>
      <c r="E581" s="115"/>
      <c r="F581" s="88" t="s">
        <v>268</v>
      </c>
      <c r="G581" s="116">
        <v>9349200</v>
      </c>
      <c r="H581" s="117">
        <v>7600900</v>
      </c>
      <c r="I581" s="117">
        <v>7600900</v>
      </c>
      <c r="J581" s="118">
        <v>7600900</v>
      </c>
    </row>
    <row r="582" spans="1:10" x14ac:dyDescent="0.2">
      <c r="A582" s="71">
        <f t="shared" si="11"/>
        <v>5</v>
      </c>
      <c r="B582" s="113"/>
      <c r="C582" s="114" t="s">
        <v>1311</v>
      </c>
      <c r="D582" s="114"/>
      <c r="E582" s="115"/>
      <c r="F582" s="88" t="s">
        <v>268</v>
      </c>
      <c r="G582" s="165">
        <v>8576000</v>
      </c>
      <c r="H582" s="117">
        <v>6972300</v>
      </c>
      <c r="I582" s="117">
        <v>6972300</v>
      </c>
      <c r="J582" s="118">
        <v>6972300</v>
      </c>
    </row>
    <row r="583" spans="1:10" x14ac:dyDescent="0.2">
      <c r="A583" s="71">
        <f t="shared" si="11"/>
        <v>6</v>
      </c>
      <c r="B583" s="113"/>
      <c r="C583" s="114" t="s">
        <v>1312</v>
      </c>
      <c r="D583" s="114"/>
      <c r="E583" s="115"/>
      <c r="F583" s="88" t="s">
        <v>268</v>
      </c>
      <c r="G583" s="165">
        <v>9280000</v>
      </c>
      <c r="H583" s="117">
        <v>7544700</v>
      </c>
      <c r="I583" s="117">
        <v>7544700</v>
      </c>
      <c r="J583" s="118">
        <v>7544700</v>
      </c>
    </row>
    <row r="584" spans="1:10" x14ac:dyDescent="0.2">
      <c r="A584" s="71">
        <f t="shared" si="11"/>
        <v>7</v>
      </c>
      <c r="B584" s="113"/>
      <c r="C584" s="114" t="s">
        <v>1029</v>
      </c>
      <c r="D584" s="114"/>
      <c r="E584" s="115"/>
      <c r="F584" s="88" t="s">
        <v>268</v>
      </c>
      <c r="G584" s="116">
        <v>11352600</v>
      </c>
      <c r="H584" s="117">
        <v>9229700</v>
      </c>
      <c r="I584" s="117">
        <v>9229700</v>
      </c>
      <c r="J584" s="118">
        <v>9229700</v>
      </c>
    </row>
    <row r="585" spans="1:10" x14ac:dyDescent="0.2">
      <c r="A585" s="71">
        <f t="shared" si="11"/>
        <v>8</v>
      </c>
      <c r="B585" s="113"/>
      <c r="C585" s="114" t="s">
        <v>1313</v>
      </c>
      <c r="D585" s="114"/>
      <c r="E585" s="115"/>
      <c r="F585" s="88" t="s">
        <v>268</v>
      </c>
      <c r="G585" s="165">
        <v>9600000</v>
      </c>
      <c r="H585" s="117">
        <v>7804800</v>
      </c>
      <c r="I585" s="117">
        <v>7804800</v>
      </c>
      <c r="J585" s="118">
        <v>7804800</v>
      </c>
    </row>
    <row r="586" spans="1:10" x14ac:dyDescent="0.2">
      <c r="A586" s="71">
        <f t="shared" si="11"/>
        <v>9</v>
      </c>
      <c r="B586" s="113"/>
      <c r="C586" s="114" t="s">
        <v>1314</v>
      </c>
      <c r="D586" s="114"/>
      <c r="E586" s="115"/>
      <c r="F586" s="88" t="s">
        <v>268</v>
      </c>
      <c r="G586" s="165">
        <v>13056000</v>
      </c>
      <c r="H586" s="117">
        <v>10614600</v>
      </c>
      <c r="I586" s="117">
        <v>10614600</v>
      </c>
      <c r="J586" s="118">
        <v>10614600</v>
      </c>
    </row>
    <row r="587" spans="1:10" x14ac:dyDescent="0.2">
      <c r="A587" s="71">
        <f t="shared" si="11"/>
        <v>10</v>
      </c>
      <c r="B587" s="113"/>
      <c r="C587" s="114" t="s">
        <v>1030</v>
      </c>
      <c r="D587" s="114"/>
      <c r="E587" s="115"/>
      <c r="F587" s="88" t="s">
        <v>268</v>
      </c>
      <c r="G587" s="116">
        <v>12020400</v>
      </c>
      <c r="H587" s="117">
        <v>9772600</v>
      </c>
      <c r="I587" s="117">
        <v>9772600</v>
      </c>
      <c r="J587" s="118">
        <v>9772600</v>
      </c>
    </row>
    <row r="588" spans="1:10" x14ac:dyDescent="0.2">
      <c r="A588" s="71">
        <f t="shared" si="11"/>
        <v>11</v>
      </c>
      <c r="B588" s="113"/>
      <c r="C588" s="114" t="s">
        <v>1315</v>
      </c>
      <c r="D588" s="114"/>
      <c r="E588" s="115"/>
      <c r="F588" s="88" t="s">
        <v>268</v>
      </c>
      <c r="G588" s="165">
        <v>11479000</v>
      </c>
      <c r="H588" s="117">
        <v>9332500</v>
      </c>
      <c r="I588" s="117">
        <v>9332500</v>
      </c>
      <c r="J588" s="118">
        <v>9332500</v>
      </c>
    </row>
    <row r="589" spans="1:10" x14ac:dyDescent="0.2">
      <c r="A589" s="71">
        <f t="shared" si="11"/>
        <v>12</v>
      </c>
      <c r="B589" s="113"/>
      <c r="C589" s="114" t="s">
        <v>1316</v>
      </c>
      <c r="D589" s="114"/>
      <c r="E589" s="115"/>
      <c r="F589" s="88" t="s">
        <v>268</v>
      </c>
      <c r="G589" s="165">
        <v>14656000</v>
      </c>
      <c r="H589" s="117">
        <v>11915400</v>
      </c>
      <c r="I589" s="117">
        <v>11915400</v>
      </c>
      <c r="J589" s="118">
        <v>11915400</v>
      </c>
    </row>
    <row r="590" spans="1:10" x14ac:dyDescent="0.2">
      <c r="A590" s="71">
        <f t="shared" si="11"/>
        <v>13</v>
      </c>
      <c r="B590" s="113"/>
      <c r="C590" s="114" t="s">
        <v>1031</v>
      </c>
      <c r="D590" s="114"/>
      <c r="E590" s="115"/>
      <c r="F590" s="88" t="s">
        <v>268</v>
      </c>
      <c r="G590" s="116">
        <v>14023800</v>
      </c>
      <c r="H590" s="117">
        <v>11401400</v>
      </c>
      <c r="I590" s="117">
        <v>11401400</v>
      </c>
      <c r="J590" s="118">
        <v>11401400</v>
      </c>
    </row>
    <row r="591" spans="1:10" x14ac:dyDescent="0.2">
      <c r="A591" s="71">
        <f t="shared" si="11"/>
        <v>14</v>
      </c>
      <c r="B591" s="113"/>
      <c r="C591" s="114" t="s">
        <v>1317</v>
      </c>
      <c r="D591" s="114"/>
      <c r="E591" s="115"/>
      <c r="F591" s="88" t="s">
        <v>268</v>
      </c>
      <c r="G591" s="165">
        <v>9984000</v>
      </c>
      <c r="H591" s="117">
        <v>8117000</v>
      </c>
      <c r="I591" s="117">
        <v>8117000</v>
      </c>
      <c r="J591" s="118">
        <v>8117000</v>
      </c>
    </row>
    <row r="592" spans="1:10" x14ac:dyDescent="0.2">
      <c r="A592" s="71">
        <f t="shared" si="11"/>
        <v>15</v>
      </c>
      <c r="B592" s="113"/>
      <c r="C592" s="114" t="s">
        <v>1318</v>
      </c>
      <c r="D592" s="114"/>
      <c r="E592" s="115"/>
      <c r="F592" s="88" t="s">
        <v>268</v>
      </c>
      <c r="G592" s="165">
        <v>10234000</v>
      </c>
      <c r="H592" s="117">
        <v>8320300</v>
      </c>
      <c r="I592" s="117">
        <v>8320300</v>
      </c>
      <c r="J592" s="118">
        <v>8320300</v>
      </c>
    </row>
    <row r="593" spans="1:10" x14ac:dyDescent="0.2">
      <c r="A593" s="71">
        <f t="shared" si="11"/>
        <v>16</v>
      </c>
      <c r="B593" s="113"/>
      <c r="C593" s="114" t="s">
        <v>1319</v>
      </c>
      <c r="D593" s="114"/>
      <c r="E593" s="115"/>
      <c r="F593" s="88" t="s">
        <v>268</v>
      </c>
      <c r="G593" s="165">
        <v>12928000</v>
      </c>
      <c r="H593" s="117">
        <v>10510500</v>
      </c>
      <c r="I593" s="117">
        <v>10510500</v>
      </c>
      <c r="J593" s="118">
        <v>10510500</v>
      </c>
    </row>
    <row r="594" spans="1:10" x14ac:dyDescent="0.2">
      <c r="A594" s="168"/>
      <c r="B594" s="84"/>
      <c r="C594" s="77"/>
      <c r="D594" s="77"/>
      <c r="E594" s="85"/>
      <c r="F594" s="157"/>
      <c r="G594" s="169"/>
      <c r="H594" s="127"/>
      <c r="I594" s="127"/>
      <c r="J594" s="159"/>
    </row>
    <row r="595" spans="1:10" x14ac:dyDescent="0.2">
      <c r="A595" s="125"/>
      <c r="B595" s="65"/>
      <c r="C595" s="167" t="s">
        <v>1032</v>
      </c>
      <c r="D595" s="66"/>
      <c r="E595" s="67"/>
      <c r="F595" s="87"/>
      <c r="G595" s="126"/>
      <c r="H595" s="111"/>
      <c r="I595" s="111"/>
      <c r="J595" s="112"/>
    </row>
    <row r="596" spans="1:10" x14ac:dyDescent="0.2">
      <c r="A596" s="89">
        <v>1</v>
      </c>
      <c r="B596" s="113"/>
      <c r="C596" s="114" t="s">
        <v>1033</v>
      </c>
      <c r="D596" s="114"/>
      <c r="E596" s="115"/>
      <c r="F596" s="88" t="s">
        <v>268</v>
      </c>
      <c r="G596" s="116">
        <v>1669500</v>
      </c>
      <c r="H596" s="117">
        <v>1357300</v>
      </c>
      <c r="I596" s="117">
        <v>1357300</v>
      </c>
      <c r="J596" s="118">
        <v>1357300</v>
      </c>
    </row>
    <row r="597" spans="1:10" x14ac:dyDescent="0.2">
      <c r="A597" s="71">
        <f>SUM(A596+1)</f>
        <v>2</v>
      </c>
      <c r="B597" s="113"/>
      <c r="C597" s="114" t="s">
        <v>1034</v>
      </c>
      <c r="D597" s="114"/>
      <c r="E597" s="115"/>
      <c r="F597" s="88" t="s">
        <v>268</v>
      </c>
      <c r="G597" s="116">
        <v>2003400</v>
      </c>
      <c r="H597" s="117">
        <v>1628700</v>
      </c>
      <c r="I597" s="117">
        <v>1628700</v>
      </c>
      <c r="J597" s="118">
        <v>1628700</v>
      </c>
    </row>
    <row r="598" spans="1:10" x14ac:dyDescent="0.2">
      <c r="A598" s="71">
        <f>SUM(A597+1)</f>
        <v>3</v>
      </c>
      <c r="B598" s="113"/>
      <c r="C598" s="114" t="s">
        <v>1035</v>
      </c>
      <c r="D598" s="114"/>
      <c r="E598" s="115"/>
      <c r="F598" s="88" t="s">
        <v>268</v>
      </c>
      <c r="G598" s="116">
        <v>2337300</v>
      </c>
      <c r="H598" s="117">
        <v>1900200</v>
      </c>
      <c r="I598" s="117">
        <v>1900200</v>
      </c>
      <c r="J598" s="118">
        <v>1900200</v>
      </c>
    </row>
    <row r="599" spans="1:10" x14ac:dyDescent="0.2">
      <c r="A599" s="166"/>
      <c r="B599" s="149"/>
      <c r="C599" s="150"/>
      <c r="D599" s="150"/>
      <c r="E599" s="151"/>
      <c r="F599" s="152"/>
      <c r="G599" s="153"/>
      <c r="H599" s="154"/>
      <c r="I599" s="154"/>
      <c r="J599" s="155"/>
    </row>
    <row r="600" spans="1:10" x14ac:dyDescent="0.2">
      <c r="A600" s="68"/>
      <c r="B600" s="65"/>
      <c r="C600" s="167" t="s">
        <v>1320</v>
      </c>
      <c r="D600" s="66"/>
      <c r="E600" s="67"/>
      <c r="F600" s="87"/>
      <c r="G600" s="126"/>
      <c r="H600" s="111"/>
      <c r="I600" s="111"/>
      <c r="J600" s="112"/>
    </row>
    <row r="601" spans="1:10" x14ac:dyDescent="0.2">
      <c r="A601" s="71">
        <v>1</v>
      </c>
      <c r="B601" s="113"/>
      <c r="C601" s="114" t="s">
        <v>1321</v>
      </c>
      <c r="D601" s="114"/>
      <c r="E601" s="115"/>
      <c r="F601" s="88"/>
      <c r="G601" s="165">
        <v>63662000</v>
      </c>
      <c r="H601" s="117">
        <v>51757700</v>
      </c>
      <c r="I601" s="117">
        <v>51757700</v>
      </c>
      <c r="J601" s="118">
        <v>51757700</v>
      </c>
    </row>
    <row r="602" spans="1:10" x14ac:dyDescent="0.2">
      <c r="A602" s="168"/>
      <c r="B602" s="84"/>
      <c r="C602" s="77"/>
      <c r="D602" s="77"/>
      <c r="E602" s="85"/>
      <c r="F602" s="157"/>
      <c r="G602" s="169"/>
      <c r="H602" s="127"/>
      <c r="I602" s="127"/>
      <c r="J602" s="159"/>
    </row>
    <row r="603" spans="1:10" x14ac:dyDescent="0.2">
      <c r="A603" s="125"/>
      <c r="B603" s="65"/>
      <c r="C603" s="167" t="s">
        <v>1036</v>
      </c>
      <c r="D603" s="66"/>
      <c r="E603" s="67"/>
      <c r="F603" s="87"/>
      <c r="G603" s="126"/>
      <c r="H603" s="111"/>
      <c r="I603" s="111"/>
      <c r="J603" s="112"/>
    </row>
    <row r="604" spans="1:10" x14ac:dyDescent="0.2">
      <c r="A604" s="89">
        <v>1</v>
      </c>
      <c r="B604" s="113"/>
      <c r="C604" s="114" t="s">
        <v>1037</v>
      </c>
      <c r="D604" s="114"/>
      <c r="E604" s="115"/>
      <c r="F604" s="88" t="s">
        <v>268</v>
      </c>
      <c r="G604" s="116">
        <v>66780000</v>
      </c>
      <c r="H604" s="117">
        <v>54292600</v>
      </c>
      <c r="I604" s="117">
        <v>54292600</v>
      </c>
      <c r="J604" s="118">
        <v>54292600</v>
      </c>
    </row>
    <row r="605" spans="1:10" x14ac:dyDescent="0.2">
      <c r="A605" s="68">
        <f>SUM(A604+1)</f>
        <v>2</v>
      </c>
      <c r="B605" s="113"/>
      <c r="C605" s="114" t="s">
        <v>1038</v>
      </c>
      <c r="D605" s="114"/>
      <c r="E605" s="115"/>
      <c r="F605" s="88" t="s">
        <v>268</v>
      </c>
      <c r="G605" s="116">
        <v>73458000</v>
      </c>
      <c r="H605" s="117">
        <v>59721900</v>
      </c>
      <c r="I605" s="117">
        <v>59721900</v>
      </c>
      <c r="J605" s="118">
        <v>59721900</v>
      </c>
    </row>
    <row r="606" spans="1:10" x14ac:dyDescent="0.2">
      <c r="A606" s="68">
        <f>SUM(A605+1)</f>
        <v>3</v>
      </c>
      <c r="B606" s="113"/>
      <c r="C606" s="114" t="s">
        <v>1039</v>
      </c>
      <c r="D606" s="114"/>
      <c r="E606" s="115"/>
      <c r="F606" s="88" t="s">
        <v>268</v>
      </c>
      <c r="G606" s="116">
        <v>93492000</v>
      </c>
      <c r="H606" s="117">
        <v>76009700</v>
      </c>
      <c r="I606" s="117">
        <v>76009700</v>
      </c>
      <c r="J606" s="118">
        <v>76009700</v>
      </c>
    </row>
    <row r="607" spans="1:10" x14ac:dyDescent="0.2">
      <c r="A607" s="68">
        <f>SUM(A606+1)</f>
        <v>4</v>
      </c>
      <c r="B607" s="113"/>
      <c r="C607" s="114" t="s">
        <v>1040</v>
      </c>
      <c r="D607" s="114"/>
      <c r="E607" s="115"/>
      <c r="F607" s="88" t="s">
        <v>268</v>
      </c>
      <c r="G607" s="116">
        <v>100170000</v>
      </c>
      <c r="H607" s="117">
        <v>81439000</v>
      </c>
      <c r="I607" s="117">
        <v>81439000</v>
      </c>
      <c r="J607" s="118">
        <v>81439000</v>
      </c>
    </row>
    <row r="608" spans="1:10" x14ac:dyDescent="0.2">
      <c r="A608" s="166"/>
      <c r="B608" s="149"/>
      <c r="C608" s="150"/>
      <c r="D608" s="150"/>
      <c r="E608" s="151"/>
      <c r="F608" s="152"/>
      <c r="G608" s="153"/>
      <c r="H608" s="154"/>
      <c r="I608" s="154"/>
      <c r="J608" s="155"/>
    </row>
    <row r="609" spans="1:10" x14ac:dyDescent="0.2">
      <c r="A609" s="125"/>
      <c r="B609" s="65"/>
      <c r="C609" s="167" t="s">
        <v>1041</v>
      </c>
      <c r="D609" s="66"/>
      <c r="E609" s="67"/>
      <c r="F609" s="87"/>
      <c r="G609" s="126"/>
      <c r="H609" s="111">
        <v>0</v>
      </c>
      <c r="I609" s="111">
        <v>0</v>
      </c>
      <c r="J609" s="112">
        <v>0</v>
      </c>
    </row>
    <row r="610" spans="1:10" x14ac:dyDescent="0.2">
      <c r="A610" s="89">
        <v>1</v>
      </c>
      <c r="B610" s="113"/>
      <c r="C610" s="114" t="s">
        <v>1042</v>
      </c>
      <c r="D610" s="114"/>
      <c r="E610" s="115"/>
      <c r="F610" s="88" t="s">
        <v>268</v>
      </c>
      <c r="G610" s="116">
        <v>80136000</v>
      </c>
      <c r="H610" s="117">
        <v>65151200</v>
      </c>
      <c r="I610" s="117">
        <v>65151200</v>
      </c>
      <c r="J610" s="118">
        <v>65151200</v>
      </c>
    </row>
    <row r="611" spans="1:10" x14ac:dyDescent="0.2">
      <c r="A611" s="68">
        <f>SUM(A610+1)</f>
        <v>2</v>
      </c>
      <c r="B611" s="113"/>
      <c r="C611" s="114" t="s">
        <v>1037</v>
      </c>
      <c r="D611" s="114"/>
      <c r="E611" s="115"/>
      <c r="F611" s="88" t="s">
        <v>268</v>
      </c>
      <c r="G611" s="116">
        <v>86814000</v>
      </c>
      <c r="H611" s="117">
        <v>70580400</v>
      </c>
      <c r="I611" s="117">
        <v>70580400</v>
      </c>
      <c r="J611" s="118">
        <v>70580400</v>
      </c>
    </row>
    <row r="612" spans="1:10" x14ac:dyDescent="0.2">
      <c r="A612" s="68">
        <f>SUM(A611+1)</f>
        <v>3</v>
      </c>
      <c r="B612" s="113"/>
      <c r="C612" s="114" t="s">
        <v>1043</v>
      </c>
      <c r="D612" s="114"/>
      <c r="E612" s="115"/>
      <c r="F612" s="88" t="s">
        <v>268</v>
      </c>
      <c r="G612" s="116">
        <v>93492000</v>
      </c>
      <c r="H612" s="117">
        <v>76009700</v>
      </c>
      <c r="I612" s="117">
        <v>76009700</v>
      </c>
      <c r="J612" s="118">
        <v>76009700</v>
      </c>
    </row>
    <row r="613" spans="1:10" x14ac:dyDescent="0.2">
      <c r="A613" s="68">
        <f>SUM(A612+1)</f>
        <v>4</v>
      </c>
      <c r="B613" s="113"/>
      <c r="C613" s="114" t="s">
        <v>1039</v>
      </c>
      <c r="D613" s="114"/>
      <c r="E613" s="115"/>
      <c r="F613" s="88" t="s">
        <v>268</v>
      </c>
      <c r="G613" s="116">
        <v>106848000</v>
      </c>
      <c r="H613" s="117">
        <v>86868200</v>
      </c>
      <c r="I613" s="117">
        <v>86868200</v>
      </c>
      <c r="J613" s="118">
        <v>86868200</v>
      </c>
    </row>
    <row r="614" spans="1:10" x14ac:dyDescent="0.2">
      <c r="A614" s="148"/>
      <c r="B614" s="149"/>
      <c r="C614" s="150"/>
      <c r="D614" s="150"/>
      <c r="E614" s="151"/>
      <c r="F614" s="152"/>
      <c r="G614" s="153"/>
      <c r="H614" s="154"/>
      <c r="I614" s="154"/>
      <c r="J614" s="155"/>
    </row>
    <row r="615" spans="1:10" x14ac:dyDescent="0.2">
      <c r="A615" s="83"/>
      <c r="B615" s="84"/>
      <c r="C615" s="123" t="s">
        <v>1166</v>
      </c>
      <c r="D615" s="77"/>
      <c r="E615" s="85"/>
      <c r="F615" s="157"/>
      <c r="G615" s="158"/>
      <c r="H615" s="127"/>
      <c r="I615" s="127"/>
      <c r="J615" s="159"/>
    </row>
    <row r="616" spans="1:10" x14ac:dyDescent="0.2">
      <c r="A616" s="125"/>
      <c r="B616" s="65"/>
      <c r="C616" s="66"/>
      <c r="D616" s="66"/>
      <c r="E616" s="67"/>
      <c r="F616" s="170" t="s">
        <v>1060</v>
      </c>
      <c r="G616" s="126"/>
      <c r="H616" s="111">
        <v>0</v>
      </c>
      <c r="I616" s="111">
        <v>0</v>
      </c>
      <c r="J616" s="112">
        <v>0</v>
      </c>
    </row>
    <row r="617" spans="1:10" x14ac:dyDescent="0.2">
      <c r="A617" s="89">
        <v>1</v>
      </c>
      <c r="B617" s="113"/>
      <c r="C617" s="114" t="s">
        <v>1167</v>
      </c>
      <c r="D617" s="114"/>
      <c r="E617" s="115"/>
      <c r="F617" s="88" t="s">
        <v>1168</v>
      </c>
      <c r="G617" s="116">
        <v>9843400</v>
      </c>
      <c r="H617" s="117">
        <v>8002700</v>
      </c>
      <c r="I617" s="117">
        <v>8002700</v>
      </c>
      <c r="J617" s="118">
        <v>8002700</v>
      </c>
    </row>
    <row r="618" spans="1:10" x14ac:dyDescent="0.2">
      <c r="A618" s="71">
        <f>SUM(A617+1)</f>
        <v>2</v>
      </c>
      <c r="B618" s="113"/>
      <c r="C618" s="114" t="s">
        <v>1169</v>
      </c>
      <c r="D618" s="114"/>
      <c r="E618" s="115"/>
      <c r="F618" s="88" t="s">
        <v>1170</v>
      </c>
      <c r="G618" s="116">
        <v>482200</v>
      </c>
      <c r="H618" s="117">
        <v>392000</v>
      </c>
      <c r="I618" s="117">
        <v>392000</v>
      </c>
      <c r="J618" s="118">
        <v>392000</v>
      </c>
    </row>
    <row r="619" spans="1:10" x14ac:dyDescent="0.2">
      <c r="A619" s="71">
        <f>SUM(A618+1)</f>
        <v>3</v>
      </c>
      <c r="B619" s="113"/>
      <c r="C619" s="114" t="s">
        <v>1171</v>
      </c>
      <c r="D619" s="114"/>
      <c r="E619" s="115"/>
      <c r="F619" s="88" t="s">
        <v>1172</v>
      </c>
      <c r="G619" s="116">
        <v>172400</v>
      </c>
      <c r="H619" s="117">
        <v>140100</v>
      </c>
      <c r="I619" s="117">
        <v>140100</v>
      </c>
      <c r="J619" s="118">
        <v>140100</v>
      </c>
    </row>
    <row r="620" spans="1:10" x14ac:dyDescent="0.2">
      <c r="A620" s="71">
        <f>SUM(A619+1)</f>
        <v>4</v>
      </c>
      <c r="B620" s="113"/>
      <c r="C620" s="114" t="s">
        <v>1173</v>
      </c>
      <c r="D620" s="114"/>
      <c r="E620" s="115"/>
      <c r="F620" s="88" t="s">
        <v>1062</v>
      </c>
      <c r="G620" s="116">
        <v>805400</v>
      </c>
      <c r="H620" s="117">
        <v>654700</v>
      </c>
      <c r="I620" s="117">
        <v>654700</v>
      </c>
      <c r="J620" s="118">
        <v>654700</v>
      </c>
    </row>
    <row r="621" spans="1:10" x14ac:dyDescent="0.2">
      <c r="A621" s="89">
        <f>SUM(A620+1)</f>
        <v>5</v>
      </c>
      <c r="B621" s="113"/>
      <c r="C621" s="114" t="s">
        <v>1174</v>
      </c>
      <c r="D621" s="114"/>
      <c r="E621" s="115"/>
      <c r="F621" s="88" t="s">
        <v>1175</v>
      </c>
      <c r="G621" s="116">
        <v>275200</v>
      </c>
      <c r="H621" s="117">
        <v>223700</v>
      </c>
      <c r="I621" s="117">
        <v>223700</v>
      </c>
      <c r="J621" s="118">
        <v>223700</v>
      </c>
    </row>
    <row r="622" spans="1:10" x14ac:dyDescent="0.2">
      <c r="A622" s="71">
        <f t="shared" ref="A622:A676" si="12">SUM(A621+1)</f>
        <v>6</v>
      </c>
      <c r="B622" s="113"/>
      <c r="C622" s="114" t="s">
        <v>1176</v>
      </c>
      <c r="D622" s="114"/>
      <c r="E622" s="115"/>
      <c r="F622" s="88" t="s">
        <v>1177</v>
      </c>
      <c r="G622" s="116">
        <v>78900</v>
      </c>
      <c r="H622" s="117">
        <v>64100</v>
      </c>
      <c r="I622" s="117">
        <v>64100</v>
      </c>
      <c r="J622" s="118">
        <v>64100</v>
      </c>
    </row>
    <row r="623" spans="1:10" x14ac:dyDescent="0.2">
      <c r="A623" s="71">
        <f t="shared" si="12"/>
        <v>7</v>
      </c>
      <c r="B623" s="113"/>
      <c r="C623" s="114" t="s">
        <v>1178</v>
      </c>
      <c r="D623" s="114"/>
      <c r="E623" s="115"/>
      <c r="F623" s="88" t="s">
        <v>1179</v>
      </c>
      <c r="G623" s="116">
        <v>609100</v>
      </c>
      <c r="H623" s="117">
        <v>495200</v>
      </c>
      <c r="I623" s="117">
        <v>495200</v>
      </c>
      <c r="J623" s="118">
        <v>495200</v>
      </c>
    </row>
    <row r="624" spans="1:10" x14ac:dyDescent="0.2">
      <c r="A624" s="71">
        <f t="shared" si="12"/>
        <v>8</v>
      </c>
      <c r="B624" s="113"/>
      <c r="C624" s="114" t="s">
        <v>1180</v>
      </c>
      <c r="D624" s="114"/>
      <c r="E624" s="115"/>
      <c r="F624" s="88" t="s">
        <v>1181</v>
      </c>
      <c r="G624" s="116">
        <v>418100</v>
      </c>
      <c r="H624" s="117">
        <v>339900</v>
      </c>
      <c r="I624" s="117">
        <v>339900</v>
      </c>
      <c r="J624" s="118">
        <v>339900</v>
      </c>
    </row>
    <row r="625" spans="1:10" x14ac:dyDescent="0.2">
      <c r="A625" s="71">
        <f t="shared" si="12"/>
        <v>9</v>
      </c>
      <c r="B625" s="113"/>
      <c r="C625" s="114" t="s">
        <v>1182</v>
      </c>
      <c r="D625" s="114"/>
      <c r="E625" s="115"/>
      <c r="F625" s="88" t="s">
        <v>1170</v>
      </c>
      <c r="G625" s="116">
        <v>776100</v>
      </c>
      <c r="H625" s="117">
        <v>630900</v>
      </c>
      <c r="I625" s="117">
        <v>630900</v>
      </c>
      <c r="J625" s="118">
        <v>630900</v>
      </c>
    </row>
    <row r="626" spans="1:10" x14ac:dyDescent="0.2">
      <c r="A626" s="71">
        <f t="shared" si="12"/>
        <v>10</v>
      </c>
      <c r="B626" s="113"/>
      <c r="C626" s="114" t="s">
        <v>1183</v>
      </c>
      <c r="D626" s="114"/>
      <c r="E626" s="115"/>
      <c r="F626" s="88" t="s">
        <v>1184</v>
      </c>
      <c r="G626" s="116">
        <v>638500</v>
      </c>
      <c r="H626" s="117">
        <v>519100</v>
      </c>
      <c r="I626" s="117">
        <v>519100</v>
      </c>
      <c r="J626" s="118">
        <v>519100</v>
      </c>
    </row>
    <row r="627" spans="1:10" x14ac:dyDescent="0.2">
      <c r="A627" s="71">
        <f t="shared" si="12"/>
        <v>11</v>
      </c>
      <c r="B627" s="113"/>
      <c r="C627" s="114" t="s">
        <v>1185</v>
      </c>
      <c r="D627" s="114"/>
      <c r="E627" s="115"/>
      <c r="F627" s="88" t="s">
        <v>1186</v>
      </c>
      <c r="G627" s="116">
        <v>693300</v>
      </c>
      <c r="H627" s="117">
        <v>563600</v>
      </c>
      <c r="I627" s="117">
        <v>563600</v>
      </c>
      <c r="J627" s="118">
        <v>563600</v>
      </c>
    </row>
    <row r="628" spans="1:10" x14ac:dyDescent="0.2">
      <c r="A628" s="71">
        <f t="shared" si="12"/>
        <v>12</v>
      </c>
      <c r="B628" s="113"/>
      <c r="C628" s="114" t="s">
        <v>1187</v>
      </c>
      <c r="D628" s="114"/>
      <c r="E628" s="115"/>
      <c r="F628" s="88" t="s">
        <v>1188</v>
      </c>
      <c r="G628" s="116">
        <v>746700</v>
      </c>
      <c r="H628" s="117">
        <v>607000</v>
      </c>
      <c r="I628" s="117">
        <v>607000</v>
      </c>
      <c r="J628" s="118">
        <v>607000</v>
      </c>
    </row>
    <row r="629" spans="1:10" x14ac:dyDescent="0.2">
      <c r="A629" s="71">
        <f t="shared" si="12"/>
        <v>13</v>
      </c>
      <c r="B629" s="113"/>
      <c r="C629" s="114" t="s">
        <v>1189</v>
      </c>
      <c r="D629" s="114"/>
      <c r="E629" s="115"/>
      <c r="F629" s="90">
        <v>10800</v>
      </c>
      <c r="G629" s="116">
        <v>713300</v>
      </c>
      <c r="H629" s="117">
        <v>579900</v>
      </c>
      <c r="I629" s="117">
        <v>579900</v>
      </c>
      <c r="J629" s="118">
        <v>579900</v>
      </c>
    </row>
    <row r="630" spans="1:10" x14ac:dyDescent="0.2">
      <c r="A630" s="71">
        <f t="shared" si="12"/>
        <v>14</v>
      </c>
      <c r="B630" s="113"/>
      <c r="C630" s="114" t="s">
        <v>1190</v>
      </c>
      <c r="D630" s="114"/>
      <c r="E630" s="115"/>
      <c r="F630" s="88" t="s">
        <v>1191</v>
      </c>
      <c r="G630" s="116">
        <v>338000</v>
      </c>
      <c r="H630" s="117">
        <v>274700</v>
      </c>
      <c r="I630" s="117">
        <v>274700</v>
      </c>
      <c r="J630" s="118">
        <v>274700</v>
      </c>
    </row>
    <row r="631" spans="1:10" x14ac:dyDescent="0.2">
      <c r="A631" s="71">
        <f t="shared" si="12"/>
        <v>15</v>
      </c>
      <c r="B631" s="113"/>
      <c r="C631" s="114" t="s">
        <v>1192</v>
      </c>
      <c r="D631" s="114"/>
      <c r="E631" s="115"/>
      <c r="F631" s="88" t="s">
        <v>1193</v>
      </c>
      <c r="G631" s="116">
        <v>526300</v>
      </c>
      <c r="H631" s="117">
        <v>427800</v>
      </c>
      <c r="I631" s="117">
        <v>427800</v>
      </c>
      <c r="J631" s="118">
        <v>427800</v>
      </c>
    </row>
    <row r="632" spans="1:10" x14ac:dyDescent="0.2">
      <c r="A632" s="71">
        <f t="shared" si="12"/>
        <v>16</v>
      </c>
      <c r="B632" s="113"/>
      <c r="C632" s="114" t="s">
        <v>1194</v>
      </c>
      <c r="D632" s="114"/>
      <c r="E632" s="115"/>
      <c r="F632" s="88" t="s">
        <v>1195</v>
      </c>
      <c r="G632" s="116">
        <v>272600</v>
      </c>
      <c r="H632" s="117">
        <v>221600</v>
      </c>
      <c r="I632" s="117">
        <v>221600</v>
      </c>
      <c r="J632" s="118">
        <v>221600</v>
      </c>
    </row>
    <row r="633" spans="1:10" x14ac:dyDescent="0.2">
      <c r="A633" s="71">
        <f t="shared" si="12"/>
        <v>17</v>
      </c>
      <c r="B633" s="113"/>
      <c r="C633" s="114" t="s">
        <v>1196</v>
      </c>
      <c r="D633" s="114"/>
      <c r="E633" s="115"/>
      <c r="F633" s="88" t="s">
        <v>1197</v>
      </c>
      <c r="G633" s="116">
        <v>450200</v>
      </c>
      <c r="H633" s="117">
        <v>366000</v>
      </c>
      <c r="I633" s="117">
        <v>366000</v>
      </c>
      <c r="J633" s="118">
        <v>366000</v>
      </c>
    </row>
    <row r="634" spans="1:10" x14ac:dyDescent="0.2">
      <c r="A634" s="71">
        <f t="shared" si="12"/>
        <v>18</v>
      </c>
      <c r="B634" s="113"/>
      <c r="C634" s="114" t="s">
        <v>1198</v>
      </c>
      <c r="D634" s="114"/>
      <c r="E634" s="115"/>
      <c r="F634" s="88" t="s">
        <v>1199</v>
      </c>
      <c r="G634" s="116">
        <v>499600</v>
      </c>
      <c r="H634" s="117">
        <v>406100</v>
      </c>
      <c r="I634" s="117">
        <v>406100</v>
      </c>
      <c r="J634" s="118">
        <v>406100</v>
      </c>
    </row>
    <row r="635" spans="1:10" x14ac:dyDescent="0.2">
      <c r="A635" s="71">
        <f t="shared" si="12"/>
        <v>19</v>
      </c>
      <c r="B635" s="113"/>
      <c r="C635" s="114" t="s">
        <v>1200</v>
      </c>
      <c r="D635" s="114"/>
      <c r="E635" s="115"/>
      <c r="F635" s="88" t="s">
        <v>1201</v>
      </c>
      <c r="G635" s="116">
        <v>412800</v>
      </c>
      <c r="H635" s="117">
        <v>335600</v>
      </c>
      <c r="I635" s="117">
        <v>335600</v>
      </c>
      <c r="J635" s="118">
        <v>335600</v>
      </c>
    </row>
    <row r="636" spans="1:10" x14ac:dyDescent="0.2">
      <c r="A636" s="71">
        <f t="shared" si="12"/>
        <v>20</v>
      </c>
      <c r="B636" s="113"/>
      <c r="C636" s="114" t="s">
        <v>1202</v>
      </c>
      <c r="D636" s="114"/>
      <c r="E636" s="115"/>
      <c r="F636" s="88" t="s">
        <v>1203</v>
      </c>
      <c r="G636" s="116">
        <v>53500</v>
      </c>
      <c r="H636" s="117">
        <v>43400</v>
      </c>
      <c r="I636" s="117">
        <v>43400</v>
      </c>
      <c r="J636" s="118">
        <v>43400</v>
      </c>
    </row>
    <row r="637" spans="1:10" x14ac:dyDescent="0.2">
      <c r="A637" s="71">
        <f t="shared" si="12"/>
        <v>21</v>
      </c>
      <c r="B637" s="113"/>
      <c r="C637" s="114" t="s">
        <v>1204</v>
      </c>
      <c r="D637" s="114"/>
      <c r="E637" s="115"/>
      <c r="F637" s="88" t="s">
        <v>1061</v>
      </c>
      <c r="G637" s="116">
        <v>1231600</v>
      </c>
      <c r="H637" s="117">
        <v>1001300</v>
      </c>
      <c r="I637" s="117">
        <v>1001300</v>
      </c>
      <c r="J637" s="118">
        <v>1001300</v>
      </c>
    </row>
    <row r="638" spans="1:10" x14ac:dyDescent="0.2">
      <c r="A638" s="71">
        <f t="shared" si="12"/>
        <v>22</v>
      </c>
      <c r="B638" s="113"/>
      <c r="C638" s="114" t="s">
        <v>1205</v>
      </c>
      <c r="D638" s="114"/>
      <c r="E638" s="115"/>
      <c r="F638" s="88" t="s">
        <v>1062</v>
      </c>
      <c r="G638" s="116">
        <v>58900</v>
      </c>
      <c r="H638" s="117">
        <v>47800</v>
      </c>
      <c r="I638" s="117">
        <v>47800</v>
      </c>
      <c r="J638" s="118">
        <v>47800</v>
      </c>
    </row>
    <row r="639" spans="1:10" x14ac:dyDescent="0.2">
      <c r="A639" s="71">
        <f t="shared" si="12"/>
        <v>23</v>
      </c>
      <c r="B639" s="113"/>
      <c r="C639" s="114" t="s">
        <v>1206</v>
      </c>
      <c r="D639" s="114"/>
      <c r="E639" s="115"/>
      <c r="F639" s="88" t="s">
        <v>1207</v>
      </c>
      <c r="G639" s="116">
        <v>221800</v>
      </c>
      <c r="H639" s="117">
        <v>180300</v>
      </c>
      <c r="I639" s="117">
        <v>180300</v>
      </c>
      <c r="J639" s="118">
        <v>180300</v>
      </c>
    </row>
    <row r="640" spans="1:10" x14ac:dyDescent="0.2">
      <c r="A640" s="71">
        <f t="shared" si="12"/>
        <v>24</v>
      </c>
      <c r="B640" s="113"/>
      <c r="C640" s="114" t="s">
        <v>1208</v>
      </c>
      <c r="D640" s="114"/>
      <c r="E640" s="115"/>
      <c r="F640" s="88" t="s">
        <v>1209</v>
      </c>
      <c r="G640" s="116">
        <v>132300</v>
      </c>
      <c r="H640" s="117">
        <v>107500</v>
      </c>
      <c r="I640" s="117">
        <v>107500</v>
      </c>
      <c r="J640" s="118">
        <v>107500</v>
      </c>
    </row>
    <row r="641" spans="1:10" x14ac:dyDescent="0.2">
      <c r="A641" s="71">
        <f t="shared" si="12"/>
        <v>25</v>
      </c>
      <c r="B641" s="113"/>
      <c r="C641" s="114" t="s">
        <v>1210</v>
      </c>
      <c r="D641" s="114"/>
      <c r="E641" s="115"/>
      <c r="F641" s="88" t="s">
        <v>1211</v>
      </c>
      <c r="G641" s="116">
        <v>53500</v>
      </c>
      <c r="H641" s="117">
        <v>43400</v>
      </c>
      <c r="I641" s="117">
        <v>43400</v>
      </c>
      <c r="J641" s="118">
        <v>43400</v>
      </c>
    </row>
    <row r="642" spans="1:10" x14ac:dyDescent="0.2">
      <c r="A642" s="71">
        <f t="shared" si="12"/>
        <v>26</v>
      </c>
      <c r="B642" s="113"/>
      <c r="C642" s="114" t="s">
        <v>1212</v>
      </c>
      <c r="D642" s="114"/>
      <c r="E642" s="115"/>
      <c r="F642" s="91">
        <v>1330</v>
      </c>
      <c r="G642" s="116">
        <v>68200</v>
      </c>
      <c r="H642" s="117">
        <v>55400</v>
      </c>
      <c r="I642" s="117">
        <v>55400</v>
      </c>
      <c r="J642" s="118">
        <v>55400</v>
      </c>
    </row>
    <row r="643" spans="1:10" x14ac:dyDescent="0.2">
      <c r="A643" s="71">
        <f t="shared" si="12"/>
        <v>27</v>
      </c>
      <c r="B643" s="113"/>
      <c r="C643" s="114" t="s">
        <v>1213</v>
      </c>
      <c r="D643" s="114"/>
      <c r="E643" s="115"/>
      <c r="F643" s="91">
        <v>2005</v>
      </c>
      <c r="G643" s="116">
        <v>1433200</v>
      </c>
      <c r="H643" s="117">
        <v>1165200</v>
      </c>
      <c r="I643" s="117">
        <v>1165200</v>
      </c>
      <c r="J643" s="118">
        <v>1165200</v>
      </c>
    </row>
    <row r="644" spans="1:10" x14ac:dyDescent="0.2">
      <c r="A644" s="71">
        <f t="shared" si="12"/>
        <v>28</v>
      </c>
      <c r="B644" s="113"/>
      <c r="C644" s="114" t="s">
        <v>1214</v>
      </c>
      <c r="D644" s="114"/>
      <c r="E644" s="115"/>
      <c r="F644" s="88" t="s">
        <v>1215</v>
      </c>
      <c r="G644" s="116">
        <v>460800</v>
      </c>
      <c r="H644" s="117">
        <v>374600</v>
      </c>
      <c r="I644" s="117">
        <v>374600</v>
      </c>
      <c r="J644" s="118">
        <v>374600</v>
      </c>
    </row>
    <row r="645" spans="1:10" x14ac:dyDescent="0.2">
      <c r="A645" s="71">
        <f t="shared" si="12"/>
        <v>29</v>
      </c>
      <c r="B645" s="113"/>
      <c r="C645" s="114" t="s">
        <v>1216</v>
      </c>
      <c r="D645" s="114"/>
      <c r="E645" s="115"/>
      <c r="F645" s="88" t="s">
        <v>1217</v>
      </c>
      <c r="G645" s="116">
        <v>694600</v>
      </c>
      <c r="H645" s="117">
        <v>564700</v>
      </c>
      <c r="I645" s="117">
        <v>564700</v>
      </c>
      <c r="J645" s="118">
        <v>564700</v>
      </c>
    </row>
    <row r="646" spans="1:10" x14ac:dyDescent="0.2">
      <c r="A646" s="71">
        <f t="shared" si="12"/>
        <v>30</v>
      </c>
      <c r="B646" s="113"/>
      <c r="C646" s="114" t="s">
        <v>1218</v>
      </c>
      <c r="D646" s="114"/>
      <c r="E646" s="115"/>
      <c r="F646" s="88" t="s">
        <v>1219</v>
      </c>
      <c r="G646" s="116">
        <v>159000</v>
      </c>
      <c r="H646" s="117">
        <v>129200</v>
      </c>
      <c r="I646" s="117">
        <v>129200</v>
      </c>
      <c r="J646" s="118">
        <v>129200</v>
      </c>
    </row>
    <row r="647" spans="1:10" x14ac:dyDescent="0.2">
      <c r="A647" s="71">
        <f t="shared" si="12"/>
        <v>31</v>
      </c>
      <c r="B647" s="113"/>
      <c r="C647" s="114" t="s">
        <v>1220</v>
      </c>
      <c r="D647" s="114"/>
      <c r="E647" s="115"/>
      <c r="F647" s="88" t="s">
        <v>1221</v>
      </c>
      <c r="G647" s="116">
        <v>687900</v>
      </c>
      <c r="H647" s="117">
        <v>559200</v>
      </c>
      <c r="I647" s="117">
        <v>559200</v>
      </c>
      <c r="J647" s="118">
        <v>559200</v>
      </c>
    </row>
    <row r="648" spans="1:10" x14ac:dyDescent="0.2">
      <c r="A648" s="71">
        <f t="shared" si="12"/>
        <v>32</v>
      </c>
      <c r="B648" s="113"/>
      <c r="C648" s="114" t="s">
        <v>1222</v>
      </c>
      <c r="D648" s="114"/>
      <c r="E648" s="115"/>
      <c r="F648" s="88" t="s">
        <v>1223</v>
      </c>
      <c r="G648" s="116">
        <v>168400</v>
      </c>
      <c r="H648" s="117">
        <v>136900</v>
      </c>
      <c r="I648" s="117">
        <v>136900</v>
      </c>
      <c r="J648" s="118">
        <v>136900</v>
      </c>
    </row>
    <row r="649" spans="1:10" x14ac:dyDescent="0.2">
      <c r="A649" s="71">
        <f t="shared" si="12"/>
        <v>33</v>
      </c>
      <c r="B649" s="113"/>
      <c r="C649" s="114" t="s">
        <v>1224</v>
      </c>
      <c r="D649" s="114"/>
      <c r="E649" s="115"/>
      <c r="F649" s="88" t="s">
        <v>1225</v>
      </c>
      <c r="G649" s="116">
        <v>2361400</v>
      </c>
      <c r="H649" s="117">
        <v>1919800</v>
      </c>
      <c r="I649" s="117">
        <v>1919800</v>
      </c>
      <c r="J649" s="118">
        <v>1919800</v>
      </c>
    </row>
    <row r="650" spans="1:10" x14ac:dyDescent="0.2">
      <c r="A650" s="71">
        <f t="shared" si="12"/>
        <v>34</v>
      </c>
      <c r="B650" s="113"/>
      <c r="C650" s="114" t="s">
        <v>1226</v>
      </c>
      <c r="D650" s="114"/>
      <c r="E650" s="115"/>
      <c r="F650" s="88" t="s">
        <v>1227</v>
      </c>
      <c r="G650" s="116">
        <v>121600</v>
      </c>
      <c r="H650" s="117">
        <v>98800</v>
      </c>
      <c r="I650" s="117">
        <v>98800</v>
      </c>
      <c r="J650" s="118">
        <v>98800</v>
      </c>
    </row>
    <row r="651" spans="1:10" x14ac:dyDescent="0.2">
      <c r="A651" s="71">
        <f t="shared" si="12"/>
        <v>35</v>
      </c>
      <c r="B651" s="113"/>
      <c r="C651" s="114" t="s">
        <v>1228</v>
      </c>
      <c r="D651" s="114"/>
      <c r="E651" s="115"/>
      <c r="F651" s="88" t="s">
        <v>1179</v>
      </c>
      <c r="G651" s="116">
        <v>794700</v>
      </c>
      <c r="H651" s="117">
        <v>646000</v>
      </c>
      <c r="I651" s="117">
        <v>646000</v>
      </c>
      <c r="J651" s="118">
        <v>646000</v>
      </c>
    </row>
    <row r="652" spans="1:10" x14ac:dyDescent="0.2">
      <c r="A652" s="71">
        <f t="shared" si="12"/>
        <v>36</v>
      </c>
      <c r="B652" s="113"/>
      <c r="C652" s="114" t="s">
        <v>1229</v>
      </c>
      <c r="D652" s="114"/>
      <c r="E652" s="115"/>
      <c r="F652" s="88" t="s">
        <v>805</v>
      </c>
      <c r="G652" s="116">
        <v>288600</v>
      </c>
      <c r="H652" s="117">
        <v>234600</v>
      </c>
      <c r="I652" s="117">
        <v>234600</v>
      </c>
      <c r="J652" s="118">
        <v>234600</v>
      </c>
    </row>
    <row r="653" spans="1:10" x14ac:dyDescent="0.2">
      <c r="A653" s="71">
        <f t="shared" si="12"/>
        <v>37</v>
      </c>
      <c r="B653" s="113"/>
      <c r="C653" s="114" t="s">
        <v>1230</v>
      </c>
      <c r="D653" s="114"/>
      <c r="E653" s="115"/>
      <c r="F653" s="88" t="s">
        <v>1231</v>
      </c>
      <c r="G653" s="116">
        <v>1860600</v>
      </c>
      <c r="H653" s="117">
        <v>1512600</v>
      </c>
      <c r="I653" s="117">
        <v>1512600</v>
      </c>
      <c r="J653" s="118">
        <v>1512600</v>
      </c>
    </row>
    <row r="654" spans="1:10" x14ac:dyDescent="0.2">
      <c r="A654" s="71">
        <f t="shared" si="12"/>
        <v>38</v>
      </c>
      <c r="B654" s="113"/>
      <c r="C654" s="114" t="s">
        <v>1232</v>
      </c>
      <c r="D654" s="114"/>
      <c r="E654" s="115"/>
      <c r="F654" s="88" t="s">
        <v>1233</v>
      </c>
      <c r="G654" s="116">
        <v>3960100</v>
      </c>
      <c r="H654" s="117">
        <v>3219500</v>
      </c>
      <c r="I654" s="117">
        <v>3219500</v>
      </c>
      <c r="J654" s="118">
        <v>3219500</v>
      </c>
    </row>
    <row r="655" spans="1:10" x14ac:dyDescent="0.2">
      <c r="A655" s="71">
        <f t="shared" si="12"/>
        <v>39</v>
      </c>
      <c r="B655" s="113"/>
      <c r="C655" s="114" t="s">
        <v>1234</v>
      </c>
      <c r="D655" s="114"/>
      <c r="E655" s="115"/>
      <c r="F655" s="88" t="s">
        <v>1235</v>
      </c>
      <c r="G655" s="116">
        <v>2350700</v>
      </c>
      <c r="H655" s="117">
        <v>1911100</v>
      </c>
      <c r="I655" s="117">
        <v>1911100</v>
      </c>
      <c r="J655" s="118">
        <v>1911100</v>
      </c>
    </row>
    <row r="656" spans="1:10" x14ac:dyDescent="0.2">
      <c r="A656" s="71">
        <f t="shared" si="12"/>
        <v>40</v>
      </c>
      <c r="B656" s="113"/>
      <c r="C656" s="114" t="s">
        <v>1236</v>
      </c>
      <c r="D656" s="114"/>
      <c r="E656" s="115"/>
      <c r="F656" s="88" t="s">
        <v>1237</v>
      </c>
      <c r="G656" s="116">
        <v>713300</v>
      </c>
      <c r="H656" s="117">
        <v>579900</v>
      </c>
      <c r="I656" s="117">
        <v>579900</v>
      </c>
      <c r="J656" s="118">
        <v>579900</v>
      </c>
    </row>
    <row r="657" spans="1:10" x14ac:dyDescent="0.2">
      <c r="A657" s="71">
        <f t="shared" si="12"/>
        <v>41</v>
      </c>
      <c r="B657" s="113"/>
      <c r="C657" s="114" t="s">
        <v>1238</v>
      </c>
      <c r="D657" s="114"/>
      <c r="E657" s="115"/>
      <c r="F657" s="88" t="s">
        <v>1207</v>
      </c>
      <c r="G657" s="116">
        <v>475600</v>
      </c>
      <c r="H657" s="117">
        <v>386600</v>
      </c>
      <c r="I657" s="117">
        <v>386600</v>
      </c>
      <c r="J657" s="118">
        <v>386600</v>
      </c>
    </row>
    <row r="658" spans="1:10" x14ac:dyDescent="0.2">
      <c r="A658" s="71">
        <f t="shared" si="12"/>
        <v>42</v>
      </c>
      <c r="B658" s="113"/>
      <c r="C658" s="114" t="s">
        <v>1239</v>
      </c>
      <c r="D658" s="114"/>
      <c r="E658" s="115"/>
      <c r="F658" s="88" t="s">
        <v>1240</v>
      </c>
      <c r="G658" s="116">
        <v>399500</v>
      </c>
      <c r="H658" s="117">
        <v>324700</v>
      </c>
      <c r="I658" s="117">
        <v>324700</v>
      </c>
      <c r="J658" s="118">
        <v>324700</v>
      </c>
    </row>
    <row r="659" spans="1:10" x14ac:dyDescent="0.2">
      <c r="A659" s="71">
        <f t="shared" si="12"/>
        <v>43</v>
      </c>
      <c r="B659" s="113"/>
      <c r="C659" s="114" t="s">
        <v>1241</v>
      </c>
      <c r="D659" s="114"/>
      <c r="E659" s="115"/>
      <c r="F659" s="88" t="s">
        <v>1242</v>
      </c>
      <c r="G659" s="116">
        <v>607700</v>
      </c>
      <c r="H659" s="117">
        <v>494000</v>
      </c>
      <c r="I659" s="117">
        <v>494000</v>
      </c>
      <c r="J659" s="118">
        <v>494000</v>
      </c>
    </row>
    <row r="660" spans="1:10" x14ac:dyDescent="0.2">
      <c r="A660" s="71">
        <f t="shared" si="12"/>
        <v>44</v>
      </c>
      <c r="B660" s="113"/>
      <c r="C660" s="114" t="s">
        <v>1243</v>
      </c>
      <c r="D660" s="114"/>
      <c r="E660" s="115"/>
      <c r="F660" s="88" t="s">
        <v>1244</v>
      </c>
      <c r="G660" s="116">
        <v>1172700</v>
      </c>
      <c r="H660" s="117">
        <v>953400</v>
      </c>
      <c r="I660" s="117">
        <v>953400</v>
      </c>
      <c r="J660" s="118">
        <v>953400</v>
      </c>
    </row>
    <row r="661" spans="1:10" x14ac:dyDescent="0.2">
      <c r="A661" s="71">
        <f t="shared" si="12"/>
        <v>45</v>
      </c>
      <c r="B661" s="113"/>
      <c r="C661" s="114" t="s">
        <v>1245</v>
      </c>
      <c r="D661" s="114"/>
      <c r="E661" s="115"/>
      <c r="F661" s="88" t="s">
        <v>1246</v>
      </c>
      <c r="G661" s="116">
        <v>716000</v>
      </c>
      <c r="H661" s="117">
        <v>582100</v>
      </c>
      <c r="I661" s="117">
        <v>582100</v>
      </c>
      <c r="J661" s="118">
        <v>582100</v>
      </c>
    </row>
    <row r="662" spans="1:10" x14ac:dyDescent="0.2">
      <c r="A662" s="71">
        <f t="shared" si="12"/>
        <v>46</v>
      </c>
      <c r="B662" s="113"/>
      <c r="C662" s="114" t="s">
        <v>1247</v>
      </c>
      <c r="D662" s="114"/>
      <c r="E662" s="115"/>
      <c r="F662" s="88" t="s">
        <v>1246</v>
      </c>
      <c r="G662" s="116">
        <v>655900</v>
      </c>
      <c r="H662" s="117">
        <v>533200</v>
      </c>
      <c r="I662" s="117">
        <v>533200</v>
      </c>
      <c r="J662" s="118">
        <v>533200</v>
      </c>
    </row>
    <row r="663" spans="1:10" x14ac:dyDescent="0.2">
      <c r="A663" s="71">
        <f t="shared" si="12"/>
        <v>47</v>
      </c>
      <c r="B663" s="113"/>
      <c r="C663" s="114" t="s">
        <v>1248</v>
      </c>
      <c r="D663" s="114"/>
      <c r="E663" s="115"/>
      <c r="F663" s="88" t="s">
        <v>1249</v>
      </c>
      <c r="G663" s="116">
        <v>56200</v>
      </c>
      <c r="H663" s="117">
        <v>45600</v>
      </c>
      <c r="I663" s="117">
        <v>45600</v>
      </c>
      <c r="J663" s="118">
        <v>45600</v>
      </c>
    </row>
    <row r="664" spans="1:10" x14ac:dyDescent="0.2">
      <c r="A664" s="71">
        <f t="shared" si="12"/>
        <v>48</v>
      </c>
      <c r="B664" s="113"/>
      <c r="C664" s="114" t="s">
        <v>1250</v>
      </c>
      <c r="D664" s="114"/>
      <c r="E664" s="115"/>
      <c r="F664" s="88" t="s">
        <v>1251</v>
      </c>
      <c r="G664" s="116">
        <v>56200</v>
      </c>
      <c r="H664" s="117">
        <v>45600</v>
      </c>
      <c r="I664" s="117">
        <v>45600</v>
      </c>
      <c r="J664" s="118">
        <v>45600</v>
      </c>
    </row>
    <row r="665" spans="1:10" x14ac:dyDescent="0.2">
      <c r="A665" s="71">
        <f t="shared" si="12"/>
        <v>49</v>
      </c>
      <c r="B665" s="113"/>
      <c r="C665" s="114" t="s">
        <v>1252</v>
      </c>
      <c r="D665" s="114"/>
      <c r="E665" s="115"/>
      <c r="F665" s="88" t="s">
        <v>1253</v>
      </c>
      <c r="G665" s="116">
        <v>492900</v>
      </c>
      <c r="H665" s="117">
        <v>400700</v>
      </c>
      <c r="I665" s="117">
        <v>400700</v>
      </c>
      <c r="J665" s="118">
        <v>400700</v>
      </c>
    </row>
    <row r="666" spans="1:10" x14ac:dyDescent="0.2">
      <c r="A666" s="71">
        <f t="shared" si="12"/>
        <v>50</v>
      </c>
      <c r="B666" s="113"/>
      <c r="C666" s="114" t="s">
        <v>1224</v>
      </c>
      <c r="D666" s="114"/>
      <c r="E666" s="115"/>
      <c r="F666" s="88" t="s">
        <v>1254</v>
      </c>
      <c r="G666" s="116">
        <v>2925000</v>
      </c>
      <c r="H666" s="117">
        <v>2378000</v>
      </c>
      <c r="I666" s="117">
        <v>2378000</v>
      </c>
      <c r="J666" s="118">
        <v>2378000</v>
      </c>
    </row>
    <row r="667" spans="1:10" x14ac:dyDescent="0.2">
      <c r="A667" s="71">
        <f t="shared" si="12"/>
        <v>51</v>
      </c>
      <c r="B667" s="113"/>
      <c r="C667" s="114" t="s">
        <v>1255</v>
      </c>
      <c r="D667" s="114"/>
      <c r="E667" s="115"/>
      <c r="F667" s="88" t="s">
        <v>1256</v>
      </c>
      <c r="G667" s="116">
        <v>981700</v>
      </c>
      <c r="H667" s="117">
        <v>798100</v>
      </c>
      <c r="I667" s="117">
        <v>798100</v>
      </c>
      <c r="J667" s="118">
        <v>798100</v>
      </c>
    </row>
    <row r="668" spans="1:10" x14ac:dyDescent="0.2">
      <c r="A668" s="71">
        <f t="shared" si="12"/>
        <v>52</v>
      </c>
      <c r="B668" s="113"/>
      <c r="C668" s="114" t="s">
        <v>1257</v>
      </c>
      <c r="D668" s="114"/>
      <c r="E668" s="115"/>
      <c r="F668" s="88" t="s">
        <v>1258</v>
      </c>
      <c r="G668" s="116">
        <v>251200</v>
      </c>
      <c r="H668" s="117">
        <v>204200</v>
      </c>
      <c r="I668" s="117">
        <v>204200</v>
      </c>
      <c r="J668" s="118">
        <v>204200</v>
      </c>
    </row>
    <row r="669" spans="1:10" x14ac:dyDescent="0.2">
      <c r="A669" s="71">
        <f t="shared" si="12"/>
        <v>53</v>
      </c>
      <c r="B669" s="113"/>
      <c r="C669" s="114" t="s">
        <v>1226</v>
      </c>
      <c r="D669" s="114"/>
      <c r="E669" s="115"/>
      <c r="F669" s="88" t="s">
        <v>1259</v>
      </c>
      <c r="G669" s="116">
        <v>235200</v>
      </c>
      <c r="H669" s="117">
        <v>191200</v>
      </c>
      <c r="I669" s="117">
        <v>191200</v>
      </c>
      <c r="J669" s="118">
        <v>191200</v>
      </c>
    </row>
    <row r="670" spans="1:10" x14ac:dyDescent="0.2">
      <c r="A670" s="71">
        <f t="shared" si="12"/>
        <v>54</v>
      </c>
      <c r="B670" s="113"/>
      <c r="C670" s="114" t="s">
        <v>1063</v>
      </c>
      <c r="D670" s="114"/>
      <c r="E670" s="115"/>
      <c r="F670" s="88"/>
      <c r="G670" s="116">
        <v>61500</v>
      </c>
      <c r="H670" s="117">
        <v>50000</v>
      </c>
      <c r="I670" s="117">
        <v>50000</v>
      </c>
      <c r="J670" s="118">
        <v>50000</v>
      </c>
    </row>
    <row r="671" spans="1:10" x14ac:dyDescent="0.2">
      <c r="A671" s="71">
        <f t="shared" si="12"/>
        <v>55</v>
      </c>
      <c r="B671" s="113"/>
      <c r="C671" s="114" t="s">
        <v>1260</v>
      </c>
      <c r="D671" s="114"/>
      <c r="E671" s="115"/>
      <c r="F671" s="88"/>
      <c r="G671" s="116">
        <v>78900</v>
      </c>
      <c r="H671" s="117">
        <v>64100</v>
      </c>
      <c r="I671" s="117">
        <v>64100</v>
      </c>
      <c r="J671" s="118">
        <v>64100</v>
      </c>
    </row>
    <row r="672" spans="1:10" x14ac:dyDescent="0.2">
      <c r="A672" s="71">
        <f t="shared" si="12"/>
        <v>56</v>
      </c>
      <c r="B672" s="113"/>
      <c r="C672" s="114" t="s">
        <v>1261</v>
      </c>
      <c r="D672" s="114"/>
      <c r="E672" s="115"/>
      <c r="F672" s="88"/>
      <c r="G672" s="116">
        <v>913700</v>
      </c>
      <c r="H672" s="117">
        <v>742800</v>
      </c>
      <c r="I672" s="117">
        <v>742800</v>
      </c>
      <c r="J672" s="118">
        <v>742800</v>
      </c>
    </row>
    <row r="673" spans="1:10" x14ac:dyDescent="0.2">
      <c r="A673" s="71">
        <f t="shared" si="12"/>
        <v>57</v>
      </c>
      <c r="B673" s="113"/>
      <c r="C673" s="114" t="s">
        <v>1262</v>
      </c>
      <c r="D673" s="114"/>
      <c r="E673" s="115"/>
      <c r="F673" s="88"/>
      <c r="G673" s="116">
        <v>474200</v>
      </c>
      <c r="H673" s="117">
        <v>385500</v>
      </c>
      <c r="I673" s="117">
        <v>385500</v>
      </c>
      <c r="J673" s="118">
        <v>385500</v>
      </c>
    </row>
    <row r="674" spans="1:10" x14ac:dyDescent="0.2">
      <c r="A674" s="71">
        <f t="shared" si="12"/>
        <v>58</v>
      </c>
      <c r="B674" s="113"/>
      <c r="C674" s="114" t="s">
        <v>1263</v>
      </c>
      <c r="D674" s="114"/>
      <c r="E674" s="115"/>
      <c r="F674" s="88"/>
      <c r="G674" s="116">
        <v>546400</v>
      </c>
      <c r="H674" s="117">
        <v>444200</v>
      </c>
      <c r="I674" s="117">
        <v>444200</v>
      </c>
      <c r="J674" s="118">
        <v>444200</v>
      </c>
    </row>
    <row r="675" spans="1:10" x14ac:dyDescent="0.2">
      <c r="A675" s="71">
        <f t="shared" si="12"/>
        <v>59</v>
      </c>
      <c r="B675" s="113"/>
      <c r="C675" s="114" t="s">
        <v>1264</v>
      </c>
      <c r="D675" s="114"/>
      <c r="E675" s="115"/>
      <c r="F675" s="88"/>
      <c r="G675" s="116">
        <v>566400</v>
      </c>
      <c r="H675" s="117">
        <v>460400</v>
      </c>
      <c r="I675" s="117">
        <v>460400</v>
      </c>
      <c r="J675" s="118">
        <v>460400</v>
      </c>
    </row>
    <row r="676" spans="1:10" x14ac:dyDescent="0.2">
      <c r="A676" s="71">
        <f t="shared" si="12"/>
        <v>60</v>
      </c>
      <c r="B676" s="113"/>
      <c r="C676" s="114" t="s">
        <v>1265</v>
      </c>
      <c r="D676" s="114"/>
      <c r="E676" s="115"/>
      <c r="F676" s="88"/>
      <c r="G676" s="116">
        <v>1128600</v>
      </c>
      <c r="H676" s="117">
        <v>917500</v>
      </c>
      <c r="I676" s="117">
        <v>917500</v>
      </c>
      <c r="J676" s="118">
        <v>917500</v>
      </c>
    </row>
    <row r="677" spans="1:10" x14ac:dyDescent="0.2">
      <c r="A677" s="83"/>
      <c r="B677" s="149"/>
      <c r="C677" s="150"/>
      <c r="D677" s="150"/>
      <c r="E677" s="151"/>
      <c r="F677" s="152"/>
      <c r="G677" s="153"/>
      <c r="H677" s="160"/>
      <c r="I677" s="160"/>
      <c r="J677" s="161"/>
    </row>
    <row r="678" spans="1:10" x14ac:dyDescent="0.2">
      <c r="A678" s="125"/>
      <c r="B678" s="65"/>
      <c r="C678" s="167" t="s">
        <v>1322</v>
      </c>
      <c r="D678" s="66"/>
      <c r="E678" s="67"/>
      <c r="F678" s="87"/>
      <c r="G678" s="126"/>
      <c r="H678" s="171"/>
      <c r="I678" s="171"/>
      <c r="J678" s="172"/>
    </row>
    <row r="679" spans="1:10" x14ac:dyDescent="0.2">
      <c r="A679" s="71">
        <f t="shared" ref="A679:A702" si="13">SUM(A678+1)</f>
        <v>1</v>
      </c>
      <c r="B679" s="113"/>
      <c r="C679" s="114" t="s">
        <v>1323</v>
      </c>
      <c r="D679" s="114"/>
      <c r="E679" s="115"/>
      <c r="F679" s="88" t="s">
        <v>240</v>
      </c>
      <c r="G679" s="116">
        <v>26000</v>
      </c>
      <c r="H679" s="117">
        <v>21100</v>
      </c>
      <c r="I679" s="117">
        <v>21100</v>
      </c>
      <c r="J679" s="118">
        <v>21100</v>
      </c>
    </row>
    <row r="680" spans="1:10" x14ac:dyDescent="0.2">
      <c r="A680" s="71">
        <f t="shared" si="13"/>
        <v>2</v>
      </c>
      <c r="B680" s="113"/>
      <c r="C680" s="114" t="s">
        <v>1324</v>
      </c>
      <c r="D680" s="114"/>
      <c r="E680" s="115"/>
      <c r="F680" s="88" t="s">
        <v>240</v>
      </c>
      <c r="G680" s="116">
        <v>20000</v>
      </c>
      <c r="H680" s="117">
        <v>16200</v>
      </c>
      <c r="I680" s="117">
        <v>16200</v>
      </c>
      <c r="J680" s="118">
        <v>16200</v>
      </c>
    </row>
    <row r="681" spans="1:10" x14ac:dyDescent="0.2">
      <c r="A681" s="71">
        <f t="shared" si="13"/>
        <v>3</v>
      </c>
      <c r="B681" s="113"/>
      <c r="C681" s="114" t="s">
        <v>1325</v>
      </c>
      <c r="D681" s="114"/>
      <c r="E681" s="115"/>
      <c r="F681" s="88" t="s">
        <v>240</v>
      </c>
      <c r="G681" s="116">
        <v>16000</v>
      </c>
      <c r="H681" s="117">
        <v>13000</v>
      </c>
      <c r="I681" s="117">
        <v>13000</v>
      </c>
      <c r="J681" s="118">
        <v>13000</v>
      </c>
    </row>
    <row r="682" spans="1:10" x14ac:dyDescent="0.2">
      <c r="A682" s="71">
        <f t="shared" si="13"/>
        <v>4</v>
      </c>
      <c r="B682" s="113"/>
      <c r="C682" s="114" t="s">
        <v>1326</v>
      </c>
      <c r="D682" s="114"/>
      <c r="E682" s="115"/>
      <c r="F682" s="88" t="s">
        <v>240</v>
      </c>
      <c r="G682" s="116">
        <v>64000</v>
      </c>
      <c r="H682" s="117">
        <v>52000</v>
      </c>
      <c r="I682" s="117">
        <v>52000</v>
      </c>
      <c r="J682" s="118">
        <v>52000</v>
      </c>
    </row>
    <row r="683" spans="1:10" x14ac:dyDescent="0.2">
      <c r="A683" s="71">
        <f t="shared" si="13"/>
        <v>5</v>
      </c>
      <c r="B683" s="113"/>
      <c r="C683" s="114" t="s">
        <v>1327</v>
      </c>
      <c r="D683" s="114"/>
      <c r="E683" s="115"/>
      <c r="F683" s="88" t="s">
        <v>240</v>
      </c>
      <c r="G683" s="116">
        <v>128000</v>
      </c>
      <c r="H683" s="117">
        <v>104000</v>
      </c>
      <c r="I683" s="117">
        <v>104000</v>
      </c>
      <c r="J683" s="118">
        <v>104000</v>
      </c>
    </row>
    <row r="684" spans="1:10" x14ac:dyDescent="0.2">
      <c r="A684" s="71">
        <f t="shared" si="13"/>
        <v>6</v>
      </c>
      <c r="B684" s="113"/>
      <c r="C684" s="114" t="s">
        <v>1328</v>
      </c>
      <c r="D684" s="114"/>
      <c r="E684" s="115"/>
      <c r="F684" s="88" t="s">
        <v>240</v>
      </c>
      <c r="G684" s="116">
        <v>96000</v>
      </c>
      <c r="H684" s="117">
        <v>78000</v>
      </c>
      <c r="I684" s="117">
        <v>78000</v>
      </c>
      <c r="J684" s="118">
        <v>78000</v>
      </c>
    </row>
    <row r="685" spans="1:10" x14ac:dyDescent="0.2">
      <c r="A685" s="71">
        <f t="shared" si="13"/>
        <v>7</v>
      </c>
      <c r="B685" s="113"/>
      <c r="C685" s="114" t="s">
        <v>1329</v>
      </c>
      <c r="D685" s="114"/>
      <c r="E685" s="115"/>
      <c r="F685" s="88" t="s">
        <v>240</v>
      </c>
      <c r="G685" s="116">
        <v>103000</v>
      </c>
      <c r="H685" s="117">
        <v>83700</v>
      </c>
      <c r="I685" s="117">
        <v>83700</v>
      </c>
      <c r="J685" s="118">
        <v>83700</v>
      </c>
    </row>
    <row r="686" spans="1:10" x14ac:dyDescent="0.2">
      <c r="A686" s="71">
        <f t="shared" si="13"/>
        <v>8</v>
      </c>
      <c r="B686" s="113"/>
      <c r="C686" s="114" t="s">
        <v>1330</v>
      </c>
      <c r="D686" s="114"/>
      <c r="E686" s="115"/>
      <c r="F686" s="88" t="s">
        <v>240</v>
      </c>
      <c r="G686" s="116">
        <v>16000</v>
      </c>
      <c r="H686" s="117">
        <v>13000</v>
      </c>
      <c r="I686" s="117">
        <v>13000</v>
      </c>
      <c r="J686" s="118">
        <v>13000</v>
      </c>
    </row>
    <row r="687" spans="1:10" x14ac:dyDescent="0.2">
      <c r="A687" s="71">
        <f t="shared" si="13"/>
        <v>9</v>
      </c>
      <c r="B687" s="113"/>
      <c r="C687" s="114" t="s">
        <v>1331</v>
      </c>
      <c r="D687" s="114"/>
      <c r="E687" s="115"/>
      <c r="F687" s="88" t="s">
        <v>240</v>
      </c>
      <c r="G687" s="116">
        <v>26000</v>
      </c>
      <c r="H687" s="117">
        <v>21100</v>
      </c>
      <c r="I687" s="117">
        <v>21100</v>
      </c>
      <c r="J687" s="118">
        <v>21100</v>
      </c>
    </row>
    <row r="688" spans="1:10" x14ac:dyDescent="0.2">
      <c r="A688" s="71">
        <f t="shared" si="13"/>
        <v>10</v>
      </c>
      <c r="B688" s="113"/>
      <c r="C688" s="114" t="s">
        <v>1332</v>
      </c>
      <c r="D688" s="114"/>
      <c r="E688" s="115"/>
      <c r="F688" s="88" t="s">
        <v>240</v>
      </c>
      <c r="G688" s="116">
        <v>45000</v>
      </c>
      <c r="H688" s="117">
        <v>36500</v>
      </c>
      <c r="I688" s="117">
        <v>36500</v>
      </c>
      <c r="J688" s="118">
        <v>36500</v>
      </c>
    </row>
    <row r="689" spans="1:10" x14ac:dyDescent="0.2">
      <c r="A689" s="71">
        <f t="shared" si="13"/>
        <v>11</v>
      </c>
      <c r="B689" s="113"/>
      <c r="C689" s="114" t="s">
        <v>1333</v>
      </c>
      <c r="D689" s="114"/>
      <c r="E689" s="115"/>
      <c r="F689" s="88" t="s">
        <v>240</v>
      </c>
      <c r="G689" s="116">
        <v>61000</v>
      </c>
      <c r="H689" s="117">
        <v>49500</v>
      </c>
      <c r="I689" s="117">
        <v>49500</v>
      </c>
      <c r="J689" s="118">
        <v>49500</v>
      </c>
    </row>
    <row r="690" spans="1:10" x14ac:dyDescent="0.2">
      <c r="A690" s="71">
        <f t="shared" si="13"/>
        <v>12</v>
      </c>
      <c r="B690" s="113"/>
      <c r="C690" s="114" t="s">
        <v>1334</v>
      </c>
      <c r="D690" s="114"/>
      <c r="E690" s="115"/>
      <c r="F690" s="88" t="s">
        <v>240</v>
      </c>
      <c r="G690" s="73">
        <v>84000</v>
      </c>
      <c r="H690" s="117">
        <v>68200</v>
      </c>
      <c r="I690" s="117">
        <v>68200</v>
      </c>
      <c r="J690" s="118">
        <v>68200</v>
      </c>
    </row>
    <row r="691" spans="1:10" x14ac:dyDescent="0.2">
      <c r="A691" s="168"/>
      <c r="B691" s="77"/>
      <c r="C691" s="77"/>
      <c r="D691" s="77"/>
      <c r="E691" s="77"/>
      <c r="F691" s="157"/>
      <c r="G691" s="158"/>
      <c r="H691" s="154"/>
      <c r="I691" s="154"/>
      <c r="J691" s="155"/>
    </row>
    <row r="692" spans="1:10" x14ac:dyDescent="0.2">
      <c r="A692" s="68"/>
      <c r="B692" s="66"/>
      <c r="C692" s="173" t="s">
        <v>1335</v>
      </c>
      <c r="D692" s="66"/>
      <c r="E692" s="66"/>
      <c r="F692" s="87"/>
      <c r="G692" s="70"/>
      <c r="H692" s="111"/>
      <c r="I692" s="111"/>
      <c r="J692" s="112"/>
    </row>
    <row r="693" spans="1:10" x14ac:dyDescent="0.2">
      <c r="A693" s="71">
        <f t="shared" si="13"/>
        <v>1</v>
      </c>
      <c r="B693" s="113"/>
      <c r="C693" s="174" t="s">
        <v>1274</v>
      </c>
      <c r="D693" s="114"/>
      <c r="E693" s="114"/>
      <c r="F693" s="175" t="s">
        <v>268</v>
      </c>
      <c r="G693" s="176">
        <v>55000</v>
      </c>
      <c r="H693" s="117">
        <v>44700</v>
      </c>
      <c r="I693" s="117">
        <v>44700</v>
      </c>
      <c r="J693" s="118">
        <v>44700</v>
      </c>
    </row>
    <row r="694" spans="1:10" x14ac:dyDescent="0.2">
      <c r="A694" s="71">
        <f t="shared" si="13"/>
        <v>2</v>
      </c>
      <c r="B694" s="113"/>
      <c r="C694" s="177" t="s">
        <v>1336</v>
      </c>
      <c r="D694" s="114"/>
      <c r="E694" s="114"/>
      <c r="F694" s="175" t="s">
        <v>268</v>
      </c>
      <c r="G694" s="176">
        <v>1650000</v>
      </c>
      <c r="H694" s="117">
        <v>1341400</v>
      </c>
      <c r="I694" s="117">
        <v>1341400</v>
      </c>
      <c r="J694" s="118">
        <v>1341400</v>
      </c>
    </row>
    <row r="695" spans="1:10" x14ac:dyDescent="0.2">
      <c r="A695" s="71">
        <f t="shared" si="13"/>
        <v>3</v>
      </c>
      <c r="B695" s="113"/>
      <c r="C695" s="178" t="s">
        <v>1150</v>
      </c>
      <c r="D695" s="114"/>
      <c r="E695" s="114"/>
      <c r="F695" s="175" t="s">
        <v>268</v>
      </c>
      <c r="G695" s="176">
        <v>42000</v>
      </c>
      <c r="H695" s="117">
        <v>34100</v>
      </c>
      <c r="I695" s="117">
        <v>34100</v>
      </c>
      <c r="J695" s="118">
        <v>34100</v>
      </c>
    </row>
    <row r="696" spans="1:10" x14ac:dyDescent="0.2">
      <c r="A696" s="71">
        <f t="shared" si="13"/>
        <v>4</v>
      </c>
      <c r="B696" s="113"/>
      <c r="C696" s="178" t="s">
        <v>1151</v>
      </c>
      <c r="D696" s="114"/>
      <c r="E696" s="114"/>
      <c r="F696" s="175" t="s">
        <v>268</v>
      </c>
      <c r="G696" s="176">
        <v>200000</v>
      </c>
      <c r="H696" s="117">
        <v>162600</v>
      </c>
      <c r="I696" s="117">
        <v>162600</v>
      </c>
      <c r="J696" s="118">
        <v>162600</v>
      </c>
    </row>
    <row r="697" spans="1:10" x14ac:dyDescent="0.2">
      <c r="A697" s="71">
        <f t="shared" si="13"/>
        <v>5</v>
      </c>
      <c r="B697" s="113"/>
      <c r="C697" s="178" t="s">
        <v>1337</v>
      </c>
      <c r="D697" s="114"/>
      <c r="E697" s="114"/>
      <c r="F697" s="175" t="s">
        <v>268</v>
      </c>
      <c r="G697" s="176">
        <v>44000</v>
      </c>
      <c r="H697" s="117">
        <v>35700</v>
      </c>
      <c r="I697" s="117">
        <v>35700</v>
      </c>
      <c r="J697" s="118">
        <v>35700</v>
      </c>
    </row>
    <row r="698" spans="1:10" x14ac:dyDescent="0.2">
      <c r="A698" s="71">
        <f t="shared" si="13"/>
        <v>6</v>
      </c>
      <c r="B698" s="113"/>
      <c r="C698" s="179" t="s">
        <v>1338</v>
      </c>
      <c r="D698" s="114"/>
      <c r="E698" s="114"/>
      <c r="F698" s="175" t="s">
        <v>268</v>
      </c>
      <c r="G698" s="176">
        <v>70000</v>
      </c>
      <c r="H698" s="117">
        <v>56900</v>
      </c>
      <c r="I698" s="117">
        <v>56900</v>
      </c>
      <c r="J698" s="118">
        <v>56900</v>
      </c>
    </row>
    <row r="699" spans="1:10" x14ac:dyDescent="0.2">
      <c r="A699" s="71">
        <f t="shared" si="13"/>
        <v>7</v>
      </c>
      <c r="B699" s="113"/>
      <c r="C699" s="178" t="s">
        <v>1272</v>
      </c>
      <c r="D699" s="114"/>
      <c r="E699" s="114"/>
      <c r="F699" s="175" t="s">
        <v>268</v>
      </c>
      <c r="G699" s="176">
        <v>20000</v>
      </c>
      <c r="H699" s="117">
        <v>16200</v>
      </c>
      <c r="I699" s="117">
        <v>16200</v>
      </c>
      <c r="J699" s="118">
        <v>16200</v>
      </c>
    </row>
    <row r="700" spans="1:10" x14ac:dyDescent="0.2">
      <c r="A700" s="71">
        <f t="shared" si="13"/>
        <v>8</v>
      </c>
      <c r="B700" s="113"/>
      <c r="C700" s="180" t="s">
        <v>1273</v>
      </c>
      <c r="D700" s="114"/>
      <c r="E700" s="114"/>
      <c r="F700" s="175" t="s">
        <v>268</v>
      </c>
      <c r="G700" s="176">
        <v>20000</v>
      </c>
      <c r="H700" s="117">
        <v>16200</v>
      </c>
      <c r="I700" s="117">
        <v>16200</v>
      </c>
      <c r="J700" s="118">
        <v>16200</v>
      </c>
    </row>
    <row r="701" spans="1:10" x14ac:dyDescent="0.2">
      <c r="A701" s="71">
        <f t="shared" si="13"/>
        <v>9</v>
      </c>
      <c r="B701" s="113"/>
      <c r="C701" s="180" t="s">
        <v>1275</v>
      </c>
      <c r="D701" s="114"/>
      <c r="E701" s="114"/>
      <c r="F701" s="175" t="s">
        <v>268</v>
      </c>
      <c r="G701" s="176">
        <v>25000</v>
      </c>
      <c r="H701" s="117">
        <v>20300</v>
      </c>
      <c r="I701" s="117">
        <v>20300</v>
      </c>
      <c r="J701" s="118">
        <v>20300</v>
      </c>
    </row>
    <row r="702" spans="1:10" x14ac:dyDescent="0.2">
      <c r="A702" s="71">
        <f t="shared" si="13"/>
        <v>10</v>
      </c>
      <c r="B702" s="113"/>
      <c r="C702" s="180" t="s">
        <v>1276</v>
      </c>
      <c r="D702" s="114"/>
      <c r="E702" s="114"/>
      <c r="F702" s="175" t="s">
        <v>268</v>
      </c>
      <c r="G702" s="176">
        <v>50000</v>
      </c>
      <c r="H702" s="117">
        <v>40600</v>
      </c>
      <c r="I702" s="117">
        <v>40600</v>
      </c>
      <c r="J702" s="118">
        <v>40600</v>
      </c>
    </row>
    <row r="703" spans="1:10" x14ac:dyDescent="0.2">
      <c r="A703" s="168"/>
      <c r="B703" s="77"/>
      <c r="C703" s="77"/>
      <c r="D703" s="77"/>
      <c r="E703" s="77"/>
      <c r="F703" s="157"/>
      <c r="G703" s="158"/>
      <c r="H703" s="1"/>
      <c r="I703" s="1"/>
      <c r="J703" s="124"/>
    </row>
    <row r="704" spans="1:10" ht="13.5" thickBot="1" x14ac:dyDescent="0.25">
      <c r="A704" s="181"/>
      <c r="B704" s="182"/>
      <c r="C704" s="182"/>
      <c r="D704" s="182"/>
      <c r="E704" s="182"/>
      <c r="F704" s="183"/>
      <c r="G704" s="184"/>
      <c r="H704" s="121"/>
      <c r="I704" s="121"/>
      <c r="J704" s="122"/>
    </row>
    <row r="705" spans="2:9" ht="13.5" thickTop="1" x14ac:dyDescent="0.2"/>
    <row r="706" spans="2:9" ht="14.25" x14ac:dyDescent="0.2">
      <c r="C706" s="185" t="s">
        <v>1339</v>
      </c>
    </row>
    <row r="708" spans="2:9" ht="14.25" x14ac:dyDescent="0.2">
      <c r="B708" s="186">
        <v>1</v>
      </c>
      <c r="C708" s="14">
        <v>1</v>
      </c>
      <c r="D708" s="187" t="s">
        <v>1064</v>
      </c>
      <c r="E708" s="15"/>
      <c r="F708" s="15"/>
      <c r="G708"/>
      <c r="I708" s="14"/>
    </row>
    <row r="709" spans="2:9" ht="14.25" x14ac:dyDescent="0.2">
      <c r="B709" s="186"/>
      <c r="C709" s="14"/>
      <c r="D709" s="188" t="s">
        <v>1340</v>
      </c>
      <c r="E709" s="15"/>
      <c r="F709" s="15"/>
      <c r="G709" t="s">
        <v>1044</v>
      </c>
      <c r="I709" s="14"/>
    </row>
    <row r="710" spans="2:9" ht="14.25" x14ac:dyDescent="0.2">
      <c r="B710" s="186"/>
      <c r="C710" s="14"/>
      <c r="D710" s="187" t="s">
        <v>1057</v>
      </c>
      <c r="E710" s="15"/>
      <c r="F710" s="15"/>
      <c r="G710"/>
      <c r="I710" s="14"/>
    </row>
    <row r="711" spans="2:9" ht="14.25" x14ac:dyDescent="0.2">
      <c r="B711" s="186"/>
      <c r="C711" s="14"/>
      <c r="D711" s="187"/>
      <c r="E711" s="15"/>
      <c r="F711" s="15"/>
      <c r="G711"/>
      <c r="I711" s="14"/>
    </row>
    <row r="712" spans="2:9" ht="14.25" x14ac:dyDescent="0.2">
      <c r="B712" s="186">
        <v>2</v>
      </c>
      <c r="C712" s="14">
        <v>2</v>
      </c>
      <c r="D712" s="187" t="s">
        <v>1065</v>
      </c>
      <c r="E712" s="15"/>
      <c r="F712" s="15"/>
      <c r="G712"/>
      <c r="I712" s="14"/>
    </row>
    <row r="713" spans="2:9" ht="15.75" x14ac:dyDescent="0.25">
      <c r="B713" s="186"/>
      <c r="C713" s="14"/>
      <c r="D713" s="188" t="s">
        <v>1341</v>
      </c>
      <c r="E713" s="15"/>
      <c r="F713" s="15"/>
      <c r="G713"/>
      <c r="H713" s="189"/>
      <c r="I713" s="190" t="s">
        <v>1046</v>
      </c>
    </row>
    <row r="714" spans="2:9" ht="14.25" x14ac:dyDescent="0.2">
      <c r="B714" s="186"/>
      <c r="C714" s="14"/>
      <c r="D714" s="187" t="s">
        <v>1066</v>
      </c>
      <c r="E714" s="15"/>
      <c r="F714" s="15"/>
      <c r="G714"/>
      <c r="I714" s="14"/>
    </row>
    <row r="715" spans="2:9" ht="14.25" x14ac:dyDescent="0.2">
      <c r="B715" s="186"/>
      <c r="C715" s="14"/>
      <c r="D715" s="187"/>
      <c r="E715" s="15"/>
      <c r="F715" s="15"/>
      <c r="G715"/>
      <c r="I715" s="14"/>
    </row>
    <row r="716" spans="2:9" ht="14.25" x14ac:dyDescent="0.2">
      <c r="B716" s="186">
        <v>3</v>
      </c>
      <c r="C716" s="14">
        <v>3</v>
      </c>
      <c r="D716" s="187" t="s">
        <v>1048</v>
      </c>
      <c r="E716" s="10"/>
      <c r="F716" s="11"/>
      <c r="G716"/>
      <c r="H716" s="191"/>
      <c r="I716" s="14"/>
    </row>
    <row r="717" spans="2:9" ht="14.25" x14ac:dyDescent="0.2">
      <c r="B717" s="186"/>
      <c r="C717" s="14"/>
      <c r="D717" s="188" t="s">
        <v>1045</v>
      </c>
      <c r="E717" s="10"/>
      <c r="F717" s="11"/>
      <c r="G717" t="s">
        <v>1049</v>
      </c>
      <c r="I717" s="14"/>
    </row>
    <row r="718" spans="2:9" ht="14.25" x14ac:dyDescent="0.2">
      <c r="B718" s="186"/>
      <c r="C718" s="14"/>
      <c r="D718" s="187" t="s">
        <v>1047</v>
      </c>
      <c r="E718" s="10"/>
      <c r="F718" s="11"/>
      <c r="G718"/>
      <c r="H718" s="191"/>
      <c r="I718" s="14"/>
    </row>
    <row r="719" spans="2:9" ht="14.25" x14ac:dyDescent="0.2">
      <c r="B719" s="186"/>
      <c r="C719" s="14"/>
      <c r="D719" s="187"/>
      <c r="E719" s="10"/>
      <c r="F719" s="11"/>
      <c r="G719"/>
      <c r="H719" s="191"/>
      <c r="I719" s="14"/>
    </row>
    <row r="720" spans="2:9" ht="14.25" x14ac:dyDescent="0.2">
      <c r="B720" s="186">
        <v>4</v>
      </c>
      <c r="C720" s="14">
        <v>4</v>
      </c>
      <c r="D720" s="187" t="s">
        <v>1050</v>
      </c>
      <c r="E720" s="15"/>
      <c r="F720" s="15"/>
      <c r="G720"/>
      <c r="I720" s="14"/>
    </row>
    <row r="721" spans="2:9" ht="15.75" x14ac:dyDescent="0.25">
      <c r="B721" s="186"/>
      <c r="C721" s="14"/>
      <c r="D721" s="188" t="s">
        <v>1051</v>
      </c>
      <c r="E721" s="15"/>
      <c r="F721" s="15"/>
      <c r="G721"/>
      <c r="H721" s="189"/>
      <c r="I721" s="190" t="s">
        <v>1052</v>
      </c>
    </row>
    <row r="722" spans="2:9" ht="14.25" x14ac:dyDescent="0.2">
      <c r="B722" s="186"/>
      <c r="C722" s="14"/>
      <c r="D722" s="187" t="s">
        <v>1053</v>
      </c>
      <c r="E722" s="10"/>
      <c r="F722" s="11"/>
      <c r="G722"/>
      <c r="I722" s="14"/>
    </row>
    <row r="723" spans="2:9" ht="14.25" x14ac:dyDescent="0.2">
      <c r="B723" s="186"/>
      <c r="C723" s="14"/>
      <c r="D723" s="187"/>
      <c r="E723" s="10"/>
      <c r="F723" s="11"/>
      <c r="G723"/>
      <c r="I723" s="14"/>
    </row>
    <row r="724" spans="2:9" ht="14.25" x14ac:dyDescent="0.2">
      <c r="B724" s="186">
        <v>5</v>
      </c>
      <c r="C724" s="14">
        <v>5</v>
      </c>
      <c r="D724" s="187" t="s">
        <v>1054</v>
      </c>
      <c r="E724" s="10"/>
      <c r="F724" s="11"/>
      <c r="G724"/>
      <c r="I724" s="14"/>
    </row>
    <row r="725" spans="2:9" ht="14.25" x14ac:dyDescent="0.2">
      <c r="B725" s="186"/>
      <c r="C725" s="14"/>
      <c r="D725" s="188" t="s">
        <v>1342</v>
      </c>
      <c r="E725" s="10"/>
      <c r="F725" s="11"/>
      <c r="G725" t="s">
        <v>1055</v>
      </c>
      <c r="I725" s="14"/>
    </row>
    <row r="726" spans="2:9" ht="14.25" x14ac:dyDescent="0.2">
      <c r="B726" s="192"/>
      <c r="C726" s="14"/>
      <c r="D726" s="187" t="s">
        <v>1056</v>
      </c>
      <c r="E726" s="10"/>
      <c r="F726" s="11"/>
      <c r="G726"/>
      <c r="I726" s="14"/>
    </row>
    <row r="732" spans="2:9" ht="20.25" x14ac:dyDescent="0.2">
      <c r="G732" s="193" t="s">
        <v>1343</v>
      </c>
    </row>
    <row r="733" spans="2:9" ht="20.25" x14ac:dyDescent="0.3">
      <c r="G733" s="194" t="s">
        <v>1266</v>
      </c>
    </row>
    <row r="734" spans="2:9" ht="20.25" x14ac:dyDescent="0.3">
      <c r="G734" s="194" t="s">
        <v>1267</v>
      </c>
    </row>
    <row r="735" spans="2:9" ht="20.25" x14ac:dyDescent="0.3">
      <c r="G735" s="194" t="s">
        <v>1268</v>
      </c>
    </row>
    <row r="741" spans="7:7" ht="20.25" x14ac:dyDescent="0.3">
      <c r="G741" s="195" t="s">
        <v>1269</v>
      </c>
    </row>
    <row r="742" spans="7:7" ht="20.25" x14ac:dyDescent="0.3">
      <c r="G742" s="92" t="s">
        <v>930</v>
      </c>
    </row>
  </sheetData>
  <mergeCells count="13">
    <mergeCell ref="B60:E60"/>
    <mergeCell ref="A2:J2"/>
    <mergeCell ref="A3:J3"/>
    <mergeCell ref="A4:J4"/>
    <mergeCell ref="A13:A15"/>
    <mergeCell ref="B13:E15"/>
    <mergeCell ref="F13:F15"/>
    <mergeCell ref="G13:G15"/>
    <mergeCell ref="B16:E16"/>
    <mergeCell ref="A57:A59"/>
    <mergeCell ref="B57:E59"/>
    <mergeCell ref="F57:F59"/>
    <mergeCell ref="G57:G59"/>
  </mergeCells>
  <pageMargins left="0.70866141732283472" right="0.51181102362204722" top="0.59055118110236227" bottom="0.59055118110236227" header="0.31496062992125984" footer="0.31496062992125984"/>
  <pageSetup paperSize="5" scale="70" orientation="portrait" horizontalDpi="4294967293" r:id="rId1"/>
  <rowBreaks count="7" manualBreakCount="7">
    <brk id="97" max="11" man="1"/>
    <brk id="193" max="11" man="1"/>
    <brk id="290" max="11" man="1"/>
    <brk id="387" max="11" man="1"/>
    <brk id="485" max="11" man="1"/>
    <brk id="582" max="11" man="1"/>
    <brk id="677" max="11" man="1"/>
  </rowBreaks>
  <colBreaks count="1" manualBreakCount="1">
    <brk id="10" max="749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S30"/>
  <sheetViews>
    <sheetView topLeftCell="A7" zoomScale="85" zoomScaleNormal="85" workbookViewId="0">
      <selection activeCell="J22" sqref="J22"/>
    </sheetView>
  </sheetViews>
  <sheetFormatPr defaultColWidth="9" defaultRowHeight="12.75" x14ac:dyDescent="0.2"/>
  <cols>
    <col min="1" max="1" width="9" style="2513"/>
    <col min="2" max="2" width="5.42578125" style="2513" customWidth="1"/>
    <col min="3" max="3" width="12.7109375" style="2513" customWidth="1"/>
    <col min="4" max="4" width="6.7109375" style="2513" customWidth="1"/>
    <col min="5" max="5" width="10.5703125" style="2513" customWidth="1"/>
    <col min="6" max="6" width="7.85546875" style="2513" customWidth="1"/>
    <col min="7" max="8" width="21.7109375" style="2513" customWidth="1"/>
    <col min="9" max="9" width="17.28515625" style="2513" customWidth="1"/>
    <col min="10" max="10" width="17.140625" style="2513" customWidth="1"/>
    <col min="11" max="14" width="17.28515625" style="2513" customWidth="1"/>
    <col min="15" max="15" width="6.7109375" style="2513" customWidth="1"/>
    <col min="16" max="16" width="17.28515625" style="2513" customWidth="1"/>
    <col min="17" max="17" width="12.85546875" style="2513" customWidth="1"/>
    <col min="18" max="18" width="10.5703125" style="2513" bestFit="1" customWidth="1"/>
    <col min="19" max="16384" width="9" style="2513"/>
  </cols>
  <sheetData>
    <row r="1" spans="2:19" ht="18.75" x14ac:dyDescent="0.2">
      <c r="B1" s="2508" t="s">
        <v>1919</v>
      </c>
      <c r="C1" s="2509"/>
      <c r="D1" s="2509"/>
      <c r="E1" s="2510"/>
      <c r="F1" s="2509"/>
      <c r="G1" s="2511"/>
      <c r="H1" s="2509"/>
      <c r="I1" s="2512"/>
      <c r="J1" s="2511"/>
      <c r="K1" s="2511"/>
      <c r="L1" s="2511"/>
      <c r="M1" s="2511"/>
      <c r="N1" s="2511"/>
      <c r="P1" s="2514">
        <f>N28</f>
        <v>3500000</v>
      </c>
      <c r="Q1" s="2515">
        <f>R1+P1</f>
        <v>3850000</v>
      </c>
      <c r="R1" s="2515">
        <f>P1*S1</f>
        <v>350000</v>
      </c>
      <c r="S1" s="2516">
        <f>I29</f>
        <v>0.1</v>
      </c>
    </row>
    <row r="2" spans="2:19" ht="15" x14ac:dyDescent="0.2">
      <c r="B2" s="2517"/>
      <c r="C2" s="2509"/>
      <c r="D2" s="2509"/>
      <c r="E2" s="2510"/>
      <c r="F2" s="2509"/>
      <c r="G2" s="2511"/>
      <c r="H2" s="2509"/>
      <c r="I2" s="2512"/>
      <c r="J2" s="2511"/>
      <c r="K2" s="2511"/>
      <c r="L2" s="2511"/>
      <c r="M2" s="2511"/>
      <c r="N2" s="2511"/>
    </row>
    <row r="3" spans="2:19" ht="15" customHeight="1" x14ac:dyDescent="0.2">
      <c r="B3" s="2518"/>
      <c r="C3" s="2519"/>
      <c r="D3" s="2519"/>
      <c r="E3" s="2520"/>
      <c r="F3" s="2519"/>
      <c r="G3" s="2521"/>
      <c r="H3" s="2522"/>
      <c r="I3" s="2523"/>
      <c r="J3" s="3504" t="s">
        <v>1920</v>
      </c>
      <c r="K3" s="3506" t="s">
        <v>1921</v>
      </c>
      <c r="L3" s="2524" t="s">
        <v>2008</v>
      </c>
      <c r="M3" s="2524" t="s">
        <v>2009</v>
      </c>
      <c r="N3" s="2524" t="s">
        <v>284</v>
      </c>
    </row>
    <row r="4" spans="2:19" ht="14.25" x14ac:dyDescent="0.2">
      <c r="B4" s="2525" t="s">
        <v>423</v>
      </c>
      <c r="C4" s="2526" t="s">
        <v>1922</v>
      </c>
      <c r="D4" s="2526" t="s">
        <v>1348</v>
      </c>
      <c r="E4" s="2527" t="s">
        <v>1923</v>
      </c>
      <c r="F4" s="2526" t="s">
        <v>1350</v>
      </c>
      <c r="G4" s="3508" t="str">
        <f>'[2]abk 14-14 (Cat)'!G3:H3</f>
        <v>URAIAN  PEKERJAAN</v>
      </c>
      <c r="H4" s="3509"/>
      <c r="I4" s="3510"/>
      <c r="J4" s="3505"/>
      <c r="K4" s="3507"/>
      <c r="L4" s="2528" t="s">
        <v>2011</v>
      </c>
      <c r="M4" s="2528"/>
      <c r="N4" s="2528" t="s">
        <v>2013</v>
      </c>
    </row>
    <row r="5" spans="2:19" ht="15" x14ac:dyDescent="0.2">
      <c r="B5" s="2529"/>
      <c r="C5" s="2530"/>
      <c r="D5" s="2530"/>
      <c r="E5" s="2531"/>
      <c r="F5" s="2530"/>
      <c r="G5" s="2532"/>
      <c r="H5" s="2509"/>
      <c r="I5" s="2533"/>
      <c r="J5" s="2534" t="s">
        <v>1924</v>
      </c>
      <c r="K5" s="2535" t="s">
        <v>1924</v>
      </c>
      <c r="L5" s="2536"/>
      <c r="M5" s="2536"/>
      <c r="N5" s="2537" t="s">
        <v>286</v>
      </c>
    </row>
    <row r="6" spans="2:19" ht="15" x14ac:dyDescent="0.2">
      <c r="B6" s="2538"/>
      <c r="C6" s="2539"/>
      <c r="D6" s="2539"/>
      <c r="E6" s="2540"/>
      <c r="F6" s="2539"/>
      <c r="G6" s="2541"/>
      <c r="H6" s="2539"/>
      <c r="I6" s="2542"/>
      <c r="J6" s="2541"/>
      <c r="K6" s="2543"/>
      <c r="L6" s="2544"/>
      <c r="M6" s="2544"/>
      <c r="N6" s="2544"/>
    </row>
    <row r="7" spans="2:19" ht="18.75" x14ac:dyDescent="0.2">
      <c r="B7" s="2529"/>
      <c r="C7" s="2526"/>
      <c r="D7" s="2545"/>
      <c r="E7" s="2546"/>
      <c r="F7" s="2526"/>
      <c r="G7" s="2547" t="s">
        <v>1925</v>
      </c>
      <c r="H7" s="2509"/>
      <c r="I7" s="2533"/>
      <c r="J7" s="2548"/>
      <c r="K7" s="2532"/>
      <c r="L7" s="2549"/>
      <c r="M7" s="2549"/>
      <c r="N7" s="2549"/>
    </row>
    <row r="8" spans="2:19" ht="15" x14ac:dyDescent="0.2">
      <c r="B8" s="2538"/>
      <c r="C8" s="2539"/>
      <c r="D8" s="2539"/>
      <c r="E8" s="2540"/>
      <c r="F8" s="2539"/>
      <c r="G8" s="2541"/>
      <c r="H8" s="2539"/>
      <c r="I8" s="2542"/>
      <c r="J8" s="2541"/>
      <c r="K8" s="2543"/>
      <c r="L8" s="2549"/>
      <c r="M8" s="2549"/>
      <c r="N8" s="2549"/>
    </row>
    <row r="9" spans="2:19" ht="15" x14ac:dyDescent="0.2">
      <c r="B9" s="2550">
        <v>1</v>
      </c>
      <c r="C9" s="2551" t="s">
        <v>1926</v>
      </c>
      <c r="D9" s="2552"/>
      <c r="E9" s="2553">
        <v>1</v>
      </c>
      <c r="F9" s="2551" t="s">
        <v>1137</v>
      </c>
      <c r="G9" s="2554" t="s">
        <v>1927</v>
      </c>
      <c r="H9" s="2539"/>
      <c r="I9" s="2555"/>
      <c r="J9" s="2556"/>
      <c r="K9" s="2554">
        <f>+K30</f>
        <v>8258800</v>
      </c>
      <c r="L9" s="2557"/>
      <c r="M9" s="2557"/>
      <c r="N9" s="2557"/>
    </row>
    <row r="10" spans="2:19" ht="15" x14ac:dyDescent="0.2">
      <c r="B10" s="2558"/>
      <c r="C10" s="2559"/>
      <c r="D10" s="2559"/>
      <c r="E10" s="2560"/>
      <c r="F10" s="2561" t="s">
        <v>607</v>
      </c>
      <c r="G10" s="2562" t="s">
        <v>1928</v>
      </c>
      <c r="H10" s="2563"/>
      <c r="I10" s="2564"/>
      <c r="J10" s="2565"/>
      <c r="K10" s="2562"/>
      <c r="L10" s="2566"/>
      <c r="M10" s="2566"/>
      <c r="N10" s="2566"/>
      <c r="P10" s="2514">
        <f>P29</f>
        <v>1175000</v>
      </c>
    </row>
    <row r="11" spans="2:19" ht="15" x14ac:dyDescent="0.2">
      <c r="B11" s="2558"/>
      <c r="C11" s="2559"/>
      <c r="D11" s="2559"/>
      <c r="E11" s="2560">
        <v>1</v>
      </c>
      <c r="F11" s="2561" t="s">
        <v>1929</v>
      </c>
      <c r="G11" s="2567" t="s">
        <v>1930</v>
      </c>
      <c r="H11" s="2563"/>
      <c r="I11" s="2564"/>
      <c r="J11" s="2565">
        <v>3500000</v>
      </c>
      <c r="K11" s="2562">
        <f>E11*J11</f>
        <v>3500000</v>
      </c>
      <c r="L11" s="2568">
        <v>1</v>
      </c>
      <c r="M11" s="2569"/>
      <c r="N11" s="2570">
        <f t="shared" ref="N11" si="0">L11*J11</f>
        <v>3500000</v>
      </c>
    </row>
    <row r="12" spans="2:19" ht="15" x14ac:dyDescent="0.2">
      <c r="B12" s="2571"/>
      <c r="C12" s="2572"/>
      <c r="D12" s="2572"/>
      <c r="E12" s="2573"/>
      <c r="F12" s="2574" t="s">
        <v>608</v>
      </c>
      <c r="G12" s="2575" t="s">
        <v>1931</v>
      </c>
      <c r="H12" s="2576"/>
      <c r="I12" s="2577"/>
      <c r="J12" s="2578"/>
      <c r="K12" s="2575"/>
      <c r="L12" s="2579"/>
      <c r="M12" s="2579"/>
      <c r="N12" s="2579"/>
    </row>
    <row r="13" spans="2:19" ht="15" x14ac:dyDescent="0.2">
      <c r="B13" s="2571"/>
      <c r="C13" s="2572"/>
      <c r="D13" s="2572"/>
      <c r="E13" s="2573">
        <v>20</v>
      </c>
      <c r="F13" s="2580" t="s">
        <v>1137</v>
      </c>
      <c r="G13" s="2581" t="s">
        <v>1932</v>
      </c>
      <c r="H13" s="2576"/>
      <c r="I13" s="2577"/>
      <c r="J13" s="2578">
        <v>30000</v>
      </c>
      <c r="K13" s="2581">
        <f>+E13*J13</f>
        <v>600000</v>
      </c>
      <c r="L13" s="2568">
        <v>0</v>
      </c>
      <c r="M13" s="2569"/>
      <c r="N13" s="2570">
        <f t="shared" ref="N13:N26" si="1">L13*J13</f>
        <v>0</v>
      </c>
    </row>
    <row r="14" spans="2:19" ht="15" x14ac:dyDescent="0.2">
      <c r="B14" s="2571"/>
      <c r="C14" s="2572"/>
      <c r="D14" s="2572"/>
      <c r="E14" s="2573">
        <f>E13</f>
        <v>20</v>
      </c>
      <c r="F14" s="2580" t="s">
        <v>1137</v>
      </c>
      <c r="G14" s="2581" t="s">
        <v>1933</v>
      </c>
      <c r="H14" s="2576"/>
      <c r="I14" s="2577"/>
      <c r="J14" s="2578">
        <v>20000</v>
      </c>
      <c r="K14" s="2581">
        <f>+E14*J14</f>
        <v>400000</v>
      </c>
      <c r="L14" s="2568">
        <f>$L$13</f>
        <v>0</v>
      </c>
      <c r="M14" s="2569"/>
      <c r="N14" s="2570">
        <f t="shared" si="1"/>
        <v>0</v>
      </c>
    </row>
    <row r="15" spans="2:19" ht="15" x14ac:dyDescent="0.2">
      <c r="B15" s="2571"/>
      <c r="C15" s="2572"/>
      <c r="D15" s="2572"/>
      <c r="E15" s="2573">
        <v>10</v>
      </c>
      <c r="F15" s="2580" t="s">
        <v>1934</v>
      </c>
      <c r="G15" s="2581" t="s">
        <v>1935</v>
      </c>
      <c r="H15" s="2576"/>
      <c r="I15" s="2577"/>
      <c r="J15" s="2578">
        <v>30000</v>
      </c>
      <c r="K15" s="2581">
        <f t="shared" ref="K15:K26" si="2">+E15*J15</f>
        <v>300000</v>
      </c>
      <c r="L15" s="2568">
        <f t="shared" ref="L15:L26" si="3">$L$13</f>
        <v>0</v>
      </c>
      <c r="M15" s="2569"/>
      <c r="N15" s="2570">
        <f t="shared" si="1"/>
        <v>0</v>
      </c>
    </row>
    <row r="16" spans="2:19" ht="15" x14ac:dyDescent="0.2">
      <c r="B16" s="2571"/>
      <c r="C16" s="2572"/>
      <c r="D16" s="2572"/>
      <c r="E16" s="2573">
        <f>E13</f>
        <v>20</v>
      </c>
      <c r="F16" s="2580" t="s">
        <v>1936</v>
      </c>
      <c r="G16" s="2581" t="s">
        <v>1937</v>
      </c>
      <c r="H16" s="2576"/>
      <c r="I16" s="2577"/>
      <c r="J16" s="2578">
        <v>20000</v>
      </c>
      <c r="K16" s="2581">
        <f t="shared" si="2"/>
        <v>400000</v>
      </c>
      <c r="L16" s="2568">
        <f t="shared" si="3"/>
        <v>0</v>
      </c>
      <c r="M16" s="2569"/>
      <c r="N16" s="2570">
        <f t="shared" si="1"/>
        <v>0</v>
      </c>
    </row>
    <row r="17" spans="2:16" ht="15" x14ac:dyDescent="0.2">
      <c r="B17" s="2571"/>
      <c r="C17" s="2572"/>
      <c r="D17" s="2572"/>
      <c r="E17" s="2573">
        <f>E13</f>
        <v>20</v>
      </c>
      <c r="F17" s="2580" t="s">
        <v>1936</v>
      </c>
      <c r="G17" s="2581" t="s">
        <v>1938</v>
      </c>
      <c r="H17" s="2576"/>
      <c r="I17" s="2577"/>
      <c r="J17" s="2578">
        <v>35000</v>
      </c>
      <c r="K17" s="2581">
        <f t="shared" si="2"/>
        <v>700000</v>
      </c>
      <c r="L17" s="2568">
        <f t="shared" si="3"/>
        <v>0</v>
      </c>
      <c r="M17" s="2569"/>
      <c r="N17" s="2570">
        <f t="shared" si="1"/>
        <v>0</v>
      </c>
    </row>
    <row r="18" spans="2:16" ht="15" x14ac:dyDescent="0.2">
      <c r="B18" s="2571"/>
      <c r="C18" s="2572"/>
      <c r="D18" s="2572"/>
      <c r="E18" s="2573">
        <f>E14</f>
        <v>20</v>
      </c>
      <c r="F18" s="2580" t="s">
        <v>1137</v>
      </c>
      <c r="G18" s="2581" t="s">
        <v>1939</v>
      </c>
      <c r="H18" s="2576"/>
      <c r="I18" s="2577"/>
      <c r="J18" s="2578">
        <v>15000</v>
      </c>
      <c r="K18" s="2581">
        <f t="shared" si="2"/>
        <v>300000</v>
      </c>
      <c r="L18" s="2568">
        <f t="shared" si="3"/>
        <v>0</v>
      </c>
      <c r="M18" s="2569"/>
      <c r="N18" s="2570">
        <f t="shared" si="1"/>
        <v>0</v>
      </c>
    </row>
    <row r="19" spans="2:16" ht="15" x14ac:dyDescent="0.2">
      <c r="B19" s="2571"/>
      <c r="C19" s="2572"/>
      <c r="D19" s="2572"/>
      <c r="E19" s="2573">
        <v>2</v>
      </c>
      <c r="F19" s="2580" t="s">
        <v>1137</v>
      </c>
      <c r="G19" s="2581" t="s">
        <v>1940</v>
      </c>
      <c r="H19" s="2576"/>
      <c r="I19" s="2577"/>
      <c r="J19" s="2578">
        <v>200000</v>
      </c>
      <c r="K19" s="2581">
        <f t="shared" si="2"/>
        <v>400000</v>
      </c>
      <c r="L19" s="2568">
        <f t="shared" si="3"/>
        <v>0</v>
      </c>
      <c r="M19" s="2569"/>
      <c r="N19" s="2570">
        <f t="shared" si="1"/>
        <v>0</v>
      </c>
    </row>
    <row r="20" spans="2:16" ht="15" x14ac:dyDescent="0.2">
      <c r="B20" s="2571"/>
      <c r="C20" s="2572"/>
      <c r="D20" s="2572"/>
      <c r="E20" s="2573">
        <v>1</v>
      </c>
      <c r="F20" s="2580" t="s">
        <v>1137</v>
      </c>
      <c r="G20" s="2581" t="s">
        <v>1941</v>
      </c>
      <c r="H20" s="2576"/>
      <c r="I20" s="2577"/>
      <c r="J20" s="2578">
        <v>300000</v>
      </c>
      <c r="K20" s="2581">
        <f t="shared" si="2"/>
        <v>300000</v>
      </c>
      <c r="L20" s="2568">
        <f t="shared" si="3"/>
        <v>0</v>
      </c>
      <c r="M20" s="2569"/>
      <c r="N20" s="2570">
        <f t="shared" si="1"/>
        <v>0</v>
      </c>
    </row>
    <row r="21" spans="2:16" ht="15" x14ac:dyDescent="0.2">
      <c r="B21" s="2571"/>
      <c r="C21" s="2572"/>
      <c r="D21" s="2572"/>
      <c r="E21" s="2573">
        <v>2</v>
      </c>
      <c r="F21" s="2580" t="s">
        <v>277</v>
      </c>
      <c r="G21" s="2581" t="s">
        <v>1942</v>
      </c>
      <c r="H21" s="2576"/>
      <c r="I21" s="2577"/>
      <c r="J21" s="2578">
        <v>54000</v>
      </c>
      <c r="K21" s="2581">
        <f t="shared" si="2"/>
        <v>108000</v>
      </c>
      <c r="L21" s="2568">
        <f t="shared" si="3"/>
        <v>0</v>
      </c>
      <c r="M21" s="2569"/>
      <c r="N21" s="2570">
        <f t="shared" si="1"/>
        <v>0</v>
      </c>
    </row>
    <row r="22" spans="2:16" ht="15" x14ac:dyDescent="0.2">
      <c r="B22" s="2571"/>
      <c r="C22" s="2572"/>
      <c r="D22" s="2572"/>
      <c r="E22" s="2573">
        <v>1</v>
      </c>
      <c r="F22" s="2580" t="s">
        <v>240</v>
      </c>
      <c r="G22" s="2581" t="s">
        <v>1943</v>
      </c>
      <c r="H22" s="2576"/>
      <c r="I22" s="2577"/>
      <c r="J22" s="2578">
        <v>150000</v>
      </c>
      <c r="K22" s="2581">
        <f t="shared" si="2"/>
        <v>150000</v>
      </c>
      <c r="L22" s="2568">
        <f t="shared" si="3"/>
        <v>0</v>
      </c>
      <c r="M22" s="2569"/>
      <c r="N22" s="2570">
        <f t="shared" si="1"/>
        <v>0</v>
      </c>
    </row>
    <row r="23" spans="2:16" ht="15" x14ac:dyDescent="0.2">
      <c r="B23" s="2571"/>
      <c r="C23" s="2572"/>
      <c r="D23" s="2572"/>
      <c r="E23" s="2573">
        <v>1</v>
      </c>
      <c r="F23" s="2580" t="s">
        <v>240</v>
      </c>
      <c r="G23" s="2581" t="s">
        <v>1944</v>
      </c>
      <c r="H23" s="2576"/>
      <c r="I23" s="2577"/>
      <c r="J23" s="2578">
        <v>134000</v>
      </c>
      <c r="K23" s="2581">
        <f t="shared" si="2"/>
        <v>134000</v>
      </c>
      <c r="L23" s="2568">
        <f t="shared" si="3"/>
        <v>0</v>
      </c>
      <c r="M23" s="2569"/>
      <c r="N23" s="2570">
        <f t="shared" si="1"/>
        <v>0</v>
      </c>
    </row>
    <row r="24" spans="2:16" ht="15" x14ac:dyDescent="0.2">
      <c r="B24" s="2571"/>
      <c r="C24" s="2572"/>
      <c r="D24" s="2572"/>
      <c r="E24" s="2573">
        <v>2</v>
      </c>
      <c r="F24" s="2580" t="s">
        <v>392</v>
      </c>
      <c r="G24" s="2581" t="s">
        <v>1945</v>
      </c>
      <c r="H24" s="2576"/>
      <c r="I24" s="2577"/>
      <c r="J24" s="2578">
        <v>50000</v>
      </c>
      <c r="K24" s="2581">
        <f t="shared" si="2"/>
        <v>100000</v>
      </c>
      <c r="L24" s="2568">
        <f t="shared" si="3"/>
        <v>0</v>
      </c>
      <c r="M24" s="2569"/>
      <c r="N24" s="2570">
        <f t="shared" si="1"/>
        <v>0</v>
      </c>
    </row>
    <row r="25" spans="2:16" ht="15" x14ac:dyDescent="0.2">
      <c r="B25" s="2571"/>
      <c r="C25" s="2572"/>
      <c r="D25" s="2572"/>
      <c r="E25" s="2573">
        <v>2</v>
      </c>
      <c r="F25" s="2580" t="s">
        <v>240</v>
      </c>
      <c r="G25" s="2581" t="s">
        <v>1946</v>
      </c>
      <c r="H25" s="2576"/>
      <c r="I25" s="2577"/>
      <c r="J25" s="2582">
        <v>33000</v>
      </c>
      <c r="K25" s="2581">
        <f t="shared" si="2"/>
        <v>66000</v>
      </c>
      <c r="L25" s="2568">
        <f t="shared" si="3"/>
        <v>0</v>
      </c>
      <c r="M25" s="2569"/>
      <c r="N25" s="2570">
        <f t="shared" si="1"/>
        <v>0</v>
      </c>
    </row>
    <row r="26" spans="2:16" ht="15" x14ac:dyDescent="0.2">
      <c r="B26" s="2583"/>
      <c r="C26" s="2584"/>
      <c r="D26" s="2584"/>
      <c r="E26" s="2585">
        <v>1</v>
      </c>
      <c r="F26" s="2586" t="s">
        <v>392</v>
      </c>
      <c r="G26" s="2587" t="s">
        <v>1947</v>
      </c>
      <c r="H26" s="2588"/>
      <c r="I26" s="2589"/>
      <c r="J26" s="2590">
        <v>50000</v>
      </c>
      <c r="K26" s="2587">
        <f t="shared" si="2"/>
        <v>50000</v>
      </c>
      <c r="L26" s="2568">
        <f t="shared" si="3"/>
        <v>0</v>
      </c>
      <c r="M26" s="2569"/>
      <c r="N26" s="2570">
        <f t="shared" si="1"/>
        <v>0</v>
      </c>
    </row>
    <row r="27" spans="2:16" ht="15" x14ac:dyDescent="0.2">
      <c r="B27" s="2558"/>
      <c r="C27" s="2559"/>
      <c r="D27" s="2561"/>
      <c r="E27" s="2591"/>
      <c r="F27" s="2592" t="s">
        <v>609</v>
      </c>
      <c r="G27" s="2593" t="s">
        <v>1948</v>
      </c>
      <c r="H27" s="2563"/>
      <c r="I27" s="2564"/>
      <c r="J27" s="2565"/>
      <c r="K27" s="2562">
        <f>SUM(K13:K26)</f>
        <v>4008000</v>
      </c>
      <c r="L27" s="2566"/>
      <c r="M27" s="2566"/>
      <c r="N27" s="2566"/>
    </row>
    <row r="28" spans="2:16" ht="15" x14ac:dyDescent="0.2">
      <c r="B28" s="2571"/>
      <c r="C28" s="2572"/>
      <c r="D28" s="2574"/>
      <c r="E28" s="2594"/>
      <c r="F28" s="2595" t="s">
        <v>610</v>
      </c>
      <c r="G28" s="2596" t="s">
        <v>1949</v>
      </c>
      <c r="H28" s="2576"/>
      <c r="I28" s="2577"/>
      <c r="J28" s="2578"/>
      <c r="K28" s="2575">
        <f>+K27+K11</f>
        <v>7508000</v>
      </c>
      <c r="L28" s="2597">
        <f>N28/K28</f>
        <v>0.46616941928609484</v>
      </c>
      <c r="M28" s="2598"/>
      <c r="N28" s="2599">
        <f>SUM(N7:N27)</f>
        <v>3500000</v>
      </c>
      <c r="P28" s="2514">
        <f>Rekap!Q47</f>
        <v>5800000000</v>
      </c>
    </row>
    <row r="29" spans="2:16" ht="15" x14ac:dyDescent="0.2">
      <c r="B29" s="2571"/>
      <c r="C29" s="2572"/>
      <c r="D29" s="2574"/>
      <c r="E29" s="2594"/>
      <c r="F29" s="2595" t="s">
        <v>611</v>
      </c>
      <c r="G29" s="2596" t="s">
        <v>1950</v>
      </c>
      <c r="H29" s="2576"/>
      <c r="I29" s="2600">
        <v>0.1</v>
      </c>
      <c r="J29" s="2578"/>
      <c r="K29" s="2575">
        <f>+I29*K28</f>
        <v>750800</v>
      </c>
      <c r="L29" s="2579"/>
      <c r="M29" s="2579"/>
      <c r="N29" s="2579"/>
      <c r="P29" s="2514">
        <f>Rekap!Q48</f>
        <v>1175000</v>
      </c>
    </row>
    <row r="30" spans="2:16" ht="15" x14ac:dyDescent="0.2">
      <c r="B30" s="2583"/>
      <c r="C30" s="2584"/>
      <c r="D30" s="2601"/>
      <c r="E30" s="2602"/>
      <c r="F30" s="2603" t="s">
        <v>654</v>
      </c>
      <c r="G30" s="2604" t="s">
        <v>1951</v>
      </c>
      <c r="H30" s="2588"/>
      <c r="I30" s="2589"/>
      <c r="J30" s="2590"/>
      <c r="K30" s="2605">
        <f>ROUND(K28+K29,2)</f>
        <v>8258800</v>
      </c>
      <c r="L30" s="2606"/>
      <c r="M30" s="2606"/>
      <c r="N30" s="2606"/>
    </row>
  </sheetData>
  <mergeCells count="3">
    <mergeCell ref="J3:J4"/>
    <mergeCell ref="K3:K4"/>
    <mergeCell ref="G4:I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344"/>
  <sheetViews>
    <sheetView tabSelected="1" zoomScale="70" zoomScaleNormal="70" workbookViewId="0">
      <selection activeCell="G308" sqref="G308"/>
    </sheetView>
  </sheetViews>
  <sheetFormatPr defaultColWidth="12.5703125" defaultRowHeight="15.75" x14ac:dyDescent="0.2"/>
  <cols>
    <col min="1" max="1" width="8.28515625" style="1833" customWidth="1"/>
    <col min="2" max="2" width="5.7109375" style="1846" customWidth="1"/>
    <col min="3" max="3" width="2.7109375" style="1836" customWidth="1"/>
    <col min="4" max="4" width="35.7109375" style="1836" customWidth="1"/>
    <col min="5" max="5" width="6.42578125" style="1836" customWidth="1"/>
    <col min="6" max="6" width="12" style="1836" customWidth="1"/>
    <col min="7" max="7" width="12.7109375" style="1846" customWidth="1"/>
    <col min="8" max="8" width="7.7109375" style="1836" customWidth="1"/>
    <col min="9" max="9" width="15.7109375" style="1846" customWidth="1"/>
    <col min="10" max="10" width="18.7109375" style="1836" customWidth="1"/>
    <col min="11" max="11" width="4.7109375" style="1836" customWidth="1"/>
    <col min="12" max="12" width="19.7109375" style="1836" customWidth="1"/>
    <col min="13" max="13" width="22.7109375" style="1957" customWidth="1"/>
    <col min="14" max="14" width="10.7109375" style="1836" customWidth="1"/>
    <col min="15" max="16" width="14.85546875" style="1836" hidden="1" customWidth="1"/>
    <col min="17" max="17" width="20.28515625" style="1836" hidden="1" customWidth="1"/>
    <col min="18" max="19" width="22.7109375" style="1836" customWidth="1"/>
    <col min="20" max="20" width="23.140625" style="1848" customWidth="1"/>
    <col min="21" max="21" width="22.85546875" style="1848" hidden="1" customWidth="1"/>
    <col min="22" max="23" width="14.85546875" style="1848" customWidth="1"/>
    <col min="24" max="24" width="22.85546875" style="1848" customWidth="1"/>
    <col min="25" max="25" width="34.5703125" style="1836" customWidth="1"/>
    <col min="26" max="26" width="19.140625" style="1836" hidden="1" customWidth="1"/>
    <col min="27" max="27" width="17.7109375" style="1836" hidden="1" customWidth="1"/>
    <col min="28" max="28" width="16.7109375" style="1836" hidden="1" customWidth="1"/>
    <col min="29" max="29" width="18" style="1909" hidden="1" customWidth="1"/>
    <col min="30" max="30" width="1.7109375" style="1909" hidden="1" customWidth="1"/>
    <col min="31" max="31" width="19.42578125" style="1909" hidden="1" customWidth="1"/>
    <col min="32" max="32" width="21.28515625" style="1910" customWidth="1"/>
    <col min="33" max="33" width="17.28515625" style="1836" customWidth="1"/>
    <col min="34" max="16384" width="12.5703125" style="1836"/>
  </cols>
  <sheetData>
    <row r="1" spans="1:32" ht="25.5" x14ac:dyDescent="0.2">
      <c r="B1" s="3511" t="s">
        <v>2036</v>
      </c>
      <c r="C1" s="3511"/>
      <c r="D1" s="3511"/>
      <c r="E1" s="3511"/>
      <c r="F1" s="3511"/>
      <c r="G1" s="3511"/>
      <c r="H1" s="3511"/>
      <c r="I1" s="3511"/>
      <c r="J1" s="3511"/>
      <c r="K1" s="3511"/>
      <c r="L1" s="3511"/>
      <c r="M1" s="3511"/>
      <c r="N1" s="1834"/>
      <c r="O1" s="1834"/>
      <c r="P1" s="1834"/>
      <c r="Q1" s="1834"/>
      <c r="R1" s="1834"/>
      <c r="S1" s="1834"/>
      <c r="T1" s="1835"/>
      <c r="U1" s="1835"/>
      <c r="V1" s="1835"/>
      <c r="W1" s="1835"/>
      <c r="X1" s="1835"/>
      <c r="AC1" s="1836"/>
      <c r="AD1" s="1836"/>
      <c r="AE1" s="1836"/>
      <c r="AF1" s="1837"/>
    </row>
    <row r="2" spans="1:32" ht="20.25" x14ac:dyDescent="0.2">
      <c r="B2" s="3512"/>
      <c r="C2" s="3512"/>
      <c r="D2" s="3512"/>
      <c r="E2" s="3512"/>
      <c r="F2" s="3512"/>
      <c r="G2" s="3512"/>
      <c r="H2" s="3512"/>
      <c r="I2" s="3512"/>
      <c r="J2" s="3512"/>
      <c r="K2" s="3512"/>
      <c r="L2" s="3512"/>
      <c r="M2" s="3512"/>
      <c r="N2" s="1838"/>
      <c r="O2" s="1838"/>
      <c r="P2" s="1838"/>
      <c r="Q2" s="1838"/>
      <c r="R2" s="1838"/>
      <c r="S2" s="1838"/>
      <c r="T2" s="1835"/>
      <c r="U2" s="1835"/>
      <c r="V2" s="1835"/>
      <c r="W2" s="1835"/>
      <c r="X2" s="1835"/>
      <c r="AC2" s="1836"/>
      <c r="AD2" s="1836"/>
      <c r="AE2" s="1836"/>
      <c r="AF2" s="1837"/>
    </row>
    <row r="3" spans="1:32" ht="18.75" x14ac:dyDescent="0.2">
      <c r="A3" s="1839"/>
      <c r="B3" s="1840"/>
      <c r="D3" s="1841" t="s">
        <v>342</v>
      </c>
      <c r="E3" s="1842" t="s">
        <v>341</v>
      </c>
      <c r="F3" s="1843" t="s">
        <v>1895</v>
      </c>
      <c r="G3" s="1844"/>
      <c r="H3" s="1844"/>
      <c r="I3" s="1844"/>
      <c r="J3" s="1844"/>
      <c r="K3" s="1840"/>
      <c r="L3" s="1840"/>
      <c r="M3" s="2437"/>
      <c r="N3" s="1840"/>
      <c r="O3" s="1840"/>
      <c r="P3" s="1840"/>
      <c r="Q3" s="1840"/>
      <c r="R3" s="1840"/>
      <c r="S3" s="1840"/>
      <c r="T3" s="1845"/>
      <c r="U3" s="1845"/>
      <c r="V3" s="1845"/>
      <c r="W3" s="1845"/>
      <c r="X3" s="1845"/>
      <c r="AC3" s="1836"/>
      <c r="AD3" s="1836"/>
      <c r="AE3" s="1836"/>
      <c r="AF3" s="1837"/>
    </row>
    <row r="4" spans="1:32" ht="18.75" x14ac:dyDescent="0.2">
      <c r="D4" s="1841" t="s">
        <v>1131</v>
      </c>
      <c r="E4" s="1842" t="s">
        <v>341</v>
      </c>
      <c r="F4" s="1841" t="str">
        <f>F3</f>
        <v>PEMBANGUNAN GEDUNG KANTOR DINAS PERTANIAN, PANGAN DAN PERIKANAN KARANGANYAR</v>
      </c>
      <c r="L4" s="1847"/>
      <c r="AC4" s="1836"/>
      <c r="AD4" s="1836"/>
      <c r="AE4" s="1836"/>
      <c r="AF4" s="1837"/>
    </row>
    <row r="5" spans="1:32" ht="18.75" x14ac:dyDescent="0.2">
      <c r="D5" s="1841" t="s">
        <v>343</v>
      </c>
      <c r="E5" s="1842" t="s">
        <v>341</v>
      </c>
      <c r="F5" s="1841" t="s">
        <v>345</v>
      </c>
      <c r="I5" s="1849"/>
      <c r="AC5" s="1836"/>
      <c r="AD5" s="1836"/>
      <c r="AE5" s="1836"/>
      <c r="AF5" s="1837"/>
    </row>
    <row r="6" spans="1:32" ht="18.75" x14ac:dyDescent="0.2">
      <c r="D6" s="1841" t="s">
        <v>344</v>
      </c>
      <c r="E6" s="1842" t="s">
        <v>341</v>
      </c>
      <c r="F6" s="1841" t="s">
        <v>345</v>
      </c>
      <c r="AC6" s="1836"/>
      <c r="AD6" s="1836"/>
      <c r="AE6" s="1836"/>
      <c r="AF6" s="1837"/>
    </row>
    <row r="7" spans="1:32" ht="18.75" x14ac:dyDescent="0.2">
      <c r="D7" s="1850" t="s">
        <v>346</v>
      </c>
      <c r="E7" s="1842" t="s">
        <v>341</v>
      </c>
      <c r="F7" s="1851" t="s">
        <v>1753</v>
      </c>
      <c r="J7" s="1847"/>
      <c r="AC7" s="1836"/>
      <c r="AD7" s="1836"/>
      <c r="AE7" s="1836"/>
      <c r="AF7" s="1837"/>
    </row>
    <row r="8" spans="1:32" ht="16.5" thickBot="1" x14ac:dyDescent="0.25">
      <c r="AC8" s="1836"/>
      <c r="AD8" s="1836"/>
      <c r="AE8" s="1836"/>
      <c r="AF8" s="1837"/>
    </row>
    <row r="9" spans="1:32" ht="19.5" thickTop="1" x14ac:dyDescent="0.2">
      <c r="B9" s="1852"/>
      <c r="C9" s="1853"/>
      <c r="D9" s="1854"/>
      <c r="E9" s="1854"/>
      <c r="F9" s="1855"/>
      <c r="G9" s="1856"/>
      <c r="H9" s="1855"/>
      <c r="I9" s="1858"/>
      <c r="J9" s="1855"/>
      <c r="K9" s="1854"/>
      <c r="L9" s="1855"/>
      <c r="M9" s="2438"/>
      <c r="N9" s="2439"/>
      <c r="O9" s="1858"/>
      <c r="P9" s="1858"/>
      <c r="Q9" s="1858"/>
      <c r="R9" s="1858"/>
      <c r="S9" s="1860"/>
      <c r="AC9" s="1836"/>
      <c r="AD9" s="1836"/>
      <c r="AE9" s="1836"/>
      <c r="AF9" s="1837"/>
    </row>
    <row r="10" spans="1:32" ht="18.75" x14ac:dyDescent="0.2">
      <c r="B10" s="1861" t="s">
        <v>423</v>
      </c>
      <c r="C10" s="1862" t="s">
        <v>1754</v>
      </c>
      <c r="D10" s="1862"/>
      <c r="E10" s="1862"/>
      <c r="F10" s="1863"/>
      <c r="G10" s="1842" t="s">
        <v>1755</v>
      </c>
      <c r="H10" s="1863" t="s">
        <v>1756</v>
      </c>
      <c r="I10" s="1867" t="s">
        <v>1757</v>
      </c>
      <c r="J10" s="1867" t="s">
        <v>347</v>
      </c>
      <c r="K10" s="1850"/>
      <c r="L10" s="1867" t="s">
        <v>284</v>
      </c>
      <c r="M10" s="2440" t="s">
        <v>347</v>
      </c>
      <c r="N10" s="2441" t="s">
        <v>2010</v>
      </c>
      <c r="O10" s="1867" t="s">
        <v>2019</v>
      </c>
      <c r="P10" s="1867" t="s">
        <v>2019</v>
      </c>
      <c r="Q10" s="1867" t="s">
        <v>2015</v>
      </c>
      <c r="R10" s="1867" t="s">
        <v>2015</v>
      </c>
      <c r="S10" s="1868" t="s">
        <v>2017</v>
      </c>
      <c r="AC10" s="1836"/>
      <c r="AD10" s="1836"/>
      <c r="AE10" s="1836"/>
      <c r="AF10" s="1837"/>
    </row>
    <row r="11" spans="1:32" ht="18.75" x14ac:dyDescent="0.2">
      <c r="B11" s="1861"/>
      <c r="C11" s="1862"/>
      <c r="D11" s="1862"/>
      <c r="E11" s="1862"/>
      <c r="F11" s="1863"/>
      <c r="G11" s="1842"/>
      <c r="H11" s="1863"/>
      <c r="I11" s="1867"/>
      <c r="J11" s="1867" t="s">
        <v>1758</v>
      </c>
      <c r="K11" s="1862"/>
      <c r="L11" s="1863" t="s">
        <v>347</v>
      </c>
      <c r="M11" s="2440" t="s">
        <v>448</v>
      </c>
      <c r="N11" s="2441"/>
      <c r="O11" s="1867" t="str">
        <f>N10</f>
        <v>TKDN</v>
      </c>
      <c r="P11" s="1867" t="str">
        <f>O11</f>
        <v>TKDN</v>
      </c>
      <c r="Q11" s="1867" t="s">
        <v>2016</v>
      </c>
      <c r="R11" s="1867" t="s">
        <v>2016</v>
      </c>
      <c r="S11" s="1868"/>
      <c r="AC11" s="1836"/>
      <c r="AD11" s="1836"/>
      <c r="AE11" s="1836"/>
      <c r="AF11" s="1837"/>
    </row>
    <row r="12" spans="1:32" ht="18.75" x14ac:dyDescent="0.2">
      <c r="B12" s="1870"/>
      <c r="C12" s="1871"/>
      <c r="D12" s="1871"/>
      <c r="E12" s="1871"/>
      <c r="F12" s="1872"/>
      <c r="G12" s="1873" t="s">
        <v>278</v>
      </c>
      <c r="H12" s="1872"/>
      <c r="I12" s="1878"/>
      <c r="J12" s="1878" t="s">
        <v>348</v>
      </c>
      <c r="K12" s="1879"/>
      <c r="L12" s="1880" t="s">
        <v>348</v>
      </c>
      <c r="M12" s="2442" t="s">
        <v>348</v>
      </c>
      <c r="N12" s="2443"/>
      <c r="O12" s="1878"/>
      <c r="P12" s="2444" t="s">
        <v>2020</v>
      </c>
      <c r="Q12" s="1878"/>
      <c r="R12" s="1867"/>
      <c r="S12" s="1883"/>
      <c r="AC12" s="1836"/>
      <c r="AD12" s="1836"/>
      <c r="AE12" s="1836"/>
      <c r="AF12" s="1837"/>
    </row>
    <row r="13" spans="1:32" ht="19.5" thickBot="1" x14ac:dyDescent="0.25">
      <c r="B13" s="1884" t="s">
        <v>349</v>
      </c>
      <c r="C13" s="1885"/>
      <c r="D13" s="1886"/>
      <c r="E13" s="1887" t="s">
        <v>228</v>
      </c>
      <c r="F13" s="1888"/>
      <c r="G13" s="1889" t="s">
        <v>350</v>
      </c>
      <c r="H13" s="1885"/>
      <c r="I13" s="1894" t="s">
        <v>351</v>
      </c>
      <c r="J13" s="1894" t="s">
        <v>352</v>
      </c>
      <c r="K13" s="1895" t="s">
        <v>353</v>
      </c>
      <c r="L13" s="1895"/>
      <c r="M13" s="2445" t="s">
        <v>354</v>
      </c>
      <c r="N13" s="2446">
        <v>8</v>
      </c>
      <c r="O13" s="1893"/>
      <c r="P13" s="1893"/>
      <c r="Q13" s="1896"/>
      <c r="R13" s="1897">
        <v>9</v>
      </c>
      <c r="S13" s="1898">
        <v>10</v>
      </c>
      <c r="AC13" s="1836"/>
      <c r="AD13" s="1836"/>
      <c r="AE13" s="1836"/>
      <c r="AF13" s="1837"/>
    </row>
    <row r="14" spans="1:32" ht="21.95" customHeight="1" thickTop="1" x14ac:dyDescent="0.2">
      <c r="B14" s="1899"/>
      <c r="C14" s="1900"/>
      <c r="D14" s="1901"/>
      <c r="E14" s="1901"/>
      <c r="F14" s="1902"/>
      <c r="G14" s="1903"/>
      <c r="H14" s="1901"/>
      <c r="I14" s="1906"/>
      <c r="J14" s="1906"/>
      <c r="K14" s="1900"/>
      <c r="L14" s="1902"/>
      <c r="M14" s="1903"/>
      <c r="N14" s="2447"/>
      <c r="O14" s="1905"/>
      <c r="P14" s="1905"/>
      <c r="Q14" s="1906"/>
      <c r="R14" s="1907"/>
      <c r="S14" s="1908"/>
    </row>
    <row r="15" spans="1:32" s="1924" customFormat="1" ht="32.1" customHeight="1" x14ac:dyDescent="0.2">
      <c r="A15" s="1911"/>
      <c r="B15" s="1912" t="s">
        <v>542</v>
      </c>
      <c r="C15" s="1913"/>
      <c r="D15" s="1914" t="s">
        <v>1759</v>
      </c>
      <c r="E15" s="1913"/>
      <c r="F15" s="1915"/>
      <c r="G15" s="1916"/>
      <c r="H15" s="1913"/>
      <c r="I15" s="2448"/>
      <c r="J15" s="1916"/>
      <c r="K15" s="1920"/>
      <c r="L15" s="1915"/>
      <c r="M15" s="2449"/>
      <c r="N15" s="2450"/>
      <c r="O15" s="2451"/>
      <c r="P15" s="2451"/>
      <c r="Q15" s="1921"/>
      <c r="R15" s="1922"/>
      <c r="S15" s="1923"/>
      <c r="T15" s="1848"/>
      <c r="U15" s="1848"/>
      <c r="V15" s="1848"/>
      <c r="W15" s="1848"/>
      <c r="X15" s="1848"/>
      <c r="AC15" s="1925"/>
      <c r="AD15" s="1925"/>
      <c r="AE15" s="1925"/>
      <c r="AF15" s="1926"/>
    </row>
    <row r="16" spans="1:32" ht="21.95" customHeight="1" x14ac:dyDescent="0.2">
      <c r="B16" s="1927" t="s">
        <v>1760</v>
      </c>
      <c r="C16" s="1928"/>
      <c r="D16" s="1929" t="s">
        <v>355</v>
      </c>
      <c r="E16" s="1930"/>
      <c r="F16" s="1931"/>
      <c r="G16" s="1932"/>
      <c r="H16" s="2452"/>
      <c r="I16" s="2453"/>
      <c r="J16" s="1937"/>
      <c r="K16" s="1938"/>
      <c r="L16" s="1939"/>
      <c r="M16" s="1963"/>
      <c r="N16" s="2454"/>
      <c r="O16" s="1936"/>
      <c r="P16" s="1936"/>
      <c r="Q16" s="1934"/>
      <c r="R16" s="2455"/>
      <c r="S16" s="1941"/>
    </row>
    <row r="17" spans="1:33" s="1957" customFormat="1" ht="21.95" customHeight="1" x14ac:dyDescent="0.2">
      <c r="A17" s="1942">
        <f>satpek!B20</f>
        <v>1</v>
      </c>
      <c r="B17" s="1943">
        <v>1</v>
      </c>
      <c r="C17" s="1937"/>
      <c r="D17" s="1944" t="str">
        <f>VLOOKUP($A17,satpek!$B$20:$N$144,2,0)</f>
        <v>Administrasi dan dokumentasi</v>
      </c>
      <c r="E17" s="1930"/>
      <c r="F17" s="1931"/>
      <c r="G17" s="1945">
        <v>1</v>
      </c>
      <c r="H17" s="2456" t="str">
        <f>VLOOKUP($A17,satpek!$B$20:$N$144,7,0)</f>
        <v>ls</v>
      </c>
      <c r="I17" s="2457" t="str">
        <f>VLOOKUP($A17,satpek!$B$20:$N$144,5,0)</f>
        <v>An. Dihitung</v>
      </c>
      <c r="J17" s="1951">
        <f>VLOOKUP($A17,satpek!$B$20:$L$138,6,0)</f>
        <v>287076.5</v>
      </c>
      <c r="K17" s="1938"/>
      <c r="L17" s="1952">
        <f t="shared" ref="L17" si="0">ROUND((G17*J17),2)</f>
        <v>287076.5</v>
      </c>
      <c r="M17" s="1963"/>
      <c r="N17" s="2458">
        <f>VLOOKUP($A17,satpek!$B$20:$L$138,8,0)</f>
        <v>0.58185101358000391</v>
      </c>
      <c r="O17" s="1954">
        <f>VLOOKUP($A17,satpek!$B$20:$L$138,9,0)</f>
        <v>147819.25</v>
      </c>
      <c r="P17" s="1954">
        <f>VLOOKUP($A17,satpek!$B$20:$L$138,10,0)</f>
        <v>167035.7525</v>
      </c>
      <c r="Q17" s="1952">
        <f>O17*G17</f>
        <v>147819.25</v>
      </c>
      <c r="R17" s="1952">
        <f>N17*L17</f>
        <v>167035.7525</v>
      </c>
      <c r="S17" s="1955">
        <f>L17-R17</f>
        <v>120040.7475</v>
      </c>
      <c r="T17" s="2459"/>
      <c r="U17" s="1848"/>
      <c r="V17" s="1956">
        <v>1</v>
      </c>
      <c r="W17" s="1956"/>
      <c r="X17" s="1956">
        <f t="shared" ref="X17:X80" si="1">V17-G17</f>
        <v>0</v>
      </c>
      <c r="Y17" s="1957" t="s">
        <v>366</v>
      </c>
      <c r="AC17" s="1958"/>
      <c r="AD17" s="1958"/>
      <c r="AE17" s="1958"/>
      <c r="AF17" s="1959">
        <v>283912.5</v>
      </c>
      <c r="AG17" s="1960">
        <f t="shared" ref="AG17:AG80" si="2">AF17-J17</f>
        <v>-3164</v>
      </c>
    </row>
    <row r="18" spans="1:33" s="1957" customFormat="1" ht="21.95" customHeight="1" x14ac:dyDescent="0.2">
      <c r="A18" s="1942">
        <f>satpek!B21</f>
        <v>2</v>
      </c>
      <c r="B18" s="1943">
        <f>B17+1</f>
        <v>2</v>
      </c>
      <c r="C18" s="1937"/>
      <c r="D18" s="1944" t="str">
        <f>VLOOKUP($A18,satpek!$B$20:$N$144,2,0)</f>
        <v>Air dan listrik kerja</v>
      </c>
      <c r="E18" s="1944"/>
      <c r="F18" s="2004"/>
      <c r="G18" s="1945">
        <f>'[3]B.VOL RAB'!Q15</f>
        <v>1</v>
      </c>
      <c r="H18" s="2456" t="str">
        <f>VLOOKUP($A18,satpek!$B$20:$N$144,7,0)</f>
        <v>ls</v>
      </c>
      <c r="I18" s="2457" t="str">
        <f>VLOOKUP($A18,satpek!$B$20:$N$144,5,0)</f>
        <v>An. Dihitung</v>
      </c>
      <c r="J18" s="1951">
        <f>VLOOKUP($A18,satpek!$B$20:$N$144,6,0)</f>
        <v>10379502</v>
      </c>
      <c r="K18" s="1938"/>
      <c r="L18" s="1952">
        <f t="shared" ref="L18" si="3">ROUND((G18*J18),2)</f>
        <v>10379502</v>
      </c>
      <c r="M18" s="1963"/>
      <c r="N18" s="2458">
        <f>VLOOKUP($A18,satpek!$B$20:$L$138,8,0)</f>
        <v>0.45130315500685869</v>
      </c>
      <c r="O18" s="1954">
        <f>VLOOKUP($A18,satpek!$B$20:$L$138,9,0)</f>
        <v>4145400</v>
      </c>
      <c r="P18" s="1954">
        <f>VLOOKUP($A18,satpek!$B$20:$L$138,10,0)</f>
        <v>4684302</v>
      </c>
      <c r="Q18" s="1952">
        <f t="shared" ref="Q18:Q22" si="4">O18*G18</f>
        <v>4145400</v>
      </c>
      <c r="R18" s="1952">
        <f t="shared" ref="R18:R22" si="5">N18*L18</f>
        <v>4684302</v>
      </c>
      <c r="S18" s="1955">
        <f t="shared" ref="S18:S22" si="6">L18-R18</f>
        <v>5695200</v>
      </c>
      <c r="T18" s="1848"/>
      <c r="U18" s="1848"/>
      <c r="V18" s="1956">
        <v>1</v>
      </c>
      <c r="W18" s="1956"/>
      <c r="X18" s="1956">
        <f t="shared" si="1"/>
        <v>0</v>
      </c>
      <c r="Y18" s="1957" t="s">
        <v>1897</v>
      </c>
      <c r="AC18" s="1958"/>
      <c r="AD18" s="1958"/>
      <c r="AE18" s="1958"/>
      <c r="AF18" s="1959">
        <v>11022585</v>
      </c>
      <c r="AG18" s="1960">
        <f t="shared" si="2"/>
        <v>643083</v>
      </c>
    </row>
    <row r="19" spans="1:33" ht="21.95" customHeight="1" x14ac:dyDescent="0.2">
      <c r="A19" s="1833">
        <f>satpek!B23</f>
        <v>4</v>
      </c>
      <c r="B19" s="1943">
        <f>B18+1</f>
        <v>3</v>
      </c>
      <c r="C19" s="1937"/>
      <c r="D19" s="1944" t="str">
        <f>VLOOKUP($A19,satpek!$B$20:$N$144,2,0)</f>
        <v xml:space="preserve">Pengukuran dan pemasangan bouwplank  </v>
      </c>
      <c r="E19" s="1944"/>
      <c r="F19" s="2004"/>
      <c r="G19" s="1945">
        <f>'[3]B.VOL RAB'!Q17</f>
        <v>205.8</v>
      </c>
      <c r="H19" s="2456" t="str">
        <f>VLOOKUP($A19,satpek!$B$20:$N$144,7,0)</f>
        <v>m'</v>
      </c>
      <c r="I19" s="2457" t="str">
        <f>VLOOKUP($A19,satpek!$B$20:$N$144,5,0)</f>
        <v>A.2.2.1.4.</v>
      </c>
      <c r="J19" s="1951">
        <f>VLOOKUP($A19,satpek!$B$20:$N$144,6,0)</f>
        <v>59589.42</v>
      </c>
      <c r="K19" s="1938"/>
      <c r="L19" s="1952">
        <f t="shared" ref="L19" si="7">ROUND((G19*J19),2)</f>
        <v>12263502.640000001</v>
      </c>
      <c r="M19" s="1963"/>
      <c r="N19" s="2458">
        <f>VLOOKUP($A19,satpek!$B$20:$L$138,8,0)</f>
        <v>0.99355254674403615</v>
      </c>
      <c r="O19" s="1954">
        <f>VLOOKUP($A19,satpek!$B$20:$L$138,9,0)</f>
        <v>52394</v>
      </c>
      <c r="P19" s="1954">
        <f>VLOOKUP($A19,satpek!$B$20:$L$138,10,0)</f>
        <v>59205.22</v>
      </c>
      <c r="Q19" s="1952">
        <f t="shared" si="4"/>
        <v>10782685.200000001</v>
      </c>
      <c r="R19" s="1952">
        <f t="shared" si="5"/>
        <v>12184434.279974211</v>
      </c>
      <c r="S19" s="1955">
        <f t="shared" si="6"/>
        <v>79068.360025789589</v>
      </c>
      <c r="V19" s="1956">
        <v>205.8</v>
      </c>
      <c r="W19" s="1956"/>
      <c r="X19" s="1956">
        <f t="shared" si="1"/>
        <v>0</v>
      </c>
      <c r="Y19" s="1836" t="s">
        <v>1903</v>
      </c>
      <c r="AF19" s="1910">
        <v>59256.07</v>
      </c>
      <c r="AG19" s="1960">
        <f t="shared" si="2"/>
        <v>-333.34999999999854</v>
      </c>
    </row>
    <row r="20" spans="1:33" ht="21.95" customHeight="1" x14ac:dyDescent="0.2">
      <c r="A20" s="1833">
        <f>satpek!B22</f>
        <v>3</v>
      </c>
      <c r="B20" s="1943">
        <f>B19+1</f>
        <v>4</v>
      </c>
      <c r="C20" s="1937"/>
      <c r="D20" s="1944" t="str">
        <f>VLOOKUP($A20,satpek!$B$20:$N$144,2,0)</f>
        <v>Pembersihan lapangan dan perataan</v>
      </c>
      <c r="E20" s="1944"/>
      <c r="F20" s="2004"/>
      <c r="G20" s="1945">
        <f>'[3]B.VOL RAB'!Q20</f>
        <v>767.55000000000007</v>
      </c>
      <c r="H20" s="2456" t="str">
        <f>VLOOKUP($A20,satpek!$B$20:$N$144,7,0)</f>
        <v>m2</v>
      </c>
      <c r="I20" s="2457" t="str">
        <f>VLOOKUP($A20,satpek!$B$20:$N$144,5,0)</f>
        <v>A.2.2.1.9.</v>
      </c>
      <c r="J20" s="1951">
        <f>VLOOKUP($A20,satpek!$B$20:$N$144,6,0)</f>
        <v>15062.9</v>
      </c>
      <c r="K20" s="1938"/>
      <c r="L20" s="1952">
        <f t="shared" ref="L20:L21" si="8">ROUND((G20*J20),2)</f>
        <v>11561528.9</v>
      </c>
      <c r="M20" s="1963"/>
      <c r="N20" s="2458">
        <f>VLOOKUP($A20,satpek!$B$20:$L$138,8,0)</f>
        <v>1</v>
      </c>
      <c r="O20" s="1954">
        <f>VLOOKUP($A20,satpek!$B$20:$L$138,9,0)</f>
        <v>13330</v>
      </c>
      <c r="P20" s="1954">
        <f>VLOOKUP($A20,satpek!$B$20:$L$138,10,0)</f>
        <v>15062.9</v>
      </c>
      <c r="Q20" s="1952">
        <f t="shared" si="4"/>
        <v>10231441.5</v>
      </c>
      <c r="R20" s="1952">
        <f t="shared" si="5"/>
        <v>11561528.9</v>
      </c>
      <c r="S20" s="1955">
        <f t="shared" si="6"/>
        <v>0</v>
      </c>
      <c r="V20" s="1956">
        <v>767.55000000000007</v>
      </c>
      <c r="W20" s="1956"/>
      <c r="X20" s="1956">
        <f t="shared" si="1"/>
        <v>0</v>
      </c>
      <c r="Y20" s="1836" t="s">
        <v>742</v>
      </c>
      <c r="AF20" s="1910">
        <v>14577</v>
      </c>
      <c r="AG20" s="1960">
        <f t="shared" si="2"/>
        <v>-485.89999999999964</v>
      </c>
    </row>
    <row r="21" spans="1:33" ht="21.95" customHeight="1" x14ac:dyDescent="0.2">
      <c r="A21" s="1833">
        <f>satpek!B107</f>
        <v>88</v>
      </c>
      <c r="B21" s="1943">
        <f>B20+1</f>
        <v>5</v>
      </c>
      <c r="C21" s="1937"/>
      <c r="D21" s="1944" t="str">
        <f>VLOOKUP($A21,satpek!$B$20:$N$144,2,0)</f>
        <v>Penyelenggaraan K3</v>
      </c>
      <c r="E21" s="1944"/>
      <c r="F21" s="2004"/>
      <c r="G21" s="1945">
        <f>'[3]B.VOL RAB'!Q22</f>
        <v>1</v>
      </c>
      <c r="H21" s="2456" t="str">
        <f>VLOOKUP($A21,satpek!$B$20:$N$144,7,0)</f>
        <v>ls</v>
      </c>
      <c r="I21" s="2457" t="str">
        <f>VLOOKUP($A21,satpek!$B$20:$N$144,5,0)</f>
        <v>Dihitung</v>
      </c>
      <c r="J21" s="1951">
        <f>VLOOKUP($A21,satpek!$B$20:$N$144,6,0)</f>
        <v>8258800</v>
      </c>
      <c r="K21" s="1938"/>
      <c r="L21" s="1952">
        <f t="shared" si="8"/>
        <v>8258800</v>
      </c>
      <c r="M21" s="1963"/>
      <c r="N21" s="2458">
        <f>VLOOKUP($A21,satpek!$B$20:$L$138,8,0)</f>
        <v>0.46616941928609484</v>
      </c>
      <c r="O21" s="1954">
        <f>VLOOKUP($A21,satpek!$B$20:$L$138,9,0)</f>
        <v>0</v>
      </c>
      <c r="P21" s="1954">
        <f>VLOOKUP($A21,satpek!$B$20:$L$138,10,0)</f>
        <v>3850000</v>
      </c>
      <c r="Q21" s="1952">
        <f t="shared" si="4"/>
        <v>0</v>
      </c>
      <c r="R21" s="1952">
        <f t="shared" si="5"/>
        <v>3850000</v>
      </c>
      <c r="S21" s="1955">
        <f t="shared" si="6"/>
        <v>4408800</v>
      </c>
      <c r="V21" s="1956">
        <v>1</v>
      </c>
      <c r="W21" s="1956"/>
      <c r="X21" s="1956">
        <f t="shared" si="1"/>
        <v>0</v>
      </c>
      <c r="Y21" s="1836" t="s">
        <v>1395</v>
      </c>
      <c r="AF21" s="1910">
        <v>8772500</v>
      </c>
      <c r="AG21" s="1960">
        <f t="shared" si="2"/>
        <v>513700</v>
      </c>
    </row>
    <row r="22" spans="1:33" ht="21.95" customHeight="1" x14ac:dyDescent="0.2">
      <c r="A22" s="1833">
        <f>satpek!B108</f>
        <v>89</v>
      </c>
      <c r="B22" s="2012">
        <f>B21+1</f>
        <v>6</v>
      </c>
      <c r="C22" s="2013"/>
      <c r="D22" s="1944" t="str">
        <f>VLOOKUP($A22,satpek!$B$20:$N$144,2,0)</f>
        <v>Papan Nama Proyek</v>
      </c>
      <c r="E22" s="2014"/>
      <c r="F22" s="2015"/>
      <c r="G22" s="2016">
        <f>'[3]B.VOL RAB'!Q23</f>
        <v>1</v>
      </c>
      <c r="H22" s="2456" t="str">
        <f>VLOOKUP($A22,satpek!$B$20:$N$144,7,0)</f>
        <v>ls</v>
      </c>
      <c r="I22" s="2457" t="str">
        <f>VLOOKUP($A22,satpek!$B$20:$N$144,5,0)</f>
        <v>Daftar harga</v>
      </c>
      <c r="J22" s="1951">
        <f>VLOOKUP($A22,satpek!$B$20:$N$144,6,0)</f>
        <v>350000</v>
      </c>
      <c r="K22" s="1938"/>
      <c r="L22" s="1952">
        <f t="shared" ref="L22" si="9">ROUND((G22*J22),2)</f>
        <v>350000</v>
      </c>
      <c r="M22" s="2460"/>
      <c r="N22" s="2458">
        <f>VLOOKUP($A22,satpek!$B$20:$L$138,8,0)</f>
        <v>0.2</v>
      </c>
      <c r="O22" s="1954">
        <f>VLOOKUP($A22,satpek!$B$20:$L$138,9,0)</f>
        <v>0</v>
      </c>
      <c r="P22" s="1954">
        <f>VLOOKUP($A22,satpek!$B$20:$L$138,10,0)</f>
        <v>70000</v>
      </c>
      <c r="Q22" s="1952">
        <f t="shared" si="4"/>
        <v>0</v>
      </c>
      <c r="R22" s="1952">
        <f t="shared" si="5"/>
        <v>70000</v>
      </c>
      <c r="S22" s="1955">
        <f t="shared" si="6"/>
        <v>280000</v>
      </c>
      <c r="V22" s="1956">
        <v>1</v>
      </c>
      <c r="W22" s="1956"/>
      <c r="X22" s="1956">
        <f t="shared" si="1"/>
        <v>0</v>
      </c>
      <c r="Y22" s="1836" t="s">
        <v>427</v>
      </c>
      <c r="AF22" s="1910">
        <v>350000</v>
      </c>
      <c r="AG22" s="1960">
        <f t="shared" si="2"/>
        <v>0</v>
      </c>
    </row>
    <row r="23" spans="1:33" ht="21.95" customHeight="1" x14ac:dyDescent="0.2">
      <c r="B23" s="2017"/>
      <c r="C23" s="2018"/>
      <c r="D23" s="2019"/>
      <c r="E23" s="2019"/>
      <c r="F23" s="2020"/>
      <c r="G23" s="2021"/>
      <c r="H23" s="2461"/>
      <c r="I23" s="2462"/>
      <c r="J23" s="2026"/>
      <c r="K23" s="2027"/>
      <c r="L23" s="2065" t="s">
        <v>1761</v>
      </c>
      <c r="M23" s="2463">
        <f>SUM(L17:L23)</f>
        <v>43100410.039999999</v>
      </c>
      <c r="N23" s="2464">
        <f>R23/M23</f>
        <v>0.75445456092635843</v>
      </c>
      <c r="O23" s="2025"/>
      <c r="P23" s="2024"/>
      <c r="Q23" s="2023"/>
      <c r="R23" s="2068">
        <f>SUM(R17:R22)</f>
        <v>32517300.932474211</v>
      </c>
      <c r="S23" s="2465">
        <f>SUM(S17:S22)</f>
        <v>10583109.107525788</v>
      </c>
      <c r="U23" s="1848">
        <f>M23-T23</f>
        <v>43100410.039999999</v>
      </c>
      <c r="V23" s="1956"/>
      <c r="W23" s="1956">
        <f>R23/M23</f>
        <v>0.75445456092635843</v>
      </c>
      <c r="X23" s="1956">
        <f t="shared" si="1"/>
        <v>0</v>
      </c>
      <c r="AG23" s="1960">
        <f t="shared" si="2"/>
        <v>0</v>
      </c>
    </row>
    <row r="24" spans="1:33" ht="21.95" customHeight="1" x14ac:dyDescent="0.2">
      <c r="B24" s="2032" t="s">
        <v>1762</v>
      </c>
      <c r="C24" s="2033"/>
      <c r="D24" s="2034" t="s">
        <v>356</v>
      </c>
      <c r="E24" s="2035"/>
      <c r="F24" s="2036"/>
      <c r="G24" s="1991"/>
      <c r="H24" s="2037"/>
      <c r="I24" s="2038"/>
      <c r="J24" s="1997"/>
      <c r="K24" s="2041"/>
      <c r="L24" s="2042"/>
      <c r="M24" s="1997"/>
      <c r="N24" s="2466"/>
      <c r="O24" s="2040"/>
      <c r="P24" s="2040"/>
      <c r="Q24" s="2038"/>
      <c r="R24" s="2043"/>
      <c r="S24" s="2044"/>
      <c r="V24" s="1956"/>
      <c r="W24" s="1956"/>
      <c r="X24" s="1956">
        <f t="shared" si="1"/>
        <v>0</v>
      </c>
      <c r="Y24" s="1836" t="s">
        <v>356</v>
      </c>
      <c r="AG24" s="1960">
        <f t="shared" si="2"/>
        <v>0</v>
      </c>
    </row>
    <row r="25" spans="1:33" ht="21.95" customHeight="1" x14ac:dyDescent="0.2">
      <c r="A25" s="1833">
        <f>satpek!B24</f>
        <v>5</v>
      </c>
      <c r="B25" s="1943">
        <v>1</v>
      </c>
      <c r="C25" s="1937"/>
      <c r="D25" s="1944" t="str">
        <f>VLOOKUP($A25,satpek!$B$20:$N$144,2,0)</f>
        <v xml:space="preserve">Menggali tanah biasa sedalam 1 m' </v>
      </c>
      <c r="E25" s="1944"/>
      <c r="F25" s="2004"/>
      <c r="G25" s="1945">
        <f>'[3]B.VOL RAB'!Q26</f>
        <v>125.12000000000002</v>
      </c>
      <c r="H25" s="2456" t="str">
        <f>VLOOKUP($A25,satpek!$B$20:$N$144,7,0)</f>
        <v>m3</v>
      </c>
      <c r="I25" s="2457" t="str">
        <f>VLOOKUP($A25,satpek!$B$20:$N$144,5,0)</f>
        <v>A.2.3.1.1.</v>
      </c>
      <c r="J25" s="1951">
        <f>VLOOKUP($A25,satpek!$B$20:$N$144,6,0)</f>
        <v>77376.75</v>
      </c>
      <c r="K25" s="1938"/>
      <c r="L25" s="1952">
        <f t="shared" ref="L25:L29" si="10">ROUND((G25*J25),2)</f>
        <v>9681378.9600000009</v>
      </c>
      <c r="M25" s="1967"/>
      <c r="N25" s="2458">
        <f>VLOOKUP($A25,satpek!$B$20:$L$138,8,0)</f>
        <v>1</v>
      </c>
      <c r="O25" s="1954">
        <f>VLOOKUP($A25,satpek!$B$20:$L$138,9,0)</f>
        <v>68475</v>
      </c>
      <c r="P25" s="1954">
        <f>VLOOKUP($A25,satpek!$B$20:$L$138,10,0)</f>
        <v>77376.75</v>
      </c>
      <c r="Q25" s="1952">
        <f t="shared" ref="Q25:Q29" si="11">O25*G25</f>
        <v>8567592.0000000019</v>
      </c>
      <c r="R25" s="1952">
        <f t="shared" ref="R25:R29" si="12">N25*L25</f>
        <v>9681378.9600000009</v>
      </c>
      <c r="S25" s="1955">
        <f t="shared" ref="S25:S29" si="13">L25-R25</f>
        <v>0</v>
      </c>
      <c r="V25" s="1956">
        <v>125.12000000000002</v>
      </c>
      <c r="W25" s="1956"/>
      <c r="X25" s="1956">
        <f t="shared" si="1"/>
        <v>0</v>
      </c>
      <c r="Y25" s="1836" t="s">
        <v>701</v>
      </c>
      <c r="AF25" s="1910">
        <v>74919</v>
      </c>
      <c r="AG25" s="1960">
        <f t="shared" si="2"/>
        <v>-2457.75</v>
      </c>
    </row>
    <row r="26" spans="1:33" ht="21.95" customHeight="1" x14ac:dyDescent="0.2">
      <c r="A26" s="1833">
        <f>satpek!B25</f>
        <v>6</v>
      </c>
      <c r="B26" s="1943">
        <f>B25+1</f>
        <v>2</v>
      </c>
      <c r="C26" s="1937"/>
      <c r="D26" s="1944" t="str">
        <f>VLOOKUP($A26,satpek!$B$20:$N$144,2,0)</f>
        <v>Menggali tanah biasa sedalam 2 m'</v>
      </c>
      <c r="E26" s="1944"/>
      <c r="F26" s="2004"/>
      <c r="G26" s="1945">
        <f>'[3]B.VOL RAB'!Q30</f>
        <v>415</v>
      </c>
      <c r="H26" s="2456" t="str">
        <f>VLOOKUP($A26,satpek!$B$20:$N$144,7,0)</f>
        <v>m3</v>
      </c>
      <c r="I26" s="2457" t="str">
        <f>VLOOKUP($A26,satpek!$B$20:$N$144,5,0)</f>
        <v>A.2.3.1.2.</v>
      </c>
      <c r="J26" s="1951">
        <f>VLOOKUP($A26,satpek!$B$20:$N$144,6,0)</f>
        <v>94377.600000000006</v>
      </c>
      <c r="K26" s="1938"/>
      <c r="L26" s="1952">
        <f t="shared" si="10"/>
        <v>39166704</v>
      </c>
      <c r="M26" s="1967"/>
      <c r="N26" s="2458">
        <f>VLOOKUP($A26,satpek!$B$20:$L$138,8,0)</f>
        <v>1</v>
      </c>
      <c r="O26" s="1954">
        <f>VLOOKUP($A26,satpek!$B$20:$L$138,9,0)</f>
        <v>83520</v>
      </c>
      <c r="P26" s="1954">
        <f>VLOOKUP($A26,satpek!$B$20:$L$138,10,0)</f>
        <v>94377.600000000006</v>
      </c>
      <c r="Q26" s="1952">
        <f t="shared" si="11"/>
        <v>34660800</v>
      </c>
      <c r="R26" s="1952">
        <f t="shared" si="12"/>
        <v>39166704</v>
      </c>
      <c r="S26" s="1955">
        <f t="shared" si="13"/>
        <v>0</v>
      </c>
      <c r="V26" s="1956">
        <v>415</v>
      </c>
      <c r="W26" s="1956"/>
      <c r="X26" s="1956">
        <f t="shared" si="1"/>
        <v>0</v>
      </c>
      <c r="Y26" s="1836" t="s">
        <v>745</v>
      </c>
      <c r="AF26" s="1910">
        <v>91377.45</v>
      </c>
      <c r="AG26" s="1960">
        <f t="shared" si="2"/>
        <v>-3000.1500000000087</v>
      </c>
    </row>
    <row r="27" spans="1:33" ht="21.95" customHeight="1" x14ac:dyDescent="0.2">
      <c r="A27" s="1833">
        <f>satpek!B26</f>
        <v>7</v>
      </c>
      <c r="B27" s="1943">
        <f>B26+1</f>
        <v>3</v>
      </c>
      <c r="C27" s="1937"/>
      <c r="D27" s="1944" t="str">
        <f>VLOOKUP($A27,satpek!$B$20:$N$144,2,0)</f>
        <v>Pengurugan kembali galian tanah</v>
      </c>
      <c r="E27" s="1944"/>
      <c r="F27" s="2004"/>
      <c r="G27" s="1945">
        <f>'[3]B.VOL RAB'!Q33</f>
        <v>162.036</v>
      </c>
      <c r="H27" s="2456" t="str">
        <f>VLOOKUP($A27,satpek!$B$20:$N$144,7,0)</f>
        <v>m3</v>
      </c>
      <c r="I27" s="2457" t="str">
        <f>VLOOKUP($A27,satpek!$B$20:$N$144,5,0)</f>
        <v>A.2.3.1.9.</v>
      </c>
      <c r="J27" s="1951">
        <f>VLOOKUP($A27,satpek!$B$20:$N$144,6,0)</f>
        <v>54974.5</v>
      </c>
      <c r="K27" s="1938"/>
      <c r="L27" s="1952">
        <f t="shared" si="10"/>
        <v>8907848.0800000001</v>
      </c>
      <c r="M27" s="1967"/>
      <c r="N27" s="2458">
        <f>VLOOKUP($A27,satpek!$B$20:$L$138,8,0)</f>
        <v>1</v>
      </c>
      <c r="O27" s="1954">
        <f>VLOOKUP($A27,satpek!$B$20:$L$138,9,0)</f>
        <v>48650</v>
      </c>
      <c r="P27" s="1954">
        <f>VLOOKUP($A27,satpek!$B$20:$L$138,10,0)</f>
        <v>54974.5</v>
      </c>
      <c r="Q27" s="1952">
        <f t="shared" si="11"/>
        <v>7883051.4000000004</v>
      </c>
      <c r="R27" s="1952">
        <f t="shared" si="12"/>
        <v>8907848.0800000001</v>
      </c>
      <c r="S27" s="1955">
        <f>L27-R27</f>
        <v>0</v>
      </c>
      <c r="V27" s="1956">
        <v>162.036</v>
      </c>
      <c r="W27" s="1956"/>
      <c r="X27" s="1956">
        <f t="shared" si="1"/>
        <v>0</v>
      </c>
      <c r="Y27" s="1836" t="s">
        <v>1067</v>
      </c>
      <c r="AF27" s="1910">
        <v>53223</v>
      </c>
      <c r="AG27" s="1960">
        <f t="shared" si="2"/>
        <v>-1751.5</v>
      </c>
    </row>
    <row r="28" spans="1:33" ht="21.95" customHeight="1" x14ac:dyDescent="0.2">
      <c r="A28" s="1833">
        <f>satpek!B28</f>
        <v>9</v>
      </c>
      <c r="B28" s="1943">
        <f>B27+1</f>
        <v>4</v>
      </c>
      <c r="C28" s="1937"/>
      <c r="D28" s="1944" t="s">
        <v>1999</v>
      </c>
      <c r="E28" s="1944"/>
      <c r="F28" s="2004"/>
      <c r="G28" s="1945">
        <f>'[3]B.VOL RAB'!Q35</f>
        <v>631.13400000000001</v>
      </c>
      <c r="H28" s="2456" t="str">
        <f>VLOOKUP($A28,satpek!$B$20:$N$144,7,0)</f>
        <v>m3</v>
      </c>
      <c r="I28" s="2457" t="str">
        <f>VLOOKUP($A28,satpek!$B$20:$N$144,5,0)</f>
        <v>An. Dihitung</v>
      </c>
      <c r="J28" s="1951">
        <f>VLOOKUP($A28,satpek!$B$20:$N$144,6,0)+satpek!G27</f>
        <v>148301.20000000001</v>
      </c>
      <c r="K28" s="1938"/>
      <c r="L28" s="1952">
        <f t="shared" si="10"/>
        <v>93597929.560000002</v>
      </c>
      <c r="M28" s="1967"/>
      <c r="N28" s="2458">
        <f>VLOOKUP($A28,satpek!$B$20:$L$138,8,0)</f>
        <v>1</v>
      </c>
      <c r="O28" s="1954">
        <f>VLOOKUP($A28,satpek!$B$20:$L$138,9,0)</f>
        <v>82590</v>
      </c>
      <c r="P28" s="1954">
        <f>VLOOKUP($A28,satpek!$B$20:$L$138,10,0)+satpek!K27</f>
        <v>148301.20000000001</v>
      </c>
      <c r="Q28" s="1952">
        <f t="shared" si="11"/>
        <v>52125357.060000002</v>
      </c>
      <c r="R28" s="1952">
        <f t="shared" si="12"/>
        <v>93597929.560000002</v>
      </c>
      <c r="S28" s="1955">
        <f t="shared" si="13"/>
        <v>0</v>
      </c>
      <c r="V28" s="1956">
        <v>559.54500000000007</v>
      </c>
      <c r="W28" s="1956"/>
      <c r="X28" s="1956">
        <f t="shared" si="1"/>
        <v>-71.588999999999942</v>
      </c>
      <c r="Y28" s="2061" t="s">
        <v>1763</v>
      </c>
      <c r="AF28" s="1910">
        <v>93699.6</v>
      </c>
      <c r="AG28" s="1960">
        <f t="shared" si="2"/>
        <v>-54601.600000000006</v>
      </c>
    </row>
    <row r="29" spans="1:33" ht="21.95" customHeight="1" x14ac:dyDescent="0.2">
      <c r="A29" s="1833">
        <f>satpek!B29</f>
        <v>10</v>
      </c>
      <c r="B29" s="1943">
        <f>B28+1</f>
        <v>5</v>
      </c>
      <c r="C29" s="1937"/>
      <c r="D29" s="1944" t="str">
        <f>VLOOKUP($A29,satpek!$B$20:$N$144,2,0)</f>
        <v>Mengurug pasir urug</v>
      </c>
      <c r="E29" s="1944"/>
      <c r="F29" s="2004"/>
      <c r="G29" s="2016">
        <f>'[3]B.VOL RAB'!Q36</f>
        <v>26.52</v>
      </c>
      <c r="H29" s="2456" t="str">
        <f>VLOOKUP($A29,satpek!$B$20:$N$144,7,0)</f>
        <v>m3</v>
      </c>
      <c r="I29" s="2457" t="str">
        <f>VLOOKUP($A29,satpek!$B$20:$N$144,5,0)</f>
        <v>A.2.3.1.11.</v>
      </c>
      <c r="J29" s="1951">
        <f>VLOOKUP($A29,satpek!$B$20:$N$144,6,0)</f>
        <v>251978.7</v>
      </c>
      <c r="K29" s="1938"/>
      <c r="L29" s="1952">
        <f t="shared" si="10"/>
        <v>6682475.1200000001</v>
      </c>
      <c r="M29" s="1967"/>
      <c r="N29" s="2458">
        <f>VLOOKUP($A29,satpek!$B$20:$L$138,8,0)</f>
        <v>1</v>
      </c>
      <c r="O29" s="1954">
        <f>VLOOKUP($A29,satpek!$B$20:$L$138,9,0)</f>
        <v>222990</v>
      </c>
      <c r="P29" s="1954">
        <f>VLOOKUP($A29,satpek!$B$20:$L$138,10,0)</f>
        <v>251978.7</v>
      </c>
      <c r="Q29" s="1952">
        <f t="shared" si="11"/>
        <v>5913694.7999999998</v>
      </c>
      <c r="R29" s="1952">
        <f t="shared" si="12"/>
        <v>6682475.1200000001</v>
      </c>
      <c r="S29" s="1955">
        <f t="shared" si="13"/>
        <v>0</v>
      </c>
      <c r="V29" s="1956">
        <v>26.52</v>
      </c>
      <c r="W29" s="1956"/>
      <c r="X29" s="1956">
        <f t="shared" si="1"/>
        <v>0</v>
      </c>
      <c r="Y29" s="1836" t="s">
        <v>467</v>
      </c>
      <c r="AF29" s="1910">
        <v>250995.6</v>
      </c>
      <c r="AG29" s="1960">
        <f t="shared" si="2"/>
        <v>-983.10000000000582</v>
      </c>
    </row>
    <row r="30" spans="1:33" ht="21.95" customHeight="1" x14ac:dyDescent="0.2">
      <c r="B30" s="2017"/>
      <c r="C30" s="2018"/>
      <c r="D30" s="2019"/>
      <c r="E30" s="2019"/>
      <c r="F30" s="2020"/>
      <c r="G30" s="2021"/>
      <c r="H30" s="2461"/>
      <c r="I30" s="2462"/>
      <c r="J30" s="2026"/>
      <c r="K30" s="2027"/>
      <c r="L30" s="2065" t="s">
        <v>1764</v>
      </c>
      <c r="M30" s="2463">
        <f>SUM(L25:L30)</f>
        <v>158036335.72</v>
      </c>
      <c r="N30" s="2464">
        <f>R30/M30</f>
        <v>1</v>
      </c>
      <c r="O30" s="2025"/>
      <c r="P30" s="2025"/>
      <c r="Q30" s="2023"/>
      <c r="R30" s="2068">
        <f>SUM(R25:R29)</f>
        <v>158036335.72</v>
      </c>
      <c r="S30" s="2467">
        <f>SUM(S25:S29)</f>
        <v>0</v>
      </c>
      <c r="U30" s="1848">
        <f>M30-T30</f>
        <v>158036335.72</v>
      </c>
      <c r="V30" s="1956"/>
      <c r="W30" s="1956"/>
      <c r="X30" s="1956">
        <f t="shared" si="1"/>
        <v>0</v>
      </c>
      <c r="Y30" s="1837"/>
      <c r="AC30" s="1836"/>
      <c r="AD30" s="1836"/>
      <c r="AE30" s="1836"/>
      <c r="AF30" s="1837"/>
      <c r="AG30" s="1960">
        <f t="shared" si="2"/>
        <v>0</v>
      </c>
    </row>
    <row r="31" spans="1:33" ht="21.95" customHeight="1" x14ac:dyDescent="0.2">
      <c r="B31" s="2032" t="s">
        <v>1765</v>
      </c>
      <c r="C31" s="1928"/>
      <c r="D31" s="1929" t="s">
        <v>259</v>
      </c>
      <c r="E31" s="1930"/>
      <c r="F31" s="1931"/>
      <c r="G31" s="1945"/>
      <c r="H31" s="2452"/>
      <c r="I31" s="2453"/>
      <c r="J31" s="1951"/>
      <c r="K31" s="2066"/>
      <c r="L31" s="2067"/>
      <c r="M31" s="1967"/>
      <c r="N31" s="2454"/>
      <c r="O31" s="1936"/>
      <c r="P31" s="1936"/>
      <c r="Q31" s="1934"/>
      <c r="R31" s="1940"/>
      <c r="S31" s="1941"/>
      <c r="V31" s="1956"/>
      <c r="W31" s="1956"/>
      <c r="X31" s="1956">
        <f t="shared" si="1"/>
        <v>0</v>
      </c>
      <c r="Y31" s="1836" t="s">
        <v>259</v>
      </c>
      <c r="AC31" s="1836"/>
      <c r="AD31" s="1836"/>
      <c r="AE31" s="1836"/>
      <c r="AF31" s="1837"/>
      <c r="AG31" s="1960">
        <f t="shared" si="2"/>
        <v>0</v>
      </c>
    </row>
    <row r="32" spans="1:33" ht="21.95" customHeight="1" x14ac:dyDescent="0.2">
      <c r="A32" s="1833">
        <f>satpek!B32</f>
        <v>13</v>
      </c>
      <c r="B32" s="1943">
        <v>1</v>
      </c>
      <c r="C32" s="1937"/>
      <c r="D32" s="1944" t="str">
        <f>VLOOKUP($A32,satpek!$B$20:$N$144,2,0)</f>
        <v>Memasang batu kosong ( anstamping )</v>
      </c>
      <c r="E32" s="1944"/>
      <c r="F32" s="2004"/>
      <c r="G32" s="1945">
        <f>'[3]B.VOL RAB'!Q42</f>
        <v>9.9200000000000017</v>
      </c>
      <c r="H32" s="2456" t="str">
        <f>VLOOKUP($A32,satpek!$B$20:$N$144,7,0)</f>
        <v>m3</v>
      </c>
      <c r="I32" s="2457" t="str">
        <f>VLOOKUP($A32,satpek!$B$20:$N$144,5,0)</f>
        <v>A.3.2.1.9.</v>
      </c>
      <c r="J32" s="1951">
        <f>VLOOKUP($A32,satpek!$B$20:$N$144,6,0)</f>
        <v>571377.72</v>
      </c>
      <c r="K32" s="1938"/>
      <c r="L32" s="1952">
        <f t="shared" ref="L32:L34" si="14">ROUND((G32*J32),2)</f>
        <v>5668066.9800000004</v>
      </c>
      <c r="M32" s="1967"/>
      <c r="N32" s="2458">
        <f>VLOOKUP($A32,satpek!$B$20:$L$138,8,0)</f>
        <v>1</v>
      </c>
      <c r="O32" s="1954">
        <f>VLOOKUP($A32,satpek!$B$20:$L$138,9,0)</f>
        <v>505644</v>
      </c>
      <c r="P32" s="1954">
        <f>VLOOKUP($A32,satpek!$B$20:$L$138,10,0)</f>
        <v>571377.72</v>
      </c>
      <c r="Q32" s="1952">
        <f t="shared" ref="Q32:Q34" si="15">O32*G32</f>
        <v>5015988.4800000004</v>
      </c>
      <c r="R32" s="1952">
        <f t="shared" ref="R32:R34" si="16">N32*L32</f>
        <v>5668066.9800000004</v>
      </c>
      <c r="S32" s="1955">
        <f t="shared" ref="S32:S34" si="17">L32-R32</f>
        <v>0</v>
      </c>
      <c r="V32" s="1956">
        <v>9.9200000000000017</v>
      </c>
      <c r="W32" s="1956"/>
      <c r="X32" s="1956">
        <f t="shared" si="1"/>
        <v>0</v>
      </c>
      <c r="Y32" s="1836" t="s">
        <v>1904</v>
      </c>
      <c r="AC32" s="1836"/>
      <c r="AD32" s="1836"/>
      <c r="AE32" s="1836"/>
      <c r="AF32" s="1837">
        <v>582913.89</v>
      </c>
      <c r="AG32" s="1960">
        <f t="shared" si="2"/>
        <v>11536.170000000042</v>
      </c>
    </row>
    <row r="33" spans="1:33" ht="21.95" customHeight="1" x14ac:dyDescent="0.2">
      <c r="A33" s="1833">
        <f>satpek!B30</f>
        <v>11</v>
      </c>
      <c r="B33" s="1943">
        <f>B32+1</f>
        <v>2</v>
      </c>
      <c r="C33" s="1937"/>
      <c r="D33" s="1944" t="str">
        <f>VLOOKUP($A33,satpek!$B$20:$N$144,2,0)</f>
        <v>Memasang pondasi batu belah, campuran 1 PC : 6 PP</v>
      </c>
      <c r="E33" s="1944"/>
      <c r="F33" s="2004"/>
      <c r="G33" s="1945">
        <f>'[3]B.VOL RAB'!Q43</f>
        <v>44.044000000000004</v>
      </c>
      <c r="H33" s="2456" t="str">
        <f>VLOOKUP($A33,satpek!$B$20:$N$144,7,0)</f>
        <v>m3</v>
      </c>
      <c r="I33" s="2457" t="str">
        <f>VLOOKUP($A33,satpek!$B$20:$N$144,5,0)</f>
        <v>A.3.2.1.4.</v>
      </c>
      <c r="J33" s="1951">
        <f>VLOOKUP($A33,satpek!$B$20:$N$144,6,0)</f>
        <v>931300.8</v>
      </c>
      <c r="K33" s="1938"/>
      <c r="L33" s="1952">
        <f t="shared" si="14"/>
        <v>41018212.439999998</v>
      </c>
      <c r="M33" s="1967"/>
      <c r="N33" s="2458">
        <f>VLOOKUP($A33,satpek!$B$20:$L$138,8,0)</f>
        <v>0.97468520675596981</v>
      </c>
      <c r="O33" s="1954">
        <f>VLOOKUP($A33,satpek!$B$20:$L$138,9,0)</f>
        <v>803296.56</v>
      </c>
      <c r="P33" s="1954">
        <f>VLOOKUP($A33,satpek!$B$20:$L$138,10,0)</f>
        <v>907725.1128</v>
      </c>
      <c r="Q33" s="1952">
        <f t="shared" si="15"/>
        <v>35380393.688640006</v>
      </c>
      <c r="R33" s="1952">
        <f t="shared" si="16"/>
        <v>39979844.872841693</v>
      </c>
      <c r="S33" s="1955">
        <f t="shared" si="17"/>
        <v>1038367.5671583042</v>
      </c>
      <c r="V33" s="1956">
        <v>44.044000000000004</v>
      </c>
      <c r="W33" s="1956"/>
      <c r="X33" s="1956">
        <f t="shared" si="1"/>
        <v>0</v>
      </c>
      <c r="Y33" s="1836" t="s">
        <v>663</v>
      </c>
      <c r="AC33" s="1836"/>
      <c r="AD33" s="1836"/>
      <c r="AE33" s="1836"/>
      <c r="AF33" s="1837">
        <v>864060.15</v>
      </c>
      <c r="AG33" s="1960">
        <f t="shared" si="2"/>
        <v>-67240.650000000023</v>
      </c>
    </row>
    <row r="34" spans="1:33" ht="21.95" customHeight="1" x14ac:dyDescent="0.2">
      <c r="A34" s="1833">
        <f>satpek!B33</f>
        <v>14</v>
      </c>
      <c r="B34" s="1943">
        <f>B33+1</f>
        <v>3</v>
      </c>
      <c r="C34" s="1937"/>
      <c r="D34" s="1944" t="s">
        <v>1766</v>
      </c>
      <c r="E34" s="1944"/>
      <c r="F34" s="2004"/>
      <c r="G34" s="2016">
        <f>'[3]B.VOL RAB'!Q45</f>
        <v>7.68</v>
      </c>
      <c r="H34" s="2456" t="str">
        <f>VLOOKUP($A34,satpek!$B$20:$N$144,7,0)</f>
        <v>m2</v>
      </c>
      <c r="I34" s="2457" t="str">
        <f>VLOOKUP($A34,satpek!$B$20:$N$144,5,0)</f>
        <v>A.4.4.1.4.</v>
      </c>
      <c r="J34" s="1951">
        <f>VLOOKUP($A34,satpek!$B$20:$N$144,6,0)</f>
        <v>272058.8</v>
      </c>
      <c r="K34" s="1938"/>
      <c r="L34" s="1952">
        <f t="shared" si="14"/>
        <v>2089411.58</v>
      </c>
      <c r="M34" s="1967"/>
      <c r="N34" s="2458">
        <f>VLOOKUP($A34,satpek!$B$20:$L$138,8,0)</f>
        <v>0.98355746801794319</v>
      </c>
      <c r="O34" s="1954">
        <f>VLOOKUP($A34,satpek!$B$20:$L$138,9,0)</f>
        <v>236801.296</v>
      </c>
      <c r="P34" s="1954">
        <f>VLOOKUP($A34,satpek!$B$20:$L$138,10,0)</f>
        <v>267585.46448000002</v>
      </c>
      <c r="Q34" s="1952">
        <f t="shared" si="15"/>
        <v>1818633.95328</v>
      </c>
      <c r="R34" s="1952">
        <f t="shared" si="16"/>
        <v>2055056.3632721703</v>
      </c>
      <c r="S34" s="1955">
        <f t="shared" si="17"/>
        <v>34355.216727829771</v>
      </c>
      <c r="V34" s="1956">
        <v>7.68</v>
      </c>
      <c r="W34" s="1956"/>
      <c r="X34" s="1956">
        <f t="shared" si="1"/>
        <v>0</v>
      </c>
      <c r="Y34" s="1836" t="s">
        <v>1766</v>
      </c>
      <c r="AC34" s="1836"/>
      <c r="AD34" s="1836"/>
      <c r="AE34" s="1836"/>
      <c r="AF34" s="1837">
        <v>248520.9</v>
      </c>
      <c r="AG34" s="1960">
        <f t="shared" si="2"/>
        <v>-23537.899999999994</v>
      </c>
    </row>
    <row r="35" spans="1:33" ht="21.95" customHeight="1" x14ac:dyDescent="0.2">
      <c r="B35" s="2017"/>
      <c r="C35" s="2018"/>
      <c r="D35" s="2019"/>
      <c r="E35" s="2019"/>
      <c r="F35" s="2020"/>
      <c r="G35" s="2021"/>
      <c r="H35" s="2461"/>
      <c r="I35" s="2462"/>
      <c r="J35" s="2026"/>
      <c r="K35" s="2027"/>
      <c r="L35" s="2065" t="s">
        <v>1767</v>
      </c>
      <c r="M35" s="2463">
        <f>SUM(L32:L35)</f>
        <v>48775691</v>
      </c>
      <c r="N35" s="2464">
        <f>R35/M35</f>
        <v>0.97800702026166797</v>
      </c>
      <c r="O35" s="2025"/>
      <c r="P35" s="2025"/>
      <c r="Q35" s="2023"/>
      <c r="R35" s="2068">
        <f>SUM(R32:R34)</f>
        <v>47702968.216113858</v>
      </c>
      <c r="S35" s="2467">
        <f>SUM(S32:S34)</f>
        <v>1072722.7838861339</v>
      </c>
      <c r="U35" s="1848">
        <f>M35-T35</f>
        <v>48775691</v>
      </c>
      <c r="V35" s="1956"/>
      <c r="W35" s="1956"/>
      <c r="X35" s="1956">
        <f t="shared" si="1"/>
        <v>0</v>
      </c>
      <c r="Y35" s="2069"/>
      <c r="AC35" s="1836"/>
      <c r="AD35" s="1836"/>
      <c r="AE35" s="1836"/>
      <c r="AF35" s="1837"/>
      <c r="AG35" s="1960">
        <f t="shared" si="2"/>
        <v>0</v>
      </c>
    </row>
    <row r="36" spans="1:33" ht="21.95" customHeight="1" x14ac:dyDescent="0.2">
      <c r="B36" s="1927" t="s">
        <v>1768</v>
      </c>
      <c r="C36" s="2033"/>
      <c r="D36" s="2034" t="s">
        <v>269</v>
      </c>
      <c r="E36" s="2070"/>
      <c r="F36" s="2071"/>
      <c r="G36" s="1945"/>
      <c r="H36" s="2072"/>
      <c r="I36" s="2073"/>
      <c r="J36" s="2076"/>
      <c r="K36" s="2077"/>
      <c r="L36" s="2078"/>
      <c r="M36" s="1997"/>
      <c r="N36" s="2468"/>
      <c r="O36" s="2075"/>
      <c r="P36" s="2075"/>
      <c r="Q36" s="2073"/>
      <c r="R36" s="2079"/>
      <c r="S36" s="2080"/>
      <c r="V36" s="1956"/>
      <c r="W36" s="1956"/>
      <c r="X36" s="1956">
        <f t="shared" si="1"/>
        <v>0</v>
      </c>
      <c r="Y36" s="1836" t="s">
        <v>269</v>
      </c>
      <c r="AC36" s="1836"/>
      <c r="AD36" s="1836"/>
      <c r="AE36" s="1836"/>
      <c r="AF36" s="1837"/>
      <c r="AG36" s="1960">
        <f t="shared" si="2"/>
        <v>0</v>
      </c>
    </row>
    <row r="37" spans="1:33" ht="21.95" customHeight="1" x14ac:dyDescent="0.2">
      <c r="B37" s="1927"/>
      <c r="C37" s="2033"/>
      <c r="D37" s="2034" t="s">
        <v>1769</v>
      </c>
      <c r="E37" s="2070"/>
      <c r="F37" s="2071"/>
      <c r="G37" s="1945"/>
      <c r="H37" s="2072"/>
      <c r="I37" s="2073"/>
      <c r="J37" s="2076"/>
      <c r="K37" s="2077"/>
      <c r="L37" s="2078"/>
      <c r="M37" s="1997"/>
      <c r="N37" s="2468"/>
      <c r="O37" s="2075"/>
      <c r="P37" s="2075"/>
      <c r="Q37" s="2073"/>
      <c r="R37" s="2079"/>
      <c r="S37" s="2080"/>
      <c r="V37" s="1956"/>
      <c r="W37" s="1956"/>
      <c r="X37" s="1956">
        <f t="shared" si="1"/>
        <v>0</v>
      </c>
      <c r="Y37" s="1836" t="s">
        <v>1769</v>
      </c>
      <c r="AC37" s="1836"/>
      <c r="AD37" s="1836"/>
      <c r="AE37" s="1836"/>
      <c r="AF37" s="1837"/>
      <c r="AG37" s="1960">
        <f t="shared" si="2"/>
        <v>0</v>
      </c>
    </row>
    <row r="38" spans="1:33" ht="21.95" customHeight="1" x14ac:dyDescent="0.2">
      <c r="B38" s="1927"/>
      <c r="C38" s="1928"/>
      <c r="D38" s="2081" t="s">
        <v>1770</v>
      </c>
      <c r="E38" s="2082"/>
      <c r="F38" s="2083"/>
      <c r="G38" s="1945"/>
      <c r="H38" s="2469"/>
      <c r="I38" s="2470"/>
      <c r="J38" s="2088"/>
      <c r="K38" s="2089"/>
      <c r="L38" s="2090"/>
      <c r="M38" s="1967"/>
      <c r="N38" s="2471"/>
      <c r="O38" s="2087"/>
      <c r="P38" s="2087"/>
      <c r="Q38" s="2085"/>
      <c r="R38" s="2091"/>
      <c r="S38" s="2092"/>
      <c r="V38" s="1956"/>
      <c r="W38" s="1956"/>
      <c r="X38" s="1956">
        <f t="shared" si="1"/>
        <v>0</v>
      </c>
      <c r="Y38" s="1836" t="s">
        <v>1770</v>
      </c>
      <c r="AC38" s="1836"/>
      <c r="AD38" s="1836"/>
      <c r="AE38" s="1836"/>
      <c r="AF38" s="1837"/>
      <c r="AG38" s="1960">
        <f t="shared" si="2"/>
        <v>0</v>
      </c>
    </row>
    <row r="39" spans="1:33" ht="21.95" customHeight="1" x14ac:dyDescent="0.2">
      <c r="A39" s="1833">
        <f>satpek!B39</f>
        <v>20</v>
      </c>
      <c r="B39" s="1943">
        <v>1</v>
      </c>
      <c r="C39" s="1937"/>
      <c r="D39" s="1944" t="s">
        <v>1771</v>
      </c>
      <c r="E39" s="1944"/>
      <c r="F39" s="2004"/>
      <c r="G39" s="1945">
        <f>'[3]B.VOL RAB'!Q52</f>
        <v>8.2999999999999989</v>
      </c>
      <c r="H39" s="2456" t="str">
        <f>VLOOKUP($A39,satpek!$B$20:$N$144,7,0)</f>
        <v>m3</v>
      </c>
      <c r="I39" s="2457" t="str">
        <f>VLOOKUP($A39,satpek!$B$20:$N$144,5,0)</f>
        <v>A.4.1.1.1.</v>
      </c>
      <c r="J39" s="1951">
        <f>VLOOKUP($A39,satpek!$B$20:$N$144,6,0)</f>
        <v>958085.99</v>
      </c>
      <c r="K39" s="1938"/>
      <c r="L39" s="1952">
        <f t="shared" ref="L39" si="18">ROUND((G39*J39),2)</f>
        <v>7952113.7199999997</v>
      </c>
      <c r="M39" s="1967"/>
      <c r="N39" s="2458">
        <f>VLOOKUP($A39,satpek!$B$20:$L$138,8,0)</f>
        <v>0.94805174525042479</v>
      </c>
      <c r="O39" s="1954">
        <f>VLOOKUP($A39,satpek!$B$20:$L$138,9,0)</f>
        <v>803818.67</v>
      </c>
      <c r="P39" s="1954">
        <f>VLOOKUP($A39,satpek!$B$20:$L$138,10,0)</f>
        <v>908315.09710000001</v>
      </c>
      <c r="Q39" s="1952">
        <f t="shared" ref="Q39" si="19">O39*G39</f>
        <v>6671694.9609999992</v>
      </c>
      <c r="R39" s="1952">
        <f t="shared" ref="R39" si="20">N39*L39</f>
        <v>7539015.2906758478</v>
      </c>
      <c r="S39" s="1955">
        <f t="shared" ref="S39" si="21">L39-R39</f>
        <v>413098.42932415195</v>
      </c>
      <c r="V39" s="1956">
        <v>8.2999999999999989</v>
      </c>
      <c r="W39" s="1956"/>
      <c r="X39" s="1956">
        <f t="shared" si="1"/>
        <v>0</v>
      </c>
      <c r="Y39" s="1836" t="s">
        <v>1771</v>
      </c>
      <c r="AC39" s="1836"/>
      <c r="AD39" s="1836"/>
      <c r="AE39" s="1836"/>
      <c r="AF39" s="1837">
        <v>969189.7</v>
      </c>
      <c r="AG39" s="1960">
        <f t="shared" si="2"/>
        <v>11103.709999999963</v>
      </c>
    </row>
    <row r="40" spans="1:33" ht="21.95" customHeight="1" x14ac:dyDescent="0.2">
      <c r="B40" s="1943"/>
      <c r="C40" s="1937"/>
      <c r="D40" s="2081" t="s">
        <v>1772</v>
      </c>
      <c r="E40" s="1944"/>
      <c r="F40" s="2004"/>
      <c r="G40" s="1945"/>
      <c r="H40" s="2472"/>
      <c r="I40" s="2457"/>
      <c r="J40" s="1951"/>
      <c r="K40" s="2095"/>
      <c r="L40" s="1952"/>
      <c r="M40" s="1967"/>
      <c r="N40" s="2473"/>
      <c r="O40" s="1950"/>
      <c r="P40" s="1950"/>
      <c r="Q40" s="2094"/>
      <c r="R40" s="2096"/>
      <c r="S40" s="2097"/>
      <c r="V40" s="1956"/>
      <c r="W40" s="1956"/>
      <c r="X40" s="1956">
        <f t="shared" si="1"/>
        <v>0</v>
      </c>
      <c r="Y40" s="1836" t="s">
        <v>1772</v>
      </c>
      <c r="AC40" s="1836"/>
      <c r="AD40" s="1836"/>
      <c r="AE40" s="1836"/>
      <c r="AF40" s="1837"/>
      <c r="AG40" s="1960">
        <f t="shared" si="2"/>
        <v>0</v>
      </c>
    </row>
    <row r="41" spans="1:33" ht="21.95" customHeight="1" x14ac:dyDescent="0.2">
      <c r="A41" s="1833">
        <f>satpek!$B$40</f>
        <v>21</v>
      </c>
      <c r="B41" s="1943">
        <f>B39+1</f>
        <v>2</v>
      </c>
      <c r="C41" s="1937"/>
      <c r="D41" s="1944" t="str">
        <f>VLOOKUP($A41,satpek!$B$20:$N$144,2,0)</f>
        <v>Membuat beton mutu f'c = 21,7 Mpa - K 250</v>
      </c>
      <c r="E41" s="1944"/>
      <c r="F41" s="2004"/>
      <c r="G41" s="1945">
        <f>'[3]B.VOL RAB'!Q56</f>
        <v>41.471999999999994</v>
      </c>
      <c r="H41" s="2456" t="str">
        <f>VLOOKUP($A41,satpek!$B$20:$N$144,7,0)</f>
        <v>m3</v>
      </c>
      <c r="I41" s="2457" t="str">
        <f>VLOOKUP($A41,satpek!$B$20:$N$144,5,0)</f>
        <v>A.4.1.1.8.</v>
      </c>
      <c r="J41" s="1951">
        <f>VLOOKUP($A41,satpek!$B$20:$N$144,6,0)</f>
        <v>1115753.29</v>
      </c>
      <c r="K41" s="1938"/>
      <c r="L41" s="1952">
        <f t="shared" ref="L41:L43" si="22">ROUND((G41*J41),2)</f>
        <v>46272520.439999998</v>
      </c>
      <c r="M41" s="1967"/>
      <c r="N41" s="2458">
        <f>VLOOKUP($A41,satpek!$B$20:$L$138,8,0)</f>
        <v>0.93065078521121514</v>
      </c>
      <c r="O41" s="1954">
        <f>VLOOKUP($A41,satpek!$B$20:$L$138,9,0)</f>
        <v>918917.40999999992</v>
      </c>
      <c r="P41" s="1954">
        <f>VLOOKUP($A41,satpek!$B$20:$L$138,10,0)</f>
        <v>1038376.6732999999</v>
      </c>
      <c r="Q41" s="1952">
        <f t="shared" ref="Q41:Q43" si="23">O41*G41</f>
        <v>38109342.827519991</v>
      </c>
      <c r="R41" s="1952">
        <f t="shared" ref="R41:R43" si="24">N41*L41</f>
        <v>43063557.481187999</v>
      </c>
      <c r="S41" s="1955">
        <f t="shared" ref="S41:S43" si="25">L41-R41</f>
        <v>3208962.9588119984</v>
      </c>
      <c r="V41" s="1956">
        <v>41.471999999999994</v>
      </c>
      <c r="W41" s="1956"/>
      <c r="X41" s="1956">
        <f t="shared" si="1"/>
        <v>0</v>
      </c>
      <c r="Y41" s="1836" t="s">
        <v>1905</v>
      </c>
      <c r="AC41" s="1836"/>
      <c r="AD41" s="1836"/>
      <c r="AE41" s="1836"/>
      <c r="AF41" s="1837">
        <v>1191397.42</v>
      </c>
      <c r="AG41" s="1960">
        <f t="shared" si="2"/>
        <v>75644.129999999888</v>
      </c>
    </row>
    <row r="42" spans="1:33" ht="21.95" customHeight="1" x14ac:dyDescent="0.2">
      <c r="A42" s="1833">
        <f>satpek!$B$41</f>
        <v>22</v>
      </c>
      <c r="B42" s="1943">
        <f t="shared" ref="B42:B43" si="26">B41+1</f>
        <v>3</v>
      </c>
      <c r="C42" s="1937"/>
      <c r="D42" s="1944" t="str">
        <f>VLOOKUP($A42,satpek!$B$20:$N$144,2,0)</f>
        <v>Pembesian 1 kg dengan besi polos atau besi ulir</v>
      </c>
      <c r="E42" s="1944"/>
      <c r="F42" s="2004"/>
      <c r="G42" s="1945">
        <f>'[3]B.VOL RAB'!Q58</f>
        <v>3622.2814623302602</v>
      </c>
      <c r="H42" s="2456" t="str">
        <f>VLOOKUP($A42,satpek!$B$20:$N$144,7,0)</f>
        <v>kg</v>
      </c>
      <c r="I42" s="2457" t="str">
        <f>VLOOKUP($A42,satpek!$B$20:$N$144,5,0)</f>
        <v>A.4.1.1.17.</v>
      </c>
      <c r="J42" s="1951">
        <f>VLOOKUP($A42,satpek!$B$20:$N$144,6,0)</f>
        <v>15603.94</v>
      </c>
      <c r="K42" s="1938"/>
      <c r="L42" s="1952">
        <f t="shared" si="22"/>
        <v>56521862.600000001</v>
      </c>
      <c r="M42" s="1967"/>
      <c r="N42" s="2458">
        <f>VLOOKUP($A42,satpek!$B$20:$L$138,8,0)</f>
        <v>0.46415793062521393</v>
      </c>
      <c r="O42" s="1954">
        <f>VLOOKUP($A42,satpek!$B$20:$L$138,9,0)</f>
        <v>7242.692500000001</v>
      </c>
      <c r="P42" s="1954">
        <f>VLOOKUP($A42,satpek!$B$20:$L$138,10,0)</f>
        <v>8184.2425250000015</v>
      </c>
      <c r="Q42" s="1952">
        <f t="shared" si="23"/>
        <v>26235070.780108411</v>
      </c>
      <c r="R42" s="1952">
        <f t="shared" si="24"/>
        <v>26235070.779498674</v>
      </c>
      <c r="S42" s="1955">
        <f t="shared" si="25"/>
        <v>30286791.820501328</v>
      </c>
      <c r="V42" s="1956">
        <v>3622.2814623302602</v>
      </c>
      <c r="W42" s="1956"/>
      <c r="X42" s="1956">
        <f t="shared" si="1"/>
        <v>0</v>
      </c>
      <c r="Y42" s="1836" t="s">
        <v>420</v>
      </c>
      <c r="AC42" s="1836"/>
      <c r="AD42" s="1836"/>
      <c r="AE42" s="1836"/>
      <c r="AF42" s="1837">
        <v>15438.06</v>
      </c>
      <c r="AG42" s="1960">
        <f t="shared" si="2"/>
        <v>-165.88000000000102</v>
      </c>
    </row>
    <row r="43" spans="1:33" ht="21.95" customHeight="1" x14ac:dyDescent="0.2">
      <c r="A43" s="1833">
        <f>satpek!$B$42</f>
        <v>23</v>
      </c>
      <c r="B43" s="1943">
        <f t="shared" si="26"/>
        <v>4</v>
      </c>
      <c r="C43" s="1937"/>
      <c r="D43" s="1944" t="str">
        <f>VLOOKUP($A43,satpek!$B$20:$N$144,2,0)</f>
        <v>Memasang bekisting untuk pondasi ( 2x pakai )</v>
      </c>
      <c r="E43" s="1944"/>
      <c r="F43" s="2004"/>
      <c r="G43" s="1945">
        <f>'[3]B.VOL RAB'!Q61</f>
        <v>138.24</v>
      </c>
      <c r="H43" s="2456" t="str">
        <f>VLOOKUP($A43,satpek!$B$20:$N$144,7,0)</f>
        <v>m2</v>
      </c>
      <c r="I43" s="2457" t="str">
        <f>VLOOKUP($A43,satpek!$B$20:$N$144,5,0)</f>
        <v>A.4.1.1.20.</v>
      </c>
      <c r="J43" s="1951">
        <f>VLOOKUP($A43,satpek!$B$20:$N$144,6,0)</f>
        <v>115782.06</v>
      </c>
      <c r="K43" s="1938"/>
      <c r="L43" s="1952">
        <f t="shared" si="22"/>
        <v>16005711.970000001</v>
      </c>
      <c r="M43" s="1967"/>
      <c r="N43" s="2458">
        <f>VLOOKUP($A43,satpek!$B$20:$L$138,8,0)</f>
        <v>0.94349124553493002</v>
      </c>
      <c r="O43" s="1954">
        <f>VLOOKUP($A43,satpek!$B$20:$L$138,9,0)</f>
        <v>96672</v>
      </c>
      <c r="P43" s="1954">
        <f>VLOOKUP($A43,satpek!$B$20:$L$138,10,0)</f>
        <v>109239.36</v>
      </c>
      <c r="Q43" s="1952">
        <f t="shared" si="23"/>
        <v>13363937.280000001</v>
      </c>
      <c r="R43" s="1952">
        <f t="shared" si="24"/>
        <v>15101249.122248638</v>
      </c>
      <c r="S43" s="1955">
        <f t="shared" si="25"/>
        <v>904462.84775136225</v>
      </c>
      <c r="V43" s="1956">
        <v>138.24</v>
      </c>
      <c r="W43" s="1956"/>
      <c r="X43" s="1956">
        <f t="shared" si="1"/>
        <v>0</v>
      </c>
      <c r="Y43" s="1836" t="s">
        <v>1906</v>
      </c>
      <c r="AC43" s="1836"/>
      <c r="AD43" s="1836"/>
      <c r="AE43" s="1836"/>
      <c r="AF43" s="1837">
        <v>114048.64</v>
      </c>
      <c r="AG43" s="1960">
        <f t="shared" si="2"/>
        <v>-1733.4199999999983</v>
      </c>
    </row>
    <row r="44" spans="1:33" ht="21.95" customHeight="1" x14ac:dyDescent="0.2">
      <c r="B44" s="1943"/>
      <c r="C44" s="1937"/>
      <c r="D44" s="2081" t="s">
        <v>1773</v>
      </c>
      <c r="E44" s="1944"/>
      <c r="F44" s="2004"/>
      <c r="G44" s="1945"/>
      <c r="H44" s="2472"/>
      <c r="I44" s="2457"/>
      <c r="J44" s="1951"/>
      <c r="K44" s="2095"/>
      <c r="L44" s="1952"/>
      <c r="M44" s="1967"/>
      <c r="N44" s="2473"/>
      <c r="O44" s="1950"/>
      <c r="P44" s="1950"/>
      <c r="Q44" s="2094"/>
      <c r="R44" s="2096"/>
      <c r="S44" s="2097"/>
      <c r="V44" s="1956"/>
      <c r="W44" s="1956"/>
      <c r="X44" s="1956">
        <f t="shared" si="1"/>
        <v>0</v>
      </c>
      <c r="Y44" s="1836" t="s">
        <v>1773</v>
      </c>
      <c r="AC44" s="1836"/>
      <c r="AD44" s="1836"/>
      <c r="AE44" s="1836"/>
      <c r="AF44" s="1837"/>
      <c r="AG44" s="1960">
        <f t="shared" si="2"/>
        <v>0</v>
      </c>
    </row>
    <row r="45" spans="1:33" ht="21.95" customHeight="1" x14ac:dyDescent="0.2">
      <c r="A45" s="1833">
        <f>satpek!$B$40</f>
        <v>21</v>
      </c>
      <c r="B45" s="1943">
        <f>B43+1</f>
        <v>5</v>
      </c>
      <c r="C45" s="1937"/>
      <c r="D45" s="1944" t="str">
        <f>VLOOKUP($A45,satpek!$B$20:$N$144,2,0)</f>
        <v>Membuat beton mutu f'c = 21,7 Mpa - K 250</v>
      </c>
      <c r="E45" s="1944"/>
      <c r="F45" s="2004"/>
      <c r="G45" s="1945">
        <f>'[3]B.VOL RAB'!Q65</f>
        <v>0.76800000000000013</v>
      </c>
      <c r="H45" s="2456" t="str">
        <f>VLOOKUP($A45,satpek!$B$20:$N$144,7,0)</f>
        <v>m3</v>
      </c>
      <c r="I45" s="2457" t="str">
        <f>VLOOKUP($A45,satpek!$B$20:$N$144,5,0)</f>
        <v>A.4.1.1.8.</v>
      </c>
      <c r="J45" s="1951">
        <f>VLOOKUP($A45,satpek!$B$20:$N$144,6,0)</f>
        <v>1115753.29</v>
      </c>
      <c r="K45" s="1938"/>
      <c r="L45" s="1952">
        <f t="shared" ref="L45:L46" si="27">ROUND((G45*J45),2)</f>
        <v>856898.53</v>
      </c>
      <c r="M45" s="1967"/>
      <c r="N45" s="2458">
        <f>VLOOKUP($A45,satpek!$B$20:$L$138,8,0)</f>
        <v>0.93065078521121514</v>
      </c>
      <c r="O45" s="1954">
        <f>VLOOKUP($A45,satpek!$B$20:$L$138,9,0)</f>
        <v>918917.40999999992</v>
      </c>
      <c r="P45" s="1954">
        <f>VLOOKUP($A45,satpek!$B$20:$L$138,10,0)</f>
        <v>1038376.6732999999</v>
      </c>
      <c r="Q45" s="1952">
        <f t="shared" ref="Q45:Q47" si="28">O45*G45</f>
        <v>705728.57088000001</v>
      </c>
      <c r="R45" s="1952">
        <f t="shared" ref="R45:R47" si="29">N45*L45</f>
        <v>797473.28979083605</v>
      </c>
      <c r="S45" s="1955">
        <f t="shared" ref="S45:S47" si="30">L45-R45</f>
        <v>59425.240209163981</v>
      </c>
      <c r="V45" s="1956">
        <v>0.76800000000000013</v>
      </c>
      <c r="W45" s="1956"/>
      <c r="X45" s="1956">
        <f t="shared" si="1"/>
        <v>0</v>
      </c>
      <c r="Y45" s="1836" t="s">
        <v>1905</v>
      </c>
      <c r="AC45" s="1836"/>
      <c r="AD45" s="1836"/>
      <c r="AE45" s="1836"/>
      <c r="AF45" s="1837">
        <v>1191397.42</v>
      </c>
      <c r="AG45" s="1960">
        <f t="shared" si="2"/>
        <v>75644.129999999888</v>
      </c>
    </row>
    <row r="46" spans="1:33" ht="21.95" customHeight="1" x14ac:dyDescent="0.2">
      <c r="A46" s="1833">
        <f>satpek!$B$41</f>
        <v>22</v>
      </c>
      <c r="B46" s="1943">
        <f t="shared" ref="B46:B47" si="31">B45+1</f>
        <v>6</v>
      </c>
      <c r="C46" s="1937"/>
      <c r="D46" s="1944" t="str">
        <f>VLOOKUP($A46,satpek!$B$20:$N$144,2,0)</f>
        <v>Pembesian 1 kg dengan besi polos atau besi ulir</v>
      </c>
      <c r="E46" s="1944"/>
      <c r="F46" s="2004"/>
      <c r="G46" s="1945">
        <f>'[3]B.VOL RAB'!Q67</f>
        <v>73.353172532374217</v>
      </c>
      <c r="H46" s="2456" t="str">
        <f>VLOOKUP($A46,satpek!$B$20:$N$144,7,0)</f>
        <v>kg</v>
      </c>
      <c r="I46" s="2457" t="str">
        <f>VLOOKUP($A46,satpek!$B$20:$N$144,5,0)</f>
        <v>A.4.1.1.17.</v>
      </c>
      <c r="J46" s="1951">
        <f>VLOOKUP($A46,satpek!$B$20:$N$144,6,0)</f>
        <v>15603.94</v>
      </c>
      <c r="K46" s="1938"/>
      <c r="L46" s="1952">
        <f t="shared" si="27"/>
        <v>1144598.5</v>
      </c>
      <c r="M46" s="1967"/>
      <c r="N46" s="2458">
        <f>VLOOKUP($A46,satpek!$B$20:$L$138,8,0)</f>
        <v>0.46415793062521393</v>
      </c>
      <c r="O46" s="1954">
        <f>VLOOKUP($A46,satpek!$B$20:$L$138,9,0)</f>
        <v>7242.692500000001</v>
      </c>
      <c r="P46" s="1954">
        <f>VLOOKUP($A46,satpek!$B$20:$L$138,10,0)</f>
        <v>8184.2425250000015</v>
      </c>
      <c r="Q46" s="1952">
        <f t="shared" si="28"/>
        <v>531274.47255143279</v>
      </c>
      <c r="R46" s="1952">
        <f t="shared" si="29"/>
        <v>531274.47115672391</v>
      </c>
      <c r="S46" s="1955">
        <f t="shared" si="30"/>
        <v>613324.02884327609</v>
      </c>
      <c r="V46" s="1956">
        <v>73.353172532374217</v>
      </c>
      <c r="W46" s="1956"/>
      <c r="X46" s="1956">
        <f t="shared" si="1"/>
        <v>0</v>
      </c>
      <c r="Y46" s="1836" t="s">
        <v>420</v>
      </c>
      <c r="AC46" s="1836"/>
      <c r="AD46" s="1836"/>
      <c r="AE46" s="1836"/>
      <c r="AF46" s="1837">
        <v>15438.06</v>
      </c>
      <c r="AG46" s="1960">
        <f t="shared" si="2"/>
        <v>-165.88000000000102</v>
      </c>
    </row>
    <row r="47" spans="1:33" ht="21.95" customHeight="1" x14ac:dyDescent="0.2">
      <c r="A47" s="1833">
        <f>satpek!$B$42</f>
        <v>23</v>
      </c>
      <c r="B47" s="1943">
        <f t="shared" si="31"/>
        <v>7</v>
      </c>
      <c r="C47" s="1937"/>
      <c r="D47" s="1944" t="str">
        <f>VLOOKUP($A47,satpek!$B$20:$N$144,2,0)</f>
        <v>Memasang bekisting untuk pondasi ( 2x pakai )</v>
      </c>
      <c r="E47" s="1944"/>
      <c r="F47" s="2004"/>
      <c r="G47" s="1945">
        <f>'[3]B.VOL RAB'!Q70</f>
        <v>3.84</v>
      </c>
      <c r="H47" s="2472" t="str">
        <f>VLOOKUP(A47,[3]Rekap!$B$12:$K$773,10)</f>
        <v>m3</v>
      </c>
      <c r="I47" s="2457" t="str">
        <f>VLOOKUP(A47,[3]Rekap!$B$12:$K$769,4)</f>
        <v>A.3.2.1.1.</v>
      </c>
      <c r="J47" s="1951">
        <f>J43</f>
        <v>115782.06</v>
      </c>
      <c r="K47" s="2095"/>
      <c r="L47" s="1952">
        <f>ROUND((G47*J47),2)</f>
        <v>444603.11</v>
      </c>
      <c r="M47" s="1967"/>
      <c r="N47" s="2458">
        <f>VLOOKUP($A47,satpek!$B$20:$L$138,8,0)</f>
        <v>0.94349124553493002</v>
      </c>
      <c r="O47" s="1954">
        <f>VLOOKUP($A47,satpek!$B$20:$L$138,9,0)</f>
        <v>96672</v>
      </c>
      <c r="P47" s="1954">
        <f>VLOOKUP($A47,satpek!$B$20:$L$138,10,0)</f>
        <v>109239.36</v>
      </c>
      <c r="Q47" s="1952">
        <f t="shared" si="28"/>
        <v>371220.47999999998</v>
      </c>
      <c r="R47" s="1952">
        <f t="shared" si="29"/>
        <v>419479.14202260348</v>
      </c>
      <c r="S47" s="1955">
        <f t="shared" si="30"/>
        <v>25123.967977396504</v>
      </c>
      <c r="V47" s="1956">
        <v>3.84</v>
      </c>
      <c r="W47" s="1956"/>
      <c r="X47" s="1956">
        <f t="shared" si="1"/>
        <v>0</v>
      </c>
      <c r="Y47" s="1836" t="s">
        <v>1906</v>
      </c>
      <c r="AC47" s="1836"/>
      <c r="AD47" s="1836"/>
      <c r="AE47" s="1836"/>
      <c r="AF47" s="1837">
        <v>114048.64</v>
      </c>
      <c r="AG47" s="1960">
        <f t="shared" si="2"/>
        <v>-1733.4199999999983</v>
      </c>
    </row>
    <row r="48" spans="1:33" ht="21.95" customHeight="1" x14ac:dyDescent="0.2">
      <c r="B48" s="2102"/>
      <c r="C48" s="2103"/>
      <c r="D48" s="2081" t="s">
        <v>1774</v>
      </c>
      <c r="E48" s="1930"/>
      <c r="F48" s="1931"/>
      <c r="G48" s="1945"/>
      <c r="H48" s="2452"/>
      <c r="I48" s="2453"/>
      <c r="J48" s="1951"/>
      <c r="K48" s="2066"/>
      <c r="L48" s="2067"/>
      <c r="M48" s="1967"/>
      <c r="N48" s="2454"/>
      <c r="O48" s="1936"/>
      <c r="P48" s="1936"/>
      <c r="Q48" s="1934"/>
      <c r="R48" s="1940"/>
      <c r="S48" s="1941"/>
      <c r="V48" s="1956"/>
      <c r="W48" s="1956"/>
      <c r="X48" s="1956">
        <f t="shared" si="1"/>
        <v>0</v>
      </c>
      <c r="Y48" s="1836" t="s">
        <v>1774</v>
      </c>
      <c r="AC48" s="1836"/>
      <c r="AD48" s="1836"/>
      <c r="AE48" s="1836"/>
      <c r="AF48" s="1837"/>
      <c r="AG48" s="1960">
        <f t="shared" si="2"/>
        <v>0</v>
      </c>
    </row>
    <row r="49" spans="1:33" ht="21.95" customHeight="1" x14ac:dyDescent="0.2">
      <c r="B49" s="2102"/>
      <c r="C49" s="2103"/>
      <c r="D49" s="2081" t="s">
        <v>1775</v>
      </c>
      <c r="E49" s="1930"/>
      <c r="F49" s="1931"/>
      <c r="G49" s="1945"/>
      <c r="H49" s="2452"/>
      <c r="I49" s="2453"/>
      <c r="J49" s="1951"/>
      <c r="K49" s="2066"/>
      <c r="L49" s="2067"/>
      <c r="M49" s="1967"/>
      <c r="N49" s="2454"/>
      <c r="O49" s="1936"/>
      <c r="P49" s="1936"/>
      <c r="Q49" s="1934"/>
      <c r="R49" s="1940"/>
      <c r="S49" s="1941"/>
      <c r="V49" s="1956"/>
      <c r="W49" s="1956"/>
      <c r="X49" s="1956">
        <f t="shared" si="1"/>
        <v>0</v>
      </c>
      <c r="Y49" s="1836" t="s">
        <v>1775</v>
      </c>
      <c r="AC49" s="1836"/>
      <c r="AD49" s="1836"/>
      <c r="AE49" s="1836"/>
      <c r="AF49" s="1837"/>
      <c r="AG49" s="1960">
        <f t="shared" si="2"/>
        <v>0</v>
      </c>
    </row>
    <row r="50" spans="1:33" ht="21.95" customHeight="1" x14ac:dyDescent="0.2">
      <c r="A50" s="1833">
        <f>satpek!$B$40</f>
        <v>21</v>
      </c>
      <c r="B50" s="1943">
        <f>B47+1</f>
        <v>8</v>
      </c>
      <c r="C50" s="1937"/>
      <c r="D50" s="1944" t="str">
        <f>VLOOKUP($A50,satpek!$B$20:$N$144,2,0)</f>
        <v>Membuat beton mutu f'c = 21,7 Mpa - K 250</v>
      </c>
      <c r="E50" s="1944"/>
      <c r="F50" s="2004"/>
      <c r="G50" s="1945">
        <f>'[3]B.VOL RAB'!Q75</f>
        <v>24.736000000000008</v>
      </c>
      <c r="H50" s="2456" t="str">
        <f>VLOOKUP($A50,satpek!$B$20:$N$144,7,0)</f>
        <v>m3</v>
      </c>
      <c r="I50" s="2457" t="str">
        <f>VLOOKUP($A50,satpek!$B$20:$N$144,5,0)</f>
        <v>A.4.1.1.8.</v>
      </c>
      <c r="J50" s="1951">
        <f>VLOOKUP($A50,satpek!$B$20:$N$144,6,0)</f>
        <v>1115753.29</v>
      </c>
      <c r="K50" s="1938"/>
      <c r="L50" s="1952">
        <f t="shared" ref="L50:L51" si="32">ROUND((G50*J50),2)</f>
        <v>27599273.379999999</v>
      </c>
      <c r="M50" s="1967"/>
      <c r="N50" s="2458">
        <f>VLOOKUP($A50,satpek!$B$20:$L$138,8,0)</f>
        <v>0.93065078521121514</v>
      </c>
      <c r="O50" s="1954">
        <f>VLOOKUP($A50,satpek!$B$20:$L$138,9,0)</f>
        <v>918917.40999999992</v>
      </c>
      <c r="P50" s="1954">
        <f>VLOOKUP($A50,satpek!$B$20:$L$138,10,0)</f>
        <v>1038376.6732999999</v>
      </c>
      <c r="Q50" s="1952">
        <f t="shared" ref="Q50:Q52" si="33">O50*G50</f>
        <v>22730341.053760003</v>
      </c>
      <c r="R50" s="1952">
        <f t="shared" ref="R50:R52" si="34">N50*L50</f>
        <v>25685285.442355987</v>
      </c>
      <c r="S50" s="1955">
        <f t="shared" ref="S50:S52" si="35">L50-R50</f>
        <v>1913987.9376440123</v>
      </c>
      <c r="V50" s="1956">
        <v>24.736000000000008</v>
      </c>
      <c r="W50" s="1956"/>
      <c r="X50" s="1956">
        <f t="shared" si="1"/>
        <v>0</v>
      </c>
      <c r="Y50" s="1836" t="s">
        <v>1905</v>
      </c>
      <c r="AC50" s="1836"/>
      <c r="AD50" s="1836"/>
      <c r="AE50" s="1836"/>
      <c r="AF50" s="1837">
        <v>1191397.42</v>
      </c>
      <c r="AG50" s="1960">
        <f t="shared" si="2"/>
        <v>75644.129999999888</v>
      </c>
    </row>
    <row r="51" spans="1:33" ht="21.95" customHeight="1" x14ac:dyDescent="0.2">
      <c r="A51" s="1833">
        <f>satpek!$B$41</f>
        <v>22</v>
      </c>
      <c r="B51" s="1943">
        <f t="shared" ref="B51:B52" si="36">B50+1</f>
        <v>9</v>
      </c>
      <c r="C51" s="1937"/>
      <c r="D51" s="1944" t="str">
        <f>VLOOKUP($A51,satpek!$B$20:$N$144,2,0)</f>
        <v>Pembesian 1 kg dengan besi polos atau besi ulir</v>
      </c>
      <c r="E51" s="1944"/>
      <c r="F51" s="2004"/>
      <c r="G51" s="1945">
        <f>'[3]B.VOL RAB'!Q77</f>
        <v>4504.2409055814333</v>
      </c>
      <c r="H51" s="2456" t="str">
        <f>VLOOKUP($A51,satpek!$B$20:$N$144,7,0)</f>
        <v>kg</v>
      </c>
      <c r="I51" s="2457" t="str">
        <f>VLOOKUP($A51,satpek!$B$20:$N$144,5,0)</f>
        <v>A.4.1.1.17.</v>
      </c>
      <c r="J51" s="1951">
        <f>VLOOKUP($A51,satpek!$B$20:$N$144,6,0)</f>
        <v>15603.94</v>
      </c>
      <c r="K51" s="1938"/>
      <c r="L51" s="1952">
        <f t="shared" si="32"/>
        <v>70283904.840000004</v>
      </c>
      <c r="M51" s="1967"/>
      <c r="N51" s="2458">
        <f>VLOOKUP($A51,satpek!$B$20:$L$138,8,0)</f>
        <v>0.46415793062521393</v>
      </c>
      <c r="O51" s="1954">
        <f>VLOOKUP($A51,satpek!$B$20:$L$138,9,0)</f>
        <v>7242.692500000001</v>
      </c>
      <c r="P51" s="1954">
        <f>VLOOKUP($A51,satpek!$B$20:$L$138,10,0)</f>
        <v>8184.2425250000015</v>
      </c>
      <c r="Q51" s="1952">
        <f t="shared" si="33"/>
        <v>32622831.825047858</v>
      </c>
      <c r="R51" s="1952">
        <f t="shared" si="34"/>
        <v>32622831.826793861</v>
      </c>
      <c r="S51" s="1955">
        <f t="shared" si="35"/>
        <v>37661073.013206139</v>
      </c>
      <c r="V51" s="1956">
        <v>4504.2409055814333</v>
      </c>
      <c r="W51" s="1956"/>
      <c r="X51" s="1956">
        <f t="shared" si="1"/>
        <v>0</v>
      </c>
      <c r="Y51" s="1836" t="s">
        <v>420</v>
      </c>
      <c r="AC51" s="1836"/>
      <c r="AD51" s="1836"/>
      <c r="AE51" s="1836"/>
      <c r="AF51" s="1837">
        <v>15438.06</v>
      </c>
      <c r="AG51" s="1960">
        <f t="shared" si="2"/>
        <v>-165.88000000000102</v>
      </c>
    </row>
    <row r="52" spans="1:33" ht="21.95" customHeight="1" x14ac:dyDescent="0.2">
      <c r="A52" s="1833">
        <f>satpek!$B$43</f>
        <v>24</v>
      </c>
      <c r="B52" s="1943">
        <f t="shared" si="36"/>
        <v>10</v>
      </c>
      <c r="C52" s="1937"/>
      <c r="D52" s="1944" t="str">
        <f>VLOOKUP($A52,satpek!$B$20:$N$144,2,0)</f>
        <v>Memasang bekisting untuk sloof (2 kali pakai)</v>
      </c>
      <c r="E52" s="1944"/>
      <c r="F52" s="2004"/>
      <c r="G52" s="1945">
        <f>'[3]B.VOL RAB'!Q81</f>
        <v>247.36000000000004</v>
      </c>
      <c r="H52" s="2456" t="str">
        <f>VLOOKUP($A52,satpek!$B$20:$N$144,7,0)</f>
        <v>m2</v>
      </c>
      <c r="I52" s="2457" t="str">
        <f>VLOOKUP($A52,satpek!$B$20:$N$144,5,0)</f>
        <v>A.4.1.1.21.</v>
      </c>
      <c r="J52" s="1951">
        <f>VLOOKUP($A52,satpek!$B$20:$N$144,6,0)</f>
        <v>118889.56</v>
      </c>
      <c r="K52" s="1938"/>
      <c r="L52" s="1952">
        <f t="shared" ref="L52" si="37">ROUND((G52*J52),2)</f>
        <v>29408521.559999999</v>
      </c>
      <c r="M52" s="1967"/>
      <c r="N52" s="2458">
        <f>VLOOKUP($A52,satpek!$B$20:$L$138,8,0)</f>
        <v>0.94496825457172184</v>
      </c>
      <c r="O52" s="1954">
        <f>VLOOKUP($A52,satpek!$B$20:$L$138,9,0)</f>
        <v>99422</v>
      </c>
      <c r="P52" s="1954">
        <f>VLOOKUP($A52,satpek!$B$20:$L$138,10,0)</f>
        <v>112346.86</v>
      </c>
      <c r="Q52" s="1952">
        <f t="shared" si="33"/>
        <v>24593025.920000006</v>
      </c>
      <c r="R52" s="1952">
        <f t="shared" si="34"/>
        <v>27790119.28808805</v>
      </c>
      <c r="S52" s="1955">
        <f t="shared" si="35"/>
        <v>1618402.2719119489</v>
      </c>
      <c r="V52" s="1956">
        <v>247.36000000000004</v>
      </c>
      <c r="W52" s="1956"/>
      <c r="X52" s="1956">
        <f t="shared" si="1"/>
        <v>0</v>
      </c>
      <c r="Y52" s="1836" t="s">
        <v>1907</v>
      </c>
      <c r="AC52" s="1836"/>
      <c r="AD52" s="1836"/>
      <c r="AE52" s="1836"/>
      <c r="AF52" s="1837">
        <v>117156.14</v>
      </c>
      <c r="AG52" s="1960">
        <f t="shared" si="2"/>
        <v>-1733.4199999999983</v>
      </c>
    </row>
    <row r="53" spans="1:33" ht="21.95" customHeight="1" x14ac:dyDescent="0.2">
      <c r="B53" s="2102"/>
      <c r="C53" s="2103"/>
      <c r="D53" s="2081" t="s">
        <v>1776</v>
      </c>
      <c r="E53" s="1930"/>
      <c r="F53" s="1931"/>
      <c r="G53" s="1945"/>
      <c r="H53" s="2452"/>
      <c r="I53" s="2453"/>
      <c r="J53" s="1951"/>
      <c r="K53" s="2066"/>
      <c r="L53" s="2067"/>
      <c r="M53" s="1967"/>
      <c r="N53" s="2454"/>
      <c r="O53" s="1936"/>
      <c r="P53" s="1936"/>
      <c r="Q53" s="1934"/>
      <c r="R53" s="1940"/>
      <c r="S53" s="1941"/>
      <c r="V53" s="1956"/>
      <c r="W53" s="1956"/>
      <c r="X53" s="1956">
        <f t="shared" si="1"/>
        <v>0</v>
      </c>
      <c r="Y53" s="1836" t="s">
        <v>1776</v>
      </c>
      <c r="AC53" s="1836"/>
      <c r="AD53" s="1836"/>
      <c r="AE53" s="1836"/>
      <c r="AF53" s="1837"/>
      <c r="AG53" s="1960">
        <f t="shared" si="2"/>
        <v>0</v>
      </c>
    </row>
    <row r="54" spans="1:33" ht="21.95" customHeight="1" x14ac:dyDescent="0.2">
      <c r="A54" s="1833">
        <f>satpek!$B$40</f>
        <v>21</v>
      </c>
      <c r="B54" s="1943">
        <f>B52+1</f>
        <v>11</v>
      </c>
      <c r="C54" s="1937"/>
      <c r="D54" s="1944" t="str">
        <f>VLOOKUP($A54,satpek!$B$20:$N$144,2,0)</f>
        <v>Membuat beton mutu f'c = 21,7 Mpa - K 250</v>
      </c>
      <c r="E54" s="1944"/>
      <c r="F54" s="2004"/>
      <c r="G54" s="1945">
        <f>'[3]B.VOL RAB'!Q85</f>
        <v>13.343999999999998</v>
      </c>
      <c r="H54" s="2456" t="str">
        <f>VLOOKUP($A54,satpek!$B$20:$N$144,7,0)</f>
        <v>m3</v>
      </c>
      <c r="I54" s="2457" t="str">
        <f>VLOOKUP($A54,satpek!$B$20:$N$144,5,0)</f>
        <v>A.4.1.1.8.</v>
      </c>
      <c r="J54" s="1951">
        <f>VLOOKUP($A54,satpek!$B$20:$N$144,6,0)</f>
        <v>1115753.29</v>
      </c>
      <c r="K54" s="1938"/>
      <c r="L54" s="1952">
        <f t="shared" ref="L54:L56" si="38">ROUND((G54*J54),2)</f>
        <v>14888611.9</v>
      </c>
      <c r="M54" s="1967"/>
      <c r="N54" s="2458">
        <f>VLOOKUP($A54,satpek!$B$20:$L$138,8,0)</f>
        <v>0.93065078521121514</v>
      </c>
      <c r="O54" s="1954">
        <f>VLOOKUP($A54,satpek!$B$20:$L$138,9,0)</f>
        <v>918917.40999999992</v>
      </c>
      <c r="P54" s="1954">
        <f>VLOOKUP($A54,satpek!$B$20:$L$138,10,0)</f>
        <v>1038376.6732999999</v>
      </c>
      <c r="Q54" s="1952">
        <f t="shared" ref="Q54:Q56" si="39">O54*G54</f>
        <v>12262033.919039996</v>
      </c>
      <c r="R54" s="1952">
        <f t="shared" ref="R54:R56" si="40">N54*L54</f>
        <v>13856098.355440043</v>
      </c>
      <c r="S54" s="1955">
        <f t="shared" ref="S54:S56" si="41">L54-R54</f>
        <v>1032513.5445599575</v>
      </c>
      <c r="V54" s="1956">
        <v>13.343999999999998</v>
      </c>
      <c r="W54" s="1956"/>
      <c r="X54" s="1956">
        <f t="shared" si="1"/>
        <v>0</v>
      </c>
      <c r="Y54" s="1836" t="s">
        <v>1905</v>
      </c>
      <c r="AC54" s="1836"/>
      <c r="AD54" s="1836"/>
      <c r="AE54" s="1836"/>
      <c r="AF54" s="1837">
        <v>1191397.42</v>
      </c>
      <c r="AG54" s="1960">
        <f t="shared" si="2"/>
        <v>75644.129999999888</v>
      </c>
    </row>
    <row r="55" spans="1:33" ht="21.95" customHeight="1" x14ac:dyDescent="0.2">
      <c r="A55" s="1833">
        <f>satpek!$B$41</f>
        <v>22</v>
      </c>
      <c r="B55" s="1943">
        <f t="shared" ref="B55:B56" si="42">B54+1</f>
        <v>12</v>
      </c>
      <c r="C55" s="1937"/>
      <c r="D55" s="1944" t="str">
        <f>VLOOKUP($A55,satpek!$B$20:$N$144,2,0)</f>
        <v>Pembesian 1 kg dengan besi polos atau besi ulir</v>
      </c>
      <c r="E55" s="1944"/>
      <c r="F55" s="2004"/>
      <c r="G55" s="1945">
        <f>'[3]B.VOL RAB'!Q87</f>
        <v>2070.8000451047028</v>
      </c>
      <c r="H55" s="2456" t="str">
        <f>VLOOKUP($A55,satpek!$B$20:$N$144,7,0)</f>
        <v>kg</v>
      </c>
      <c r="I55" s="2457" t="str">
        <f>VLOOKUP($A55,satpek!$B$20:$N$144,5,0)</f>
        <v>A.4.1.1.17.</v>
      </c>
      <c r="J55" s="1951">
        <f>VLOOKUP($A55,satpek!$B$20:$N$144,6,0)</f>
        <v>15603.94</v>
      </c>
      <c r="K55" s="1938"/>
      <c r="L55" s="1952">
        <f t="shared" si="38"/>
        <v>32312639.66</v>
      </c>
      <c r="M55" s="1967"/>
      <c r="N55" s="2458">
        <f>VLOOKUP($A55,satpek!$B$20:$L$138,8,0)</f>
        <v>0.46415793062521393</v>
      </c>
      <c r="O55" s="1954">
        <f>VLOOKUP($A55,satpek!$B$20:$L$138,9,0)</f>
        <v>7242.692500000001</v>
      </c>
      <c r="P55" s="1954">
        <f>VLOOKUP($A55,satpek!$B$20:$L$138,10,0)</f>
        <v>8184.2425250000015</v>
      </c>
      <c r="Q55" s="1952">
        <f t="shared" si="39"/>
        <v>14998167.955679495</v>
      </c>
      <c r="R55" s="1952">
        <f t="shared" si="40"/>
        <v>14998167.957623817</v>
      </c>
      <c r="S55" s="1955">
        <f t="shared" si="41"/>
        <v>17314471.702376183</v>
      </c>
      <c r="V55" s="1956">
        <v>2070.8000451047028</v>
      </c>
      <c r="W55" s="1956"/>
      <c r="X55" s="1956">
        <f t="shared" si="1"/>
        <v>0</v>
      </c>
      <c r="Y55" s="1836" t="s">
        <v>420</v>
      </c>
      <c r="AC55" s="1836"/>
      <c r="AD55" s="1836"/>
      <c r="AE55" s="1836"/>
      <c r="AF55" s="1837">
        <v>15438.06</v>
      </c>
      <c r="AG55" s="1960">
        <f t="shared" si="2"/>
        <v>-165.88000000000102</v>
      </c>
    </row>
    <row r="56" spans="1:33" ht="21.95" customHeight="1" x14ac:dyDescent="0.2">
      <c r="A56" s="1833">
        <f>satpek!$B$43</f>
        <v>24</v>
      </c>
      <c r="B56" s="1943">
        <f t="shared" si="42"/>
        <v>13</v>
      </c>
      <c r="C56" s="1937"/>
      <c r="D56" s="1944" t="str">
        <f>VLOOKUP($A56,satpek!$B$20:$N$144,2,0)</f>
        <v>Memasang bekisting untuk sloof (2 kali pakai)</v>
      </c>
      <c r="E56" s="1944"/>
      <c r="F56" s="2004"/>
      <c r="G56" s="1945">
        <f>'[3]B.VOL RAB'!Q90</f>
        <v>133.43999999999997</v>
      </c>
      <c r="H56" s="2456" t="str">
        <f>VLOOKUP($A56,satpek!$B$20:$N$144,7,0)</f>
        <v>m2</v>
      </c>
      <c r="I56" s="2457" t="str">
        <f>VLOOKUP($A56,satpek!$B$20:$N$144,5,0)</f>
        <v>A.4.1.1.21.</v>
      </c>
      <c r="J56" s="1951">
        <f>VLOOKUP($A56,satpek!$B$20:$N$144,6,0)</f>
        <v>118889.56</v>
      </c>
      <c r="K56" s="1938"/>
      <c r="L56" s="1952">
        <f t="shared" si="38"/>
        <v>15864622.890000001</v>
      </c>
      <c r="M56" s="1967"/>
      <c r="N56" s="2458">
        <f>VLOOKUP($A56,satpek!$B$20:$L$138,8,0)</f>
        <v>0.94496825457172184</v>
      </c>
      <c r="O56" s="1954">
        <f>VLOOKUP($A56,satpek!$B$20:$L$138,9,0)</f>
        <v>99422</v>
      </c>
      <c r="P56" s="1954">
        <f>VLOOKUP($A56,satpek!$B$20:$L$138,10,0)</f>
        <v>112346.86</v>
      </c>
      <c r="Q56" s="1952">
        <f t="shared" si="39"/>
        <v>13266871.679999998</v>
      </c>
      <c r="R56" s="1952">
        <f t="shared" si="40"/>
        <v>14991565.001801886</v>
      </c>
      <c r="S56" s="1955">
        <f t="shared" si="41"/>
        <v>873057.88819811493</v>
      </c>
      <c r="V56" s="1956">
        <v>133.43999999999997</v>
      </c>
      <c r="W56" s="1956"/>
      <c r="X56" s="1956">
        <f t="shared" si="1"/>
        <v>0</v>
      </c>
      <c r="Y56" s="1836" t="s">
        <v>1907</v>
      </c>
      <c r="AC56" s="1836"/>
      <c r="AD56" s="1836"/>
      <c r="AE56" s="1836"/>
      <c r="AF56" s="1837">
        <v>117156.14</v>
      </c>
      <c r="AG56" s="1960">
        <f t="shared" si="2"/>
        <v>-1733.4199999999983</v>
      </c>
    </row>
    <row r="57" spans="1:33" ht="21.95" customHeight="1" x14ac:dyDescent="0.2">
      <c r="B57" s="2102"/>
      <c r="C57" s="2103"/>
      <c r="D57" s="2081" t="s">
        <v>1777</v>
      </c>
      <c r="E57" s="1930"/>
      <c r="F57" s="1931"/>
      <c r="G57" s="1945"/>
      <c r="H57" s="2452"/>
      <c r="I57" s="2453"/>
      <c r="J57" s="1951"/>
      <c r="K57" s="2066"/>
      <c r="L57" s="2067"/>
      <c r="M57" s="1967"/>
      <c r="N57" s="2454"/>
      <c r="O57" s="1936"/>
      <c r="P57" s="1936"/>
      <c r="Q57" s="1934"/>
      <c r="R57" s="1940"/>
      <c r="S57" s="1941"/>
      <c r="V57" s="1956"/>
      <c r="W57" s="1956"/>
      <c r="X57" s="1956">
        <f t="shared" si="1"/>
        <v>0</v>
      </c>
      <c r="Y57" s="1836" t="s">
        <v>1777</v>
      </c>
      <c r="AC57" s="1836"/>
      <c r="AD57" s="1836"/>
      <c r="AE57" s="1836"/>
      <c r="AF57" s="1837"/>
      <c r="AG57" s="1960">
        <f t="shared" si="2"/>
        <v>0</v>
      </c>
    </row>
    <row r="58" spans="1:33" ht="21.95" customHeight="1" x14ac:dyDescent="0.2">
      <c r="A58" s="1833">
        <f>satpek!$B$40</f>
        <v>21</v>
      </c>
      <c r="B58" s="1943">
        <f>B56+1</f>
        <v>14</v>
      </c>
      <c r="C58" s="1937"/>
      <c r="D58" s="1944" t="str">
        <f>VLOOKUP($A58,satpek!$B$20:$N$144,2,0)</f>
        <v>Membuat beton mutu f'c = 21,7 Mpa - K 250</v>
      </c>
      <c r="E58" s="1944"/>
      <c r="F58" s="2004"/>
      <c r="G58" s="1945">
        <f>'[3]B.VOL RAB'!Q93</f>
        <v>2.4750000000000001</v>
      </c>
      <c r="H58" s="2456" t="str">
        <f>VLOOKUP($A58,satpek!$B$20:$N$144,7,0)</f>
        <v>m3</v>
      </c>
      <c r="I58" s="2457" t="str">
        <f>VLOOKUP($A58,satpek!$B$20:$N$144,5,0)</f>
        <v>A.4.1.1.8.</v>
      </c>
      <c r="J58" s="1951">
        <f>VLOOKUP($A58,satpek!$B$20:$N$144,6,0)</f>
        <v>1115753.29</v>
      </c>
      <c r="K58" s="1938"/>
      <c r="L58" s="1952">
        <f t="shared" ref="L58:L60" si="43">ROUND((G58*J58),2)</f>
        <v>2761489.39</v>
      </c>
      <c r="M58" s="1967"/>
      <c r="N58" s="2458">
        <f>VLOOKUP($A58,satpek!$B$20:$L$138,8,0)</f>
        <v>0.93065078521121514</v>
      </c>
      <c r="O58" s="1954">
        <f>VLOOKUP($A58,satpek!$B$20:$L$138,9,0)</f>
        <v>918917.40999999992</v>
      </c>
      <c r="P58" s="1954">
        <f>VLOOKUP($A58,satpek!$B$20:$L$138,10,0)</f>
        <v>1038376.6732999999</v>
      </c>
      <c r="Q58" s="1952">
        <f t="shared" ref="Q58:Q60" si="44">O58*G58</f>
        <v>2274320.5897499998</v>
      </c>
      <c r="R58" s="1952">
        <f t="shared" ref="R58:R60" si="45">N58*L58</f>
        <v>2569982.2691559396</v>
      </c>
      <c r="S58" s="1955">
        <f t="shared" ref="S58:S60" si="46">L58-R58</f>
        <v>191507.12084406056</v>
      </c>
      <c r="V58" s="1956">
        <v>2.4750000000000001</v>
      </c>
      <c r="W58" s="1956"/>
      <c r="X58" s="1956">
        <f t="shared" si="1"/>
        <v>0</v>
      </c>
      <c r="Y58" s="1836" t="s">
        <v>1905</v>
      </c>
      <c r="AC58" s="1836"/>
      <c r="AD58" s="1836"/>
      <c r="AE58" s="1836"/>
      <c r="AF58" s="1837">
        <v>1191397.42</v>
      </c>
      <c r="AG58" s="1960">
        <f t="shared" si="2"/>
        <v>75644.129999999888</v>
      </c>
    </row>
    <row r="59" spans="1:33" ht="21.95" customHeight="1" x14ac:dyDescent="0.2">
      <c r="A59" s="1833">
        <f>satpek!$B$41</f>
        <v>22</v>
      </c>
      <c r="B59" s="1943">
        <f t="shared" ref="B59:B60" si="47">B58+1</f>
        <v>15</v>
      </c>
      <c r="C59" s="1937"/>
      <c r="D59" s="1944" t="str">
        <f>VLOOKUP($A59,satpek!$B$20:$N$144,2,0)</f>
        <v>Pembesian 1 kg dengan besi polos atau besi ulir</v>
      </c>
      <c r="E59" s="1944"/>
      <c r="F59" s="2004"/>
      <c r="G59" s="1945">
        <f>'[3]B.VOL RAB'!Q95</f>
        <v>547.33738272710912</v>
      </c>
      <c r="H59" s="2456" t="str">
        <f>VLOOKUP($A59,satpek!$B$20:$N$144,7,0)</f>
        <v>kg</v>
      </c>
      <c r="I59" s="2457" t="str">
        <f>VLOOKUP($A59,satpek!$B$20:$N$144,5,0)</f>
        <v>A.4.1.1.17.</v>
      </c>
      <c r="J59" s="1951">
        <f>VLOOKUP($A59,satpek!$B$20:$N$144,6,0)</f>
        <v>15603.94</v>
      </c>
      <c r="K59" s="1938"/>
      <c r="L59" s="1952">
        <f t="shared" si="43"/>
        <v>8540619.6799999997</v>
      </c>
      <c r="M59" s="1967"/>
      <c r="N59" s="2458">
        <f>VLOOKUP($A59,satpek!$B$20:$L$138,8,0)</f>
        <v>0.46415793062521393</v>
      </c>
      <c r="O59" s="1954">
        <f>VLOOKUP($A59,satpek!$B$20:$L$138,9,0)</f>
        <v>7242.692500000001</v>
      </c>
      <c r="P59" s="1954">
        <f>VLOOKUP($A59,satpek!$B$20:$L$138,10,0)</f>
        <v>8184.2425250000015</v>
      </c>
      <c r="Q59" s="1952">
        <f t="shared" si="44"/>
        <v>3964196.3568472634</v>
      </c>
      <c r="R59" s="1952">
        <f t="shared" si="45"/>
        <v>3964196.3569257767</v>
      </c>
      <c r="S59" s="1955">
        <f t="shared" si="46"/>
        <v>4576423.3230742235</v>
      </c>
      <c r="V59" s="1956">
        <v>547.33738272710912</v>
      </c>
      <c r="W59" s="1956"/>
      <c r="X59" s="1956">
        <f t="shared" si="1"/>
        <v>0</v>
      </c>
      <c r="Y59" s="1836" t="s">
        <v>420</v>
      </c>
      <c r="AC59" s="1836"/>
      <c r="AD59" s="1836"/>
      <c r="AE59" s="1836"/>
      <c r="AF59" s="1837">
        <v>15438.06</v>
      </c>
      <c r="AG59" s="1960">
        <f t="shared" si="2"/>
        <v>-165.88000000000102</v>
      </c>
    </row>
    <row r="60" spans="1:33" ht="21.95" customHeight="1" x14ac:dyDescent="0.2">
      <c r="A60" s="1833">
        <f>satpek!$B$43</f>
        <v>24</v>
      </c>
      <c r="B60" s="1943">
        <f t="shared" si="47"/>
        <v>16</v>
      </c>
      <c r="C60" s="1937"/>
      <c r="D60" s="1944" t="str">
        <f>VLOOKUP($A60,satpek!$B$20:$N$144,2,0)</f>
        <v>Memasang bekisting untuk sloof (2 kali pakai)</v>
      </c>
      <c r="E60" s="1944"/>
      <c r="F60" s="2004"/>
      <c r="G60" s="1945">
        <f>'[3]B.VOL RAB'!Q97</f>
        <v>33</v>
      </c>
      <c r="H60" s="2456" t="str">
        <f>VLOOKUP($A60,satpek!$B$20:$N$144,7,0)</f>
        <v>m2</v>
      </c>
      <c r="I60" s="2457" t="str">
        <f>VLOOKUP($A60,satpek!$B$20:$N$144,5,0)</f>
        <v>A.4.1.1.21.</v>
      </c>
      <c r="J60" s="1951">
        <f>VLOOKUP($A60,satpek!$B$20:$N$144,6,0)</f>
        <v>118889.56</v>
      </c>
      <c r="K60" s="1938"/>
      <c r="L60" s="1952">
        <f t="shared" si="43"/>
        <v>3923355.48</v>
      </c>
      <c r="M60" s="1967"/>
      <c r="N60" s="2458">
        <f>VLOOKUP($A60,satpek!$B$20:$L$138,8,0)</f>
        <v>0.94496825457172184</v>
      </c>
      <c r="O60" s="1954">
        <f>VLOOKUP($A60,satpek!$B$20:$L$138,9,0)</f>
        <v>99422</v>
      </c>
      <c r="P60" s="1954">
        <f>VLOOKUP($A60,satpek!$B$20:$L$138,10,0)</f>
        <v>112346.86</v>
      </c>
      <c r="Q60" s="1952">
        <f t="shared" si="44"/>
        <v>3280926</v>
      </c>
      <c r="R60" s="1952">
        <f t="shared" si="45"/>
        <v>3707446.38</v>
      </c>
      <c r="S60" s="1955">
        <f t="shared" si="46"/>
        <v>215909.10000000009</v>
      </c>
      <c r="V60" s="1956">
        <v>33</v>
      </c>
      <c r="W60" s="1956"/>
      <c r="X60" s="1956">
        <f t="shared" si="1"/>
        <v>0</v>
      </c>
      <c r="Y60" s="1836" t="s">
        <v>1907</v>
      </c>
      <c r="AC60" s="1836"/>
      <c r="AD60" s="1836"/>
      <c r="AE60" s="1836"/>
      <c r="AF60" s="1837">
        <v>117156.14</v>
      </c>
      <c r="AG60" s="1960">
        <f t="shared" si="2"/>
        <v>-1733.4199999999983</v>
      </c>
    </row>
    <row r="61" spans="1:33" ht="21.95" customHeight="1" x14ac:dyDescent="0.2">
      <c r="B61" s="2102"/>
      <c r="C61" s="2103"/>
      <c r="D61" s="2081" t="s">
        <v>1778</v>
      </c>
      <c r="E61" s="1930"/>
      <c r="F61" s="1931"/>
      <c r="G61" s="1945"/>
      <c r="H61" s="2452"/>
      <c r="I61" s="2453"/>
      <c r="J61" s="1951"/>
      <c r="K61" s="2066"/>
      <c r="L61" s="2067"/>
      <c r="M61" s="1967"/>
      <c r="N61" s="2454"/>
      <c r="O61" s="1936"/>
      <c r="P61" s="1936"/>
      <c r="Q61" s="1934"/>
      <c r="R61" s="1940"/>
      <c r="S61" s="1941"/>
      <c r="V61" s="1956"/>
      <c r="W61" s="1956"/>
      <c r="X61" s="1956">
        <f t="shared" si="1"/>
        <v>0</v>
      </c>
      <c r="Y61" s="1836" t="s">
        <v>1778</v>
      </c>
      <c r="AC61" s="1836"/>
      <c r="AD61" s="1836"/>
      <c r="AE61" s="1836"/>
      <c r="AF61" s="1837"/>
      <c r="AG61" s="1960">
        <f t="shared" si="2"/>
        <v>0</v>
      </c>
    </row>
    <row r="62" spans="1:33" ht="21.95" customHeight="1" x14ac:dyDescent="0.2">
      <c r="B62" s="2102"/>
      <c r="C62" s="2103"/>
      <c r="D62" s="2081" t="s">
        <v>1779</v>
      </c>
      <c r="E62" s="1930"/>
      <c r="F62" s="1931"/>
      <c r="G62" s="1945"/>
      <c r="H62" s="2452"/>
      <c r="I62" s="2453"/>
      <c r="J62" s="1951"/>
      <c r="K62" s="2066"/>
      <c r="L62" s="2067"/>
      <c r="M62" s="1967"/>
      <c r="N62" s="2454"/>
      <c r="O62" s="1936"/>
      <c r="P62" s="1936"/>
      <c r="Q62" s="1934"/>
      <c r="R62" s="1940"/>
      <c r="S62" s="1941"/>
      <c r="V62" s="1956"/>
      <c r="W62" s="1956"/>
      <c r="X62" s="1956">
        <f t="shared" si="1"/>
        <v>0</v>
      </c>
      <c r="Y62" s="1836" t="s">
        <v>1779</v>
      </c>
      <c r="AC62" s="1836"/>
      <c r="AD62" s="1836"/>
      <c r="AE62" s="1836"/>
      <c r="AF62" s="1837"/>
      <c r="AG62" s="1960">
        <f t="shared" si="2"/>
        <v>0</v>
      </c>
    </row>
    <row r="63" spans="1:33" ht="21.95" customHeight="1" x14ac:dyDescent="0.2">
      <c r="A63" s="1833">
        <f>satpek!$B$40</f>
        <v>21</v>
      </c>
      <c r="B63" s="1943">
        <f>B60+1</f>
        <v>17</v>
      </c>
      <c r="C63" s="1937"/>
      <c r="D63" s="1944" t="str">
        <f>VLOOKUP($A63,satpek!$B$20:$N$144,2,0)</f>
        <v>Membuat beton mutu f'c = 21,7 Mpa - K 250</v>
      </c>
      <c r="E63" s="1944"/>
      <c r="F63" s="2004"/>
      <c r="G63" s="1945">
        <f>'[3]B.VOL RAB'!Q102</f>
        <v>14.400000000000002</v>
      </c>
      <c r="H63" s="2456" t="str">
        <f>VLOOKUP($A63,satpek!$B$20:$N$144,7,0)</f>
        <v>m3</v>
      </c>
      <c r="I63" s="2457" t="str">
        <f>VLOOKUP($A63,satpek!$B$20:$N$144,5,0)</f>
        <v>A.4.1.1.8.</v>
      </c>
      <c r="J63" s="1951">
        <f>VLOOKUP($A63,satpek!$B$20:$N$144,6,0)</f>
        <v>1115753.29</v>
      </c>
      <c r="K63" s="1938"/>
      <c r="L63" s="1952">
        <f t="shared" ref="L63:L64" si="48">ROUND((G63*J63),2)</f>
        <v>16066847.380000001</v>
      </c>
      <c r="M63" s="1967"/>
      <c r="N63" s="2458">
        <f>VLOOKUP($A63,satpek!$B$20:$L$138,8,0)</f>
        <v>0.93065078521121514</v>
      </c>
      <c r="O63" s="1954">
        <f>VLOOKUP($A63,satpek!$B$20:$L$138,9,0)</f>
        <v>918917.40999999992</v>
      </c>
      <c r="P63" s="1954">
        <f>VLOOKUP($A63,satpek!$B$20:$L$138,10,0)</f>
        <v>1038376.6732999999</v>
      </c>
      <c r="Q63" s="1952">
        <f t="shared" ref="Q63:Q65" si="49">O63*G63</f>
        <v>13232410.704</v>
      </c>
      <c r="R63" s="1952">
        <f t="shared" ref="R63:R65" si="50">N63*L63</f>
        <v>14952624.130065756</v>
      </c>
      <c r="S63" s="1955">
        <f t="shared" ref="S63:S65" si="51">L63-R63</f>
        <v>1114223.2499342449</v>
      </c>
      <c r="V63" s="1956">
        <v>16.2</v>
      </c>
      <c r="W63" s="1956"/>
      <c r="X63" s="1956">
        <f t="shared" si="1"/>
        <v>1.7999999999999972</v>
      </c>
      <c r="Y63" s="1836" t="s">
        <v>1905</v>
      </c>
      <c r="AC63" s="1836"/>
      <c r="AD63" s="1836"/>
      <c r="AE63" s="1836"/>
      <c r="AF63" s="1837">
        <v>1191397.42</v>
      </c>
      <c r="AG63" s="1960">
        <f t="shared" si="2"/>
        <v>75644.129999999888</v>
      </c>
    </row>
    <row r="64" spans="1:33" ht="21.95" customHeight="1" x14ac:dyDescent="0.2">
      <c r="A64" s="1833">
        <f>satpek!$B$41</f>
        <v>22</v>
      </c>
      <c r="B64" s="1943">
        <f t="shared" ref="B64:B65" si="52">B63+1</f>
        <v>18</v>
      </c>
      <c r="C64" s="1937"/>
      <c r="D64" s="1944" t="str">
        <f>VLOOKUP($A64,satpek!$B$20:$N$144,2,0)</f>
        <v>Pembesian 1 kg dengan besi polos atau besi ulir</v>
      </c>
      <c r="E64" s="1944"/>
      <c r="F64" s="2004"/>
      <c r="G64" s="1945">
        <f>'[3]B.VOL RAB'!Q104</f>
        <v>1991.5889437187145</v>
      </c>
      <c r="H64" s="2456" t="str">
        <f>VLOOKUP($A64,satpek!$B$20:$N$144,7,0)</f>
        <v>kg</v>
      </c>
      <c r="I64" s="2457" t="str">
        <f>VLOOKUP($A64,satpek!$B$20:$N$144,5,0)</f>
        <v>A.4.1.1.17.</v>
      </c>
      <c r="J64" s="1951">
        <f>VLOOKUP($A64,satpek!$B$20:$N$144,6,0)</f>
        <v>15603.94</v>
      </c>
      <c r="K64" s="1938"/>
      <c r="L64" s="1952">
        <f t="shared" si="48"/>
        <v>31076634.379999999</v>
      </c>
      <c r="M64" s="1967"/>
      <c r="N64" s="2458">
        <f>VLOOKUP($A64,satpek!$B$20:$L$138,8,0)</f>
        <v>0.46415793062521393</v>
      </c>
      <c r="O64" s="1954">
        <f>VLOOKUP($A64,satpek!$B$20:$L$138,9,0)</f>
        <v>7242.692500000001</v>
      </c>
      <c r="P64" s="1954">
        <f>VLOOKUP($A64,satpek!$B$20:$L$138,10,0)</f>
        <v>8184.2425250000015</v>
      </c>
      <c r="Q64" s="1952">
        <f t="shared" si="49"/>
        <v>14424466.305754459</v>
      </c>
      <c r="R64" s="1952">
        <f t="shared" si="50"/>
        <v>14424466.304617178</v>
      </c>
      <c r="S64" s="1955">
        <f t="shared" si="51"/>
        <v>16652168.075382821</v>
      </c>
      <c r="V64" s="1956">
        <v>2046.154983775577</v>
      </c>
      <c r="W64" s="1956"/>
      <c r="X64" s="1956">
        <f t="shared" si="1"/>
        <v>54.566040056862448</v>
      </c>
      <c r="Y64" s="1836" t="s">
        <v>420</v>
      </c>
      <c r="AC64" s="1836"/>
      <c r="AD64" s="1836"/>
      <c r="AE64" s="1836"/>
      <c r="AF64" s="1837">
        <v>15438.06</v>
      </c>
      <c r="AG64" s="1960">
        <f t="shared" si="2"/>
        <v>-165.88000000000102</v>
      </c>
    </row>
    <row r="65" spans="1:33" ht="21.95" customHeight="1" x14ac:dyDescent="0.2">
      <c r="A65" s="1833">
        <f>satpek!$B$44</f>
        <v>25</v>
      </c>
      <c r="B65" s="1943">
        <f t="shared" si="52"/>
        <v>19</v>
      </c>
      <c r="C65" s="1937"/>
      <c r="D65" s="1944" t="str">
        <f>VLOOKUP($A65,satpek!$B$20:$N$144,2,0)</f>
        <v>Memasang bekisting untuk kolom (2 kali pakai)</v>
      </c>
      <c r="E65" s="1944"/>
      <c r="F65" s="2004"/>
      <c r="G65" s="1945">
        <f>'[3]B.VOL RAB'!Q106</f>
        <v>57.600000000000009</v>
      </c>
      <c r="H65" s="2456" t="str">
        <f>VLOOKUP($A65,satpek!$B$20:$N$144,7,0)</f>
        <v>m2</v>
      </c>
      <c r="I65" s="2457" t="str">
        <f>VLOOKUP($A65,satpek!$B$20:$N$144,5,0)</f>
        <v>A.4.1.1.22.</v>
      </c>
      <c r="J65" s="1951">
        <f>VLOOKUP($A65,satpek!$B$20:$N$144,6,0)</f>
        <v>192050.28</v>
      </c>
      <c r="K65" s="1938"/>
      <c r="L65" s="1952">
        <f t="shared" ref="L65" si="53">ROUND((G65*J65),2)</f>
        <v>11062096.130000001</v>
      </c>
      <c r="M65" s="1967"/>
      <c r="N65" s="2458">
        <f>VLOOKUP($A65,satpek!$B$20:$L$138,8,0)</f>
        <v>0.82830850337734474</v>
      </c>
      <c r="O65" s="1954">
        <f>VLOOKUP($A65,satpek!$B$20:$L$138,9,0)</f>
        <v>140776</v>
      </c>
      <c r="P65" s="1954">
        <f>VLOOKUP($A65,satpek!$B$20:$L$138,10,0)</f>
        <v>159076.88</v>
      </c>
      <c r="Q65" s="1952">
        <f t="shared" si="49"/>
        <v>8108697.6000000015</v>
      </c>
      <c r="R65" s="1952">
        <f t="shared" si="50"/>
        <v>9162828.2896566186</v>
      </c>
      <c r="S65" s="1955">
        <f t="shared" si="51"/>
        <v>1899267.8403433822</v>
      </c>
      <c r="V65" s="1956">
        <v>64.8</v>
      </c>
      <c r="W65" s="1956"/>
      <c r="X65" s="1956">
        <f t="shared" si="1"/>
        <v>7.1999999999999886</v>
      </c>
      <c r="Y65" s="1836" t="s">
        <v>1908</v>
      </c>
      <c r="AC65" s="1836"/>
      <c r="AD65" s="1836"/>
      <c r="AE65" s="1836"/>
      <c r="AF65" s="1837">
        <v>193211.91999999998</v>
      </c>
      <c r="AG65" s="1960">
        <f t="shared" si="2"/>
        <v>1161.6399999999849</v>
      </c>
    </row>
    <row r="66" spans="1:33" ht="21.95" customHeight="1" x14ac:dyDescent="0.2">
      <c r="B66" s="2102"/>
      <c r="C66" s="2103"/>
      <c r="D66" s="2081" t="s">
        <v>1780</v>
      </c>
      <c r="E66" s="1930"/>
      <c r="F66" s="1931"/>
      <c r="G66" s="1945"/>
      <c r="H66" s="2452"/>
      <c r="I66" s="2453"/>
      <c r="J66" s="1951"/>
      <c r="K66" s="2066"/>
      <c r="L66" s="2067"/>
      <c r="M66" s="1967"/>
      <c r="N66" s="2454"/>
      <c r="O66" s="1936"/>
      <c r="P66" s="1936"/>
      <c r="Q66" s="1934"/>
      <c r="R66" s="1940"/>
      <c r="S66" s="1941"/>
      <c r="V66" s="1956"/>
      <c r="W66" s="1956"/>
      <c r="X66" s="1956">
        <f t="shared" si="1"/>
        <v>0</v>
      </c>
      <c r="Y66" s="1836" t="s">
        <v>1780</v>
      </c>
      <c r="AC66" s="1836"/>
      <c r="AD66" s="1836"/>
      <c r="AE66" s="1836"/>
      <c r="AF66" s="1837"/>
      <c r="AG66" s="1960">
        <f t="shared" si="2"/>
        <v>0</v>
      </c>
    </row>
    <row r="67" spans="1:33" ht="21.95" customHeight="1" x14ac:dyDescent="0.2">
      <c r="A67" s="1833">
        <f>satpek!$B$40</f>
        <v>21</v>
      </c>
      <c r="B67" s="1943">
        <f>B65+1</f>
        <v>20</v>
      </c>
      <c r="C67" s="1937"/>
      <c r="D67" s="1944" t="str">
        <f>VLOOKUP($A67,satpek!$B$20:$N$144,2,0)</f>
        <v>Membuat beton mutu f'c = 21,7 Mpa - K 250</v>
      </c>
      <c r="E67" s="1944"/>
      <c r="F67" s="2004"/>
      <c r="G67" s="1945">
        <f>'[3]B.VOL RAB'!Q110</f>
        <v>38.400000000000006</v>
      </c>
      <c r="H67" s="2456" t="str">
        <f>VLOOKUP($A67,satpek!$B$20:$N$144,7,0)</f>
        <v>m3</v>
      </c>
      <c r="I67" s="2457" t="str">
        <f>VLOOKUP($A67,satpek!$B$20:$N$144,5,0)</f>
        <v>A.4.1.1.8.</v>
      </c>
      <c r="J67" s="1951">
        <f>VLOOKUP($A67,satpek!$B$20:$N$144,6,0)</f>
        <v>1115753.29</v>
      </c>
      <c r="K67" s="1938"/>
      <c r="L67" s="1952">
        <f t="shared" ref="L67:L69" si="54">ROUND((G67*J67),2)</f>
        <v>42844926.340000004</v>
      </c>
      <c r="M67" s="1967"/>
      <c r="N67" s="2458">
        <f>VLOOKUP($A67,satpek!$B$20:$L$138,8,0)</f>
        <v>0.93065078521121514</v>
      </c>
      <c r="O67" s="1954">
        <f>VLOOKUP($A67,satpek!$B$20:$L$138,9,0)</f>
        <v>918917.40999999992</v>
      </c>
      <c r="P67" s="1954">
        <f>VLOOKUP($A67,satpek!$B$20:$L$138,10,0)</f>
        <v>1038376.6732999999</v>
      </c>
      <c r="Q67" s="1952">
        <f t="shared" ref="Q67:Q69" si="55">O67*G67</f>
        <v>35286428.544</v>
      </c>
      <c r="R67" s="1952">
        <f t="shared" ref="R67:R69" si="56">N67*L67</f>
        <v>39873664.340637676</v>
      </c>
      <c r="S67" s="1955">
        <f t="shared" ref="S67:S69" si="57">L67-R67</f>
        <v>2971261.9993623272</v>
      </c>
      <c r="V67" s="1956">
        <v>41.04</v>
      </c>
      <c r="W67" s="1956"/>
      <c r="X67" s="1956">
        <f t="shared" si="1"/>
        <v>2.6399999999999935</v>
      </c>
      <c r="Y67" s="1836" t="s">
        <v>1905</v>
      </c>
      <c r="AC67" s="1836"/>
      <c r="AD67" s="1836"/>
      <c r="AE67" s="1836"/>
      <c r="AF67" s="1837">
        <v>1191397.42</v>
      </c>
      <c r="AG67" s="1960">
        <f t="shared" si="2"/>
        <v>75644.129999999888</v>
      </c>
    </row>
    <row r="68" spans="1:33" ht="21.95" customHeight="1" x14ac:dyDescent="0.2">
      <c r="A68" s="1833">
        <f>satpek!$B$41</f>
        <v>22</v>
      </c>
      <c r="B68" s="1943">
        <f t="shared" ref="B68:B69" si="58">B67+1</f>
        <v>21</v>
      </c>
      <c r="C68" s="1937"/>
      <c r="D68" s="1944" t="str">
        <f>VLOOKUP($A68,satpek!$B$20:$N$144,2,0)</f>
        <v>Pembesian 1 kg dengan besi polos atau besi ulir</v>
      </c>
      <c r="E68" s="1944"/>
      <c r="F68" s="2004"/>
      <c r="G68" s="1945">
        <f>'[3]B.VOL RAB'!Q112</f>
        <v>5309.0542372417713</v>
      </c>
      <c r="H68" s="2456" t="str">
        <f>VLOOKUP($A68,satpek!$B$20:$N$144,7,0)</f>
        <v>kg</v>
      </c>
      <c r="I68" s="2457" t="str">
        <f>VLOOKUP($A68,satpek!$B$20:$N$144,5,0)</f>
        <v>A.4.1.1.17.</v>
      </c>
      <c r="J68" s="1951">
        <f>VLOOKUP($A68,satpek!$B$20:$N$144,6,0)</f>
        <v>15603.94</v>
      </c>
      <c r="K68" s="1938"/>
      <c r="L68" s="1952">
        <f t="shared" si="54"/>
        <v>82842163.769999996</v>
      </c>
      <c r="M68" s="1967"/>
      <c r="N68" s="2458">
        <f>VLOOKUP($A68,satpek!$B$20:$L$138,8,0)</f>
        <v>0.46415793062521393</v>
      </c>
      <c r="O68" s="1954">
        <f>VLOOKUP($A68,satpek!$B$20:$L$138,9,0)</f>
        <v>7242.692500000001</v>
      </c>
      <c r="P68" s="1954">
        <f>VLOOKUP($A68,satpek!$B$20:$L$138,10,0)</f>
        <v>8184.2425250000015</v>
      </c>
      <c r="Q68" s="1952">
        <f t="shared" si="55"/>
        <v>38451847.306164205</v>
      </c>
      <c r="R68" s="1952">
        <f t="shared" si="56"/>
        <v>38451847.303998269</v>
      </c>
      <c r="S68" s="1955">
        <f t="shared" si="57"/>
        <v>44390316.466001727</v>
      </c>
      <c r="V68" s="1956">
        <v>5668.791571739398</v>
      </c>
      <c r="W68" s="1956"/>
      <c r="X68" s="1956">
        <f t="shared" si="1"/>
        <v>359.73733449762676</v>
      </c>
      <c r="Y68" s="1836" t="s">
        <v>420</v>
      </c>
      <c r="AC68" s="1836"/>
      <c r="AD68" s="1836"/>
      <c r="AE68" s="1836"/>
      <c r="AF68" s="1837">
        <v>15438.06</v>
      </c>
      <c r="AG68" s="1960">
        <f t="shared" si="2"/>
        <v>-165.88000000000102</v>
      </c>
    </row>
    <row r="69" spans="1:33" ht="21.95" customHeight="1" x14ac:dyDescent="0.2">
      <c r="A69" s="1833">
        <f>satpek!$B$44</f>
        <v>25</v>
      </c>
      <c r="B69" s="1943">
        <f t="shared" si="58"/>
        <v>22</v>
      </c>
      <c r="C69" s="1937"/>
      <c r="D69" s="1944" t="str">
        <f>VLOOKUP($A69,satpek!$B$20:$N$144,2,0)</f>
        <v>Memasang bekisting untuk kolom (2 kali pakai)</v>
      </c>
      <c r="E69" s="1944"/>
      <c r="F69" s="2004"/>
      <c r="G69" s="1945">
        <f>'[3]B.VOL RAB'!Q115</f>
        <v>153.60000000000002</v>
      </c>
      <c r="H69" s="2456" t="str">
        <f>VLOOKUP($A69,satpek!$B$20:$N$144,7,0)</f>
        <v>m2</v>
      </c>
      <c r="I69" s="2457" t="str">
        <f>VLOOKUP($A69,satpek!$B$20:$N$144,5,0)</f>
        <v>A.4.1.1.22.</v>
      </c>
      <c r="J69" s="1951">
        <f>VLOOKUP($A69,satpek!$B$20:$N$144,6,0)</f>
        <v>192050.28</v>
      </c>
      <c r="K69" s="1938"/>
      <c r="L69" s="1952">
        <f t="shared" si="54"/>
        <v>29498923.010000002</v>
      </c>
      <c r="M69" s="1967"/>
      <c r="N69" s="2458">
        <f>VLOOKUP($A69,satpek!$B$20:$L$138,8,0)</f>
        <v>0.82830850337734474</v>
      </c>
      <c r="O69" s="1954">
        <f>VLOOKUP($A69,satpek!$B$20:$L$138,9,0)</f>
        <v>140776</v>
      </c>
      <c r="P69" s="1954">
        <f>VLOOKUP($A69,satpek!$B$20:$L$138,10,0)</f>
        <v>159076.88</v>
      </c>
      <c r="Q69" s="1952">
        <f t="shared" si="55"/>
        <v>21623193.600000001</v>
      </c>
      <c r="R69" s="1952">
        <f t="shared" si="56"/>
        <v>24434208.769656617</v>
      </c>
      <c r="S69" s="1955">
        <f t="shared" si="57"/>
        <v>5064714.2403433844</v>
      </c>
      <c r="V69" s="1956">
        <v>164.16</v>
      </c>
      <c r="W69" s="1956"/>
      <c r="X69" s="1956">
        <f t="shared" si="1"/>
        <v>10.559999999999974</v>
      </c>
      <c r="Y69" s="1836" t="s">
        <v>1908</v>
      </c>
      <c r="AC69" s="1836"/>
      <c r="AD69" s="1836"/>
      <c r="AE69" s="1836"/>
      <c r="AF69" s="1837">
        <v>193211.91999999998</v>
      </c>
      <c r="AG69" s="1960">
        <f t="shared" si="2"/>
        <v>1161.6399999999849</v>
      </c>
    </row>
    <row r="70" spans="1:33" ht="21.95" customHeight="1" x14ac:dyDescent="0.2">
      <c r="B70" s="2102"/>
      <c r="C70" s="2103"/>
      <c r="D70" s="2081" t="s">
        <v>1781</v>
      </c>
      <c r="E70" s="1930"/>
      <c r="F70" s="1931"/>
      <c r="G70" s="1945"/>
      <c r="H70" s="2452"/>
      <c r="I70" s="2453"/>
      <c r="J70" s="1951"/>
      <c r="K70" s="2066"/>
      <c r="L70" s="2067"/>
      <c r="M70" s="1967"/>
      <c r="N70" s="2454"/>
      <c r="O70" s="1936"/>
      <c r="P70" s="1936"/>
      <c r="Q70" s="1934"/>
      <c r="R70" s="1940"/>
      <c r="S70" s="1941"/>
      <c r="V70" s="1956"/>
      <c r="W70" s="1956"/>
      <c r="X70" s="1956">
        <f t="shared" si="1"/>
        <v>0</v>
      </c>
      <c r="Y70" s="1836" t="s">
        <v>1781</v>
      </c>
      <c r="AC70" s="1836"/>
      <c r="AD70" s="1836"/>
      <c r="AE70" s="1836"/>
      <c r="AF70" s="1837"/>
      <c r="AG70" s="1960">
        <f t="shared" si="2"/>
        <v>0</v>
      </c>
    </row>
    <row r="71" spans="1:33" ht="21.95" customHeight="1" x14ac:dyDescent="0.2">
      <c r="A71" s="1833">
        <f>satpek!$B$40</f>
        <v>21</v>
      </c>
      <c r="B71" s="1943">
        <f>B69+1</f>
        <v>23</v>
      </c>
      <c r="C71" s="1937"/>
      <c r="D71" s="1944" t="str">
        <f>VLOOKUP($A71,satpek!$B$20:$N$144,2,0)</f>
        <v>Membuat beton mutu f'c = 21,7 Mpa - K 250</v>
      </c>
      <c r="E71" s="1944"/>
      <c r="F71" s="2004"/>
      <c r="G71" s="1945">
        <f>'[3]B.VOL RAB'!Q118</f>
        <v>1.44</v>
      </c>
      <c r="H71" s="2456" t="str">
        <f>VLOOKUP($A71,satpek!$B$20:$N$144,7,0)</f>
        <v>m3</v>
      </c>
      <c r="I71" s="2457" t="str">
        <f>VLOOKUP($A71,satpek!$B$20:$N$144,5,0)</f>
        <v>A.4.1.1.8.</v>
      </c>
      <c r="J71" s="1951">
        <f>VLOOKUP($A71,satpek!$B$20:$N$144,6,0)</f>
        <v>1115753.29</v>
      </c>
      <c r="K71" s="1938"/>
      <c r="L71" s="1952">
        <f t="shared" ref="L71:L73" si="59">ROUND((G71*J71),2)</f>
        <v>1606684.74</v>
      </c>
      <c r="M71" s="1967"/>
      <c r="N71" s="2458">
        <f>VLOOKUP($A71,satpek!$B$20:$L$138,8,0)</f>
        <v>0.93065078521121514</v>
      </c>
      <c r="O71" s="1954">
        <f>VLOOKUP($A71,satpek!$B$20:$L$138,9,0)</f>
        <v>918917.40999999992</v>
      </c>
      <c r="P71" s="1954">
        <f>VLOOKUP($A71,satpek!$B$20:$L$138,10,0)</f>
        <v>1038376.6732999999</v>
      </c>
      <c r="Q71" s="1952">
        <f t="shared" ref="Q71:Q73" si="60">O71*G71</f>
        <v>1323241.0703999999</v>
      </c>
      <c r="R71" s="1952">
        <f t="shared" ref="R71:R73" si="61">N71*L71</f>
        <v>1495262.414867877</v>
      </c>
      <c r="S71" s="1955">
        <f t="shared" ref="S71:S73" si="62">L71-R71</f>
        <v>111422.32513212296</v>
      </c>
      <c r="V71" s="1956">
        <v>1.3679999999999999</v>
      </c>
      <c r="W71" s="1956"/>
      <c r="X71" s="1956">
        <f t="shared" si="1"/>
        <v>-7.2000000000000064E-2</v>
      </c>
      <c r="Y71" s="1836" t="s">
        <v>1905</v>
      </c>
      <c r="AC71" s="1836"/>
      <c r="AD71" s="1836"/>
      <c r="AE71" s="1836"/>
      <c r="AF71" s="1837">
        <v>1191397.42</v>
      </c>
      <c r="AG71" s="1960">
        <f t="shared" si="2"/>
        <v>75644.129999999888</v>
      </c>
    </row>
    <row r="72" spans="1:33" ht="21.95" customHeight="1" x14ac:dyDescent="0.2">
      <c r="A72" s="1833">
        <f>satpek!$B$41</f>
        <v>22</v>
      </c>
      <c r="B72" s="1943">
        <f t="shared" ref="B72:B73" si="63">B71+1</f>
        <v>24</v>
      </c>
      <c r="C72" s="1937"/>
      <c r="D72" s="1944" t="str">
        <f>VLOOKUP($A72,satpek!$B$20:$N$144,2,0)</f>
        <v>Pembesian 1 kg dengan besi polos atau besi ulir</v>
      </c>
      <c r="E72" s="1944"/>
      <c r="F72" s="2004"/>
      <c r="G72" s="1945">
        <f>'[3]B.VOL RAB'!Q120</f>
        <v>173.56765340332495</v>
      </c>
      <c r="H72" s="2456" t="str">
        <f>VLOOKUP($A72,satpek!$B$20:$N$144,7,0)</f>
        <v>kg</v>
      </c>
      <c r="I72" s="2457" t="str">
        <f>VLOOKUP($A72,satpek!$B$20:$N$144,5,0)</f>
        <v>A.4.1.1.17.</v>
      </c>
      <c r="J72" s="1951">
        <f>VLOOKUP($A72,satpek!$B$20:$N$144,6,0)</f>
        <v>15603.94</v>
      </c>
      <c r="K72" s="1938"/>
      <c r="L72" s="1952">
        <f t="shared" si="59"/>
        <v>2708339.25</v>
      </c>
      <c r="M72" s="1967"/>
      <c r="N72" s="2458">
        <f>VLOOKUP($A72,satpek!$B$20:$L$138,8,0)</f>
        <v>0.46415793062521393</v>
      </c>
      <c r="O72" s="1954">
        <f>VLOOKUP($A72,satpek!$B$20:$L$138,9,0)</f>
        <v>7242.692500000001</v>
      </c>
      <c r="P72" s="1954">
        <f>VLOOKUP($A72,satpek!$B$20:$L$138,10,0)</f>
        <v>8184.2425250000015</v>
      </c>
      <c r="Q72" s="1952">
        <f t="shared" si="60"/>
        <v>1257097.1415468613</v>
      </c>
      <c r="R72" s="1952">
        <f t="shared" si="61"/>
        <v>1257097.1417110439</v>
      </c>
      <c r="S72" s="1955">
        <f t="shared" si="62"/>
        <v>1451242.1082889561</v>
      </c>
      <c r="V72" s="1956">
        <v>164.92626298665471</v>
      </c>
      <c r="W72" s="1956"/>
      <c r="X72" s="1956">
        <f t="shared" si="1"/>
        <v>-8.641390416670248</v>
      </c>
      <c r="Y72" s="1836" t="s">
        <v>420</v>
      </c>
      <c r="AC72" s="1836"/>
      <c r="AD72" s="1836"/>
      <c r="AE72" s="1836"/>
      <c r="AF72" s="1837">
        <v>15438.06</v>
      </c>
      <c r="AG72" s="1960">
        <f t="shared" si="2"/>
        <v>-165.88000000000102</v>
      </c>
    </row>
    <row r="73" spans="1:33" ht="21.95" customHeight="1" x14ac:dyDescent="0.2">
      <c r="A73" s="1833">
        <f>satpek!$B$44</f>
        <v>25</v>
      </c>
      <c r="B73" s="1943">
        <f t="shared" si="63"/>
        <v>25</v>
      </c>
      <c r="C73" s="1937"/>
      <c r="D73" s="1944" t="str">
        <f>VLOOKUP($A73,satpek!$B$20:$N$144,2,0)</f>
        <v>Memasang bekisting untuk kolom (2 kali pakai)</v>
      </c>
      <c r="E73" s="1944"/>
      <c r="F73" s="2004"/>
      <c r="G73" s="1945">
        <f>'[3]B.VOL RAB'!Q122</f>
        <v>9.6</v>
      </c>
      <c r="H73" s="2456" t="str">
        <f>VLOOKUP($A73,satpek!$B$20:$N$144,7,0)</f>
        <v>m2</v>
      </c>
      <c r="I73" s="2457" t="str">
        <f>VLOOKUP($A73,satpek!$B$20:$N$144,5,0)</f>
        <v>A.4.1.1.22.</v>
      </c>
      <c r="J73" s="1951">
        <f>VLOOKUP($A73,satpek!$B$20:$N$144,6,0)</f>
        <v>192050.28</v>
      </c>
      <c r="K73" s="1938"/>
      <c r="L73" s="1952">
        <f t="shared" si="59"/>
        <v>1843682.69</v>
      </c>
      <c r="M73" s="1967"/>
      <c r="N73" s="2458">
        <f>VLOOKUP($A73,satpek!$B$20:$L$138,8,0)</f>
        <v>0.82830850337734474</v>
      </c>
      <c r="O73" s="1954">
        <f>VLOOKUP($A73,satpek!$B$20:$L$138,9,0)</f>
        <v>140776</v>
      </c>
      <c r="P73" s="1954">
        <f>VLOOKUP($A73,satpek!$B$20:$L$138,10,0)</f>
        <v>159076.88</v>
      </c>
      <c r="Q73" s="1952">
        <f t="shared" si="60"/>
        <v>1351449.5999999999</v>
      </c>
      <c r="R73" s="1952">
        <f t="shared" si="61"/>
        <v>1527138.049656617</v>
      </c>
      <c r="S73" s="1955">
        <f t="shared" si="62"/>
        <v>316544.64034338295</v>
      </c>
      <c r="V73" s="1956">
        <v>9.1199999999999992</v>
      </c>
      <c r="W73" s="1956"/>
      <c r="X73" s="1956">
        <f t="shared" si="1"/>
        <v>-0.48000000000000043</v>
      </c>
      <c r="Y73" s="1836" t="s">
        <v>1908</v>
      </c>
      <c r="AC73" s="1836"/>
      <c r="AD73" s="1836"/>
      <c r="AE73" s="1836"/>
      <c r="AF73" s="1837">
        <v>193211.91999999998</v>
      </c>
      <c r="AG73" s="1960">
        <f t="shared" si="2"/>
        <v>1161.6399999999849</v>
      </c>
    </row>
    <row r="74" spans="1:33" ht="21.95" customHeight="1" x14ac:dyDescent="0.2">
      <c r="B74" s="2102"/>
      <c r="C74" s="2103"/>
      <c r="D74" s="2081" t="s">
        <v>1782</v>
      </c>
      <c r="E74" s="1930"/>
      <c r="F74" s="1931"/>
      <c r="G74" s="2104"/>
      <c r="H74" s="2452"/>
      <c r="I74" s="2453"/>
      <c r="J74" s="1951"/>
      <c r="K74" s="2066"/>
      <c r="L74" s="2067"/>
      <c r="M74" s="1967"/>
      <c r="N74" s="2454"/>
      <c r="O74" s="1936"/>
      <c r="P74" s="1936"/>
      <c r="Q74" s="1934"/>
      <c r="R74" s="1940"/>
      <c r="S74" s="1941"/>
      <c r="V74" s="1956"/>
      <c r="W74" s="1956"/>
      <c r="X74" s="1956">
        <f t="shared" si="1"/>
        <v>0</v>
      </c>
      <c r="Y74" s="1836" t="s">
        <v>1782</v>
      </c>
      <c r="AC74" s="1836"/>
      <c r="AD74" s="1836"/>
      <c r="AE74" s="1836"/>
      <c r="AF74" s="1837"/>
      <c r="AG74" s="1960">
        <f t="shared" si="2"/>
        <v>0</v>
      </c>
    </row>
    <row r="75" spans="1:33" ht="21.95" customHeight="1" x14ac:dyDescent="0.2">
      <c r="A75" s="1833">
        <f>satpek!$B$47</f>
        <v>28</v>
      </c>
      <c r="B75" s="1943">
        <f>B73+1</f>
        <v>26</v>
      </c>
      <c r="C75" s="1937"/>
      <c r="D75" s="1944" t="str">
        <f>VLOOKUP($A75,satpek!$B$20:$N$144,2,0)</f>
        <v>Membuat kolom praktis beton bertulang 11/11 cm</v>
      </c>
      <c r="E75" s="1944"/>
      <c r="F75" s="2004"/>
      <c r="G75" s="1945">
        <f>'[3]B.VOL RAB'!Q126</f>
        <v>212.79999999999998</v>
      </c>
      <c r="H75" s="2456" t="str">
        <f>VLOOKUP($A75,satpek!$B$20:$N$144,7,0)</f>
        <v>m'</v>
      </c>
      <c r="I75" s="2457" t="str">
        <f>VLOOKUP($A75,satpek!$B$20:$N$144,5,0)</f>
        <v>A.4.1.1.35.</v>
      </c>
      <c r="J75" s="1951">
        <f>VLOOKUP($A75,satpek!$B$20:$N$144,6,0)</f>
        <v>112610.15</v>
      </c>
      <c r="K75" s="1938"/>
      <c r="L75" s="1952">
        <f t="shared" ref="L75" si="64">ROUND((G75*J75),2)</f>
        <v>23963439.920000002</v>
      </c>
      <c r="M75" s="1967"/>
      <c r="N75" s="2458">
        <f>VLOOKUP($A75,satpek!$B$20:$L$138,8,0)</f>
        <v>0.69870322613014901</v>
      </c>
      <c r="O75" s="1954">
        <f>VLOOKUP($A75,satpek!$B$20:$L$138,9,0)</f>
        <v>69629.27</v>
      </c>
      <c r="P75" s="1954">
        <f>VLOOKUP($A75,satpek!$B$20:$L$138,10,0)</f>
        <v>78681.075100000002</v>
      </c>
      <c r="Q75" s="1952">
        <f t="shared" ref="Q75:Q76" si="65">O75*G75</f>
        <v>14817108.655999999</v>
      </c>
      <c r="R75" s="1952">
        <f t="shared" ref="R75:R76" si="66">N75*L75</f>
        <v>16743332.781280002</v>
      </c>
      <c r="S75" s="1955">
        <f t="shared" ref="S75:S76" si="67">L75-R75</f>
        <v>7220107.1387200002</v>
      </c>
      <c r="V75" s="1956">
        <v>212.79999999999998</v>
      </c>
      <c r="W75" s="1956"/>
      <c r="X75" s="1956">
        <f t="shared" si="1"/>
        <v>0</v>
      </c>
      <c r="Y75" s="1836" t="s">
        <v>229</v>
      </c>
      <c r="AC75" s="1836"/>
      <c r="AD75" s="1836"/>
      <c r="AE75" s="1836"/>
      <c r="AF75" s="1837">
        <v>111027.02</v>
      </c>
      <c r="AG75" s="1960">
        <f t="shared" si="2"/>
        <v>-1583.1299999999901</v>
      </c>
    </row>
    <row r="76" spans="1:33" ht="21.95" customHeight="1" x14ac:dyDescent="0.2">
      <c r="A76" s="1833">
        <f>satpek!$B$48</f>
        <v>29</v>
      </c>
      <c r="B76" s="1943">
        <f>B75+1</f>
        <v>27</v>
      </c>
      <c r="C76" s="1937"/>
      <c r="D76" s="1944" t="s">
        <v>1783</v>
      </c>
      <c r="E76" s="1944"/>
      <c r="F76" s="2004"/>
      <c r="G76" s="1945">
        <f>'[3]B.VOL RAB'!Q127</f>
        <v>132</v>
      </c>
      <c r="H76" s="2456" t="str">
        <f>VLOOKUP($A76,satpek!$B$20:$N$144,7,0)</f>
        <v>m'</v>
      </c>
      <c r="I76" s="2457" t="str">
        <f>VLOOKUP($A76,satpek!$B$20:$N$144,5,0)</f>
        <v>A.4.1.1.36.</v>
      </c>
      <c r="J76" s="1951">
        <f>VLOOKUP($A76,satpek!$B$20:$N$144,6,0)</f>
        <v>109402.19</v>
      </c>
      <c r="K76" s="1938"/>
      <c r="L76" s="1952">
        <f t="shared" ref="L76" si="68">ROUND((G76*J76),2)</f>
        <v>14441089.08</v>
      </c>
      <c r="M76" s="1967"/>
      <c r="N76" s="2458">
        <f>VLOOKUP($A76,satpek!$B$20:$L$138,8,0)</f>
        <v>0.75420720314079981</v>
      </c>
      <c r="O76" s="1954">
        <f>VLOOKUP($A76,satpek!$B$20:$L$138,9,0)</f>
        <v>73019.399999999994</v>
      </c>
      <c r="P76" s="1954">
        <f>VLOOKUP($A76,satpek!$B$20:$L$138,10,0)</f>
        <v>82511.921999999991</v>
      </c>
      <c r="Q76" s="1952">
        <f t="shared" si="65"/>
        <v>9638560.7999999989</v>
      </c>
      <c r="R76" s="1952">
        <f t="shared" si="66"/>
        <v>10891573.405333946</v>
      </c>
      <c r="S76" s="1955">
        <f t="shared" si="67"/>
        <v>3549515.6746660545</v>
      </c>
      <c r="V76" s="1956">
        <v>132</v>
      </c>
      <c r="W76" s="1956"/>
      <c r="X76" s="1956">
        <f t="shared" si="1"/>
        <v>0</v>
      </c>
      <c r="Y76" s="1836" t="s">
        <v>1783</v>
      </c>
      <c r="AC76" s="1836"/>
      <c r="AD76" s="1836"/>
      <c r="AE76" s="1836"/>
      <c r="AF76" s="1837">
        <v>106967.5</v>
      </c>
      <c r="AG76" s="1960">
        <f t="shared" si="2"/>
        <v>-2434.6900000000023</v>
      </c>
    </row>
    <row r="77" spans="1:33" ht="21.95" customHeight="1" x14ac:dyDescent="0.2">
      <c r="B77" s="2102"/>
      <c r="C77" s="2103"/>
      <c r="D77" s="2081" t="s">
        <v>1784</v>
      </c>
      <c r="E77" s="1930"/>
      <c r="F77" s="1931"/>
      <c r="G77" s="1945"/>
      <c r="H77" s="2452"/>
      <c r="I77" s="2453"/>
      <c r="J77" s="1951"/>
      <c r="K77" s="2066"/>
      <c r="L77" s="2067"/>
      <c r="M77" s="1967"/>
      <c r="N77" s="2454"/>
      <c r="O77" s="1936"/>
      <c r="P77" s="1936"/>
      <c r="Q77" s="1934"/>
      <c r="R77" s="1940"/>
      <c r="S77" s="1941"/>
      <c r="V77" s="1956"/>
      <c r="W77" s="1956"/>
      <c r="X77" s="1956">
        <f t="shared" si="1"/>
        <v>0</v>
      </c>
      <c r="Y77" s="1836" t="s">
        <v>1784</v>
      </c>
      <c r="AC77" s="1836"/>
      <c r="AD77" s="1836"/>
      <c r="AE77" s="1836"/>
      <c r="AF77" s="1837"/>
      <c r="AG77" s="1960">
        <f t="shared" si="2"/>
        <v>0</v>
      </c>
    </row>
    <row r="78" spans="1:33" ht="21.95" customHeight="1" x14ac:dyDescent="0.2">
      <c r="A78" s="1833">
        <f>satpek!$B$40</f>
        <v>21</v>
      </c>
      <c r="B78" s="1943">
        <f>B76+1</f>
        <v>28</v>
      </c>
      <c r="C78" s="1937"/>
      <c r="D78" s="1944" t="str">
        <f>VLOOKUP($A78,satpek!$B$20:$N$144,2,0)</f>
        <v>Membuat beton mutu f'c = 21,7 Mpa - K 250</v>
      </c>
      <c r="E78" s="1944"/>
      <c r="F78" s="2004"/>
      <c r="G78" s="1945">
        <f>'[3]B.VOL RAB'!Q130</f>
        <v>0.128</v>
      </c>
      <c r="H78" s="2456" t="str">
        <f>VLOOKUP($A78,satpek!$B$20:$N$144,7,0)</f>
        <v>m3</v>
      </c>
      <c r="I78" s="2457" t="str">
        <f>VLOOKUP($A78,satpek!$B$20:$N$144,5,0)</f>
        <v>A.4.1.1.8.</v>
      </c>
      <c r="J78" s="1951">
        <f>VLOOKUP($A78,satpek!$B$20:$N$144,6,0)</f>
        <v>1115753.29</v>
      </c>
      <c r="K78" s="1938"/>
      <c r="L78" s="1952">
        <f t="shared" ref="L78:L80" si="69">ROUND((G78*J78),2)</f>
        <v>142816.42000000001</v>
      </c>
      <c r="M78" s="1967"/>
      <c r="N78" s="2458">
        <f>VLOOKUP($A78,satpek!$B$20:$L$138,8,0)</f>
        <v>0.93065078521121514</v>
      </c>
      <c r="O78" s="1954">
        <f>VLOOKUP($A78,satpek!$B$20:$L$138,9,0)</f>
        <v>918917.40999999992</v>
      </c>
      <c r="P78" s="1954">
        <f>VLOOKUP($A78,satpek!$B$20:$L$138,10,0)</f>
        <v>1038376.6732999999</v>
      </c>
      <c r="Q78" s="1952">
        <f t="shared" ref="Q78:Q80" si="70">O78*G78</f>
        <v>117621.42847999999</v>
      </c>
      <c r="R78" s="1952">
        <f t="shared" ref="R78:R80" si="71">N78*L78</f>
        <v>132912.21341405471</v>
      </c>
      <c r="S78" s="1955">
        <f t="shared" ref="S78:S80" si="72">L78-R78</f>
        <v>9904.2065859452996</v>
      </c>
      <c r="V78" s="1956">
        <v>0.128</v>
      </c>
      <c r="W78" s="1956"/>
      <c r="X78" s="1956">
        <f t="shared" si="1"/>
        <v>0</v>
      </c>
      <c r="Y78" s="1836" t="s">
        <v>1905</v>
      </c>
      <c r="AC78" s="1836"/>
      <c r="AD78" s="1836"/>
      <c r="AE78" s="1836"/>
      <c r="AF78" s="1837">
        <v>1191397.42</v>
      </c>
      <c r="AG78" s="1960">
        <f t="shared" si="2"/>
        <v>75644.129999999888</v>
      </c>
    </row>
    <row r="79" spans="1:33" ht="21.95" customHeight="1" x14ac:dyDescent="0.2">
      <c r="A79" s="1833">
        <f>satpek!$B$41</f>
        <v>22</v>
      </c>
      <c r="B79" s="1943">
        <f>B78+1</f>
        <v>29</v>
      </c>
      <c r="C79" s="1937"/>
      <c r="D79" s="1944" t="str">
        <f>VLOOKUP($A79,satpek!$B$20:$N$144,2,0)</f>
        <v>Pembesian 1 kg dengan besi polos atau besi ulir</v>
      </c>
      <c r="E79" s="1944"/>
      <c r="F79" s="2004"/>
      <c r="G79" s="1945">
        <f>'[3]B.VOL RAB'!Q132</f>
        <v>11.632337419335084</v>
      </c>
      <c r="H79" s="2456" t="str">
        <f>VLOOKUP($A79,satpek!$B$20:$N$144,7,0)</f>
        <v>kg</v>
      </c>
      <c r="I79" s="2457" t="str">
        <f>VLOOKUP($A79,satpek!$B$20:$N$144,5,0)</f>
        <v>A.4.1.1.17.</v>
      </c>
      <c r="J79" s="1951">
        <f>VLOOKUP($A79,satpek!$B$20:$N$144,6,0)</f>
        <v>15603.94</v>
      </c>
      <c r="K79" s="1938"/>
      <c r="L79" s="1952">
        <f t="shared" si="69"/>
        <v>181510.3</v>
      </c>
      <c r="M79" s="1967"/>
      <c r="N79" s="2458">
        <f>VLOOKUP($A79,satpek!$B$20:$L$138,8,0)</f>
        <v>0.46415793062521393</v>
      </c>
      <c r="O79" s="1954">
        <f>VLOOKUP($A79,satpek!$B$20:$L$138,9,0)</f>
        <v>7242.692500000001</v>
      </c>
      <c r="P79" s="1954">
        <f>VLOOKUP($A79,satpek!$B$20:$L$138,10,0)</f>
        <v>8184.2425250000015</v>
      </c>
      <c r="Q79" s="1952">
        <f t="shared" si="70"/>
        <v>84249.44298448757</v>
      </c>
      <c r="R79" s="1952">
        <f t="shared" si="71"/>
        <v>84249.445235161766</v>
      </c>
      <c r="S79" s="1955">
        <f t="shared" si="72"/>
        <v>97260.854764838223</v>
      </c>
      <c r="V79" s="1956">
        <v>11.632337419335084</v>
      </c>
      <c r="W79" s="1956"/>
      <c r="X79" s="1956">
        <f t="shared" si="1"/>
        <v>0</v>
      </c>
      <c r="Y79" s="1836" t="s">
        <v>420</v>
      </c>
      <c r="AC79" s="1836"/>
      <c r="AD79" s="1836"/>
      <c r="AE79" s="1836"/>
      <c r="AF79" s="1837">
        <v>15438.06</v>
      </c>
      <c r="AG79" s="1960">
        <f t="shared" si="2"/>
        <v>-165.88000000000102</v>
      </c>
    </row>
    <row r="80" spans="1:33" ht="21.95" customHeight="1" x14ac:dyDescent="0.2">
      <c r="A80" s="1833">
        <f>satpek!B46</f>
        <v>27</v>
      </c>
      <c r="B80" s="1943">
        <f>B79+1</f>
        <v>30</v>
      </c>
      <c r="C80" s="1937"/>
      <c r="D80" s="1944" t="s">
        <v>1785</v>
      </c>
      <c r="E80" s="1944"/>
      <c r="F80" s="2004"/>
      <c r="G80" s="1945">
        <f>'[3]B.VOL RAB'!Q134</f>
        <v>2.048</v>
      </c>
      <c r="H80" s="2456" t="str">
        <f>VLOOKUP($A80,satpek!$B$20:$N$144,7,0)</f>
        <v>m2</v>
      </c>
      <c r="I80" s="2457" t="str">
        <f>VLOOKUP($A80,satpek!$B$20:$N$144,5,0)</f>
        <v>A.4.1.1.24</v>
      </c>
      <c r="J80" s="1951">
        <f>VLOOKUP($A80,satpek!$B$20:$N$144,6,0)*0.25</f>
        <v>60725.07</v>
      </c>
      <c r="K80" s="1938"/>
      <c r="L80" s="1952">
        <f t="shared" si="69"/>
        <v>124364.94</v>
      </c>
      <c r="M80" s="1967"/>
      <c r="N80" s="2458">
        <f>VLOOKUP($A80,satpek!$B$20:$L$138,8,0)</f>
        <v>0.76655687675617334</v>
      </c>
      <c r="O80" s="1954">
        <f>VLOOKUP($A80,satpek!$B$20:$L$138,9,0)</f>
        <v>164776</v>
      </c>
      <c r="P80" s="1954">
        <f>VLOOKUP($A80,satpek!$B$20:$L$138,10,0)</f>
        <v>186196.88</v>
      </c>
      <c r="Q80" s="1952">
        <f t="shared" si="70"/>
        <v>337461.24800000002</v>
      </c>
      <c r="R80" s="1952">
        <f t="shared" si="71"/>
        <v>95332.799984368889</v>
      </c>
      <c r="S80" s="1955">
        <f t="shared" si="72"/>
        <v>29032.140015631114</v>
      </c>
      <c r="V80" s="1956">
        <v>2.048</v>
      </c>
      <c r="W80" s="1956"/>
      <c r="X80" s="1956">
        <f t="shared" si="1"/>
        <v>0</v>
      </c>
      <c r="Y80" s="1836" t="s">
        <v>1785</v>
      </c>
      <c r="AC80" s="1836"/>
      <c r="AD80" s="1836"/>
      <c r="AE80" s="1836"/>
      <c r="AF80" s="1837">
        <v>59938.45</v>
      </c>
      <c r="AG80" s="1960">
        <f t="shared" si="2"/>
        <v>-786.62000000000262</v>
      </c>
    </row>
    <row r="81" spans="1:33" ht="21.95" customHeight="1" x14ac:dyDescent="0.2">
      <c r="B81" s="1943"/>
      <c r="C81" s="1937"/>
      <c r="D81" s="1989"/>
      <c r="E81" s="1944"/>
      <c r="F81" s="2004"/>
      <c r="G81" s="1945"/>
      <c r="H81" s="2472"/>
      <c r="I81" s="2457"/>
      <c r="J81" s="1951"/>
      <c r="K81" s="2095"/>
      <c r="L81" s="1952"/>
      <c r="M81" s="1967"/>
      <c r="N81" s="2473"/>
      <c r="O81" s="1950"/>
      <c r="P81" s="1950"/>
      <c r="Q81" s="2094"/>
      <c r="R81" s="2096"/>
      <c r="S81" s="2097"/>
      <c r="V81" s="1956"/>
      <c r="W81" s="1956"/>
      <c r="X81" s="1956">
        <f t="shared" ref="X81:X144" si="73">V81-G81</f>
        <v>0</v>
      </c>
      <c r="AC81" s="1836"/>
      <c r="AD81" s="1836"/>
      <c r="AE81" s="1836"/>
      <c r="AF81" s="1837"/>
      <c r="AG81" s="1960">
        <f t="shared" ref="AG81:AG144" si="74">AF81-J81</f>
        <v>0</v>
      </c>
    </row>
    <row r="82" spans="1:33" ht="21.95" customHeight="1" x14ac:dyDescent="0.2">
      <c r="B82" s="1943"/>
      <c r="C82" s="1937"/>
      <c r="D82" s="2034" t="s">
        <v>1786</v>
      </c>
      <c r="E82" s="1944"/>
      <c r="F82" s="2004"/>
      <c r="G82" s="1945"/>
      <c r="H82" s="2472"/>
      <c r="I82" s="2457"/>
      <c r="J82" s="1951"/>
      <c r="K82" s="2095"/>
      <c r="L82" s="1952"/>
      <c r="M82" s="1967"/>
      <c r="N82" s="2473"/>
      <c r="O82" s="1950"/>
      <c r="P82" s="1950"/>
      <c r="Q82" s="2094"/>
      <c r="R82" s="2096"/>
      <c r="S82" s="2097"/>
      <c r="V82" s="1956"/>
      <c r="W82" s="1956"/>
      <c r="X82" s="1956">
        <f t="shared" si="73"/>
        <v>0</v>
      </c>
      <c r="Y82" s="1836" t="s">
        <v>1786</v>
      </c>
      <c r="AC82" s="1836"/>
      <c r="AD82" s="1836"/>
      <c r="AE82" s="1836"/>
      <c r="AF82" s="1837"/>
      <c r="AG82" s="1960">
        <f t="shared" si="74"/>
        <v>0</v>
      </c>
    </row>
    <row r="83" spans="1:33" ht="21.95" customHeight="1" x14ac:dyDescent="0.2">
      <c r="B83" s="2102"/>
      <c r="C83" s="2103"/>
      <c r="D83" s="2081" t="s">
        <v>1787</v>
      </c>
      <c r="E83" s="1930"/>
      <c r="F83" s="1931"/>
      <c r="G83" s="1945"/>
      <c r="H83" s="2452"/>
      <c r="I83" s="2453"/>
      <c r="J83" s="1951"/>
      <c r="K83" s="2066"/>
      <c r="L83" s="2067"/>
      <c r="M83" s="1967"/>
      <c r="N83" s="2454"/>
      <c r="O83" s="1936"/>
      <c r="P83" s="1936"/>
      <c r="Q83" s="1934"/>
      <c r="R83" s="1940"/>
      <c r="S83" s="1941"/>
      <c r="V83" s="1956"/>
      <c r="W83" s="1956"/>
      <c r="X83" s="1956">
        <f t="shared" si="73"/>
        <v>0</v>
      </c>
      <c r="Y83" s="1836" t="s">
        <v>1787</v>
      </c>
      <c r="AC83" s="1836"/>
      <c r="AD83" s="1836"/>
      <c r="AE83" s="1836"/>
      <c r="AF83" s="1837"/>
      <c r="AG83" s="1960">
        <f t="shared" si="74"/>
        <v>0</v>
      </c>
    </row>
    <row r="84" spans="1:33" ht="21.95" customHeight="1" x14ac:dyDescent="0.2">
      <c r="B84" s="2102"/>
      <c r="C84" s="2103"/>
      <c r="D84" s="2081" t="s">
        <v>2001</v>
      </c>
      <c r="E84" s="1930"/>
      <c r="F84" s="1931"/>
      <c r="G84" s="1945"/>
      <c r="H84" s="2452"/>
      <c r="I84" s="2453"/>
      <c r="J84" s="1951"/>
      <c r="K84" s="2066"/>
      <c r="L84" s="2067"/>
      <c r="M84" s="1967"/>
      <c r="N84" s="2454"/>
      <c r="O84" s="1936"/>
      <c r="P84" s="1936"/>
      <c r="Q84" s="1934"/>
      <c r="R84" s="1940"/>
      <c r="S84" s="1941"/>
      <c r="V84" s="1956"/>
      <c r="W84" s="1956"/>
      <c r="X84" s="1956">
        <f t="shared" si="73"/>
        <v>0</v>
      </c>
      <c r="Y84" s="1836" t="s">
        <v>1788</v>
      </c>
      <c r="AC84" s="1836"/>
      <c r="AD84" s="1836"/>
      <c r="AE84" s="1836"/>
      <c r="AF84" s="1837"/>
      <c r="AG84" s="1960">
        <f t="shared" si="74"/>
        <v>0</v>
      </c>
    </row>
    <row r="85" spans="1:33" ht="21.95" customHeight="1" x14ac:dyDescent="0.2">
      <c r="A85" s="1833">
        <f>satpek!$B$40</f>
        <v>21</v>
      </c>
      <c r="B85" s="1943">
        <v>1</v>
      </c>
      <c r="C85" s="1937"/>
      <c r="D85" s="1944" t="str">
        <f>VLOOKUP($A85,satpek!$B$20:$N$144,2,0)</f>
        <v>Membuat beton mutu f'c = 21,7 Mpa - K 250</v>
      </c>
      <c r="E85" s="1944"/>
      <c r="F85" s="2004"/>
      <c r="G85" s="1945">
        <f>'[3]B.VOL RAB'!Q140</f>
        <v>35.824499999999993</v>
      </c>
      <c r="H85" s="2456" t="str">
        <f>VLOOKUP($A85,satpek!$B$20:$N$144,7,0)</f>
        <v>m3</v>
      </c>
      <c r="I85" s="2457" t="str">
        <f>VLOOKUP($A85,satpek!$B$20:$N$144,5,0)</f>
        <v>A.4.1.1.8.</v>
      </c>
      <c r="J85" s="1951">
        <f>VLOOKUP($A85,satpek!$B$20:$N$144,6,0)</f>
        <v>1115753.29</v>
      </c>
      <c r="K85" s="1938"/>
      <c r="L85" s="1952">
        <f t="shared" ref="L85:L86" si="75">ROUND((G85*J85),2)</f>
        <v>39971303.740000002</v>
      </c>
      <c r="M85" s="1967"/>
      <c r="N85" s="2458">
        <f>VLOOKUP($A85,satpek!$B$20:$L$138,8,0)</f>
        <v>0.93065078521121514</v>
      </c>
      <c r="O85" s="1954">
        <f>VLOOKUP($A85,satpek!$B$20:$L$138,9,0)</f>
        <v>918917.40999999992</v>
      </c>
      <c r="P85" s="1954">
        <f>VLOOKUP($A85,satpek!$B$20:$L$138,10,0)</f>
        <v>1038376.6732999999</v>
      </c>
      <c r="Q85" s="1952">
        <f t="shared" ref="Q85:Q87" si="76">O85*G85</f>
        <v>32919756.754544992</v>
      </c>
      <c r="R85" s="1952">
        <f t="shared" ref="R85:R87" si="77">N85*L85</f>
        <v>37199325.21154698</v>
      </c>
      <c r="S85" s="1955">
        <f t="shared" ref="S85:S87" si="78">L85-R85</f>
        <v>2771978.5284530222</v>
      </c>
      <c r="V85" s="1956">
        <v>35.824499999999993</v>
      </c>
      <c r="W85" s="1956"/>
      <c r="X85" s="1956">
        <f t="shared" si="73"/>
        <v>0</v>
      </c>
      <c r="Y85" s="1836" t="s">
        <v>1905</v>
      </c>
      <c r="AC85" s="1836"/>
      <c r="AD85" s="1836"/>
      <c r="AE85" s="1836"/>
      <c r="AF85" s="1837">
        <v>1191397.42</v>
      </c>
      <c r="AG85" s="1960">
        <f t="shared" si="74"/>
        <v>75644.129999999888</v>
      </c>
    </row>
    <row r="86" spans="1:33" ht="21.95" customHeight="1" x14ac:dyDescent="0.2">
      <c r="A86" s="1833">
        <f>satpek!$B$41</f>
        <v>22</v>
      </c>
      <c r="B86" s="1943">
        <f>B85+1</f>
        <v>2</v>
      </c>
      <c r="C86" s="1937"/>
      <c r="D86" s="1944" t="str">
        <f>VLOOKUP($A86,satpek!$B$20:$N$144,2,0)</f>
        <v>Pembesian 1 kg dengan besi polos atau besi ulir</v>
      </c>
      <c r="E86" s="1944"/>
      <c r="F86" s="2004"/>
      <c r="G86" s="1945">
        <f>'[3]B.VOL RAB'!Q142</f>
        <v>9036.6563445005468</v>
      </c>
      <c r="H86" s="2456" t="str">
        <f>VLOOKUP($A86,satpek!$B$20:$N$144,7,0)</f>
        <v>kg</v>
      </c>
      <c r="I86" s="2457" t="str">
        <f>VLOOKUP($A86,satpek!$B$20:$N$144,5,0)</f>
        <v>A.4.1.1.17.</v>
      </c>
      <c r="J86" s="1951">
        <f>VLOOKUP($A86,satpek!$B$20:$N$144,6,0)</f>
        <v>15603.94</v>
      </c>
      <c r="K86" s="1938"/>
      <c r="L86" s="1952">
        <f t="shared" si="75"/>
        <v>141007443.40000001</v>
      </c>
      <c r="M86" s="1967"/>
      <c r="N86" s="2458">
        <f>VLOOKUP($A86,satpek!$B$20:$L$138,8,0)</f>
        <v>0.46415793062521393</v>
      </c>
      <c r="O86" s="1954">
        <f>VLOOKUP($A86,satpek!$B$20:$L$138,9,0)</f>
        <v>7242.692500000001</v>
      </c>
      <c r="P86" s="1954">
        <f>VLOOKUP($A86,satpek!$B$20:$L$138,10,0)</f>
        <v>8184.2425250000015</v>
      </c>
      <c r="Q86" s="1952">
        <f t="shared" si="76"/>
        <v>65449723.131391533</v>
      </c>
      <c r="R86" s="1952">
        <f t="shared" si="77"/>
        <v>65449723.131295986</v>
      </c>
      <c r="S86" s="1955">
        <f t="shared" si="78"/>
        <v>75557720.268704027</v>
      </c>
      <c r="V86" s="1956">
        <v>7846.2752208014263</v>
      </c>
      <c r="W86" s="1956"/>
      <c r="X86" s="1956">
        <f t="shared" si="73"/>
        <v>-1190.3811236991205</v>
      </c>
      <c r="Y86" s="1836" t="s">
        <v>420</v>
      </c>
      <c r="AC86" s="1836"/>
      <c r="AD86" s="1836"/>
      <c r="AE86" s="1836"/>
      <c r="AF86" s="1837">
        <v>15438.06</v>
      </c>
      <c r="AG86" s="1960">
        <f t="shared" si="74"/>
        <v>-165.88000000000102</v>
      </c>
    </row>
    <row r="87" spans="1:33" ht="21.95" customHeight="1" x14ac:dyDescent="0.2">
      <c r="A87" s="1833">
        <f>satpek!$B$45</f>
        <v>26</v>
      </c>
      <c r="B87" s="1943">
        <f>B86+1</f>
        <v>3</v>
      </c>
      <c r="C87" s="1937"/>
      <c r="D87" s="1944" t="str">
        <f>VLOOKUP($A87,satpek!$B$20:$N$144,2,0)</f>
        <v>Memasang bekisting untuk balok (2x pakai)</v>
      </c>
      <c r="E87" s="1944"/>
      <c r="F87" s="2004"/>
      <c r="G87" s="1945">
        <f>'[3]B.VOL RAB'!Q144</f>
        <v>471.37499999999989</v>
      </c>
      <c r="H87" s="2456" t="str">
        <f>VLOOKUP($A87,satpek!$B$20:$N$144,7,0)</f>
        <v>m2</v>
      </c>
      <c r="I87" s="2457" t="str">
        <f>VLOOKUP($A87,satpek!$B$20:$N$144,5,0)</f>
        <v>A.4.1.1.23.</v>
      </c>
      <c r="J87" s="1951">
        <f>VLOOKUP($A87,satpek!$B$20:$N$144,6,0)</f>
        <v>194762.28</v>
      </c>
      <c r="K87" s="1938"/>
      <c r="L87" s="1952">
        <f t="shared" ref="L87" si="79">ROUND((G87*J87),2)</f>
        <v>91806069.739999995</v>
      </c>
      <c r="M87" s="1967"/>
      <c r="N87" s="2458">
        <f>VLOOKUP($A87,satpek!$B$20:$L$138,8,0)</f>
        <v>0.83069925038873027</v>
      </c>
      <c r="O87" s="1954">
        <f>VLOOKUP($A87,satpek!$B$20:$L$138,9,0)</f>
        <v>143176</v>
      </c>
      <c r="P87" s="1954">
        <f>VLOOKUP($A87,satpek!$B$20:$L$138,10,0)</f>
        <v>161788.88</v>
      </c>
      <c r="Q87" s="1952">
        <f t="shared" si="76"/>
        <v>67489586.999999985</v>
      </c>
      <c r="R87" s="1952">
        <f t="shared" si="77"/>
        <v>76263233.314153492</v>
      </c>
      <c r="S87" s="1955">
        <f t="shared" si="78"/>
        <v>15542836.425846502</v>
      </c>
      <c r="T87" s="2474"/>
      <c r="V87" s="1956">
        <v>471.37499999999989</v>
      </c>
      <c r="W87" s="1956"/>
      <c r="X87" s="1956">
        <f t="shared" si="73"/>
        <v>0</v>
      </c>
      <c r="Y87" s="1836" t="s">
        <v>1909</v>
      </c>
      <c r="AC87" s="1836"/>
      <c r="AD87" s="1836"/>
      <c r="AE87" s="1836"/>
      <c r="AF87" s="1837">
        <v>195923.91999999998</v>
      </c>
      <c r="AG87" s="1960">
        <f t="shared" si="74"/>
        <v>1161.6399999999849</v>
      </c>
    </row>
    <row r="88" spans="1:33" ht="21.95" customHeight="1" x14ac:dyDescent="0.2">
      <c r="B88" s="2102"/>
      <c r="C88" s="2103"/>
      <c r="D88" s="2081" t="s">
        <v>2002</v>
      </c>
      <c r="E88" s="1930"/>
      <c r="F88" s="1931"/>
      <c r="G88" s="1945"/>
      <c r="H88" s="2452"/>
      <c r="I88" s="2453"/>
      <c r="J88" s="1951"/>
      <c r="K88" s="2066"/>
      <c r="L88" s="2067"/>
      <c r="M88" s="1967"/>
      <c r="N88" s="2454"/>
      <c r="O88" s="1936"/>
      <c r="P88" s="1936"/>
      <c r="Q88" s="1934"/>
      <c r="R88" s="1940"/>
      <c r="S88" s="1941"/>
      <c r="V88" s="1956"/>
      <c r="W88" s="1956"/>
      <c r="X88" s="1956">
        <f t="shared" si="73"/>
        <v>0</v>
      </c>
      <c r="Y88" s="1836" t="s">
        <v>1789</v>
      </c>
      <c r="AC88" s="1836"/>
      <c r="AD88" s="1836"/>
      <c r="AE88" s="1836"/>
      <c r="AF88" s="1837"/>
      <c r="AG88" s="1960">
        <f t="shared" si="74"/>
        <v>0</v>
      </c>
    </row>
    <row r="89" spans="1:33" ht="21.95" customHeight="1" x14ac:dyDescent="0.2">
      <c r="A89" s="1833">
        <f>satpek!$B$40</f>
        <v>21</v>
      </c>
      <c r="B89" s="1943">
        <v>1</v>
      </c>
      <c r="C89" s="1937"/>
      <c r="D89" s="1944" t="str">
        <f>VLOOKUP($A89,satpek!$B$20:$N$144,2,0)</f>
        <v>Membuat beton mutu f'c = 21,7 Mpa - K 250</v>
      </c>
      <c r="E89" s="1944"/>
      <c r="F89" s="2004"/>
      <c r="G89" s="1945">
        <f>'[3]B.VOL RAB'!Q148</f>
        <v>14.512000000000004</v>
      </c>
      <c r="H89" s="2456" t="str">
        <f>VLOOKUP($A89,satpek!$B$20:$N$144,7,0)</f>
        <v>m3</v>
      </c>
      <c r="I89" s="2457" t="str">
        <f>VLOOKUP($A89,satpek!$B$20:$N$144,5,0)</f>
        <v>A.4.1.1.8.</v>
      </c>
      <c r="J89" s="1951">
        <f>VLOOKUP($A89,satpek!$B$20:$N$144,6,0)</f>
        <v>1115753.29</v>
      </c>
      <c r="K89" s="1938"/>
      <c r="L89" s="1952">
        <f t="shared" ref="L89:L91" si="80">ROUND((G89*J89),2)</f>
        <v>16191811.74</v>
      </c>
      <c r="M89" s="1967"/>
      <c r="N89" s="2458">
        <f>VLOOKUP($A89,satpek!$B$20:$L$138,8,0)</f>
        <v>0.93065078521121514</v>
      </c>
      <c r="O89" s="1954">
        <f>VLOOKUP($A89,satpek!$B$20:$L$138,9,0)</f>
        <v>918917.40999999992</v>
      </c>
      <c r="P89" s="1954">
        <f>VLOOKUP($A89,satpek!$B$20:$L$138,10,0)</f>
        <v>1038376.6732999999</v>
      </c>
      <c r="Q89" s="1952">
        <f t="shared" ref="Q89:Q91" si="81">O89*G89</f>
        <v>13335329.453920003</v>
      </c>
      <c r="R89" s="1952">
        <f t="shared" ref="R89:R91" si="82">N89*L89</f>
        <v>15068922.309823172</v>
      </c>
      <c r="S89" s="1955">
        <f t="shared" ref="S89:S91" si="83">L89-R89</f>
        <v>1122889.4301768281</v>
      </c>
      <c r="V89" s="1956">
        <v>14.512000000000004</v>
      </c>
      <c r="W89" s="1956"/>
      <c r="X89" s="1956">
        <f t="shared" si="73"/>
        <v>0</v>
      </c>
      <c r="Y89" s="1836" t="s">
        <v>1905</v>
      </c>
      <c r="AC89" s="1836"/>
      <c r="AD89" s="1836"/>
      <c r="AE89" s="1836"/>
      <c r="AF89" s="1837">
        <v>1191397.42</v>
      </c>
      <c r="AG89" s="1960">
        <f t="shared" si="74"/>
        <v>75644.129999999888</v>
      </c>
    </row>
    <row r="90" spans="1:33" ht="21.95" customHeight="1" x14ac:dyDescent="0.2">
      <c r="A90" s="1833">
        <f>satpek!$B$41</f>
        <v>22</v>
      </c>
      <c r="B90" s="1943">
        <f>B89+1</f>
        <v>2</v>
      </c>
      <c r="C90" s="1937"/>
      <c r="D90" s="1944" t="str">
        <f>VLOOKUP($A90,satpek!$B$20:$N$144,2,0)</f>
        <v>Pembesian 1 kg dengan besi polos atau besi ulir</v>
      </c>
      <c r="E90" s="1944"/>
      <c r="F90" s="2004"/>
      <c r="G90" s="1945">
        <f>'[3]B.VOL RAB'!Q150</f>
        <v>2074.4589900004985</v>
      </c>
      <c r="H90" s="2456" t="str">
        <f>VLOOKUP($A90,satpek!$B$20:$N$144,7,0)</f>
        <v>kg</v>
      </c>
      <c r="I90" s="2457" t="str">
        <f>VLOOKUP($A90,satpek!$B$20:$N$144,5,0)</f>
        <v>A.4.1.1.17.</v>
      </c>
      <c r="J90" s="1951">
        <f>VLOOKUP($A90,satpek!$B$20:$N$144,6,0)</f>
        <v>15603.94</v>
      </c>
      <c r="K90" s="1938"/>
      <c r="L90" s="1952">
        <f t="shared" si="80"/>
        <v>32369733.609999999</v>
      </c>
      <c r="M90" s="1967"/>
      <c r="N90" s="2458">
        <f>VLOOKUP($A90,satpek!$B$20:$L$138,8,0)</f>
        <v>0.46415793062521393</v>
      </c>
      <c r="O90" s="1954">
        <f>VLOOKUP($A90,satpek!$B$20:$L$138,9,0)</f>
        <v>7242.692500000001</v>
      </c>
      <c r="P90" s="1954">
        <f>VLOOKUP($A90,satpek!$B$20:$L$138,10,0)</f>
        <v>8184.2425250000015</v>
      </c>
      <c r="Q90" s="1952">
        <f t="shared" si="81"/>
        <v>15024668.568434188</v>
      </c>
      <c r="R90" s="1952">
        <f t="shared" si="82"/>
        <v>15024668.567307036</v>
      </c>
      <c r="S90" s="1955">
        <f t="shared" si="83"/>
        <v>17345065.042692963</v>
      </c>
      <c r="V90" s="1956">
        <v>1696.4400838251379</v>
      </c>
      <c r="W90" s="1956"/>
      <c r="X90" s="1956">
        <f t="shared" si="73"/>
        <v>-378.0189061753606</v>
      </c>
      <c r="Y90" s="1836" t="s">
        <v>420</v>
      </c>
      <c r="AC90" s="1836"/>
      <c r="AD90" s="1836"/>
      <c r="AE90" s="1836"/>
      <c r="AF90" s="1837">
        <v>15438.06</v>
      </c>
      <c r="AG90" s="1960">
        <f t="shared" si="74"/>
        <v>-165.88000000000102</v>
      </c>
    </row>
    <row r="91" spans="1:33" ht="21.95" customHeight="1" x14ac:dyDescent="0.2">
      <c r="A91" s="1833">
        <f>satpek!$B$45</f>
        <v>26</v>
      </c>
      <c r="B91" s="1943">
        <f>B90+1</f>
        <v>3</v>
      </c>
      <c r="C91" s="1937"/>
      <c r="D91" s="1944" t="str">
        <f>VLOOKUP($A91,satpek!$B$20:$N$144,2,0)</f>
        <v>Memasang bekisting untuk balok (2x pakai)</v>
      </c>
      <c r="E91" s="1944"/>
      <c r="F91" s="2004"/>
      <c r="G91" s="1945">
        <f>'[3]B.VOL RAB'!Q152</f>
        <v>181.4</v>
      </c>
      <c r="H91" s="2456" t="str">
        <f>VLOOKUP($A91,satpek!$B$20:$N$144,7,0)</f>
        <v>m2</v>
      </c>
      <c r="I91" s="2457" t="str">
        <f>VLOOKUP($A91,satpek!$B$20:$N$144,5,0)</f>
        <v>A.4.1.1.23.</v>
      </c>
      <c r="J91" s="1951">
        <f>VLOOKUP($A91,satpek!$B$20:$N$144,6,0)</f>
        <v>194762.28</v>
      </c>
      <c r="K91" s="1938"/>
      <c r="L91" s="1952">
        <f t="shared" si="80"/>
        <v>35329877.590000004</v>
      </c>
      <c r="M91" s="1967"/>
      <c r="N91" s="2458">
        <f>VLOOKUP($A91,satpek!$B$20:$L$138,8,0)</f>
        <v>0.83069925038873027</v>
      </c>
      <c r="O91" s="1954">
        <f>VLOOKUP($A91,satpek!$B$20:$L$138,9,0)</f>
        <v>143176</v>
      </c>
      <c r="P91" s="1954">
        <f>VLOOKUP($A91,satpek!$B$20:$L$138,10,0)</f>
        <v>161788.88</v>
      </c>
      <c r="Q91" s="1952">
        <f t="shared" si="81"/>
        <v>25972126.400000002</v>
      </c>
      <c r="R91" s="1952">
        <f t="shared" si="82"/>
        <v>29348502.830338605</v>
      </c>
      <c r="S91" s="1955">
        <f t="shared" si="83"/>
        <v>5981374.7596613988</v>
      </c>
      <c r="V91" s="1956">
        <v>181.4</v>
      </c>
      <c r="W91" s="1956"/>
      <c r="X91" s="1956">
        <f t="shared" si="73"/>
        <v>0</v>
      </c>
      <c r="Y91" s="1836" t="s">
        <v>1909</v>
      </c>
      <c r="AC91" s="1836"/>
      <c r="AD91" s="1836"/>
      <c r="AE91" s="1836"/>
      <c r="AF91" s="1837">
        <v>195923.91999999998</v>
      </c>
      <c r="AG91" s="1960">
        <f t="shared" si="74"/>
        <v>1161.6399999999849</v>
      </c>
    </row>
    <row r="92" spans="1:33" ht="21.95" customHeight="1" x14ac:dyDescent="0.2">
      <c r="B92" s="2102"/>
      <c r="C92" s="2103"/>
      <c r="D92" s="2081" t="s">
        <v>1790</v>
      </c>
      <c r="E92" s="1930"/>
      <c r="F92" s="1931"/>
      <c r="G92" s="1945"/>
      <c r="H92" s="2452"/>
      <c r="I92" s="2453"/>
      <c r="J92" s="1951"/>
      <c r="K92" s="2066"/>
      <c r="L92" s="2067"/>
      <c r="M92" s="1967"/>
      <c r="N92" s="2454"/>
      <c r="O92" s="1936"/>
      <c r="P92" s="1936"/>
      <c r="Q92" s="1934"/>
      <c r="R92" s="1940"/>
      <c r="S92" s="1941"/>
      <c r="V92" s="1956"/>
      <c r="W92" s="1956"/>
      <c r="X92" s="1956">
        <f t="shared" si="73"/>
        <v>0</v>
      </c>
      <c r="Y92" s="1836" t="s">
        <v>1790</v>
      </c>
      <c r="AC92" s="1836"/>
      <c r="AD92" s="1836"/>
      <c r="AE92" s="1836"/>
      <c r="AF92" s="1837"/>
      <c r="AG92" s="1960">
        <f t="shared" si="74"/>
        <v>0</v>
      </c>
    </row>
    <row r="93" spans="1:33" ht="21.95" customHeight="1" x14ac:dyDescent="0.2">
      <c r="A93" s="1833">
        <f>satpek!$B$40</f>
        <v>21</v>
      </c>
      <c r="B93" s="1943">
        <v>1</v>
      </c>
      <c r="C93" s="1937"/>
      <c r="D93" s="1944" t="str">
        <f>VLOOKUP($A93,satpek!$B$20:$N$144,2,0)</f>
        <v>Membuat beton mutu f'c = 21,7 Mpa - K 250</v>
      </c>
      <c r="E93" s="1944"/>
      <c r="F93" s="2004"/>
      <c r="G93" s="1945">
        <f>'[3]B.VOL RAB'!Q156</f>
        <v>10.17</v>
      </c>
      <c r="H93" s="2456" t="str">
        <f>VLOOKUP($A93,satpek!$B$20:$N$144,7,0)</f>
        <v>m3</v>
      </c>
      <c r="I93" s="2457" t="str">
        <f>VLOOKUP($A93,satpek!$B$20:$N$144,5,0)</f>
        <v>A.4.1.1.8.</v>
      </c>
      <c r="J93" s="1951">
        <f>VLOOKUP($A93,satpek!$B$20:$N$144,6,0)</f>
        <v>1115753.29</v>
      </c>
      <c r="K93" s="1938"/>
      <c r="L93" s="1952">
        <f t="shared" ref="L93:L95" si="84">ROUND((G93*J93),2)</f>
        <v>11347210.960000001</v>
      </c>
      <c r="M93" s="1967"/>
      <c r="N93" s="2458">
        <f>VLOOKUP($A93,satpek!$B$20:$L$138,8,0)</f>
        <v>0.93065078521121514</v>
      </c>
      <c r="O93" s="1954">
        <f>VLOOKUP($A93,satpek!$B$20:$L$138,9,0)</f>
        <v>918917.40999999992</v>
      </c>
      <c r="P93" s="1954">
        <f>VLOOKUP($A93,satpek!$B$20:$L$138,10,0)</f>
        <v>1038376.6732999999</v>
      </c>
      <c r="Q93" s="1952">
        <f t="shared" ref="Q93:Q95" si="85">O93*G93</f>
        <v>9345390.0596999992</v>
      </c>
      <c r="R93" s="1952">
        <f t="shared" ref="R93:R95" si="86">N93*L93</f>
        <v>10560290.789881308</v>
      </c>
      <c r="S93" s="1955">
        <f t="shared" ref="S93:S95" si="87">L93-R93</f>
        <v>786920.17011869326</v>
      </c>
      <c r="V93" s="1956">
        <v>8.4749999999999996</v>
      </c>
      <c r="W93" s="1956"/>
      <c r="X93" s="1956">
        <f t="shared" si="73"/>
        <v>-1.6950000000000003</v>
      </c>
      <c r="Y93" s="1836" t="s">
        <v>1905</v>
      </c>
      <c r="AC93" s="1836"/>
      <c r="AD93" s="1836"/>
      <c r="AE93" s="1836"/>
      <c r="AF93" s="1837">
        <v>1191397.42</v>
      </c>
      <c r="AG93" s="1960">
        <f t="shared" si="74"/>
        <v>75644.129999999888</v>
      </c>
    </row>
    <row r="94" spans="1:33" ht="21.95" customHeight="1" x14ac:dyDescent="0.2">
      <c r="A94" s="1833">
        <f>satpek!$B$41</f>
        <v>22</v>
      </c>
      <c r="B94" s="1943">
        <f>B93+1</f>
        <v>2</v>
      </c>
      <c r="C94" s="1937"/>
      <c r="D94" s="1944" t="str">
        <f>VLOOKUP($A94,satpek!$B$20:$N$144,2,0)</f>
        <v>Pembesian 1 kg dengan besi polos atau besi ulir</v>
      </c>
      <c r="E94" s="1944"/>
      <c r="F94" s="2004"/>
      <c r="G94" s="1945">
        <f>'[3]B.VOL RAB'!Q158</f>
        <v>2361.0873008388248</v>
      </c>
      <c r="H94" s="2456" t="str">
        <f>VLOOKUP($A94,satpek!$B$20:$N$144,7,0)</f>
        <v>kg</v>
      </c>
      <c r="I94" s="2457" t="str">
        <f>VLOOKUP($A94,satpek!$B$20:$N$144,5,0)</f>
        <v>A.4.1.1.17.</v>
      </c>
      <c r="J94" s="1951">
        <f>VLOOKUP($A94,satpek!$B$20:$N$144,6,0)</f>
        <v>15603.94</v>
      </c>
      <c r="K94" s="1938"/>
      <c r="L94" s="1952">
        <f t="shared" si="84"/>
        <v>36842264.579999998</v>
      </c>
      <c r="M94" s="1967"/>
      <c r="N94" s="2458">
        <f>VLOOKUP($A94,satpek!$B$20:$L$138,8,0)</f>
        <v>0.46415793062521393</v>
      </c>
      <c r="O94" s="1954">
        <f>VLOOKUP($A94,satpek!$B$20:$L$138,9,0)</f>
        <v>7242.692500000001</v>
      </c>
      <c r="P94" s="1954">
        <f>VLOOKUP($A94,satpek!$B$20:$L$138,10,0)</f>
        <v>8184.2425250000015</v>
      </c>
      <c r="Q94" s="1952">
        <f t="shared" si="85"/>
        <v>17100629.285630602</v>
      </c>
      <c r="R94" s="1952">
        <f t="shared" si="86"/>
        <v>17100629.286999416</v>
      </c>
      <c r="S94" s="1955">
        <f t="shared" si="87"/>
        <v>19741635.293000583</v>
      </c>
      <c r="V94" s="1956">
        <v>3206.3224789193041</v>
      </c>
      <c r="W94" s="1956"/>
      <c r="X94" s="1956">
        <f t="shared" si="73"/>
        <v>845.23517808047927</v>
      </c>
      <c r="Y94" s="1836" t="s">
        <v>420</v>
      </c>
      <c r="AC94" s="1836"/>
      <c r="AD94" s="1836"/>
      <c r="AE94" s="1836"/>
      <c r="AF94" s="1837">
        <v>15438.06</v>
      </c>
      <c r="AG94" s="1960">
        <f t="shared" si="74"/>
        <v>-165.88000000000102</v>
      </c>
    </row>
    <row r="95" spans="1:33" ht="21.95" customHeight="1" x14ac:dyDescent="0.2">
      <c r="A95" s="1833">
        <f>satpek!$B$45</f>
        <v>26</v>
      </c>
      <c r="B95" s="1943">
        <f>B94+1</f>
        <v>3</v>
      </c>
      <c r="C95" s="1937"/>
      <c r="D95" s="1944" t="str">
        <f>VLOOKUP($A95,satpek!$B$20:$N$144,2,0)</f>
        <v>Memasang bekisting untuk balok (2x pakai)</v>
      </c>
      <c r="E95" s="1944"/>
      <c r="F95" s="2004"/>
      <c r="G95" s="1945">
        <f>'[3]B.VOL RAB'!Q160</f>
        <v>135.6</v>
      </c>
      <c r="H95" s="2456" t="str">
        <f>VLOOKUP($A95,satpek!$B$20:$N$144,7,0)</f>
        <v>m2</v>
      </c>
      <c r="I95" s="2457" t="str">
        <f>VLOOKUP($A95,satpek!$B$20:$N$144,5,0)</f>
        <v>A.4.1.1.23.</v>
      </c>
      <c r="J95" s="1951">
        <f>VLOOKUP($A95,satpek!$B$20:$N$144,6,0)</f>
        <v>194762.28</v>
      </c>
      <c r="K95" s="1938"/>
      <c r="L95" s="1952">
        <f t="shared" si="84"/>
        <v>26409765.170000002</v>
      </c>
      <c r="M95" s="1967"/>
      <c r="N95" s="2458">
        <f>VLOOKUP($A95,satpek!$B$20:$L$138,8,0)</f>
        <v>0.83069925038873027</v>
      </c>
      <c r="O95" s="1954">
        <f>VLOOKUP($A95,satpek!$B$20:$L$138,9,0)</f>
        <v>143176</v>
      </c>
      <c r="P95" s="1954">
        <f>VLOOKUP($A95,satpek!$B$20:$L$138,10,0)</f>
        <v>161788.88</v>
      </c>
      <c r="Q95" s="1952">
        <f t="shared" si="85"/>
        <v>19414665.599999998</v>
      </c>
      <c r="R95" s="1952">
        <f t="shared" si="86"/>
        <v>21938572.1296614</v>
      </c>
      <c r="S95" s="1955">
        <f t="shared" si="87"/>
        <v>4471193.0403386019</v>
      </c>
      <c r="V95" s="1956">
        <v>113</v>
      </c>
      <c r="W95" s="1956"/>
      <c r="X95" s="1956">
        <f t="shared" si="73"/>
        <v>-22.599999999999994</v>
      </c>
      <c r="Y95" s="1836" t="s">
        <v>1909</v>
      </c>
      <c r="AC95" s="1836"/>
      <c r="AD95" s="1836"/>
      <c r="AE95" s="1836"/>
      <c r="AF95" s="1837">
        <v>195923.91999999998</v>
      </c>
      <c r="AG95" s="1960">
        <f t="shared" si="74"/>
        <v>1161.6399999999849</v>
      </c>
    </row>
    <row r="96" spans="1:33" ht="21.95" customHeight="1" x14ac:dyDescent="0.2">
      <c r="B96" s="2102"/>
      <c r="C96" s="2103"/>
      <c r="D96" s="2081" t="s">
        <v>1791</v>
      </c>
      <c r="E96" s="1930"/>
      <c r="F96" s="1931"/>
      <c r="G96" s="1945"/>
      <c r="H96" s="2452"/>
      <c r="I96" s="2453"/>
      <c r="J96" s="1951"/>
      <c r="K96" s="2066"/>
      <c r="L96" s="2067"/>
      <c r="M96" s="1967"/>
      <c r="N96" s="2454"/>
      <c r="O96" s="1936"/>
      <c r="P96" s="1936"/>
      <c r="Q96" s="1934"/>
      <c r="R96" s="1940"/>
      <c r="S96" s="1941"/>
      <c r="V96" s="1956"/>
      <c r="W96" s="1956"/>
      <c r="X96" s="1956">
        <f t="shared" si="73"/>
        <v>0</v>
      </c>
      <c r="Y96" s="1836" t="s">
        <v>1791</v>
      </c>
      <c r="AC96" s="1836"/>
      <c r="AD96" s="1836"/>
      <c r="AE96" s="1836"/>
      <c r="AF96" s="1837"/>
      <c r="AG96" s="1960">
        <f t="shared" si="74"/>
        <v>0</v>
      </c>
    </row>
    <row r="97" spans="1:33" ht="21.95" customHeight="1" x14ac:dyDescent="0.2">
      <c r="A97" s="1833">
        <f>satpek!$B$40</f>
        <v>21</v>
      </c>
      <c r="B97" s="1943">
        <v>1</v>
      </c>
      <c r="C97" s="1937"/>
      <c r="D97" s="1944" t="str">
        <f>VLOOKUP($A97,satpek!$B$20:$N$144,2,0)</f>
        <v>Membuat beton mutu f'c = 21,7 Mpa - K 250</v>
      </c>
      <c r="E97" s="1944"/>
      <c r="F97" s="2004"/>
      <c r="G97" s="1945">
        <f>'[3]B.VOL RAB'!Q164</f>
        <v>2.88</v>
      </c>
      <c r="H97" s="2456" t="str">
        <f>VLOOKUP($A97,satpek!$B$20:$N$144,7,0)</f>
        <v>m3</v>
      </c>
      <c r="I97" s="2457" t="str">
        <f>VLOOKUP($A97,satpek!$B$20:$N$144,5,0)</f>
        <v>A.4.1.1.8.</v>
      </c>
      <c r="J97" s="1951">
        <f>VLOOKUP($A97,satpek!$B$20:$N$144,6,0)</f>
        <v>1115753.29</v>
      </c>
      <c r="K97" s="1938"/>
      <c r="L97" s="1952">
        <f t="shared" ref="L97:L99" si="88">ROUND((G97*J97),2)</f>
        <v>3213369.48</v>
      </c>
      <c r="M97" s="1967"/>
      <c r="N97" s="2458">
        <f>VLOOKUP($A97,satpek!$B$20:$L$138,8,0)</f>
        <v>0.93065078521121514</v>
      </c>
      <c r="O97" s="1954">
        <f>VLOOKUP($A97,satpek!$B$20:$L$138,9,0)</f>
        <v>918917.40999999992</v>
      </c>
      <c r="P97" s="1954">
        <f>VLOOKUP($A97,satpek!$B$20:$L$138,10,0)</f>
        <v>1038376.6732999999</v>
      </c>
      <c r="Q97" s="1952">
        <f t="shared" ref="Q97:Q99" si="89">O97*G97</f>
        <v>2646482.1407999997</v>
      </c>
      <c r="R97" s="1952">
        <f t="shared" ref="R97:R99" si="90">N97*L97</f>
        <v>2990524.8297357541</v>
      </c>
      <c r="S97" s="1955">
        <f t="shared" ref="S97:S99" si="91">L97-R97</f>
        <v>222844.65026424592</v>
      </c>
      <c r="V97" s="1956">
        <v>2.88</v>
      </c>
      <c r="W97" s="1956"/>
      <c r="X97" s="1956">
        <f t="shared" si="73"/>
        <v>0</v>
      </c>
      <c r="Y97" s="1836" t="s">
        <v>1905</v>
      </c>
      <c r="AC97" s="1836"/>
      <c r="AD97" s="1836"/>
      <c r="AE97" s="1836"/>
      <c r="AF97" s="1837">
        <v>1191397.42</v>
      </c>
      <c r="AG97" s="1960">
        <f t="shared" si="74"/>
        <v>75644.129999999888</v>
      </c>
    </row>
    <row r="98" spans="1:33" ht="21.95" customHeight="1" x14ac:dyDescent="0.2">
      <c r="A98" s="1833">
        <f>satpek!$B$41</f>
        <v>22</v>
      </c>
      <c r="B98" s="1943">
        <f>B97+1</f>
        <v>2</v>
      </c>
      <c r="C98" s="1937"/>
      <c r="D98" s="1944" t="str">
        <f>VLOOKUP($A98,satpek!$B$20:$N$144,2,0)</f>
        <v>Pembesian 1 kg dengan besi polos atau besi ulir</v>
      </c>
      <c r="E98" s="1944"/>
      <c r="F98" s="2004"/>
      <c r="G98" s="1945">
        <f>'[3]B.VOL RAB'!Q166</f>
        <v>607.11686437667709</v>
      </c>
      <c r="H98" s="2456" t="str">
        <f>VLOOKUP($A98,satpek!$B$20:$N$144,7,0)</f>
        <v>kg</v>
      </c>
      <c r="I98" s="2457" t="str">
        <f>VLOOKUP($A98,satpek!$B$20:$N$144,5,0)</f>
        <v>A.4.1.1.17.</v>
      </c>
      <c r="J98" s="1951">
        <f>VLOOKUP($A98,satpek!$B$20:$N$144,6,0)</f>
        <v>15603.94</v>
      </c>
      <c r="K98" s="1938"/>
      <c r="L98" s="1952">
        <f t="shared" si="88"/>
        <v>9473415.1199999992</v>
      </c>
      <c r="M98" s="1967"/>
      <c r="N98" s="2458">
        <f>VLOOKUP($A98,satpek!$B$20:$L$138,8,0)</f>
        <v>0.46415793062521393</v>
      </c>
      <c r="O98" s="1954">
        <f>VLOOKUP($A98,satpek!$B$20:$L$138,9,0)</f>
        <v>7242.692500000001</v>
      </c>
      <c r="P98" s="1954">
        <f>VLOOKUP($A98,satpek!$B$20:$L$138,10,0)</f>
        <v>8184.2425250000015</v>
      </c>
      <c r="Q98" s="1952">
        <f t="shared" si="89"/>
        <v>4397160.7602444766</v>
      </c>
      <c r="R98" s="1952">
        <f t="shared" si="90"/>
        <v>4397160.758052812</v>
      </c>
      <c r="S98" s="1955">
        <f t="shared" si="91"/>
        <v>5076254.3619471872</v>
      </c>
      <c r="V98" s="1956">
        <v>507.08981092343959</v>
      </c>
      <c r="W98" s="1956"/>
      <c r="X98" s="1956">
        <f t="shared" si="73"/>
        <v>-100.0270534532375</v>
      </c>
      <c r="Y98" s="1836" t="s">
        <v>420</v>
      </c>
      <c r="AC98" s="1836"/>
      <c r="AD98" s="1836"/>
      <c r="AE98" s="1836"/>
      <c r="AF98" s="1837">
        <v>15438.06</v>
      </c>
      <c r="AG98" s="1960">
        <f t="shared" si="74"/>
        <v>-165.88000000000102</v>
      </c>
    </row>
    <row r="99" spans="1:33" ht="21.95" customHeight="1" x14ac:dyDescent="0.2">
      <c r="A99" s="1833">
        <f>satpek!$B$45</f>
        <v>26</v>
      </c>
      <c r="B99" s="1943">
        <f>B98+1</f>
        <v>3</v>
      </c>
      <c r="C99" s="1937"/>
      <c r="D99" s="1944" t="str">
        <f>VLOOKUP($A99,satpek!$B$20:$N$144,2,0)</f>
        <v>Memasang bekisting untuk balok (2x pakai)</v>
      </c>
      <c r="E99" s="1944"/>
      <c r="F99" s="2004"/>
      <c r="G99" s="1945">
        <f>'[3]B.VOL RAB'!Q168</f>
        <v>38.4</v>
      </c>
      <c r="H99" s="2456" t="str">
        <f>VLOOKUP($A99,satpek!$B$20:$N$144,7,0)</f>
        <v>m2</v>
      </c>
      <c r="I99" s="2457" t="str">
        <f>VLOOKUP($A99,satpek!$B$20:$N$144,5,0)</f>
        <v>A.4.1.1.23.</v>
      </c>
      <c r="J99" s="1951">
        <f>VLOOKUP($A99,satpek!$B$20:$N$144,6,0)</f>
        <v>194762.28</v>
      </c>
      <c r="K99" s="1938"/>
      <c r="L99" s="1952">
        <f t="shared" si="88"/>
        <v>7478871.5499999998</v>
      </c>
      <c r="M99" s="1967"/>
      <c r="N99" s="2458">
        <f>VLOOKUP($A99,satpek!$B$20:$L$138,8,0)</f>
        <v>0.83069925038873027</v>
      </c>
      <c r="O99" s="1954">
        <f>VLOOKUP($A99,satpek!$B$20:$L$138,9,0)</f>
        <v>143176</v>
      </c>
      <c r="P99" s="1954">
        <f>VLOOKUP($A99,satpek!$B$20:$L$138,10,0)</f>
        <v>161788.88</v>
      </c>
      <c r="Q99" s="1952">
        <f t="shared" si="89"/>
        <v>5497958.3999999994</v>
      </c>
      <c r="R99" s="1952">
        <f t="shared" si="90"/>
        <v>6212692.9903386012</v>
      </c>
      <c r="S99" s="1955">
        <f t="shared" si="91"/>
        <v>1266178.5596613986</v>
      </c>
      <c r="V99" s="1956">
        <v>38.4</v>
      </c>
      <c r="W99" s="1956"/>
      <c r="X99" s="1956">
        <f t="shared" si="73"/>
        <v>0</v>
      </c>
      <c r="Y99" s="1836" t="s">
        <v>1909</v>
      </c>
      <c r="AC99" s="1836"/>
      <c r="AD99" s="1836"/>
      <c r="AE99" s="1836"/>
      <c r="AF99" s="1837">
        <v>195923.91999999998</v>
      </c>
      <c r="AG99" s="1960">
        <f t="shared" si="74"/>
        <v>1161.6399999999849</v>
      </c>
    </row>
    <row r="100" spans="1:33" ht="21.95" customHeight="1" x14ac:dyDescent="0.2">
      <c r="B100" s="2102"/>
      <c r="C100" s="2103"/>
      <c r="D100" s="2081" t="s">
        <v>1792</v>
      </c>
      <c r="E100" s="1930"/>
      <c r="F100" s="1931"/>
      <c r="G100" s="1945"/>
      <c r="H100" s="2452"/>
      <c r="I100" s="2453"/>
      <c r="J100" s="1951"/>
      <c r="K100" s="2066"/>
      <c r="L100" s="2067"/>
      <c r="M100" s="1967"/>
      <c r="N100" s="2454"/>
      <c r="O100" s="1936"/>
      <c r="P100" s="1936"/>
      <c r="Q100" s="1934"/>
      <c r="R100" s="1940"/>
      <c r="S100" s="1941"/>
      <c r="V100" s="1956"/>
      <c r="W100" s="1956"/>
      <c r="X100" s="1956">
        <f t="shared" si="73"/>
        <v>0</v>
      </c>
      <c r="Y100" s="1836" t="s">
        <v>1792</v>
      </c>
      <c r="AC100" s="1836"/>
      <c r="AD100" s="1836"/>
      <c r="AE100" s="1836"/>
      <c r="AF100" s="1837"/>
      <c r="AG100" s="1960">
        <f t="shared" si="74"/>
        <v>0</v>
      </c>
    </row>
    <row r="101" spans="1:33" ht="21.95" customHeight="1" x14ac:dyDescent="0.2">
      <c r="A101" s="1833">
        <f>satpek!$B$40</f>
        <v>21</v>
      </c>
      <c r="B101" s="1943">
        <v>1</v>
      </c>
      <c r="C101" s="1937"/>
      <c r="D101" s="1944" t="str">
        <f>VLOOKUP($A101,satpek!$B$20:$N$144,2,0)</f>
        <v>Membuat beton mutu f'c = 21,7 Mpa - K 250</v>
      </c>
      <c r="E101" s="1944"/>
      <c r="F101" s="2004"/>
      <c r="G101" s="1945">
        <f>'[3]B.VOL RAB'!Q172</f>
        <v>5.7059999999999986</v>
      </c>
      <c r="H101" s="2456" t="str">
        <f>VLOOKUP($A101,satpek!$B$20:$N$144,7,0)</f>
        <v>m3</v>
      </c>
      <c r="I101" s="2457" t="str">
        <f>VLOOKUP($A101,satpek!$B$20:$N$144,5,0)</f>
        <v>A.4.1.1.8.</v>
      </c>
      <c r="J101" s="1951">
        <f>VLOOKUP($A101,satpek!$B$20:$N$144,6,0)</f>
        <v>1115753.29</v>
      </c>
      <c r="K101" s="1938"/>
      <c r="L101" s="1952">
        <f t="shared" ref="L101:L103" si="92">ROUND((G101*J101),2)</f>
        <v>6366488.2699999996</v>
      </c>
      <c r="M101" s="1967"/>
      <c r="N101" s="2458">
        <f>VLOOKUP($A101,satpek!$B$20:$L$138,8,0)</f>
        <v>0.93065078521121514</v>
      </c>
      <c r="O101" s="1954">
        <f>VLOOKUP($A101,satpek!$B$20:$L$138,9,0)</f>
        <v>918917.40999999992</v>
      </c>
      <c r="P101" s="1954">
        <f>VLOOKUP($A101,satpek!$B$20:$L$138,10,0)</f>
        <v>1038376.6732999999</v>
      </c>
      <c r="Q101" s="1952">
        <f t="shared" ref="Q101:Q103" si="93">O101*G101</f>
        <v>5243342.7414599983</v>
      </c>
      <c r="R101" s="1952">
        <f t="shared" ref="R101:R103" si="94">N101*L101</f>
        <v>5924977.3075134903</v>
      </c>
      <c r="S101" s="1955">
        <f t="shared" ref="S101:S103" si="95">L101-R101</f>
        <v>441510.96248650923</v>
      </c>
      <c r="V101" s="1956">
        <v>5.7059999999999986</v>
      </c>
      <c r="W101" s="1956"/>
      <c r="X101" s="1956">
        <f t="shared" si="73"/>
        <v>0</v>
      </c>
      <c r="Y101" s="1836" t="s">
        <v>1905</v>
      </c>
      <c r="AC101" s="1836"/>
      <c r="AD101" s="1836"/>
      <c r="AE101" s="1836"/>
      <c r="AF101" s="1837">
        <v>1191397.42</v>
      </c>
      <c r="AG101" s="1960">
        <f t="shared" si="74"/>
        <v>75644.129999999888</v>
      </c>
    </row>
    <row r="102" spans="1:33" ht="21.95" customHeight="1" x14ac:dyDescent="0.2">
      <c r="A102" s="1833">
        <f>satpek!$B$41</f>
        <v>22</v>
      </c>
      <c r="B102" s="1943">
        <f>B101+1</f>
        <v>2</v>
      </c>
      <c r="C102" s="1937"/>
      <c r="D102" s="1944" t="str">
        <f>VLOOKUP($A102,satpek!$B$20:$N$144,2,0)</f>
        <v>Pembesian 1 kg dengan besi polos atau besi ulir</v>
      </c>
      <c r="E102" s="1944"/>
      <c r="F102" s="2004"/>
      <c r="G102" s="1945">
        <f>'[3]B.VOL RAB'!Q174</f>
        <v>1272.2671760379098</v>
      </c>
      <c r="H102" s="2456" t="str">
        <f>VLOOKUP($A102,satpek!$B$20:$N$144,7,0)</f>
        <v>kg</v>
      </c>
      <c r="I102" s="2457" t="str">
        <f>VLOOKUP($A102,satpek!$B$20:$N$144,5,0)</f>
        <v>A.4.1.1.17.</v>
      </c>
      <c r="J102" s="1951">
        <f>VLOOKUP($A102,satpek!$B$20:$N$144,6,0)</f>
        <v>15603.94</v>
      </c>
      <c r="K102" s="1938"/>
      <c r="L102" s="1952">
        <f t="shared" si="92"/>
        <v>19852380.68</v>
      </c>
      <c r="M102" s="1967"/>
      <c r="N102" s="2458">
        <f>VLOOKUP($A102,satpek!$B$20:$L$138,8,0)</f>
        <v>0.46415793062521393</v>
      </c>
      <c r="O102" s="1954">
        <f>VLOOKUP($A102,satpek!$B$20:$L$138,9,0)</f>
        <v>7242.692500000001</v>
      </c>
      <c r="P102" s="1954">
        <f>VLOOKUP($A102,satpek!$B$20:$L$138,10,0)</f>
        <v>8184.2425250000015</v>
      </c>
      <c r="Q102" s="1952">
        <f t="shared" si="93"/>
        <v>9214639.9338859506</v>
      </c>
      <c r="R102" s="1952">
        <f t="shared" si="94"/>
        <v>9214639.9344127774</v>
      </c>
      <c r="S102" s="1955">
        <f t="shared" si="95"/>
        <v>10637740.745587222</v>
      </c>
      <c r="V102" s="1956">
        <v>1272.2671760379098</v>
      </c>
      <c r="W102" s="1956"/>
      <c r="X102" s="1956">
        <f t="shared" si="73"/>
        <v>0</v>
      </c>
      <c r="Y102" s="1836" t="s">
        <v>420</v>
      </c>
      <c r="AC102" s="1836"/>
      <c r="AD102" s="1836"/>
      <c r="AE102" s="1836"/>
      <c r="AF102" s="1837">
        <v>15438.06</v>
      </c>
      <c r="AG102" s="1960">
        <f t="shared" si="74"/>
        <v>-165.88000000000102</v>
      </c>
    </row>
    <row r="103" spans="1:33" ht="21.95" customHeight="1" x14ac:dyDescent="0.2">
      <c r="A103" s="1833">
        <f>satpek!$B$45</f>
        <v>26</v>
      </c>
      <c r="B103" s="1943">
        <f>B102+1</f>
        <v>3</v>
      </c>
      <c r="C103" s="1937"/>
      <c r="D103" s="1944" t="str">
        <f>VLOOKUP($A103,satpek!$B$20:$N$144,2,0)</f>
        <v>Memasang bekisting untuk balok (2x pakai)</v>
      </c>
      <c r="E103" s="1944"/>
      <c r="F103" s="2004"/>
      <c r="G103" s="1945">
        <f>'[3]B.VOL RAB'!Q176</f>
        <v>95.09999999999998</v>
      </c>
      <c r="H103" s="2456" t="str">
        <f>VLOOKUP($A103,satpek!$B$20:$N$144,7,0)</f>
        <v>m2</v>
      </c>
      <c r="I103" s="2457" t="str">
        <f>VLOOKUP($A103,satpek!$B$20:$N$144,5,0)</f>
        <v>A.4.1.1.23.</v>
      </c>
      <c r="J103" s="1951">
        <f>VLOOKUP($A103,satpek!$B$20:$N$144,6,0)</f>
        <v>194762.28</v>
      </c>
      <c r="K103" s="1938"/>
      <c r="L103" s="1952">
        <f t="shared" si="92"/>
        <v>18521892.829999998</v>
      </c>
      <c r="M103" s="1967"/>
      <c r="N103" s="2458">
        <f>VLOOKUP($A103,satpek!$B$20:$L$138,8,0)</f>
        <v>0.83069925038873027</v>
      </c>
      <c r="O103" s="1954">
        <f>VLOOKUP($A103,satpek!$B$20:$L$138,9,0)</f>
        <v>143176</v>
      </c>
      <c r="P103" s="1954">
        <f>VLOOKUP($A103,satpek!$B$20:$L$138,10,0)</f>
        <v>161788.88</v>
      </c>
      <c r="Q103" s="1952">
        <f t="shared" si="93"/>
        <v>13616037.599999998</v>
      </c>
      <c r="R103" s="1952">
        <f t="shared" si="94"/>
        <v>15386122.489661396</v>
      </c>
      <c r="S103" s="1955">
        <f t="shared" si="95"/>
        <v>3135770.3403386027</v>
      </c>
      <c r="V103" s="1956">
        <v>95.09999999999998</v>
      </c>
      <c r="W103" s="1956"/>
      <c r="X103" s="1956">
        <f t="shared" si="73"/>
        <v>0</v>
      </c>
      <c r="Y103" s="1836" t="s">
        <v>1909</v>
      </c>
      <c r="AC103" s="1836"/>
      <c r="AD103" s="1836"/>
      <c r="AE103" s="1836"/>
      <c r="AF103" s="1837">
        <v>195923.91999999998</v>
      </c>
      <c r="AG103" s="1960">
        <f t="shared" si="74"/>
        <v>1161.6399999999849</v>
      </c>
    </row>
    <row r="104" spans="1:33" ht="21.95" customHeight="1" x14ac:dyDescent="0.2">
      <c r="B104" s="1943"/>
      <c r="C104" s="1937"/>
      <c r="D104" s="1944"/>
      <c r="E104" s="1944"/>
      <c r="F104" s="2004"/>
      <c r="G104" s="1945"/>
      <c r="H104" s="2472"/>
      <c r="I104" s="2457"/>
      <c r="J104" s="1951"/>
      <c r="K104" s="2095"/>
      <c r="L104" s="1952"/>
      <c r="M104" s="1967"/>
      <c r="N104" s="2473"/>
      <c r="O104" s="1950"/>
      <c r="P104" s="1950"/>
      <c r="Q104" s="2094"/>
      <c r="R104" s="2096"/>
      <c r="S104" s="2097"/>
      <c r="V104" s="1956"/>
      <c r="W104" s="1956"/>
      <c r="X104" s="1956">
        <f t="shared" si="73"/>
        <v>0</v>
      </c>
      <c r="AC104" s="1836"/>
      <c r="AD104" s="1836"/>
      <c r="AE104" s="1836"/>
      <c r="AF104" s="1837"/>
      <c r="AG104" s="1960">
        <f t="shared" si="74"/>
        <v>0</v>
      </c>
    </row>
    <row r="105" spans="1:33" ht="21.95" customHeight="1" x14ac:dyDescent="0.2">
      <c r="B105" s="2102"/>
      <c r="C105" s="2103"/>
      <c r="D105" s="2081" t="s">
        <v>1793</v>
      </c>
      <c r="E105" s="1930"/>
      <c r="F105" s="1931"/>
      <c r="G105" s="1945"/>
      <c r="H105" s="2452"/>
      <c r="I105" s="2453"/>
      <c r="J105" s="1951"/>
      <c r="K105" s="2066"/>
      <c r="L105" s="2067"/>
      <c r="M105" s="1967"/>
      <c r="N105" s="2454"/>
      <c r="O105" s="1936"/>
      <c r="P105" s="1936"/>
      <c r="Q105" s="1934"/>
      <c r="R105" s="1940"/>
      <c r="S105" s="1941"/>
      <c r="V105" s="1956"/>
      <c r="W105" s="1956"/>
      <c r="X105" s="1956">
        <f t="shared" si="73"/>
        <v>0</v>
      </c>
      <c r="Y105" s="1836" t="s">
        <v>1793</v>
      </c>
      <c r="AC105" s="1836"/>
      <c r="AD105" s="1836"/>
      <c r="AE105" s="1836"/>
      <c r="AF105" s="1837"/>
      <c r="AG105" s="1960">
        <f t="shared" si="74"/>
        <v>0</v>
      </c>
    </row>
    <row r="106" spans="1:33" ht="21.95" customHeight="1" x14ac:dyDescent="0.2">
      <c r="B106" s="2102"/>
      <c r="C106" s="2103"/>
      <c r="D106" s="2081" t="s">
        <v>1794</v>
      </c>
      <c r="E106" s="1930"/>
      <c r="F106" s="1931"/>
      <c r="G106" s="1945"/>
      <c r="H106" s="2452"/>
      <c r="I106" s="2453"/>
      <c r="J106" s="1951"/>
      <c r="K106" s="2066"/>
      <c r="L106" s="2067"/>
      <c r="M106" s="1967"/>
      <c r="N106" s="2454"/>
      <c r="O106" s="1936"/>
      <c r="P106" s="1936"/>
      <c r="Q106" s="1934"/>
      <c r="R106" s="1940"/>
      <c r="S106" s="1941"/>
      <c r="V106" s="1956"/>
      <c r="W106" s="1956"/>
      <c r="X106" s="1956">
        <f t="shared" si="73"/>
        <v>0</v>
      </c>
      <c r="Y106" s="1836" t="s">
        <v>1794</v>
      </c>
      <c r="AC106" s="1836"/>
      <c r="AD106" s="1836"/>
      <c r="AE106" s="1836"/>
      <c r="AF106" s="1837"/>
      <c r="AG106" s="1960">
        <f t="shared" si="74"/>
        <v>0</v>
      </c>
    </row>
    <row r="107" spans="1:33" ht="21.95" customHeight="1" x14ac:dyDescent="0.2">
      <c r="A107" s="1833">
        <f>satpek!$B$40</f>
        <v>21</v>
      </c>
      <c r="B107" s="1943">
        <v>1</v>
      </c>
      <c r="C107" s="1937"/>
      <c r="D107" s="1944" t="str">
        <f>VLOOKUP($A107,satpek!$B$20:$N$144,2,0)</f>
        <v>Membuat beton mutu f'c = 21,7 Mpa - K 250</v>
      </c>
      <c r="E107" s="1944"/>
      <c r="F107" s="2004"/>
      <c r="G107" s="1945">
        <f>'[3]B.VOL RAB'!Q181</f>
        <v>74.461199999999977</v>
      </c>
      <c r="H107" s="2456" t="str">
        <f>VLOOKUP($A107,satpek!$B$20:$N$144,7,0)</f>
        <v>m3</v>
      </c>
      <c r="I107" s="2457" t="str">
        <f>VLOOKUP($A107,satpek!$B$20:$N$144,5,0)</f>
        <v>A.4.1.1.8.</v>
      </c>
      <c r="J107" s="1951">
        <f>VLOOKUP($A107,satpek!$B$20:$N$144,6,0)</f>
        <v>1115753.29</v>
      </c>
      <c r="K107" s="1938"/>
      <c r="L107" s="1952">
        <f t="shared" ref="L107:L108" si="96">ROUND((G107*J107),2)</f>
        <v>83080328.879999995</v>
      </c>
      <c r="M107" s="1967"/>
      <c r="N107" s="2458">
        <f>VLOOKUP($A107,satpek!$B$20:$L$138,8,0)</f>
        <v>0.93065078521121514</v>
      </c>
      <c r="O107" s="1954">
        <f>VLOOKUP($A107,satpek!$B$20:$L$138,9,0)</f>
        <v>918917.40999999992</v>
      </c>
      <c r="P107" s="1954">
        <f>VLOOKUP($A107,satpek!$B$20:$L$138,10,0)</f>
        <v>1038376.6732999999</v>
      </c>
      <c r="Q107" s="1952">
        <f t="shared" ref="Q107:Q109" si="97">O107*G107</f>
        <v>68423693.049491972</v>
      </c>
      <c r="R107" s="1952">
        <f t="shared" ref="R107:R109" si="98">N107*L107</f>
        <v>77318773.307777986</v>
      </c>
      <c r="S107" s="1955">
        <f t="shared" ref="S107:S109" si="99">L107-R107</f>
        <v>5761555.5722220093</v>
      </c>
      <c r="V107" s="1956">
        <v>74.461199999999977</v>
      </c>
      <c r="W107" s="1956"/>
      <c r="X107" s="1956">
        <f t="shared" si="73"/>
        <v>0</v>
      </c>
      <c r="Y107" s="1836" t="s">
        <v>1905</v>
      </c>
      <c r="AC107" s="1836"/>
      <c r="AD107" s="1836"/>
      <c r="AE107" s="1836"/>
      <c r="AF107" s="1837">
        <v>1191397.42</v>
      </c>
      <c r="AG107" s="1960">
        <f t="shared" si="74"/>
        <v>75644.129999999888</v>
      </c>
    </row>
    <row r="108" spans="1:33" ht="21.95" customHeight="1" x14ac:dyDescent="0.2">
      <c r="A108" s="1833">
        <f>satpek!$B$41</f>
        <v>22</v>
      </c>
      <c r="B108" s="1943">
        <f>B107+1</f>
        <v>2</v>
      </c>
      <c r="C108" s="1937"/>
      <c r="D108" s="1944" t="str">
        <f>VLOOKUP($A108,satpek!$B$20:$N$144,2,0)</f>
        <v>Pembesian 1 kg dengan besi polos atau besi ulir</v>
      </c>
      <c r="E108" s="1944"/>
      <c r="F108" s="2004"/>
      <c r="G108" s="1945">
        <f>'[3]B.VOL RAB'!Q183</f>
        <v>6158.315468184197</v>
      </c>
      <c r="H108" s="2456" t="str">
        <f>VLOOKUP($A108,satpek!$B$20:$N$144,7,0)</f>
        <v>kg</v>
      </c>
      <c r="I108" s="2457" t="str">
        <f>VLOOKUP($A108,satpek!$B$20:$N$144,5,0)</f>
        <v>A.4.1.1.17.</v>
      </c>
      <c r="J108" s="1951">
        <f>VLOOKUP($A108,satpek!$B$20:$N$144,6,0)</f>
        <v>15603.94</v>
      </c>
      <c r="K108" s="1938"/>
      <c r="L108" s="1952">
        <f t="shared" si="96"/>
        <v>96093985.069999993</v>
      </c>
      <c r="M108" s="1967"/>
      <c r="N108" s="2458">
        <f>VLOOKUP($A108,satpek!$B$20:$L$138,8,0)</f>
        <v>0.46415793062521393</v>
      </c>
      <c r="O108" s="1954">
        <f>VLOOKUP($A108,satpek!$B$20:$L$138,9,0)</f>
        <v>7242.692500000001</v>
      </c>
      <c r="P108" s="1954">
        <f>VLOOKUP($A108,satpek!$B$20:$L$138,10,0)</f>
        <v>8184.2425250000015</v>
      </c>
      <c r="Q108" s="1952">
        <f t="shared" si="97"/>
        <v>44602785.254051678</v>
      </c>
      <c r="R108" s="1952">
        <f t="shared" si="98"/>
        <v>44602785.255621403</v>
      </c>
      <c r="S108" s="1955">
        <f t="shared" si="99"/>
        <v>51491199.814378589</v>
      </c>
      <c r="V108" s="1956">
        <v>6158.315468184197</v>
      </c>
      <c r="W108" s="1956"/>
      <c r="X108" s="1956">
        <f t="shared" si="73"/>
        <v>0</v>
      </c>
      <c r="Y108" s="1836" t="s">
        <v>420</v>
      </c>
      <c r="AC108" s="1836"/>
      <c r="AD108" s="1836"/>
      <c r="AE108" s="1836"/>
      <c r="AF108" s="1837">
        <v>15438.06</v>
      </c>
      <c r="AG108" s="1960">
        <f t="shared" si="74"/>
        <v>-165.88000000000102</v>
      </c>
    </row>
    <row r="109" spans="1:33" ht="21.95" customHeight="1" x14ac:dyDescent="0.2">
      <c r="A109" s="1833">
        <f>satpek!B46</f>
        <v>27</v>
      </c>
      <c r="B109" s="1943">
        <f>B108+1</f>
        <v>3</v>
      </c>
      <c r="C109" s="1937"/>
      <c r="D109" s="1944" t="str">
        <f>VLOOKUP($A109,satpek!$B$20:$N$144,2,0)</f>
        <v>Memasang bekisting untuk lantai (2x pakai)</v>
      </c>
      <c r="E109" s="1944"/>
      <c r="F109" s="2004"/>
      <c r="G109" s="1945">
        <f>'[3]B.VOL RAB'!Q187</f>
        <v>732.87119999999982</v>
      </c>
      <c r="H109" s="2456" t="str">
        <f>VLOOKUP($A109,satpek!$B$20:$N$144,7,0)</f>
        <v>m2</v>
      </c>
      <c r="I109" s="2457" t="str">
        <f>VLOOKUP($A109,satpek!$B$20:$N$144,5,0)</f>
        <v>A.4.1.1.24</v>
      </c>
      <c r="J109" s="1951">
        <f>VLOOKUP($A109,satpek!$B$20:$N$144,6,0)</f>
        <v>242900.28</v>
      </c>
      <c r="K109" s="1938"/>
      <c r="L109" s="1952">
        <f t="shared" ref="L109" si="100">ROUND((G109*J109),2)</f>
        <v>178014619.68000001</v>
      </c>
      <c r="M109" s="1967"/>
      <c r="N109" s="2458">
        <f>VLOOKUP($A109,satpek!$B$20:$L$138,8,0)</f>
        <v>0.76655687675617334</v>
      </c>
      <c r="O109" s="1954">
        <f>VLOOKUP($A109,satpek!$B$20:$L$138,9,0)</f>
        <v>164776</v>
      </c>
      <c r="P109" s="1954">
        <f>VLOOKUP($A109,satpek!$B$20:$L$138,10,0)</f>
        <v>186196.88</v>
      </c>
      <c r="Q109" s="1952">
        <f t="shared" si="97"/>
        <v>120759584.85119997</v>
      </c>
      <c r="R109" s="1952">
        <f t="shared" si="98"/>
        <v>136458330.87883884</v>
      </c>
      <c r="S109" s="1955">
        <f t="shared" si="99"/>
        <v>41556288.80116117</v>
      </c>
      <c r="V109" s="1956">
        <v>732.87119999999982</v>
      </c>
      <c r="W109" s="1956"/>
      <c r="X109" s="1956">
        <f t="shared" si="73"/>
        <v>0</v>
      </c>
      <c r="Y109" s="1836" t="s">
        <v>1910</v>
      </c>
      <c r="AC109" s="1836"/>
      <c r="AD109" s="1836"/>
      <c r="AE109" s="1836"/>
      <c r="AF109" s="1837">
        <v>220331.91999999998</v>
      </c>
      <c r="AG109" s="1960">
        <f t="shared" si="74"/>
        <v>-22568.360000000015</v>
      </c>
    </row>
    <row r="110" spans="1:33" ht="21.95" customHeight="1" x14ac:dyDescent="0.2">
      <c r="B110" s="2102"/>
      <c r="C110" s="2103"/>
      <c r="D110" s="2081" t="s">
        <v>1795</v>
      </c>
      <c r="E110" s="1930"/>
      <c r="F110" s="1931"/>
      <c r="G110" s="1945"/>
      <c r="H110" s="2452"/>
      <c r="I110" s="2453"/>
      <c r="J110" s="1951"/>
      <c r="K110" s="2066"/>
      <c r="L110" s="2067"/>
      <c r="M110" s="1967"/>
      <c r="N110" s="2454"/>
      <c r="O110" s="1936"/>
      <c r="P110" s="1936"/>
      <c r="Q110" s="1934"/>
      <c r="R110" s="1940"/>
      <c r="S110" s="1941"/>
      <c r="V110" s="1956"/>
      <c r="W110" s="1956"/>
      <c r="X110" s="1956">
        <f t="shared" si="73"/>
        <v>0</v>
      </c>
      <c r="Y110" s="1836" t="s">
        <v>1795</v>
      </c>
      <c r="AC110" s="1836"/>
      <c r="AD110" s="1836"/>
      <c r="AE110" s="1836"/>
      <c r="AF110" s="1837"/>
      <c r="AG110" s="1960">
        <f t="shared" si="74"/>
        <v>0</v>
      </c>
    </row>
    <row r="111" spans="1:33" ht="21.95" customHeight="1" x14ac:dyDescent="0.2">
      <c r="A111" s="1833">
        <f>satpek!$B$40</f>
        <v>21</v>
      </c>
      <c r="B111" s="1943">
        <v>1</v>
      </c>
      <c r="C111" s="1937"/>
      <c r="D111" s="1944" t="str">
        <f>VLOOKUP($A111,satpek!$B$20:$N$144,2,0)</f>
        <v>Membuat beton mutu f'c = 21,7 Mpa - K 250</v>
      </c>
      <c r="E111" s="1944"/>
      <c r="F111" s="2004"/>
      <c r="G111" s="1945">
        <f>'[3]B.VOL RAB'!Q191</f>
        <v>1.7711999999999999</v>
      </c>
      <c r="H111" s="2456" t="str">
        <f>VLOOKUP($A111,satpek!$B$20:$N$144,7,0)</f>
        <v>m3</v>
      </c>
      <c r="I111" s="2457" t="str">
        <f>VLOOKUP($A111,satpek!$B$20:$N$144,5,0)</f>
        <v>A.4.1.1.8.</v>
      </c>
      <c r="J111" s="1951">
        <f>VLOOKUP($A111,satpek!$B$20:$N$144,6,0)</f>
        <v>1115753.29</v>
      </c>
      <c r="K111" s="1938"/>
      <c r="L111" s="1952">
        <f t="shared" ref="L111:L113" si="101">ROUND((G111*J111),2)</f>
        <v>1976222.23</v>
      </c>
      <c r="M111" s="1967"/>
      <c r="N111" s="2458">
        <f>VLOOKUP($A111,satpek!$B$20:$L$138,8,0)</f>
        <v>0.93065078521121514</v>
      </c>
      <c r="O111" s="1954">
        <f>VLOOKUP($A111,satpek!$B$20:$L$138,9,0)</f>
        <v>918917.40999999992</v>
      </c>
      <c r="P111" s="1954">
        <f>VLOOKUP($A111,satpek!$B$20:$L$138,10,0)</f>
        <v>1038376.6732999999</v>
      </c>
      <c r="Q111" s="1952">
        <f t="shared" ref="Q111:Q113" si="102">O111*G111</f>
        <v>1627586.5165919997</v>
      </c>
      <c r="R111" s="1952">
        <f t="shared" ref="R111:R113" si="103">N111*L111</f>
        <v>1839172.7701013586</v>
      </c>
      <c r="S111" s="1955">
        <f t="shared" ref="S111:S113" si="104">L111-R111</f>
        <v>137049.45989864133</v>
      </c>
      <c r="V111" s="1956">
        <v>1.7711999999999999</v>
      </c>
      <c r="W111" s="1956"/>
      <c r="X111" s="1956">
        <f t="shared" si="73"/>
        <v>0</v>
      </c>
      <c r="Y111" s="1836" t="s">
        <v>1905</v>
      </c>
      <c r="AC111" s="1836"/>
      <c r="AD111" s="1836"/>
      <c r="AE111" s="1836"/>
      <c r="AF111" s="1837">
        <v>1191397.42</v>
      </c>
      <c r="AG111" s="1960">
        <f t="shared" si="74"/>
        <v>75644.129999999888</v>
      </c>
    </row>
    <row r="112" spans="1:33" ht="21.95" customHeight="1" x14ac:dyDescent="0.2">
      <c r="A112" s="1833">
        <f>satpek!$B$41</f>
        <v>22</v>
      </c>
      <c r="B112" s="1943">
        <f>B111+1</f>
        <v>2</v>
      </c>
      <c r="C112" s="1937"/>
      <c r="D112" s="1944" t="str">
        <f>VLOOKUP($A112,satpek!$B$20:$N$144,2,0)</f>
        <v>Pembesian 1 kg dengan besi polos atau besi ulir</v>
      </c>
      <c r="E112" s="1944"/>
      <c r="F112" s="2004"/>
      <c r="G112" s="1945">
        <f>'[3]B.VOL RAB'!Q194</f>
        <v>210.41193788536071</v>
      </c>
      <c r="H112" s="2456" t="str">
        <f>VLOOKUP($A112,satpek!$B$20:$N$144,7,0)</f>
        <v>kg</v>
      </c>
      <c r="I112" s="2457" t="str">
        <f>VLOOKUP($A112,satpek!$B$20:$N$144,5,0)</f>
        <v>A.4.1.1.17.</v>
      </c>
      <c r="J112" s="1951">
        <f>VLOOKUP($A112,satpek!$B$20:$N$144,6,0)</f>
        <v>15603.94</v>
      </c>
      <c r="K112" s="1938"/>
      <c r="L112" s="1952">
        <f t="shared" si="101"/>
        <v>3283255.25</v>
      </c>
      <c r="M112" s="1967"/>
      <c r="N112" s="2458">
        <f>VLOOKUP($A112,satpek!$B$20:$L$138,8,0)</f>
        <v>0.46415793062521393</v>
      </c>
      <c r="O112" s="1954">
        <f>VLOOKUP($A112,satpek!$B$20:$L$138,9,0)</f>
        <v>7242.692500000001</v>
      </c>
      <c r="P112" s="1954">
        <f>VLOOKUP($A112,satpek!$B$20:$L$138,10,0)</f>
        <v>8184.2425250000015</v>
      </c>
      <c r="Q112" s="1952">
        <f t="shared" si="102"/>
        <v>1523948.9644327681</v>
      </c>
      <c r="R112" s="1952">
        <f t="shared" si="103"/>
        <v>1523948.9625543694</v>
      </c>
      <c r="S112" s="1955">
        <f t="shared" si="104"/>
        <v>1759306.2874456306</v>
      </c>
      <c r="V112" s="1956">
        <v>210.41193788536071</v>
      </c>
      <c r="W112" s="1956"/>
      <c r="X112" s="1956">
        <f t="shared" si="73"/>
        <v>0</v>
      </c>
      <c r="Y112" s="1836" t="s">
        <v>420</v>
      </c>
      <c r="AC112" s="1836"/>
      <c r="AD112" s="1836"/>
      <c r="AE112" s="1836"/>
      <c r="AF112" s="1837">
        <v>15438.06</v>
      </c>
      <c r="AG112" s="1960">
        <f t="shared" si="74"/>
        <v>-165.88000000000102</v>
      </c>
    </row>
    <row r="113" spans="1:33" ht="21.95" customHeight="1" x14ac:dyDescent="0.2">
      <c r="A113" s="1833">
        <f>satpek!$B$46</f>
        <v>27</v>
      </c>
      <c r="B113" s="1943">
        <f>B112+1</f>
        <v>3</v>
      </c>
      <c r="C113" s="1937"/>
      <c r="D113" s="1944" t="str">
        <f>VLOOKUP($A113,satpek!$B$20:$N$144,2,0)</f>
        <v>Memasang bekisting untuk lantai (2x pakai)</v>
      </c>
      <c r="E113" s="1944"/>
      <c r="F113" s="2004"/>
      <c r="G113" s="1945">
        <f>'[3]B.VOL RAB'!Q197</f>
        <v>18.216000000000001</v>
      </c>
      <c r="H113" s="2456" t="str">
        <f>VLOOKUP($A113,satpek!$B$20:$N$144,7,0)</f>
        <v>m2</v>
      </c>
      <c r="I113" s="2457" t="str">
        <f>VLOOKUP($A113,satpek!$B$20:$N$144,5,0)</f>
        <v>A.4.1.1.24</v>
      </c>
      <c r="J113" s="1951">
        <f>VLOOKUP($A113,satpek!$B$20:$N$144,6,0)</f>
        <v>242900.28</v>
      </c>
      <c r="K113" s="1938"/>
      <c r="L113" s="1952">
        <f t="shared" si="101"/>
        <v>4424671.5</v>
      </c>
      <c r="M113" s="1967"/>
      <c r="N113" s="2458">
        <f>VLOOKUP($A113,satpek!$B$20:$L$138,8,0)</f>
        <v>0.76655687675617334</v>
      </c>
      <c r="O113" s="1954">
        <f>VLOOKUP($A113,satpek!$B$20:$L$138,9,0)</f>
        <v>164776</v>
      </c>
      <c r="P113" s="1954">
        <f>VLOOKUP($A113,satpek!$B$20:$L$138,10,0)</f>
        <v>186196.88</v>
      </c>
      <c r="Q113" s="1952">
        <f t="shared" si="102"/>
        <v>3001559.6160000004</v>
      </c>
      <c r="R113" s="1952">
        <f t="shared" si="103"/>
        <v>3391762.3657120527</v>
      </c>
      <c r="S113" s="1955">
        <f t="shared" si="104"/>
        <v>1032909.1342879473</v>
      </c>
      <c r="V113" s="1956">
        <v>18.216000000000001</v>
      </c>
      <c r="W113" s="1956"/>
      <c r="X113" s="1956">
        <f t="shared" si="73"/>
        <v>0</v>
      </c>
      <c r="Y113" s="1836" t="s">
        <v>1910</v>
      </c>
      <c r="AC113" s="1836"/>
      <c r="AD113" s="1836"/>
      <c r="AE113" s="1836"/>
      <c r="AF113" s="1837">
        <v>220331.91999999998</v>
      </c>
      <c r="AG113" s="1960">
        <f t="shared" si="74"/>
        <v>-22568.360000000015</v>
      </c>
    </row>
    <row r="114" spans="1:33" ht="21.95" customHeight="1" x14ac:dyDescent="0.2">
      <c r="B114" s="2102"/>
      <c r="C114" s="2103"/>
      <c r="D114" s="2081" t="s">
        <v>1796</v>
      </c>
      <c r="E114" s="1930"/>
      <c r="F114" s="1931"/>
      <c r="G114" s="1945"/>
      <c r="H114" s="2452"/>
      <c r="I114" s="2453"/>
      <c r="J114" s="1951"/>
      <c r="K114" s="2066"/>
      <c r="L114" s="2067"/>
      <c r="M114" s="1967"/>
      <c r="N114" s="2454"/>
      <c r="O114" s="1936"/>
      <c r="P114" s="1936"/>
      <c r="Q114" s="1934"/>
      <c r="R114" s="1940"/>
      <c r="S114" s="1941"/>
      <c r="V114" s="1956"/>
      <c r="W114" s="1956"/>
      <c r="X114" s="1956">
        <f t="shared" si="73"/>
        <v>0</v>
      </c>
      <c r="Y114" s="1836" t="s">
        <v>1796</v>
      </c>
      <c r="AC114" s="1836"/>
      <c r="AD114" s="1836"/>
      <c r="AE114" s="1836"/>
      <c r="AF114" s="1837"/>
      <c r="AG114" s="1960">
        <f t="shared" si="74"/>
        <v>0</v>
      </c>
    </row>
    <row r="115" spans="1:33" ht="21.95" customHeight="1" x14ac:dyDescent="0.2">
      <c r="A115" s="1833">
        <f>satpek!$B$40</f>
        <v>21</v>
      </c>
      <c r="B115" s="1943">
        <v>1</v>
      </c>
      <c r="C115" s="1937"/>
      <c r="D115" s="1944" t="str">
        <f>VLOOKUP($A115,satpek!$B$20:$N$144,2,0)</f>
        <v>Membuat beton mutu f'c = 21,7 Mpa - K 250</v>
      </c>
      <c r="E115" s="1944"/>
      <c r="F115" s="2004"/>
      <c r="G115" s="1945">
        <f>'[3]B.VOL RAB'!Q201</f>
        <v>9.516</v>
      </c>
      <c r="H115" s="2456" t="str">
        <f>VLOOKUP($A115,satpek!$B$20:$N$144,7,0)</f>
        <v>m3</v>
      </c>
      <c r="I115" s="2457" t="str">
        <f>VLOOKUP($A115,satpek!$B$20:$N$144,5,0)</f>
        <v>A.4.1.1.8.</v>
      </c>
      <c r="J115" s="1951">
        <f>VLOOKUP($A115,satpek!$B$20:$N$144,6,0)</f>
        <v>1115753.29</v>
      </c>
      <c r="K115" s="1938"/>
      <c r="L115" s="1952">
        <f t="shared" ref="L115:L117" si="105">ROUND((G115*J115),2)</f>
        <v>10617508.310000001</v>
      </c>
      <c r="M115" s="1967"/>
      <c r="N115" s="2458">
        <f>VLOOKUP($A115,satpek!$B$20:$L$138,8,0)</f>
        <v>0.93065078521121514</v>
      </c>
      <c r="O115" s="1954">
        <f>VLOOKUP($A115,satpek!$B$20:$L$138,9,0)</f>
        <v>918917.40999999992</v>
      </c>
      <c r="P115" s="1954">
        <f>VLOOKUP($A115,satpek!$B$20:$L$138,10,0)</f>
        <v>1038376.6732999999</v>
      </c>
      <c r="Q115" s="1952">
        <f t="shared" ref="Q115:Q117" si="106">O115*G115</f>
        <v>8744418.0735599995</v>
      </c>
      <c r="R115" s="1952">
        <f t="shared" ref="R115:R117" si="107">N115*L115</f>
        <v>9881192.4456881024</v>
      </c>
      <c r="S115" s="1955">
        <f t="shared" ref="S115:S117" si="108">L115-R115</f>
        <v>736315.86431189813</v>
      </c>
      <c r="V115" s="1956">
        <v>9.516</v>
      </c>
      <c r="W115" s="1956"/>
      <c r="X115" s="1956">
        <f t="shared" si="73"/>
        <v>0</v>
      </c>
      <c r="Y115" s="1836" t="s">
        <v>1905</v>
      </c>
      <c r="AC115" s="1836"/>
      <c r="AD115" s="1836"/>
      <c r="AE115" s="1836"/>
      <c r="AF115" s="1837">
        <v>1191397.42</v>
      </c>
      <c r="AG115" s="1960">
        <f t="shared" si="74"/>
        <v>75644.129999999888</v>
      </c>
    </row>
    <row r="116" spans="1:33" ht="21.95" customHeight="1" x14ac:dyDescent="0.2">
      <c r="A116" s="1833">
        <f>satpek!$B$41</f>
        <v>22</v>
      </c>
      <c r="B116" s="1943">
        <f>B115+1</f>
        <v>2</v>
      </c>
      <c r="C116" s="1937"/>
      <c r="D116" s="1944" t="str">
        <f>VLOOKUP($A116,satpek!$B$20:$N$144,2,0)</f>
        <v>Pembesian 1 kg dengan besi polos atau besi ulir</v>
      </c>
      <c r="E116" s="1944"/>
      <c r="F116" s="2004"/>
      <c r="G116" s="1945">
        <f>'[3]B.VOL RAB'!Q203</f>
        <v>1212.5413331559116</v>
      </c>
      <c r="H116" s="2456" t="str">
        <f>VLOOKUP($A116,satpek!$B$20:$N$144,7,0)</f>
        <v>kg</v>
      </c>
      <c r="I116" s="2457" t="str">
        <f>VLOOKUP($A116,satpek!$B$20:$N$144,5,0)</f>
        <v>A.4.1.1.17.</v>
      </c>
      <c r="J116" s="1951">
        <f>VLOOKUP($A116,satpek!$B$20:$N$144,6,0)</f>
        <v>15603.94</v>
      </c>
      <c r="K116" s="1938"/>
      <c r="L116" s="1952">
        <f t="shared" si="105"/>
        <v>18920422.210000001</v>
      </c>
      <c r="M116" s="1967"/>
      <c r="N116" s="2458">
        <f>VLOOKUP($A116,satpek!$B$20:$L$138,8,0)</f>
        <v>0.46415793062521393</v>
      </c>
      <c r="O116" s="1954">
        <f>VLOOKUP($A116,satpek!$B$20:$L$138,9,0)</f>
        <v>7242.692500000001</v>
      </c>
      <c r="P116" s="1954">
        <f>VLOOKUP($A116,satpek!$B$20:$L$138,10,0)</f>
        <v>8184.2425250000015</v>
      </c>
      <c r="Q116" s="1952">
        <f t="shared" si="106"/>
        <v>8782064.0195883233</v>
      </c>
      <c r="R116" s="1952">
        <f t="shared" si="107"/>
        <v>8782064.0195489377</v>
      </c>
      <c r="S116" s="1955">
        <f t="shared" si="108"/>
        <v>10138358.190451063</v>
      </c>
      <c r="V116" s="1956">
        <v>1212.5413331559116</v>
      </c>
      <c r="W116" s="1956"/>
      <c r="X116" s="1956">
        <f t="shared" si="73"/>
        <v>0</v>
      </c>
      <c r="Y116" s="1836" t="s">
        <v>420</v>
      </c>
      <c r="AC116" s="1836"/>
      <c r="AD116" s="1836"/>
      <c r="AE116" s="1836"/>
      <c r="AF116" s="1837">
        <v>15438.06</v>
      </c>
      <c r="AG116" s="1960">
        <f t="shared" si="74"/>
        <v>-165.88000000000102</v>
      </c>
    </row>
    <row r="117" spans="1:33" ht="21.95" customHeight="1" x14ac:dyDescent="0.2">
      <c r="A117" s="1833">
        <f>satpek!$B$46</f>
        <v>27</v>
      </c>
      <c r="B117" s="1943">
        <f>B116+1</f>
        <v>3</v>
      </c>
      <c r="C117" s="1937"/>
      <c r="D117" s="1944" t="str">
        <f>VLOOKUP($A117,satpek!$B$20:$N$144,2,0)</f>
        <v>Memasang bekisting untuk lantai (2x pakai)</v>
      </c>
      <c r="E117" s="1944"/>
      <c r="F117" s="2004"/>
      <c r="G117" s="1945">
        <f>'[3]B.VOL RAB'!Q207</f>
        <v>108.73599999999999</v>
      </c>
      <c r="H117" s="2456" t="str">
        <f>VLOOKUP($A117,satpek!$B$20:$N$144,7,0)</f>
        <v>m2</v>
      </c>
      <c r="I117" s="2457" t="str">
        <f>VLOOKUP($A117,satpek!$B$20:$N$144,5,0)</f>
        <v>A.4.1.1.24</v>
      </c>
      <c r="J117" s="1951">
        <f>VLOOKUP($A117,satpek!$B$20:$N$144,6,0)</f>
        <v>242900.28</v>
      </c>
      <c r="K117" s="1938"/>
      <c r="L117" s="1952">
        <f t="shared" si="105"/>
        <v>26412004.850000001</v>
      </c>
      <c r="M117" s="1967"/>
      <c r="N117" s="2458">
        <f>VLOOKUP($A117,satpek!$B$20:$L$138,8,0)</f>
        <v>0.76655687675617334</v>
      </c>
      <c r="O117" s="1954">
        <f>VLOOKUP($A117,satpek!$B$20:$L$138,9,0)</f>
        <v>164776</v>
      </c>
      <c r="P117" s="1954">
        <f>VLOOKUP($A117,satpek!$B$20:$L$138,10,0)</f>
        <v>186196.88</v>
      </c>
      <c r="Q117" s="1952">
        <f t="shared" si="106"/>
        <v>17917083.136</v>
      </c>
      <c r="R117" s="1952">
        <f t="shared" si="107"/>
        <v>20246303.946684904</v>
      </c>
      <c r="S117" s="1955">
        <f t="shared" si="108"/>
        <v>6165700.9033150971</v>
      </c>
      <c r="V117" s="1956">
        <v>108.73599999999999</v>
      </c>
      <c r="W117" s="1956"/>
      <c r="X117" s="1956">
        <f t="shared" si="73"/>
        <v>0</v>
      </c>
      <c r="Y117" s="1836" t="s">
        <v>1910</v>
      </c>
      <c r="AC117" s="1836"/>
      <c r="AD117" s="1836"/>
      <c r="AE117" s="1836"/>
      <c r="AF117" s="1837">
        <v>220331.91999999998</v>
      </c>
      <c r="AG117" s="1960">
        <f t="shared" si="74"/>
        <v>-22568.360000000015</v>
      </c>
    </row>
    <row r="118" spans="1:33" ht="21.95" customHeight="1" x14ac:dyDescent="0.2">
      <c r="B118" s="2102"/>
      <c r="C118" s="2103"/>
      <c r="D118" s="2081" t="s">
        <v>1797</v>
      </c>
      <c r="E118" s="1930"/>
      <c r="F118" s="1931"/>
      <c r="G118" s="1945"/>
      <c r="H118" s="2452"/>
      <c r="I118" s="2453"/>
      <c r="J118" s="1951"/>
      <c r="K118" s="2066"/>
      <c r="L118" s="2067"/>
      <c r="M118" s="1967"/>
      <c r="N118" s="2454"/>
      <c r="O118" s="1936"/>
      <c r="P118" s="1936"/>
      <c r="Q118" s="1934"/>
      <c r="R118" s="1940"/>
      <c r="S118" s="1941"/>
      <c r="V118" s="1956"/>
      <c r="W118" s="1956"/>
      <c r="X118" s="1956">
        <f t="shared" si="73"/>
        <v>0</v>
      </c>
      <c r="Y118" s="1836" t="s">
        <v>1797</v>
      </c>
      <c r="AC118" s="1836"/>
      <c r="AD118" s="1836"/>
      <c r="AE118" s="1836"/>
      <c r="AF118" s="1837"/>
      <c r="AG118" s="1960">
        <f t="shared" si="74"/>
        <v>0</v>
      </c>
    </row>
    <row r="119" spans="1:33" ht="21.95" customHeight="1" x14ac:dyDescent="0.2">
      <c r="A119" s="1833">
        <f>satpek!$B$40</f>
        <v>21</v>
      </c>
      <c r="B119" s="1943">
        <v>1</v>
      </c>
      <c r="C119" s="1937"/>
      <c r="D119" s="1944" t="str">
        <f>VLOOKUP($A119,satpek!$B$20:$N$144,2,0)</f>
        <v>Membuat beton mutu f'c = 21,7 Mpa - K 250</v>
      </c>
      <c r="E119" s="1944"/>
      <c r="F119" s="2004"/>
      <c r="G119" s="1945">
        <f>'[3]B.VOL RAB'!Q210</f>
        <v>9.3940000000000001</v>
      </c>
      <c r="H119" s="2456" t="str">
        <f>VLOOKUP($A119,satpek!$B$20:$N$144,7,0)</f>
        <v>m3</v>
      </c>
      <c r="I119" s="2457" t="str">
        <f>VLOOKUP($A119,satpek!$B$20:$N$144,5,0)</f>
        <v>A.4.1.1.8.</v>
      </c>
      <c r="J119" s="1951">
        <f>VLOOKUP($A119,satpek!$B$20:$N$144,6,0)</f>
        <v>1115753.29</v>
      </c>
      <c r="K119" s="1938"/>
      <c r="L119" s="1952">
        <f t="shared" ref="L119:L121" si="109">ROUND((G119*J119),2)</f>
        <v>10481386.41</v>
      </c>
      <c r="M119" s="1967"/>
      <c r="N119" s="2458">
        <f>VLOOKUP($A119,satpek!$B$20:$L$138,8,0)</f>
        <v>0.93065078521121514</v>
      </c>
      <c r="O119" s="1954">
        <f>VLOOKUP($A119,satpek!$B$20:$L$138,9,0)</f>
        <v>918917.40999999992</v>
      </c>
      <c r="P119" s="1954">
        <f>VLOOKUP($A119,satpek!$B$20:$L$138,10,0)</f>
        <v>1038376.6732999999</v>
      </c>
      <c r="Q119" s="1952">
        <f t="shared" ref="Q119:Q121" si="110">O119*G119</f>
        <v>8632310.1495399997</v>
      </c>
      <c r="R119" s="1952">
        <f t="shared" ref="R119:R121" si="111">N119*L119</f>
        <v>9754510.4925686587</v>
      </c>
      <c r="S119" s="1955">
        <f t="shared" ref="S119:S121" si="112">L119-R119</f>
        <v>726875.91743134148</v>
      </c>
      <c r="V119" s="1956">
        <v>9.3940000000000001</v>
      </c>
      <c r="W119" s="1956"/>
      <c r="X119" s="1956">
        <f t="shared" si="73"/>
        <v>0</v>
      </c>
      <c r="Y119" s="1836" t="s">
        <v>1905</v>
      </c>
      <c r="AC119" s="1836"/>
      <c r="AD119" s="1836"/>
      <c r="AE119" s="1836"/>
      <c r="AF119" s="1837">
        <v>1191397.42</v>
      </c>
      <c r="AG119" s="1960">
        <f t="shared" si="74"/>
        <v>75644.129999999888</v>
      </c>
    </row>
    <row r="120" spans="1:33" ht="21.95" customHeight="1" x14ac:dyDescent="0.2">
      <c r="A120" s="1833">
        <f>satpek!$B$41</f>
        <v>22</v>
      </c>
      <c r="B120" s="1943">
        <f>B119+1</f>
        <v>2</v>
      </c>
      <c r="C120" s="1937"/>
      <c r="D120" s="1944" t="str">
        <f>VLOOKUP($A120,satpek!$B$20:$N$144,2,0)</f>
        <v>Pembesian 1 kg dengan besi polos atau besi ulir</v>
      </c>
      <c r="E120" s="1944"/>
      <c r="F120" s="2004"/>
      <c r="G120" s="1945">
        <f>'[3]B.VOL RAB'!Q212</f>
        <v>595.16096804676351</v>
      </c>
      <c r="H120" s="2456" t="str">
        <f>VLOOKUP($A120,satpek!$B$20:$N$144,7,0)</f>
        <v>kg</v>
      </c>
      <c r="I120" s="2457" t="str">
        <f>VLOOKUP($A120,satpek!$B$20:$N$144,5,0)</f>
        <v>A.4.1.1.17.</v>
      </c>
      <c r="J120" s="1951">
        <f>VLOOKUP($A120,satpek!$B$20:$N$144,6,0)</f>
        <v>15603.94</v>
      </c>
      <c r="K120" s="1938"/>
      <c r="L120" s="1952">
        <f t="shared" si="109"/>
        <v>9286856.0399999991</v>
      </c>
      <c r="M120" s="1967"/>
      <c r="N120" s="2458">
        <f>VLOOKUP($A120,satpek!$B$20:$L$138,8,0)</f>
        <v>0.46415793062521393</v>
      </c>
      <c r="O120" s="1954">
        <f>VLOOKUP($A120,satpek!$B$20:$L$138,9,0)</f>
        <v>7242.692500000001</v>
      </c>
      <c r="P120" s="1954">
        <f>VLOOKUP($A120,satpek!$B$20:$L$138,10,0)</f>
        <v>8184.2425250000015</v>
      </c>
      <c r="Q120" s="1952">
        <f t="shared" si="110"/>
        <v>4310567.8795650341</v>
      </c>
      <c r="R120" s="1952">
        <f t="shared" si="111"/>
        <v>4310567.8815406682</v>
      </c>
      <c r="S120" s="1955">
        <f t="shared" si="112"/>
        <v>4976288.1584593309</v>
      </c>
      <c r="V120" s="1956">
        <v>595.16096804676351</v>
      </c>
      <c r="W120" s="1956"/>
      <c r="X120" s="1956">
        <f t="shared" si="73"/>
        <v>0</v>
      </c>
      <c r="Y120" s="1836" t="s">
        <v>420</v>
      </c>
      <c r="AC120" s="1836"/>
      <c r="AD120" s="1836"/>
      <c r="AE120" s="1836"/>
      <c r="AF120" s="1837">
        <v>15438.06</v>
      </c>
      <c r="AG120" s="1960">
        <f t="shared" si="74"/>
        <v>-165.88000000000102</v>
      </c>
    </row>
    <row r="121" spans="1:33" ht="21.95" customHeight="1" x14ac:dyDescent="0.2">
      <c r="A121" s="1833">
        <f>satpek!$B$46</f>
        <v>27</v>
      </c>
      <c r="B121" s="1943">
        <f>B120+1</f>
        <v>3</v>
      </c>
      <c r="C121" s="1937"/>
      <c r="D121" s="1944" t="str">
        <f>VLOOKUP($A121,satpek!$B$20:$N$144,2,0)</f>
        <v>Memasang bekisting untuk lantai (2x pakai)</v>
      </c>
      <c r="E121" s="1944"/>
      <c r="F121" s="2004"/>
      <c r="G121" s="1945">
        <f>'[3]B.VOL RAB'!Q214</f>
        <v>285.63399999999996</v>
      </c>
      <c r="H121" s="2456" t="str">
        <f>VLOOKUP($A121,satpek!$B$20:$N$144,7,0)</f>
        <v>m2</v>
      </c>
      <c r="I121" s="2457" t="str">
        <f>VLOOKUP($A121,satpek!$B$20:$N$144,5,0)</f>
        <v>A.4.1.1.24</v>
      </c>
      <c r="J121" s="1951">
        <f>VLOOKUP($A121,satpek!$B$20:$N$144,6,0)</f>
        <v>242900.28</v>
      </c>
      <c r="K121" s="1938"/>
      <c r="L121" s="1952">
        <f t="shared" si="109"/>
        <v>69380578.579999998</v>
      </c>
      <c r="M121" s="1967"/>
      <c r="N121" s="2458">
        <f>VLOOKUP($A121,satpek!$B$20:$L$138,8,0)</f>
        <v>0.76655687675617334</v>
      </c>
      <c r="O121" s="1954">
        <f>VLOOKUP($A121,satpek!$B$20:$L$138,9,0)</f>
        <v>164776</v>
      </c>
      <c r="P121" s="1954">
        <f>VLOOKUP($A121,satpek!$B$20:$L$138,10,0)</f>
        <v>186196.88</v>
      </c>
      <c r="Q121" s="1952">
        <f t="shared" si="110"/>
        <v>47065627.98399999</v>
      </c>
      <c r="R121" s="1952">
        <f t="shared" si="111"/>
        <v>53184159.623821057</v>
      </c>
      <c r="S121" s="1955">
        <f t="shared" si="112"/>
        <v>16196418.956178941</v>
      </c>
      <c r="V121" s="1956">
        <v>285.63399999999996</v>
      </c>
      <c r="W121" s="1956"/>
      <c r="X121" s="1956">
        <f t="shared" si="73"/>
        <v>0</v>
      </c>
      <c r="Y121" s="1836" t="s">
        <v>1910</v>
      </c>
      <c r="AC121" s="1836"/>
      <c r="AD121" s="1836"/>
      <c r="AE121" s="1836"/>
      <c r="AF121" s="1837">
        <v>195923.91999999998</v>
      </c>
      <c r="AG121" s="1960">
        <f t="shared" si="74"/>
        <v>-46976.360000000015</v>
      </c>
    </row>
    <row r="122" spans="1:33" ht="21.95" customHeight="1" x14ac:dyDescent="0.2">
      <c r="B122" s="1943"/>
      <c r="C122" s="1937"/>
      <c r="D122" s="1944"/>
      <c r="E122" s="1944"/>
      <c r="F122" s="2004"/>
      <c r="G122" s="1945"/>
      <c r="H122" s="2472"/>
      <c r="I122" s="2457"/>
      <c r="J122" s="1951"/>
      <c r="K122" s="2095"/>
      <c r="L122" s="1952"/>
      <c r="M122" s="1967"/>
      <c r="N122" s="2473"/>
      <c r="O122" s="1950"/>
      <c r="P122" s="1950"/>
      <c r="Q122" s="2094"/>
      <c r="R122" s="2096"/>
      <c r="S122" s="2097"/>
      <c r="V122" s="1956"/>
      <c r="W122" s="1956"/>
      <c r="X122" s="1956">
        <f t="shared" si="73"/>
        <v>0</v>
      </c>
      <c r="AC122" s="1836"/>
      <c r="AD122" s="1836"/>
      <c r="AE122" s="1836"/>
      <c r="AF122" s="1837"/>
      <c r="AG122" s="1960">
        <f t="shared" si="74"/>
        <v>0</v>
      </c>
    </row>
    <row r="123" spans="1:33" ht="21.95" customHeight="1" x14ac:dyDescent="0.2">
      <c r="B123" s="2102"/>
      <c r="C123" s="2103"/>
      <c r="D123" s="2081" t="s">
        <v>1778</v>
      </c>
      <c r="E123" s="1930"/>
      <c r="F123" s="1931"/>
      <c r="G123" s="1945"/>
      <c r="H123" s="2452"/>
      <c r="I123" s="2453"/>
      <c r="J123" s="1951"/>
      <c r="K123" s="2066"/>
      <c r="L123" s="2067"/>
      <c r="M123" s="1967"/>
      <c r="N123" s="2454"/>
      <c r="O123" s="1936"/>
      <c r="P123" s="1936"/>
      <c r="Q123" s="1934"/>
      <c r="R123" s="1940"/>
      <c r="S123" s="1941"/>
      <c r="V123" s="1956"/>
      <c r="W123" s="1956"/>
      <c r="X123" s="1956">
        <f t="shared" si="73"/>
        <v>0</v>
      </c>
      <c r="Y123" s="1836" t="s">
        <v>1778</v>
      </c>
      <c r="AC123" s="1836"/>
      <c r="AD123" s="1836"/>
      <c r="AE123" s="1836"/>
      <c r="AF123" s="1837"/>
      <c r="AG123" s="1960">
        <f t="shared" si="74"/>
        <v>0</v>
      </c>
    </row>
    <row r="124" spans="1:33" ht="21.95" customHeight="1" x14ac:dyDescent="0.2">
      <c r="B124" s="2102"/>
      <c r="C124" s="2103"/>
      <c r="D124" s="2081" t="s">
        <v>1798</v>
      </c>
      <c r="E124" s="1930"/>
      <c r="F124" s="1931"/>
      <c r="G124" s="1945"/>
      <c r="H124" s="2452"/>
      <c r="I124" s="2453"/>
      <c r="J124" s="1951"/>
      <c r="K124" s="2066"/>
      <c r="L124" s="2067"/>
      <c r="M124" s="1967"/>
      <c r="N124" s="2454"/>
      <c r="O124" s="1936"/>
      <c r="P124" s="1936"/>
      <c r="Q124" s="1934"/>
      <c r="R124" s="1940"/>
      <c r="S124" s="1941"/>
      <c r="V124" s="1956"/>
      <c r="W124" s="1956"/>
      <c r="X124" s="1956">
        <f t="shared" si="73"/>
        <v>0</v>
      </c>
      <c r="Y124" s="1836" t="s">
        <v>1798</v>
      </c>
      <c r="AC124" s="1836"/>
      <c r="AD124" s="1836"/>
      <c r="AE124" s="1836"/>
      <c r="AF124" s="1837"/>
      <c r="AG124" s="1960">
        <f t="shared" si="74"/>
        <v>0</v>
      </c>
    </row>
    <row r="125" spans="1:33" ht="21.95" customHeight="1" x14ac:dyDescent="0.2">
      <c r="A125" s="1833">
        <f>satpek!$B$40</f>
        <v>21</v>
      </c>
      <c r="B125" s="1943">
        <v>1</v>
      </c>
      <c r="C125" s="1937"/>
      <c r="D125" s="1944" t="str">
        <f>VLOOKUP($A125,satpek!$B$20:$N$144,2,0)</f>
        <v>Membuat beton mutu f'c = 21,7 Mpa - K 250</v>
      </c>
      <c r="E125" s="1944"/>
      <c r="F125" s="2004"/>
      <c r="G125" s="1945">
        <f>'[3]B.VOL RAB'!Q219</f>
        <v>11.52</v>
      </c>
      <c r="H125" s="2456" t="str">
        <f>VLOOKUP($A125,satpek!$B$20:$N$144,7,0)</f>
        <v>m3</v>
      </c>
      <c r="I125" s="2457" t="str">
        <f>VLOOKUP($A125,satpek!$B$20:$N$144,5,0)</f>
        <v>A.4.1.1.8.</v>
      </c>
      <c r="J125" s="1951">
        <f>VLOOKUP($A125,satpek!$B$20:$N$144,6,0)</f>
        <v>1115753.29</v>
      </c>
      <c r="K125" s="1938"/>
      <c r="L125" s="1952">
        <f t="shared" ref="L125:L126" si="113">ROUND((G125*J125),2)</f>
        <v>12853477.9</v>
      </c>
      <c r="M125" s="1967"/>
      <c r="N125" s="2458">
        <f>VLOOKUP($A125,satpek!$B$20:$L$138,8,0)</f>
        <v>0.93065078521121514</v>
      </c>
      <c r="O125" s="1954">
        <f>VLOOKUP($A125,satpek!$B$20:$L$138,9,0)</f>
        <v>918917.40999999992</v>
      </c>
      <c r="P125" s="1954">
        <f>VLOOKUP($A125,satpek!$B$20:$L$138,10,0)</f>
        <v>1038376.6732999999</v>
      </c>
      <c r="Q125" s="1952">
        <f t="shared" ref="Q125:Q127" si="114">O125*G125</f>
        <v>10585928.563199999</v>
      </c>
      <c r="R125" s="1952">
        <f t="shared" ref="R125:R127" si="115">N125*L125</f>
        <v>11962099.300330002</v>
      </c>
      <c r="S125" s="1955">
        <f t="shared" ref="S125:S127" si="116">L125-R125</f>
        <v>891378.59966999851</v>
      </c>
      <c r="T125" s="1848">
        <f>L125+L119+L115+L111+L107+L101+L97+L93+L89+L85+L78+L71+L67+L58+L54+L50+L45+L41+L63</f>
        <v>349139176.44</v>
      </c>
      <c r="V125" s="1956">
        <v>14.591999999999999</v>
      </c>
      <c r="W125" s="1956"/>
      <c r="X125" s="1956">
        <f t="shared" si="73"/>
        <v>3.0719999999999992</v>
      </c>
      <c r="Y125" s="1836" t="s">
        <v>1905</v>
      </c>
      <c r="AC125" s="1836"/>
      <c r="AD125" s="1836"/>
      <c r="AE125" s="1836"/>
      <c r="AF125" s="1837">
        <v>1191397.42</v>
      </c>
      <c r="AG125" s="1960">
        <f t="shared" si="74"/>
        <v>75644.129999999888</v>
      </c>
    </row>
    <row r="126" spans="1:33" ht="21.95" customHeight="1" x14ac:dyDescent="0.2">
      <c r="A126" s="1833">
        <f>satpek!$B$41</f>
        <v>22</v>
      </c>
      <c r="B126" s="1943">
        <f>B125+1</f>
        <v>2</v>
      </c>
      <c r="C126" s="1937"/>
      <c r="D126" s="1944" t="str">
        <f>VLOOKUP($A126,satpek!$B$20:$N$144,2,0)</f>
        <v>Pembesian 1 kg dengan besi polos atau besi ulir</v>
      </c>
      <c r="E126" s="1944"/>
      <c r="F126" s="2004"/>
      <c r="G126" s="1945">
        <f>'[3]B.VOL RAB'!Q221</f>
        <v>1930.3790949339673</v>
      </c>
      <c r="H126" s="2456" t="str">
        <f>VLOOKUP($A126,satpek!$B$20:$N$144,7,0)</f>
        <v>kg</v>
      </c>
      <c r="I126" s="2457" t="str">
        <f>VLOOKUP($A126,satpek!$B$20:$N$144,5,0)</f>
        <v>A.4.1.1.17.</v>
      </c>
      <c r="J126" s="1951">
        <f>VLOOKUP($A126,satpek!$B$20:$N$144,6,0)</f>
        <v>15603.94</v>
      </c>
      <c r="K126" s="1938"/>
      <c r="L126" s="1952">
        <f t="shared" si="113"/>
        <v>30121519.57</v>
      </c>
      <c r="M126" s="1967"/>
      <c r="N126" s="2458">
        <f>VLOOKUP($A126,satpek!$B$20:$L$138,8,0)</f>
        <v>0.46415793062521393</v>
      </c>
      <c r="O126" s="1954">
        <f>VLOOKUP($A126,satpek!$B$20:$L$138,9,0)</f>
        <v>7242.692500000001</v>
      </c>
      <c r="P126" s="1954">
        <f>VLOOKUP($A126,satpek!$B$20:$L$138,10,0)</f>
        <v>8184.2425250000015</v>
      </c>
      <c r="Q126" s="1952">
        <f t="shared" si="114"/>
        <v>13981142.193035034</v>
      </c>
      <c r="R126" s="1952">
        <f t="shared" si="115"/>
        <v>13981142.190898083</v>
      </c>
      <c r="S126" s="1955">
        <f t="shared" si="116"/>
        <v>16140377.379101917</v>
      </c>
      <c r="T126" s="1848">
        <f>L126+L120+L116+L112+L108+L102+L98+L94+L90+L86+L79+L72+L68+L59+L55+L51+L46+L42+L64</f>
        <v>682863548.50999999</v>
      </c>
      <c r="V126" s="1956">
        <v>2444.9166795612718</v>
      </c>
      <c r="W126" s="1956"/>
      <c r="X126" s="1956">
        <f t="shared" si="73"/>
        <v>514.53758462730457</v>
      </c>
      <c r="Y126" s="1836" t="s">
        <v>420</v>
      </c>
      <c r="AC126" s="1836"/>
      <c r="AD126" s="1836"/>
      <c r="AE126" s="1836"/>
      <c r="AF126" s="1837">
        <v>15556.71</v>
      </c>
      <c r="AG126" s="1960">
        <f t="shared" si="74"/>
        <v>-47.230000000001382</v>
      </c>
    </row>
    <row r="127" spans="1:33" ht="21.95" customHeight="1" x14ac:dyDescent="0.2">
      <c r="A127" s="1833">
        <f>satpek!$B$44</f>
        <v>25</v>
      </c>
      <c r="B127" s="1943">
        <f>B126+1</f>
        <v>3</v>
      </c>
      <c r="C127" s="1937"/>
      <c r="D127" s="1944" t="str">
        <f>VLOOKUP($A127,satpek!$B$20:$N$144,2,0)</f>
        <v>Memasang bekisting untuk kolom (2 kali pakai)</v>
      </c>
      <c r="E127" s="1944"/>
      <c r="F127" s="2004"/>
      <c r="G127" s="1945">
        <f>'[3]B.VOL RAB'!Q224</f>
        <v>57.599999999999994</v>
      </c>
      <c r="H127" s="2456" t="str">
        <f>VLOOKUP($A127,satpek!$B$20:$N$144,7,0)</f>
        <v>m2</v>
      </c>
      <c r="I127" s="2457" t="str">
        <f>VLOOKUP($A127,satpek!$B$20:$N$144,5,0)</f>
        <v>A.4.1.1.22.</v>
      </c>
      <c r="J127" s="1951">
        <f>VLOOKUP($A127,satpek!$B$20:$N$144,6,0)</f>
        <v>192050.28</v>
      </c>
      <c r="K127" s="1938"/>
      <c r="L127" s="1952">
        <f t="shared" ref="L127" si="117">ROUND((G127*J127),2)</f>
        <v>11062096.130000001</v>
      </c>
      <c r="M127" s="1967"/>
      <c r="N127" s="2458">
        <f>VLOOKUP($A127,satpek!$B$20:$L$138,8,0)</f>
        <v>0.82830850337734474</v>
      </c>
      <c r="O127" s="1954">
        <f>VLOOKUP($A127,satpek!$B$20:$L$138,9,0)</f>
        <v>140776</v>
      </c>
      <c r="P127" s="1954">
        <f>VLOOKUP($A127,satpek!$B$20:$L$138,10,0)</f>
        <v>159076.88</v>
      </c>
      <c r="Q127" s="1952">
        <f t="shared" si="114"/>
        <v>8108697.5999999996</v>
      </c>
      <c r="R127" s="1952">
        <f t="shared" si="115"/>
        <v>9162828.2896566186</v>
      </c>
      <c r="S127" s="1955">
        <f t="shared" si="116"/>
        <v>1899267.8403433822</v>
      </c>
      <c r="V127" s="1956">
        <v>72.959999999999994</v>
      </c>
      <c r="W127" s="1956"/>
      <c r="X127" s="1956">
        <f t="shared" si="73"/>
        <v>15.36</v>
      </c>
      <c r="Y127" s="1836" t="s">
        <v>1908</v>
      </c>
      <c r="AC127" s="1836"/>
      <c r="AD127" s="1836"/>
      <c r="AE127" s="1836"/>
      <c r="AF127" s="1837">
        <v>193211.91999999998</v>
      </c>
      <c r="AG127" s="1960">
        <f t="shared" si="74"/>
        <v>1161.6399999999849</v>
      </c>
    </row>
    <row r="128" spans="1:33" ht="21.95" customHeight="1" x14ac:dyDescent="0.2">
      <c r="B128" s="1943"/>
      <c r="C128" s="1937"/>
      <c r="D128" s="1944"/>
      <c r="E128" s="1944"/>
      <c r="F128" s="2004"/>
      <c r="G128" s="1945"/>
      <c r="H128" s="2472"/>
      <c r="I128" s="2457"/>
      <c r="J128" s="1951"/>
      <c r="K128" s="2095"/>
      <c r="L128" s="1952"/>
      <c r="M128" s="1967"/>
      <c r="N128" s="2473"/>
      <c r="O128" s="1950"/>
      <c r="P128" s="1950"/>
      <c r="Q128" s="2094"/>
      <c r="R128" s="2096"/>
      <c r="S128" s="2097"/>
      <c r="V128" s="1956"/>
      <c r="W128" s="1956"/>
      <c r="X128" s="1956">
        <f t="shared" si="73"/>
        <v>0</v>
      </c>
      <c r="AC128" s="1836"/>
      <c r="AD128" s="1836"/>
      <c r="AE128" s="1836"/>
      <c r="AF128" s="1837"/>
      <c r="AG128" s="1960">
        <f t="shared" si="74"/>
        <v>0</v>
      </c>
    </row>
    <row r="129" spans="1:33" ht="21.95" customHeight="1" x14ac:dyDescent="0.2">
      <c r="B129" s="2102"/>
      <c r="C129" s="2103"/>
      <c r="D129" s="2081" t="s">
        <v>1782</v>
      </c>
      <c r="E129" s="1930"/>
      <c r="F129" s="1931"/>
      <c r="G129" s="2104"/>
      <c r="H129" s="2452"/>
      <c r="I129" s="2453"/>
      <c r="J129" s="1951"/>
      <c r="K129" s="2066"/>
      <c r="L129" s="2067"/>
      <c r="M129" s="1967"/>
      <c r="N129" s="2454"/>
      <c r="O129" s="1936"/>
      <c r="P129" s="1936"/>
      <c r="Q129" s="1934"/>
      <c r="R129" s="1940"/>
      <c r="S129" s="1941"/>
      <c r="V129" s="1956"/>
      <c r="W129" s="1956"/>
      <c r="X129" s="1956">
        <f t="shared" si="73"/>
        <v>0</v>
      </c>
      <c r="Y129" s="1836" t="s">
        <v>1782</v>
      </c>
      <c r="AC129" s="1836"/>
      <c r="AD129" s="1836"/>
      <c r="AE129" s="1836"/>
      <c r="AF129" s="1837"/>
      <c r="AG129" s="1960">
        <f t="shared" si="74"/>
        <v>0</v>
      </c>
    </row>
    <row r="130" spans="1:33" ht="21.95" customHeight="1" x14ac:dyDescent="0.2">
      <c r="A130" s="1833">
        <f>satpek!$B$47</f>
        <v>28</v>
      </c>
      <c r="B130" s="1943">
        <v>1</v>
      </c>
      <c r="C130" s="1937"/>
      <c r="D130" s="1944" t="str">
        <f>VLOOKUP($A130,satpek!$B$20:$N$144,2,0)</f>
        <v>Membuat kolom praktis beton bertulang 11/11 cm</v>
      </c>
      <c r="E130" s="1944"/>
      <c r="F130" s="2004"/>
      <c r="G130" s="1945">
        <f>'[3]B.VOL RAB'!Q228</f>
        <v>152</v>
      </c>
      <c r="H130" s="2456" t="str">
        <f>VLOOKUP($A130,satpek!$B$20:$N$144,7,0)</f>
        <v>m'</v>
      </c>
      <c r="I130" s="2457" t="str">
        <f>VLOOKUP($A130,satpek!$B$20:$N$144,5,0)</f>
        <v>A.4.1.1.35.</v>
      </c>
      <c r="J130" s="1951">
        <f>VLOOKUP($A130,satpek!$B$20:$N$144,6,0)</f>
        <v>112610.15</v>
      </c>
      <c r="K130" s="1938"/>
      <c r="L130" s="1952">
        <f t="shared" ref="L130:L131" si="118">ROUND((G130*J130),2)</f>
        <v>17116742.800000001</v>
      </c>
      <c r="M130" s="1967"/>
      <c r="N130" s="2458">
        <f>VLOOKUP($A130,satpek!$B$20:$L$138,8,0)</f>
        <v>0.69870322613014901</v>
      </c>
      <c r="O130" s="1954">
        <f>VLOOKUP($A130,satpek!$B$20:$L$138,9,0)</f>
        <v>69629.27</v>
      </c>
      <c r="P130" s="1954">
        <f>VLOOKUP($A130,satpek!$B$20:$L$138,10,0)</f>
        <v>78681.075100000002</v>
      </c>
      <c r="Q130" s="1952">
        <f t="shared" ref="Q130:Q131" si="119">O130*G130</f>
        <v>10583649.040000001</v>
      </c>
      <c r="R130" s="1952">
        <f t="shared" ref="R130:R131" si="120">N130*L130</f>
        <v>11959523.415200001</v>
      </c>
      <c r="S130" s="1955">
        <f t="shared" ref="S130:S131" si="121">L130-R130</f>
        <v>5157219.3848000001</v>
      </c>
      <c r="V130" s="1956">
        <v>152</v>
      </c>
      <c r="W130" s="1956"/>
      <c r="X130" s="1956">
        <f t="shared" si="73"/>
        <v>0</v>
      </c>
      <c r="Y130" s="1836" t="s">
        <v>229</v>
      </c>
      <c r="AC130" s="1836"/>
      <c r="AD130" s="1836"/>
      <c r="AE130" s="1836"/>
      <c r="AF130" s="1837">
        <v>111027.02</v>
      </c>
      <c r="AG130" s="1960">
        <f t="shared" si="74"/>
        <v>-1583.1299999999901</v>
      </c>
    </row>
    <row r="131" spans="1:33" ht="21.95" customHeight="1" x14ac:dyDescent="0.2">
      <c r="A131" s="1833">
        <f>satpek!$B$48</f>
        <v>29</v>
      </c>
      <c r="B131" s="1943">
        <f>B130+1</f>
        <v>2</v>
      </c>
      <c r="C131" s="1937"/>
      <c r="D131" s="1944" t="s">
        <v>1783</v>
      </c>
      <c r="E131" s="1944"/>
      <c r="F131" s="2004"/>
      <c r="G131" s="2016">
        <f>'[3]B.VOL RAB'!Q229</f>
        <v>132</v>
      </c>
      <c r="H131" s="2456" t="str">
        <f>VLOOKUP($A131,satpek!$B$20:$N$144,7,0)</f>
        <v>m'</v>
      </c>
      <c r="I131" s="2457" t="str">
        <f>VLOOKUP($A131,satpek!$B$20:$N$144,5,0)</f>
        <v>A.4.1.1.36.</v>
      </c>
      <c r="J131" s="1951">
        <f>VLOOKUP($A131,satpek!$B$20:$N$144,6,0)</f>
        <v>109402.19</v>
      </c>
      <c r="K131" s="1938"/>
      <c r="L131" s="1952">
        <f t="shared" si="118"/>
        <v>14441089.08</v>
      </c>
      <c r="M131" s="1967"/>
      <c r="N131" s="2458">
        <f>VLOOKUP($A131,satpek!$B$20:$L$138,8,0)</f>
        <v>0.75420720314079981</v>
      </c>
      <c r="O131" s="1954">
        <f>VLOOKUP($A131,satpek!$B$20:$L$138,9,0)</f>
        <v>73019.399999999994</v>
      </c>
      <c r="P131" s="1954">
        <f>VLOOKUP($A131,satpek!$B$20:$L$138,10,0)</f>
        <v>82511.921999999991</v>
      </c>
      <c r="Q131" s="1952">
        <f t="shared" si="119"/>
        <v>9638560.7999999989</v>
      </c>
      <c r="R131" s="1952">
        <f t="shared" si="120"/>
        <v>10891573.405333946</v>
      </c>
      <c r="S131" s="1955">
        <f t="shared" si="121"/>
        <v>3549515.6746660545</v>
      </c>
      <c r="V131" s="1956">
        <v>132</v>
      </c>
      <c r="W131" s="1956"/>
      <c r="X131" s="1956">
        <f t="shared" si="73"/>
        <v>0</v>
      </c>
      <c r="Y131" s="1836" t="s">
        <v>1783</v>
      </c>
      <c r="AC131" s="1836"/>
      <c r="AD131" s="1836"/>
      <c r="AE131" s="1836"/>
      <c r="AF131" s="1837">
        <v>106967.5</v>
      </c>
      <c r="AG131" s="1960">
        <f t="shared" si="74"/>
        <v>-2434.6900000000023</v>
      </c>
    </row>
    <row r="132" spans="1:33" ht="21.95" customHeight="1" x14ac:dyDescent="0.2">
      <c r="B132" s="2017"/>
      <c r="C132" s="2018"/>
      <c r="D132" s="2019"/>
      <c r="E132" s="2019"/>
      <c r="F132" s="2020"/>
      <c r="G132" s="2021"/>
      <c r="H132" s="2461"/>
      <c r="I132" s="2462"/>
      <c r="J132" s="2026"/>
      <c r="K132" s="2027"/>
      <c r="L132" s="2065" t="s">
        <v>1799</v>
      </c>
      <c r="M132" s="2463">
        <f>SUM(L39:L132)</f>
        <v>1686933528.95</v>
      </c>
      <c r="N132" s="2464">
        <f>R132/M132</f>
        <v>0.69281335287996504</v>
      </c>
      <c r="O132" s="2025"/>
      <c r="P132" s="2025"/>
      <c r="Q132" s="2023"/>
      <c r="R132" s="2068">
        <f>SUM(R37:R131)</f>
        <v>1168730074.2774811</v>
      </c>
      <c r="S132" s="2467">
        <f>SUM(S38:S131)</f>
        <v>518203454.67251885</v>
      </c>
      <c r="U132" s="1848">
        <f>M132-T132</f>
        <v>1686933528.95</v>
      </c>
      <c r="V132" s="1956"/>
      <c r="W132" s="1956"/>
      <c r="X132" s="1956">
        <f t="shared" si="73"/>
        <v>0</v>
      </c>
      <c r="Y132" s="2069"/>
      <c r="AC132" s="1836"/>
      <c r="AD132" s="1836"/>
      <c r="AE132" s="1836"/>
      <c r="AF132" s="1837"/>
      <c r="AG132" s="1960">
        <f t="shared" si="74"/>
        <v>0</v>
      </c>
    </row>
    <row r="133" spans="1:33" ht="21.95" customHeight="1" x14ac:dyDescent="0.2">
      <c r="B133" s="1987"/>
      <c r="C133" s="1988"/>
      <c r="D133" s="1988"/>
      <c r="E133" s="1988"/>
      <c r="F133" s="1990"/>
      <c r="G133" s="1991"/>
      <c r="H133" s="2037"/>
      <c r="I133" s="2038"/>
      <c r="J133" s="1997"/>
      <c r="K133" s="2392"/>
      <c r="L133" s="2475"/>
      <c r="M133" s="2476"/>
      <c r="N133" s="2466"/>
      <c r="O133" s="2040"/>
      <c r="P133" s="2040"/>
      <c r="Q133" s="2038"/>
      <c r="R133" s="2043"/>
      <c r="S133" s="2044"/>
      <c r="V133" s="1956"/>
      <c r="W133" s="1956"/>
      <c r="X133" s="1956">
        <f t="shared" si="73"/>
        <v>0</v>
      </c>
      <c r="Y133" s="2069"/>
      <c r="AC133" s="1836"/>
      <c r="AD133" s="1836"/>
      <c r="AE133" s="1836"/>
      <c r="AF133" s="1837"/>
      <c r="AG133" s="1960">
        <f t="shared" si="74"/>
        <v>0</v>
      </c>
    </row>
    <row r="134" spans="1:33" ht="21.95" customHeight="1" x14ac:dyDescent="0.2">
      <c r="B134" s="2032" t="s">
        <v>1800</v>
      </c>
      <c r="C134" s="1928"/>
      <c r="D134" s="1929" t="s">
        <v>1801</v>
      </c>
      <c r="E134" s="1930"/>
      <c r="F134" s="1931"/>
      <c r="G134" s="1945"/>
      <c r="H134" s="2452"/>
      <c r="I134" s="2453"/>
      <c r="J134" s="1951"/>
      <c r="K134" s="2089"/>
      <c r="L134" s="2090"/>
      <c r="M134" s="1967"/>
      <c r="N134" s="2454"/>
      <c r="O134" s="1936"/>
      <c r="P134" s="1936"/>
      <c r="Q134" s="1934"/>
      <c r="R134" s="1940"/>
      <c r="S134" s="1941"/>
      <c r="V134" s="1956"/>
      <c r="W134" s="1956"/>
      <c r="X134" s="1956">
        <f t="shared" si="73"/>
        <v>0</v>
      </c>
      <c r="Y134" s="1836" t="s">
        <v>1801</v>
      </c>
      <c r="AC134" s="1836"/>
      <c r="AD134" s="1836"/>
      <c r="AE134" s="1836"/>
      <c r="AF134" s="1837"/>
      <c r="AG134" s="1960">
        <f t="shared" si="74"/>
        <v>0</v>
      </c>
    </row>
    <row r="135" spans="1:33" ht="21.95" customHeight="1" x14ac:dyDescent="0.2">
      <c r="B135" s="2032"/>
      <c r="C135" s="1928"/>
      <c r="D135" s="1929" t="s">
        <v>1769</v>
      </c>
      <c r="E135" s="1930"/>
      <c r="F135" s="1931"/>
      <c r="G135" s="1945"/>
      <c r="H135" s="2452"/>
      <c r="I135" s="2453"/>
      <c r="J135" s="1951"/>
      <c r="K135" s="2089"/>
      <c r="L135" s="2090"/>
      <c r="M135" s="1967"/>
      <c r="N135" s="2454"/>
      <c r="O135" s="1936"/>
      <c r="P135" s="1936"/>
      <c r="Q135" s="1934"/>
      <c r="R135" s="1940"/>
      <c r="S135" s="1941"/>
      <c r="V135" s="1956"/>
      <c r="W135" s="1956"/>
      <c r="X135" s="1956">
        <f t="shared" si="73"/>
        <v>0</v>
      </c>
      <c r="Y135" s="1836" t="s">
        <v>1769</v>
      </c>
      <c r="AC135" s="1836"/>
      <c r="AD135" s="1836"/>
      <c r="AE135" s="1836"/>
      <c r="AF135" s="1837"/>
      <c r="AG135" s="1960">
        <f t="shared" si="74"/>
        <v>0</v>
      </c>
    </row>
    <row r="136" spans="1:33" ht="21.95" customHeight="1" x14ac:dyDescent="0.2">
      <c r="A136" s="1833">
        <f>satpek!$B$34</f>
        <v>15</v>
      </c>
      <c r="B136" s="1943">
        <v>1</v>
      </c>
      <c r="C136" s="1937"/>
      <c r="D136" s="1944" t="str">
        <f>VLOOKUP($A136,satpek!$B$20:$N$144,2,0)</f>
        <v>Membuat dinding bt. merah t: 1/2bata, camp 1PC:8PP</v>
      </c>
      <c r="E136" s="1944"/>
      <c r="F136" s="2004"/>
      <c r="G136" s="1945">
        <f>'[3]B.VOL RAB'!Q233</f>
        <v>549.26</v>
      </c>
      <c r="H136" s="2456" t="str">
        <f>VLOOKUP($A136,satpek!$B$20:$N$144,7,0)</f>
        <v>m2</v>
      </c>
      <c r="I136" s="2457" t="str">
        <f>VLOOKUP($A136,satpek!$B$20:$N$144,5,0)</f>
        <v>A.4.4.1.12.</v>
      </c>
      <c r="J136" s="1951">
        <f>VLOOKUP($A136,satpek!$B$20:$N$144,6,0)</f>
        <v>129498</v>
      </c>
      <c r="K136" s="1938"/>
      <c r="L136" s="1952">
        <f t="shared" ref="L136" si="122">ROUND((G136*J136),2)</f>
        <v>71128071.480000004</v>
      </c>
      <c r="M136" s="1967"/>
      <c r="N136" s="2458">
        <f>VLOOKUP($A136,satpek!$B$20:$L$138,8,0)</f>
        <v>0.98988586387434552</v>
      </c>
      <c r="O136" s="1954">
        <f>VLOOKUP($A136,satpek!$B$20:$L$138,9,0)</f>
        <v>113440.92</v>
      </c>
      <c r="P136" s="1954">
        <f>VLOOKUP($A136,satpek!$B$20:$L$138,10,0)</f>
        <v>128188.2396</v>
      </c>
      <c r="Q136" s="1952">
        <f t="shared" ref="Q136:Q140" si="123">O136*G136</f>
        <v>62308559.7192</v>
      </c>
      <c r="R136" s="1952">
        <f t="shared" ref="R136:R140" si="124">N136*L136</f>
        <v>70408672.482695997</v>
      </c>
      <c r="S136" s="1955">
        <f t="shared" ref="S136:S140" si="125">L136-R136</f>
        <v>719398.99730400741</v>
      </c>
      <c r="V136" s="1956">
        <v>549.26</v>
      </c>
      <c r="W136" s="1956"/>
      <c r="X136" s="1956">
        <f t="shared" si="73"/>
        <v>0</v>
      </c>
      <c r="Y136" s="1836" t="s">
        <v>666</v>
      </c>
      <c r="AC136" s="1836"/>
      <c r="AD136" s="1836"/>
      <c r="AE136" s="1836"/>
      <c r="AF136" s="1837">
        <v>119970.97</v>
      </c>
      <c r="AG136" s="1960">
        <f t="shared" si="74"/>
        <v>-9527.0299999999988</v>
      </c>
    </row>
    <row r="137" spans="1:33" ht="21.95" customHeight="1" x14ac:dyDescent="0.2">
      <c r="A137" s="1833">
        <f>satpek!$B$58</f>
        <v>39</v>
      </c>
      <c r="B137" s="2105">
        <f>B136+1</f>
        <v>2</v>
      </c>
      <c r="C137" s="1937"/>
      <c r="D137" s="1944" t="str">
        <f>VLOOKUP($A137,satpek!$B$20:$N$144,2,0)</f>
        <v>Membuat dinding partisi gypsum 9mm double</v>
      </c>
      <c r="E137" s="1944"/>
      <c r="F137" s="2004"/>
      <c r="G137" s="1945">
        <f>'[3]B.VOL RAB'!Q262</f>
        <v>247.13599999999997</v>
      </c>
      <c r="H137" s="2456" t="str">
        <f>VLOOKUP($A137,satpek!$B$20:$N$144,7,0)</f>
        <v>m2</v>
      </c>
      <c r="I137" s="2457" t="str">
        <f>VLOOKUP($A137,satpek!$B$20:$N$144,5,0)</f>
        <v>A.4.2.1.20.</v>
      </c>
      <c r="J137" s="1951">
        <f>VLOOKUP($A137,satpek!$B$20:$N$144,6,0)</f>
        <v>210845.94</v>
      </c>
      <c r="K137" s="1938"/>
      <c r="L137" s="1952">
        <f t="shared" ref="L137" si="126">ROUND((G137*J137),2)</f>
        <v>52107622.229999997</v>
      </c>
      <c r="M137" s="1967"/>
      <c r="N137" s="2458">
        <f>VLOOKUP($A137,satpek!$B$20:$L$138,8,0)</f>
        <v>0.45788799844557021</v>
      </c>
      <c r="O137" s="1954">
        <f>VLOOKUP($A137,satpek!$B$20:$L$138,9,0)</f>
        <v>85437.014844999998</v>
      </c>
      <c r="P137" s="1954">
        <f>VLOOKUP($A137,satpek!$B$20:$L$138,10,0)</f>
        <v>96543.826774849993</v>
      </c>
      <c r="Q137" s="1952">
        <f t="shared" si="123"/>
        <v>21114562.100733917</v>
      </c>
      <c r="R137" s="1952">
        <f t="shared" si="124"/>
        <v>23859454.846652597</v>
      </c>
      <c r="S137" s="1955">
        <f t="shared" si="125"/>
        <v>28248167.3833474</v>
      </c>
      <c r="V137" s="1956">
        <v>247.13599999999997</v>
      </c>
      <c r="W137" s="1956"/>
      <c r="X137" s="1956">
        <f t="shared" si="73"/>
        <v>0</v>
      </c>
      <c r="Y137" s="1836" t="s">
        <v>1911</v>
      </c>
      <c r="AC137" s="1836"/>
      <c r="AD137" s="1836"/>
      <c r="AE137" s="1836"/>
      <c r="AF137" s="1837">
        <v>203748.41000000003</v>
      </c>
      <c r="AG137" s="1960">
        <f t="shared" si="74"/>
        <v>-7097.5299999999697</v>
      </c>
    </row>
    <row r="138" spans="1:33" ht="21.95" customHeight="1" x14ac:dyDescent="0.2">
      <c r="A138" s="1833">
        <f>satpek!$B$36</f>
        <v>17</v>
      </c>
      <c r="B138" s="2105">
        <f>B137+1</f>
        <v>3</v>
      </c>
      <c r="C138" s="1937"/>
      <c r="D138" s="1944" t="str">
        <f>VLOOKUP($A138,satpek!$B$20:$N$144,2,0)</f>
        <v>Memasang plesteran 1 PC : 6 PP, tebal 15 mm</v>
      </c>
      <c r="E138" s="1944"/>
      <c r="F138" s="2004"/>
      <c r="G138" s="1945">
        <f>'[3]B.VOL RAB'!Q280</f>
        <v>1098.52</v>
      </c>
      <c r="H138" s="2456" t="str">
        <f>VLOOKUP($A138,satpek!$B$20:$N$144,7,0)</f>
        <v>m2</v>
      </c>
      <c r="I138" s="2457" t="str">
        <f>VLOOKUP($A138,satpek!$B$20:$N$144,5,0)</f>
        <v>A.4.4.2.6.</v>
      </c>
      <c r="J138" s="1951">
        <f>VLOOKUP($A138,satpek!$B$20:$N$144,6,0)</f>
        <v>62262.1</v>
      </c>
      <c r="K138" s="1938"/>
      <c r="L138" s="1952">
        <f t="shared" ref="L138" si="127">ROUND((G138*J138),2)</f>
        <v>68396162.090000004</v>
      </c>
      <c r="M138" s="1967"/>
      <c r="N138" s="2458">
        <f>VLOOKUP($A138,satpek!$B$20:$L$138,8,0)</f>
        <v>0.9857083021169093</v>
      </c>
      <c r="O138" s="1954">
        <f>VLOOKUP($A138,satpek!$B$20:$L$138,9,0)</f>
        <v>54311.738880000004</v>
      </c>
      <c r="P138" s="1954">
        <f>VLOOKUP($A138,satpek!$B$20:$L$138,10,0)</f>
        <v>61372.264934400009</v>
      </c>
      <c r="Q138" s="1952">
        <f t="shared" si="123"/>
        <v>59662531.394457601</v>
      </c>
      <c r="R138" s="1952">
        <f t="shared" si="124"/>
        <v>67418664.805046827</v>
      </c>
      <c r="S138" s="1955">
        <f t="shared" si="125"/>
        <v>977497.28495317698</v>
      </c>
      <c r="V138" s="1956">
        <v>1098.52</v>
      </c>
      <c r="W138" s="1956"/>
      <c r="X138" s="1956">
        <f t="shared" si="73"/>
        <v>0</v>
      </c>
      <c r="Y138" s="1836" t="s">
        <v>469</v>
      </c>
      <c r="AC138" s="1836"/>
      <c r="AD138" s="1836"/>
      <c r="AE138" s="1836"/>
      <c r="AF138" s="1837">
        <v>59838.25</v>
      </c>
      <c r="AG138" s="1960">
        <f t="shared" si="74"/>
        <v>-2423.8499999999985</v>
      </c>
    </row>
    <row r="139" spans="1:33" ht="21.95" customHeight="1" x14ac:dyDescent="0.2">
      <c r="A139" s="1833">
        <f>satpek!$B$109</f>
        <v>90</v>
      </c>
      <c r="B139" s="2105">
        <f>B138+1</f>
        <v>4</v>
      </c>
      <c r="C139" s="1937"/>
      <c r="D139" s="1944" t="str">
        <f>VLOOKUP($A139,satpek!$B$20:$N$144,2,0)</f>
        <v>Sponengan</v>
      </c>
      <c r="E139" s="1944"/>
      <c r="F139" s="2004"/>
      <c r="G139" s="1945">
        <f>'[3]B.VOL RAB'!Q281</f>
        <v>1206.2</v>
      </c>
      <c r="H139" s="2456" t="str">
        <f>VLOOKUP($A139,satpek!$B$20:$N$144,7,0)</f>
        <v>m'</v>
      </c>
      <c r="I139" s="2457" t="str">
        <f>VLOOKUP($A139,satpek!$B$20:$N$144,5,0)</f>
        <v>Harga Satuan</v>
      </c>
      <c r="J139" s="1951">
        <f>VLOOKUP($A139,satpek!$B$20:$N$144,6,0)</f>
        <v>15000</v>
      </c>
      <c r="K139" s="1938"/>
      <c r="L139" s="1952">
        <f t="shared" ref="L139" si="128">ROUND((G139*J139),2)</f>
        <v>18093000</v>
      </c>
      <c r="M139" s="1967"/>
      <c r="N139" s="2458">
        <f>VLOOKUP($A139,satpek!$B$20:$L$138,8,0)</f>
        <v>0.5</v>
      </c>
      <c r="O139" s="1954">
        <f>VLOOKUP($A139,satpek!$B$20:$L$138,9,0)</f>
        <v>0</v>
      </c>
      <c r="P139" s="1954">
        <f>VLOOKUP($A139,satpek!$B$20:$L$138,10,0)</f>
        <v>7500</v>
      </c>
      <c r="Q139" s="1952">
        <f t="shared" si="123"/>
        <v>0</v>
      </c>
      <c r="R139" s="1952">
        <f t="shared" si="124"/>
        <v>9046500</v>
      </c>
      <c r="S139" s="1955">
        <f t="shared" si="125"/>
        <v>9046500</v>
      </c>
      <c r="V139" s="1956">
        <v>1206.2</v>
      </c>
      <c r="W139" s="1956"/>
      <c r="X139" s="1956">
        <f t="shared" si="73"/>
        <v>0</v>
      </c>
      <c r="Y139" s="1836" t="s">
        <v>585</v>
      </c>
      <c r="AC139" s="1836"/>
      <c r="AD139" s="1836"/>
      <c r="AE139" s="1836"/>
      <c r="AF139" s="1837">
        <v>15000</v>
      </c>
      <c r="AG139" s="1960">
        <f t="shared" si="74"/>
        <v>0</v>
      </c>
    </row>
    <row r="140" spans="1:33" ht="21.95" customHeight="1" x14ac:dyDescent="0.2">
      <c r="A140" s="1833">
        <f>satpek!$B$37</f>
        <v>18</v>
      </c>
      <c r="B140" s="2105">
        <f>B139+1</f>
        <v>5</v>
      </c>
      <c r="C140" s="1937"/>
      <c r="D140" s="1944" t="str">
        <f>VLOOKUP($A140,satpek!$B$20:$N$144,2,0)</f>
        <v>Memasang acian</v>
      </c>
      <c r="E140" s="1944"/>
      <c r="F140" s="2004"/>
      <c r="G140" s="1945">
        <f>'[3]B.VOL RAB'!Q284</f>
        <v>1098.52</v>
      </c>
      <c r="H140" s="2456" t="str">
        <f>VLOOKUP($A140,satpek!$B$20:$N$144,7,0)</f>
        <v>m2</v>
      </c>
      <c r="I140" s="2457" t="str">
        <f>VLOOKUP($A140,satpek!$B$20:$N$144,5,0)</f>
        <v>A.4.4.2.27.</v>
      </c>
      <c r="J140" s="1951">
        <f>VLOOKUP($A140,satpek!$B$20:$N$144,6,0)</f>
        <v>36634.6</v>
      </c>
      <c r="K140" s="1938"/>
      <c r="L140" s="1952">
        <f t="shared" ref="L140" si="129">ROUND((G140*J140),2)</f>
        <v>40243840.789999999</v>
      </c>
      <c r="M140" s="1967"/>
      <c r="N140" s="2458">
        <f>VLOOKUP($A140,satpek!$B$20:$L$138,8,0)</f>
        <v>0.98212399753238744</v>
      </c>
      <c r="O140" s="1954">
        <f>VLOOKUP($A140,satpek!$B$20:$L$138,9,0)</f>
        <v>31840.46</v>
      </c>
      <c r="P140" s="1954">
        <f>VLOOKUP($A140,satpek!$B$20:$L$138,10,0)</f>
        <v>35979.719799999999</v>
      </c>
      <c r="Q140" s="1952">
        <f t="shared" si="123"/>
        <v>34977382.119199999</v>
      </c>
      <c r="R140" s="1952">
        <f t="shared" si="124"/>
        <v>39524441.792731754</v>
      </c>
      <c r="S140" s="1955">
        <f t="shared" si="125"/>
        <v>719398.99726824462</v>
      </c>
      <c r="V140" s="1956">
        <v>1098.52</v>
      </c>
      <c r="W140" s="1956"/>
      <c r="X140" s="1956">
        <f t="shared" si="73"/>
        <v>0</v>
      </c>
      <c r="Y140" s="1836" t="s">
        <v>470</v>
      </c>
      <c r="AC140" s="1836"/>
      <c r="AD140" s="1836"/>
      <c r="AE140" s="1836"/>
      <c r="AF140" s="1837">
        <v>35628.9</v>
      </c>
      <c r="AG140" s="1960">
        <f t="shared" si="74"/>
        <v>-1005.6999999999971</v>
      </c>
    </row>
    <row r="141" spans="1:33" ht="21.95" customHeight="1" x14ac:dyDescent="0.2">
      <c r="B141" s="2107"/>
      <c r="C141" s="1937"/>
      <c r="D141" s="1944"/>
      <c r="E141" s="1944"/>
      <c r="F141" s="2004"/>
      <c r="G141" s="1945"/>
      <c r="H141" s="2472"/>
      <c r="I141" s="2457"/>
      <c r="J141" s="1951"/>
      <c r="K141" s="2108"/>
      <c r="L141" s="1952"/>
      <c r="M141" s="1967"/>
      <c r="N141" s="2473"/>
      <c r="O141" s="1950"/>
      <c r="P141" s="1950"/>
      <c r="Q141" s="2094"/>
      <c r="R141" s="2096"/>
      <c r="S141" s="2097"/>
      <c r="V141" s="1956"/>
      <c r="W141" s="1956"/>
      <c r="X141" s="1956">
        <f t="shared" si="73"/>
        <v>0</v>
      </c>
      <c r="AC141" s="1836"/>
      <c r="AD141" s="1836"/>
      <c r="AE141" s="1836"/>
      <c r="AF141" s="1837"/>
      <c r="AG141" s="1960">
        <f t="shared" si="74"/>
        <v>0</v>
      </c>
    </row>
    <row r="142" spans="1:33" ht="21.95" customHeight="1" x14ac:dyDescent="0.2">
      <c r="B142" s="2032"/>
      <c r="C142" s="1928"/>
      <c r="D142" s="1929" t="s">
        <v>1786</v>
      </c>
      <c r="E142" s="1930"/>
      <c r="F142" s="1931"/>
      <c r="G142" s="1945"/>
      <c r="H142" s="2472"/>
      <c r="I142" s="2457"/>
      <c r="J142" s="1951"/>
      <c r="K142" s="2108"/>
      <c r="L142" s="1952"/>
      <c r="M142" s="1967"/>
      <c r="N142" s="2473"/>
      <c r="O142" s="1950"/>
      <c r="P142" s="1950"/>
      <c r="Q142" s="2094"/>
      <c r="R142" s="2096"/>
      <c r="S142" s="2097"/>
      <c r="V142" s="1956"/>
      <c r="W142" s="1956"/>
      <c r="X142" s="1956">
        <f t="shared" si="73"/>
        <v>0</v>
      </c>
      <c r="Y142" s="1836" t="s">
        <v>1786</v>
      </c>
      <c r="AG142" s="1960">
        <f t="shared" si="74"/>
        <v>0</v>
      </c>
    </row>
    <row r="143" spans="1:33" ht="21.95" customHeight="1" x14ac:dyDescent="0.2">
      <c r="A143" s="1833">
        <f>satpek!$B$34</f>
        <v>15</v>
      </c>
      <c r="B143" s="1943">
        <v>1</v>
      </c>
      <c r="C143" s="1937"/>
      <c r="D143" s="1944" t="str">
        <f>VLOOKUP($A143,satpek!$B$20:$N$144,2,0)</f>
        <v>Membuat dinding bt. merah t: 1/2bata, camp 1PC:8PP</v>
      </c>
      <c r="E143" s="1944"/>
      <c r="F143" s="2004"/>
      <c r="G143" s="1945">
        <f>'[3]B.VOL RAB'!Q288</f>
        <v>407.23250000000002</v>
      </c>
      <c r="H143" s="2456" t="str">
        <f>VLOOKUP($A143,satpek!$B$20:$N$144,7,0)</f>
        <v>m2</v>
      </c>
      <c r="I143" s="2457" t="str">
        <f>VLOOKUP($A143,satpek!$B$20:$N$144,5,0)</f>
        <v>A.4.4.1.12.</v>
      </c>
      <c r="J143" s="1951">
        <f>VLOOKUP($A143,satpek!$B$20:$N$144,6,0)</f>
        <v>129498</v>
      </c>
      <c r="K143" s="1938"/>
      <c r="L143" s="1952">
        <f t="shared" ref="L143:L147" si="130">ROUND((G143*J143),2)</f>
        <v>52735794.289999999</v>
      </c>
      <c r="M143" s="1967"/>
      <c r="N143" s="2458">
        <f>VLOOKUP($A143,satpek!$B$20:$L$138,8,0)</f>
        <v>0.98988586387434552</v>
      </c>
      <c r="O143" s="1954">
        <f>VLOOKUP($A143,satpek!$B$20:$L$138,9,0)</f>
        <v>113440.92</v>
      </c>
      <c r="P143" s="1954">
        <f>VLOOKUP($A143,satpek!$B$20:$L$138,10,0)</f>
        <v>128188.2396</v>
      </c>
      <c r="Q143" s="1952">
        <f t="shared" ref="Q143:Q147" si="131">O143*G143</f>
        <v>46196829.453900002</v>
      </c>
      <c r="R143" s="1952">
        <f t="shared" ref="R143:R147" si="132">N143*L143</f>
        <v>52202417.28785643</v>
      </c>
      <c r="S143" s="1955">
        <f t="shared" ref="S143:S147" si="133">L143-R143</f>
        <v>533377.00214356929</v>
      </c>
      <c r="V143" s="1956">
        <v>407.23250000000002</v>
      </c>
      <c r="W143" s="1956"/>
      <c r="X143" s="1956">
        <f t="shared" si="73"/>
        <v>0</v>
      </c>
      <c r="Y143" s="1836" t="s">
        <v>666</v>
      </c>
      <c r="AF143" s="1910">
        <v>119970.97</v>
      </c>
      <c r="AG143" s="1960">
        <f t="shared" si="74"/>
        <v>-9527.0299999999988</v>
      </c>
    </row>
    <row r="144" spans="1:33" ht="21.95" customHeight="1" x14ac:dyDescent="0.2">
      <c r="A144" s="1833">
        <f>satpek!$B$58</f>
        <v>39</v>
      </c>
      <c r="B144" s="2105">
        <f>B143+1</f>
        <v>2</v>
      </c>
      <c r="C144" s="1937"/>
      <c r="D144" s="1944" t="str">
        <f>VLOOKUP($A144,satpek!$B$20:$N$144,2,0)</f>
        <v>Membuat dinding partisi gypsum 9mm double</v>
      </c>
      <c r="E144" s="1944"/>
      <c r="F144" s="2004"/>
      <c r="G144" s="1945">
        <f>'[3]B.VOL RAB'!Q313</f>
        <v>236.99750000000009</v>
      </c>
      <c r="H144" s="2456" t="str">
        <f>VLOOKUP($A144,satpek!$B$20:$N$144,7,0)</f>
        <v>m2</v>
      </c>
      <c r="I144" s="2457" t="str">
        <f>VLOOKUP($A144,satpek!$B$20:$N$144,5,0)</f>
        <v>A.4.2.1.20.</v>
      </c>
      <c r="J144" s="1951">
        <f>VLOOKUP($A144,satpek!$B$20:$N$144,6,0)</f>
        <v>210845.94</v>
      </c>
      <c r="K144" s="1938"/>
      <c r="L144" s="1952">
        <f t="shared" si="130"/>
        <v>49969960.670000002</v>
      </c>
      <c r="M144" s="1967"/>
      <c r="N144" s="2458">
        <f>VLOOKUP($A144,satpek!$B$20:$L$138,8,0)</f>
        <v>0.45788799844557021</v>
      </c>
      <c r="O144" s="1954">
        <f>VLOOKUP($A144,satpek!$B$20:$L$138,9,0)</f>
        <v>85437.014844999998</v>
      </c>
      <c r="P144" s="1954">
        <f>VLOOKUP($A144,satpek!$B$20:$L$138,10,0)</f>
        <v>96543.826774849993</v>
      </c>
      <c r="Q144" s="1952">
        <f t="shared" si="131"/>
        <v>20248358.925727893</v>
      </c>
      <c r="R144" s="1952">
        <f t="shared" si="132"/>
        <v>22880645.273590166</v>
      </c>
      <c r="S144" s="1955">
        <f t="shared" si="133"/>
        <v>27089315.396409836</v>
      </c>
      <c r="V144" s="1956">
        <v>236.99750000000009</v>
      </c>
      <c r="W144" s="1956"/>
      <c r="X144" s="1956">
        <f t="shared" si="73"/>
        <v>0</v>
      </c>
      <c r="Y144" s="1836" t="s">
        <v>1911</v>
      </c>
      <c r="AF144" s="1910">
        <v>203748.41000000003</v>
      </c>
      <c r="AG144" s="1960">
        <f t="shared" si="74"/>
        <v>-7097.5299999999697</v>
      </c>
    </row>
    <row r="145" spans="1:33" ht="21.95" customHeight="1" x14ac:dyDescent="0.2">
      <c r="A145" s="1833">
        <f>satpek!$B$36</f>
        <v>17</v>
      </c>
      <c r="B145" s="2105">
        <f>B144+1</f>
        <v>3</v>
      </c>
      <c r="C145" s="1937"/>
      <c r="D145" s="1944" t="str">
        <f>VLOOKUP($A145,satpek!$B$20:$N$144,2,0)</f>
        <v>Memasang plesteran 1 PC : 6 PP, tebal 15 mm</v>
      </c>
      <c r="E145" s="1944"/>
      <c r="F145" s="2004"/>
      <c r="G145" s="1945">
        <f>'[3]B.VOL RAB'!Q330</f>
        <v>814.46500000000003</v>
      </c>
      <c r="H145" s="2456" t="str">
        <f>VLOOKUP($A145,satpek!$B$20:$N$144,7,0)</f>
        <v>m2</v>
      </c>
      <c r="I145" s="2457" t="str">
        <f>VLOOKUP($A145,satpek!$B$20:$N$144,5,0)</f>
        <v>A.4.4.2.6.</v>
      </c>
      <c r="J145" s="1951">
        <f>VLOOKUP($A145,satpek!$B$20:$N$144,6,0)</f>
        <v>62262.1</v>
      </c>
      <c r="K145" s="1938"/>
      <c r="L145" s="1952">
        <f t="shared" si="130"/>
        <v>50710301.280000001</v>
      </c>
      <c r="M145" s="1967"/>
      <c r="N145" s="2458">
        <f>VLOOKUP($A145,satpek!$B$20:$L$138,8,0)</f>
        <v>0.9857083021169093</v>
      </c>
      <c r="O145" s="1954">
        <f>VLOOKUP($A145,satpek!$B$20:$L$138,9,0)</f>
        <v>54311.738880000004</v>
      </c>
      <c r="P145" s="1954">
        <f>VLOOKUP($A145,satpek!$B$20:$L$138,10,0)</f>
        <v>61372.264934400009</v>
      </c>
      <c r="Q145" s="1952">
        <f t="shared" si="131"/>
        <v>44235010.406899206</v>
      </c>
      <c r="R145" s="1952">
        <f t="shared" si="132"/>
        <v>49985564.974545732</v>
      </c>
      <c r="S145" s="1955">
        <f t="shared" si="133"/>
        <v>724736.30545426905</v>
      </c>
      <c r="V145" s="1956">
        <v>814.46500000000003</v>
      </c>
      <c r="W145" s="1956"/>
      <c r="X145" s="1956">
        <f t="shared" ref="X145:X208" si="134">V145-G145</f>
        <v>0</v>
      </c>
      <c r="Y145" s="1836" t="s">
        <v>469</v>
      </c>
      <c r="AF145" s="1910">
        <v>59838.25</v>
      </c>
      <c r="AG145" s="1960">
        <f t="shared" ref="AG145:AG208" si="135">AF145-J145</f>
        <v>-2423.8499999999985</v>
      </c>
    </row>
    <row r="146" spans="1:33" ht="21.95" customHeight="1" x14ac:dyDescent="0.2">
      <c r="A146" s="1833">
        <f>satpek!$B$109</f>
        <v>90</v>
      </c>
      <c r="B146" s="2105">
        <f>B145+1</f>
        <v>4</v>
      </c>
      <c r="C146" s="1937"/>
      <c r="D146" s="1944" t="str">
        <f>VLOOKUP($A146,satpek!$B$20:$N$144,2,0)</f>
        <v>Sponengan</v>
      </c>
      <c r="E146" s="1944"/>
      <c r="F146" s="2004"/>
      <c r="G146" s="1945">
        <f>'[3]B.VOL RAB'!Q331</f>
        <v>1006.24</v>
      </c>
      <c r="H146" s="2456" t="str">
        <f>VLOOKUP($A146,satpek!$B$20:$N$144,7,0)</f>
        <v>m'</v>
      </c>
      <c r="I146" s="2457" t="str">
        <f>VLOOKUP($A146,satpek!$B$20:$N$144,5,0)</f>
        <v>Harga Satuan</v>
      </c>
      <c r="J146" s="1951">
        <f>VLOOKUP($A146,satpek!$B$20:$N$144,6,0)</f>
        <v>15000</v>
      </c>
      <c r="K146" s="1938"/>
      <c r="L146" s="1952">
        <f t="shared" si="130"/>
        <v>15093600</v>
      </c>
      <c r="M146" s="1967"/>
      <c r="N146" s="2458">
        <f>VLOOKUP($A146,satpek!$B$20:$L$138,8,0)</f>
        <v>0.5</v>
      </c>
      <c r="O146" s="1954">
        <f>VLOOKUP($A146,satpek!$B$20:$L$138,9,0)</f>
        <v>0</v>
      </c>
      <c r="P146" s="1954">
        <f>VLOOKUP($A146,satpek!$B$20:$L$138,10,0)</f>
        <v>7500</v>
      </c>
      <c r="Q146" s="1952">
        <f t="shared" si="131"/>
        <v>0</v>
      </c>
      <c r="R146" s="1952">
        <f t="shared" si="132"/>
        <v>7546800</v>
      </c>
      <c r="S146" s="1955">
        <f t="shared" si="133"/>
        <v>7546800</v>
      </c>
      <c r="V146" s="1956">
        <v>1006.24</v>
      </c>
      <c r="W146" s="1956"/>
      <c r="X146" s="1956">
        <f t="shared" si="134"/>
        <v>0</v>
      </c>
      <c r="Y146" s="1836" t="s">
        <v>585</v>
      </c>
      <c r="AF146" s="1910">
        <v>15000</v>
      </c>
      <c r="AG146" s="1960">
        <f t="shared" si="135"/>
        <v>0</v>
      </c>
    </row>
    <row r="147" spans="1:33" ht="21.95" customHeight="1" x14ac:dyDescent="0.2">
      <c r="A147" s="1833">
        <f>satpek!$B$37</f>
        <v>18</v>
      </c>
      <c r="B147" s="2105">
        <f>B146+1</f>
        <v>5</v>
      </c>
      <c r="C147" s="1937"/>
      <c r="D147" s="1944" t="str">
        <f>VLOOKUP($A147,satpek!$B$20:$N$144,2,0)</f>
        <v>Memasang acian</v>
      </c>
      <c r="E147" s="1944"/>
      <c r="F147" s="2004"/>
      <c r="G147" s="1945">
        <f>'[3]B.VOL RAB'!Q334</f>
        <v>754.95699999999999</v>
      </c>
      <c r="H147" s="2456" t="str">
        <f>VLOOKUP($A147,satpek!$B$20:$N$144,7,0)</f>
        <v>m2</v>
      </c>
      <c r="I147" s="2457" t="str">
        <f>VLOOKUP($A147,satpek!$B$20:$N$144,5,0)</f>
        <v>A.4.4.2.27.</v>
      </c>
      <c r="J147" s="1951">
        <f>VLOOKUP($A147,satpek!$B$20:$N$144,6,0)</f>
        <v>36634.6</v>
      </c>
      <c r="K147" s="1938"/>
      <c r="L147" s="1952">
        <f t="shared" si="130"/>
        <v>27657547.710000001</v>
      </c>
      <c r="M147" s="1967"/>
      <c r="N147" s="2458">
        <f>VLOOKUP($A147,satpek!$B$20:$L$138,8,0)</f>
        <v>0.98212399753238744</v>
      </c>
      <c r="O147" s="1954">
        <f>VLOOKUP($A147,satpek!$B$20:$L$138,9,0)</f>
        <v>31840.46</v>
      </c>
      <c r="P147" s="1954">
        <f>VLOOKUP($A147,satpek!$B$20:$L$138,10,0)</f>
        <v>35979.719799999999</v>
      </c>
      <c r="Q147" s="1952">
        <f t="shared" si="131"/>
        <v>24038178.160220001</v>
      </c>
      <c r="R147" s="1952">
        <f t="shared" si="132"/>
        <v>27163141.31888793</v>
      </c>
      <c r="S147" s="1955">
        <f t="shared" si="133"/>
        <v>494406.39111207053</v>
      </c>
      <c r="V147" s="1956">
        <v>754.95699999999999</v>
      </c>
      <c r="W147" s="1956"/>
      <c r="X147" s="1956">
        <f t="shared" si="134"/>
        <v>0</v>
      </c>
      <c r="Y147" s="1836" t="s">
        <v>470</v>
      </c>
      <c r="AF147" s="1910">
        <v>35628.9</v>
      </c>
      <c r="AG147" s="1960">
        <f t="shared" si="135"/>
        <v>-1005.6999999999971</v>
      </c>
    </row>
    <row r="148" spans="1:33" ht="21.95" customHeight="1" x14ac:dyDescent="0.2">
      <c r="B148" s="2017"/>
      <c r="C148" s="2018"/>
      <c r="D148" s="2019"/>
      <c r="E148" s="2019"/>
      <c r="F148" s="2020"/>
      <c r="G148" s="2021"/>
      <c r="H148" s="2461"/>
      <c r="I148" s="2462"/>
      <c r="J148" s="2026"/>
      <c r="K148" s="2027"/>
      <c r="L148" s="2065" t="s">
        <v>1802</v>
      </c>
      <c r="M148" s="2463">
        <f>SUM(L136:L148)</f>
        <v>446135900.54000002</v>
      </c>
      <c r="N148" s="2464">
        <f>R148/M148</f>
        <v>0.82942507503681706</v>
      </c>
      <c r="O148" s="2025"/>
      <c r="P148" s="2025"/>
      <c r="Q148" s="2023"/>
      <c r="R148" s="2068">
        <f>SUM(R134:R147)</f>
        <v>370036302.78200746</v>
      </c>
      <c r="S148" s="2467">
        <f>SUM(S136:S147)</f>
        <v>76099597.757992581</v>
      </c>
      <c r="U148" s="1848">
        <f>M148-T148</f>
        <v>446135900.54000002</v>
      </c>
      <c r="V148" s="1956"/>
      <c r="W148" s="1956"/>
      <c r="X148" s="1956">
        <f t="shared" si="134"/>
        <v>0</v>
      </c>
      <c r="AG148" s="1960">
        <f t="shared" si="135"/>
        <v>0</v>
      </c>
    </row>
    <row r="149" spans="1:33" ht="21.95" customHeight="1" x14ac:dyDescent="0.2">
      <c r="B149" s="1927" t="s">
        <v>1803</v>
      </c>
      <c r="C149" s="1928"/>
      <c r="D149" s="1929" t="s">
        <v>1804</v>
      </c>
      <c r="E149" s="1930"/>
      <c r="F149" s="1931"/>
      <c r="G149" s="1945"/>
      <c r="H149" s="2452"/>
      <c r="I149" s="2453"/>
      <c r="J149" s="1951"/>
      <c r="K149" s="2089"/>
      <c r="L149" s="2090"/>
      <c r="M149" s="1967"/>
      <c r="N149" s="2454"/>
      <c r="O149" s="1936"/>
      <c r="P149" s="1936"/>
      <c r="Q149" s="1934"/>
      <c r="R149" s="1940"/>
      <c r="S149" s="1941"/>
      <c r="V149" s="1956">
        <f>Rekap!Q48</f>
        <v>1175000</v>
      </c>
      <c r="W149" s="1956"/>
      <c r="X149" s="1956">
        <f t="shared" si="134"/>
        <v>1175000</v>
      </c>
      <c r="Y149" s="1836" t="s">
        <v>1804</v>
      </c>
      <c r="AC149" s="1836"/>
      <c r="AD149" s="1836"/>
      <c r="AE149" s="1836"/>
      <c r="AF149" s="1837"/>
      <c r="AG149" s="1960">
        <f t="shared" si="135"/>
        <v>0</v>
      </c>
    </row>
    <row r="150" spans="1:33" ht="21.95" customHeight="1" x14ac:dyDescent="0.2">
      <c r="B150" s="1927"/>
      <c r="C150" s="1928"/>
      <c r="D150" s="1929" t="s">
        <v>1769</v>
      </c>
      <c r="E150" s="1930"/>
      <c r="F150" s="1931"/>
      <c r="G150" s="1945"/>
      <c r="H150" s="2452"/>
      <c r="I150" s="2453"/>
      <c r="J150" s="1951"/>
      <c r="K150" s="2089"/>
      <c r="L150" s="2090"/>
      <c r="M150" s="1997"/>
      <c r="N150" s="2454"/>
      <c r="O150" s="1936"/>
      <c r="P150" s="1936"/>
      <c r="Q150" s="1934"/>
      <c r="R150" s="1940"/>
      <c r="S150" s="1941"/>
      <c r="V150" s="1956"/>
      <c r="W150" s="1956"/>
      <c r="X150" s="1956">
        <f t="shared" si="134"/>
        <v>0</v>
      </c>
      <c r="Y150" s="1836" t="s">
        <v>1769</v>
      </c>
      <c r="AC150" s="1836"/>
      <c r="AD150" s="1836"/>
      <c r="AE150" s="1836"/>
      <c r="AF150" s="1837"/>
      <c r="AG150" s="1960">
        <f t="shared" si="135"/>
        <v>0</v>
      </c>
    </row>
    <row r="151" spans="1:33" s="1957" customFormat="1" ht="21.95" customHeight="1" x14ac:dyDescent="0.2">
      <c r="A151" s="1942">
        <f>satpek!$B$39</f>
        <v>20</v>
      </c>
      <c r="B151" s="1943">
        <v>1</v>
      </c>
      <c r="C151" s="1930"/>
      <c r="D151" s="1944" t="s">
        <v>1805</v>
      </c>
      <c r="E151" s="1930"/>
      <c r="F151" s="1931"/>
      <c r="G151" s="1945">
        <f>'[3]B.VOL RAB'!Q340</f>
        <v>67.116</v>
      </c>
      <c r="H151" s="2456" t="str">
        <f>VLOOKUP($A151,satpek!$B$20:$N$144,7,0)</f>
        <v>m3</v>
      </c>
      <c r="I151" s="2457" t="str">
        <f>VLOOKUP($A151,satpek!$B$20:$N$144,5,0)</f>
        <v>A.4.1.1.1.</v>
      </c>
      <c r="J151" s="1951">
        <f>VLOOKUP($A151,satpek!$B$20:$N$144,6,0)</f>
        <v>958085.99</v>
      </c>
      <c r="K151" s="1938"/>
      <c r="L151" s="1952">
        <f t="shared" ref="L151" si="136">ROUND((G151*J151),2)</f>
        <v>64302899.299999997</v>
      </c>
      <c r="M151" s="1997"/>
      <c r="N151" s="2458">
        <f>VLOOKUP($A151,satpek!$B$20:$L$138,8,0)</f>
        <v>0.94805174525042479</v>
      </c>
      <c r="O151" s="1954">
        <f>VLOOKUP($A151,satpek!$B$20:$L$138,9,0)</f>
        <v>803818.67</v>
      </c>
      <c r="P151" s="1954">
        <f>VLOOKUP($A151,satpek!$B$20:$L$138,10,0)</f>
        <v>908315.09710000001</v>
      </c>
      <c r="Q151" s="1952">
        <f t="shared" ref="Q151:Q159" si="137">O151*G151</f>
        <v>53949093.855720006</v>
      </c>
      <c r="R151" s="1952">
        <f t="shared" ref="R151:R159" si="138">N151*L151</f>
        <v>60962475.906027317</v>
      </c>
      <c r="S151" s="1955">
        <f t="shared" ref="S151:S159" si="139">L151-R151</f>
        <v>3340423.39397268</v>
      </c>
      <c r="T151" s="1848"/>
      <c r="U151" s="1848"/>
      <c r="V151" s="1956">
        <v>67.116</v>
      </c>
      <c r="W151" s="1956"/>
      <c r="X151" s="1956">
        <f t="shared" si="134"/>
        <v>0</v>
      </c>
      <c r="Y151" s="1957" t="s">
        <v>1805</v>
      </c>
      <c r="AF151" s="2109">
        <v>969189.7</v>
      </c>
      <c r="AG151" s="1960">
        <f t="shared" si="135"/>
        <v>11103.709999999963</v>
      </c>
    </row>
    <row r="152" spans="1:33" ht="21.95" customHeight="1" x14ac:dyDescent="0.2">
      <c r="A152" s="1833">
        <f>satpek!$B$62</f>
        <v>43</v>
      </c>
      <c r="B152" s="1943">
        <f>B151+1</f>
        <v>2</v>
      </c>
      <c r="C152" s="1937"/>
      <c r="D152" s="1944" t="s">
        <v>1806</v>
      </c>
      <c r="E152" s="1944"/>
      <c r="F152" s="2004"/>
      <c r="G152" s="1945">
        <f>'[3]B.VOL RAB'!Q341</f>
        <v>742.51</v>
      </c>
      <c r="H152" s="2456" t="str">
        <f>VLOOKUP($A152,satpek!$B$20:$N$144,7,0)</f>
        <v>m2</v>
      </c>
      <c r="I152" s="2457" t="str">
        <f>VLOOKUP($A152,satpek!$B$20:$N$144,5,0)</f>
        <v>An. Dihitung</v>
      </c>
      <c r="J152" s="1951">
        <f>VLOOKUP($A152,satpek!$B$20:$N$144,6,0)</f>
        <v>245041.63</v>
      </c>
      <c r="K152" s="1938"/>
      <c r="L152" s="1952">
        <f t="shared" ref="L152" si="140">ROUND((G152*J152),2)</f>
        <v>181945860.69</v>
      </c>
      <c r="M152" s="1997"/>
      <c r="N152" s="2458">
        <f>VLOOKUP($A152,satpek!$B$20:$L$138,8,0)</f>
        <v>0.81409874983283448</v>
      </c>
      <c r="O152" s="1954">
        <f>VLOOKUP($A152,satpek!$B$20:$L$138,9,0)</f>
        <v>176538.128</v>
      </c>
      <c r="P152" s="1954">
        <f>VLOOKUP($A152,satpek!$B$20:$L$138,10,0)</f>
        <v>199488.08463999999</v>
      </c>
      <c r="Q152" s="1952">
        <f t="shared" si="137"/>
        <v>131081325.42128</v>
      </c>
      <c r="R152" s="1952">
        <f t="shared" si="138"/>
        <v>148121897.72498807</v>
      </c>
      <c r="S152" s="1955">
        <f t="shared" si="139"/>
        <v>33823962.965011925</v>
      </c>
      <c r="V152" s="1956">
        <v>742.51</v>
      </c>
      <c r="W152" s="1956"/>
      <c r="X152" s="1956">
        <f t="shared" si="134"/>
        <v>0</v>
      </c>
      <c r="Y152" s="1836" t="s">
        <v>1806</v>
      </c>
      <c r="AC152" s="1836"/>
      <c r="AD152" s="1836"/>
      <c r="AE152" s="1836"/>
      <c r="AF152" s="1837">
        <v>197097.99</v>
      </c>
      <c r="AG152" s="1960">
        <f t="shared" si="135"/>
        <v>-47943.640000000014</v>
      </c>
    </row>
    <row r="153" spans="1:33" ht="21.95" customHeight="1" x14ac:dyDescent="0.2">
      <c r="A153" s="1833">
        <f>satpek!$B$63</f>
        <v>44</v>
      </c>
      <c r="B153" s="1943">
        <f t="shared" ref="B153:B159" si="141">B152+1</f>
        <v>3</v>
      </c>
      <c r="C153" s="1937"/>
      <c r="D153" s="1944" t="s">
        <v>1807</v>
      </c>
      <c r="E153" s="1944"/>
      <c r="F153" s="2004"/>
      <c r="G153" s="1945">
        <f>'[3]B.VOL RAB'!Q348</f>
        <v>80.600000000000009</v>
      </c>
      <c r="H153" s="2456" t="str">
        <f>VLOOKUP($A153,satpek!$B$20:$N$144,7,0)</f>
        <v>m2</v>
      </c>
      <c r="I153" s="2457" t="str">
        <f>VLOOKUP($A153,satpek!$B$20:$N$144,5,0)</f>
        <v>An. Dihitung</v>
      </c>
      <c r="J153" s="1951">
        <f>VLOOKUP($A153,satpek!$B$20:$N$144,6,0)</f>
        <v>301541.63</v>
      </c>
      <c r="K153" s="1938"/>
      <c r="L153" s="1952">
        <f t="shared" ref="L153" si="142">ROUND((G153*J153),2)</f>
        <v>24304255.379999999</v>
      </c>
      <c r="M153" s="1997"/>
      <c r="N153" s="2458">
        <f>VLOOKUP($A153,satpek!$B$20:$L$138,8,0)</f>
        <v>0.79200800446691222</v>
      </c>
      <c r="O153" s="1954">
        <f>VLOOKUP($A153,satpek!$B$20:$L$138,9,0)</f>
        <v>211348.128</v>
      </c>
      <c r="P153" s="1954">
        <f>VLOOKUP($A153,satpek!$B$20:$L$138,10,0)</f>
        <v>238823.38464</v>
      </c>
      <c r="Q153" s="1952">
        <f t="shared" si="137"/>
        <v>17034659.116800003</v>
      </c>
      <c r="R153" s="1952">
        <f t="shared" si="138"/>
        <v>19249164.803568013</v>
      </c>
      <c r="S153" s="1955">
        <f t="shared" si="139"/>
        <v>5055090.5764319859</v>
      </c>
      <c r="V153" s="1956">
        <v>80.600000000000009</v>
      </c>
      <c r="W153" s="1956"/>
      <c r="X153" s="1956">
        <f t="shared" si="134"/>
        <v>0</v>
      </c>
      <c r="Y153" s="1836" t="s">
        <v>1807</v>
      </c>
      <c r="AC153" s="1836"/>
      <c r="AD153" s="1836"/>
      <c r="AE153" s="1836"/>
      <c r="AF153" s="1837">
        <v>230387.79</v>
      </c>
      <c r="AG153" s="1960">
        <f t="shared" si="135"/>
        <v>-71153.84</v>
      </c>
    </row>
    <row r="154" spans="1:33" ht="21.95" customHeight="1" x14ac:dyDescent="0.2">
      <c r="A154" s="1833">
        <f>satpek!$B$64</f>
        <v>45</v>
      </c>
      <c r="B154" s="1943">
        <f t="shared" si="141"/>
        <v>4</v>
      </c>
      <c r="C154" s="1937"/>
      <c r="D154" s="1944" t="str">
        <f>VLOOKUP($A154,satpek!$B$20:$N$144,2,0)</f>
        <v>Memasang dinding Homogenius tile  uk. (30x60) cm</v>
      </c>
      <c r="E154" s="1944"/>
      <c r="F154" s="2004"/>
      <c r="G154" s="1945">
        <f>'[3]B.VOL RAB'!Q353</f>
        <v>67.824000000000012</v>
      </c>
      <c r="H154" s="2456" t="str">
        <f>VLOOKUP($A154,satpek!$B$20:$N$144,7,0)</f>
        <v>m2</v>
      </c>
      <c r="I154" s="2457" t="str">
        <f>VLOOKUP($A154,satpek!$B$20:$N$144,5,0)</f>
        <v>An. Dihitung</v>
      </c>
      <c r="J154" s="1951">
        <f>VLOOKUP($A154,satpek!$B$20:$N$144,6,0)</f>
        <v>281318.25</v>
      </c>
      <c r="K154" s="1938"/>
      <c r="L154" s="1952">
        <f t="shared" ref="L154" si="143">ROUND((G154*J154),2)</f>
        <v>19080128.989999998</v>
      </c>
      <c r="M154" s="1997"/>
      <c r="N154" s="2458">
        <f>VLOOKUP($A154,satpek!$B$20:$L$138,8,0)</f>
        <v>0.85772412757045269</v>
      </c>
      <c r="O154" s="1954">
        <f>VLOOKUP($A154,satpek!$B$20:$L$138,9,0)</f>
        <v>213534.024</v>
      </c>
      <c r="P154" s="1954">
        <f>VLOOKUP($A154,satpek!$B$20:$L$138,10,0)</f>
        <v>241293.44712</v>
      </c>
      <c r="Q154" s="1952">
        <f t="shared" si="137"/>
        <v>14482731.643776003</v>
      </c>
      <c r="R154" s="1952">
        <f t="shared" si="138"/>
        <v>16365486.991879452</v>
      </c>
      <c r="S154" s="1955">
        <f t="shared" si="139"/>
        <v>2714641.9981205463</v>
      </c>
      <c r="V154" s="1956">
        <v>67.824000000000012</v>
      </c>
      <c r="W154" s="1956"/>
      <c r="X154" s="1956">
        <f t="shared" si="134"/>
        <v>0</v>
      </c>
      <c r="Y154" s="1836" t="s">
        <v>1808</v>
      </c>
      <c r="AC154" s="1836"/>
      <c r="AD154" s="1836"/>
      <c r="AE154" s="1836"/>
      <c r="AF154" s="1837">
        <v>228382.94</v>
      </c>
      <c r="AG154" s="1960">
        <f t="shared" si="135"/>
        <v>-52935.31</v>
      </c>
    </row>
    <row r="155" spans="1:33" ht="21.95" customHeight="1" x14ac:dyDescent="0.2">
      <c r="A155" s="1833">
        <f>satpek!$B$61</f>
        <v>42</v>
      </c>
      <c r="B155" s="1943">
        <f t="shared" si="141"/>
        <v>5</v>
      </c>
      <c r="C155" s="1937"/>
      <c r="D155" s="1944" t="str">
        <f>VLOOKUP($A155,satpek!$B$20:$N$144,2,0)</f>
        <v>Pasang batu andesit</v>
      </c>
      <c r="E155" s="1944"/>
      <c r="F155" s="2004"/>
      <c r="G155" s="1945">
        <v>45.2029</v>
      </c>
      <c r="H155" s="2456" t="str">
        <f>VLOOKUP($A155,satpek!$B$20:$N$144,7,0)</f>
        <v>m2</v>
      </c>
      <c r="I155" s="2457" t="str">
        <f>VLOOKUP($A155,satpek!$B$20:$N$144,5,0)</f>
        <v>A.4.4.3.58b.</v>
      </c>
      <c r="J155" s="1951">
        <f>VLOOKUP($A155,satpek!$B$20:$N$144,6,0)</f>
        <v>362752.6</v>
      </c>
      <c r="K155" s="1938"/>
      <c r="L155" s="1952">
        <f t="shared" ref="L155" si="144">ROUND((G155*J155),2)</f>
        <v>16397469.5</v>
      </c>
      <c r="M155" s="1997"/>
      <c r="N155" s="2458">
        <f>VLOOKUP($A155,satpek!$B$20:$L$138,8,0)</f>
        <v>0.99347311693975449</v>
      </c>
      <c r="O155" s="1954">
        <f>VLOOKUP($A155,satpek!$B$20:$L$138,9,0)</f>
        <v>318924.74</v>
      </c>
      <c r="P155" s="1954">
        <f>VLOOKUP($A155,satpek!$B$20:$L$138,10,0)</f>
        <v>360384.95620000002</v>
      </c>
      <c r="Q155" s="1952">
        <f t="shared" si="137"/>
        <v>14416323.129745999</v>
      </c>
      <c r="R155" s="1952">
        <f t="shared" si="138"/>
        <v>16290445.134089557</v>
      </c>
      <c r="S155" s="1955">
        <f t="shared" si="139"/>
        <v>107024.36591044255</v>
      </c>
      <c r="V155" s="1956">
        <v>41.8</v>
      </c>
      <c r="W155" s="1956"/>
      <c r="X155" s="1956">
        <f t="shared" si="134"/>
        <v>-3.4029000000000025</v>
      </c>
      <c r="Y155" s="1836" t="s">
        <v>1912</v>
      </c>
      <c r="AC155" s="1836"/>
      <c r="AD155" s="1836"/>
      <c r="AE155" s="1836"/>
      <c r="AF155" s="1837">
        <v>358046.15</v>
      </c>
      <c r="AG155" s="1960">
        <f t="shared" si="135"/>
        <v>-4706.4499999999534</v>
      </c>
    </row>
    <row r="156" spans="1:33" ht="21.95" customHeight="1" x14ac:dyDescent="0.2">
      <c r="A156" s="1833">
        <f>satpek!$B$105</f>
        <v>86</v>
      </c>
      <c r="B156" s="1943">
        <f t="shared" si="141"/>
        <v>6</v>
      </c>
      <c r="C156" s="1937"/>
      <c r="D156" s="1944" t="str">
        <f>VLOOKUP($A156,satpek!$B$20:$N$144,2,0)</f>
        <v>Memasang paving tb. 8 cm, K.250, polos</v>
      </c>
      <c r="E156" s="1944"/>
      <c r="F156" s="2004"/>
      <c r="G156" s="1945">
        <f>'[3]B.VOL RAB'!Q359</f>
        <v>183.52999999999997</v>
      </c>
      <c r="H156" s="2456" t="str">
        <f>VLOOKUP($A156,satpek!$B$20:$N$144,7,0)</f>
        <v>m2</v>
      </c>
      <c r="I156" s="2457" t="str">
        <f>VLOOKUP($A156,satpek!$B$20:$N$144,5,0)</f>
        <v>An. Dihitung</v>
      </c>
      <c r="J156" s="1951">
        <f>VLOOKUP($A156,satpek!$B$20:$N$144,6,0)</f>
        <v>206637.45</v>
      </c>
      <c r="K156" s="1938"/>
      <c r="L156" s="1952">
        <f t="shared" ref="L156" si="145">ROUND((G156*J156),2)</f>
        <v>37924171.200000003</v>
      </c>
      <c r="M156" s="1997"/>
      <c r="N156" s="2458">
        <f>VLOOKUP($A156,satpek!$B$20:$L$138,8,0)</f>
        <v>1</v>
      </c>
      <c r="O156" s="1954">
        <f>VLOOKUP($A156,satpek!$B$20:$L$138,9,0)</f>
        <v>182865</v>
      </c>
      <c r="P156" s="1954">
        <f>VLOOKUP($A156,satpek!$B$20:$L$138,10,0)</f>
        <v>206637.45</v>
      </c>
      <c r="Q156" s="1952">
        <f t="shared" si="137"/>
        <v>33561213.449999996</v>
      </c>
      <c r="R156" s="1952">
        <f t="shared" si="138"/>
        <v>37924171.200000003</v>
      </c>
      <c r="S156" s="1955">
        <f t="shared" si="139"/>
        <v>0</v>
      </c>
      <c r="V156" s="1956">
        <v>183.52999999999997</v>
      </c>
      <c r="W156" s="1956"/>
      <c r="X156" s="1956">
        <f t="shared" si="134"/>
        <v>0</v>
      </c>
      <c r="Y156" s="1836" t="s">
        <v>234</v>
      </c>
      <c r="AC156" s="1836"/>
      <c r="AD156" s="1836"/>
      <c r="AE156" s="1836"/>
      <c r="AF156" s="1837">
        <v>199348.95</v>
      </c>
      <c r="AG156" s="1960">
        <f t="shared" si="135"/>
        <v>-7288.5</v>
      </c>
    </row>
    <row r="157" spans="1:33" ht="21.95" customHeight="1" x14ac:dyDescent="0.2">
      <c r="A157" s="1833">
        <f>satpek!$B$60</f>
        <v>41</v>
      </c>
      <c r="B157" s="1943">
        <f t="shared" si="141"/>
        <v>7</v>
      </c>
      <c r="C157" s="1937"/>
      <c r="D157" s="1944" t="str">
        <f>VLOOKUP($A157,satpek!$B$20:$N$144,2,0)</f>
        <v xml:space="preserve">Memasang lantai keramik unpolish ukuran 30/30 cm </v>
      </c>
      <c r="E157" s="1944"/>
      <c r="F157" s="2004"/>
      <c r="G157" s="1945">
        <f>'[3]B.VOL RAB'!Q361</f>
        <v>18.840000000000003</v>
      </c>
      <c r="H157" s="2456" t="str">
        <f>VLOOKUP($A157,satpek!$B$20:$N$144,7,0)</f>
        <v>m2</v>
      </c>
      <c r="I157" s="2457" t="str">
        <f>VLOOKUP($A157,satpek!$B$20:$N$144,5,0)</f>
        <v>A.4.4.3.35.</v>
      </c>
      <c r="J157" s="1951">
        <f>VLOOKUP($A157,satpek!$B$20:$N$144,6,0)</f>
        <v>186829.68</v>
      </c>
      <c r="K157" s="1938"/>
      <c r="L157" s="1952">
        <f t="shared" ref="L157" si="146">ROUND((G157*J157),2)</f>
        <v>3519871.17</v>
      </c>
      <c r="M157" s="1997"/>
      <c r="N157" s="2458">
        <f>VLOOKUP($A157,satpek!$B$20:$L$138,8,0)</f>
        <v>0.83020878695504929</v>
      </c>
      <c r="O157" s="1954">
        <f>VLOOKUP($A157,satpek!$B$20:$L$138,9,0)</f>
        <v>137263.40000000002</v>
      </c>
      <c r="P157" s="1954">
        <f>VLOOKUP($A157,satpek!$B$20:$L$138,10,0)</f>
        <v>155107.64200000002</v>
      </c>
      <c r="Q157" s="1952">
        <f t="shared" si="137"/>
        <v>2586042.4560000007</v>
      </c>
      <c r="R157" s="1952">
        <f t="shared" si="138"/>
        <v>2922227.9742837502</v>
      </c>
      <c r="S157" s="1955">
        <f t="shared" si="139"/>
        <v>597643.19571624976</v>
      </c>
      <c r="V157" s="1956">
        <v>18.840000000000003</v>
      </c>
      <c r="W157" s="1956"/>
      <c r="X157" s="1956">
        <f t="shared" si="134"/>
        <v>0</v>
      </c>
      <c r="Y157" s="2016" t="s">
        <v>1809</v>
      </c>
      <c r="AC157" s="1836"/>
      <c r="AD157" s="1836"/>
      <c r="AE157" s="1836"/>
      <c r="AF157" s="1837">
        <v>176741.04</v>
      </c>
      <c r="AG157" s="1960">
        <f t="shared" si="135"/>
        <v>-10088.639999999985</v>
      </c>
    </row>
    <row r="158" spans="1:33" ht="21.95" customHeight="1" x14ac:dyDescent="0.2">
      <c r="A158" s="1833">
        <f>satpek!$B$59</f>
        <v>40</v>
      </c>
      <c r="B158" s="1943">
        <f t="shared" si="141"/>
        <v>8</v>
      </c>
      <c r="C158" s="1937"/>
      <c r="D158" s="1944" t="str">
        <f>VLOOKUP($A158,satpek!$B$20:$N$144,2,0)</f>
        <v>Memasang plint lantai Homogenius tile uk. (10 x 60) cm</v>
      </c>
      <c r="E158" s="1944"/>
      <c r="F158" s="2004"/>
      <c r="G158" s="1945">
        <f>'[3]B.VOL RAB'!Q365</f>
        <v>614.89999999999964</v>
      </c>
      <c r="H158" s="2456" t="str">
        <f>VLOOKUP($A158,satpek!$B$20:$N$144,7,0)</f>
        <v>m'</v>
      </c>
      <c r="I158" s="2457" t="str">
        <f>VLOOKUP($A158,satpek!$B$20:$N$144,5,0)</f>
        <v>A.4.4.3.28.a.</v>
      </c>
      <c r="J158" s="1951">
        <f>VLOOKUP($A158,satpek!$B$20:$N$144,6,0)</f>
        <v>38068.57</v>
      </c>
      <c r="K158" s="1938"/>
      <c r="L158" s="1952">
        <f t="shared" ref="L158" si="147">ROUND((G158*J158),2)</f>
        <v>23408363.690000001</v>
      </c>
      <c r="M158" s="1997"/>
      <c r="N158" s="2458">
        <f>VLOOKUP($A158,satpek!$B$20:$L$138,8,0)</f>
        <v>0.83654205230193834</v>
      </c>
      <c r="O158" s="1954">
        <f>VLOOKUP($A158,satpek!$B$20:$L$138,9,0)</f>
        <v>28182.265200000002</v>
      </c>
      <c r="P158" s="1954">
        <f>VLOOKUP($A158,satpek!$B$20:$L$138,10,0)</f>
        <v>31845.959676000002</v>
      </c>
      <c r="Q158" s="1952">
        <f t="shared" si="137"/>
        <v>17329274.871479992</v>
      </c>
      <c r="R158" s="1952">
        <f t="shared" si="138"/>
        <v>19582080.602262776</v>
      </c>
      <c r="S158" s="1955">
        <f t="shared" si="139"/>
        <v>3826283.087737225</v>
      </c>
      <c r="V158" s="1956">
        <v>614.89999999999964</v>
      </c>
      <c r="W158" s="1956"/>
      <c r="X158" s="1956">
        <f t="shared" si="134"/>
        <v>0</v>
      </c>
      <c r="Y158" s="1836" t="s">
        <v>1810</v>
      </c>
      <c r="AC158" s="1836"/>
      <c r="AD158" s="1836"/>
      <c r="AE158" s="1836"/>
      <c r="AF158" s="1837">
        <v>72758.44</v>
      </c>
      <c r="AG158" s="1960">
        <f t="shared" si="135"/>
        <v>34689.870000000003</v>
      </c>
    </row>
    <row r="159" spans="1:33" ht="21.95" customHeight="1" x14ac:dyDescent="0.2">
      <c r="A159" s="1833">
        <f>satpek!$B$65</f>
        <v>46</v>
      </c>
      <c r="B159" s="1943">
        <f t="shared" si="141"/>
        <v>9</v>
      </c>
      <c r="C159" s="1937"/>
      <c r="D159" s="1944" t="s">
        <v>1811</v>
      </c>
      <c r="E159" s="1944"/>
      <c r="F159" s="2004"/>
      <c r="G159" s="1945">
        <f>'[3]B.VOL RAB'!Q368</f>
        <v>175.4</v>
      </c>
      <c r="H159" s="2456" t="str">
        <f>VLOOKUP($A159,satpek!$B$20:$N$144,7,0)</f>
        <v>m'</v>
      </c>
      <c r="I159" s="2457" t="str">
        <f>VLOOKUP($A159,satpek!$B$20:$N$144,5,0)</f>
        <v>An. Dihitung</v>
      </c>
      <c r="J159" s="1951">
        <f>VLOOKUP($A159,satpek!$B$20:$N$144,6,0)</f>
        <v>65535.37</v>
      </c>
      <c r="K159" s="1938"/>
      <c r="L159" s="1952">
        <f t="shared" ref="L159" si="148">ROUND((G159*J159),2)</f>
        <v>11494903.9</v>
      </c>
      <c r="M159" s="1997"/>
      <c r="N159" s="2458">
        <f>VLOOKUP($A159,satpek!$B$20:$L$138,8,0)</f>
        <v>0.7887839071382633</v>
      </c>
      <c r="O159" s="1954">
        <f>VLOOKUP($A159,satpek!$B$20:$L$138,9,0)</f>
        <v>45746.232600000003</v>
      </c>
      <c r="P159" s="1954">
        <f>VLOOKUP($A159,satpek!$B$20:$L$138,10,0)</f>
        <v>51693.242838000006</v>
      </c>
      <c r="Q159" s="1952">
        <f t="shared" si="137"/>
        <v>8023889.1980400011</v>
      </c>
      <c r="R159" s="1952">
        <f t="shared" si="138"/>
        <v>9066995.21042086</v>
      </c>
      <c r="S159" s="1955">
        <f t="shared" si="139"/>
        <v>2427908.6895791404</v>
      </c>
      <c r="V159" s="1956">
        <v>175.4</v>
      </c>
      <c r="W159" s="1956"/>
      <c r="X159" s="1956">
        <f t="shared" si="134"/>
        <v>0</v>
      </c>
      <c r="Y159" s="1836" t="s">
        <v>1811</v>
      </c>
      <c r="AC159" s="1836"/>
      <c r="AD159" s="1836"/>
      <c r="AE159" s="1836"/>
      <c r="AF159" s="1837">
        <v>65393.1</v>
      </c>
      <c r="AG159" s="1960">
        <f t="shared" si="135"/>
        <v>-142.27000000000407</v>
      </c>
    </row>
    <row r="160" spans="1:33" ht="21.95" customHeight="1" x14ac:dyDescent="0.2">
      <c r="B160" s="1927"/>
      <c r="C160" s="1928"/>
      <c r="D160" s="1929" t="s">
        <v>1786</v>
      </c>
      <c r="E160" s="1930"/>
      <c r="F160" s="1931"/>
      <c r="G160" s="1945"/>
      <c r="H160" s="2452"/>
      <c r="I160" s="2453"/>
      <c r="J160" s="1951"/>
      <c r="K160" s="2089"/>
      <c r="L160" s="2090"/>
      <c r="M160" s="1997"/>
      <c r="N160" s="2454"/>
      <c r="O160" s="1936"/>
      <c r="P160" s="1936"/>
      <c r="Q160" s="1934"/>
      <c r="R160" s="1940"/>
      <c r="S160" s="1941"/>
      <c r="V160" s="1956"/>
      <c r="W160" s="1956"/>
      <c r="X160" s="1956">
        <f t="shared" si="134"/>
        <v>0</v>
      </c>
      <c r="Y160" s="1836" t="s">
        <v>1786</v>
      </c>
      <c r="AC160" s="1836"/>
      <c r="AD160" s="1836"/>
      <c r="AE160" s="1836"/>
      <c r="AF160" s="1837"/>
      <c r="AG160" s="1960">
        <f t="shared" si="135"/>
        <v>0</v>
      </c>
    </row>
    <row r="161" spans="1:33" s="1957" customFormat="1" ht="21.95" customHeight="1" x14ac:dyDescent="0.2">
      <c r="A161" s="1942">
        <f>satpek!$B$39</f>
        <v>20</v>
      </c>
      <c r="B161" s="1943">
        <v>1</v>
      </c>
      <c r="C161" s="1930"/>
      <c r="D161" s="1944" t="str">
        <f>D151</f>
        <v>Membuat lantai kerja beton mutu f'c = 7,4 Mpa, T : 8 cm</v>
      </c>
      <c r="E161" s="1930"/>
      <c r="F161" s="1931"/>
      <c r="G161" s="1945">
        <f>'[3]B.VOL RAB'!Q374</f>
        <v>61.06</v>
      </c>
      <c r="H161" s="2456" t="str">
        <f>VLOOKUP($A161,satpek!$B$20:$N$144,7,0)</f>
        <v>m3</v>
      </c>
      <c r="I161" s="2457" t="str">
        <f>VLOOKUP($A161,satpek!$B$20:$N$144,5,0)</f>
        <v>A.4.1.1.1.</v>
      </c>
      <c r="J161" s="1951">
        <f>VLOOKUP($A161,satpek!$B$20:$N$144,6,0)</f>
        <v>958085.99</v>
      </c>
      <c r="K161" s="1938"/>
      <c r="L161" s="1952">
        <f t="shared" ref="L161:L162" si="149">ROUND((G161*J161),2)</f>
        <v>58500730.549999997</v>
      </c>
      <c r="M161" s="1997"/>
      <c r="N161" s="2458">
        <f>VLOOKUP($A161,satpek!$B$20:$L$138,8,0)</f>
        <v>0.94805174525042479</v>
      </c>
      <c r="O161" s="1954">
        <f>VLOOKUP($A161,satpek!$B$20:$L$138,9,0)</f>
        <v>803818.67</v>
      </c>
      <c r="P161" s="1954">
        <f>VLOOKUP($A161,satpek!$B$20:$L$138,10,0)</f>
        <v>908315.09710000001</v>
      </c>
      <c r="Q161" s="1952">
        <f t="shared" ref="Q161:Q165" si="150">O161*G161</f>
        <v>49081167.990200005</v>
      </c>
      <c r="R161" s="1952">
        <f t="shared" ref="R161:R165" si="151">N161*L161</f>
        <v>55461719.69635234</v>
      </c>
      <c r="S161" s="1955">
        <f t="shared" ref="S161:S165" si="152">L161-R161</f>
        <v>3039010.8536476567</v>
      </c>
      <c r="T161" s="1848"/>
      <c r="U161" s="1848"/>
      <c r="V161" s="1956">
        <v>61.06</v>
      </c>
      <c r="W161" s="1956"/>
      <c r="X161" s="1956">
        <f t="shared" si="134"/>
        <v>0</v>
      </c>
      <c r="Y161" s="1957" t="s">
        <v>1805</v>
      </c>
      <c r="AF161" s="2109">
        <v>969189.7</v>
      </c>
      <c r="AG161" s="1960">
        <f t="shared" si="135"/>
        <v>11103.709999999963</v>
      </c>
    </row>
    <row r="162" spans="1:33" ht="21.95" customHeight="1" x14ac:dyDescent="0.2">
      <c r="A162" s="1833">
        <f>satpek!$B$62</f>
        <v>43</v>
      </c>
      <c r="B162" s="1943">
        <f>B161+1</f>
        <v>2</v>
      </c>
      <c r="C162" s="1937"/>
      <c r="D162" s="1944" t="s">
        <v>1806</v>
      </c>
      <c r="E162" s="1944"/>
      <c r="F162" s="2004"/>
      <c r="G162" s="1945">
        <f>'[3]B.VOL RAB'!Q375</f>
        <v>724.55499999999995</v>
      </c>
      <c r="H162" s="2456" t="str">
        <f>VLOOKUP($A162,satpek!$B$20:$N$144,7,0)</f>
        <v>m2</v>
      </c>
      <c r="I162" s="2457" t="str">
        <f>VLOOKUP($A162,satpek!$B$20:$N$144,5,0)</f>
        <v>An. Dihitung</v>
      </c>
      <c r="J162" s="1951">
        <f>VLOOKUP($A162,satpek!$B$20:$N$144,6,0)</f>
        <v>245041.63</v>
      </c>
      <c r="K162" s="1938"/>
      <c r="L162" s="1952">
        <f t="shared" si="149"/>
        <v>177546138.22</v>
      </c>
      <c r="M162" s="1997"/>
      <c r="N162" s="2458">
        <f>VLOOKUP($A162,satpek!$B$20:$L$138,8,0)</f>
        <v>0.81409874983283448</v>
      </c>
      <c r="O162" s="1954">
        <f>VLOOKUP($A162,satpek!$B$20:$L$138,9,0)</f>
        <v>176538.128</v>
      </c>
      <c r="P162" s="1954">
        <f>VLOOKUP($A162,satpek!$B$20:$L$138,10,0)</f>
        <v>199488.08463999999</v>
      </c>
      <c r="Q162" s="1952">
        <f t="shared" si="150"/>
        <v>127911583.33303998</v>
      </c>
      <c r="R162" s="1952">
        <f t="shared" si="151"/>
        <v>144540089.16254964</v>
      </c>
      <c r="S162" s="1955">
        <f t="shared" si="152"/>
        <v>33006049.057450354</v>
      </c>
      <c r="V162" s="1956">
        <v>724.55499999999995</v>
      </c>
      <c r="W162" s="1956"/>
      <c r="X162" s="1956">
        <f t="shared" si="134"/>
        <v>0</v>
      </c>
      <c r="Y162" s="1836" t="s">
        <v>1806</v>
      </c>
      <c r="AC162" s="1836"/>
      <c r="AD162" s="1836"/>
      <c r="AE162" s="1836"/>
      <c r="AF162" s="1837">
        <v>197097.99</v>
      </c>
      <c r="AG162" s="1960">
        <f t="shared" si="135"/>
        <v>-47943.640000000014</v>
      </c>
    </row>
    <row r="163" spans="1:33" ht="21.95" customHeight="1" x14ac:dyDescent="0.2">
      <c r="A163" s="1833">
        <f>satpek!$B$64</f>
        <v>45</v>
      </c>
      <c r="B163" s="1943">
        <f>B162+1</f>
        <v>3</v>
      </c>
      <c r="C163" s="1937"/>
      <c r="D163" s="1944" t="str">
        <f>VLOOKUP($A163,satpek!$B$20:$N$144,2,0)</f>
        <v>Memasang dinding Homogenius tile  uk. (30x60) cm</v>
      </c>
      <c r="E163" s="1944"/>
      <c r="F163" s="2004"/>
      <c r="G163" s="1945">
        <f>'[3]B.VOL RAB'!Q381</f>
        <v>59.508000000000017</v>
      </c>
      <c r="H163" s="2456" t="str">
        <f>VLOOKUP($A163,satpek!$B$20:$N$144,7,0)</f>
        <v>m2</v>
      </c>
      <c r="I163" s="2457" t="str">
        <f>VLOOKUP($A163,satpek!$B$20:$N$144,5,0)</f>
        <v>An. Dihitung</v>
      </c>
      <c r="J163" s="1951">
        <f>VLOOKUP($A163,satpek!$B$20:$N$144,6,0)</f>
        <v>281318.25</v>
      </c>
      <c r="K163" s="1938"/>
      <c r="L163" s="1952">
        <f t="shared" ref="L163" si="153">ROUND((G163*J163),2)</f>
        <v>16740686.42</v>
      </c>
      <c r="M163" s="1997"/>
      <c r="N163" s="2458">
        <f>VLOOKUP($A163,satpek!$B$20:$L$138,8,0)</f>
        <v>0.85772412757045269</v>
      </c>
      <c r="O163" s="1954">
        <f>VLOOKUP($A163,satpek!$B$20:$L$138,9,0)</f>
        <v>213534.024</v>
      </c>
      <c r="P163" s="1954">
        <f>VLOOKUP($A163,satpek!$B$20:$L$138,10,0)</f>
        <v>241293.44712</v>
      </c>
      <c r="Q163" s="1952">
        <f t="shared" si="150"/>
        <v>12706982.700192004</v>
      </c>
      <c r="R163" s="1952">
        <f t="shared" si="151"/>
        <v>14358890.654525025</v>
      </c>
      <c r="S163" s="1955">
        <f t="shared" si="152"/>
        <v>2381795.7654749751</v>
      </c>
      <c r="V163" s="1956">
        <v>59.508000000000017</v>
      </c>
      <c r="W163" s="1956"/>
      <c r="X163" s="1956">
        <f t="shared" si="134"/>
        <v>0</v>
      </c>
      <c r="Y163" s="1836" t="s">
        <v>1808</v>
      </c>
      <c r="AC163" s="1836"/>
      <c r="AD163" s="1836"/>
      <c r="AE163" s="1836"/>
      <c r="AF163" s="1837">
        <v>228382.94</v>
      </c>
      <c r="AG163" s="1960">
        <f t="shared" si="135"/>
        <v>-52935.31</v>
      </c>
    </row>
    <row r="164" spans="1:33" ht="21.95" customHeight="1" x14ac:dyDescent="0.2">
      <c r="A164" s="1833">
        <f>satpek!$B$60</f>
        <v>41</v>
      </c>
      <c r="B164" s="1943">
        <f>B163+1</f>
        <v>4</v>
      </c>
      <c r="C164" s="1937"/>
      <c r="D164" s="1944" t="str">
        <f>VLOOKUP($A164,satpek!$B$20:$N$144,2,0)</f>
        <v xml:space="preserve">Memasang lantai keramik unpolish ukuran 30/30 cm </v>
      </c>
      <c r="E164" s="1944"/>
      <c r="F164" s="2004"/>
      <c r="G164" s="1945">
        <f>'[3]B.VOL RAB'!Q386</f>
        <v>16.53</v>
      </c>
      <c r="H164" s="2456" t="str">
        <f>VLOOKUP($A164,satpek!$B$20:$N$144,7,0)</f>
        <v>m2</v>
      </c>
      <c r="I164" s="2457" t="str">
        <f>VLOOKUP($A164,satpek!$B$20:$N$144,5,0)</f>
        <v>A.4.4.3.35.</v>
      </c>
      <c r="J164" s="1951">
        <f>VLOOKUP($A164,satpek!$B$20:$N$144,6,0)</f>
        <v>186829.68</v>
      </c>
      <c r="K164" s="1938"/>
      <c r="L164" s="1952">
        <f t="shared" ref="L164" si="154">ROUND((G164*J164),2)</f>
        <v>3088294.61</v>
      </c>
      <c r="M164" s="1997"/>
      <c r="N164" s="2458">
        <f>VLOOKUP($A164,satpek!$B$20:$L$138,8,0)</f>
        <v>0.83020878695504929</v>
      </c>
      <c r="O164" s="1954">
        <f>VLOOKUP($A164,satpek!$B$20:$L$138,9,0)</f>
        <v>137263.40000000002</v>
      </c>
      <c r="P164" s="1954">
        <f>VLOOKUP($A164,satpek!$B$20:$L$138,10,0)</f>
        <v>155107.64200000002</v>
      </c>
      <c r="Q164" s="1952">
        <f t="shared" si="150"/>
        <v>2268964.0020000003</v>
      </c>
      <c r="R164" s="1952">
        <f t="shared" si="151"/>
        <v>2563929.3219279167</v>
      </c>
      <c r="S164" s="1955">
        <f t="shared" si="152"/>
        <v>524365.28807208315</v>
      </c>
      <c r="V164" s="1956">
        <v>16.53</v>
      </c>
      <c r="W164" s="1956"/>
      <c r="X164" s="1956">
        <f t="shared" si="134"/>
        <v>0</v>
      </c>
      <c r="Y164" s="1836" t="s">
        <v>1809</v>
      </c>
      <c r="AC164" s="1836"/>
      <c r="AD164" s="1836"/>
      <c r="AE164" s="1836"/>
      <c r="AF164" s="1837">
        <v>176741.04</v>
      </c>
      <c r="AG164" s="1960">
        <f t="shared" si="135"/>
        <v>-10088.639999999985</v>
      </c>
    </row>
    <row r="165" spans="1:33" ht="21.95" customHeight="1" x14ac:dyDescent="0.2">
      <c r="A165" s="1833">
        <f>satpek!$B$59</f>
        <v>40</v>
      </c>
      <c r="B165" s="1943">
        <f>B164+1</f>
        <v>5</v>
      </c>
      <c r="C165" s="1937"/>
      <c r="D165" s="1944" t="str">
        <f>VLOOKUP($A165,satpek!$B$20:$N$144,2,0)</f>
        <v>Memasang plint lantai Homogenius tile uk. (10 x 60) cm</v>
      </c>
      <c r="E165" s="1944"/>
      <c r="F165" s="2004"/>
      <c r="G165" s="1945">
        <f>'[3]B.VOL RAB'!Q390</f>
        <v>643.69999999999959</v>
      </c>
      <c r="H165" s="2456" t="str">
        <f>VLOOKUP($A165,satpek!$B$20:$N$144,7,0)</f>
        <v>m'</v>
      </c>
      <c r="I165" s="2457" t="str">
        <f>VLOOKUP($A165,satpek!$B$20:$N$144,5,0)</f>
        <v>A.4.4.3.28.a.</v>
      </c>
      <c r="J165" s="1951">
        <f>VLOOKUP($A165,satpek!$B$20:$N$144,6,0)</f>
        <v>38068.57</v>
      </c>
      <c r="K165" s="1938"/>
      <c r="L165" s="1952">
        <f t="shared" ref="L165" si="155">ROUND((G165*J165),2)</f>
        <v>24504738.510000002</v>
      </c>
      <c r="M165" s="1997"/>
      <c r="N165" s="2458">
        <f>VLOOKUP($A165,satpek!$B$20:$L$138,8,0)</f>
        <v>0.83654205230193834</v>
      </c>
      <c r="O165" s="1954">
        <f>VLOOKUP($A165,satpek!$B$20:$L$138,9,0)</f>
        <v>28182.265200000002</v>
      </c>
      <c r="P165" s="1954">
        <f>VLOOKUP($A165,satpek!$B$20:$L$138,10,0)</f>
        <v>31845.959676000002</v>
      </c>
      <c r="Q165" s="1952">
        <f t="shared" si="150"/>
        <v>18140924.109239988</v>
      </c>
      <c r="R165" s="1952">
        <f t="shared" si="151"/>
        <v>20499244.244277745</v>
      </c>
      <c r="S165" s="1955">
        <f t="shared" si="152"/>
        <v>4005494.2657222562</v>
      </c>
      <c r="V165" s="1956">
        <v>643.69999999999959</v>
      </c>
      <c r="W165" s="1956"/>
      <c r="X165" s="1956">
        <f t="shared" si="134"/>
        <v>0</v>
      </c>
      <c r="Y165" s="1836" t="s">
        <v>1810</v>
      </c>
      <c r="AC165" s="1836"/>
      <c r="AD165" s="1836"/>
      <c r="AE165" s="1836"/>
      <c r="AF165" s="1837">
        <v>72758.44</v>
      </c>
      <c r="AG165" s="1960">
        <f t="shared" si="135"/>
        <v>34689.870000000003</v>
      </c>
    </row>
    <row r="166" spans="1:33" ht="21.95" customHeight="1" x14ac:dyDescent="0.2">
      <c r="B166" s="2017"/>
      <c r="C166" s="2018"/>
      <c r="D166" s="2019"/>
      <c r="E166" s="2019"/>
      <c r="F166" s="2020"/>
      <c r="G166" s="2021"/>
      <c r="H166" s="2461"/>
      <c r="I166" s="2462"/>
      <c r="J166" s="2026"/>
      <c r="K166" s="2027"/>
      <c r="L166" s="2065" t="s">
        <v>1812</v>
      </c>
      <c r="M166" s="2463">
        <f>SUM(L151:L166)</f>
        <v>662758512.13</v>
      </c>
      <c r="N166" s="2464">
        <f>R166/M166</f>
        <v>0.85688649520620142</v>
      </c>
      <c r="O166" s="2025"/>
      <c r="P166" s="2025"/>
      <c r="Q166" s="2023"/>
      <c r="R166" s="2068">
        <f>SUM(R150:R165)</f>
        <v>567908818.62715244</v>
      </c>
      <c r="S166" s="2467">
        <f>SUM(S151:S165)</f>
        <v>94849693.502847508</v>
      </c>
      <c r="U166" s="1848">
        <f>M166-T166</f>
        <v>662758512.13</v>
      </c>
      <c r="V166" s="1956"/>
      <c r="W166" s="1956"/>
      <c r="X166" s="1956">
        <f t="shared" si="134"/>
        <v>0</v>
      </c>
      <c r="Y166" s="2477"/>
      <c r="AC166" s="1836"/>
      <c r="AD166" s="1836"/>
      <c r="AE166" s="1836"/>
      <c r="AF166" s="1837"/>
      <c r="AG166" s="1960">
        <f t="shared" si="135"/>
        <v>0</v>
      </c>
    </row>
    <row r="167" spans="1:33" ht="21.95" customHeight="1" x14ac:dyDescent="0.2">
      <c r="B167" s="1927" t="s">
        <v>1813</v>
      </c>
      <c r="C167" s="1928"/>
      <c r="D167" s="1929" t="s">
        <v>1814</v>
      </c>
      <c r="E167" s="1930"/>
      <c r="F167" s="1931"/>
      <c r="G167" s="1945"/>
      <c r="H167" s="2452"/>
      <c r="I167" s="2453"/>
      <c r="J167" s="1951"/>
      <c r="K167" s="2066"/>
      <c r="L167" s="2067"/>
      <c r="M167" s="1967"/>
      <c r="N167" s="2454"/>
      <c r="O167" s="1936"/>
      <c r="P167" s="1936"/>
      <c r="Q167" s="1934"/>
      <c r="R167" s="1940"/>
      <c r="S167" s="1941"/>
      <c r="V167" s="1956"/>
      <c r="W167" s="1956"/>
      <c r="X167" s="1956">
        <f t="shared" si="134"/>
        <v>0</v>
      </c>
      <c r="Y167" s="1836" t="s">
        <v>1814</v>
      </c>
      <c r="AC167" s="1836"/>
      <c r="AD167" s="1836"/>
      <c r="AE167" s="1836"/>
      <c r="AF167" s="1837"/>
      <c r="AG167" s="1960">
        <f t="shared" si="135"/>
        <v>0</v>
      </c>
    </row>
    <row r="168" spans="1:33" ht="21.95" customHeight="1" x14ac:dyDescent="0.2">
      <c r="B168" s="1927"/>
      <c r="C168" s="1928"/>
      <c r="D168" s="1929" t="s">
        <v>1769</v>
      </c>
      <c r="E168" s="1930"/>
      <c r="F168" s="1931"/>
      <c r="G168" s="1945"/>
      <c r="H168" s="2452"/>
      <c r="I168" s="2453"/>
      <c r="J168" s="1951"/>
      <c r="K168" s="2066"/>
      <c r="L168" s="2067"/>
      <c r="M168" s="1967"/>
      <c r="N168" s="2454"/>
      <c r="O168" s="1936"/>
      <c r="P168" s="1936"/>
      <c r="Q168" s="1934"/>
      <c r="R168" s="1940"/>
      <c r="S168" s="1941"/>
      <c r="V168" s="1956"/>
      <c r="W168" s="1956"/>
      <c r="X168" s="1956">
        <f t="shared" si="134"/>
        <v>0</v>
      </c>
      <c r="Y168" s="1836" t="s">
        <v>1769</v>
      </c>
      <c r="AC168" s="1836"/>
      <c r="AD168" s="1836"/>
      <c r="AE168" s="1836"/>
      <c r="AF168" s="1837"/>
      <c r="AG168" s="1960">
        <f t="shared" si="135"/>
        <v>0</v>
      </c>
    </row>
    <row r="169" spans="1:33" ht="21.95" customHeight="1" x14ac:dyDescent="0.2">
      <c r="A169" s="1833">
        <f>satpek!$B$53</f>
        <v>34</v>
      </c>
      <c r="B169" s="1943">
        <v>1</v>
      </c>
      <c r="C169" s="1937"/>
      <c r="D169" s="1944" t="str">
        <f>VLOOKUP($A169,satpek!$B$20:$N$144,2,0)</f>
        <v>Memasang rk. plafond besi hollow uk. (60x80) cm</v>
      </c>
      <c r="E169" s="1944"/>
      <c r="F169" s="2004"/>
      <c r="G169" s="1945">
        <f>'[3]B.VOL RAB'!Q395</f>
        <v>785.32499999999993</v>
      </c>
      <c r="H169" s="2456" t="str">
        <f>VLOOKUP($A169,satpek!$B$20:$N$144,7,0)</f>
        <v>m2</v>
      </c>
      <c r="I169" s="2457" t="str">
        <f>VLOOKUP($A169,satpek!$B$20:$N$144,5,0)</f>
        <v>A.4.2.1.20.</v>
      </c>
      <c r="J169" s="1951">
        <f>VLOOKUP($A169,satpek!$B$20:$N$144,6,0)</f>
        <v>98134.85</v>
      </c>
      <c r="K169" s="1938"/>
      <c r="L169" s="1952">
        <f t="shared" ref="L169" si="156">ROUND((G169*J169),2)</f>
        <v>77067751.079999998</v>
      </c>
      <c r="M169" s="1967"/>
      <c r="N169" s="2458">
        <f>VLOOKUP($A169,satpek!$B$20:$L$138,8,0)</f>
        <v>0.71051931602279927</v>
      </c>
      <c r="O169" s="1954">
        <f>VLOOKUP($A169,satpek!$B$20:$L$138,9,0)</f>
        <v>61705.05</v>
      </c>
      <c r="P169" s="1954">
        <f>VLOOKUP($A169,satpek!$B$20:$L$138,10,0)</f>
        <v>69726.7065</v>
      </c>
      <c r="Q169" s="1952">
        <f t="shared" ref="Q169:Q173" si="157">O169*G169</f>
        <v>48458518.391249999</v>
      </c>
      <c r="R169" s="1952">
        <f t="shared" ref="R169:R173" si="158">N169*L169</f>
        <v>54758125.784776948</v>
      </c>
      <c r="S169" s="1955">
        <f t="shared" ref="S169:S173" si="159">L169-R169</f>
        <v>22309625.29522305</v>
      </c>
      <c r="V169" s="1956">
        <v>785.32499999999993</v>
      </c>
      <c r="W169" s="1956"/>
      <c r="X169" s="1956">
        <f t="shared" si="134"/>
        <v>0</v>
      </c>
      <c r="Y169" s="2061" t="s">
        <v>783</v>
      </c>
      <c r="AC169" s="1836"/>
      <c r="AD169" s="1836"/>
      <c r="AE169" s="1836"/>
      <c r="AF169" s="1837">
        <v>96452.28</v>
      </c>
      <c r="AG169" s="1960">
        <f t="shared" si="135"/>
        <v>-1682.570000000007</v>
      </c>
    </row>
    <row r="170" spans="1:33" ht="21.95" customHeight="1" x14ac:dyDescent="0.2">
      <c r="A170" s="1833">
        <f>satpek!$B$49</f>
        <v>30</v>
      </c>
      <c r="B170" s="1943">
        <f>B169+1</f>
        <v>2</v>
      </c>
      <c r="C170" s="1937"/>
      <c r="D170" s="1944" t="str">
        <f>VLOOKUP($A170,satpek!$B$20:$N$144,2,0)</f>
        <v>Memasang langit-langit gypsum board uk. (120x240), tb. 9 mm.</v>
      </c>
      <c r="E170" s="1944"/>
      <c r="F170" s="2004"/>
      <c r="G170" s="1945">
        <f>'[3]B.VOL RAB'!Q399</f>
        <v>753.75</v>
      </c>
      <c r="H170" s="2456" t="str">
        <f>VLOOKUP($A170,satpek!$B$20:$N$144,7,0)</f>
        <v>m2</v>
      </c>
      <c r="I170" s="2457" t="str">
        <f>VLOOKUP($A170,satpek!$B$20:$N$144,5,0)</f>
        <v>A.4.5.1.7.</v>
      </c>
      <c r="J170" s="1951">
        <f>VLOOKUP($A170,satpek!$B$20:$N$144,6,0)</f>
        <v>54047.9</v>
      </c>
      <c r="K170" s="1938"/>
      <c r="L170" s="1952">
        <f t="shared" ref="L170" si="160">ROUND((G170*J170),2)</f>
        <v>40738604.630000003</v>
      </c>
      <c r="M170" s="1967"/>
      <c r="N170" s="2458">
        <f>VLOOKUP($A170,satpek!$B$20:$L$138,8,0)</f>
        <v>0.47799105164122929</v>
      </c>
      <c r="O170" s="1954">
        <f>VLOOKUP($A170,satpek!$B$20:$L$138,9,0)</f>
        <v>22862.311999999998</v>
      </c>
      <c r="P170" s="1954">
        <f>VLOOKUP($A170,satpek!$B$20:$L$138,10,0)</f>
        <v>25834.412559999997</v>
      </c>
      <c r="Q170" s="1952">
        <f t="shared" si="157"/>
        <v>17232467.669999998</v>
      </c>
      <c r="R170" s="1952">
        <f t="shared" si="158"/>
        <v>19472688.469489954</v>
      </c>
      <c r="S170" s="1955">
        <f t="shared" si="159"/>
        <v>21265916.160510048</v>
      </c>
      <c r="V170" s="1956">
        <v>753.75</v>
      </c>
      <c r="W170" s="1956"/>
      <c r="X170" s="1956">
        <f t="shared" si="134"/>
        <v>0</v>
      </c>
      <c r="Y170" s="1836" t="s">
        <v>786</v>
      </c>
      <c r="AC170" s="1836"/>
      <c r="AD170" s="1836"/>
      <c r="AE170" s="1836"/>
      <c r="AF170" s="1837">
        <v>54466.229999999996</v>
      </c>
      <c r="AG170" s="1960">
        <f t="shared" si="135"/>
        <v>418.32999999999447</v>
      </c>
    </row>
    <row r="171" spans="1:33" ht="21.95" customHeight="1" x14ac:dyDescent="0.2">
      <c r="A171" s="1833">
        <f>satpek!$B$50</f>
        <v>31</v>
      </c>
      <c r="B171" s="1943">
        <f t="shared" ref="B171:B173" si="161">B170+1</f>
        <v>3</v>
      </c>
      <c r="C171" s="1937"/>
      <c r="D171" s="1944" t="str">
        <f>VLOOKUP($A171,satpek!$B$20:$N$144,2,0)</f>
        <v>Memasang plafond PVC</v>
      </c>
      <c r="E171" s="1944"/>
      <c r="F171" s="2004"/>
      <c r="G171" s="1945">
        <f>'[3]B.VOL RAB'!Q405</f>
        <v>39.9</v>
      </c>
      <c r="H171" s="2456" t="str">
        <f>VLOOKUP($A171,satpek!$B$20:$N$144,7,0)</f>
        <v>m2</v>
      </c>
      <c r="I171" s="2457" t="str">
        <f>VLOOKUP($A171,satpek!$B$20:$N$144,5,0)</f>
        <v>An.Dihitung</v>
      </c>
      <c r="J171" s="1951">
        <f>VLOOKUP($A171,satpek!$B$20:$N$144,6,0)</f>
        <v>167579</v>
      </c>
      <c r="K171" s="1938"/>
      <c r="L171" s="1952">
        <f>ROUND((G171*J171),2)</f>
        <v>6686402.0999999996</v>
      </c>
      <c r="M171" s="1967"/>
      <c r="N171" s="2458">
        <f>VLOOKUP($A171,satpek!$B$20:$L$138,8,0)</f>
        <v>0.65594032366824007</v>
      </c>
      <c r="O171" s="1954">
        <f>VLOOKUP($A171,satpek!$B$20:$L$138,9,0)</f>
        <v>97275.95</v>
      </c>
      <c r="P171" s="1954">
        <f>VLOOKUP($A171,satpek!$B$20:$L$138,10,0)</f>
        <v>109921.8235</v>
      </c>
      <c r="Q171" s="1952">
        <f t="shared" si="157"/>
        <v>3881310.4049999998</v>
      </c>
      <c r="R171" s="1952">
        <f t="shared" si="158"/>
        <v>4385880.75765</v>
      </c>
      <c r="S171" s="1955">
        <f t="shared" si="159"/>
        <v>2300521.3423499996</v>
      </c>
      <c r="V171" s="1956">
        <v>39.9</v>
      </c>
      <c r="W171" s="1956"/>
      <c r="X171" s="1956">
        <f t="shared" si="134"/>
        <v>0</v>
      </c>
      <c r="Y171" s="1836" t="s">
        <v>1815</v>
      </c>
      <c r="AC171" s="1836"/>
      <c r="AD171" s="1836"/>
      <c r="AE171" s="1836"/>
      <c r="AF171" s="1837">
        <v>167245.65</v>
      </c>
      <c r="AG171" s="1960">
        <f t="shared" si="135"/>
        <v>-333.35000000000582</v>
      </c>
    </row>
    <row r="172" spans="1:33" ht="21.95" customHeight="1" x14ac:dyDescent="0.2">
      <c r="A172" s="1833">
        <f>satpek!$B$51</f>
        <v>32</v>
      </c>
      <c r="B172" s="1943">
        <f t="shared" si="161"/>
        <v>4</v>
      </c>
      <c r="C172" s="1937"/>
      <c r="D172" s="1944" t="str">
        <f>VLOOKUP($A172,satpek!$B$20:$N$144,2,0)</f>
        <v>Memasang list plafond gypsum profil</v>
      </c>
      <c r="E172" s="1944"/>
      <c r="F172" s="2004"/>
      <c r="G172" s="1945">
        <f>'[3]B.VOL RAB'!Q407</f>
        <v>459.6999999999997</v>
      </c>
      <c r="H172" s="2456" t="str">
        <f>VLOOKUP($A172,satpek!$B$20:$N$144,7,0)</f>
        <v>m'</v>
      </c>
      <c r="I172" s="2457" t="str">
        <f>VLOOKUP($A172,satpek!$B$20:$N$144,5,0)</f>
        <v>An.Dihitung</v>
      </c>
      <c r="J172" s="1951">
        <f>VLOOKUP($A172,satpek!$B$20:$N$144,6,0)</f>
        <v>30469.32</v>
      </c>
      <c r="K172" s="1938"/>
      <c r="L172" s="1952">
        <f>ROUND((G172*J172),2)</f>
        <v>14006746.4</v>
      </c>
      <c r="M172" s="1967"/>
      <c r="N172" s="2458">
        <f>VLOOKUP($A172,satpek!$B$20:$L$138,8,0)</f>
        <v>0.58238985313751668</v>
      </c>
      <c r="O172" s="1954">
        <f>VLOOKUP($A172,satpek!$B$20:$L$138,9,0)</f>
        <v>15703.56</v>
      </c>
      <c r="P172" s="1954">
        <f>VLOOKUP($A172,satpek!$B$20:$L$138,10,0)</f>
        <v>17745.022799999999</v>
      </c>
      <c r="Q172" s="1952">
        <f t="shared" si="157"/>
        <v>7218926.531999995</v>
      </c>
      <c r="R172" s="1952">
        <f t="shared" si="158"/>
        <v>8157386.9788304409</v>
      </c>
      <c r="S172" s="1955">
        <f t="shared" si="159"/>
        <v>5849359.4211695595</v>
      </c>
      <c r="V172" s="1956">
        <v>459.6999999999997</v>
      </c>
      <c r="W172" s="1956"/>
      <c r="X172" s="1956">
        <f t="shared" si="134"/>
        <v>0</v>
      </c>
      <c r="Y172" s="1836" t="s">
        <v>667</v>
      </c>
      <c r="AC172" s="1836"/>
      <c r="AD172" s="1836"/>
      <c r="AE172" s="1836"/>
      <c r="AF172" s="1837">
        <v>30387.96</v>
      </c>
      <c r="AG172" s="1960">
        <f t="shared" si="135"/>
        <v>-81.360000000000582</v>
      </c>
    </row>
    <row r="173" spans="1:33" ht="21.95" customHeight="1" x14ac:dyDescent="0.2">
      <c r="A173" s="1833">
        <f>satpek!$B$52</f>
        <v>33</v>
      </c>
      <c r="B173" s="1943">
        <f t="shared" si="161"/>
        <v>5</v>
      </c>
      <c r="C173" s="1937"/>
      <c r="D173" s="1944" t="str">
        <f>VLOOKUP($A173,satpek!$B$20:$N$144,2,0)</f>
        <v>Memasang list plafond PVC</v>
      </c>
      <c r="E173" s="1944"/>
      <c r="F173" s="2004"/>
      <c r="G173" s="1945">
        <f>'[3]B.VOL RAB'!Q409</f>
        <v>25.4</v>
      </c>
      <c r="H173" s="2456" t="str">
        <f>VLOOKUP($A173,satpek!$B$20:$N$144,7,0)</f>
        <v>m'</v>
      </c>
      <c r="I173" s="2457" t="str">
        <f>VLOOKUP($A173,satpek!$B$20:$N$144,5,0)</f>
        <v>An.Dihitung</v>
      </c>
      <c r="J173" s="1951">
        <f>VLOOKUP($A173,satpek!$B$20:$N$144,6,0)</f>
        <v>39690.120000000003</v>
      </c>
      <c r="K173" s="1938"/>
      <c r="L173" s="1952">
        <f>ROUND((G173*J173),2)</f>
        <v>1008129.05</v>
      </c>
      <c r="M173" s="1967"/>
      <c r="N173" s="2458">
        <f>VLOOKUP($A173,satpek!$B$20:$L$138,8,0)</f>
        <v>0.74739921421250433</v>
      </c>
      <c r="O173" s="1954">
        <f>VLOOKUP($A173,satpek!$B$20:$L$138,9,0)</f>
        <v>26251.65</v>
      </c>
      <c r="P173" s="1954">
        <f>VLOOKUP($A173,satpek!$B$20:$L$138,10,0)</f>
        <v>29664.364500000003</v>
      </c>
      <c r="Q173" s="1952">
        <f t="shared" si="157"/>
        <v>666791.91</v>
      </c>
      <c r="R173" s="1952">
        <f t="shared" si="158"/>
        <v>753474.85979479854</v>
      </c>
      <c r="S173" s="1955">
        <f t="shared" si="159"/>
        <v>254654.19020520151</v>
      </c>
      <c r="V173" s="1956">
        <v>25.4</v>
      </c>
      <c r="W173" s="1956"/>
      <c r="X173" s="1956">
        <f t="shared" si="134"/>
        <v>0</v>
      </c>
      <c r="Y173" s="1836" t="s">
        <v>1816</v>
      </c>
      <c r="AC173" s="1836"/>
      <c r="AD173" s="1836"/>
      <c r="AE173" s="1836"/>
      <c r="AF173" s="1837">
        <v>39490.11</v>
      </c>
      <c r="AG173" s="1960">
        <f t="shared" si="135"/>
        <v>-200.01000000000204</v>
      </c>
    </row>
    <row r="174" spans="1:33" ht="21.95" customHeight="1" x14ac:dyDescent="0.2">
      <c r="B174" s="1927"/>
      <c r="C174" s="1928"/>
      <c r="D174" s="1929" t="s">
        <v>1786</v>
      </c>
      <c r="E174" s="1930"/>
      <c r="F174" s="1931"/>
      <c r="G174" s="1945"/>
      <c r="H174" s="2452"/>
      <c r="I174" s="2453"/>
      <c r="J174" s="1951"/>
      <c r="K174" s="2066"/>
      <c r="L174" s="2067"/>
      <c r="M174" s="1967"/>
      <c r="N174" s="2454"/>
      <c r="O174" s="1936"/>
      <c r="P174" s="1936"/>
      <c r="Q174" s="1934"/>
      <c r="R174" s="1940"/>
      <c r="S174" s="1941"/>
      <c r="V174" s="1956"/>
      <c r="W174" s="1956"/>
      <c r="X174" s="1956">
        <f t="shared" si="134"/>
        <v>0</v>
      </c>
      <c r="Y174" s="1836" t="s">
        <v>1786</v>
      </c>
      <c r="AG174" s="1960">
        <f t="shared" si="135"/>
        <v>0</v>
      </c>
    </row>
    <row r="175" spans="1:33" ht="21.95" customHeight="1" x14ac:dyDescent="0.2">
      <c r="A175" s="1833">
        <f>satpek!$B$53</f>
        <v>34</v>
      </c>
      <c r="B175" s="1943">
        <v>1</v>
      </c>
      <c r="C175" s="1937"/>
      <c r="D175" s="1944" t="str">
        <f>VLOOKUP($A175,satpek!$B$20:$N$144,2,0)</f>
        <v>Memasang rk. plafond besi hollow uk. (60x80) cm</v>
      </c>
      <c r="E175" s="1944"/>
      <c r="F175" s="2004"/>
      <c r="G175" s="1945">
        <f>'[3]B.VOL RAB'!Q412</f>
        <v>831.65</v>
      </c>
      <c r="H175" s="2456" t="str">
        <f>VLOOKUP($A175,satpek!$B$20:$N$144,7,0)</f>
        <v>m2</v>
      </c>
      <c r="I175" s="2457" t="str">
        <f>VLOOKUP($A175,satpek!$B$20:$N$144,5,0)</f>
        <v>A.4.2.1.20.</v>
      </c>
      <c r="J175" s="1951">
        <f>VLOOKUP($A175,satpek!$B$20:$N$144,6,0)</f>
        <v>98134.85</v>
      </c>
      <c r="K175" s="1938"/>
      <c r="L175" s="1952">
        <f t="shared" ref="L175:L176" si="162">ROUND((G175*J175),2)</f>
        <v>81613848</v>
      </c>
      <c r="M175" s="1967"/>
      <c r="N175" s="2458">
        <f>VLOOKUP($A175,satpek!$B$20:$L$138,8,0)</f>
        <v>0.71051931602279927</v>
      </c>
      <c r="O175" s="1954">
        <f>VLOOKUP($A175,satpek!$B$20:$L$138,9,0)</f>
        <v>61705.05</v>
      </c>
      <c r="P175" s="1954">
        <f>VLOOKUP($A175,satpek!$B$20:$L$138,10,0)</f>
        <v>69726.7065</v>
      </c>
      <c r="Q175" s="1952">
        <f t="shared" ref="Q175:Q179" si="163">O175*G175</f>
        <v>51317004.832500003</v>
      </c>
      <c r="R175" s="1952">
        <f t="shared" ref="R175:R179" si="164">N175*L175</f>
        <v>57988215.458948702</v>
      </c>
      <c r="S175" s="1955">
        <f t="shared" ref="S175:S179" si="165">L175-R175</f>
        <v>23625632.541051298</v>
      </c>
      <c r="V175" s="1956">
        <v>831.65</v>
      </c>
      <c r="W175" s="1956"/>
      <c r="X175" s="1956">
        <f t="shared" si="134"/>
        <v>0</v>
      </c>
      <c r="Y175" s="1836" t="s">
        <v>783</v>
      </c>
      <c r="AF175" s="1910">
        <v>96452.28</v>
      </c>
      <c r="AG175" s="1960">
        <f t="shared" si="135"/>
        <v>-1682.570000000007</v>
      </c>
    </row>
    <row r="176" spans="1:33" ht="21.95" customHeight="1" x14ac:dyDescent="0.2">
      <c r="A176" s="1833">
        <f>satpek!$B$49</f>
        <v>30</v>
      </c>
      <c r="B176" s="1943">
        <f>B175+1</f>
        <v>2</v>
      </c>
      <c r="C176" s="1937"/>
      <c r="D176" s="1944" t="str">
        <f>VLOOKUP($A176,satpek!$B$20:$N$144,2,0)</f>
        <v>Memasang langit-langit gypsum board uk. (120x240), tb. 9 mm.</v>
      </c>
      <c r="E176" s="1944"/>
      <c r="F176" s="2004"/>
      <c r="G176" s="1945">
        <f>'[3]B.VOL RAB'!Q415</f>
        <v>829.65</v>
      </c>
      <c r="H176" s="2456" t="str">
        <f>VLOOKUP($A176,satpek!$B$20:$N$144,7,0)</f>
        <v>m2</v>
      </c>
      <c r="I176" s="2457" t="str">
        <f>VLOOKUP($A176,satpek!$B$20:$N$144,5,0)</f>
        <v>A.4.5.1.7.</v>
      </c>
      <c r="J176" s="1951">
        <f>VLOOKUP($A176,satpek!$B$20:$N$144,6,0)</f>
        <v>54047.9</v>
      </c>
      <c r="K176" s="1938"/>
      <c r="L176" s="1952">
        <f t="shared" si="162"/>
        <v>44840840.240000002</v>
      </c>
      <c r="M176" s="1967"/>
      <c r="N176" s="2458">
        <f>VLOOKUP($A176,satpek!$B$20:$L$138,8,0)</f>
        <v>0.47799105164122929</v>
      </c>
      <c r="O176" s="1954">
        <f>VLOOKUP($A176,satpek!$B$20:$L$138,9,0)</f>
        <v>22862.311999999998</v>
      </c>
      <c r="P176" s="1954">
        <f>VLOOKUP($A176,satpek!$B$20:$L$138,10,0)</f>
        <v>25834.412559999997</v>
      </c>
      <c r="Q176" s="1952">
        <f t="shared" si="163"/>
        <v>18967717.150799997</v>
      </c>
      <c r="R176" s="1952">
        <f t="shared" si="164"/>
        <v>21433520.382793952</v>
      </c>
      <c r="S176" s="1955">
        <f t="shared" si="165"/>
        <v>23407319.85720605</v>
      </c>
      <c r="V176" s="1956">
        <v>829.65</v>
      </c>
      <c r="W176" s="1956"/>
      <c r="X176" s="1956">
        <f t="shared" si="134"/>
        <v>0</v>
      </c>
      <c r="Y176" s="1836" t="s">
        <v>786</v>
      </c>
      <c r="AF176" s="1910">
        <v>54466.229999999996</v>
      </c>
      <c r="AG176" s="1960">
        <f t="shared" si="135"/>
        <v>418.32999999999447</v>
      </c>
    </row>
    <row r="177" spans="1:33" ht="21.95" customHeight="1" x14ac:dyDescent="0.2">
      <c r="A177" s="1833">
        <f>satpek!$B$51</f>
        <v>32</v>
      </c>
      <c r="B177" s="1943">
        <f>B176+1</f>
        <v>3</v>
      </c>
      <c r="C177" s="1937"/>
      <c r="D177" s="1944" t="str">
        <f>VLOOKUP($A177,satpek!$B$20:$N$144,2,0)</f>
        <v>Memasang list plafond gypsum profil</v>
      </c>
      <c r="E177" s="1944"/>
      <c r="F177" s="2004"/>
      <c r="G177" s="1945">
        <f>'[3]B.VOL RAB'!Q419</f>
        <v>427.89999999999981</v>
      </c>
      <c r="H177" s="2456" t="str">
        <f>VLOOKUP($A177,satpek!$B$20:$N$144,7,0)</f>
        <v>m'</v>
      </c>
      <c r="I177" s="2457" t="str">
        <f>VLOOKUP($A177,satpek!$B$20:$N$144,5,0)</f>
        <v>An.Dihitung</v>
      </c>
      <c r="J177" s="1951">
        <f>VLOOKUP($A177,satpek!$B$20:$N$144,6,0)</f>
        <v>30469.32</v>
      </c>
      <c r="K177" s="1938"/>
      <c r="L177" s="1952">
        <f t="shared" ref="L177" si="166">ROUND((G177*J177),2)</f>
        <v>13037822.029999999</v>
      </c>
      <c r="M177" s="1967"/>
      <c r="N177" s="2458">
        <f>VLOOKUP($A177,satpek!$B$20:$L$138,8,0)</f>
        <v>0.58238985313751668</v>
      </c>
      <c r="O177" s="1954">
        <f>VLOOKUP($A177,satpek!$B$20:$L$138,9,0)</f>
        <v>15703.56</v>
      </c>
      <c r="P177" s="1954">
        <f>VLOOKUP($A177,satpek!$B$20:$L$138,10,0)</f>
        <v>17745.022799999999</v>
      </c>
      <c r="Q177" s="1952">
        <f t="shared" si="163"/>
        <v>6719553.3239999963</v>
      </c>
      <c r="R177" s="1952">
        <f t="shared" si="164"/>
        <v>7593095.2572847791</v>
      </c>
      <c r="S177" s="1955">
        <f t="shared" si="165"/>
        <v>5444726.7727152202</v>
      </c>
      <c r="V177" s="1956">
        <v>427.89999999999981</v>
      </c>
      <c r="W177" s="1956"/>
      <c r="X177" s="1956">
        <f t="shared" si="134"/>
        <v>0</v>
      </c>
      <c r="Y177" s="1836" t="s">
        <v>667</v>
      </c>
      <c r="AF177" s="1910">
        <v>30387.96</v>
      </c>
      <c r="AG177" s="1960">
        <f t="shared" si="135"/>
        <v>-81.360000000000582</v>
      </c>
    </row>
    <row r="178" spans="1:33" ht="21.95" customHeight="1" x14ac:dyDescent="0.2">
      <c r="A178" s="1833">
        <f>satpek!$B$50</f>
        <v>31</v>
      </c>
      <c r="B178" s="1943">
        <f t="shared" ref="B178:B179" si="167">B177+1</f>
        <v>4</v>
      </c>
      <c r="C178" s="1937"/>
      <c r="D178" s="1944" t="str">
        <f>VLOOKUP($A178,satpek!$B$20:$N$144,2,0)</f>
        <v>Memasang plafond PVC</v>
      </c>
      <c r="E178" s="1944"/>
      <c r="F178" s="2004"/>
      <c r="G178" s="1945">
        <f>'[3]B.VOL RAB'!Q420</f>
        <v>68.399999999999991</v>
      </c>
      <c r="H178" s="2456" t="str">
        <f>VLOOKUP($A178,satpek!$B$20:$N$144,7,0)</f>
        <v>m2</v>
      </c>
      <c r="I178" s="2457" t="str">
        <f>VLOOKUP($A178,satpek!$B$20:$N$144,5,0)</f>
        <v>An.Dihitung</v>
      </c>
      <c r="J178" s="1951">
        <f>VLOOKUP($A178,satpek!$B$20:$N$144,6,0)</f>
        <v>167579</v>
      </c>
      <c r="K178" s="1938"/>
      <c r="L178" s="1952">
        <f t="shared" ref="L178" si="168">ROUND((G178*J178),2)</f>
        <v>11462403.6</v>
      </c>
      <c r="M178" s="1967"/>
      <c r="N178" s="2458">
        <f>VLOOKUP($A178,satpek!$B$20:$L$138,8,0)</f>
        <v>0.65594032366824007</v>
      </c>
      <c r="O178" s="1954">
        <f>VLOOKUP($A178,satpek!$B$20:$L$138,9,0)</f>
        <v>97275.95</v>
      </c>
      <c r="P178" s="1954">
        <f>VLOOKUP($A178,satpek!$B$20:$L$138,10,0)</f>
        <v>109921.8235</v>
      </c>
      <c r="Q178" s="1952">
        <f t="shared" si="163"/>
        <v>6653674.9799999986</v>
      </c>
      <c r="R178" s="1952">
        <f t="shared" si="164"/>
        <v>7518652.7274000002</v>
      </c>
      <c r="S178" s="1955">
        <f t="shared" si="165"/>
        <v>3943750.8725999994</v>
      </c>
      <c r="V178" s="1956">
        <v>68.399999999999991</v>
      </c>
      <c r="W178" s="1956"/>
      <c r="X178" s="1956">
        <f t="shared" si="134"/>
        <v>0</v>
      </c>
      <c r="Y178" s="1836" t="s">
        <v>1815</v>
      </c>
      <c r="AC178" s="1836"/>
      <c r="AD178" s="1836"/>
      <c r="AE178" s="1836"/>
      <c r="AF178" s="1837">
        <v>167245.65</v>
      </c>
      <c r="AG178" s="1960">
        <f t="shared" si="135"/>
        <v>-333.35000000000582</v>
      </c>
    </row>
    <row r="179" spans="1:33" ht="21.95" customHeight="1" x14ac:dyDescent="0.2">
      <c r="A179" s="1833">
        <f>satpek!$B$52</f>
        <v>33</v>
      </c>
      <c r="B179" s="1943">
        <f t="shared" si="167"/>
        <v>5</v>
      </c>
      <c r="C179" s="1937"/>
      <c r="D179" s="1944" t="str">
        <f>VLOOKUP($A179,satpek!$B$20:$N$144,2,0)</f>
        <v>Memasang list plafond PVC</v>
      </c>
      <c r="E179" s="1944"/>
      <c r="F179" s="2004"/>
      <c r="G179" s="1945">
        <f>'[3]B.VOL RAB'!Q432</f>
        <v>117.80000000000001</v>
      </c>
      <c r="H179" s="2456" t="str">
        <f>VLOOKUP($A179,satpek!$B$20:$N$144,7,0)</f>
        <v>m'</v>
      </c>
      <c r="I179" s="2457" t="str">
        <f>VLOOKUP($A179,satpek!$B$20:$N$144,5,0)</f>
        <v>An.Dihitung</v>
      </c>
      <c r="J179" s="1951">
        <f>VLOOKUP($A179,satpek!$B$20:$N$144,6,0)</f>
        <v>39690.120000000003</v>
      </c>
      <c r="K179" s="1938"/>
      <c r="L179" s="1952">
        <f t="shared" ref="L179" si="169">ROUND((G179*J179),2)</f>
        <v>4675496.1399999997</v>
      </c>
      <c r="M179" s="1967"/>
      <c r="N179" s="2458">
        <f>VLOOKUP($A179,satpek!$B$20:$L$138,8,0)</f>
        <v>0.74739921421250433</v>
      </c>
      <c r="O179" s="1954">
        <f>VLOOKUP($A179,satpek!$B$20:$L$138,9,0)</f>
        <v>26251.65</v>
      </c>
      <c r="P179" s="1954">
        <f>VLOOKUP($A179,satpek!$B$20:$L$138,10,0)</f>
        <v>29664.364500000003</v>
      </c>
      <c r="Q179" s="1952">
        <f t="shared" si="163"/>
        <v>3092444.3700000006</v>
      </c>
      <c r="R179" s="1952">
        <f t="shared" si="164"/>
        <v>3494462.1410895968</v>
      </c>
      <c r="S179" s="1955">
        <f t="shared" si="165"/>
        <v>1181033.9989104029</v>
      </c>
      <c r="V179" s="1956">
        <v>117.80000000000001</v>
      </c>
      <c r="W179" s="1956"/>
      <c r="X179" s="1956">
        <f t="shared" si="134"/>
        <v>0</v>
      </c>
      <c r="Y179" s="1836" t="s">
        <v>1816</v>
      </c>
      <c r="AC179" s="1836"/>
      <c r="AD179" s="1836"/>
      <c r="AE179" s="1836"/>
      <c r="AF179" s="1837">
        <v>39490.11</v>
      </c>
      <c r="AG179" s="1960">
        <f t="shared" si="135"/>
        <v>-200.01000000000204</v>
      </c>
    </row>
    <row r="180" spans="1:33" ht="21.95" customHeight="1" x14ac:dyDescent="0.2">
      <c r="B180" s="2017"/>
      <c r="C180" s="2018"/>
      <c r="D180" s="2019"/>
      <c r="E180" s="2019"/>
      <c r="F180" s="2020"/>
      <c r="G180" s="2021"/>
      <c r="H180" s="2461"/>
      <c r="I180" s="2462"/>
      <c r="J180" s="2026"/>
      <c r="K180" s="2027"/>
      <c r="L180" s="2065" t="s">
        <v>1817</v>
      </c>
      <c r="M180" s="2463">
        <f>SUM(L169:L180)</f>
        <v>295138043.27000004</v>
      </c>
      <c r="N180" s="2464">
        <f>R180/M180</f>
        <v>0.62870750501082695</v>
      </c>
      <c r="O180" s="2025"/>
      <c r="P180" s="2025"/>
      <c r="Q180" s="2023"/>
      <c r="R180" s="2068">
        <f>SUM(R168:R179)</f>
        <v>185555502.81805921</v>
      </c>
      <c r="S180" s="2467">
        <f>SUM(S169:S179)</f>
        <v>109582540.45194083</v>
      </c>
      <c r="U180" s="1848">
        <f>M180-T180</f>
        <v>295138043.27000004</v>
      </c>
      <c r="V180" s="1956"/>
      <c r="W180" s="1956"/>
      <c r="X180" s="1956">
        <f t="shared" si="134"/>
        <v>0</v>
      </c>
      <c r="AG180" s="1960">
        <f t="shared" si="135"/>
        <v>0</v>
      </c>
    </row>
    <row r="181" spans="1:33" ht="21.95" customHeight="1" x14ac:dyDescent="0.2">
      <c r="B181" s="1927" t="s">
        <v>1818</v>
      </c>
      <c r="C181" s="2033"/>
      <c r="D181" s="2034" t="s">
        <v>1819</v>
      </c>
      <c r="E181" s="2070"/>
      <c r="F181" s="2071"/>
      <c r="G181" s="1945"/>
      <c r="H181" s="2072"/>
      <c r="I181" s="2073"/>
      <c r="J181" s="2076"/>
      <c r="K181" s="2077"/>
      <c r="L181" s="2078"/>
      <c r="M181" s="1997"/>
      <c r="N181" s="2468"/>
      <c r="O181" s="2075"/>
      <c r="P181" s="2075"/>
      <c r="Q181" s="2073"/>
      <c r="R181" s="2079"/>
      <c r="S181" s="2080"/>
      <c r="V181" s="1956"/>
      <c r="W181" s="1956"/>
      <c r="X181" s="1956">
        <f t="shared" si="134"/>
        <v>0</v>
      </c>
      <c r="Y181" s="1836" t="s">
        <v>1819</v>
      </c>
      <c r="Z181" s="2129" t="e">
        <f>Y181/1.35</f>
        <v>#VALUE!</v>
      </c>
      <c r="AG181" s="1960">
        <f t="shared" si="135"/>
        <v>0</v>
      </c>
    </row>
    <row r="182" spans="1:33" s="2127" customFormat="1" ht="21.95" customHeight="1" x14ac:dyDescent="0.2">
      <c r="A182" s="2130">
        <f>satpek!B113</f>
        <v>94</v>
      </c>
      <c r="B182" s="2131">
        <f>B180+1</f>
        <v>1</v>
      </c>
      <c r="C182" s="2132"/>
      <c r="D182" s="1944" t="str">
        <f>VLOOKUP($A182,satpek!$B$20:$N$144,2,0)</f>
        <v>Pas. rangka atap baja ringan</v>
      </c>
      <c r="E182" s="2133"/>
      <c r="F182" s="2134"/>
      <c r="G182" s="1945">
        <v>974.54500000000007</v>
      </c>
      <c r="H182" s="2456" t="str">
        <f>VLOOKUP($A182,satpek!$B$20:$N$144,7,0)</f>
        <v>m2</v>
      </c>
      <c r="I182" s="2457" t="str">
        <f>VLOOKUP($A182,satpek!$B$20:$N$144,5,0)</f>
        <v>Daftar harga</v>
      </c>
      <c r="J182" s="1951">
        <f>VLOOKUP($A182,satpek!$B$20:$N$144,6,0)</f>
        <v>310000</v>
      </c>
      <c r="K182" s="1938"/>
      <c r="L182" s="1952">
        <f t="shared" ref="L182" si="170">ROUND((G182*J182),2)</f>
        <v>302108950</v>
      </c>
      <c r="M182" s="1967"/>
      <c r="N182" s="2458">
        <f>VLOOKUP($A182,satpek!$B$20:$L$138,8,0)</f>
        <v>0.60189999999999999</v>
      </c>
      <c r="O182" s="1954">
        <f>VLOOKUP($A182,satpek!$B$20:$L$138,9,0)</f>
        <v>0</v>
      </c>
      <c r="P182" s="1954">
        <f>VLOOKUP($A182,satpek!$B$20:$L$138,10,0)</f>
        <v>186589</v>
      </c>
      <c r="Q182" s="1952">
        <f t="shared" ref="Q182:Q186" si="171">O182*G182</f>
        <v>0</v>
      </c>
      <c r="R182" s="1952">
        <f t="shared" ref="R182:R186" si="172">N182*L182</f>
        <v>181839377.005</v>
      </c>
      <c r="S182" s="1955">
        <f t="shared" ref="S182:S186" si="173">L182-R182</f>
        <v>120269572.995</v>
      </c>
      <c r="T182" s="2125"/>
      <c r="U182" s="2125"/>
      <c r="V182" s="1958">
        <v>974.54500000000007</v>
      </c>
      <c r="W182" s="1958"/>
      <c r="X182" s="1956">
        <f t="shared" si="134"/>
        <v>0</v>
      </c>
      <c r="Y182" s="2127" t="s">
        <v>1820</v>
      </c>
      <c r="AC182" s="1909"/>
      <c r="AD182" s="1909"/>
      <c r="AE182" s="1909"/>
      <c r="AF182" s="1910">
        <v>275000</v>
      </c>
      <c r="AG182" s="2128">
        <f t="shared" si="135"/>
        <v>-35000</v>
      </c>
    </row>
    <row r="183" spans="1:33" ht="21.95" customHeight="1" x14ac:dyDescent="0.2">
      <c r="A183" s="1833">
        <f>satpek!B66</f>
        <v>47</v>
      </c>
      <c r="B183" s="1943">
        <v>2</v>
      </c>
      <c r="C183" s="1937"/>
      <c r="D183" s="1944" t="str">
        <f>VLOOKUP($A183,satpek!$B$20:$N$144,2,0)</f>
        <v>Memasang penutup atap galvalum pasir</v>
      </c>
      <c r="E183" s="1944"/>
      <c r="F183" s="2004"/>
      <c r="G183" s="1945">
        <f>G182</f>
        <v>974.54500000000007</v>
      </c>
      <c r="H183" s="2456" t="str">
        <f>VLOOKUP($A183,satpek!$B$20:$N$144,7,0)</f>
        <v>m2</v>
      </c>
      <c r="I183" s="2457" t="str">
        <f>VLOOKUP($A183,satpek!$B$20:$N$144,5,0)</f>
        <v>An. Dihitung</v>
      </c>
      <c r="J183" s="1951">
        <f>VLOOKUP($A183,satpek!$B$20:$N$144,6,0)</f>
        <v>108751.2</v>
      </c>
      <c r="K183" s="1938"/>
      <c r="L183" s="1952">
        <f t="shared" ref="L183" si="174">ROUND((G183*J183),2)</f>
        <v>105982938.2</v>
      </c>
      <c r="M183" s="1967"/>
      <c r="N183" s="2458">
        <f>VLOOKUP($A183,satpek!$B$20:$L$138,8,0)</f>
        <v>0.57070756442227766</v>
      </c>
      <c r="O183" s="1954">
        <f>VLOOKUP($A183,satpek!$B$20:$L$138,9,0)</f>
        <v>54924.896000000001</v>
      </c>
      <c r="P183" s="1954">
        <f>VLOOKUP($A183,satpek!$B$20:$L$138,10,0)</f>
        <v>62065.13248</v>
      </c>
      <c r="Q183" s="1952">
        <f t="shared" si="171"/>
        <v>53526782.772320002</v>
      </c>
      <c r="R183" s="1952">
        <f t="shared" si="172"/>
        <v>60485264.530438773</v>
      </c>
      <c r="S183" s="1955">
        <f t="shared" si="173"/>
        <v>45497673.66956123</v>
      </c>
      <c r="V183" s="1956">
        <v>974.54500000000007</v>
      </c>
      <c r="W183" s="1956"/>
      <c r="X183" s="1956">
        <f t="shared" si="134"/>
        <v>0</v>
      </c>
      <c r="Y183" s="1836" t="s">
        <v>1821</v>
      </c>
      <c r="Z183" s="2061" t="e">
        <f>Z181-J183</f>
        <v>#VALUE!</v>
      </c>
      <c r="AF183" s="1910">
        <v>108284.51</v>
      </c>
      <c r="AG183" s="1960">
        <f t="shared" si="135"/>
        <v>-466.69000000000233</v>
      </c>
    </row>
    <row r="184" spans="1:33" ht="21.95" customHeight="1" x14ac:dyDescent="0.2">
      <c r="A184" s="1833">
        <f>satpek!B67</f>
        <v>48</v>
      </c>
      <c r="B184" s="1943">
        <f>B183+1</f>
        <v>3</v>
      </c>
      <c r="C184" s="1937"/>
      <c r="D184" s="1944" t="str">
        <f>VLOOKUP($A184,satpek!$B$20:$N$144,2,0)</f>
        <v>Pasang bubungan galvalum pasir</v>
      </c>
      <c r="E184" s="1944"/>
      <c r="F184" s="2004"/>
      <c r="G184" s="1945">
        <f>'[3]B.VOL RAB'!Q430</f>
        <v>74.400000000000006</v>
      </c>
      <c r="H184" s="2456" t="str">
        <f>VLOOKUP($A184,satpek!$B$20:$N$144,7,0)</f>
        <v>m'</v>
      </c>
      <c r="I184" s="2457" t="str">
        <f>VLOOKUP($A184,satpek!$B$20:$N$144,5,0)</f>
        <v>A.4.5.2.39a.</v>
      </c>
      <c r="J184" s="1951">
        <f>VLOOKUP($A184,satpek!$B$20:$N$144,6,0)</f>
        <v>66180.710000000006</v>
      </c>
      <c r="K184" s="1938"/>
      <c r="L184" s="1952">
        <f t="shared" ref="L184" si="175">ROUND((G184*J184),2)</f>
        <v>4923844.82</v>
      </c>
      <c r="M184" s="1967"/>
      <c r="N184" s="2458">
        <f>VLOOKUP($A184,satpek!$B$20:$L$138,8,0)</f>
        <v>0.67431317977700755</v>
      </c>
      <c r="O184" s="1954">
        <f>VLOOKUP($A184,satpek!$B$20:$L$138,9,0)</f>
        <v>39492.5</v>
      </c>
      <c r="P184" s="1954">
        <f>VLOOKUP($A184,satpek!$B$20:$L$138,10,0)</f>
        <v>44626.525000000001</v>
      </c>
      <c r="Q184" s="1952">
        <f t="shared" si="171"/>
        <v>2938242</v>
      </c>
      <c r="R184" s="1952">
        <f t="shared" si="172"/>
        <v>3320213.4573027478</v>
      </c>
      <c r="S184" s="1955">
        <f t="shared" si="173"/>
        <v>1603631.3626972525</v>
      </c>
      <c r="V184" s="1956">
        <v>74.400000000000006</v>
      </c>
      <c r="W184" s="1956"/>
      <c r="X184" s="1956">
        <f t="shared" si="134"/>
        <v>0</v>
      </c>
      <c r="Y184" s="1836" t="s">
        <v>1822</v>
      </c>
      <c r="AF184" s="1910">
        <v>65685.77</v>
      </c>
      <c r="AG184" s="1960">
        <f t="shared" si="135"/>
        <v>-494.94000000000233</v>
      </c>
    </row>
    <row r="185" spans="1:33" ht="21.95" customHeight="1" x14ac:dyDescent="0.2">
      <c r="A185" s="1833">
        <f>satpek!B68</f>
        <v>49</v>
      </c>
      <c r="B185" s="1943">
        <f>B184+1</f>
        <v>4</v>
      </c>
      <c r="C185" s="1937"/>
      <c r="D185" s="1944" t="str">
        <f>VLOOKUP($A185,satpek!$B$20:$N$144,2,0)</f>
        <v>Pasang aluminium foil/sisalation</v>
      </c>
      <c r="E185" s="1944"/>
      <c r="F185" s="2004"/>
      <c r="G185" s="1945">
        <f>G183</f>
        <v>974.54500000000007</v>
      </c>
      <c r="H185" s="2456" t="str">
        <f>VLOOKUP($A185,satpek!$B$20:$N$144,7,0)</f>
        <v>m2</v>
      </c>
      <c r="I185" s="2457" t="str">
        <f>VLOOKUP($A185,satpek!$B$20:$N$144,5,0)</f>
        <v>A.4.5.2.43.</v>
      </c>
      <c r="J185" s="1951">
        <f>VLOOKUP($A185,satpek!$B$20:$N$144,6,0)</f>
        <v>38843.75</v>
      </c>
      <c r="K185" s="1938"/>
      <c r="L185" s="1952">
        <f t="shared" ref="L185" si="176">ROUND((G185*J185),2)</f>
        <v>37854982.340000004</v>
      </c>
      <c r="M185" s="1967"/>
      <c r="N185" s="2458">
        <f>VLOOKUP($A185,satpek!$B$20:$L$138,8,0)</f>
        <v>0.55403636363636366</v>
      </c>
      <c r="O185" s="1954">
        <f>VLOOKUP($A185,satpek!$B$20:$L$138,9,0)</f>
        <v>19045</v>
      </c>
      <c r="P185" s="1954">
        <f>VLOOKUP($A185,satpek!$B$20:$L$138,10,0)</f>
        <v>21520.85</v>
      </c>
      <c r="Q185" s="1952">
        <f t="shared" si="171"/>
        <v>18560209.525000002</v>
      </c>
      <c r="R185" s="1952">
        <f t="shared" si="172"/>
        <v>20973036.761172365</v>
      </c>
      <c r="S185" s="1955">
        <f t="shared" si="173"/>
        <v>16881945.578827638</v>
      </c>
      <c r="V185" s="1956">
        <v>974.54500000000007</v>
      </c>
      <c r="W185" s="1956"/>
      <c r="X185" s="1956">
        <f t="shared" si="134"/>
        <v>0</v>
      </c>
      <c r="Y185" s="1836" t="s">
        <v>1913</v>
      </c>
      <c r="AF185" s="1910">
        <v>31138.28</v>
      </c>
      <c r="AG185" s="1960">
        <f t="shared" si="135"/>
        <v>-7705.4700000000012</v>
      </c>
    </row>
    <row r="186" spans="1:33" ht="21.95" customHeight="1" x14ac:dyDescent="0.2">
      <c r="A186" s="1833">
        <f>satpek!B38</f>
        <v>19</v>
      </c>
      <c r="B186" s="1943">
        <f>B185+1</f>
        <v>5</v>
      </c>
      <c r="C186" s="1937"/>
      <c r="D186" s="1944" t="str">
        <f>VLOOKUP($A186,satpek!$B$20:$N$144,2,0)</f>
        <v>Memasang lisplank woodplank</v>
      </c>
      <c r="E186" s="1944"/>
      <c r="F186" s="2004"/>
      <c r="G186" s="1945">
        <f>'[3]B.VOL RAB'!Q432</f>
        <v>117.80000000000001</v>
      </c>
      <c r="H186" s="2456" t="str">
        <f>VLOOKUP($A186,satpek!$B$20:$N$144,7,0)</f>
        <v>m'</v>
      </c>
      <c r="I186" s="2457" t="str">
        <f>VLOOKUP($A186,satpek!$B$20:$N$144,5,0)</f>
        <v>An. Dihitung</v>
      </c>
      <c r="J186" s="1951">
        <f>VLOOKUP($A186,satpek!$B$20:$N$144,6,0)</f>
        <v>68139</v>
      </c>
      <c r="K186" s="1938"/>
      <c r="L186" s="1952">
        <f t="shared" ref="L186" si="177">ROUND((G186*J186),2)</f>
        <v>8026774.2000000002</v>
      </c>
      <c r="M186" s="1967"/>
      <c r="N186" s="2458">
        <f>VLOOKUP($A186,satpek!$B$20:$L$138,8,0)</f>
        <v>0.69652404643449417</v>
      </c>
      <c r="O186" s="1954">
        <f>VLOOKUP($A186,satpek!$B$20:$L$138,9,0)</f>
        <v>42000.4</v>
      </c>
      <c r="P186" s="1954">
        <f>VLOOKUP($A186,satpek!$B$20:$L$138,10,0)</f>
        <v>47460.452000000005</v>
      </c>
      <c r="Q186" s="1952">
        <f t="shared" si="171"/>
        <v>4947647.120000001</v>
      </c>
      <c r="R186" s="1952">
        <f t="shared" si="172"/>
        <v>5590841.2456</v>
      </c>
      <c r="S186" s="1955">
        <f t="shared" si="173"/>
        <v>2435932.9544000002</v>
      </c>
      <c r="V186" s="1956">
        <v>117.80000000000001</v>
      </c>
      <c r="W186" s="1956"/>
      <c r="X186" s="1956">
        <f t="shared" si="134"/>
        <v>0</v>
      </c>
      <c r="Y186" s="1836" t="s">
        <v>472</v>
      </c>
      <c r="AF186" s="1910">
        <v>66110.649999999994</v>
      </c>
      <c r="AG186" s="1960">
        <f t="shared" si="135"/>
        <v>-2028.3500000000058</v>
      </c>
    </row>
    <row r="187" spans="1:33" ht="21.95" customHeight="1" x14ac:dyDescent="0.2">
      <c r="B187" s="2017"/>
      <c r="C187" s="2018"/>
      <c r="D187" s="2019"/>
      <c r="E187" s="2019"/>
      <c r="F187" s="2020"/>
      <c r="G187" s="2021"/>
      <c r="H187" s="2461"/>
      <c r="I187" s="2462"/>
      <c r="J187" s="2026"/>
      <c r="K187" s="2027"/>
      <c r="L187" s="2065" t="s">
        <v>1823</v>
      </c>
      <c r="M187" s="2463">
        <f>SUM(L182:L187)</f>
        <v>458897489.56</v>
      </c>
      <c r="N187" s="2464">
        <f>R187/M187</f>
        <v>0.59317982597924646</v>
      </c>
      <c r="O187" s="2025"/>
      <c r="P187" s="2025"/>
      <c r="Q187" s="2023"/>
      <c r="R187" s="2068">
        <f>SUM(R182:R186)</f>
        <v>272208732.99951386</v>
      </c>
      <c r="S187" s="2467">
        <f>SUM(S182:S186)</f>
        <v>186688756.56048614</v>
      </c>
      <c r="U187" s="1848">
        <f>M187-T187</f>
        <v>458897489.56</v>
      </c>
      <c r="V187" s="1956"/>
      <c r="W187" s="1956"/>
      <c r="X187" s="1956">
        <f t="shared" si="134"/>
        <v>0</v>
      </c>
      <c r="Y187" s="2061"/>
      <c r="AG187" s="1960">
        <f t="shared" si="135"/>
        <v>0</v>
      </c>
    </row>
    <row r="188" spans="1:33" ht="21.95" customHeight="1" x14ac:dyDescent="0.2">
      <c r="B188" s="2032" t="s">
        <v>1824</v>
      </c>
      <c r="C188" s="1928"/>
      <c r="D188" s="1929" t="s">
        <v>1620</v>
      </c>
      <c r="E188" s="2082"/>
      <c r="F188" s="2083"/>
      <c r="G188" s="1945"/>
      <c r="H188" s="2469"/>
      <c r="I188" s="2470"/>
      <c r="J188" s="2088"/>
      <c r="K188" s="2089"/>
      <c r="L188" s="2090"/>
      <c r="M188" s="1967"/>
      <c r="N188" s="2471"/>
      <c r="O188" s="2087"/>
      <c r="P188" s="2087"/>
      <c r="Q188" s="2085"/>
      <c r="R188" s="2091"/>
      <c r="S188" s="2092"/>
      <c r="V188" s="1956"/>
      <c r="W188" s="1956"/>
      <c r="X188" s="1956">
        <f t="shared" si="134"/>
        <v>0</v>
      </c>
      <c r="Y188" s="1836" t="s">
        <v>1620</v>
      </c>
      <c r="AG188" s="1960">
        <f t="shared" si="135"/>
        <v>0</v>
      </c>
    </row>
    <row r="189" spans="1:33" ht="21.95" customHeight="1" x14ac:dyDescent="0.2">
      <c r="B189" s="2032"/>
      <c r="C189" s="1928"/>
      <c r="D189" s="1929" t="s">
        <v>1769</v>
      </c>
      <c r="E189" s="2082"/>
      <c r="F189" s="2083"/>
      <c r="G189" s="1945"/>
      <c r="H189" s="2469"/>
      <c r="I189" s="2470"/>
      <c r="J189" s="2088"/>
      <c r="K189" s="2089"/>
      <c r="L189" s="2090"/>
      <c r="M189" s="1967"/>
      <c r="N189" s="2471"/>
      <c r="O189" s="2087"/>
      <c r="P189" s="2087"/>
      <c r="Q189" s="2085"/>
      <c r="R189" s="2091"/>
      <c r="S189" s="2092"/>
      <c r="V189" s="1956"/>
      <c r="W189" s="1956"/>
      <c r="X189" s="1956">
        <f t="shared" si="134"/>
        <v>0</v>
      </c>
      <c r="Y189" s="1836" t="s">
        <v>1769</v>
      </c>
      <c r="AG189" s="1960">
        <f t="shared" si="135"/>
        <v>0</v>
      </c>
    </row>
    <row r="190" spans="1:33" ht="21.95" customHeight="1" x14ac:dyDescent="0.2">
      <c r="B190" s="2032"/>
      <c r="C190" s="1928"/>
      <c r="D190" s="1944" t="s">
        <v>1825</v>
      </c>
      <c r="E190" s="2082"/>
      <c r="F190" s="2083"/>
      <c r="G190" s="1945"/>
      <c r="H190" s="2469"/>
      <c r="I190" s="2470"/>
      <c r="J190" s="2088"/>
      <c r="K190" s="2089"/>
      <c r="L190" s="2090"/>
      <c r="M190" s="1967"/>
      <c r="N190" s="2471"/>
      <c r="O190" s="2087"/>
      <c r="P190" s="2087"/>
      <c r="Q190" s="2085"/>
      <c r="R190" s="2091"/>
      <c r="S190" s="2092"/>
      <c r="V190" s="1956"/>
      <c r="W190" s="1956"/>
      <c r="X190" s="1956">
        <f t="shared" si="134"/>
        <v>0</v>
      </c>
      <c r="Y190" s="1836" t="s">
        <v>1825</v>
      </c>
      <c r="AG190" s="1960">
        <f t="shared" si="135"/>
        <v>0</v>
      </c>
    </row>
    <row r="191" spans="1:33" ht="21.95" customHeight="1" x14ac:dyDescent="0.2">
      <c r="A191" s="1833">
        <f>satpek!B114</f>
        <v>95</v>
      </c>
      <c r="B191" s="1987">
        <v>1</v>
      </c>
      <c r="C191" s="1928"/>
      <c r="D191" s="1944" t="str">
        <f>VLOOKUP($A191,satpek!$B$20:$N$144,2,0)</f>
        <v>Pintu utama kaca tempered 12 mm</v>
      </c>
      <c r="E191" s="2082"/>
      <c r="F191" s="2083"/>
      <c r="G191" s="1945">
        <v>1</v>
      </c>
      <c r="H191" s="2456" t="str">
        <f>VLOOKUP($A191,satpek!$B$20:$N$144,7,0)</f>
        <v>unit</v>
      </c>
      <c r="I191" s="2457" t="str">
        <f>VLOOKUP($A191,satpek!$B$20:$N$144,5,0)</f>
        <v>Daftar harga</v>
      </c>
      <c r="J191" s="1951">
        <f>VLOOKUP($A191,satpek!$B$20:$N$144,6,0)</f>
        <v>16000000</v>
      </c>
      <c r="K191" s="1938"/>
      <c r="L191" s="1952">
        <f t="shared" ref="L191" si="178">ROUND((G191*J191),2)</f>
        <v>16000000</v>
      </c>
      <c r="M191" s="1967"/>
      <c r="N191" s="2458">
        <f>VLOOKUP($A191,satpek!$B$20:$L$138,8,0)</f>
        <v>0.25</v>
      </c>
      <c r="O191" s="1954">
        <f>VLOOKUP($A191,satpek!$B$20:$L$138,9,0)</f>
        <v>0</v>
      </c>
      <c r="P191" s="1954">
        <f>VLOOKUP($A191,satpek!$B$20:$L$138,10,0)</f>
        <v>4000000</v>
      </c>
      <c r="Q191" s="1952">
        <f t="shared" ref="Q191:Q197" si="179">O191*G191</f>
        <v>0</v>
      </c>
      <c r="R191" s="1952">
        <f t="shared" ref="R191:R197" si="180">N191*L191</f>
        <v>4000000</v>
      </c>
      <c r="S191" s="1955">
        <f t="shared" ref="S191:S197" si="181">L191-R191</f>
        <v>12000000</v>
      </c>
      <c r="V191" s="1956">
        <v>1</v>
      </c>
      <c r="W191" s="1956"/>
      <c r="X191" s="1956">
        <f t="shared" si="134"/>
        <v>0</v>
      </c>
      <c r="Y191" s="1836" t="s">
        <v>1826</v>
      </c>
      <c r="AF191" s="1910">
        <v>17000000</v>
      </c>
      <c r="AG191" s="1960">
        <f t="shared" si="135"/>
        <v>1000000</v>
      </c>
    </row>
    <row r="192" spans="1:33" ht="21.95" customHeight="1" x14ac:dyDescent="0.2">
      <c r="A192" s="1833">
        <f>satpek!B118</f>
        <v>99</v>
      </c>
      <c r="B192" s="1987">
        <f>B191+1</f>
        <v>2</v>
      </c>
      <c r="C192" s="1928"/>
      <c r="D192" s="1944" t="str">
        <f>VLOOKUP($A192,satpek!$B$20:$N$144,2,0)</f>
        <v>doorcloser tanam</v>
      </c>
      <c r="E192" s="2082"/>
      <c r="F192" s="2083"/>
      <c r="G192" s="1945">
        <v>2</v>
      </c>
      <c r="H192" s="2456" t="str">
        <f>VLOOKUP($A192,satpek!$B$20:$N$144,7,0)</f>
        <v>bh</v>
      </c>
      <c r="I192" s="2457" t="str">
        <f>VLOOKUP($A192,satpek!$B$20:$N$144,5,0)</f>
        <v>Daftar harga</v>
      </c>
      <c r="J192" s="1951">
        <f>VLOOKUP($A192,satpek!$B$20:$N$144,6,0)</f>
        <v>850000</v>
      </c>
      <c r="K192" s="1938"/>
      <c r="L192" s="1952">
        <f t="shared" ref="L192" si="182">ROUND((G192*J192),2)</f>
        <v>1700000</v>
      </c>
      <c r="M192" s="1967"/>
      <c r="N192" s="2458">
        <f>VLOOKUP($A192,satpek!$B$20:$L$138,8,0)</f>
        <v>0.5</v>
      </c>
      <c r="O192" s="1954">
        <f>VLOOKUP($A192,satpek!$B$20:$L$138,9,0)</f>
        <v>0</v>
      </c>
      <c r="P192" s="1954">
        <f>VLOOKUP($A192,satpek!$B$20:$L$138,10,0)</f>
        <v>425000</v>
      </c>
      <c r="Q192" s="1952">
        <f t="shared" si="179"/>
        <v>0</v>
      </c>
      <c r="R192" s="1952">
        <f t="shared" si="180"/>
        <v>850000</v>
      </c>
      <c r="S192" s="1955">
        <f t="shared" si="181"/>
        <v>850000</v>
      </c>
      <c r="V192" s="1956">
        <v>2</v>
      </c>
      <c r="W192" s="1956"/>
      <c r="X192" s="1956">
        <f t="shared" si="134"/>
        <v>0</v>
      </c>
      <c r="Y192" s="1836" t="s">
        <v>1827</v>
      </c>
      <c r="AF192" s="1910">
        <v>850000</v>
      </c>
      <c r="AG192" s="1960">
        <f t="shared" si="135"/>
        <v>0</v>
      </c>
    </row>
    <row r="193" spans="1:33" ht="21.95" customHeight="1" x14ac:dyDescent="0.2">
      <c r="A193" s="1833">
        <f>satpek!$B$54</f>
        <v>35</v>
      </c>
      <c r="B193" s="1987">
        <f t="shared" ref="B193:B197" si="183">B192+1</f>
        <v>3</v>
      </c>
      <c r="C193" s="1937"/>
      <c r="D193" s="1944" t="str">
        <f>VLOOKUP($A193,satpek!$B$20:$N$144,2,0)</f>
        <v xml:space="preserve">Memasang kusen pintu/jendela alluminium </v>
      </c>
      <c r="E193" s="1944"/>
      <c r="F193" s="2004"/>
      <c r="G193" s="1945">
        <f>'[3]B.VOL RAB'!Q437</f>
        <v>560.6</v>
      </c>
      <c r="H193" s="2456" t="str">
        <f>VLOOKUP($A193,satpek!$B$20:$N$144,7,0)</f>
        <v>m'</v>
      </c>
      <c r="I193" s="2457" t="str">
        <f>VLOOKUP($A193,satpek!$B$20:$N$144,5,0)</f>
        <v>A.4.2.1.11.</v>
      </c>
      <c r="J193" s="1951">
        <f>VLOOKUP($A193,satpek!$B$20:$N$144,6,0)</f>
        <v>152243.43000000002</v>
      </c>
      <c r="K193" s="1938"/>
      <c r="L193" s="1952">
        <f t="shared" ref="L193" si="184">ROUND((G193*J193),2)</f>
        <v>85347666.859999999</v>
      </c>
      <c r="M193" s="1967"/>
      <c r="N193" s="2458">
        <f>VLOOKUP($A193,satpek!$B$20:$L$138,8,0)</f>
        <v>0.52703841126649331</v>
      </c>
      <c r="O193" s="1954">
        <f>VLOOKUP($A193,satpek!$B$20:$L$138,9,0)</f>
        <v>71007.199999999997</v>
      </c>
      <c r="P193" s="1954">
        <f>VLOOKUP($A193,satpek!$B$20:$L$138,10,0)</f>
        <v>80238.135999999999</v>
      </c>
      <c r="Q193" s="1952">
        <f t="shared" si="179"/>
        <v>39806636.32</v>
      </c>
      <c r="R193" s="1952">
        <f t="shared" si="180"/>
        <v>44981498.747196339</v>
      </c>
      <c r="S193" s="1955">
        <f t="shared" si="181"/>
        <v>40366168.11280366</v>
      </c>
      <c r="V193" s="1956">
        <v>560.6</v>
      </c>
      <c r="W193" s="1956"/>
      <c r="X193" s="1956">
        <f t="shared" si="134"/>
        <v>0</v>
      </c>
      <c r="Y193" s="1836" t="s">
        <v>1080</v>
      </c>
      <c r="AF193" s="1910">
        <v>139049.89000000001</v>
      </c>
      <c r="AG193" s="1960">
        <f t="shared" si="135"/>
        <v>-13193.540000000008</v>
      </c>
    </row>
    <row r="194" spans="1:33" ht="21.95" customHeight="1" x14ac:dyDescent="0.2">
      <c r="A194" s="1833">
        <f>satpek!$B$56</f>
        <v>37</v>
      </c>
      <c r="B194" s="1987">
        <f t="shared" si="183"/>
        <v>4</v>
      </c>
      <c r="C194" s="1937"/>
      <c r="D194" s="1944" t="str">
        <f>VLOOKUP($A194,satpek!$B$20:$N$144,2,0)</f>
        <v>Memasang pintu kaca es rangka alluminium</v>
      </c>
      <c r="E194" s="1944"/>
      <c r="F194" s="2004"/>
      <c r="G194" s="1945">
        <f>'[3]B.VOL RAB'!Q438</f>
        <v>21.84</v>
      </c>
      <c r="H194" s="2456" t="str">
        <f>VLOOKUP($A194,satpek!$B$20:$N$144,7,0)</f>
        <v>m2</v>
      </c>
      <c r="I194" s="2457" t="str">
        <f>VLOOKUP($A194,satpek!$B$20:$N$144,5,0)</f>
        <v>An. Dihitung</v>
      </c>
      <c r="J194" s="1951">
        <f>VLOOKUP($A194,satpek!$B$20:$N$144,6,0)</f>
        <v>853707.66</v>
      </c>
      <c r="K194" s="1938"/>
      <c r="L194" s="1952">
        <f t="shared" ref="L194" si="185">ROUND((G194*J194),2)</f>
        <v>18644975.289999999</v>
      </c>
      <c r="M194" s="1967"/>
      <c r="N194" s="2458">
        <f>VLOOKUP($A194,satpek!$B$20:$L$138,8,0)</f>
        <v>0.47846365322798945</v>
      </c>
      <c r="O194" s="1954">
        <f>VLOOKUP($A194,satpek!$B$20:$L$138,9,0)</f>
        <v>361476.18000000005</v>
      </c>
      <c r="P194" s="1954">
        <f>VLOOKUP($A194,satpek!$B$20:$L$138,10,0)</f>
        <v>408468.08340000006</v>
      </c>
      <c r="Q194" s="1952">
        <f t="shared" si="179"/>
        <v>7894639.7712000012</v>
      </c>
      <c r="R194" s="1952">
        <f t="shared" si="180"/>
        <v>8920942.9915989917</v>
      </c>
      <c r="S194" s="1955">
        <f t="shared" si="181"/>
        <v>9724032.2984010074</v>
      </c>
      <c r="V194" s="1956">
        <v>21.84</v>
      </c>
      <c r="W194" s="1956"/>
      <c r="X194" s="1956">
        <f t="shared" si="134"/>
        <v>0</v>
      </c>
      <c r="Y194" s="1836" t="s">
        <v>1828</v>
      </c>
      <c r="AF194" s="1910">
        <v>850784.35</v>
      </c>
      <c r="AG194" s="1960">
        <f t="shared" si="135"/>
        <v>-2923.3100000000559</v>
      </c>
    </row>
    <row r="195" spans="1:33" ht="21.95" customHeight="1" x14ac:dyDescent="0.2">
      <c r="A195" s="1833">
        <f>satpek!$B$55</f>
        <v>36</v>
      </c>
      <c r="B195" s="1987">
        <f t="shared" si="183"/>
        <v>5</v>
      </c>
      <c r="C195" s="1937"/>
      <c r="D195" s="1944" t="str">
        <f>VLOOKUP($A195,satpek!$B$20:$N$144,2,0)</f>
        <v>Memasang pintu alluminium strip</v>
      </c>
      <c r="E195" s="1944"/>
      <c r="F195" s="2004"/>
      <c r="G195" s="1945">
        <f>'[3]B.VOL RAB'!Q439</f>
        <v>16.695000000000004</v>
      </c>
      <c r="H195" s="2456" t="str">
        <f>VLOOKUP($A195,satpek!$B$20:$N$144,7,0)</f>
        <v>m2</v>
      </c>
      <c r="I195" s="2457" t="str">
        <f>VLOOKUP($A195,satpek!$B$20:$N$144,5,0)</f>
        <v>A.4.2.1.12.</v>
      </c>
      <c r="J195" s="1951">
        <f>VLOOKUP($A195,satpek!$B$20:$N$144,6,0)</f>
        <v>765224.14</v>
      </c>
      <c r="K195" s="1938"/>
      <c r="L195" s="1952">
        <f t="shared" ref="L195" si="186">ROUND((G195*J195),2)</f>
        <v>12775417.02</v>
      </c>
      <c r="M195" s="1967"/>
      <c r="N195" s="2458">
        <f>VLOOKUP($A195,satpek!$B$20:$L$138,8,0)</f>
        <v>0.53012493548703865</v>
      </c>
      <c r="O195" s="1954">
        <f>VLOOKUP($A195,satpek!$B$20:$L$138,9,0)</f>
        <v>358995.04</v>
      </c>
      <c r="P195" s="1954">
        <f>VLOOKUP($A195,satpek!$B$20:$L$138,10,0)</f>
        <v>405664.39519999997</v>
      </c>
      <c r="Q195" s="1952">
        <f t="shared" si="179"/>
        <v>5993422.1928000012</v>
      </c>
      <c r="R195" s="1952">
        <f t="shared" si="180"/>
        <v>6772567.1235475149</v>
      </c>
      <c r="S195" s="1955">
        <f t="shared" si="181"/>
        <v>6002849.8964524847</v>
      </c>
      <c r="V195" s="1956">
        <v>16.695000000000004</v>
      </c>
      <c r="W195" s="1956"/>
      <c r="X195" s="1956">
        <f t="shared" si="134"/>
        <v>0</v>
      </c>
      <c r="Y195" s="1836" t="s">
        <v>1829</v>
      </c>
      <c r="AF195" s="1910">
        <v>759680.81</v>
      </c>
      <c r="AG195" s="1960">
        <f t="shared" si="135"/>
        <v>-5543.3299999999581</v>
      </c>
    </row>
    <row r="196" spans="1:33" ht="21.95" customHeight="1" x14ac:dyDescent="0.2">
      <c r="A196" s="1833">
        <f>satpek!$B$57</f>
        <v>38</v>
      </c>
      <c r="B196" s="1987">
        <f t="shared" si="183"/>
        <v>6</v>
      </c>
      <c r="C196" s="1937"/>
      <c r="D196" s="1944" t="str">
        <f>VLOOKUP($A196,satpek!$B$20:$N$144,2,0)</f>
        <v>Memasang jendela &amp; boven kaca rangka aluminium</v>
      </c>
      <c r="E196" s="1944"/>
      <c r="F196" s="2004"/>
      <c r="G196" s="1945">
        <f>'[3]B.VOL RAB'!Q440</f>
        <v>112.04</v>
      </c>
      <c r="H196" s="2456" t="str">
        <f>VLOOKUP($A196,satpek!$B$20:$N$144,7,0)</f>
        <v>m2</v>
      </c>
      <c r="I196" s="2457" t="str">
        <f>VLOOKUP($A196,satpek!$B$20:$N$144,5,0)</f>
        <v>An. Dihitung</v>
      </c>
      <c r="J196" s="1951">
        <f>VLOOKUP($A196,satpek!$B$20:$N$144,6,0)</f>
        <v>845503.86</v>
      </c>
      <c r="K196" s="1938"/>
      <c r="L196" s="1952">
        <f t="shared" ref="L196" si="187">ROUND((G196*J196),2)</f>
        <v>94730252.469999999</v>
      </c>
      <c r="M196" s="1967"/>
      <c r="N196" s="2458">
        <f>VLOOKUP($A196,satpek!$B$20:$L$138,8,0)</f>
        <v>0.47806680668534629</v>
      </c>
      <c r="O196" s="1954">
        <f>VLOOKUP($A196,satpek!$B$20:$L$138,9,0)</f>
        <v>357705.60000000003</v>
      </c>
      <c r="P196" s="1954">
        <f>VLOOKUP($A196,satpek!$B$20:$L$138,10,0)</f>
        <v>404207.32800000004</v>
      </c>
      <c r="Q196" s="1952">
        <f t="shared" si="179"/>
        <v>40077335.424000002</v>
      </c>
      <c r="R196" s="1952">
        <f t="shared" si="180"/>
        <v>45287389.29482954</v>
      </c>
      <c r="S196" s="1955">
        <f t="shared" si="181"/>
        <v>49442863.175170459</v>
      </c>
      <c r="V196" s="1956">
        <v>112.04</v>
      </c>
      <c r="W196" s="1956"/>
      <c r="X196" s="1956">
        <f t="shared" si="134"/>
        <v>0</v>
      </c>
      <c r="Y196" s="1836" t="s">
        <v>1633</v>
      </c>
      <c r="AF196" s="1910">
        <v>856253.55</v>
      </c>
      <c r="AG196" s="1960">
        <f t="shared" si="135"/>
        <v>10749.690000000061</v>
      </c>
    </row>
    <row r="197" spans="1:33" ht="21.95" customHeight="1" x14ac:dyDescent="0.2">
      <c r="A197" s="1833">
        <f>satpek!$B$83</f>
        <v>64</v>
      </c>
      <c r="B197" s="1987">
        <f t="shared" si="183"/>
        <v>7</v>
      </c>
      <c r="C197" s="1937"/>
      <c r="D197" s="1944" t="str">
        <f>VLOOKUP($A197,satpek!$B$20:$N$144,2,0)</f>
        <v>Pasang kaca mati tebal 5 mm</v>
      </c>
      <c r="E197" s="1944"/>
      <c r="F197" s="2004"/>
      <c r="G197" s="1945">
        <f>'[3]B.VOL RAB'!Q441</f>
        <v>23.64</v>
      </c>
      <c r="H197" s="2456" t="str">
        <f>VLOOKUP($A197,satpek!$B$20:$N$144,7,0)</f>
        <v>m2</v>
      </c>
      <c r="I197" s="2457" t="str">
        <f>VLOOKUP($A197,satpek!$B$20:$N$144,5,0)</f>
        <v>A.4.6.2.17.</v>
      </c>
      <c r="J197" s="1951">
        <f>VLOOKUP($A197,satpek!$B$20:$N$144,6,0)</f>
        <v>170445.25</v>
      </c>
      <c r="K197" s="1938"/>
      <c r="L197" s="1952">
        <f t="shared" ref="L197" si="188">ROUND((G197*J197),2)</f>
        <v>4029325.71</v>
      </c>
      <c r="M197" s="1967"/>
      <c r="N197" s="2458">
        <f>VLOOKUP($A197,satpek!$B$20:$L$138,8,0)</f>
        <v>0.61858343305499663</v>
      </c>
      <c r="O197" s="1954">
        <f>VLOOKUP($A197,satpek!$B$20:$L$138,9,0)</f>
        <v>93304.960000000006</v>
      </c>
      <c r="P197" s="1954">
        <f>VLOOKUP($A197,satpek!$B$20:$L$138,10,0)</f>
        <v>105434.6048</v>
      </c>
      <c r="Q197" s="1952">
        <f t="shared" si="179"/>
        <v>2205729.2544</v>
      </c>
      <c r="R197" s="1952">
        <f t="shared" si="180"/>
        <v>2492474.1305885618</v>
      </c>
      <c r="S197" s="1955">
        <f t="shared" si="181"/>
        <v>1536851.5794114382</v>
      </c>
      <c r="V197" s="1956">
        <v>23.64</v>
      </c>
      <c r="W197" s="1956"/>
      <c r="X197" s="1956">
        <f t="shared" si="134"/>
        <v>0</v>
      </c>
      <c r="Y197" s="1836" t="s">
        <v>1830</v>
      </c>
      <c r="AF197" s="1910">
        <v>170734.07</v>
      </c>
      <c r="AG197" s="1960">
        <f t="shared" si="135"/>
        <v>288.82000000000698</v>
      </c>
    </row>
    <row r="198" spans="1:33" ht="21.95" customHeight="1" x14ac:dyDescent="0.2">
      <c r="B198" s="2032"/>
      <c r="C198" s="1928"/>
      <c r="D198" s="1929" t="s">
        <v>1786</v>
      </c>
      <c r="E198" s="2082"/>
      <c r="F198" s="2083"/>
      <c r="G198" s="1945"/>
      <c r="H198" s="2469"/>
      <c r="I198" s="2470"/>
      <c r="J198" s="2088"/>
      <c r="K198" s="2089"/>
      <c r="L198" s="2090"/>
      <c r="M198" s="1967"/>
      <c r="N198" s="2471"/>
      <c r="O198" s="2087"/>
      <c r="P198" s="2087"/>
      <c r="Q198" s="2085"/>
      <c r="R198" s="2091"/>
      <c r="S198" s="2092"/>
      <c r="V198" s="1956"/>
      <c r="W198" s="1956"/>
      <c r="X198" s="1956">
        <f t="shared" si="134"/>
        <v>0</v>
      </c>
      <c r="Y198" s="1836" t="s">
        <v>1786</v>
      </c>
      <c r="AG198" s="1960">
        <f t="shared" si="135"/>
        <v>0</v>
      </c>
    </row>
    <row r="199" spans="1:33" ht="21.95" customHeight="1" x14ac:dyDescent="0.2">
      <c r="B199" s="2032"/>
      <c r="C199" s="1928"/>
      <c r="D199" s="1944" t="s">
        <v>1825</v>
      </c>
      <c r="E199" s="2082"/>
      <c r="F199" s="2083"/>
      <c r="G199" s="1945"/>
      <c r="H199" s="2469"/>
      <c r="I199" s="2470"/>
      <c r="J199" s="2088"/>
      <c r="K199" s="2089"/>
      <c r="L199" s="2090"/>
      <c r="M199" s="1967"/>
      <c r="N199" s="2471"/>
      <c r="O199" s="2087"/>
      <c r="P199" s="2087"/>
      <c r="Q199" s="2085"/>
      <c r="R199" s="2091"/>
      <c r="S199" s="2092"/>
      <c r="V199" s="1956"/>
      <c r="W199" s="1956"/>
      <c r="X199" s="1956">
        <f t="shared" si="134"/>
        <v>0</v>
      </c>
      <c r="Y199" s="1836" t="s">
        <v>1825</v>
      </c>
      <c r="AG199" s="1960">
        <f t="shared" si="135"/>
        <v>0</v>
      </c>
    </row>
    <row r="200" spans="1:33" ht="21.95" customHeight="1" x14ac:dyDescent="0.2">
      <c r="A200" s="1833">
        <f>satpek!$B$54</f>
        <v>35</v>
      </c>
      <c r="B200" s="1943">
        <f>B199+1</f>
        <v>1</v>
      </c>
      <c r="C200" s="1937"/>
      <c r="D200" s="1944" t="str">
        <f>VLOOKUP($A200,satpek!$B$20:$N$144,2,0)</f>
        <v xml:space="preserve">Memasang kusen pintu/jendela alluminium </v>
      </c>
      <c r="E200" s="1944"/>
      <c r="F200" s="2004"/>
      <c r="G200" s="1945">
        <f>'[3]B.VOL RAB'!Q474</f>
        <v>576.6</v>
      </c>
      <c r="H200" s="2456" t="str">
        <f>VLOOKUP($A200,satpek!$B$20:$N$144,7,0)</f>
        <v>m'</v>
      </c>
      <c r="I200" s="2457" t="str">
        <f>VLOOKUP($A200,satpek!$B$20:$N$144,5,0)</f>
        <v>A.4.2.1.11.</v>
      </c>
      <c r="J200" s="1951">
        <f>VLOOKUP($A200,satpek!$B$20:$N$144,6,0)</f>
        <v>152243.43000000002</v>
      </c>
      <c r="K200" s="1938"/>
      <c r="L200" s="1952">
        <f t="shared" ref="L200:L204" si="189">ROUND((G200*J200),2)</f>
        <v>87783561.739999995</v>
      </c>
      <c r="M200" s="1967"/>
      <c r="N200" s="2458">
        <f>VLOOKUP($A200,satpek!$B$20:$L$138,8,0)</f>
        <v>0.52703841126649331</v>
      </c>
      <c r="O200" s="1954">
        <f>VLOOKUP($A200,satpek!$B$20:$L$138,9,0)</f>
        <v>71007.199999999997</v>
      </c>
      <c r="P200" s="1954">
        <f>VLOOKUP($A200,satpek!$B$20:$L$138,10,0)</f>
        <v>80238.135999999999</v>
      </c>
      <c r="Q200" s="1952">
        <f t="shared" ref="Q200:Q204" si="190">O200*G200</f>
        <v>40942751.520000003</v>
      </c>
      <c r="R200" s="1952">
        <f t="shared" ref="R200:R204" si="191">N200*L200</f>
        <v>46265308.914763726</v>
      </c>
      <c r="S200" s="1955">
        <f t="shared" ref="S200:S204" si="192">L200-R200</f>
        <v>41518252.825236268</v>
      </c>
      <c r="V200" s="1956">
        <v>576.6</v>
      </c>
      <c r="W200" s="1956"/>
      <c r="X200" s="1956">
        <f t="shared" si="134"/>
        <v>0</v>
      </c>
      <c r="Y200" s="1836" t="s">
        <v>1080</v>
      </c>
      <c r="AF200" s="1910">
        <v>139049.89000000001</v>
      </c>
      <c r="AG200" s="1960">
        <f t="shared" si="135"/>
        <v>-13193.540000000008</v>
      </c>
    </row>
    <row r="201" spans="1:33" ht="21.95" customHeight="1" x14ac:dyDescent="0.2">
      <c r="A201" s="1833">
        <f>satpek!$B$56</f>
        <v>37</v>
      </c>
      <c r="B201" s="1943">
        <f>B200+1</f>
        <v>2</v>
      </c>
      <c r="C201" s="1937"/>
      <c r="D201" s="1944" t="str">
        <f>VLOOKUP($A201,satpek!$B$20:$N$144,2,0)</f>
        <v>Memasang pintu kaca es rangka alluminium</v>
      </c>
      <c r="E201" s="1944"/>
      <c r="F201" s="2004"/>
      <c r="G201" s="1945">
        <f>'[3]B.VOL RAB'!Q475</f>
        <v>48.1</v>
      </c>
      <c r="H201" s="2456" t="str">
        <f>VLOOKUP($A201,satpek!$B$20:$N$144,7,0)</f>
        <v>m2</v>
      </c>
      <c r="I201" s="2457" t="str">
        <f>VLOOKUP($A201,satpek!$B$20:$N$144,5,0)</f>
        <v>An. Dihitung</v>
      </c>
      <c r="J201" s="1951">
        <f>VLOOKUP($A201,satpek!$B$20:$N$144,6,0)</f>
        <v>853707.66</v>
      </c>
      <c r="K201" s="1938"/>
      <c r="L201" s="1952">
        <f t="shared" si="189"/>
        <v>41063338.450000003</v>
      </c>
      <c r="M201" s="1967"/>
      <c r="N201" s="2458">
        <f>VLOOKUP($A201,satpek!$B$20:$L$138,8,0)</f>
        <v>0.47846365322798945</v>
      </c>
      <c r="O201" s="1954">
        <f>VLOOKUP($A201,satpek!$B$20:$L$138,9,0)</f>
        <v>361476.18000000005</v>
      </c>
      <c r="P201" s="1954">
        <f>VLOOKUP($A201,satpek!$B$20:$L$138,10,0)</f>
        <v>408468.08340000006</v>
      </c>
      <c r="Q201" s="1952">
        <f t="shared" si="190"/>
        <v>17387004.258000001</v>
      </c>
      <c r="R201" s="1952">
        <f t="shared" si="191"/>
        <v>19647314.928524368</v>
      </c>
      <c r="S201" s="1955">
        <f t="shared" si="192"/>
        <v>21416023.521475635</v>
      </c>
      <c r="V201" s="1956">
        <v>48.1</v>
      </c>
      <c r="W201" s="1956"/>
      <c r="X201" s="1956">
        <f t="shared" si="134"/>
        <v>0</v>
      </c>
      <c r="Y201" s="1836" t="s">
        <v>1828</v>
      </c>
      <c r="AF201" s="1910">
        <v>850784.35</v>
      </c>
      <c r="AG201" s="1960">
        <f t="shared" si="135"/>
        <v>-2923.3100000000559</v>
      </c>
    </row>
    <row r="202" spans="1:33" ht="21.95" customHeight="1" x14ac:dyDescent="0.2">
      <c r="A202" s="1833">
        <f>satpek!$B$55</f>
        <v>36</v>
      </c>
      <c r="B202" s="1943">
        <f>B201+1</f>
        <v>3</v>
      </c>
      <c r="C202" s="1937"/>
      <c r="D202" s="1944" t="str">
        <f>VLOOKUP($A202,satpek!$B$20:$N$144,2,0)</f>
        <v>Memasang pintu alluminium strip</v>
      </c>
      <c r="E202" s="1944"/>
      <c r="F202" s="2004"/>
      <c r="G202" s="1945">
        <f>'[3]B.VOL RAB'!Q476</f>
        <v>14.840000000000003</v>
      </c>
      <c r="H202" s="2456" t="str">
        <f>VLOOKUP($A202,satpek!$B$20:$N$144,7,0)</f>
        <v>m2</v>
      </c>
      <c r="I202" s="2457" t="str">
        <f>VLOOKUP($A202,satpek!$B$20:$N$144,5,0)</f>
        <v>A.4.2.1.12.</v>
      </c>
      <c r="J202" s="1951">
        <f>VLOOKUP($A202,satpek!$B$20:$N$144,6,0)</f>
        <v>765224.14</v>
      </c>
      <c r="K202" s="1938"/>
      <c r="L202" s="1952">
        <f t="shared" si="189"/>
        <v>11355926.24</v>
      </c>
      <c r="M202" s="1967"/>
      <c r="N202" s="2458">
        <f>VLOOKUP($A202,satpek!$B$20:$L$138,8,0)</f>
        <v>0.53012493548703865</v>
      </c>
      <c r="O202" s="1954">
        <f>VLOOKUP($A202,satpek!$B$20:$L$138,9,0)</f>
        <v>358995.04</v>
      </c>
      <c r="P202" s="1954">
        <f>VLOOKUP($A202,satpek!$B$20:$L$138,10,0)</f>
        <v>405664.39519999997</v>
      </c>
      <c r="Q202" s="1952">
        <f t="shared" si="190"/>
        <v>5327486.393600001</v>
      </c>
      <c r="R202" s="1952">
        <f t="shared" si="191"/>
        <v>6020059.6653755698</v>
      </c>
      <c r="S202" s="1955">
        <f t="shared" si="192"/>
        <v>5335866.5746244304</v>
      </c>
      <c r="V202" s="1956">
        <v>14.840000000000003</v>
      </c>
      <c r="W202" s="1956"/>
      <c r="X202" s="1956">
        <f t="shared" si="134"/>
        <v>0</v>
      </c>
      <c r="Y202" s="1836" t="s">
        <v>1829</v>
      </c>
      <c r="AF202" s="1910">
        <v>759680.81</v>
      </c>
      <c r="AG202" s="1960">
        <f t="shared" si="135"/>
        <v>-5543.3299999999581</v>
      </c>
    </row>
    <row r="203" spans="1:33" ht="21.95" customHeight="1" x14ac:dyDescent="0.2">
      <c r="A203" s="1833">
        <f>satpek!$B$57</f>
        <v>38</v>
      </c>
      <c r="B203" s="1943">
        <f>B202+1</f>
        <v>4</v>
      </c>
      <c r="C203" s="1937"/>
      <c r="D203" s="1944" t="str">
        <f>VLOOKUP($A203,satpek!$B$20:$N$144,2,0)</f>
        <v>Memasang jendela &amp; boven kaca rangka aluminium</v>
      </c>
      <c r="E203" s="1944"/>
      <c r="F203" s="2004"/>
      <c r="G203" s="1945">
        <f>'[3]B.VOL RAB'!Q477</f>
        <v>104.04</v>
      </c>
      <c r="H203" s="2456" t="str">
        <f>VLOOKUP($A203,satpek!$B$20:$N$144,7,0)</f>
        <v>m2</v>
      </c>
      <c r="I203" s="2457" t="str">
        <f>VLOOKUP($A203,satpek!$B$20:$N$144,5,0)</f>
        <v>An. Dihitung</v>
      </c>
      <c r="J203" s="1951">
        <f>VLOOKUP($A203,satpek!$B$20:$N$144,6,0)</f>
        <v>845503.86</v>
      </c>
      <c r="K203" s="1938"/>
      <c r="L203" s="1952">
        <f t="shared" si="189"/>
        <v>87966221.590000004</v>
      </c>
      <c r="M203" s="1967"/>
      <c r="N203" s="2458">
        <f>VLOOKUP($A203,satpek!$B$20:$L$138,8,0)</f>
        <v>0.47806680668534629</v>
      </c>
      <c r="O203" s="1954">
        <f>VLOOKUP($A203,satpek!$B$20:$L$138,9,0)</f>
        <v>357705.60000000003</v>
      </c>
      <c r="P203" s="1954">
        <f>VLOOKUP($A203,satpek!$B$20:$L$138,10,0)</f>
        <v>404207.32800000004</v>
      </c>
      <c r="Q203" s="1952">
        <f t="shared" si="190"/>
        <v>37215690.624000005</v>
      </c>
      <c r="R203" s="1952">
        <f t="shared" si="191"/>
        <v>42053730.651706867</v>
      </c>
      <c r="S203" s="1955">
        <f t="shared" si="192"/>
        <v>45912490.938293137</v>
      </c>
      <c r="V203" s="1956">
        <v>104.04</v>
      </c>
      <c r="W203" s="1956"/>
      <c r="X203" s="1956">
        <f t="shared" si="134"/>
        <v>0</v>
      </c>
      <c r="Y203" s="1836" t="s">
        <v>1633</v>
      </c>
      <c r="AF203" s="1910">
        <v>856253.55</v>
      </c>
      <c r="AG203" s="1960">
        <f t="shared" si="135"/>
        <v>10749.690000000061</v>
      </c>
    </row>
    <row r="204" spans="1:33" ht="21.95" customHeight="1" x14ac:dyDescent="0.2">
      <c r="A204" s="1833">
        <f>satpek!$B$83</f>
        <v>64</v>
      </c>
      <c r="B204" s="2012">
        <f>B203+1</f>
        <v>5</v>
      </c>
      <c r="C204" s="2013"/>
      <c r="D204" s="1944" t="str">
        <f>VLOOKUP($A204,satpek!$B$20:$N$144,2,0)</f>
        <v>Pasang kaca mati tebal 5 mm</v>
      </c>
      <c r="E204" s="2014"/>
      <c r="F204" s="2015"/>
      <c r="G204" s="2478">
        <f>'[3]B.VOL RAB'!Q478</f>
        <v>23.88</v>
      </c>
      <c r="H204" s="2456" t="str">
        <f>VLOOKUP($A204,satpek!$B$20:$N$144,7,0)</f>
        <v>m2</v>
      </c>
      <c r="I204" s="2457" t="str">
        <f>VLOOKUP($A204,satpek!$B$20:$N$144,5,0)</f>
        <v>A.4.6.2.17.</v>
      </c>
      <c r="J204" s="1951">
        <f>VLOOKUP($A204,satpek!$B$20:$N$144,6,0)</f>
        <v>170445.25</v>
      </c>
      <c r="K204" s="1938"/>
      <c r="L204" s="1952">
        <f t="shared" si="189"/>
        <v>4070232.57</v>
      </c>
      <c r="M204" s="2479"/>
      <c r="N204" s="2458">
        <f>VLOOKUP($A204,satpek!$B$20:$L$138,8,0)</f>
        <v>0.61858343305499663</v>
      </c>
      <c r="O204" s="1954">
        <f>VLOOKUP($A204,satpek!$B$20:$L$138,9,0)</f>
        <v>93304.960000000006</v>
      </c>
      <c r="P204" s="1954">
        <f>VLOOKUP($A204,satpek!$B$20:$L$138,10,0)</f>
        <v>105434.6048</v>
      </c>
      <c r="Q204" s="1952">
        <f t="shared" si="190"/>
        <v>2228122.4448000002</v>
      </c>
      <c r="R204" s="1952">
        <f t="shared" si="191"/>
        <v>2517778.4364828616</v>
      </c>
      <c r="S204" s="1955">
        <f t="shared" si="192"/>
        <v>1552454.1335171382</v>
      </c>
      <c r="V204" s="1956">
        <v>23.88</v>
      </c>
      <c r="W204" s="1956"/>
      <c r="X204" s="1956">
        <f t="shared" si="134"/>
        <v>0</v>
      </c>
      <c r="Y204" s="1836" t="s">
        <v>1830</v>
      </c>
      <c r="AF204" s="1910">
        <v>170734.07</v>
      </c>
      <c r="AG204" s="1960">
        <f t="shared" si="135"/>
        <v>288.82000000000698</v>
      </c>
    </row>
    <row r="205" spans="1:33" ht="21.95" customHeight="1" x14ac:dyDescent="0.2">
      <c r="B205" s="2017"/>
      <c r="C205" s="2018"/>
      <c r="D205" s="2019"/>
      <c r="E205" s="2019"/>
      <c r="F205" s="2020"/>
      <c r="G205" s="2021"/>
      <c r="H205" s="2461"/>
      <c r="I205" s="2462"/>
      <c r="J205" s="2026"/>
      <c r="K205" s="2027"/>
      <c r="L205" s="2065" t="s">
        <v>1831</v>
      </c>
      <c r="M205" s="2463">
        <f>SUM(L191:L204)</f>
        <v>465466917.94</v>
      </c>
      <c r="N205" s="2464">
        <f>R205/M205</f>
        <v>0.49371728908613305</v>
      </c>
      <c r="O205" s="2025"/>
      <c r="P205" s="2025"/>
      <c r="Q205" s="2023"/>
      <c r="R205" s="2068">
        <f>SUM(R190:R204)</f>
        <v>229809064.88461435</v>
      </c>
      <c r="S205" s="2467">
        <f>SUM(S191:S204)</f>
        <v>235657853.05538565</v>
      </c>
      <c r="U205" s="1848">
        <f>M205-T205</f>
        <v>465466917.94</v>
      </c>
      <c r="V205" s="1956"/>
      <c r="W205" s="1956"/>
      <c r="X205" s="1956">
        <f t="shared" si="134"/>
        <v>0</v>
      </c>
      <c r="Z205" s="2141"/>
      <c r="AA205" s="2141"/>
      <c r="AD205" s="1836"/>
      <c r="AE205" s="1836"/>
      <c r="AG205" s="1960">
        <f t="shared" si="135"/>
        <v>0</v>
      </c>
    </row>
    <row r="206" spans="1:33" ht="21.95" customHeight="1" x14ac:dyDescent="0.2">
      <c r="B206" s="1927" t="s">
        <v>1832</v>
      </c>
      <c r="C206" s="2033"/>
      <c r="D206" s="2034" t="s">
        <v>763</v>
      </c>
      <c r="E206" s="2035"/>
      <c r="F206" s="2036"/>
      <c r="G206" s="1945"/>
      <c r="H206" s="2037"/>
      <c r="I206" s="2038"/>
      <c r="J206" s="1997"/>
      <c r="K206" s="2041"/>
      <c r="L206" s="2042"/>
      <c r="M206" s="1997"/>
      <c r="N206" s="2466"/>
      <c r="O206" s="2040"/>
      <c r="P206" s="2040"/>
      <c r="Q206" s="2038"/>
      <c r="R206" s="2043"/>
      <c r="S206" s="2044"/>
      <c r="V206" s="1956"/>
      <c r="W206" s="1956"/>
      <c r="X206" s="1956">
        <f t="shared" si="134"/>
        <v>0</v>
      </c>
      <c r="Y206" s="1836" t="s">
        <v>763</v>
      </c>
      <c r="Z206" s="2141"/>
      <c r="AA206" s="2141"/>
      <c r="AD206" s="1836"/>
      <c r="AE206" s="1836"/>
      <c r="AF206" s="1837"/>
      <c r="AG206" s="1960">
        <f t="shared" si="135"/>
        <v>0</v>
      </c>
    </row>
    <row r="207" spans="1:33" ht="21.95" customHeight="1" x14ac:dyDescent="0.2">
      <c r="B207" s="1927"/>
      <c r="C207" s="2033"/>
      <c r="D207" s="2034" t="s">
        <v>1769</v>
      </c>
      <c r="E207" s="2035"/>
      <c r="F207" s="2036"/>
      <c r="G207" s="1945"/>
      <c r="H207" s="2037"/>
      <c r="I207" s="2038"/>
      <c r="J207" s="1997"/>
      <c r="K207" s="2041"/>
      <c r="L207" s="2042"/>
      <c r="M207" s="1997"/>
      <c r="N207" s="2466"/>
      <c r="O207" s="2040"/>
      <c r="P207" s="2040"/>
      <c r="Q207" s="2038"/>
      <c r="R207" s="2043"/>
      <c r="S207" s="2044"/>
      <c r="V207" s="1956"/>
      <c r="W207" s="1956"/>
      <c r="X207" s="1956">
        <f t="shared" si="134"/>
        <v>0</v>
      </c>
      <c r="Y207" s="1836" t="s">
        <v>1769</v>
      </c>
      <c r="Z207" s="2141"/>
      <c r="AA207" s="2141"/>
      <c r="AD207" s="1836"/>
      <c r="AE207" s="1836"/>
      <c r="AF207" s="1837"/>
      <c r="AG207" s="1960">
        <f t="shared" si="135"/>
        <v>0</v>
      </c>
    </row>
    <row r="208" spans="1:33" ht="21.95" customHeight="1" x14ac:dyDescent="0.2">
      <c r="A208" s="1833">
        <f>satpek!$B$84</f>
        <v>65</v>
      </c>
      <c r="B208" s="1943">
        <v>1</v>
      </c>
      <c r="C208" s="1937"/>
      <c r="D208" s="1944" t="str">
        <f>VLOOKUP($A208,satpek!$B$20:$N$144,2,0)</f>
        <v>Pengecatan dinding dalam (cat interior)</v>
      </c>
      <c r="E208" s="1944"/>
      <c r="F208" s="2004"/>
      <c r="G208" s="1945">
        <f>'[3]B.VOL RAB'!Q509</f>
        <v>1114.2919999999999</v>
      </c>
      <c r="H208" s="2456" t="str">
        <f>VLOOKUP($A208,satpek!$B$20:$N$144,7,0)</f>
        <v>m2</v>
      </c>
      <c r="I208" s="2457" t="str">
        <f>VLOOKUP($A208,satpek!$B$20:$N$144,5,0)</f>
        <v>A.4.7.1.10.</v>
      </c>
      <c r="J208" s="1951">
        <f>VLOOKUP($A208,satpek!$B$20:$N$144,6,0)</f>
        <v>23041.599999999999</v>
      </c>
      <c r="K208" s="1938"/>
      <c r="L208" s="1952">
        <f t="shared" ref="L208:L210" si="193">ROUND((G208*J208),2)</f>
        <v>25675070.550000001</v>
      </c>
      <c r="M208" s="1967"/>
      <c r="N208" s="2458">
        <f>VLOOKUP($A208,satpek!$B$20:$L$138,8,0)</f>
        <v>0.52513015673735219</v>
      </c>
      <c r="O208" s="1954">
        <f>VLOOKUP($A208,satpek!$B$20:$L$138,9,0)</f>
        <v>10707.824000000001</v>
      </c>
      <c r="P208" s="1954">
        <f>VLOOKUP($A208,satpek!$B$20:$L$138,10,0)</f>
        <v>12099.841120000001</v>
      </c>
      <c r="Q208" s="1952">
        <f t="shared" ref="Q208:Q210" si="194">O208*G208</f>
        <v>11931642.620608</v>
      </c>
      <c r="R208" s="1952">
        <f t="shared" ref="R208:R210" si="195">N208*L208</f>
        <v>13482753.822164075</v>
      </c>
      <c r="S208" s="1955">
        <f t="shared" ref="S208:S210" si="196">L208-R208</f>
        <v>12192316.727835925</v>
      </c>
      <c r="V208" s="1956">
        <v>1114.2919999999999</v>
      </c>
      <c r="W208" s="1956"/>
      <c r="X208" s="1956">
        <f t="shared" si="134"/>
        <v>0</v>
      </c>
      <c r="Y208" s="1836" t="s">
        <v>1833</v>
      </c>
      <c r="Z208" s="2141"/>
      <c r="AA208" s="2141"/>
      <c r="AD208" s="1836"/>
      <c r="AE208" s="1836"/>
      <c r="AF208" s="1837">
        <v>31297.379999999997</v>
      </c>
      <c r="AG208" s="1960">
        <f t="shared" si="135"/>
        <v>8255.7799999999988</v>
      </c>
    </row>
    <row r="209" spans="1:33" ht="21.95" customHeight="1" x14ac:dyDescent="0.2">
      <c r="A209" s="1833">
        <f>satpek!$B$85</f>
        <v>66</v>
      </c>
      <c r="B209" s="1943">
        <f>B208+1</f>
        <v>2</v>
      </c>
      <c r="C209" s="1937"/>
      <c r="D209" s="1944" t="str">
        <f>VLOOKUP($A209,satpek!$B$20:$N$144,2,0)</f>
        <v>Pengecatan dinding luar (cat exterior)</v>
      </c>
      <c r="E209" s="1944"/>
      <c r="F209" s="2004"/>
      <c r="G209" s="1945">
        <f>'[3]B.VOL RAB'!Q519</f>
        <v>353.28000000000003</v>
      </c>
      <c r="H209" s="2456" t="str">
        <f>VLOOKUP($A209,satpek!$B$20:$N$144,7,0)</f>
        <v>m2</v>
      </c>
      <c r="I209" s="2457" t="str">
        <f>VLOOKUP($A209,satpek!$B$20:$N$144,5,0)</f>
        <v>A.4.7.1.10a.</v>
      </c>
      <c r="J209" s="1951">
        <f>VLOOKUP($A209,satpek!$B$20:$N$144,6,0)</f>
        <v>56348.350000000006</v>
      </c>
      <c r="K209" s="1938"/>
      <c r="L209" s="1952">
        <f t="shared" si="193"/>
        <v>19906745.09</v>
      </c>
      <c r="M209" s="1967"/>
      <c r="N209" s="2458">
        <f>VLOOKUP($A209,satpek!$B$20:$L$138,8,0)</f>
        <v>0.35460536078835592</v>
      </c>
      <c r="O209" s="1954">
        <f>VLOOKUP($A209,satpek!$B$20:$L$138,9,0)</f>
        <v>17682.68</v>
      </c>
      <c r="P209" s="1954">
        <f>VLOOKUP($A209,satpek!$B$20:$L$138,10,0)</f>
        <v>19981.428400000001</v>
      </c>
      <c r="Q209" s="1952">
        <f t="shared" si="194"/>
        <v>6246937.1904000007</v>
      </c>
      <c r="R209" s="1952">
        <f t="shared" si="195"/>
        <v>7059038.5247612828</v>
      </c>
      <c r="S209" s="1955">
        <f t="shared" si="196"/>
        <v>12847706.565238718</v>
      </c>
      <c r="V209" s="1956">
        <v>353.28000000000003</v>
      </c>
      <c r="W209" s="1956"/>
      <c r="X209" s="1956">
        <f t="shared" ref="X209:X272" si="197">V209-G209</f>
        <v>0</v>
      </c>
      <c r="Y209" s="1836" t="s">
        <v>1834</v>
      </c>
      <c r="Z209" s="2141"/>
      <c r="AA209" s="2141"/>
      <c r="AD209" s="1836"/>
      <c r="AE209" s="1836"/>
      <c r="AF209" s="1837">
        <v>70707.83</v>
      </c>
      <c r="AG209" s="1960">
        <f t="shared" ref="AG209:AG272" si="198">AF209-J209</f>
        <v>14359.479999999996</v>
      </c>
    </row>
    <row r="210" spans="1:33" ht="21.95" customHeight="1" x14ac:dyDescent="0.2">
      <c r="A210" s="1833">
        <f>satpek!$B$84</f>
        <v>65</v>
      </c>
      <c r="B210" s="1943">
        <f>B209+1</f>
        <v>3</v>
      </c>
      <c r="C210" s="1937"/>
      <c r="D210" s="1944" t="s">
        <v>1835</v>
      </c>
      <c r="E210" s="1944"/>
      <c r="F210" s="2004"/>
      <c r="G210" s="1945">
        <f>'[3]B.VOL RAB'!Q525</f>
        <v>753.75</v>
      </c>
      <c r="H210" s="2456" t="str">
        <f>VLOOKUP($A210,satpek!$B$20:$N$144,7,0)</f>
        <v>m2</v>
      </c>
      <c r="I210" s="2457" t="str">
        <f>VLOOKUP($A210,satpek!$B$20:$N$144,5,0)</f>
        <v>A.4.7.1.10.</v>
      </c>
      <c r="J210" s="1951">
        <f>VLOOKUP($A210,satpek!$B$20:$N$144,6,0)</f>
        <v>23041.599999999999</v>
      </c>
      <c r="K210" s="1938"/>
      <c r="L210" s="1952">
        <f t="shared" si="193"/>
        <v>17367606</v>
      </c>
      <c r="M210" s="1967"/>
      <c r="N210" s="2458">
        <f>VLOOKUP($A210,satpek!$B$20:$L$138,8,0)</f>
        <v>0.52513015673735219</v>
      </c>
      <c r="O210" s="1954">
        <f>VLOOKUP($A210,satpek!$B$20:$L$138,9,0)</f>
        <v>10707.824000000001</v>
      </c>
      <c r="P210" s="1954">
        <f>VLOOKUP($A210,satpek!$B$20:$L$138,10,0)</f>
        <v>12099.841120000001</v>
      </c>
      <c r="Q210" s="1952">
        <f t="shared" si="194"/>
        <v>8071022.3400000008</v>
      </c>
      <c r="R210" s="1952">
        <f t="shared" si="195"/>
        <v>9120253.6609325781</v>
      </c>
      <c r="S210" s="1955">
        <f t="shared" si="196"/>
        <v>8247352.3390674219</v>
      </c>
      <c r="V210" s="1956">
        <v>753.75</v>
      </c>
      <c r="W210" s="1956"/>
      <c r="X210" s="1956">
        <f t="shared" si="197"/>
        <v>0</v>
      </c>
      <c r="Y210" s="1836" t="s">
        <v>1835</v>
      </c>
      <c r="Z210" s="2141"/>
      <c r="AA210" s="2141"/>
      <c r="AD210" s="1836"/>
      <c r="AE210" s="1836"/>
      <c r="AF210" s="1837">
        <v>20901.379999999997</v>
      </c>
      <c r="AG210" s="1960">
        <f t="shared" si="198"/>
        <v>-2140.2200000000012</v>
      </c>
    </row>
    <row r="211" spans="1:33" ht="21.95" customHeight="1" x14ac:dyDescent="0.2">
      <c r="B211" s="1927"/>
      <c r="C211" s="2033"/>
      <c r="D211" s="2034" t="s">
        <v>1786</v>
      </c>
      <c r="E211" s="2035"/>
      <c r="F211" s="2036"/>
      <c r="G211" s="1945"/>
      <c r="H211" s="2037"/>
      <c r="I211" s="2038"/>
      <c r="J211" s="1997"/>
      <c r="K211" s="2041"/>
      <c r="L211" s="2042"/>
      <c r="M211" s="1997"/>
      <c r="N211" s="2466"/>
      <c r="O211" s="2040"/>
      <c r="P211" s="2040"/>
      <c r="Q211" s="2038"/>
      <c r="R211" s="2043"/>
      <c r="S211" s="2044"/>
      <c r="V211" s="1956"/>
      <c r="W211" s="1956"/>
      <c r="X211" s="1956">
        <f t="shared" si="197"/>
        <v>0</v>
      </c>
      <c r="Y211" s="1836" t="s">
        <v>1786</v>
      </c>
      <c r="Z211" s="2141"/>
      <c r="AA211" s="2141"/>
      <c r="AD211" s="1836"/>
      <c r="AE211" s="1836"/>
      <c r="AF211" s="1837"/>
      <c r="AG211" s="1960">
        <f t="shared" si="198"/>
        <v>0</v>
      </c>
    </row>
    <row r="212" spans="1:33" ht="21.95" customHeight="1" x14ac:dyDescent="0.2">
      <c r="A212" s="1833">
        <f>satpek!$B$84</f>
        <v>65</v>
      </c>
      <c r="B212" s="1943">
        <v>1</v>
      </c>
      <c r="C212" s="1937"/>
      <c r="D212" s="1944" t="str">
        <f>VLOOKUP($A212,satpek!$B$20:$N$144,2,0)</f>
        <v>Pengecatan dinding dalam (cat interior)</v>
      </c>
      <c r="E212" s="1944"/>
      <c r="F212" s="2004"/>
      <c r="G212" s="1945">
        <f>'[3]B.VOL RAB'!Q531</f>
        <v>816.87500000000023</v>
      </c>
      <c r="H212" s="2456" t="str">
        <f>VLOOKUP($A212,satpek!$B$20:$N$144,7,0)</f>
        <v>m2</v>
      </c>
      <c r="I212" s="2457" t="str">
        <f>VLOOKUP($A212,satpek!$B$20:$N$144,5,0)</f>
        <v>A.4.7.1.10.</v>
      </c>
      <c r="J212" s="1951">
        <f>VLOOKUP($A212,satpek!$B$20:$N$144,6,0)</f>
        <v>23041.599999999999</v>
      </c>
      <c r="K212" s="1938"/>
      <c r="L212" s="1952">
        <f t="shared" ref="L212:L214" si="199">ROUND((G212*J212),2)</f>
        <v>18822107</v>
      </c>
      <c r="M212" s="1967"/>
      <c r="N212" s="2458">
        <f>VLOOKUP($A212,satpek!$B$20:$L$138,8,0)</f>
        <v>0.52513015673735219</v>
      </c>
      <c r="O212" s="1954">
        <f>VLOOKUP($A212,satpek!$B$20:$L$138,9,0)</f>
        <v>10707.824000000001</v>
      </c>
      <c r="P212" s="1954">
        <f>VLOOKUP($A212,satpek!$B$20:$L$138,10,0)</f>
        <v>12099.841120000001</v>
      </c>
      <c r="Q212" s="1952">
        <f t="shared" ref="Q212:Q215" si="200">O212*G212</f>
        <v>8746953.7300000023</v>
      </c>
      <c r="R212" s="1952">
        <f t="shared" ref="R212:R215" si="201">N212*L212</f>
        <v>9884055.9990372136</v>
      </c>
      <c r="S212" s="1955">
        <f t="shared" ref="S212:S215" si="202">L212-R212</f>
        <v>8938051.0009627864</v>
      </c>
      <c r="V212" s="1956">
        <v>816.87500000000023</v>
      </c>
      <c r="W212" s="1956"/>
      <c r="X212" s="1956">
        <f t="shared" si="197"/>
        <v>0</v>
      </c>
      <c r="Y212" s="1836" t="s">
        <v>1833</v>
      </c>
      <c r="Z212" s="2141"/>
      <c r="AA212" s="2141"/>
      <c r="AD212" s="1836"/>
      <c r="AE212" s="1836"/>
      <c r="AF212" s="1837">
        <v>31297.379999999997</v>
      </c>
      <c r="AG212" s="1960">
        <f t="shared" si="198"/>
        <v>8255.7799999999988</v>
      </c>
    </row>
    <row r="213" spans="1:33" ht="21.95" customHeight="1" x14ac:dyDescent="0.2">
      <c r="A213" s="1833">
        <f>satpek!$B$85</f>
        <v>66</v>
      </c>
      <c r="B213" s="1943">
        <f>B212+1</f>
        <v>2</v>
      </c>
      <c r="C213" s="1937"/>
      <c r="D213" s="1944" t="str">
        <f>VLOOKUP($A213,satpek!$B$20:$N$144,2,0)</f>
        <v>Pengecatan dinding luar (cat exterior)</v>
      </c>
      <c r="E213" s="1944"/>
      <c r="F213" s="2004"/>
      <c r="G213" s="1945">
        <f>'[3]B.VOL RAB'!Q542</f>
        <v>564.16000000000008</v>
      </c>
      <c r="H213" s="2456" t="str">
        <f>VLOOKUP($A213,satpek!$B$20:$N$144,7,0)</f>
        <v>m2</v>
      </c>
      <c r="I213" s="2457" t="str">
        <f>VLOOKUP($A213,satpek!$B$20:$N$144,5,0)</f>
        <v>A.4.7.1.10a.</v>
      </c>
      <c r="J213" s="1951">
        <f>VLOOKUP($A213,satpek!$B$20:$N$144,6,0)</f>
        <v>56348.350000000006</v>
      </c>
      <c r="K213" s="1938"/>
      <c r="L213" s="1952">
        <f t="shared" si="199"/>
        <v>31789485.140000001</v>
      </c>
      <c r="M213" s="1967"/>
      <c r="N213" s="2458">
        <f>VLOOKUP($A213,satpek!$B$20:$L$138,8,0)</f>
        <v>0.35460536078835592</v>
      </c>
      <c r="O213" s="1954">
        <f>VLOOKUP($A213,satpek!$B$20:$L$138,9,0)</f>
        <v>17682.68</v>
      </c>
      <c r="P213" s="1954">
        <f>VLOOKUP($A213,satpek!$B$20:$L$138,10,0)</f>
        <v>19981.428400000001</v>
      </c>
      <c r="Q213" s="1952">
        <f t="shared" si="200"/>
        <v>9975860.748800002</v>
      </c>
      <c r="R213" s="1952">
        <f t="shared" si="201"/>
        <v>11272721.847345779</v>
      </c>
      <c r="S213" s="1955">
        <f t="shared" si="202"/>
        <v>20516763.292654224</v>
      </c>
      <c r="V213" s="1956">
        <v>564.16000000000008</v>
      </c>
      <c r="W213" s="1956"/>
      <c r="X213" s="1956">
        <f t="shared" si="197"/>
        <v>0</v>
      </c>
      <c r="Y213" s="1836" t="s">
        <v>1834</v>
      </c>
      <c r="Z213" s="2141"/>
      <c r="AA213" s="2141"/>
      <c r="AD213" s="1836"/>
      <c r="AE213" s="1836"/>
      <c r="AF213" s="1837">
        <v>70707.83</v>
      </c>
      <c r="AG213" s="1960">
        <f t="shared" si="198"/>
        <v>14359.479999999996</v>
      </c>
    </row>
    <row r="214" spans="1:33" ht="21.95" customHeight="1" x14ac:dyDescent="0.2">
      <c r="A214" s="1833">
        <f>satpek!$B$84</f>
        <v>65</v>
      </c>
      <c r="B214" s="1943">
        <f>B213+1</f>
        <v>3</v>
      </c>
      <c r="C214" s="1937"/>
      <c r="D214" s="1944" t="s">
        <v>1835</v>
      </c>
      <c r="E214" s="1944"/>
      <c r="F214" s="2004"/>
      <c r="G214" s="1945">
        <f>'[3]B.VOL RAB'!Q549</f>
        <v>829.65</v>
      </c>
      <c r="H214" s="2456" t="str">
        <f>VLOOKUP($A214,satpek!$B$20:$N$144,7,0)</f>
        <v>m2</v>
      </c>
      <c r="I214" s="2457" t="str">
        <f>VLOOKUP($A214,satpek!$B$20:$N$144,5,0)</f>
        <v>A.4.7.1.10.</v>
      </c>
      <c r="J214" s="1951">
        <f>VLOOKUP($A214,satpek!$B$20:$N$144,6,0)</f>
        <v>23041.599999999999</v>
      </c>
      <c r="K214" s="1938"/>
      <c r="L214" s="1952">
        <f t="shared" si="199"/>
        <v>19116463.440000001</v>
      </c>
      <c r="M214" s="1967"/>
      <c r="N214" s="2458">
        <f>VLOOKUP($A214,satpek!$B$20:$L$138,8,0)</f>
        <v>0.52513015673735219</v>
      </c>
      <c r="O214" s="1954">
        <f>VLOOKUP($A214,satpek!$B$20:$L$138,9,0)</f>
        <v>10707.824000000001</v>
      </c>
      <c r="P214" s="1954">
        <f>VLOOKUP($A214,satpek!$B$20:$L$138,10,0)</f>
        <v>12099.841120000001</v>
      </c>
      <c r="Q214" s="1952">
        <f t="shared" si="200"/>
        <v>8883746.1816000007</v>
      </c>
      <c r="R214" s="1952">
        <f t="shared" si="201"/>
        <v>10038631.442511063</v>
      </c>
      <c r="S214" s="1955">
        <f t="shared" si="202"/>
        <v>9077831.9974889383</v>
      </c>
      <c r="V214" s="1956">
        <v>829.65</v>
      </c>
      <c r="W214" s="1956"/>
      <c r="X214" s="1956">
        <f t="shared" si="197"/>
        <v>0</v>
      </c>
      <c r="Y214" s="1836" t="s">
        <v>1835</v>
      </c>
      <c r="Z214" s="2141"/>
      <c r="AA214" s="2141"/>
      <c r="AD214" s="1836"/>
      <c r="AE214" s="1836"/>
      <c r="AF214" s="1837">
        <v>20901.379999999997</v>
      </c>
      <c r="AG214" s="1960">
        <f t="shared" si="198"/>
        <v>-2140.2200000000012</v>
      </c>
    </row>
    <row r="215" spans="1:33" ht="21.95" customHeight="1" x14ac:dyDescent="0.2">
      <c r="A215" s="1833">
        <f>satpek!B112</f>
        <v>93</v>
      </c>
      <c r="B215" s="1943">
        <f>B214+1</f>
        <v>4</v>
      </c>
      <c r="C215" s="1937"/>
      <c r="D215" s="1944" t="s">
        <v>1836</v>
      </c>
      <c r="E215" s="1944"/>
      <c r="F215" s="2004"/>
      <c r="G215" s="1945">
        <f>'[3]B.VOL RAB'!Q550</f>
        <v>153.20949999999999</v>
      </c>
      <c r="H215" s="2456" t="str">
        <f>VLOOKUP($A215,satpek!$B$20:$N$144,7,0)</f>
        <v>m2</v>
      </c>
      <c r="I215" s="2457" t="str">
        <f>VLOOKUP($A215,satpek!$B$20:$N$144,5,0)</f>
        <v>Daftar harga</v>
      </c>
      <c r="J215" s="1951">
        <f>VLOOKUP($A215,satpek!$B$20:$N$144,6,0)</f>
        <v>52000</v>
      </c>
      <c r="K215" s="1938"/>
      <c r="L215" s="1952">
        <f t="shared" ref="L215" si="203">ROUND((G215*J215),2)</f>
        <v>7966894</v>
      </c>
      <c r="M215" s="1967"/>
      <c r="N215" s="2458">
        <f>VLOOKUP($A215,satpek!$B$20:$L$138,8,0)</f>
        <v>0.2</v>
      </c>
      <c r="O215" s="1954">
        <f>VLOOKUP($A215,satpek!$B$20:$L$138,9,0)</f>
        <v>0</v>
      </c>
      <c r="P215" s="1954">
        <f>VLOOKUP($A215,satpek!$B$20:$L$138,10,0)</f>
        <v>10400</v>
      </c>
      <c r="Q215" s="1952">
        <f t="shared" si="200"/>
        <v>0</v>
      </c>
      <c r="R215" s="1952">
        <f t="shared" si="201"/>
        <v>1593378.8</v>
      </c>
      <c r="S215" s="1955">
        <f t="shared" si="202"/>
        <v>6373515.2000000002</v>
      </c>
      <c r="V215" s="1956">
        <v>153.20949999999999</v>
      </c>
      <c r="W215" s="1956"/>
      <c r="X215" s="1956">
        <f t="shared" si="197"/>
        <v>0</v>
      </c>
      <c r="Y215" s="2129" t="s">
        <v>1836</v>
      </c>
      <c r="Z215" s="1836">
        <v>19699</v>
      </c>
      <c r="AA215" s="2061" t="e">
        <f>Y215*Z215/50</f>
        <v>#VALUE!</v>
      </c>
      <c r="AB215" s="2061" t="e">
        <f>10%*AA215</f>
        <v>#VALUE!</v>
      </c>
      <c r="AC215" s="2061" t="e">
        <f>AA215+AB215</f>
        <v>#VALUE!</v>
      </c>
      <c r="AD215" s="1836"/>
      <c r="AE215" s="1836"/>
      <c r="AF215" s="1837">
        <v>52000</v>
      </c>
      <c r="AG215" s="1960">
        <f t="shared" si="198"/>
        <v>0</v>
      </c>
    </row>
    <row r="216" spans="1:33" ht="21.95" customHeight="1" x14ac:dyDescent="0.2">
      <c r="B216" s="2017"/>
      <c r="C216" s="2018"/>
      <c r="D216" s="2019"/>
      <c r="E216" s="2019"/>
      <c r="F216" s="2020"/>
      <c r="G216" s="2021"/>
      <c r="H216" s="2461"/>
      <c r="I216" s="2462"/>
      <c r="J216" s="2026" t="s">
        <v>358</v>
      </c>
      <c r="K216" s="2027"/>
      <c r="L216" s="2065" t="s">
        <v>1837</v>
      </c>
      <c r="M216" s="2463">
        <f>SUM(L208:L216)</f>
        <v>140644371.22</v>
      </c>
      <c r="N216" s="2464">
        <f>R216/M216</f>
        <v>0.44403365420905883</v>
      </c>
      <c r="O216" s="2025"/>
      <c r="P216" s="2025"/>
      <c r="Q216" s="2023"/>
      <c r="R216" s="2068">
        <f>SUM(R207:R215)</f>
        <v>62450834.096751988</v>
      </c>
      <c r="S216" s="2467">
        <f>SUM(S208:S215)</f>
        <v>78193537.123248026</v>
      </c>
      <c r="U216" s="1848">
        <f>M216-T216</f>
        <v>140644371.22</v>
      </c>
      <c r="V216" s="1956"/>
      <c r="W216" s="1956"/>
      <c r="X216" s="1956">
        <f t="shared" si="197"/>
        <v>0</v>
      </c>
      <c r="Y216" s="2129"/>
      <c r="Z216" s="1836">
        <v>19701</v>
      </c>
      <c r="AA216" s="2061">
        <f>Y216*Z216/50</f>
        <v>0</v>
      </c>
      <c r="AB216" s="2061">
        <f>10%*AA216</f>
        <v>0</v>
      </c>
      <c r="AC216" s="2061">
        <f>AA216+AB216</f>
        <v>0</v>
      </c>
      <c r="AD216" s="1836"/>
      <c r="AE216" s="1836"/>
      <c r="AF216" s="1837" t="s">
        <v>358</v>
      </c>
      <c r="AG216" s="1960" t="e">
        <f t="shared" si="198"/>
        <v>#VALUE!</v>
      </c>
    </row>
    <row r="217" spans="1:33" s="2157" customFormat="1" ht="21.95" customHeight="1" x14ac:dyDescent="0.2">
      <c r="A217" s="1833"/>
      <c r="B217" s="2143" t="s">
        <v>1838</v>
      </c>
      <c r="C217" s="2144"/>
      <c r="D217" s="2145" t="s">
        <v>1839</v>
      </c>
      <c r="E217" s="2146"/>
      <c r="F217" s="2147"/>
      <c r="G217" s="2148"/>
      <c r="H217" s="2149"/>
      <c r="I217" s="2150"/>
      <c r="J217" s="2152"/>
      <c r="K217" s="2153"/>
      <c r="L217" s="2154"/>
      <c r="M217" s="2152"/>
      <c r="N217" s="2480"/>
      <c r="O217" s="2151"/>
      <c r="P217" s="2151"/>
      <c r="Q217" s="2150"/>
      <c r="R217" s="2155"/>
      <c r="S217" s="2156"/>
      <c r="T217" s="1848"/>
      <c r="U217" s="1848"/>
      <c r="V217" s="1956"/>
      <c r="W217" s="1956"/>
      <c r="X217" s="1956">
        <f t="shared" si="197"/>
        <v>0</v>
      </c>
      <c r="Y217" s="2157" t="s">
        <v>1839</v>
      </c>
      <c r="AB217" s="2158"/>
      <c r="AC217" s="2158"/>
      <c r="AD217" s="2158"/>
      <c r="AE217" s="2158"/>
      <c r="AF217" s="1837"/>
      <c r="AG217" s="1960">
        <f t="shared" si="198"/>
        <v>0</v>
      </c>
    </row>
    <row r="218" spans="1:33" s="2157" customFormat="1" ht="21.95" customHeight="1" x14ac:dyDescent="0.2">
      <c r="A218" s="1833">
        <f>satpek!B110</f>
        <v>91</v>
      </c>
      <c r="B218" s="2159">
        <v>1</v>
      </c>
      <c r="C218" s="2160"/>
      <c r="D218" s="1944" t="str">
        <f>VLOOKUP($A218,satpek!$B$20:$N$144,2,0)</f>
        <v>Pemasangan GRC Listplank</v>
      </c>
      <c r="E218" s="1944"/>
      <c r="F218" s="2004"/>
      <c r="G218" s="1945">
        <f>'[3]B.VOL RAB'!Q555</f>
        <v>176.3</v>
      </c>
      <c r="H218" s="2456" t="str">
        <f>VLOOKUP($A218,satpek!$B$20:$N$144,7,0)</f>
        <v>m'</v>
      </c>
      <c r="I218" s="2457" t="str">
        <f>VLOOKUP($A218,satpek!$B$20:$N$144,5,0)</f>
        <v>Daftar harga</v>
      </c>
      <c r="J218" s="1951">
        <f>VLOOKUP($A218,satpek!$B$20:$N$144,6,0)</f>
        <v>640000</v>
      </c>
      <c r="K218" s="1938"/>
      <c r="L218" s="1952">
        <f t="shared" ref="L218" si="204">ROUND((G218*J218),2)</f>
        <v>112832000</v>
      </c>
      <c r="M218" s="2481"/>
      <c r="N218" s="2458">
        <f>VLOOKUP($A218,satpek!$B$20:$L$138,8,0)</f>
        <v>0.2</v>
      </c>
      <c r="O218" s="1954">
        <f>VLOOKUP($A218,satpek!$B$20:$L$138,9,0)</f>
        <v>0</v>
      </c>
      <c r="P218" s="1954">
        <f>VLOOKUP($A218,satpek!$B$20:$L$138,10,0)</f>
        <v>128000</v>
      </c>
      <c r="Q218" s="1952">
        <f t="shared" ref="Q218" si="205">O218*G218</f>
        <v>0</v>
      </c>
      <c r="R218" s="1952">
        <f t="shared" ref="R218" si="206">N218*L218</f>
        <v>22566400</v>
      </c>
      <c r="S218" s="1955">
        <f t="shared" ref="S218" si="207">L218-R218</f>
        <v>90265600</v>
      </c>
      <c r="T218" s="1848"/>
      <c r="U218" s="1848"/>
      <c r="V218" s="1956">
        <v>176.3</v>
      </c>
      <c r="W218" s="1956"/>
      <c r="X218" s="1956">
        <f t="shared" si="197"/>
        <v>0</v>
      </c>
      <c r="Y218" s="2157" t="s">
        <v>1914</v>
      </c>
      <c r="AB218" s="2158"/>
      <c r="AC218" s="2158"/>
      <c r="AD218" s="2158"/>
      <c r="AE218" s="2158"/>
      <c r="AF218" s="1837">
        <v>640000</v>
      </c>
      <c r="AG218" s="1960">
        <f t="shared" si="198"/>
        <v>0</v>
      </c>
    </row>
    <row r="219" spans="1:33" s="2157" customFormat="1" ht="21.95" customHeight="1" x14ac:dyDescent="0.2">
      <c r="A219" s="1833"/>
      <c r="B219" s="2017"/>
      <c r="C219" s="2018"/>
      <c r="D219" s="2019"/>
      <c r="E219" s="2019"/>
      <c r="F219" s="2020"/>
      <c r="G219" s="2021"/>
      <c r="H219" s="2461"/>
      <c r="I219" s="2462"/>
      <c r="J219" s="2026" t="s">
        <v>358</v>
      </c>
      <c r="K219" s="2027"/>
      <c r="L219" s="2065" t="s">
        <v>1840</v>
      </c>
      <c r="M219" s="2463">
        <f>SUM(L218:L219)</f>
        <v>112832000</v>
      </c>
      <c r="N219" s="2464">
        <f>R219/M219</f>
        <v>0.2</v>
      </c>
      <c r="O219" s="2025"/>
      <c r="P219" s="2025"/>
      <c r="Q219" s="2023"/>
      <c r="R219" s="2068">
        <f>SUM(R217:R218)</f>
        <v>22566400</v>
      </c>
      <c r="S219" s="2467">
        <f>SUM(S218)</f>
        <v>90265600</v>
      </c>
      <c r="T219" s="1848"/>
      <c r="U219" s="1848">
        <f>M219-T219</f>
        <v>112832000</v>
      </c>
      <c r="V219" s="1956"/>
      <c r="W219" s="1956"/>
      <c r="X219" s="1956">
        <f t="shared" si="197"/>
        <v>0</v>
      </c>
      <c r="Y219" s="2161"/>
      <c r="AB219" s="2158"/>
      <c r="AC219" s="2158"/>
      <c r="AD219" s="2158"/>
      <c r="AE219" s="2158"/>
      <c r="AF219" s="1837" t="s">
        <v>358</v>
      </c>
      <c r="AG219" s="1960" t="e">
        <f t="shared" si="198"/>
        <v>#VALUE!</v>
      </c>
    </row>
    <row r="220" spans="1:33" ht="21.95" customHeight="1" x14ac:dyDescent="0.2">
      <c r="B220" s="1927" t="s">
        <v>1841</v>
      </c>
      <c r="C220" s="2033"/>
      <c r="D220" s="2034" t="s">
        <v>1842</v>
      </c>
      <c r="E220" s="2035"/>
      <c r="F220" s="2036"/>
      <c r="G220" s="1945"/>
      <c r="H220" s="2037"/>
      <c r="I220" s="2038"/>
      <c r="J220" s="1997"/>
      <c r="K220" s="2041"/>
      <c r="L220" s="2042"/>
      <c r="M220" s="1997"/>
      <c r="N220" s="2466"/>
      <c r="O220" s="2040"/>
      <c r="P220" s="2040"/>
      <c r="Q220" s="2038"/>
      <c r="R220" s="2043"/>
      <c r="S220" s="2044"/>
      <c r="V220" s="1956"/>
      <c r="W220" s="1956"/>
      <c r="X220" s="1956">
        <f t="shared" si="197"/>
        <v>0</v>
      </c>
      <c r="Y220" s="1836" t="s">
        <v>1842</v>
      </c>
      <c r="AC220" s="1836"/>
      <c r="AD220" s="1836"/>
      <c r="AE220" s="1836"/>
      <c r="AF220" s="1837"/>
      <c r="AG220" s="1960">
        <f t="shared" si="198"/>
        <v>0</v>
      </c>
    </row>
    <row r="221" spans="1:33" ht="21.95" customHeight="1" x14ac:dyDescent="0.2">
      <c r="B221" s="1927"/>
      <c r="C221" s="2033"/>
      <c r="D221" s="2034" t="s">
        <v>1769</v>
      </c>
      <c r="E221" s="2035"/>
      <c r="F221" s="2036"/>
      <c r="G221" s="1945"/>
      <c r="H221" s="2037"/>
      <c r="I221" s="2038"/>
      <c r="J221" s="1997"/>
      <c r="K221" s="2041"/>
      <c r="L221" s="2042"/>
      <c r="M221" s="1997"/>
      <c r="N221" s="2466"/>
      <c r="O221" s="2040"/>
      <c r="P221" s="2040"/>
      <c r="Q221" s="2038"/>
      <c r="R221" s="2043"/>
      <c r="S221" s="2044"/>
      <c r="V221" s="1956"/>
      <c r="W221" s="1956"/>
      <c r="X221" s="1956">
        <f t="shared" si="197"/>
        <v>0</v>
      </c>
      <c r="Y221" s="1836" t="s">
        <v>1769</v>
      </c>
      <c r="AC221" s="1836"/>
      <c r="AD221" s="1836"/>
      <c r="AE221" s="1836"/>
      <c r="AF221" s="1837"/>
      <c r="AG221" s="1960">
        <f t="shared" si="198"/>
        <v>0</v>
      </c>
    </row>
    <row r="222" spans="1:33" ht="21.95" customHeight="1" x14ac:dyDescent="0.2">
      <c r="B222" s="2162">
        <v>1</v>
      </c>
      <c r="C222" s="2033"/>
      <c r="D222" s="2034" t="s">
        <v>1843</v>
      </c>
      <c r="E222" s="2035"/>
      <c r="F222" s="2036"/>
      <c r="G222" s="1945"/>
      <c r="H222" s="2037"/>
      <c r="I222" s="2038"/>
      <c r="J222" s="1997"/>
      <c r="K222" s="2041"/>
      <c r="L222" s="2042"/>
      <c r="M222" s="1997"/>
      <c r="N222" s="2466"/>
      <c r="O222" s="2040"/>
      <c r="P222" s="2040"/>
      <c r="Q222" s="2038"/>
      <c r="R222" s="2043"/>
      <c r="S222" s="2044"/>
      <c r="V222" s="1956"/>
      <c r="W222" s="1956"/>
      <c r="X222" s="1956">
        <f t="shared" si="197"/>
        <v>0</v>
      </c>
      <c r="Y222" s="1836" t="s">
        <v>1843</v>
      </c>
      <c r="AC222" s="1836"/>
      <c r="AD222" s="1836"/>
      <c r="AE222" s="1836"/>
      <c r="AF222" s="1837"/>
      <c r="AG222" s="1960">
        <f t="shared" si="198"/>
        <v>0</v>
      </c>
    </row>
    <row r="223" spans="1:33" ht="21.95" customHeight="1" x14ac:dyDescent="0.2">
      <c r="A223" s="1833">
        <f>satpek!B73</f>
        <v>54</v>
      </c>
      <c r="B223" s="1943">
        <v>1</v>
      </c>
      <c r="C223" s="1937"/>
      <c r="D223" s="1944" t="str">
        <f>VLOOKUP($A223,satpek!$B$20:$N$144,2,0)</f>
        <v>Memasang pipa PVC tipe AW diameter 3/4"</v>
      </c>
      <c r="E223" s="1944"/>
      <c r="F223" s="2004"/>
      <c r="G223" s="1945">
        <f>'[3]B.VOL RAB'!Q560</f>
        <v>29</v>
      </c>
      <c r="H223" s="2456" t="str">
        <f>VLOOKUP($A223,satpek!$B$20:$N$144,7,0)</f>
        <v>m'</v>
      </c>
      <c r="I223" s="2457" t="str">
        <f>VLOOKUP($A223,satpek!$B$20:$N$144,5,0)</f>
        <v>A.5.1.1.26.</v>
      </c>
      <c r="J223" s="1951">
        <f>VLOOKUP($A223,satpek!$B$20:$N$144,6,0)</f>
        <v>24034.87</v>
      </c>
      <c r="K223" s="1938"/>
      <c r="L223" s="1952">
        <f t="shared" ref="L223" si="208">ROUND((G223*J223),2)</f>
        <v>697011.23</v>
      </c>
      <c r="M223" s="1967"/>
      <c r="N223" s="2458">
        <f>VLOOKUP($A223,satpek!$B$20:$L$138,8,0)</f>
        <v>0.94560353176804668</v>
      </c>
      <c r="O223" s="1954">
        <f>VLOOKUP($A223,satpek!$B$20:$L$138,9,0)</f>
        <v>20112.797999999999</v>
      </c>
      <c r="P223" s="1954">
        <f>VLOOKUP($A223,satpek!$B$20:$L$138,10,0)</f>
        <v>22727.461739999999</v>
      </c>
      <c r="Q223" s="1952">
        <f t="shared" ref="Q223:Q226" si="209">O223*G223</f>
        <v>583271.14199999999</v>
      </c>
      <c r="R223" s="1952">
        <f t="shared" ref="R223:R226" si="210">N223*L223</f>
        <v>659096.28076999029</v>
      </c>
      <c r="S223" s="1955">
        <f t="shared" ref="S223:S226" si="211">L223-R223</f>
        <v>37914.94923000969</v>
      </c>
      <c r="V223" s="1956">
        <v>29</v>
      </c>
      <c r="W223" s="1956"/>
      <c r="X223" s="1956">
        <f t="shared" si="197"/>
        <v>0</v>
      </c>
      <c r="Y223" s="1836" t="s">
        <v>455</v>
      </c>
      <c r="AC223" s="1836"/>
      <c r="AD223" s="1836"/>
      <c r="AE223" s="1836"/>
      <c r="AF223" s="1837">
        <v>24319.86</v>
      </c>
      <c r="AG223" s="1960">
        <f t="shared" si="198"/>
        <v>284.9900000000016</v>
      </c>
    </row>
    <row r="224" spans="1:33" ht="21.95" customHeight="1" x14ac:dyDescent="0.2">
      <c r="A224" s="1833">
        <f>satpek!B74</f>
        <v>55</v>
      </c>
      <c r="B224" s="1943">
        <f>B223+1</f>
        <v>2</v>
      </c>
      <c r="C224" s="1937"/>
      <c r="D224" s="1944" t="str">
        <f>VLOOKUP($A224,satpek!$B$20:$N$144,2,0)</f>
        <v>Memasang pipa PVC tipe AW diameter 1"</v>
      </c>
      <c r="E224" s="1944"/>
      <c r="F224" s="2004"/>
      <c r="G224" s="1945">
        <f>'[3]B.VOL RAB'!Q561</f>
        <v>37</v>
      </c>
      <c r="H224" s="2456" t="str">
        <f>VLOOKUP($A224,satpek!$B$20:$N$144,7,0)</f>
        <v>m'</v>
      </c>
      <c r="I224" s="2457" t="str">
        <f>VLOOKUP($A224,satpek!$B$20:$N$144,5,0)</f>
        <v>A.5.1.1.27.</v>
      </c>
      <c r="J224" s="1951">
        <f>VLOOKUP($A224,satpek!$B$20:$N$144,6,0)</f>
        <v>26924.85</v>
      </c>
      <c r="K224" s="1938"/>
      <c r="L224" s="1952">
        <f t="shared" ref="L224:L225" si="212">ROUND((G224*J224),2)</f>
        <v>996219.45</v>
      </c>
      <c r="M224" s="1967"/>
      <c r="N224" s="2458">
        <f>VLOOKUP($A224,satpek!$B$20:$L$138,8,0)</f>
        <v>0.94103691983565063</v>
      </c>
      <c r="O224" s="1954">
        <f>VLOOKUP($A224,satpek!$B$20:$L$138,9,0)</f>
        <v>22422.368999999999</v>
      </c>
      <c r="P224" s="1954">
        <f>VLOOKUP($A224,satpek!$B$20:$L$138,10,0)</f>
        <v>25337.276969999999</v>
      </c>
      <c r="Q224" s="1952">
        <f t="shared" si="209"/>
        <v>829627.65299999993</v>
      </c>
      <c r="R224" s="1952">
        <f t="shared" si="210"/>
        <v>937479.28270836594</v>
      </c>
      <c r="S224" s="1955">
        <f t="shared" si="211"/>
        <v>58740.167291634018</v>
      </c>
      <c r="V224" s="1956">
        <v>37</v>
      </c>
      <c r="W224" s="1956"/>
      <c r="X224" s="1956">
        <f t="shared" si="197"/>
        <v>0</v>
      </c>
      <c r="Y224" s="1836" t="s">
        <v>456</v>
      </c>
      <c r="AC224" s="1836"/>
      <c r="AD224" s="1836"/>
      <c r="AE224" s="1836"/>
      <c r="AF224" s="1837">
        <v>27340.35</v>
      </c>
      <c r="AG224" s="1960">
        <f t="shared" si="198"/>
        <v>415.5</v>
      </c>
    </row>
    <row r="225" spans="1:33" ht="21.95" customHeight="1" x14ac:dyDescent="0.2">
      <c r="A225" s="1833">
        <f>satpek!B75</f>
        <v>56</v>
      </c>
      <c r="B225" s="1943">
        <f>B224+1</f>
        <v>3</v>
      </c>
      <c r="C225" s="1937"/>
      <c r="D225" s="1944" t="str">
        <f>VLOOKUP($A225,satpek!$B$20:$N$144,2,0)</f>
        <v>Memasang pipa PVC tipe AW diameter 1 1/2"</v>
      </c>
      <c r="E225" s="1944"/>
      <c r="F225" s="2004"/>
      <c r="G225" s="1945">
        <f>'[3]B.VOL RAB'!Q562</f>
        <v>53</v>
      </c>
      <c r="H225" s="2456" t="str">
        <f>VLOOKUP($A225,satpek!$B$20:$N$144,7,0)</f>
        <v>m'</v>
      </c>
      <c r="I225" s="2457" t="str">
        <f>VLOOKUP($A225,satpek!$B$20:$N$144,5,0)</f>
        <v>A.5.1.1.28.</v>
      </c>
      <c r="J225" s="1951">
        <f>VLOOKUP($A225,satpek!$B$20:$N$144,6,0)</f>
        <v>49932.95</v>
      </c>
      <c r="K225" s="1938"/>
      <c r="L225" s="1952">
        <f t="shared" si="212"/>
        <v>2646446.35</v>
      </c>
      <c r="M225" s="1967"/>
      <c r="N225" s="2458">
        <f>VLOOKUP($A225,satpek!$B$20:$L$138,8,0)</f>
        <v>0.93377650720946315</v>
      </c>
      <c r="O225" s="1954">
        <f>VLOOKUP($A225,satpek!$B$20:$L$138,9,0)</f>
        <v>41262.136500000001</v>
      </c>
      <c r="P225" s="1954">
        <f>VLOOKUP($A225,satpek!$B$20:$L$138,10,0)</f>
        <v>46626.214245000003</v>
      </c>
      <c r="Q225" s="1952">
        <f t="shared" si="209"/>
        <v>2186893.2345000003</v>
      </c>
      <c r="R225" s="1952">
        <f t="shared" si="210"/>
        <v>2471189.4292202326</v>
      </c>
      <c r="S225" s="1955">
        <f t="shared" si="211"/>
        <v>175256.92077976745</v>
      </c>
      <c r="V225" s="1956">
        <v>53</v>
      </c>
      <c r="W225" s="1956"/>
      <c r="X225" s="1956">
        <f t="shared" si="197"/>
        <v>0</v>
      </c>
      <c r="Y225" s="1836" t="s">
        <v>457</v>
      </c>
      <c r="AC225" s="1836"/>
      <c r="AD225" s="1836"/>
      <c r="AE225" s="1836"/>
      <c r="AF225" s="1837">
        <v>50987.3</v>
      </c>
      <c r="AG225" s="1960">
        <f t="shared" si="198"/>
        <v>1054.3500000000058</v>
      </c>
    </row>
    <row r="226" spans="1:33" ht="21.95" customHeight="1" x14ac:dyDescent="0.2">
      <c r="A226" s="1833">
        <f>satpek!$B$115</f>
        <v>96</v>
      </c>
      <c r="B226" s="1943">
        <f>B225+1</f>
        <v>4</v>
      </c>
      <c r="C226" s="2033"/>
      <c r="D226" s="1944" t="str">
        <f>VLOOKUP($A226,satpek!$B$20:$N$144,2,0)</f>
        <v>Pemasangan stop kran PVC 1 1/2"</v>
      </c>
      <c r="E226" s="1944"/>
      <c r="F226" s="2004"/>
      <c r="G226" s="1945">
        <f>'[3]B.VOL RAB'!Q563</f>
        <v>4</v>
      </c>
      <c r="H226" s="2456" t="str">
        <f>VLOOKUP($A226,satpek!$B$20:$N$144,7,0)</f>
        <v>bh</v>
      </c>
      <c r="I226" s="2457" t="str">
        <f>VLOOKUP($A226,satpek!$B$20:$N$144,5,0)</f>
        <v>Daftar harga</v>
      </c>
      <c r="J226" s="1951">
        <f>VLOOKUP($A226,satpek!$B$20:$N$144,6,0)</f>
        <v>159000</v>
      </c>
      <c r="K226" s="1938"/>
      <c r="L226" s="1952">
        <f t="shared" ref="L226" si="213">ROUND((G226*J226),2)</f>
        <v>636000</v>
      </c>
      <c r="M226" s="1997"/>
      <c r="N226" s="2458">
        <f>VLOOKUP($A226,satpek!$B$20:$L$138,8,0)</f>
        <v>0.2</v>
      </c>
      <c r="O226" s="1954">
        <f>VLOOKUP($A226,satpek!$B$20:$L$138,9,0)</f>
        <v>0</v>
      </c>
      <c r="P226" s="1954">
        <f>VLOOKUP($A226,satpek!$B$20:$L$138,10,0)</f>
        <v>31800</v>
      </c>
      <c r="Q226" s="1952">
        <f t="shared" si="209"/>
        <v>0</v>
      </c>
      <c r="R226" s="1952">
        <f t="shared" si="210"/>
        <v>127200</v>
      </c>
      <c r="S226" s="1955">
        <f t="shared" si="211"/>
        <v>508800</v>
      </c>
      <c r="V226" s="1956">
        <v>4</v>
      </c>
      <c r="W226" s="1956"/>
      <c r="X226" s="1956">
        <f t="shared" si="197"/>
        <v>0</v>
      </c>
      <c r="Y226" s="1836" t="s">
        <v>1844</v>
      </c>
      <c r="AC226" s="1836"/>
      <c r="AD226" s="1836"/>
      <c r="AE226" s="1836"/>
      <c r="AF226" s="1837">
        <v>159520.72</v>
      </c>
      <c r="AG226" s="1960">
        <f t="shared" si="198"/>
        <v>520.72000000000116</v>
      </c>
    </row>
    <row r="227" spans="1:33" ht="21.95" customHeight="1" x14ac:dyDescent="0.2">
      <c r="B227" s="2162">
        <v>2</v>
      </c>
      <c r="C227" s="2033"/>
      <c r="D227" s="2034" t="s">
        <v>1845</v>
      </c>
      <c r="E227" s="2035"/>
      <c r="F227" s="2036"/>
      <c r="G227" s="1945"/>
      <c r="H227" s="2037"/>
      <c r="I227" s="2038"/>
      <c r="J227" s="1997"/>
      <c r="K227" s="2041"/>
      <c r="L227" s="2042"/>
      <c r="M227" s="1997"/>
      <c r="N227" s="2466"/>
      <c r="O227" s="2040"/>
      <c r="P227" s="2040"/>
      <c r="Q227" s="2038"/>
      <c r="R227" s="2043"/>
      <c r="S227" s="2044"/>
      <c r="V227" s="1956"/>
      <c r="W227" s="1956"/>
      <c r="X227" s="1956">
        <f t="shared" si="197"/>
        <v>0</v>
      </c>
      <c r="Y227" s="1836" t="s">
        <v>1845</v>
      </c>
      <c r="AC227" s="1836"/>
      <c r="AD227" s="1836"/>
      <c r="AE227" s="1836"/>
      <c r="AF227" s="1837"/>
      <c r="AG227" s="1960">
        <f t="shared" si="198"/>
        <v>0</v>
      </c>
    </row>
    <row r="228" spans="1:33" ht="21.95" customHeight="1" x14ac:dyDescent="0.2">
      <c r="A228" s="1833">
        <f>satpek!B75</f>
        <v>56</v>
      </c>
      <c r="B228" s="1943">
        <v>1</v>
      </c>
      <c r="C228" s="1937"/>
      <c r="D228" s="1944" t="str">
        <f>VLOOKUP($A228,satpek!$B$20:$N$144,2,0)</f>
        <v>Memasang pipa PVC tipe AW diameter 1 1/2"</v>
      </c>
      <c r="E228" s="1944"/>
      <c r="F228" s="2004"/>
      <c r="G228" s="1945">
        <f>'[3]B.VOL RAB'!Q565</f>
        <v>14.8</v>
      </c>
      <c r="H228" s="2456" t="str">
        <f>VLOOKUP($A228,satpek!$B$20:$N$144,7,0)</f>
        <v>m'</v>
      </c>
      <c r="I228" s="2457" t="str">
        <f>VLOOKUP($A228,satpek!$B$20:$N$144,5,0)</f>
        <v>A.5.1.1.28.</v>
      </c>
      <c r="J228" s="1951">
        <f>VLOOKUP($A228,satpek!$B$20:$N$144,6,0)</f>
        <v>49932.95</v>
      </c>
      <c r="K228" s="1938"/>
      <c r="L228" s="1952">
        <f t="shared" ref="L228:L230" si="214">ROUND((G228*J228),2)</f>
        <v>739007.66</v>
      </c>
      <c r="M228" s="1967"/>
      <c r="N228" s="2458">
        <f>VLOOKUP($A228,satpek!$B$20:$L$138,8,0)</f>
        <v>0.93377650720946315</v>
      </c>
      <c r="O228" s="1954">
        <f>VLOOKUP($A228,satpek!$B$20:$L$138,9,0)</f>
        <v>41262.136500000001</v>
      </c>
      <c r="P228" s="1954">
        <f>VLOOKUP($A228,satpek!$B$20:$L$138,10,0)</f>
        <v>46626.214245000003</v>
      </c>
      <c r="Q228" s="1952">
        <f t="shared" ref="Q228:Q230" si="215">O228*G228</f>
        <v>610679.6202</v>
      </c>
      <c r="R228" s="1952">
        <f t="shared" ref="R228:R230" si="216">N228*L228</f>
        <v>690067.9915558385</v>
      </c>
      <c r="S228" s="1955">
        <f t="shared" ref="S228:S230" si="217">L228-R228</f>
        <v>48939.668444161536</v>
      </c>
      <c r="V228" s="1956">
        <v>14.8</v>
      </c>
      <c r="W228" s="1956"/>
      <c r="X228" s="1956">
        <f t="shared" si="197"/>
        <v>0</v>
      </c>
      <c r="Y228" s="1836" t="s">
        <v>457</v>
      </c>
      <c r="AC228" s="1836"/>
      <c r="AD228" s="1836"/>
      <c r="AE228" s="1836"/>
      <c r="AF228" s="1837">
        <v>50987.3</v>
      </c>
      <c r="AG228" s="1960">
        <f t="shared" si="198"/>
        <v>1054.3500000000058</v>
      </c>
    </row>
    <row r="229" spans="1:33" ht="21.95" customHeight="1" x14ac:dyDescent="0.2">
      <c r="A229" s="1833">
        <f>satpek!B76</f>
        <v>57</v>
      </c>
      <c r="B229" s="1943">
        <f>B228+1</f>
        <v>2</v>
      </c>
      <c r="C229" s="1937"/>
      <c r="D229" s="1944" t="str">
        <f>VLOOKUP($A229,satpek!$B$20:$N$144,2,0)</f>
        <v>Memasang pipa PVC tipe AW diameter 2"</v>
      </c>
      <c r="E229" s="1944"/>
      <c r="F229" s="2004"/>
      <c r="G229" s="1945">
        <f>'[3]B.VOL RAB'!Q566</f>
        <v>15.8</v>
      </c>
      <c r="H229" s="2456" t="str">
        <f>VLOOKUP($A229,satpek!$B$20:$N$144,7,0)</f>
        <v>m'</v>
      </c>
      <c r="I229" s="2457" t="str">
        <f>VLOOKUP($A229,satpek!$B$20:$N$144,5,0)</f>
        <v>A.5.1.1.29.</v>
      </c>
      <c r="J229" s="1951">
        <f>VLOOKUP($A229,satpek!$B$20:$N$144,6,0)</f>
        <v>78438.61</v>
      </c>
      <c r="K229" s="1938"/>
      <c r="L229" s="1952">
        <f t="shared" si="214"/>
        <v>1239330.04</v>
      </c>
      <c r="M229" s="1967"/>
      <c r="N229" s="2458">
        <f>VLOOKUP($A229,satpek!$B$20:$L$138,8,0)</f>
        <v>0.92261300560255965</v>
      </c>
      <c r="O229" s="1954">
        <f>VLOOKUP($A229,satpek!$B$20:$L$138,9,0)</f>
        <v>64042.904999999999</v>
      </c>
      <c r="P229" s="1954">
        <f>VLOOKUP($A229,satpek!$B$20:$L$138,10,0)</f>
        <v>72368.482649999991</v>
      </c>
      <c r="Q229" s="1952">
        <f t="shared" si="215"/>
        <v>1011877.899</v>
      </c>
      <c r="R229" s="1952">
        <f t="shared" si="216"/>
        <v>1143422.0131379406</v>
      </c>
      <c r="S229" s="1955">
        <f t="shared" si="217"/>
        <v>95908.026862059487</v>
      </c>
      <c r="V229" s="1956">
        <v>15.8</v>
      </c>
      <c r="W229" s="1956"/>
      <c r="X229" s="1956">
        <f t="shared" si="197"/>
        <v>0</v>
      </c>
      <c r="Y229" s="1836" t="s">
        <v>458</v>
      </c>
      <c r="AC229" s="1836"/>
      <c r="AD229" s="1836"/>
      <c r="AE229" s="1836"/>
      <c r="AF229" s="1837">
        <v>80780.31</v>
      </c>
      <c r="AG229" s="1960">
        <f t="shared" si="198"/>
        <v>2341.6999999999971</v>
      </c>
    </row>
    <row r="230" spans="1:33" ht="21.95" customHeight="1" x14ac:dyDescent="0.2">
      <c r="A230" s="1833">
        <f>satpek!B78</f>
        <v>59</v>
      </c>
      <c r="B230" s="1943">
        <f>B229+1</f>
        <v>3</v>
      </c>
      <c r="C230" s="1937"/>
      <c r="D230" s="1944" t="str">
        <f>VLOOKUP($A230,satpek!$B$20:$N$144,2,0)</f>
        <v>Memasang pipa PVC tipe AW diameter 3"</v>
      </c>
      <c r="E230" s="1944"/>
      <c r="F230" s="2004"/>
      <c r="G230" s="1945">
        <f>'[3]B.VOL RAB'!Q567</f>
        <v>17.8</v>
      </c>
      <c r="H230" s="2456" t="str">
        <f>VLOOKUP($A230,satpek!$B$20:$N$144,7,0)</f>
        <v>m'</v>
      </c>
      <c r="I230" s="2457" t="str">
        <f>VLOOKUP($A230,satpek!$B$20:$N$144,5,0)</f>
        <v>A.5.1.1.31.</v>
      </c>
      <c r="J230" s="1951">
        <f>VLOOKUP($A230,satpek!$B$20:$N$144,6,0)</f>
        <v>103284.6</v>
      </c>
      <c r="K230" s="1938"/>
      <c r="L230" s="1952">
        <f t="shared" si="214"/>
        <v>1838465.88</v>
      </c>
      <c r="M230" s="1967"/>
      <c r="N230" s="2458">
        <f>VLOOKUP($A230,satpek!$B$20:$L$138,8,0)</f>
        <v>0.92520067875753675</v>
      </c>
      <c r="O230" s="1954">
        <f>VLOOKUP($A230,satpek!$B$20:$L$138,9,0)</f>
        <v>84565.47</v>
      </c>
      <c r="P230" s="1954">
        <f>VLOOKUP($A230,satpek!$B$20:$L$138,10,0)</f>
        <v>95558.981100000005</v>
      </c>
      <c r="Q230" s="1952">
        <f t="shared" si="215"/>
        <v>1505265.3660000002</v>
      </c>
      <c r="R230" s="1952">
        <f t="shared" si="216"/>
        <v>1700949.8800485721</v>
      </c>
      <c r="S230" s="1955">
        <f t="shared" si="217"/>
        <v>137515.9999514278</v>
      </c>
      <c r="V230" s="1956">
        <v>17.8</v>
      </c>
      <c r="W230" s="1956"/>
      <c r="X230" s="1956">
        <f t="shared" si="197"/>
        <v>0</v>
      </c>
      <c r="Y230" s="1836" t="s">
        <v>459</v>
      </c>
      <c r="AC230" s="1836"/>
      <c r="AD230" s="1836"/>
      <c r="AE230" s="1836"/>
      <c r="AF230" s="1837">
        <v>106247.69</v>
      </c>
      <c r="AG230" s="1960">
        <f t="shared" si="198"/>
        <v>2963.0899999999965</v>
      </c>
    </row>
    <row r="231" spans="1:33" s="2127" customFormat="1" ht="21.95" customHeight="1" x14ac:dyDescent="0.2">
      <c r="A231" s="2130"/>
      <c r="B231" s="2163">
        <v>3</v>
      </c>
      <c r="C231" s="2164"/>
      <c r="D231" s="2165" t="s">
        <v>1846</v>
      </c>
      <c r="E231" s="2166"/>
      <c r="F231" s="2167"/>
      <c r="G231" s="1945"/>
      <c r="H231" s="2168"/>
      <c r="I231" s="2169"/>
      <c r="J231" s="1997"/>
      <c r="K231" s="2041"/>
      <c r="L231" s="2042"/>
      <c r="M231" s="1997"/>
      <c r="N231" s="2482"/>
      <c r="O231" s="2171"/>
      <c r="P231" s="2171"/>
      <c r="Q231" s="2169"/>
      <c r="R231" s="2172"/>
      <c r="S231" s="2173"/>
      <c r="T231" s="2125"/>
      <c r="U231" s="2125"/>
      <c r="V231" s="1958"/>
      <c r="W231" s="1958"/>
      <c r="X231" s="1956">
        <f t="shared" si="197"/>
        <v>0</v>
      </c>
      <c r="Y231" s="2127" t="s">
        <v>1846</v>
      </c>
      <c r="AF231" s="1910"/>
      <c r="AG231" s="2128">
        <f t="shared" si="198"/>
        <v>0</v>
      </c>
    </row>
    <row r="232" spans="1:33" ht="21.95" customHeight="1" x14ac:dyDescent="0.2">
      <c r="A232" s="1833">
        <f>satpek!B79</f>
        <v>60</v>
      </c>
      <c r="B232" s="1943">
        <v>1</v>
      </c>
      <c r="C232" s="1937"/>
      <c r="D232" s="1944" t="str">
        <f>VLOOKUP($A232,satpek!$B$20:$N$144,2,0)</f>
        <v>Memasang pipa PVC tipe AW diameter 4"</v>
      </c>
      <c r="E232" s="1944"/>
      <c r="F232" s="2004"/>
      <c r="G232" s="1945">
        <f>'[3]B.VOL RAB'!Q569</f>
        <v>32</v>
      </c>
      <c r="H232" s="2456" t="str">
        <f>VLOOKUP($A232,satpek!$B$20:$N$144,7,0)</f>
        <v>m'</v>
      </c>
      <c r="I232" s="2457" t="str">
        <f>VLOOKUP($A232,satpek!$B$20:$N$144,5,0)</f>
        <v>A.5.1.1.32.</v>
      </c>
      <c r="J232" s="1951">
        <f>VLOOKUP($A232,satpek!$B$20:$N$144,6,0)</f>
        <v>167743.75</v>
      </c>
      <c r="K232" s="1938"/>
      <c r="L232" s="1952">
        <f t="shared" ref="L232" si="218">ROUND((G232*J232),2)</f>
        <v>5367800</v>
      </c>
      <c r="M232" s="1967"/>
      <c r="N232" s="2458">
        <f>VLOOKUP($A232,satpek!$B$20:$L$138,8,0)</f>
        <v>0.91674479843821799</v>
      </c>
      <c r="O232" s="1954">
        <f>VLOOKUP($A232,satpek!$B$20:$L$138,9,0)</f>
        <v>136086.91500000001</v>
      </c>
      <c r="P232" s="1954">
        <f>VLOOKUP($A232,satpek!$B$20:$L$138,10,0)</f>
        <v>153778.21395</v>
      </c>
      <c r="Q232" s="1952">
        <f t="shared" ref="Q232" si="219">O232*G232</f>
        <v>4354781.28</v>
      </c>
      <c r="R232" s="1952">
        <f t="shared" ref="R232" si="220">N232*L232</f>
        <v>4920902.7290566666</v>
      </c>
      <c r="S232" s="1955">
        <f t="shared" ref="S232" si="221">L232-R232</f>
        <v>446897.27094333339</v>
      </c>
      <c r="V232" s="1956">
        <v>32</v>
      </c>
      <c r="W232" s="1956"/>
      <c r="X232" s="1956">
        <f t="shared" si="197"/>
        <v>0</v>
      </c>
      <c r="Y232" s="1836" t="s">
        <v>460</v>
      </c>
      <c r="AC232" s="1836"/>
      <c r="AD232" s="1836"/>
      <c r="AE232" s="1836"/>
      <c r="AF232" s="1837">
        <v>173522.24</v>
      </c>
      <c r="AG232" s="1960">
        <f t="shared" si="198"/>
        <v>5778.4899999999907</v>
      </c>
    </row>
    <row r="233" spans="1:33" ht="21.95" customHeight="1" x14ac:dyDescent="0.2">
      <c r="B233" s="2162">
        <v>4</v>
      </c>
      <c r="C233" s="2033"/>
      <c r="D233" s="2034" t="s">
        <v>1847</v>
      </c>
      <c r="E233" s="2035"/>
      <c r="F233" s="2036"/>
      <c r="G233" s="1945"/>
      <c r="H233" s="2037"/>
      <c r="I233" s="2038"/>
      <c r="J233" s="1997"/>
      <c r="K233" s="2041"/>
      <c r="L233" s="2042"/>
      <c r="M233" s="1997"/>
      <c r="N233" s="2466"/>
      <c r="O233" s="2040"/>
      <c r="P233" s="2040"/>
      <c r="Q233" s="2038"/>
      <c r="R233" s="2043"/>
      <c r="S233" s="2044"/>
      <c r="V233" s="1956"/>
      <c r="W233" s="1956"/>
      <c r="X233" s="1956">
        <f t="shared" si="197"/>
        <v>0</v>
      </c>
      <c r="Y233" s="1836" t="s">
        <v>1847</v>
      </c>
      <c r="AC233" s="1836"/>
      <c r="AD233" s="1836"/>
      <c r="AE233" s="1836"/>
      <c r="AF233" s="1837"/>
      <c r="AG233" s="1960">
        <f t="shared" si="198"/>
        <v>0</v>
      </c>
    </row>
    <row r="234" spans="1:33" ht="21.95" customHeight="1" x14ac:dyDescent="0.2">
      <c r="A234" s="1833">
        <f>satpek!B69</f>
        <v>50</v>
      </c>
      <c r="B234" s="1943">
        <v>1</v>
      </c>
      <c r="C234" s="1937"/>
      <c r="D234" s="1944" t="str">
        <f>VLOOKUP($A234,satpek!$B$20:$N$144,2,0)</f>
        <v>Memasang kloset duduk/monoblok dan aksesoris</v>
      </c>
      <c r="E234" s="1944"/>
      <c r="F234" s="2004"/>
      <c r="G234" s="1945">
        <f>'[3]B.VOL RAB'!Q571</f>
        <v>8</v>
      </c>
      <c r="H234" s="2456" t="str">
        <f>VLOOKUP($A234,satpek!$B$20:$N$144,7,0)</f>
        <v>bh</v>
      </c>
      <c r="I234" s="2457" t="str">
        <f>VLOOKUP($A234,satpek!$B$20:$N$144,5,0)</f>
        <v>A.5.1.1.1.</v>
      </c>
      <c r="J234" s="1951">
        <f>VLOOKUP($A234,satpek!$B$20:$N$144,6,0)</f>
        <v>3373897.5</v>
      </c>
      <c r="K234" s="1938"/>
      <c r="L234" s="1952">
        <f t="shared" ref="L234" si="222">ROUND((G234*J234),2)</f>
        <v>26991180</v>
      </c>
      <c r="M234" s="1967"/>
      <c r="N234" s="2458">
        <f>VLOOKUP($A234,satpek!$B$20:$L$138,8,0)</f>
        <v>0.46447123838231602</v>
      </c>
      <c r="O234" s="1954">
        <f>VLOOKUP($A234,satpek!$B$20:$L$138,9,0)</f>
        <v>1386795</v>
      </c>
      <c r="P234" s="1954">
        <f>VLOOKUP($A234,satpek!$B$20:$L$138,10,0)</f>
        <v>1567078.35</v>
      </c>
      <c r="Q234" s="1952">
        <f t="shared" ref="Q234:Q240" si="223">O234*G234</f>
        <v>11094360</v>
      </c>
      <c r="R234" s="1952">
        <f t="shared" ref="R234:R240" si="224">N234*L234</f>
        <v>12536626.800000001</v>
      </c>
      <c r="S234" s="1955">
        <f t="shared" ref="S234:S240" si="225">L234-R234</f>
        <v>14454553.199999999</v>
      </c>
      <c r="V234" s="1956">
        <v>8</v>
      </c>
      <c r="W234" s="1956"/>
      <c r="X234" s="1956">
        <f t="shared" si="197"/>
        <v>0</v>
      </c>
      <c r="Y234" s="1836" t="s">
        <v>1848</v>
      </c>
      <c r="AC234" s="1836"/>
      <c r="AD234" s="1836"/>
      <c r="AE234" s="1836"/>
      <c r="AF234" s="1837">
        <v>3359184.9</v>
      </c>
      <c r="AG234" s="1960">
        <f t="shared" si="198"/>
        <v>-14712.600000000093</v>
      </c>
    </row>
    <row r="235" spans="1:33" ht="21.95" customHeight="1" x14ac:dyDescent="0.2">
      <c r="A235" s="1833">
        <f>satpek!B71</f>
        <v>52</v>
      </c>
      <c r="B235" s="1943">
        <f t="shared" ref="B235:B240" si="226">B234+1</f>
        <v>2</v>
      </c>
      <c r="C235" s="1937"/>
      <c r="D235" s="1944" t="str">
        <f>VLOOKUP($A235,satpek!$B$20:$N$144,2,0)</f>
        <v>Memasang wastafel lengkap sifon stainless</v>
      </c>
      <c r="E235" s="1944"/>
      <c r="F235" s="2004"/>
      <c r="G235" s="1945">
        <f>'[3]B.VOL RAB'!Q572</f>
        <v>4</v>
      </c>
      <c r="H235" s="2456" t="str">
        <f>VLOOKUP($A235,satpek!$B$20:$N$144,7,0)</f>
        <v>bh</v>
      </c>
      <c r="I235" s="2457" t="str">
        <f>VLOOKUP($A235,satpek!$B$20:$N$144,5,0)</f>
        <v>A.5.1.1.5.</v>
      </c>
      <c r="J235" s="1951">
        <f>VLOOKUP($A235,satpek!$B$20:$N$144,6,0)</f>
        <v>1376407.8</v>
      </c>
      <c r="K235" s="1938"/>
      <c r="L235" s="1952">
        <f t="shared" ref="L235" si="227">ROUND((G235*J235),2)</f>
        <v>5505631.2000000002</v>
      </c>
      <c r="M235" s="1967"/>
      <c r="N235" s="2458">
        <f>VLOOKUP($A235,satpek!$B$20:$L$138,8,0)</f>
        <v>0.71936118089420875</v>
      </c>
      <c r="O235" s="1954">
        <f>VLOOKUP($A235,satpek!$B$20:$L$138,9,0)</f>
        <v>876225.08</v>
      </c>
      <c r="P235" s="1954">
        <f>VLOOKUP($A235,satpek!$B$20:$L$138,10,0)</f>
        <v>990134.34039999999</v>
      </c>
      <c r="Q235" s="1952">
        <f t="shared" si="223"/>
        <v>3504900.32</v>
      </c>
      <c r="R235" s="1952">
        <f t="shared" si="224"/>
        <v>3960537.3615999999</v>
      </c>
      <c r="S235" s="1955">
        <f t="shared" si="225"/>
        <v>1545093.8384000002</v>
      </c>
      <c r="V235" s="1956">
        <v>4</v>
      </c>
      <c r="W235" s="1956"/>
      <c r="X235" s="1956">
        <f t="shared" si="197"/>
        <v>0</v>
      </c>
      <c r="Y235" s="1836" t="s">
        <v>1849</v>
      </c>
      <c r="Z235" s="2141" t="e">
        <f>Y235+(Y235*10%)</f>
        <v>#VALUE!</v>
      </c>
      <c r="AC235" s="1836"/>
      <c r="AD235" s="1836"/>
      <c r="AE235" s="1836"/>
      <c r="AF235" s="1837">
        <v>1003649.05</v>
      </c>
      <c r="AG235" s="1960">
        <f t="shared" si="198"/>
        <v>-372758.75</v>
      </c>
    </row>
    <row r="236" spans="1:33" ht="21.95" customHeight="1" x14ac:dyDescent="0.2">
      <c r="A236" s="1833">
        <f>satpek!B72</f>
        <v>53</v>
      </c>
      <c r="B236" s="1943">
        <f t="shared" si="226"/>
        <v>3</v>
      </c>
      <c r="C236" s="1937"/>
      <c r="D236" s="1944" t="str">
        <f>VLOOKUP($A236,satpek!$B$20:$N$144,2,0)</f>
        <v>Memasang floor drain stainless</v>
      </c>
      <c r="E236" s="1944"/>
      <c r="F236" s="2004"/>
      <c r="G236" s="1945">
        <f>'[3]B.VOL RAB'!Q573</f>
        <v>10</v>
      </c>
      <c r="H236" s="2456" t="str">
        <f>VLOOKUP($A236,satpek!$B$20:$N$144,7,0)</f>
        <v>bh</v>
      </c>
      <c r="I236" s="2457" t="str">
        <f>VLOOKUP($A236,satpek!$B$20:$N$144,5,0)</f>
        <v>A.5.1.1.14.</v>
      </c>
      <c r="J236" s="1951">
        <f>VLOOKUP($A236,satpek!$B$20:$N$144,6,0)</f>
        <v>120111.09</v>
      </c>
      <c r="K236" s="1938"/>
      <c r="L236" s="1952">
        <f t="shared" ref="L236" si="228">ROUND((G236*J236),2)</f>
        <v>1201110.8999999999</v>
      </c>
      <c r="M236" s="1967"/>
      <c r="N236" s="2458">
        <f>VLOOKUP($A236,satpek!$B$20:$L$138,8,0)</f>
        <v>0.10624406122698578</v>
      </c>
      <c r="O236" s="1954">
        <f>VLOOKUP($A236,satpek!$B$20:$L$138,9,0)</f>
        <v>11293</v>
      </c>
      <c r="P236" s="1954">
        <f>VLOOKUP($A236,satpek!$B$20:$L$138,10,0)</f>
        <v>12761.09</v>
      </c>
      <c r="Q236" s="1952">
        <f t="shared" si="223"/>
        <v>112930</v>
      </c>
      <c r="R236" s="1952">
        <f t="shared" si="224"/>
        <v>127610.89999999998</v>
      </c>
      <c r="S236" s="1955">
        <f t="shared" si="225"/>
        <v>1073500</v>
      </c>
      <c r="V236" s="1956">
        <v>10</v>
      </c>
      <c r="W236" s="1956"/>
      <c r="X236" s="1956">
        <f t="shared" si="197"/>
        <v>0</v>
      </c>
      <c r="Y236" s="1836" t="s">
        <v>1915</v>
      </c>
      <c r="AC236" s="1836"/>
      <c r="AD236" s="1836"/>
      <c r="AE236" s="1836"/>
      <c r="AF236" s="1837">
        <v>103903.5</v>
      </c>
      <c r="AG236" s="1960">
        <f t="shared" si="198"/>
        <v>-16207.589999999997</v>
      </c>
    </row>
    <row r="237" spans="1:33" ht="21.95" customHeight="1" x14ac:dyDescent="0.2">
      <c r="A237" s="1833">
        <f>satpek!B81</f>
        <v>62</v>
      </c>
      <c r="B237" s="1943">
        <f t="shared" si="226"/>
        <v>4</v>
      </c>
      <c r="C237" s="1937"/>
      <c r="D237" s="1944" t="str">
        <f>VLOOKUP($A237,satpek!$B$20:$N$144,2,0)</f>
        <v>Memasang bak cuci piring stainlessteel dan aksesoris</v>
      </c>
      <c r="E237" s="1944"/>
      <c r="F237" s="2004"/>
      <c r="G237" s="1945">
        <f>'[3]B.VOL RAB'!Q574</f>
        <v>1</v>
      </c>
      <c r="H237" s="2456" t="str">
        <f>VLOOKUP($A237,satpek!$B$20:$N$144,7,0)</f>
        <v>bh</v>
      </c>
      <c r="I237" s="2457" t="str">
        <f>VLOOKUP($A237,satpek!$B$20:$N$144,5,0)</f>
        <v>A.5.1.1.12.</v>
      </c>
      <c r="J237" s="1951">
        <f>VLOOKUP($A237,satpek!$B$20:$N$144,6,0)</f>
        <v>1106133.27</v>
      </c>
      <c r="K237" s="1938"/>
      <c r="L237" s="1952">
        <f t="shared" ref="L237" si="229">ROUND((G237*J237),2)</f>
        <v>1106133.27</v>
      </c>
      <c r="M237" s="1967"/>
      <c r="N237" s="2458">
        <f>VLOOKUP($A237,satpek!$B$20:$L$138,8,0)</f>
        <v>3.460999776274698E-2</v>
      </c>
      <c r="O237" s="1954">
        <f>VLOOKUP($A237,satpek!$B$20:$L$138,9,0)</f>
        <v>33879</v>
      </c>
      <c r="P237" s="1954">
        <f>VLOOKUP($A237,satpek!$B$20:$L$138,10,0)</f>
        <v>38283.270000000004</v>
      </c>
      <c r="Q237" s="1952">
        <f t="shared" si="223"/>
        <v>33879</v>
      </c>
      <c r="R237" s="1952">
        <f t="shared" si="224"/>
        <v>38283.270000000004</v>
      </c>
      <c r="S237" s="1955">
        <f t="shared" si="225"/>
        <v>1067850</v>
      </c>
      <c r="V237" s="1956">
        <v>1</v>
      </c>
      <c r="W237" s="1956"/>
      <c r="X237" s="1956">
        <f t="shared" si="197"/>
        <v>0</v>
      </c>
      <c r="Y237" s="1836" t="s">
        <v>1850</v>
      </c>
      <c r="AC237" s="1836"/>
      <c r="AD237" s="1836"/>
      <c r="AE237" s="1836"/>
      <c r="AF237" s="1837">
        <v>1106496</v>
      </c>
      <c r="AG237" s="1960">
        <f t="shared" si="198"/>
        <v>362.72999999998137</v>
      </c>
    </row>
    <row r="238" spans="1:33" ht="21.95" customHeight="1" x14ac:dyDescent="0.2">
      <c r="A238" s="1833">
        <f>satpek!B82</f>
        <v>63</v>
      </c>
      <c r="B238" s="1943">
        <f t="shared" si="226"/>
        <v>5</v>
      </c>
      <c r="C238" s="1937"/>
      <c r="D238" s="1944" t="str">
        <f>VLOOKUP($A238,satpek!$B$20:$N$144,2,0)</f>
        <v>Memasang kran diameter 1/2", onda stainless</v>
      </c>
      <c r="E238" s="1944"/>
      <c r="F238" s="2004"/>
      <c r="G238" s="1945">
        <f>'[3]B.VOL RAB'!Q575</f>
        <v>8</v>
      </c>
      <c r="H238" s="2456" t="str">
        <f>VLOOKUP($A238,satpek!$B$20:$N$144,7,0)</f>
        <v>bh</v>
      </c>
      <c r="I238" s="2457" t="str">
        <f>VLOOKUP($A238,satpek!$B$20:$N$144,5,0)</f>
        <v>A.5.1.1.19.</v>
      </c>
      <c r="J238" s="1951">
        <f>VLOOKUP($A238,satpek!$B$20:$N$144,6,0)</f>
        <v>170986.52</v>
      </c>
      <c r="K238" s="1938"/>
      <c r="L238" s="1952">
        <f t="shared" ref="L238" si="230">ROUND((G238*J238),2)</f>
        <v>1367892.16</v>
      </c>
      <c r="M238" s="1967"/>
      <c r="N238" s="2458">
        <f>VLOOKUP($A238,satpek!$B$20:$L$138,8,0)</f>
        <v>0.95355069374915324</v>
      </c>
      <c r="O238" s="1954">
        <f>VLOOKUP($A238,satpek!$B$20:$L$138,9,0)</f>
        <v>144287</v>
      </c>
      <c r="P238" s="1954">
        <f>VLOOKUP($A238,satpek!$B$20:$L$138,10,0)</f>
        <v>163044.31</v>
      </c>
      <c r="Q238" s="1952">
        <f t="shared" si="223"/>
        <v>1154296</v>
      </c>
      <c r="R238" s="1952">
        <f t="shared" si="224"/>
        <v>1304354.5181420275</v>
      </c>
      <c r="S238" s="1955">
        <f t="shared" si="225"/>
        <v>63537.641857972369</v>
      </c>
      <c r="V238" s="1956">
        <v>8</v>
      </c>
      <c r="W238" s="1956"/>
      <c r="X238" s="1956">
        <f t="shared" si="197"/>
        <v>0</v>
      </c>
      <c r="Y238" s="1836" t="s">
        <v>1916</v>
      </c>
      <c r="AC238" s="1836"/>
      <c r="AD238" s="1836"/>
      <c r="AE238" s="1836"/>
      <c r="AF238" s="1837">
        <v>104041.93</v>
      </c>
      <c r="AG238" s="1960">
        <f t="shared" si="198"/>
        <v>-66944.59</v>
      </c>
    </row>
    <row r="239" spans="1:33" ht="21.95" customHeight="1" x14ac:dyDescent="0.2">
      <c r="A239" s="1833">
        <f>satpek!B119</f>
        <v>100</v>
      </c>
      <c r="B239" s="1943">
        <f t="shared" si="226"/>
        <v>6</v>
      </c>
      <c r="C239" s="1937"/>
      <c r="D239" s="1944" t="str">
        <f>VLOOKUP($A239,satpek!$B$20:$N$144,2,0)</f>
        <v>Membuat sumur bor lengkap pompa dan aksesories</v>
      </c>
      <c r="E239" s="1944"/>
      <c r="F239" s="2004"/>
      <c r="G239" s="1945">
        <f>'[3]B.VOL RAB'!Q576</f>
        <v>1</v>
      </c>
      <c r="H239" s="2456" t="str">
        <f>VLOOKUP($A239,satpek!$B$20:$N$144,7,0)</f>
        <v>unit</v>
      </c>
      <c r="I239" s="2457" t="str">
        <f>VLOOKUP($A239,satpek!$B$20:$N$144,5,0)</f>
        <v>Daftar harga</v>
      </c>
      <c r="J239" s="1951">
        <f>VLOOKUP($A239,satpek!$B$20:$N$144,6,0)</f>
        <v>25000000</v>
      </c>
      <c r="K239" s="1938"/>
      <c r="L239" s="1952">
        <f t="shared" ref="L239:L240" si="231">ROUND((G239*J239),2)</f>
        <v>25000000</v>
      </c>
      <c r="M239" s="1967"/>
      <c r="N239" s="2458">
        <f>VLOOKUP($A239,satpek!$B$20:$L$138,8,0)</f>
        <v>0.2</v>
      </c>
      <c r="O239" s="1954">
        <f>VLOOKUP($A239,satpek!$B$20:$L$138,9,0)</f>
        <v>0</v>
      </c>
      <c r="P239" s="1954">
        <f>VLOOKUP($A239,satpek!$B$20:$L$138,10,0)</f>
        <v>5000000</v>
      </c>
      <c r="Q239" s="1952">
        <f t="shared" si="223"/>
        <v>0</v>
      </c>
      <c r="R239" s="1952">
        <f t="shared" si="224"/>
        <v>5000000</v>
      </c>
      <c r="S239" s="1955">
        <f t="shared" si="225"/>
        <v>20000000</v>
      </c>
      <c r="V239" s="1956">
        <v>1</v>
      </c>
      <c r="W239" s="1956"/>
      <c r="X239" s="1956">
        <f t="shared" si="197"/>
        <v>0</v>
      </c>
      <c r="Y239" s="1836" t="s">
        <v>1851</v>
      </c>
      <c r="AC239" s="1836"/>
      <c r="AD239" s="1836"/>
      <c r="AE239" s="1836"/>
      <c r="AF239" s="1837">
        <v>20000000</v>
      </c>
      <c r="AG239" s="1960">
        <f t="shared" si="198"/>
        <v>-5000000</v>
      </c>
    </row>
    <row r="240" spans="1:33" ht="21.95" customHeight="1" x14ac:dyDescent="0.2">
      <c r="A240" s="1833">
        <f>satpek!B120</f>
        <v>101</v>
      </c>
      <c r="B240" s="1943">
        <f t="shared" si="226"/>
        <v>7</v>
      </c>
      <c r="C240" s="1937"/>
      <c r="D240" s="1944" t="str">
        <f>VLOOKUP($A240,satpek!$B$20:$N$144,2,0)</f>
        <v>Pengadaan dan pemasangan septic tank komunal kap 2000 ltr</v>
      </c>
      <c r="E240" s="1944"/>
      <c r="F240" s="2004"/>
      <c r="G240" s="1945">
        <v>1</v>
      </c>
      <c r="H240" s="2456" t="str">
        <f>VLOOKUP($A240,satpek!$B$20:$N$144,7,0)</f>
        <v>unit</v>
      </c>
      <c r="I240" s="2457" t="str">
        <f>VLOOKUP($A240,satpek!$B$20:$N$144,5,0)</f>
        <v>Daftar harga</v>
      </c>
      <c r="J240" s="1951">
        <f>VLOOKUP($A240,satpek!$B$20:$N$144,6,0)</f>
        <v>10887500</v>
      </c>
      <c r="K240" s="1938"/>
      <c r="L240" s="1952">
        <f t="shared" si="231"/>
        <v>10887500</v>
      </c>
      <c r="M240" s="1967"/>
      <c r="N240" s="2458">
        <f>VLOOKUP($A240,satpek!$B$20:$L$138,8,0)</f>
        <v>0.2</v>
      </c>
      <c r="O240" s="1954">
        <f>VLOOKUP($A240,satpek!$B$20:$L$138,9,0)</f>
        <v>0</v>
      </c>
      <c r="P240" s="1954">
        <f>VLOOKUP($A240,satpek!$B$20:$L$138,10,0)</f>
        <v>2177500</v>
      </c>
      <c r="Q240" s="1952">
        <f t="shared" si="223"/>
        <v>0</v>
      </c>
      <c r="R240" s="1952">
        <f t="shared" si="224"/>
        <v>2177500</v>
      </c>
      <c r="S240" s="1955">
        <f t="shared" si="225"/>
        <v>8710000</v>
      </c>
      <c r="V240" s="1956">
        <v>1</v>
      </c>
      <c r="W240" s="1956"/>
      <c r="X240" s="1956">
        <f t="shared" si="197"/>
        <v>0</v>
      </c>
      <c r="Y240" s="1836" t="s">
        <v>1852</v>
      </c>
      <c r="AC240" s="1836"/>
      <c r="AD240" s="1836"/>
      <c r="AE240" s="1836"/>
      <c r="AF240" s="1837">
        <v>10887500</v>
      </c>
      <c r="AG240" s="1960">
        <f t="shared" si="198"/>
        <v>0</v>
      </c>
    </row>
    <row r="241" spans="1:33" ht="21.95" customHeight="1" x14ac:dyDescent="0.2">
      <c r="B241" s="1943"/>
      <c r="C241" s="1937"/>
      <c r="D241" s="1944" t="s">
        <v>1853</v>
      </c>
      <c r="E241" s="1944"/>
      <c r="F241" s="2004"/>
      <c r="G241" s="1945"/>
      <c r="H241" s="2472"/>
      <c r="I241" s="2457"/>
      <c r="J241" s="1945" t="s">
        <v>1854</v>
      </c>
      <c r="K241" s="2095"/>
      <c r="L241" s="1952"/>
      <c r="M241" s="1967"/>
      <c r="N241" s="2473"/>
      <c r="O241" s="1950"/>
      <c r="P241" s="1950"/>
      <c r="Q241" s="2094"/>
      <c r="R241" s="2096"/>
      <c r="S241" s="2097"/>
      <c r="V241" s="1956"/>
      <c r="W241" s="1956"/>
      <c r="X241" s="1956">
        <f t="shared" si="197"/>
        <v>0</v>
      </c>
      <c r="Y241" s="1836" t="s">
        <v>1853</v>
      </c>
      <c r="AC241" s="1836"/>
      <c r="AD241" s="1836"/>
      <c r="AE241" s="1836"/>
      <c r="AF241" s="1837" t="s">
        <v>1854</v>
      </c>
      <c r="AG241" s="1960" t="e">
        <f t="shared" si="198"/>
        <v>#VALUE!</v>
      </c>
    </row>
    <row r="242" spans="1:33" ht="21.95" customHeight="1" x14ac:dyDescent="0.2">
      <c r="B242" s="1943"/>
      <c r="C242" s="1937"/>
      <c r="D242" s="1944" t="s">
        <v>1855</v>
      </c>
      <c r="E242" s="1944"/>
      <c r="F242" s="2004"/>
      <c r="G242" s="1945"/>
      <c r="H242" s="2472"/>
      <c r="I242" s="2457"/>
      <c r="J242" s="1945" t="s">
        <v>1854</v>
      </c>
      <c r="K242" s="2095"/>
      <c r="L242" s="1952"/>
      <c r="M242" s="1967"/>
      <c r="N242" s="2473"/>
      <c r="O242" s="1950"/>
      <c r="P242" s="1950"/>
      <c r="Q242" s="2094"/>
      <c r="R242" s="2096"/>
      <c r="S242" s="2097"/>
      <c r="V242" s="1956"/>
      <c r="W242" s="1956"/>
      <c r="X242" s="1956">
        <f t="shared" si="197"/>
        <v>0</v>
      </c>
      <c r="Y242" s="1836" t="s">
        <v>1855</v>
      </c>
      <c r="AC242" s="1836"/>
      <c r="AD242" s="1836"/>
      <c r="AE242" s="1836"/>
      <c r="AF242" s="1837" t="s">
        <v>1854</v>
      </c>
      <c r="AG242" s="1960" t="e">
        <f t="shared" si="198"/>
        <v>#VALUE!</v>
      </c>
    </row>
    <row r="243" spans="1:33" ht="21.95" customHeight="1" x14ac:dyDescent="0.2">
      <c r="B243" s="1943"/>
      <c r="C243" s="1988"/>
      <c r="D243" s="1989"/>
      <c r="E243" s="1989"/>
      <c r="F243" s="1990"/>
      <c r="G243" s="1945"/>
      <c r="H243" s="2483"/>
      <c r="I243" s="2484"/>
      <c r="J243" s="1991"/>
      <c r="K243" s="2392"/>
      <c r="L243" s="1999"/>
      <c r="M243" s="1997"/>
      <c r="N243" s="2485"/>
      <c r="O243" s="1996"/>
      <c r="P243" s="1996"/>
      <c r="Q243" s="2484"/>
      <c r="R243" s="2486"/>
      <c r="S243" s="2487"/>
      <c r="V243" s="1956"/>
      <c r="W243" s="1956"/>
      <c r="X243" s="1956">
        <f t="shared" si="197"/>
        <v>0</v>
      </c>
      <c r="AC243" s="1836"/>
      <c r="AD243" s="1836"/>
      <c r="AE243" s="1836"/>
      <c r="AF243" s="1837"/>
      <c r="AG243" s="1960">
        <f t="shared" si="198"/>
        <v>0</v>
      </c>
    </row>
    <row r="244" spans="1:33" ht="21.95" customHeight="1" x14ac:dyDescent="0.2">
      <c r="B244" s="1927"/>
      <c r="C244" s="2033"/>
      <c r="D244" s="2034" t="s">
        <v>1786</v>
      </c>
      <c r="E244" s="2035"/>
      <c r="F244" s="2036"/>
      <c r="G244" s="1945"/>
      <c r="H244" s="2037"/>
      <c r="I244" s="2038"/>
      <c r="J244" s="1997"/>
      <c r="K244" s="2041"/>
      <c r="L244" s="2042"/>
      <c r="M244" s="1997"/>
      <c r="N244" s="2466"/>
      <c r="O244" s="2040"/>
      <c r="P244" s="2040"/>
      <c r="Q244" s="2038"/>
      <c r="R244" s="2043"/>
      <c r="S244" s="2044"/>
      <c r="V244" s="1956"/>
      <c r="W244" s="1956"/>
      <c r="X244" s="1956">
        <f t="shared" si="197"/>
        <v>0</v>
      </c>
      <c r="Y244" s="1836" t="s">
        <v>1786</v>
      </c>
      <c r="AC244" s="1836"/>
      <c r="AD244" s="1836"/>
      <c r="AE244" s="1836"/>
      <c r="AF244" s="1837"/>
      <c r="AG244" s="1960">
        <f t="shared" si="198"/>
        <v>0</v>
      </c>
    </row>
    <row r="245" spans="1:33" ht="21.95" customHeight="1" x14ac:dyDescent="0.2">
      <c r="B245" s="2162">
        <v>1</v>
      </c>
      <c r="C245" s="2033"/>
      <c r="D245" s="2034" t="s">
        <v>1856</v>
      </c>
      <c r="E245" s="2035"/>
      <c r="F245" s="2036"/>
      <c r="G245" s="1945"/>
      <c r="H245" s="2037"/>
      <c r="I245" s="2038"/>
      <c r="J245" s="1997"/>
      <c r="K245" s="2041"/>
      <c r="L245" s="2042"/>
      <c r="M245" s="1997"/>
      <c r="N245" s="2466"/>
      <c r="O245" s="2040"/>
      <c r="P245" s="2040"/>
      <c r="Q245" s="2038"/>
      <c r="R245" s="2043"/>
      <c r="S245" s="2044"/>
      <c r="V245" s="1956"/>
      <c r="W245" s="1956"/>
      <c r="X245" s="1956">
        <f t="shared" si="197"/>
        <v>0</v>
      </c>
      <c r="Y245" s="1836" t="s">
        <v>1856</v>
      </c>
      <c r="AC245" s="1836"/>
      <c r="AD245" s="1836"/>
      <c r="AE245" s="1836"/>
      <c r="AF245" s="1837"/>
      <c r="AG245" s="1960">
        <f t="shared" si="198"/>
        <v>0</v>
      </c>
    </row>
    <row r="246" spans="1:33" ht="21.95" customHeight="1" x14ac:dyDescent="0.2">
      <c r="A246" s="1833">
        <f>satpek!B73</f>
        <v>54</v>
      </c>
      <c r="B246" s="1943">
        <v>1</v>
      </c>
      <c r="C246" s="1937"/>
      <c r="D246" s="1944" t="str">
        <f>VLOOKUP($A246,satpek!$B$20:$N$144,2,0)</f>
        <v>Memasang pipa PVC tipe AW diameter 3/4"</v>
      </c>
      <c r="E246" s="1944"/>
      <c r="F246" s="2004"/>
      <c r="G246" s="1945">
        <f>'[3]B.VOL RAB'!Q583</f>
        <v>18</v>
      </c>
      <c r="H246" s="2456" t="str">
        <f>VLOOKUP($A246,satpek!$B$20:$N$144,7,0)</f>
        <v>m'</v>
      </c>
      <c r="I246" s="2457" t="str">
        <f>VLOOKUP($A246,satpek!$B$20:$N$144,5,0)</f>
        <v>A.5.1.1.26.</v>
      </c>
      <c r="J246" s="1951">
        <f>VLOOKUP($A246,satpek!$B$20:$N$144,6,0)</f>
        <v>24034.87</v>
      </c>
      <c r="K246" s="1938"/>
      <c r="L246" s="1952">
        <f t="shared" ref="L246:L248" si="232">ROUND((G246*J246),2)</f>
        <v>432627.66</v>
      </c>
      <c r="M246" s="1967"/>
      <c r="N246" s="2458">
        <f>VLOOKUP($A246,satpek!$B$20:$L$138,8,0)</f>
        <v>0.94560353176804668</v>
      </c>
      <c r="O246" s="1954">
        <f>VLOOKUP($A246,satpek!$B$20:$L$138,9,0)</f>
        <v>20112.797999999999</v>
      </c>
      <c r="P246" s="1954">
        <f>VLOOKUP($A246,satpek!$B$20:$L$138,10,0)</f>
        <v>22727.461739999999</v>
      </c>
      <c r="Q246" s="1952">
        <f t="shared" ref="Q246:Q249" si="233">O246*G246</f>
        <v>362030.364</v>
      </c>
      <c r="R246" s="1952">
        <f t="shared" ref="R246:R249" si="234">N246*L246</f>
        <v>409094.24323654565</v>
      </c>
      <c r="S246" s="1955">
        <f t="shared" ref="S246:S249" si="235">L246-R246</f>
        <v>23533.416763454326</v>
      </c>
      <c r="V246" s="1956">
        <v>18</v>
      </c>
      <c r="W246" s="1956"/>
      <c r="X246" s="1956">
        <f t="shared" si="197"/>
        <v>0</v>
      </c>
      <c r="Y246" s="1836" t="s">
        <v>455</v>
      </c>
      <c r="AC246" s="1836"/>
      <c r="AD246" s="1836"/>
      <c r="AE246" s="1836"/>
      <c r="AF246" s="1837">
        <v>24319.86</v>
      </c>
      <c r="AG246" s="1960">
        <f t="shared" si="198"/>
        <v>284.9900000000016</v>
      </c>
    </row>
    <row r="247" spans="1:33" ht="21.95" customHeight="1" x14ac:dyDescent="0.2">
      <c r="A247" s="1833">
        <f>satpek!B74</f>
        <v>55</v>
      </c>
      <c r="B247" s="1943">
        <f>B246+1</f>
        <v>2</v>
      </c>
      <c r="C247" s="1937"/>
      <c r="D247" s="1944" t="str">
        <f>VLOOKUP($A247,satpek!$B$20:$N$144,2,0)</f>
        <v>Memasang pipa PVC tipe AW diameter 1"</v>
      </c>
      <c r="E247" s="1944"/>
      <c r="F247" s="2004"/>
      <c r="G247" s="1945">
        <f>'[3]B.VOL RAB'!Q584</f>
        <v>27.8</v>
      </c>
      <c r="H247" s="2456" t="str">
        <f>VLOOKUP($A247,satpek!$B$20:$N$144,7,0)</f>
        <v>m'</v>
      </c>
      <c r="I247" s="2457" t="str">
        <f>VLOOKUP($A247,satpek!$B$20:$N$144,5,0)</f>
        <v>A.5.1.1.27.</v>
      </c>
      <c r="J247" s="1951">
        <f>VLOOKUP($A247,satpek!$B$20:$N$144,6,0)</f>
        <v>26924.85</v>
      </c>
      <c r="K247" s="1938"/>
      <c r="L247" s="1952">
        <f t="shared" si="232"/>
        <v>748510.83</v>
      </c>
      <c r="M247" s="1967"/>
      <c r="N247" s="2458">
        <f>VLOOKUP($A247,satpek!$B$20:$L$138,8,0)</f>
        <v>0.94103691983565063</v>
      </c>
      <c r="O247" s="1954">
        <f>VLOOKUP($A247,satpek!$B$20:$L$138,9,0)</f>
        <v>22422.368999999999</v>
      </c>
      <c r="P247" s="1954">
        <f>VLOOKUP($A247,satpek!$B$20:$L$138,10,0)</f>
        <v>25337.276969999999</v>
      </c>
      <c r="Q247" s="1952">
        <f t="shared" si="233"/>
        <v>623341.85820000002</v>
      </c>
      <c r="R247" s="1952">
        <f t="shared" si="234"/>
        <v>704376.32592682634</v>
      </c>
      <c r="S247" s="1955">
        <f t="shared" si="235"/>
        <v>44134.504073173623</v>
      </c>
      <c r="V247" s="1956">
        <v>27.8</v>
      </c>
      <c r="W247" s="1956"/>
      <c r="X247" s="1956">
        <f t="shared" si="197"/>
        <v>0</v>
      </c>
      <c r="Y247" s="1836" t="s">
        <v>456</v>
      </c>
      <c r="AC247" s="1836"/>
      <c r="AD247" s="1836"/>
      <c r="AE247" s="1836"/>
      <c r="AF247" s="1837">
        <v>27340.35</v>
      </c>
      <c r="AG247" s="1960">
        <f t="shared" si="198"/>
        <v>415.5</v>
      </c>
    </row>
    <row r="248" spans="1:33" ht="21.95" customHeight="1" x14ac:dyDescent="0.2">
      <c r="A248" s="1833">
        <f>satpek!B75</f>
        <v>56</v>
      </c>
      <c r="B248" s="1943">
        <f>B247+1</f>
        <v>3</v>
      </c>
      <c r="C248" s="1937"/>
      <c r="D248" s="1944" t="str">
        <f>VLOOKUP($A248,satpek!$B$20:$N$144,2,0)</f>
        <v>Memasang pipa PVC tipe AW diameter 1 1/2"</v>
      </c>
      <c r="E248" s="1944"/>
      <c r="F248" s="2004"/>
      <c r="G248" s="1945">
        <f>'[3]B.VOL RAB'!Q585</f>
        <v>53</v>
      </c>
      <c r="H248" s="2456" t="str">
        <f>VLOOKUP($A248,satpek!$B$20:$N$144,7,0)</f>
        <v>m'</v>
      </c>
      <c r="I248" s="2457" t="str">
        <f>VLOOKUP($A248,satpek!$B$20:$N$144,5,0)</f>
        <v>A.5.1.1.28.</v>
      </c>
      <c r="J248" s="1951">
        <f>VLOOKUP($A248,satpek!$B$20:$N$144,6,0)</f>
        <v>49932.95</v>
      </c>
      <c r="K248" s="1938"/>
      <c r="L248" s="1952">
        <f t="shared" si="232"/>
        <v>2646446.35</v>
      </c>
      <c r="M248" s="1967"/>
      <c r="N248" s="2458">
        <f>VLOOKUP($A248,satpek!$B$20:$L$138,8,0)</f>
        <v>0.93377650720946315</v>
      </c>
      <c r="O248" s="1954">
        <f>VLOOKUP($A248,satpek!$B$20:$L$138,9,0)</f>
        <v>41262.136500000001</v>
      </c>
      <c r="P248" s="1954">
        <f>VLOOKUP($A248,satpek!$B$20:$L$138,10,0)</f>
        <v>46626.214245000003</v>
      </c>
      <c r="Q248" s="1952">
        <f t="shared" si="233"/>
        <v>2186893.2345000003</v>
      </c>
      <c r="R248" s="1952">
        <f t="shared" si="234"/>
        <v>2471189.4292202326</v>
      </c>
      <c r="S248" s="1955">
        <f t="shared" si="235"/>
        <v>175256.92077976745</v>
      </c>
      <c r="V248" s="1956">
        <v>53</v>
      </c>
      <c r="W248" s="1956"/>
      <c r="X248" s="1956">
        <f t="shared" si="197"/>
        <v>0</v>
      </c>
      <c r="Y248" s="1836" t="s">
        <v>457</v>
      </c>
      <c r="AC248" s="1836"/>
      <c r="AD248" s="1836"/>
      <c r="AE248" s="1836"/>
      <c r="AF248" s="1837">
        <v>50987.3</v>
      </c>
      <c r="AG248" s="1960">
        <f t="shared" si="198"/>
        <v>1054.3500000000058</v>
      </c>
    </row>
    <row r="249" spans="1:33" ht="21.95" customHeight="1" x14ac:dyDescent="0.2">
      <c r="A249" s="1833">
        <f>satpek!$B$115</f>
        <v>96</v>
      </c>
      <c r="B249" s="1943">
        <f>B248+1</f>
        <v>4</v>
      </c>
      <c r="C249" s="2033"/>
      <c r="D249" s="1944" t="str">
        <f>VLOOKUP($A249,satpek!$B$20:$N$144,2,0)</f>
        <v>Pemasangan stop kran PVC 1 1/2"</v>
      </c>
      <c r="E249" s="1944"/>
      <c r="F249" s="2004"/>
      <c r="G249" s="1945">
        <f>'[3]B.VOL RAB'!Q586</f>
        <v>4</v>
      </c>
      <c r="H249" s="2456" t="str">
        <f>VLOOKUP($A249,satpek!$B$20:$N$144,7,0)</f>
        <v>bh</v>
      </c>
      <c r="I249" s="2457" t="str">
        <f>VLOOKUP($A249,satpek!$B$20:$N$144,5,0)</f>
        <v>Daftar harga</v>
      </c>
      <c r="J249" s="1951">
        <f>VLOOKUP($A249,satpek!$B$20:$N$144,6,0)</f>
        <v>159000</v>
      </c>
      <c r="K249" s="1938"/>
      <c r="L249" s="1952">
        <f t="shared" ref="L249" si="236">ROUND((G249*J249),2)</f>
        <v>636000</v>
      </c>
      <c r="M249" s="1997"/>
      <c r="N249" s="2458">
        <f>VLOOKUP($A249,satpek!$B$20:$L$138,8,0)</f>
        <v>0.2</v>
      </c>
      <c r="O249" s="1954">
        <f>VLOOKUP($A249,satpek!$B$20:$L$138,9,0)</f>
        <v>0</v>
      </c>
      <c r="P249" s="1954">
        <f>VLOOKUP($A249,satpek!$B$20:$L$138,10,0)</f>
        <v>31800</v>
      </c>
      <c r="Q249" s="1952">
        <f t="shared" si="233"/>
        <v>0</v>
      </c>
      <c r="R249" s="1952">
        <f t="shared" si="234"/>
        <v>127200</v>
      </c>
      <c r="S249" s="1955">
        <f t="shared" si="235"/>
        <v>508800</v>
      </c>
      <c r="V249" s="1956">
        <v>4</v>
      </c>
      <c r="W249" s="1956"/>
      <c r="X249" s="1956">
        <f t="shared" si="197"/>
        <v>0</v>
      </c>
      <c r="Y249" s="1836" t="s">
        <v>1857</v>
      </c>
      <c r="AC249" s="1836"/>
      <c r="AD249" s="1836"/>
      <c r="AE249" s="1836"/>
      <c r="AF249" s="1837">
        <v>159520.72</v>
      </c>
      <c r="AG249" s="1960">
        <f t="shared" si="198"/>
        <v>520.72000000000116</v>
      </c>
    </row>
    <row r="250" spans="1:33" ht="21.95" customHeight="1" x14ac:dyDescent="0.2">
      <c r="B250" s="2162">
        <v>2</v>
      </c>
      <c r="C250" s="2033"/>
      <c r="D250" s="2034" t="s">
        <v>1858</v>
      </c>
      <c r="E250" s="2035"/>
      <c r="F250" s="2036"/>
      <c r="G250" s="1945"/>
      <c r="H250" s="2037"/>
      <c r="I250" s="2038"/>
      <c r="J250" s="1951"/>
      <c r="K250" s="2041"/>
      <c r="L250" s="2042"/>
      <c r="M250" s="1997"/>
      <c r="N250" s="2466"/>
      <c r="O250" s="2040"/>
      <c r="P250" s="2040"/>
      <c r="Q250" s="2038"/>
      <c r="R250" s="2043"/>
      <c r="S250" s="2044"/>
      <c r="V250" s="1956"/>
      <c r="W250" s="1956"/>
      <c r="X250" s="1956">
        <f t="shared" si="197"/>
        <v>0</v>
      </c>
      <c r="Y250" s="1836" t="s">
        <v>1858</v>
      </c>
      <c r="AC250" s="1836"/>
      <c r="AD250" s="1836"/>
      <c r="AE250" s="1836"/>
      <c r="AF250" s="1837"/>
      <c r="AG250" s="1960">
        <f t="shared" si="198"/>
        <v>0</v>
      </c>
    </row>
    <row r="251" spans="1:33" ht="21.95" customHeight="1" x14ac:dyDescent="0.2">
      <c r="A251" s="1833">
        <f>satpek!B75</f>
        <v>56</v>
      </c>
      <c r="B251" s="1943">
        <v>1</v>
      </c>
      <c r="C251" s="1937"/>
      <c r="D251" s="1944" t="str">
        <f>VLOOKUP($A251,satpek!$B$20:$N$144,2,0)</f>
        <v>Memasang pipa PVC tipe AW diameter 1 1/2"</v>
      </c>
      <c r="E251" s="1944"/>
      <c r="F251" s="2004"/>
      <c r="G251" s="1945">
        <f>'[3]B.VOL RAB'!Q588</f>
        <v>4</v>
      </c>
      <c r="H251" s="2456" t="str">
        <f>VLOOKUP($A251,satpek!$B$20:$N$144,7,0)</f>
        <v>m'</v>
      </c>
      <c r="I251" s="2457" t="str">
        <f>VLOOKUP($A251,satpek!$B$20:$N$144,5,0)</f>
        <v>A.5.1.1.28.</v>
      </c>
      <c r="J251" s="1951">
        <f>VLOOKUP($A251,satpek!$B$20:$N$144,6,0)</f>
        <v>49932.95</v>
      </c>
      <c r="K251" s="1938"/>
      <c r="L251" s="1952">
        <f t="shared" ref="L251:L253" si="237">ROUND((G251*J251),2)</f>
        <v>199731.8</v>
      </c>
      <c r="M251" s="1967"/>
      <c r="N251" s="2458">
        <f>VLOOKUP($A251,satpek!$B$20:$L$138,8,0)</f>
        <v>0.93377650720946315</v>
      </c>
      <c r="O251" s="1954">
        <f>VLOOKUP($A251,satpek!$B$20:$L$138,9,0)</f>
        <v>41262.136500000001</v>
      </c>
      <c r="P251" s="1954">
        <f>VLOOKUP($A251,satpek!$B$20:$L$138,10,0)</f>
        <v>46626.214245000003</v>
      </c>
      <c r="Q251" s="1952">
        <f t="shared" ref="Q251:Q253" si="238">O251*G251</f>
        <v>165048.546</v>
      </c>
      <c r="R251" s="1952">
        <f t="shared" ref="R251:R253" si="239">N251*L251</f>
        <v>186504.86258265903</v>
      </c>
      <c r="S251" s="1955">
        <f t="shared" ref="S251:S253" si="240">L251-R251</f>
        <v>13226.93741734096</v>
      </c>
      <c r="V251" s="1956">
        <v>4</v>
      </c>
      <c r="W251" s="1956"/>
      <c r="X251" s="1956">
        <f t="shared" si="197"/>
        <v>0</v>
      </c>
      <c r="Y251" s="1836" t="s">
        <v>457</v>
      </c>
      <c r="AC251" s="1836"/>
      <c r="AD251" s="1836"/>
      <c r="AE251" s="1836"/>
      <c r="AF251" s="1837">
        <v>50987.3</v>
      </c>
      <c r="AG251" s="1960">
        <f t="shared" si="198"/>
        <v>1054.3500000000058</v>
      </c>
    </row>
    <row r="252" spans="1:33" ht="21.95" customHeight="1" x14ac:dyDescent="0.2">
      <c r="A252" s="1833">
        <f>satpek!B76</f>
        <v>57</v>
      </c>
      <c r="B252" s="1943">
        <f>B251+1</f>
        <v>2</v>
      </c>
      <c r="C252" s="1937"/>
      <c r="D252" s="1944" t="str">
        <f>VLOOKUP($A252,satpek!$B$20:$N$144,2,0)</f>
        <v>Memasang pipa PVC tipe AW diameter 2"</v>
      </c>
      <c r="E252" s="1944"/>
      <c r="F252" s="2004"/>
      <c r="G252" s="1945">
        <f>'[3]B.VOL RAB'!Q589</f>
        <v>12</v>
      </c>
      <c r="H252" s="2456" t="str">
        <f>VLOOKUP($A252,satpek!$B$20:$N$144,7,0)</f>
        <v>m'</v>
      </c>
      <c r="I252" s="2457" t="str">
        <f>VLOOKUP($A252,satpek!$B$20:$N$144,5,0)</f>
        <v>A.5.1.1.29.</v>
      </c>
      <c r="J252" s="1951">
        <f>VLOOKUP($A252,satpek!$B$20:$N$144,6,0)</f>
        <v>78438.61</v>
      </c>
      <c r="K252" s="1938"/>
      <c r="L252" s="1952">
        <f t="shared" si="237"/>
        <v>941263.32</v>
      </c>
      <c r="M252" s="1967"/>
      <c r="N252" s="2458">
        <f>VLOOKUP($A252,satpek!$B$20:$L$138,8,0)</f>
        <v>0.92261300560255965</v>
      </c>
      <c r="O252" s="1954">
        <f>VLOOKUP($A252,satpek!$B$20:$L$138,9,0)</f>
        <v>64042.904999999999</v>
      </c>
      <c r="P252" s="1954">
        <f>VLOOKUP($A252,satpek!$B$20:$L$138,10,0)</f>
        <v>72368.482649999991</v>
      </c>
      <c r="Q252" s="1952">
        <f t="shared" si="238"/>
        <v>768514.86</v>
      </c>
      <c r="R252" s="1952">
        <f t="shared" si="239"/>
        <v>868421.78072864388</v>
      </c>
      <c r="S252" s="1955">
        <f t="shared" si="240"/>
        <v>72841.539271356072</v>
      </c>
      <c r="V252" s="1956">
        <v>12</v>
      </c>
      <c r="W252" s="1956"/>
      <c r="X252" s="1956">
        <f t="shared" si="197"/>
        <v>0</v>
      </c>
      <c r="Y252" s="1836" t="s">
        <v>458</v>
      </c>
      <c r="AC252" s="1836"/>
      <c r="AD252" s="1836"/>
      <c r="AE252" s="1836"/>
      <c r="AF252" s="1837">
        <v>80780.31</v>
      </c>
      <c r="AG252" s="1960">
        <f t="shared" si="198"/>
        <v>2341.6999999999971</v>
      </c>
    </row>
    <row r="253" spans="1:33" ht="21.95" customHeight="1" x14ac:dyDescent="0.2">
      <c r="A253" s="1833">
        <f>satpek!B78</f>
        <v>59</v>
      </c>
      <c r="B253" s="1943">
        <f>B252+1</f>
        <v>3</v>
      </c>
      <c r="C253" s="1937"/>
      <c r="D253" s="1944" t="str">
        <f>VLOOKUP($A253,satpek!$B$20:$N$144,2,0)</f>
        <v>Memasang pipa PVC tipe AW diameter 3"</v>
      </c>
      <c r="E253" s="1944"/>
      <c r="F253" s="2004"/>
      <c r="G253" s="1945">
        <f>'[3]B.VOL RAB'!Q590</f>
        <v>24</v>
      </c>
      <c r="H253" s="2456" t="str">
        <f>VLOOKUP($A253,satpek!$B$20:$N$144,7,0)</f>
        <v>m'</v>
      </c>
      <c r="I253" s="2457" t="str">
        <f>VLOOKUP($A253,satpek!$B$20:$N$144,5,0)</f>
        <v>A.5.1.1.31.</v>
      </c>
      <c r="J253" s="1951">
        <f>VLOOKUP($A253,satpek!$B$20:$N$144,6,0)</f>
        <v>103284.6</v>
      </c>
      <c r="K253" s="1938"/>
      <c r="L253" s="1952">
        <f t="shared" si="237"/>
        <v>2478830.4</v>
      </c>
      <c r="M253" s="1967"/>
      <c r="N253" s="2458">
        <f>VLOOKUP($A253,satpek!$B$20:$L$138,8,0)</f>
        <v>0.92520067875753675</v>
      </c>
      <c r="O253" s="1954">
        <f>VLOOKUP($A253,satpek!$B$20:$L$138,9,0)</f>
        <v>84565.47</v>
      </c>
      <c r="P253" s="1954">
        <f>VLOOKUP($A253,satpek!$B$20:$L$138,10,0)</f>
        <v>95558.981100000005</v>
      </c>
      <c r="Q253" s="1952">
        <f t="shared" si="238"/>
        <v>2029571.28</v>
      </c>
      <c r="R253" s="1952">
        <f t="shared" si="239"/>
        <v>2293415.5686048162</v>
      </c>
      <c r="S253" s="1955">
        <f t="shared" si="240"/>
        <v>185414.83139518369</v>
      </c>
      <c r="V253" s="1956">
        <v>24</v>
      </c>
      <c r="W253" s="1956"/>
      <c r="X253" s="1956">
        <f t="shared" si="197"/>
        <v>0</v>
      </c>
      <c r="Y253" s="1836" t="s">
        <v>459</v>
      </c>
      <c r="AC253" s="1836"/>
      <c r="AD253" s="1836"/>
      <c r="AE253" s="1836"/>
      <c r="AF253" s="1837">
        <v>106247.69</v>
      </c>
      <c r="AG253" s="1960">
        <f t="shared" si="198"/>
        <v>2963.0899999999965</v>
      </c>
    </row>
    <row r="254" spans="1:33" ht="21.95" customHeight="1" x14ac:dyDescent="0.2">
      <c r="B254" s="2162">
        <v>3</v>
      </c>
      <c r="C254" s="2033"/>
      <c r="D254" s="2034" t="s">
        <v>1859</v>
      </c>
      <c r="E254" s="2035"/>
      <c r="F254" s="2036"/>
      <c r="G254" s="1945"/>
      <c r="H254" s="2037"/>
      <c r="I254" s="2038"/>
      <c r="J254" s="1951"/>
      <c r="K254" s="2041"/>
      <c r="L254" s="2042"/>
      <c r="M254" s="1997"/>
      <c r="N254" s="2466"/>
      <c r="O254" s="2040"/>
      <c r="P254" s="2040"/>
      <c r="Q254" s="2038"/>
      <c r="R254" s="2043"/>
      <c r="S254" s="2044"/>
      <c r="V254" s="1956"/>
      <c r="W254" s="1956"/>
      <c r="X254" s="1956">
        <f t="shared" si="197"/>
        <v>0</v>
      </c>
      <c r="Y254" s="1836" t="s">
        <v>1859</v>
      </c>
      <c r="AC254" s="1836"/>
      <c r="AD254" s="1836"/>
      <c r="AE254" s="1836"/>
      <c r="AF254" s="1837"/>
      <c r="AG254" s="1960">
        <f t="shared" si="198"/>
        <v>0</v>
      </c>
    </row>
    <row r="255" spans="1:33" ht="21.95" customHeight="1" x14ac:dyDescent="0.2">
      <c r="A255" s="1833">
        <f>satpek!$B$79</f>
        <v>60</v>
      </c>
      <c r="B255" s="1943">
        <v>1</v>
      </c>
      <c r="C255" s="1937"/>
      <c r="D255" s="1944" t="str">
        <f>VLOOKUP($A255,satpek!$B$20:$N$144,2,0)</f>
        <v>Memasang pipa PVC tipe AW diameter 4"</v>
      </c>
      <c r="E255" s="1944"/>
      <c r="F255" s="2004"/>
      <c r="G255" s="1945">
        <f>'[3]B.VOL RAB'!Q592</f>
        <v>24</v>
      </c>
      <c r="H255" s="2456" t="str">
        <f>VLOOKUP($A255,satpek!$B$20:$N$144,7,0)</f>
        <v>m'</v>
      </c>
      <c r="I255" s="2457" t="str">
        <f>VLOOKUP($A255,satpek!$B$20:$N$144,5,0)</f>
        <v>A.5.1.1.32.</v>
      </c>
      <c r="J255" s="1951">
        <f>VLOOKUP($A255,satpek!$B$20:$N$144,6,0)</f>
        <v>167743.75</v>
      </c>
      <c r="K255" s="1938"/>
      <c r="L255" s="1952">
        <f t="shared" ref="L255" si="241">ROUND((G255*J255),2)</f>
        <v>4025850</v>
      </c>
      <c r="M255" s="1967"/>
      <c r="N255" s="2458">
        <f>VLOOKUP($A255,satpek!$B$20:$L$138,8,0)</f>
        <v>0.91674479843821799</v>
      </c>
      <c r="O255" s="1954">
        <f>VLOOKUP($A255,satpek!$B$20:$L$138,9,0)</f>
        <v>136086.91500000001</v>
      </c>
      <c r="P255" s="1954">
        <f>VLOOKUP($A255,satpek!$B$20:$L$138,10,0)</f>
        <v>153778.21395</v>
      </c>
      <c r="Q255" s="1952">
        <f t="shared" ref="Q255" si="242">O255*G255</f>
        <v>3266085.96</v>
      </c>
      <c r="R255" s="1952">
        <f t="shared" ref="R255" si="243">N255*L255</f>
        <v>3690677.0467924997</v>
      </c>
      <c r="S255" s="1955">
        <f t="shared" ref="S255" si="244">L255-R255</f>
        <v>335172.95320750028</v>
      </c>
      <c r="V255" s="1956">
        <v>24</v>
      </c>
      <c r="W255" s="1956"/>
      <c r="X255" s="1956">
        <f t="shared" si="197"/>
        <v>0</v>
      </c>
      <c r="Y255" s="1836" t="s">
        <v>460</v>
      </c>
      <c r="AC255" s="1836"/>
      <c r="AD255" s="1836"/>
      <c r="AE255" s="1836"/>
      <c r="AF255" s="1837">
        <v>173522.24</v>
      </c>
      <c r="AG255" s="1960">
        <f t="shared" si="198"/>
        <v>5778.4899999999907</v>
      </c>
    </row>
    <row r="256" spans="1:33" ht="21.95" customHeight="1" x14ac:dyDescent="0.2">
      <c r="B256" s="2162">
        <v>4</v>
      </c>
      <c r="C256" s="2033"/>
      <c r="D256" s="2034" t="s">
        <v>1860</v>
      </c>
      <c r="E256" s="2035"/>
      <c r="F256" s="2036"/>
      <c r="G256" s="1945"/>
      <c r="H256" s="2037"/>
      <c r="I256" s="2038"/>
      <c r="J256" s="1951"/>
      <c r="K256" s="2041"/>
      <c r="L256" s="2042"/>
      <c r="M256" s="1997"/>
      <c r="N256" s="2466"/>
      <c r="O256" s="2040"/>
      <c r="P256" s="2040"/>
      <c r="Q256" s="2038"/>
      <c r="R256" s="2043"/>
      <c r="S256" s="2044"/>
      <c r="V256" s="1956"/>
      <c r="W256" s="1956"/>
      <c r="X256" s="1956">
        <f t="shared" si="197"/>
        <v>0</v>
      </c>
      <c r="Y256" s="1836" t="s">
        <v>1860</v>
      </c>
      <c r="AC256" s="1836"/>
      <c r="AD256" s="1836"/>
      <c r="AE256" s="1836"/>
      <c r="AF256" s="1837"/>
      <c r="AG256" s="1960">
        <f t="shared" si="198"/>
        <v>0</v>
      </c>
    </row>
    <row r="257" spans="1:33" ht="21" customHeight="1" x14ac:dyDescent="0.2">
      <c r="A257" s="1833">
        <f>satpek!$B$79</f>
        <v>60</v>
      </c>
      <c r="B257" s="1943">
        <v>1</v>
      </c>
      <c r="C257" s="1937"/>
      <c r="D257" s="1944" t="str">
        <f>VLOOKUP($A257,satpek!$B$20:$N$144,2,0)</f>
        <v>Memasang pipa PVC tipe AW diameter 4"</v>
      </c>
      <c r="E257" s="1944"/>
      <c r="F257" s="2004"/>
      <c r="G257" s="1945">
        <f>'[3]B.VOL RAB'!Q594</f>
        <v>102</v>
      </c>
      <c r="H257" s="2456" t="str">
        <f>VLOOKUP($A257,satpek!$B$20:$N$144,7,0)</f>
        <v>m'</v>
      </c>
      <c r="I257" s="2457" t="str">
        <f>VLOOKUP($A257,satpek!$B$20:$N$144,5,0)</f>
        <v>A.5.1.1.32.</v>
      </c>
      <c r="J257" s="1951">
        <f>VLOOKUP($A257,satpek!$B$20:$N$144,6,0)</f>
        <v>167743.75</v>
      </c>
      <c r="K257" s="1938"/>
      <c r="L257" s="1952">
        <f t="shared" ref="L257" si="245">ROUND((G257*J257),2)</f>
        <v>17109862.5</v>
      </c>
      <c r="M257" s="1967"/>
      <c r="N257" s="2458">
        <f>VLOOKUP($A257,satpek!$B$20:$L$138,8,0)</f>
        <v>0.91674479843821799</v>
      </c>
      <c r="O257" s="1954">
        <f>VLOOKUP($A257,satpek!$B$20:$L$138,9,0)</f>
        <v>136086.91500000001</v>
      </c>
      <c r="P257" s="1954">
        <f>VLOOKUP($A257,satpek!$B$20:$L$138,10,0)</f>
        <v>153778.21395</v>
      </c>
      <c r="Q257" s="1952">
        <f t="shared" ref="Q257" si="246">O257*G257</f>
        <v>13880865.33</v>
      </c>
      <c r="R257" s="1952">
        <f t="shared" ref="R257" si="247">N257*L257</f>
        <v>15685377.448868124</v>
      </c>
      <c r="S257" s="1955">
        <f t="shared" ref="S257" si="248">L257-R257</f>
        <v>1424485.0511318762</v>
      </c>
      <c r="V257" s="1956">
        <v>102</v>
      </c>
      <c r="W257" s="1956"/>
      <c r="X257" s="1956">
        <f t="shared" si="197"/>
        <v>0</v>
      </c>
      <c r="Y257" s="1836" t="s">
        <v>460</v>
      </c>
      <c r="AC257" s="1836"/>
      <c r="AD257" s="1836"/>
      <c r="AE257" s="1836"/>
      <c r="AF257" s="1837">
        <v>173522.24</v>
      </c>
      <c r="AG257" s="1960">
        <f t="shared" si="198"/>
        <v>5778.4899999999907</v>
      </c>
    </row>
    <row r="258" spans="1:33" ht="21.95" customHeight="1" x14ac:dyDescent="0.2">
      <c r="B258" s="2162">
        <v>5</v>
      </c>
      <c r="C258" s="2033"/>
      <c r="D258" s="2034" t="s">
        <v>1861</v>
      </c>
      <c r="E258" s="2035"/>
      <c r="F258" s="2036"/>
      <c r="G258" s="1945"/>
      <c r="H258" s="2037"/>
      <c r="I258" s="2038"/>
      <c r="J258" s="1997"/>
      <c r="K258" s="2041"/>
      <c r="L258" s="2042"/>
      <c r="M258" s="1997"/>
      <c r="N258" s="2466"/>
      <c r="O258" s="2040"/>
      <c r="P258" s="2040"/>
      <c r="Q258" s="2038"/>
      <c r="R258" s="2043"/>
      <c r="S258" s="2044"/>
      <c r="V258" s="1956"/>
      <c r="W258" s="1956"/>
      <c r="X258" s="1956">
        <f t="shared" si="197"/>
        <v>0</v>
      </c>
      <c r="Y258" s="1836" t="s">
        <v>1861</v>
      </c>
      <c r="AC258" s="1836"/>
      <c r="AD258" s="1836"/>
      <c r="AE258" s="1836"/>
      <c r="AF258" s="1837"/>
      <c r="AG258" s="1960">
        <f t="shared" si="198"/>
        <v>0</v>
      </c>
    </row>
    <row r="259" spans="1:33" ht="21.95" customHeight="1" x14ac:dyDescent="0.2">
      <c r="A259" s="1833">
        <f>satpek!B69</f>
        <v>50</v>
      </c>
      <c r="B259" s="1943">
        <v>1</v>
      </c>
      <c r="C259" s="1937"/>
      <c r="D259" s="1944" t="str">
        <f>VLOOKUP($A259,satpek!$B$20:$N$144,2,0)</f>
        <v>Memasang kloset duduk/monoblok dan aksesoris</v>
      </c>
      <c r="E259" s="1944"/>
      <c r="F259" s="2004"/>
      <c r="G259" s="1945">
        <f>'[3]B.VOL RAB'!Q596</f>
        <v>7</v>
      </c>
      <c r="H259" s="2456" t="str">
        <f>VLOOKUP($A259,satpek!$B$20:$N$144,7,0)</f>
        <v>bh</v>
      </c>
      <c r="I259" s="2457" t="str">
        <f>VLOOKUP($A259,satpek!$B$20:$N$144,5,0)</f>
        <v>A.5.1.1.1.</v>
      </c>
      <c r="J259" s="1951">
        <f>VLOOKUP($A259,satpek!$B$20:$N$144,6,0)</f>
        <v>3373897.5</v>
      </c>
      <c r="K259" s="1938"/>
      <c r="L259" s="1952">
        <f t="shared" ref="L259:L262" si="249">ROUND((G259*J259),2)</f>
        <v>23617282.5</v>
      </c>
      <c r="M259" s="1967"/>
      <c r="N259" s="2458">
        <f>VLOOKUP($A259,satpek!$B$20:$L$138,8,0)</f>
        <v>0.46447123838231602</v>
      </c>
      <c r="O259" s="1954">
        <f>VLOOKUP($A259,satpek!$B$20:$L$138,9,0)</f>
        <v>1386795</v>
      </c>
      <c r="P259" s="1954">
        <f>VLOOKUP($A259,satpek!$B$20:$L$138,10,0)</f>
        <v>1567078.35</v>
      </c>
      <c r="Q259" s="1952">
        <f t="shared" ref="Q259:Q264" si="250">O259*G259</f>
        <v>9707565</v>
      </c>
      <c r="R259" s="1952">
        <f t="shared" ref="R259:R264" si="251">N259*L259</f>
        <v>10969548.450000001</v>
      </c>
      <c r="S259" s="1955">
        <f t="shared" ref="S259:S264" si="252">L259-R259</f>
        <v>12647734.049999999</v>
      </c>
      <c r="V259" s="1956">
        <v>7</v>
      </c>
      <c r="W259" s="1956"/>
      <c r="X259" s="1956">
        <f t="shared" si="197"/>
        <v>0</v>
      </c>
      <c r="Y259" s="1836" t="s">
        <v>1848</v>
      </c>
      <c r="AC259" s="1836"/>
      <c r="AD259" s="1836"/>
      <c r="AE259" s="1836"/>
      <c r="AF259" s="1837">
        <v>3359184.9</v>
      </c>
      <c r="AG259" s="1960">
        <f t="shared" si="198"/>
        <v>-14712.600000000093</v>
      </c>
    </row>
    <row r="260" spans="1:33" ht="21.95" customHeight="1" x14ac:dyDescent="0.2">
      <c r="A260" s="1833">
        <f>satpek!B71</f>
        <v>52</v>
      </c>
      <c r="B260" s="1943">
        <f>B259+1</f>
        <v>2</v>
      </c>
      <c r="C260" s="1937"/>
      <c r="D260" s="1944" t="str">
        <f>VLOOKUP($A260,satpek!$B$20:$N$144,2,0)</f>
        <v>Memasang wastafel lengkap sifon stainless</v>
      </c>
      <c r="E260" s="1944"/>
      <c r="F260" s="2004"/>
      <c r="G260" s="1945">
        <f>'[3]B.VOL RAB'!Q597</f>
        <v>4</v>
      </c>
      <c r="H260" s="2456" t="str">
        <f>VLOOKUP($A260,satpek!$B$20:$N$144,7,0)</f>
        <v>bh</v>
      </c>
      <c r="I260" s="2457" t="str">
        <f>VLOOKUP($A260,satpek!$B$20:$N$144,5,0)</f>
        <v>A.5.1.1.5.</v>
      </c>
      <c r="J260" s="1951">
        <f>VLOOKUP($A260,satpek!$B$20:$N$144,6,0)</f>
        <v>1376407.8</v>
      </c>
      <c r="K260" s="1938"/>
      <c r="L260" s="1952">
        <f t="shared" si="249"/>
        <v>5505631.2000000002</v>
      </c>
      <c r="M260" s="1967"/>
      <c r="N260" s="2458">
        <f>VLOOKUP($A260,satpek!$B$20:$L$138,8,0)</f>
        <v>0.71936118089420875</v>
      </c>
      <c r="O260" s="1954">
        <f>VLOOKUP($A260,satpek!$B$20:$L$138,9,0)</f>
        <v>876225.08</v>
      </c>
      <c r="P260" s="1954">
        <f>VLOOKUP($A260,satpek!$B$20:$L$138,10,0)</f>
        <v>990134.34039999999</v>
      </c>
      <c r="Q260" s="1952">
        <f t="shared" si="250"/>
        <v>3504900.32</v>
      </c>
      <c r="R260" s="1952">
        <f t="shared" si="251"/>
        <v>3960537.3615999999</v>
      </c>
      <c r="S260" s="1955">
        <f t="shared" si="252"/>
        <v>1545093.8384000002</v>
      </c>
      <c r="V260" s="1956">
        <v>4</v>
      </c>
      <c r="W260" s="1956"/>
      <c r="X260" s="1956">
        <f t="shared" si="197"/>
        <v>0</v>
      </c>
      <c r="Y260" s="1836" t="s">
        <v>1849</v>
      </c>
      <c r="AC260" s="1836"/>
      <c r="AD260" s="1836"/>
      <c r="AE260" s="1836"/>
      <c r="AF260" s="1837">
        <v>1003649.05</v>
      </c>
      <c r="AG260" s="1960">
        <f t="shared" si="198"/>
        <v>-372758.75</v>
      </c>
    </row>
    <row r="261" spans="1:33" ht="21.95" customHeight="1" x14ac:dyDescent="0.2">
      <c r="A261" s="1833">
        <f>satpek!B72</f>
        <v>53</v>
      </c>
      <c r="B261" s="1943">
        <f>B260+1</f>
        <v>3</v>
      </c>
      <c r="C261" s="1937"/>
      <c r="D261" s="1944" t="str">
        <f>VLOOKUP($A261,satpek!$B$20:$N$144,2,0)</f>
        <v>Memasang floor drain stainless</v>
      </c>
      <c r="E261" s="1944"/>
      <c r="F261" s="2004"/>
      <c r="G261" s="1945">
        <f>'[3]B.VOL RAB'!Q598</f>
        <v>9</v>
      </c>
      <c r="H261" s="2456" t="str">
        <f>VLOOKUP($A261,satpek!$B$20:$N$144,7,0)</f>
        <v>bh</v>
      </c>
      <c r="I261" s="2457" t="str">
        <f>VLOOKUP($A261,satpek!$B$20:$N$144,5,0)</f>
        <v>A.5.1.1.14.</v>
      </c>
      <c r="J261" s="1951">
        <f>VLOOKUP($A261,satpek!$B$20:$N$144,6,0)</f>
        <v>120111.09</v>
      </c>
      <c r="K261" s="1938"/>
      <c r="L261" s="1952">
        <f t="shared" si="249"/>
        <v>1080999.81</v>
      </c>
      <c r="M261" s="1967"/>
      <c r="N261" s="2458">
        <f>VLOOKUP($A261,satpek!$B$20:$L$138,8,0)</f>
        <v>0.10624406122698578</v>
      </c>
      <c r="O261" s="1954">
        <f>VLOOKUP($A261,satpek!$B$20:$L$138,9,0)</f>
        <v>11293</v>
      </c>
      <c r="P261" s="1954">
        <f>VLOOKUP($A261,satpek!$B$20:$L$138,10,0)</f>
        <v>12761.09</v>
      </c>
      <c r="Q261" s="1952">
        <f t="shared" si="250"/>
        <v>101637</v>
      </c>
      <c r="R261" s="1952">
        <f t="shared" si="251"/>
        <v>114849.81</v>
      </c>
      <c r="S261" s="1955">
        <f t="shared" si="252"/>
        <v>966150</v>
      </c>
      <c r="V261" s="1956">
        <v>9</v>
      </c>
      <c r="W261" s="1956"/>
      <c r="X261" s="1956">
        <f t="shared" si="197"/>
        <v>0</v>
      </c>
      <c r="Y261" s="1836" t="s">
        <v>1915</v>
      </c>
      <c r="AC261" s="1836"/>
      <c r="AD261" s="1836"/>
      <c r="AE261" s="1836"/>
      <c r="AF261" s="1837">
        <v>103903.5</v>
      </c>
      <c r="AG261" s="1960">
        <f t="shared" si="198"/>
        <v>-16207.589999999997</v>
      </c>
    </row>
    <row r="262" spans="1:33" ht="21.95" customHeight="1" x14ac:dyDescent="0.2">
      <c r="A262" s="1833">
        <f>satpek!B82</f>
        <v>63</v>
      </c>
      <c r="B262" s="1943">
        <f>B261+1</f>
        <v>4</v>
      </c>
      <c r="C262" s="1937"/>
      <c r="D262" s="1944" t="str">
        <f>VLOOKUP($A262,satpek!$B$20:$N$144,2,0)</f>
        <v>Memasang kran diameter 1/2", onda stainless</v>
      </c>
      <c r="E262" s="1944"/>
      <c r="F262" s="2004"/>
      <c r="G262" s="1945">
        <f>'[3]B.VOL RAB'!Q599</f>
        <v>7</v>
      </c>
      <c r="H262" s="2456" t="str">
        <f>VLOOKUP($A262,satpek!$B$20:$N$144,7,0)</f>
        <v>bh</v>
      </c>
      <c r="I262" s="2457" t="str">
        <f>VLOOKUP($A262,satpek!$B$20:$N$144,5,0)</f>
        <v>A.5.1.1.19.</v>
      </c>
      <c r="J262" s="1951">
        <f>VLOOKUP($A262,satpek!$B$20:$N$144,6,0)</f>
        <v>170986.52</v>
      </c>
      <c r="K262" s="1938"/>
      <c r="L262" s="1952">
        <f t="shared" si="249"/>
        <v>1196905.6399999999</v>
      </c>
      <c r="M262" s="1967"/>
      <c r="N262" s="2458">
        <f>VLOOKUP($A262,satpek!$B$20:$L$138,8,0)</f>
        <v>0.95355069374915324</v>
      </c>
      <c r="O262" s="1954">
        <f>VLOOKUP($A262,satpek!$B$20:$L$138,9,0)</f>
        <v>144287</v>
      </c>
      <c r="P262" s="1954">
        <f>VLOOKUP($A262,satpek!$B$20:$L$138,10,0)</f>
        <v>163044.31</v>
      </c>
      <c r="Q262" s="1952">
        <f t="shared" si="250"/>
        <v>1010009</v>
      </c>
      <c r="R262" s="1952">
        <f t="shared" si="251"/>
        <v>1141310.2033742741</v>
      </c>
      <c r="S262" s="1955">
        <f t="shared" si="252"/>
        <v>55595.436625725823</v>
      </c>
      <c r="V262" s="1956">
        <v>7</v>
      </c>
      <c r="W262" s="1956"/>
      <c r="X262" s="1956">
        <f t="shared" si="197"/>
        <v>0</v>
      </c>
      <c r="Y262" s="1836" t="s">
        <v>1916</v>
      </c>
      <c r="AC262" s="1836"/>
      <c r="AD262" s="1836"/>
      <c r="AE262" s="1836"/>
      <c r="AF262" s="1837">
        <v>104041.93</v>
      </c>
      <c r="AG262" s="1960">
        <f t="shared" si="198"/>
        <v>-66944.59</v>
      </c>
    </row>
    <row r="263" spans="1:33" ht="21.95" customHeight="1" x14ac:dyDescent="0.2">
      <c r="A263" s="1833">
        <f>satpek!B123</f>
        <v>102</v>
      </c>
      <c r="B263" s="1943">
        <f>B262+1</f>
        <v>5</v>
      </c>
      <c r="C263" s="1937"/>
      <c r="D263" s="1944" t="str">
        <f>VLOOKUP($A263,satpek!$B$20:$N$144,2,0)</f>
        <v>Torn kapasitas 1000ltr+radar otomatis</v>
      </c>
      <c r="E263" s="1944"/>
      <c r="F263" s="2004"/>
      <c r="G263" s="1945">
        <f>'[3]B.VOL RAB'!Q600</f>
        <v>2</v>
      </c>
      <c r="H263" s="2456" t="str">
        <f>VLOOKUP($A263,satpek!$B$20:$N$144,7,0)</f>
        <v>unit</v>
      </c>
      <c r="I263" s="2457" t="str">
        <f>VLOOKUP($A263,satpek!$B$20:$N$144,5,0)</f>
        <v>Daftar harga</v>
      </c>
      <c r="J263" s="1951">
        <f>VLOOKUP($A263,satpek!$B$20:$N$144,6,0)</f>
        <v>2250000</v>
      </c>
      <c r="K263" s="1938"/>
      <c r="L263" s="1952">
        <f t="shared" ref="L263" si="253">ROUND((G263*J263),2)</f>
        <v>4500000</v>
      </c>
      <c r="M263" s="1967"/>
      <c r="N263" s="2458">
        <f>VLOOKUP($A263,satpek!$B$20:$L$138,8,0)</f>
        <v>0.2</v>
      </c>
      <c r="O263" s="1954">
        <f>VLOOKUP($A263,satpek!$B$20:$L$138,9,0)</f>
        <v>0</v>
      </c>
      <c r="P263" s="1954">
        <f>VLOOKUP($A263,satpek!$B$20:$L$138,10,0)</f>
        <v>450000</v>
      </c>
      <c r="Q263" s="1952">
        <f t="shared" si="250"/>
        <v>0</v>
      </c>
      <c r="R263" s="1952">
        <f t="shared" si="251"/>
        <v>900000</v>
      </c>
      <c r="S263" s="1955">
        <f t="shared" si="252"/>
        <v>3600000</v>
      </c>
      <c r="V263" s="1956">
        <v>2</v>
      </c>
      <c r="W263" s="1956"/>
      <c r="X263" s="1956">
        <f t="shared" si="197"/>
        <v>0</v>
      </c>
      <c r="Y263" s="1836" t="s">
        <v>1862</v>
      </c>
      <c r="AC263" s="1836"/>
      <c r="AD263" s="1836"/>
      <c r="AE263" s="1836"/>
      <c r="AF263" s="1837">
        <v>2050000</v>
      </c>
      <c r="AG263" s="1960">
        <f t="shared" si="198"/>
        <v>-200000</v>
      </c>
    </row>
    <row r="264" spans="1:33" ht="21.95" customHeight="1" x14ac:dyDescent="0.2">
      <c r="A264" s="1833">
        <f>A261</f>
        <v>53</v>
      </c>
      <c r="B264" s="1943">
        <f>B263+1</f>
        <v>6</v>
      </c>
      <c r="C264" s="1937"/>
      <c r="D264" s="1944" t="s">
        <v>1968</v>
      </c>
      <c r="E264" s="1944"/>
      <c r="F264" s="2004"/>
      <c r="G264" s="1945">
        <f>'[3]B.VOL RAB'!Q601</f>
        <v>12</v>
      </c>
      <c r="H264" s="2456" t="str">
        <f>VLOOKUP($A264,satpek!$B$20:$N$144,7,0)</f>
        <v>bh</v>
      </c>
      <c r="I264" s="2457" t="str">
        <f>VLOOKUP($A264,satpek!$B$20:$N$144,5,0)</f>
        <v>A.5.1.1.14.</v>
      </c>
      <c r="J264" s="1951">
        <f>VLOOKUP($A264,satpek!$B$20:$N$144,6,0)</f>
        <v>120111.09</v>
      </c>
      <c r="K264" s="1938"/>
      <c r="L264" s="1952">
        <f t="shared" ref="L264" si="254">ROUND((G264*J264),2)</f>
        <v>1441333.08</v>
      </c>
      <c r="M264" s="1967"/>
      <c r="N264" s="2458">
        <f>VLOOKUP($A264,satpek!$B$20:$L$138,8,0)</f>
        <v>0.10624406122698578</v>
      </c>
      <c r="O264" s="1954">
        <f>VLOOKUP($A264,satpek!$B$20:$L$138,9,0)</f>
        <v>11293</v>
      </c>
      <c r="P264" s="1954">
        <f>VLOOKUP($A264,satpek!$B$20:$L$138,10,0)</f>
        <v>12761.09</v>
      </c>
      <c r="Q264" s="1952">
        <f t="shared" si="250"/>
        <v>135516</v>
      </c>
      <c r="R264" s="1952">
        <f t="shared" si="251"/>
        <v>153133.07999999999</v>
      </c>
      <c r="S264" s="1955">
        <f t="shared" si="252"/>
        <v>1288200</v>
      </c>
      <c r="V264" s="1956">
        <v>12</v>
      </c>
      <c r="W264" s="1956"/>
      <c r="X264" s="1956">
        <f t="shared" si="197"/>
        <v>0</v>
      </c>
      <c r="Y264" s="1836" t="s">
        <v>1863</v>
      </c>
      <c r="AC264" s="1836"/>
      <c r="AD264" s="1836"/>
      <c r="AE264" s="1836"/>
      <c r="AF264" s="1837">
        <v>174300.72</v>
      </c>
      <c r="AG264" s="1960">
        <f t="shared" si="198"/>
        <v>54189.630000000005</v>
      </c>
    </row>
    <row r="265" spans="1:33" ht="21.95" customHeight="1" x14ac:dyDescent="0.2">
      <c r="B265" s="2017"/>
      <c r="C265" s="2018"/>
      <c r="D265" s="2019"/>
      <c r="E265" s="2019"/>
      <c r="F265" s="2020"/>
      <c r="G265" s="2021"/>
      <c r="H265" s="2461"/>
      <c r="I265" s="2462"/>
      <c r="J265" s="2026" t="s">
        <v>358</v>
      </c>
      <c r="K265" s="2027"/>
      <c r="L265" s="2065" t="s">
        <v>1840</v>
      </c>
      <c r="M265" s="2463">
        <f>SUM(L222:L265)</f>
        <v>152781003.22999999</v>
      </c>
      <c r="N265" s="2464">
        <f>R265/M265</f>
        <v>0.53325252711245907</v>
      </c>
      <c r="O265" s="2025"/>
      <c r="P265" s="2025"/>
      <c r="Q265" s="2023"/>
      <c r="R265" s="2068">
        <f>SUM(R221:R264)</f>
        <v>81470856.067174271</v>
      </c>
      <c r="S265" s="2467">
        <f>SUM(S222:S264)</f>
        <v>71310147.162825733</v>
      </c>
      <c r="U265" s="1848">
        <f>M265-T265</f>
        <v>152781003.22999999</v>
      </c>
      <c r="V265" s="1956"/>
      <c r="W265" s="1956"/>
      <c r="X265" s="1956">
        <f t="shared" si="197"/>
        <v>0</v>
      </c>
      <c r="Y265" s="2174"/>
      <c r="AC265" s="1836"/>
      <c r="AD265" s="1836"/>
      <c r="AE265" s="1836"/>
      <c r="AF265" s="1837" t="s">
        <v>358</v>
      </c>
      <c r="AG265" s="1960" t="e">
        <f t="shared" si="198"/>
        <v>#VALUE!</v>
      </c>
    </row>
    <row r="266" spans="1:33" ht="21.95" customHeight="1" x14ac:dyDescent="0.2">
      <c r="B266" s="1927" t="s">
        <v>1864</v>
      </c>
      <c r="C266" s="2033"/>
      <c r="D266" s="2034" t="s">
        <v>1865</v>
      </c>
      <c r="E266" s="2035"/>
      <c r="F266" s="2036"/>
      <c r="G266" s="1945"/>
      <c r="H266" s="2037"/>
      <c r="I266" s="2038"/>
      <c r="J266" s="1997"/>
      <c r="K266" s="2041"/>
      <c r="L266" s="2042"/>
      <c r="M266" s="1997"/>
      <c r="N266" s="2466"/>
      <c r="O266" s="2040"/>
      <c r="P266" s="2040"/>
      <c r="Q266" s="2038"/>
      <c r="R266" s="2043"/>
      <c r="S266" s="2044"/>
      <c r="V266" s="1956"/>
      <c r="W266" s="1956"/>
      <c r="X266" s="1956">
        <f t="shared" si="197"/>
        <v>0</v>
      </c>
      <c r="Y266" s="1836" t="s">
        <v>1865</v>
      </c>
      <c r="AC266" s="1836"/>
      <c r="AD266" s="1836"/>
      <c r="AE266" s="1836"/>
      <c r="AF266" s="1837"/>
      <c r="AG266" s="1960">
        <f t="shared" si="198"/>
        <v>0</v>
      </c>
    </row>
    <row r="267" spans="1:33" ht="21.95" customHeight="1" x14ac:dyDescent="0.2">
      <c r="B267" s="1927"/>
      <c r="C267" s="2033"/>
      <c r="D267" s="2034" t="s">
        <v>1769</v>
      </c>
      <c r="E267" s="2035"/>
      <c r="F267" s="2036"/>
      <c r="G267" s="1945"/>
      <c r="H267" s="2037"/>
      <c r="I267" s="2038"/>
      <c r="J267" s="1997"/>
      <c r="K267" s="2041"/>
      <c r="L267" s="2042"/>
      <c r="M267" s="1997"/>
      <c r="N267" s="2466"/>
      <c r="O267" s="2040"/>
      <c r="P267" s="2040"/>
      <c r="Q267" s="2038"/>
      <c r="R267" s="2043"/>
      <c r="S267" s="2044"/>
      <c r="V267" s="1956"/>
      <c r="W267" s="1956"/>
      <c r="X267" s="1956">
        <f t="shared" si="197"/>
        <v>0</v>
      </c>
      <c r="Y267" s="1836" t="s">
        <v>1769</v>
      </c>
      <c r="AC267" s="1836"/>
      <c r="AD267" s="1836"/>
      <c r="AE267" s="1836"/>
      <c r="AF267" s="1837"/>
      <c r="AG267" s="1960">
        <f t="shared" si="198"/>
        <v>0</v>
      </c>
    </row>
    <row r="268" spans="1:33" ht="21.95" customHeight="1" x14ac:dyDescent="0.2">
      <c r="A268" s="1833">
        <f>satpek!B124</f>
        <v>103</v>
      </c>
      <c r="B268" s="1943">
        <v>1</v>
      </c>
      <c r="C268" s="1937"/>
      <c r="D268" s="1944" t="str">
        <f>VLOOKUP($A268,satpek!$B$20:$N$144,2,0)</f>
        <v>Penyambungan Daya PLN Tegangan Rendah (TR) 3 phase 44 KVA</v>
      </c>
      <c r="E268" s="2035"/>
      <c r="F268" s="2036"/>
      <c r="G268" s="1945">
        <f>'[3]B.VOL RAB'!Q606</f>
        <v>44000</v>
      </c>
      <c r="H268" s="2456" t="str">
        <f>VLOOKUP($A268,satpek!$B$20:$N$144,7,0)</f>
        <v>va</v>
      </c>
      <c r="I268" s="2457" t="str">
        <f>VLOOKUP($A268,satpek!$B$20:$N$144,5,0)</f>
        <v>Daftar harga</v>
      </c>
      <c r="J268" s="1951">
        <f>VLOOKUP($A268,satpek!$B$20:$N$144,6,0)</f>
        <v>1564.5</v>
      </c>
      <c r="K268" s="1938"/>
      <c r="L268" s="1952">
        <f t="shared" ref="L268" si="255">ROUND((G268*J268),2)</f>
        <v>68838000</v>
      </c>
      <c r="M268" s="1997"/>
      <c r="N268" s="2458">
        <f>VLOOKUP($A268,satpek!$B$20:$L$138,8,0)</f>
        <v>0.2</v>
      </c>
      <c r="O268" s="1954">
        <f>VLOOKUP($A268,satpek!$B$20:$L$138,9,0)</f>
        <v>0</v>
      </c>
      <c r="P268" s="1954">
        <f>VLOOKUP($A268,satpek!$B$20:$L$138,10,0)</f>
        <v>312.90000000000003</v>
      </c>
      <c r="Q268" s="1952">
        <f t="shared" ref="Q268" si="256">O268*G268</f>
        <v>0</v>
      </c>
      <c r="R268" s="1952">
        <f t="shared" ref="R268" si="257">N268*L268</f>
        <v>13767600</v>
      </c>
      <c r="S268" s="1955">
        <f t="shared" ref="S268" si="258">L268-R268</f>
        <v>55070400</v>
      </c>
      <c r="V268" s="1956">
        <v>44000</v>
      </c>
      <c r="W268" s="1956"/>
      <c r="X268" s="1956">
        <f t="shared" si="197"/>
        <v>0</v>
      </c>
      <c r="Y268" s="1836" t="s">
        <v>1866</v>
      </c>
      <c r="AC268" s="1836"/>
      <c r="AD268" s="1836"/>
      <c r="AE268" s="1836"/>
      <c r="AF268" s="1837">
        <v>1350</v>
      </c>
      <c r="AG268" s="1960">
        <f t="shared" si="198"/>
        <v>-214.5</v>
      </c>
    </row>
    <row r="269" spans="1:33" ht="21.95" customHeight="1" x14ac:dyDescent="0.2">
      <c r="B269" s="1943"/>
      <c r="C269" s="1937" t="s">
        <v>1566</v>
      </c>
      <c r="D269" s="1944" t="s">
        <v>1868</v>
      </c>
      <c r="E269" s="2035"/>
      <c r="F269" s="2036"/>
      <c r="G269" s="1945"/>
      <c r="H269" s="2037"/>
      <c r="I269" s="2038" t="s">
        <v>1854</v>
      </c>
      <c r="J269" s="1997"/>
      <c r="K269" s="2041"/>
      <c r="L269" s="2042"/>
      <c r="M269" s="1997"/>
      <c r="N269" s="2466"/>
      <c r="O269" s="2040"/>
      <c r="P269" s="2040"/>
      <c r="Q269" s="2038"/>
      <c r="R269" s="2043"/>
      <c r="S269" s="2044"/>
      <c r="V269" s="1956"/>
      <c r="W269" s="1956"/>
      <c r="X269" s="1956">
        <f t="shared" si="197"/>
        <v>0</v>
      </c>
      <c r="Y269" s="1836" t="s">
        <v>1868</v>
      </c>
      <c r="AC269" s="1836"/>
      <c r="AD269" s="1836"/>
      <c r="AE269" s="1836"/>
      <c r="AF269" s="1837"/>
      <c r="AG269" s="1960">
        <f t="shared" si="198"/>
        <v>0</v>
      </c>
    </row>
    <row r="270" spans="1:33" ht="21.95" customHeight="1" x14ac:dyDescent="0.2">
      <c r="B270" s="1943"/>
      <c r="C270" s="1937" t="s">
        <v>1569</v>
      </c>
      <c r="D270" s="1944" t="s">
        <v>1869</v>
      </c>
      <c r="E270" s="2035"/>
      <c r="F270" s="2036"/>
      <c r="G270" s="1945"/>
      <c r="H270" s="2037"/>
      <c r="I270" s="2038" t="s">
        <v>1854</v>
      </c>
      <c r="J270" s="1997"/>
      <c r="K270" s="2041"/>
      <c r="L270" s="2042"/>
      <c r="M270" s="1997"/>
      <c r="N270" s="2466"/>
      <c r="O270" s="2040"/>
      <c r="P270" s="2040"/>
      <c r="Q270" s="2038"/>
      <c r="R270" s="2043"/>
      <c r="S270" s="2044"/>
      <c r="V270" s="1956"/>
      <c r="W270" s="1956"/>
      <c r="X270" s="1956">
        <f t="shared" si="197"/>
        <v>0</v>
      </c>
      <c r="Y270" s="1836" t="s">
        <v>1869</v>
      </c>
      <c r="AC270" s="1836"/>
      <c r="AD270" s="1836"/>
      <c r="AE270" s="1836"/>
      <c r="AF270" s="1837"/>
      <c r="AG270" s="1960">
        <f t="shared" si="198"/>
        <v>0</v>
      </c>
    </row>
    <row r="271" spans="1:33" ht="21.95" customHeight="1" x14ac:dyDescent="0.2">
      <c r="B271" s="1943"/>
      <c r="C271" s="1937" t="s">
        <v>1571</v>
      </c>
      <c r="D271" s="1944" t="s">
        <v>1870</v>
      </c>
      <c r="E271" s="2035"/>
      <c r="F271" s="2036"/>
      <c r="G271" s="1945"/>
      <c r="H271" s="2037"/>
      <c r="I271" s="2038" t="s">
        <v>1854</v>
      </c>
      <c r="J271" s="1997"/>
      <c r="K271" s="2041"/>
      <c r="L271" s="2042"/>
      <c r="M271" s="1997"/>
      <c r="N271" s="2466"/>
      <c r="O271" s="2040"/>
      <c r="P271" s="2040"/>
      <c r="Q271" s="2038"/>
      <c r="R271" s="2043"/>
      <c r="S271" s="2044"/>
      <c r="V271" s="1956"/>
      <c r="W271" s="1956"/>
      <c r="X271" s="1956">
        <f t="shared" si="197"/>
        <v>0</v>
      </c>
      <c r="Y271" s="1836" t="s">
        <v>1870</v>
      </c>
      <c r="AC271" s="1836"/>
      <c r="AD271" s="1836"/>
      <c r="AE271" s="1836"/>
      <c r="AF271" s="1837"/>
      <c r="AG271" s="1960">
        <f t="shared" si="198"/>
        <v>0</v>
      </c>
    </row>
    <row r="272" spans="1:33" ht="21.95" customHeight="1" x14ac:dyDescent="0.2">
      <c r="B272" s="1943"/>
      <c r="C272" s="1937" t="s">
        <v>1582</v>
      </c>
      <c r="D272" s="1944" t="s">
        <v>1871</v>
      </c>
      <c r="E272" s="2035"/>
      <c r="F272" s="2036"/>
      <c r="G272" s="1945"/>
      <c r="H272" s="2037"/>
      <c r="I272" s="2038" t="s">
        <v>1854</v>
      </c>
      <c r="J272" s="1997"/>
      <c r="K272" s="2041"/>
      <c r="L272" s="2042"/>
      <c r="M272" s="1997"/>
      <c r="N272" s="2466"/>
      <c r="O272" s="2040"/>
      <c r="P272" s="2040"/>
      <c r="Q272" s="2038"/>
      <c r="R272" s="2043"/>
      <c r="S272" s="2044"/>
      <c r="V272" s="1956"/>
      <c r="W272" s="1956"/>
      <c r="X272" s="1956">
        <f t="shared" si="197"/>
        <v>0</v>
      </c>
      <c r="Y272" s="1836" t="s">
        <v>1871</v>
      </c>
      <c r="AC272" s="1836"/>
      <c r="AD272" s="1836"/>
      <c r="AE272" s="1836"/>
      <c r="AF272" s="1837"/>
      <c r="AG272" s="1960">
        <f t="shared" si="198"/>
        <v>0</v>
      </c>
    </row>
    <row r="273" spans="1:33" ht="21.95" customHeight="1" x14ac:dyDescent="0.2">
      <c r="A273" s="1833">
        <f>satpek!B87</f>
        <v>68</v>
      </c>
      <c r="B273" s="1943">
        <v>2</v>
      </c>
      <c r="C273" s="1937"/>
      <c r="D273" s="1944" t="s">
        <v>1872</v>
      </c>
      <c r="E273" s="1944"/>
      <c r="F273" s="2004"/>
      <c r="G273" s="1945">
        <f>'[3]B.VOL RAB'!Q607</f>
        <v>61.3</v>
      </c>
      <c r="H273" s="2456" t="str">
        <f>VLOOKUP($A273,satpek!$B$20:$N$144,7,0)</f>
        <v>ttk</v>
      </c>
      <c r="I273" s="2457" t="str">
        <f>VLOOKUP($A273,satpek!$B$20:$N$144,5,0)</f>
        <v>An. Dihitung</v>
      </c>
      <c r="J273" s="1951">
        <f>VLOOKUP($A273,satpek!$B$20:$N$144,6,0)</f>
        <v>841092.9</v>
      </c>
      <c r="K273" s="1938"/>
      <c r="L273" s="1952">
        <f t="shared" ref="L273:L274" si="259">ROUND((G273*J273),2)</f>
        <v>51558994.770000003</v>
      </c>
      <c r="M273" s="1967"/>
      <c r="N273" s="2458">
        <f>VLOOKUP($A273,satpek!$B$20:$L$138,8,0)</f>
        <v>0.87338949122029208</v>
      </c>
      <c r="O273" s="1954">
        <f>VLOOKUP($A273,satpek!$B$20:$L$138,9,0)</f>
        <v>650090</v>
      </c>
      <c r="P273" s="1954">
        <f>VLOOKUP($A273,satpek!$B$20:$L$138,10,0)</f>
        <v>734601.7</v>
      </c>
      <c r="Q273" s="1952">
        <f t="shared" ref="Q273:Q292" si="260">O273*G273</f>
        <v>39850517</v>
      </c>
      <c r="R273" s="1952">
        <f t="shared" ref="R273:R292" si="261">N273*L273</f>
        <v>45031084.210000001</v>
      </c>
      <c r="S273" s="1955">
        <f t="shared" ref="S273:S292" si="262">L273-R273</f>
        <v>6527910.5600000024</v>
      </c>
      <c r="V273" s="1956">
        <v>61.3</v>
      </c>
      <c r="W273" s="1956"/>
      <c r="X273" s="1956">
        <f t="shared" ref="X273:X320" si="263">V273-G273</f>
        <v>0</v>
      </c>
      <c r="Y273" s="1836" t="s">
        <v>1872</v>
      </c>
      <c r="AC273" s="1836"/>
      <c r="AD273" s="1836"/>
      <c r="AE273" s="1836"/>
      <c r="AF273" s="1837">
        <v>839929</v>
      </c>
      <c r="AG273" s="1960">
        <f t="shared" ref="AG273:AG314" si="264">AF273-J273</f>
        <v>-1163.9000000000233</v>
      </c>
    </row>
    <row r="274" spans="1:33" ht="21.95" customHeight="1" x14ac:dyDescent="0.2">
      <c r="A274" s="1833">
        <f>satpek!B86</f>
        <v>67</v>
      </c>
      <c r="B274" s="1943">
        <f>B273+1</f>
        <v>3</v>
      </c>
      <c r="C274" s="1937"/>
      <c r="D274" s="1944" t="s">
        <v>1873</v>
      </c>
      <c r="E274" s="1944"/>
      <c r="F274" s="2004"/>
      <c r="G274" s="1945">
        <f>'[3]B.VOL RAB'!Q608</f>
        <v>3.2</v>
      </c>
      <c r="H274" s="2456" t="str">
        <f>VLOOKUP($A274,satpek!$B$20:$N$144,7,0)</f>
        <v>ttk</v>
      </c>
      <c r="I274" s="2457" t="str">
        <f>VLOOKUP($A274,satpek!$B$20:$N$144,5,0)</f>
        <v>An. Dihitung</v>
      </c>
      <c r="J274" s="1951">
        <f>VLOOKUP($A274,satpek!$B$20:$N$144,6,0)</f>
        <v>490227.9</v>
      </c>
      <c r="K274" s="1938"/>
      <c r="L274" s="1952">
        <f t="shared" si="259"/>
        <v>1568729.28</v>
      </c>
      <c r="M274" s="1967"/>
      <c r="N274" s="2458">
        <f>VLOOKUP($A274,satpek!$B$20:$L$138,8,0)</f>
        <v>0.87737132056335432</v>
      </c>
      <c r="O274" s="1954">
        <f>VLOOKUP($A274,satpek!$B$20:$L$138,9,0)</f>
        <v>380630</v>
      </c>
      <c r="P274" s="1954">
        <f>VLOOKUP($A274,satpek!$B$20:$L$138,10,0)</f>
        <v>430111.9</v>
      </c>
      <c r="Q274" s="1952">
        <f t="shared" si="260"/>
        <v>1218016</v>
      </c>
      <c r="R274" s="1952">
        <f t="shared" si="261"/>
        <v>1376358.08</v>
      </c>
      <c r="S274" s="1955">
        <f t="shared" si="262"/>
        <v>192371.19999999995</v>
      </c>
      <c r="V274" s="1956">
        <v>3.2</v>
      </c>
      <c r="W274" s="1956"/>
      <c r="X274" s="1956">
        <f t="shared" si="263"/>
        <v>0</v>
      </c>
      <c r="Y274" s="1836" t="s">
        <v>1873</v>
      </c>
      <c r="AC274" s="1836"/>
      <c r="AD274" s="1836"/>
      <c r="AE274" s="1836"/>
      <c r="AF274" s="1837">
        <v>489064</v>
      </c>
      <c r="AG274" s="1960">
        <f t="shared" si="264"/>
        <v>-1163.9000000000233</v>
      </c>
    </row>
    <row r="275" spans="1:33" ht="21.95" customHeight="1" x14ac:dyDescent="0.2">
      <c r="A275" s="1833">
        <f>satpek!B89</f>
        <v>70</v>
      </c>
      <c r="B275" s="1943">
        <f t="shared" ref="B275:B292" si="265">B274+1</f>
        <v>4</v>
      </c>
      <c r="C275" s="1937"/>
      <c r="D275" s="1944" t="str">
        <f>VLOOKUP($A275,satpek!$B$20:$N$144,2,0)</f>
        <v>Memasang instalasi titik lampu (kabel 2x1,5 mm) tanpa fitting</v>
      </c>
      <c r="E275" s="1944"/>
      <c r="F275" s="2004"/>
      <c r="G275" s="1945">
        <f>'[3]B.VOL RAB'!Q609</f>
        <v>142</v>
      </c>
      <c r="H275" s="2456" t="str">
        <f>VLOOKUP($A275,satpek!$B$20:$N$144,7,0)</f>
        <v>ttk</v>
      </c>
      <c r="I275" s="2457" t="str">
        <f>VLOOKUP($A275,satpek!$B$20:$N$144,5,0)</f>
        <v>An. Dihitung</v>
      </c>
      <c r="J275" s="1951">
        <f>VLOOKUP($A275,satpek!$B$20:$N$144,6,0)</f>
        <v>115332.32</v>
      </c>
      <c r="K275" s="1938"/>
      <c r="L275" s="1952">
        <f t="shared" ref="L275" si="266">ROUND((G275*J275),2)</f>
        <v>16377189.439999999</v>
      </c>
      <c r="M275" s="1967"/>
      <c r="N275" s="2458">
        <f>VLOOKUP($A275,satpek!$B$20:$L$138,8,0)</f>
        <v>0.80012051261953288</v>
      </c>
      <c r="O275" s="1954">
        <f>VLOOKUP($A275,satpek!$B$20:$L$138,9,0)</f>
        <v>81663.5</v>
      </c>
      <c r="P275" s="1954">
        <f>VLOOKUP($A275,satpek!$B$20:$L$138,10,0)</f>
        <v>92279.755000000005</v>
      </c>
      <c r="Q275" s="1952">
        <f t="shared" si="260"/>
        <v>11596217</v>
      </c>
      <c r="R275" s="1952">
        <f t="shared" si="261"/>
        <v>13103725.210000001</v>
      </c>
      <c r="S275" s="1955">
        <f t="shared" si="262"/>
        <v>3273464.2299999986</v>
      </c>
      <c r="V275" s="1956">
        <v>142</v>
      </c>
      <c r="W275" s="1956"/>
      <c r="X275" s="1956">
        <f t="shared" si="263"/>
        <v>0</v>
      </c>
      <c r="Y275" s="1836" t="s">
        <v>1917</v>
      </c>
      <c r="AC275" s="1836"/>
      <c r="AD275" s="1836"/>
      <c r="AE275" s="1836"/>
      <c r="AF275" s="1837">
        <v>215790.45</v>
      </c>
      <c r="AG275" s="1960">
        <f t="shared" si="264"/>
        <v>100458.13</v>
      </c>
    </row>
    <row r="276" spans="1:33" ht="21.95" customHeight="1" x14ac:dyDescent="0.2">
      <c r="A276" s="1833">
        <f>satpek!B91</f>
        <v>72</v>
      </c>
      <c r="B276" s="1943">
        <f t="shared" si="265"/>
        <v>5</v>
      </c>
      <c r="C276" s="1937"/>
      <c r="D276" s="1944" t="str">
        <f>VLOOKUP($A276,satpek!$B$20:$N$144,2,0)</f>
        <v>Memasang Instalasi titik stop kontak (kabel 3x2,5 mm)</v>
      </c>
      <c r="E276" s="1944"/>
      <c r="F276" s="2004"/>
      <c r="G276" s="1945">
        <f>'[3]B.VOL RAB'!Q610</f>
        <v>42</v>
      </c>
      <c r="H276" s="2456" t="str">
        <f>VLOOKUP($A276,satpek!$B$20:$N$144,7,0)</f>
        <v>ttk</v>
      </c>
      <c r="I276" s="2457" t="str">
        <f>VLOOKUP($A276,satpek!$B$20:$N$144,5,0)</f>
        <v>An. Dihitung</v>
      </c>
      <c r="J276" s="1951">
        <f>VLOOKUP($A276,satpek!$B$20:$N$144,6,0)</f>
        <v>145842.32</v>
      </c>
      <c r="K276" s="1938"/>
      <c r="L276" s="1952">
        <f t="shared" ref="L276" si="267">ROUND((G276*J276),2)</f>
        <v>6125377.4400000004</v>
      </c>
      <c r="M276" s="1967"/>
      <c r="N276" s="2458">
        <f>VLOOKUP($A276,satpek!$B$20:$L$138,8,0)</f>
        <v>0.8179817764829852</v>
      </c>
      <c r="O276" s="1954">
        <f>VLOOKUP($A276,satpek!$B$20:$L$138,9,0)</f>
        <v>105572</v>
      </c>
      <c r="P276" s="1954">
        <f>VLOOKUP($A276,satpek!$B$20:$L$138,10,0)</f>
        <v>119296.36</v>
      </c>
      <c r="Q276" s="1952">
        <f t="shared" si="260"/>
        <v>4434024</v>
      </c>
      <c r="R276" s="1952">
        <f t="shared" si="261"/>
        <v>5010447.12</v>
      </c>
      <c r="S276" s="1955">
        <f t="shared" si="262"/>
        <v>1114930.3200000003</v>
      </c>
      <c r="V276" s="1956">
        <v>42</v>
      </c>
      <c r="W276" s="1956"/>
      <c r="X276" s="1956">
        <f t="shared" si="263"/>
        <v>0</v>
      </c>
      <c r="Y276" s="1836" t="s">
        <v>1918</v>
      </c>
      <c r="AD276" s="1836"/>
      <c r="AE276" s="1836"/>
      <c r="AF276" s="1837">
        <v>249351.45</v>
      </c>
      <c r="AG276" s="1960">
        <f t="shared" si="264"/>
        <v>103509.13</v>
      </c>
    </row>
    <row r="277" spans="1:33" ht="21.95" customHeight="1" x14ac:dyDescent="0.2">
      <c r="A277" s="1833">
        <f>A276</f>
        <v>72</v>
      </c>
      <c r="B277" s="1943">
        <f t="shared" si="265"/>
        <v>6</v>
      </c>
      <c r="C277" s="1937"/>
      <c r="D277" s="1944" t="s">
        <v>1874</v>
      </c>
      <c r="E277" s="1944"/>
      <c r="F277" s="2004"/>
      <c r="G277" s="1945">
        <f>'[3]B.VOL RAB'!Q611</f>
        <v>13</v>
      </c>
      <c r="H277" s="2456" t="str">
        <f>VLOOKUP($A277,satpek!$B$20:$N$144,7,0)</f>
        <v>ttk</v>
      </c>
      <c r="I277" s="2457" t="str">
        <f>VLOOKUP($A277,satpek!$B$20:$N$144,5,0)</f>
        <v>An. Dihitung</v>
      </c>
      <c r="J277" s="1951">
        <f>VLOOKUP($A277,satpek!$B$20:$N$144,6,0)</f>
        <v>145842.32</v>
      </c>
      <c r="K277" s="1938"/>
      <c r="L277" s="1952">
        <f t="shared" ref="L277" si="268">ROUND((G277*J277),2)</f>
        <v>1895950.16</v>
      </c>
      <c r="M277" s="1967"/>
      <c r="N277" s="2458">
        <f>VLOOKUP($A277,satpek!$B$20:$L$138,8,0)</f>
        <v>0.8179817764829852</v>
      </c>
      <c r="O277" s="1954">
        <f>VLOOKUP($A277,satpek!$B$20:$L$138,9,0)</f>
        <v>105572</v>
      </c>
      <c r="P277" s="1954">
        <f>VLOOKUP($A277,satpek!$B$20:$L$138,10,0)</f>
        <v>119296.36</v>
      </c>
      <c r="Q277" s="1952">
        <f t="shared" si="260"/>
        <v>1372436</v>
      </c>
      <c r="R277" s="1952">
        <f t="shared" si="261"/>
        <v>1550852.68</v>
      </c>
      <c r="S277" s="1955">
        <f t="shared" si="262"/>
        <v>345097.48</v>
      </c>
      <c r="V277" s="1956">
        <v>13</v>
      </c>
      <c r="W277" s="1956"/>
      <c r="X277" s="1956">
        <f t="shared" si="263"/>
        <v>0</v>
      </c>
      <c r="Y277" s="1836" t="s">
        <v>1874</v>
      </c>
      <c r="AD277" s="1836"/>
      <c r="AE277" s="1836"/>
      <c r="AF277" s="1837">
        <v>249351.45</v>
      </c>
      <c r="AG277" s="1960">
        <f t="shared" si="264"/>
        <v>103509.13</v>
      </c>
    </row>
    <row r="278" spans="1:33" ht="21.95" customHeight="1" x14ac:dyDescent="0.2">
      <c r="A278" s="1833">
        <f>satpek!B92</f>
        <v>73</v>
      </c>
      <c r="B278" s="1943">
        <f t="shared" si="265"/>
        <v>7</v>
      </c>
      <c r="C278" s="1937"/>
      <c r="D278" s="1944" t="str">
        <f>VLOOKUP($A278,satpek!$B$20:$N$144,2,0)</f>
        <v>Instalasi titik Telephone 2 pair</v>
      </c>
      <c r="E278" s="1944"/>
      <c r="F278" s="2004"/>
      <c r="G278" s="1945">
        <f>'[3]B.VOL RAB'!Q612</f>
        <v>6</v>
      </c>
      <c r="H278" s="2456" t="str">
        <f>VLOOKUP($A278,satpek!$B$20:$N$144,7,0)</f>
        <v>ttk</v>
      </c>
      <c r="I278" s="2457" t="str">
        <f>VLOOKUP($A278,satpek!$B$20:$N$144,5,0)</f>
        <v>An. Dihitung</v>
      </c>
      <c r="J278" s="1951">
        <f>VLOOKUP($A278,satpek!$B$20:$N$144,6,0)</f>
        <v>93371.9</v>
      </c>
      <c r="K278" s="1938"/>
      <c r="L278" s="1952">
        <f t="shared" ref="L278" si="269">ROUND((G278*J278),2)</f>
        <v>560231.4</v>
      </c>
      <c r="M278" s="1967"/>
      <c r="N278" s="2458">
        <f>VLOOKUP($A278,satpek!$B$20:$L$138,8,0)</f>
        <v>0.9071039574004599</v>
      </c>
      <c r="O278" s="1954">
        <f>VLOOKUP($A278,satpek!$B$20:$L$138,9,0)</f>
        <v>74954</v>
      </c>
      <c r="P278" s="1954">
        <f>VLOOKUP($A278,satpek!$B$20:$L$138,10,0)</f>
        <v>84698.02</v>
      </c>
      <c r="Q278" s="1952">
        <f t="shared" si="260"/>
        <v>449724</v>
      </c>
      <c r="R278" s="1952">
        <f t="shared" si="261"/>
        <v>508188.12000000005</v>
      </c>
      <c r="S278" s="1955">
        <f t="shared" si="262"/>
        <v>52043.27999999997</v>
      </c>
      <c r="V278" s="1956">
        <v>6</v>
      </c>
      <c r="W278" s="1956"/>
      <c r="X278" s="1956">
        <f t="shared" si="263"/>
        <v>0</v>
      </c>
      <c r="Y278" s="1836" t="s">
        <v>1875</v>
      </c>
      <c r="AD278" s="1836"/>
      <c r="AE278" s="1836"/>
      <c r="AF278" s="1837">
        <v>92208</v>
      </c>
      <c r="AG278" s="1960">
        <f t="shared" si="264"/>
        <v>-1163.8999999999942</v>
      </c>
    </row>
    <row r="279" spans="1:33" ht="21.95" customHeight="1" x14ac:dyDescent="0.2">
      <c r="A279" s="1833">
        <f>satpek!B93</f>
        <v>74</v>
      </c>
      <c r="B279" s="1943">
        <f t="shared" si="265"/>
        <v>8</v>
      </c>
      <c r="C279" s="1937"/>
      <c r="D279" s="1944" t="str">
        <f>VLOOKUP($A279,satpek!$B$20:$N$144,2,0)</f>
        <v>Instalasi titik Data CAT 6</v>
      </c>
      <c r="E279" s="1944"/>
      <c r="F279" s="2004"/>
      <c r="G279" s="1945">
        <f>'[3]B.VOL RAB'!Q613</f>
        <v>12</v>
      </c>
      <c r="H279" s="2456" t="str">
        <f>VLOOKUP($A279,satpek!$B$20:$N$144,7,0)</f>
        <v>ttk</v>
      </c>
      <c r="I279" s="2457" t="str">
        <f>VLOOKUP($A279,satpek!$B$20:$N$144,5,0)</f>
        <v>An. Dihitung</v>
      </c>
      <c r="J279" s="1951">
        <f>VLOOKUP($A279,satpek!$B$20:$N$144,6,0)</f>
        <v>140437.33000000002</v>
      </c>
      <c r="K279" s="1938"/>
      <c r="L279" s="1952">
        <f t="shared" ref="L279" si="270">ROUND((G279*J279),2)</f>
        <v>1685247.96</v>
      </c>
      <c r="M279" s="1967"/>
      <c r="N279" s="2458">
        <f>VLOOKUP($A279,satpek!$B$20:$L$138,8,0)</f>
        <v>0.88809056240536555</v>
      </c>
      <c r="O279" s="1954">
        <f>VLOOKUP($A279,satpek!$B$20:$L$138,9,0)</f>
        <v>110372.62333</v>
      </c>
      <c r="P279" s="1954">
        <f>VLOOKUP($A279,satpek!$B$20:$L$138,10,0)</f>
        <v>124721.0643629</v>
      </c>
      <c r="Q279" s="1952">
        <f t="shared" si="260"/>
        <v>1324471.4799600001</v>
      </c>
      <c r="R279" s="1952">
        <f t="shared" si="261"/>
        <v>1496652.808588895</v>
      </c>
      <c r="S279" s="1955">
        <f t="shared" si="262"/>
        <v>188595.15141110495</v>
      </c>
      <c r="V279" s="1956">
        <v>12</v>
      </c>
      <c r="W279" s="1956"/>
      <c r="X279" s="1956">
        <f t="shared" si="263"/>
        <v>0</v>
      </c>
      <c r="Y279" s="1836" t="s">
        <v>1876</v>
      </c>
      <c r="AD279" s="1836"/>
      <c r="AE279" s="1836"/>
      <c r="AF279" s="1837">
        <v>139273.43</v>
      </c>
      <c r="AG279" s="1960">
        <f t="shared" si="264"/>
        <v>-1163.9000000000233</v>
      </c>
    </row>
    <row r="280" spans="1:33" ht="21.95" customHeight="1" x14ac:dyDescent="0.2">
      <c r="A280" s="1833">
        <f>satpek!B94</f>
        <v>75</v>
      </c>
      <c r="B280" s="1943">
        <f t="shared" si="265"/>
        <v>9</v>
      </c>
      <c r="C280" s="1937"/>
      <c r="D280" s="1944" t="str">
        <f>VLOOKUP($A280,satpek!$B$20:$N$144,2,0)</f>
        <v>Memasang saklar ganda</v>
      </c>
      <c r="E280" s="1944"/>
      <c r="F280" s="2004"/>
      <c r="G280" s="1945">
        <f>'[3]B.VOL RAB'!Q615</f>
        <v>28</v>
      </c>
      <c r="H280" s="2456" t="str">
        <f>VLOOKUP($A280,satpek!$B$20:$N$144,7,0)</f>
        <v>bh</v>
      </c>
      <c r="I280" s="2457" t="str">
        <f>VLOOKUP($A280,satpek!$B$20:$N$144,5,0)</f>
        <v>An. Dihitung</v>
      </c>
      <c r="J280" s="1951">
        <f>VLOOKUP($A280,satpek!$B$20:$N$144,6,0)</f>
        <v>49855.6</v>
      </c>
      <c r="K280" s="1938"/>
      <c r="L280" s="1952">
        <f t="shared" ref="L280:L282" si="271">ROUND((G280*J280),2)</f>
        <v>1395956.8</v>
      </c>
      <c r="M280" s="1967"/>
      <c r="N280" s="2458">
        <f>VLOOKUP($A280,satpek!$B$20:$L$138,8,0)</f>
        <v>0.55736627379873072</v>
      </c>
      <c r="O280" s="1954">
        <f>VLOOKUP($A280,satpek!$B$20:$L$138,9,0)</f>
        <v>24591</v>
      </c>
      <c r="P280" s="1954">
        <f>VLOOKUP($A280,satpek!$B$20:$L$138,10,0)</f>
        <v>27787.83</v>
      </c>
      <c r="Q280" s="1952">
        <f t="shared" si="260"/>
        <v>688548</v>
      </c>
      <c r="R280" s="1952">
        <f t="shared" si="261"/>
        <v>778059.24</v>
      </c>
      <c r="S280" s="1955">
        <f t="shared" si="262"/>
        <v>617897.56000000006</v>
      </c>
      <c r="V280" s="1956">
        <v>28</v>
      </c>
      <c r="W280" s="1956"/>
      <c r="X280" s="1956">
        <f t="shared" si="263"/>
        <v>0</v>
      </c>
      <c r="Y280" s="1836" t="s">
        <v>372</v>
      </c>
      <c r="AD280" s="1836"/>
      <c r="AE280" s="1836"/>
      <c r="AF280" s="1837">
        <v>49482.7</v>
      </c>
      <c r="AG280" s="1960">
        <f t="shared" si="264"/>
        <v>-372.90000000000146</v>
      </c>
    </row>
    <row r="281" spans="1:33" ht="21.95" customHeight="1" x14ac:dyDescent="0.2">
      <c r="A281" s="1833">
        <f>satpek!B95</f>
        <v>76</v>
      </c>
      <c r="B281" s="1943">
        <f t="shared" si="265"/>
        <v>10</v>
      </c>
      <c r="C281" s="1937"/>
      <c r="D281" s="1944" t="str">
        <f>VLOOKUP($A281,satpek!$B$20:$N$144,2,0)</f>
        <v>Memasang saklar tunggal</v>
      </c>
      <c r="E281" s="1944"/>
      <c r="F281" s="2004"/>
      <c r="G281" s="1945">
        <f>'[3]B.VOL RAB'!Q616</f>
        <v>11</v>
      </c>
      <c r="H281" s="2456" t="str">
        <f>VLOOKUP($A281,satpek!$B$20:$N$144,7,0)</f>
        <v>bh</v>
      </c>
      <c r="I281" s="2457" t="str">
        <f>VLOOKUP($A281,satpek!$B$20:$N$144,5,0)</f>
        <v>An. Dihitung</v>
      </c>
      <c r="J281" s="1951">
        <f>VLOOKUP($A281,satpek!$B$20:$N$144,6,0)</f>
        <v>41826.949999999997</v>
      </c>
      <c r="K281" s="1938"/>
      <c r="L281" s="1952">
        <f t="shared" si="271"/>
        <v>460096.45</v>
      </c>
      <c r="M281" s="1967"/>
      <c r="N281" s="2458">
        <f>VLOOKUP($A281,satpek!$B$20:$L$138,8,0)</f>
        <v>0.5819465081723626</v>
      </c>
      <c r="O281" s="1954">
        <f>VLOOKUP($A281,satpek!$B$20:$L$138,9,0)</f>
        <v>21540.75</v>
      </c>
      <c r="P281" s="1954">
        <f>VLOOKUP($A281,satpek!$B$20:$L$138,10,0)</f>
        <v>24341.047500000001</v>
      </c>
      <c r="Q281" s="1952">
        <f t="shared" si="260"/>
        <v>236948.25</v>
      </c>
      <c r="R281" s="1952">
        <f t="shared" si="261"/>
        <v>267751.52250000002</v>
      </c>
      <c r="S281" s="1955">
        <f t="shared" si="262"/>
        <v>192344.92749999999</v>
      </c>
      <c r="V281" s="1956">
        <v>11</v>
      </c>
      <c r="W281" s="1956"/>
      <c r="X281" s="1956">
        <f t="shared" si="263"/>
        <v>0</v>
      </c>
      <c r="Y281" s="1836" t="s">
        <v>373</v>
      </c>
      <c r="AD281" s="1836"/>
      <c r="AE281" s="1836"/>
      <c r="AF281" s="1837">
        <v>41454.050000000003</v>
      </c>
      <c r="AG281" s="1960">
        <f t="shared" si="264"/>
        <v>-372.89999999999418</v>
      </c>
    </row>
    <row r="282" spans="1:33" ht="21.95" customHeight="1" x14ac:dyDescent="0.2">
      <c r="A282" s="1833">
        <f>satpek!B96</f>
        <v>77</v>
      </c>
      <c r="B282" s="1943">
        <f t="shared" si="265"/>
        <v>11</v>
      </c>
      <c r="C282" s="1937"/>
      <c r="D282" s="1944" t="str">
        <f>VLOOKUP($A282,satpek!$B$20:$N$144,2,0)</f>
        <v>Memasang stop kontak</v>
      </c>
      <c r="E282" s="1944"/>
      <c r="F282" s="2004"/>
      <c r="G282" s="1945">
        <f>'[3]B.VOL RAB'!Q617</f>
        <v>42</v>
      </c>
      <c r="H282" s="2456" t="str">
        <f>VLOOKUP($A282,satpek!$B$20:$N$144,7,0)</f>
        <v>bh</v>
      </c>
      <c r="I282" s="2457" t="str">
        <f>VLOOKUP($A282,satpek!$B$20:$N$144,5,0)</f>
        <v>An. Dihitung</v>
      </c>
      <c r="J282" s="1951">
        <f>VLOOKUP($A282,satpek!$B$20:$N$144,6,0)</f>
        <v>37730.699999999997</v>
      </c>
      <c r="K282" s="1938"/>
      <c r="L282" s="1952">
        <f t="shared" si="271"/>
        <v>1584689.4</v>
      </c>
      <c r="M282" s="1967"/>
      <c r="N282" s="2458">
        <f>VLOOKUP($A282,satpek!$B$20:$L$138,8,0)</f>
        <v>0.59851752021563343</v>
      </c>
      <c r="O282" s="1954">
        <f>VLOOKUP($A282,satpek!$B$20:$L$138,9,0)</f>
        <v>19984.5</v>
      </c>
      <c r="P282" s="1954">
        <f>VLOOKUP($A282,satpek!$B$20:$L$138,10,0)</f>
        <v>22582.485000000001</v>
      </c>
      <c r="Q282" s="1952">
        <f t="shared" si="260"/>
        <v>839349</v>
      </c>
      <c r="R282" s="1952">
        <f t="shared" si="261"/>
        <v>948464.37</v>
      </c>
      <c r="S282" s="1955">
        <f t="shared" si="262"/>
        <v>636225.02999999991</v>
      </c>
      <c r="V282" s="1956">
        <v>42</v>
      </c>
      <c r="W282" s="1956"/>
      <c r="X282" s="1956">
        <f t="shared" si="263"/>
        <v>0</v>
      </c>
      <c r="Y282" s="1836" t="s">
        <v>374</v>
      </c>
      <c r="AD282" s="1836"/>
      <c r="AE282" s="1836"/>
      <c r="AF282" s="1837">
        <v>37357.800000000003</v>
      </c>
      <c r="AG282" s="1960">
        <f t="shared" si="264"/>
        <v>-372.89999999999418</v>
      </c>
    </row>
    <row r="283" spans="1:33" ht="21.95" customHeight="1" x14ac:dyDescent="0.2">
      <c r="A283" s="1833">
        <f>satpek!B97</f>
        <v>78</v>
      </c>
      <c r="B283" s="1943">
        <f t="shared" si="265"/>
        <v>12</v>
      </c>
      <c r="C283" s="1937"/>
      <c r="D283" s="1944" t="str">
        <f>VLOOKUP($A283,satpek!$B$20:$N$144,2,0)</f>
        <v xml:space="preserve">Memasang stop kontak AC </v>
      </c>
      <c r="E283" s="1944"/>
      <c r="F283" s="2004"/>
      <c r="G283" s="1945">
        <f>'[3]B.VOL RAB'!Q618</f>
        <v>13</v>
      </c>
      <c r="H283" s="2456" t="str">
        <f>VLOOKUP($A283,satpek!$B$20:$N$144,7,0)</f>
        <v>bh</v>
      </c>
      <c r="I283" s="2457" t="str">
        <f>VLOOKUP($A283,satpek!$B$20:$N$144,5,0)</f>
        <v>An. Dihitung</v>
      </c>
      <c r="J283" s="1951">
        <f>VLOOKUP($A283,satpek!$B$20:$N$144,6,0)</f>
        <v>115836.3</v>
      </c>
      <c r="K283" s="1938"/>
      <c r="L283" s="1952">
        <f t="shared" ref="L283" si="272">ROUND((G283*J283),2)</f>
        <v>1505871.9</v>
      </c>
      <c r="M283" s="1967"/>
      <c r="N283" s="2458">
        <f>VLOOKUP($A283,satpek!$B$20:$L$138,8,0)</f>
        <v>0.46296458882060287</v>
      </c>
      <c r="O283" s="1954">
        <f>VLOOKUP($A283,satpek!$B$20:$L$138,9,0)</f>
        <v>47458.5</v>
      </c>
      <c r="P283" s="1954">
        <f>VLOOKUP($A283,satpek!$B$20:$L$138,10,0)</f>
        <v>53628.105000000003</v>
      </c>
      <c r="Q283" s="1952">
        <f t="shared" si="260"/>
        <v>616960.5</v>
      </c>
      <c r="R283" s="1952">
        <f t="shared" si="261"/>
        <v>697165.36499999999</v>
      </c>
      <c r="S283" s="1955">
        <f t="shared" si="262"/>
        <v>808706.53499999992</v>
      </c>
      <c r="V283" s="1956">
        <v>13</v>
      </c>
      <c r="W283" s="1956"/>
      <c r="X283" s="1956">
        <f t="shared" si="263"/>
        <v>0</v>
      </c>
      <c r="Y283" s="1836" t="s">
        <v>1877</v>
      </c>
      <c r="AD283" s="1836"/>
      <c r="AE283" s="1836"/>
      <c r="AF283" s="1837">
        <v>115463.4</v>
      </c>
      <c r="AG283" s="1960">
        <f t="shared" si="264"/>
        <v>-372.90000000000873</v>
      </c>
    </row>
    <row r="284" spans="1:33" ht="21.95" customHeight="1" x14ac:dyDescent="0.2">
      <c r="A284" s="1833">
        <f>satpek!$B$98</f>
        <v>79</v>
      </c>
      <c r="B284" s="1943">
        <f t="shared" si="265"/>
        <v>13</v>
      </c>
      <c r="C284" s="1937"/>
      <c r="D284" s="1944" t="str">
        <f>VLOOKUP($A284,satpek!$B$20:$N$144,2,0)</f>
        <v>Memasang stop kontak outlet Telephone</v>
      </c>
      <c r="E284" s="1944"/>
      <c r="F284" s="2004"/>
      <c r="G284" s="1945">
        <f>'[3]B.VOL RAB'!Q619</f>
        <v>6</v>
      </c>
      <c r="H284" s="2456" t="str">
        <f>VLOOKUP($A284,satpek!$B$20:$N$144,7,0)</f>
        <v>bh</v>
      </c>
      <c r="I284" s="2457" t="str">
        <f>VLOOKUP($A284,satpek!$B$20:$N$144,5,0)</f>
        <v>An. Dihitung</v>
      </c>
      <c r="J284" s="1951">
        <f>VLOOKUP($A284,satpek!$B$20:$N$144,6,0)</f>
        <v>82122.75</v>
      </c>
      <c r="K284" s="1938"/>
      <c r="L284" s="1952">
        <f t="shared" ref="L284" si="273">ROUND((G284*J284),2)</f>
        <v>492736.5</v>
      </c>
      <c r="M284" s="1967"/>
      <c r="N284" s="2458">
        <f>VLOOKUP($A284,satpek!$B$20:$L$138,8,0)</f>
        <v>0.48653250773993806</v>
      </c>
      <c r="O284" s="1954">
        <f>VLOOKUP($A284,satpek!$B$20:$L$138,9,0)</f>
        <v>35358.75</v>
      </c>
      <c r="P284" s="1954">
        <f>VLOOKUP($A284,satpek!$B$20:$L$138,10,0)</f>
        <v>39955.387499999997</v>
      </c>
      <c r="Q284" s="1952">
        <f t="shared" si="260"/>
        <v>212152.5</v>
      </c>
      <c r="R284" s="1952">
        <f t="shared" si="261"/>
        <v>239732.32499999998</v>
      </c>
      <c r="S284" s="1955">
        <f t="shared" si="262"/>
        <v>253004.17500000002</v>
      </c>
      <c r="V284" s="1956">
        <v>6</v>
      </c>
      <c r="W284" s="1956"/>
      <c r="X284" s="1956">
        <f t="shared" si="263"/>
        <v>0</v>
      </c>
      <c r="Y284" s="1836" t="s">
        <v>1878</v>
      </c>
      <c r="AD284" s="1836"/>
      <c r="AE284" s="1836"/>
      <c r="AF284" s="1837">
        <v>81749.850000000006</v>
      </c>
      <c r="AG284" s="1960">
        <f t="shared" si="264"/>
        <v>-372.89999999999418</v>
      </c>
    </row>
    <row r="285" spans="1:33" ht="21.95" customHeight="1" x14ac:dyDescent="0.2">
      <c r="A285" s="1833">
        <f>satpek!$B$99</f>
        <v>80</v>
      </c>
      <c r="B285" s="1943">
        <f t="shared" si="265"/>
        <v>14</v>
      </c>
      <c r="C285" s="1937"/>
      <c r="D285" s="1944" t="s">
        <v>1879</v>
      </c>
      <c r="E285" s="1944"/>
      <c r="F285" s="2004"/>
      <c r="G285" s="1945">
        <f>'[3]B.VOL RAB'!Q620</f>
        <v>12</v>
      </c>
      <c r="H285" s="2456" t="str">
        <f>VLOOKUP($A285,satpek!$B$20:$N$144,7,0)</f>
        <v>bh</v>
      </c>
      <c r="I285" s="2457" t="str">
        <f>VLOOKUP($A285,satpek!$B$20:$N$144,5,0)</f>
        <v>An. Dihitung</v>
      </c>
      <c r="J285" s="1951">
        <f>VLOOKUP($A285,satpek!$B$20:$N$144,6,0)</f>
        <v>136278</v>
      </c>
      <c r="K285" s="1938"/>
      <c r="L285" s="1952">
        <f t="shared" ref="L285" si="274">ROUND((G285*J285),2)</f>
        <v>1635336</v>
      </c>
      <c r="M285" s="1967"/>
      <c r="N285" s="2458">
        <f>VLOOKUP($A285,satpek!$B$20:$L$138,8,0)</f>
        <v>0.45435323383084575</v>
      </c>
      <c r="O285" s="1954">
        <f>VLOOKUP($A285,satpek!$B$20:$L$138,9,0)</f>
        <v>54795</v>
      </c>
      <c r="P285" s="1954">
        <f>VLOOKUP($A285,satpek!$B$20:$L$138,10,0)</f>
        <v>61918.35</v>
      </c>
      <c r="Q285" s="1952">
        <f t="shared" si="260"/>
        <v>657540</v>
      </c>
      <c r="R285" s="1952">
        <f t="shared" si="261"/>
        <v>743020.2</v>
      </c>
      <c r="S285" s="1955">
        <f t="shared" si="262"/>
        <v>892315.8</v>
      </c>
      <c r="V285" s="1956">
        <v>12</v>
      </c>
      <c r="W285" s="1956"/>
      <c r="X285" s="1956">
        <f t="shared" si="263"/>
        <v>0</v>
      </c>
      <c r="Y285" s="1836" t="s">
        <v>1879</v>
      </c>
      <c r="AD285" s="1836"/>
      <c r="AE285" s="1836"/>
      <c r="AF285" s="1837">
        <v>135905.1</v>
      </c>
      <c r="AG285" s="1960">
        <f t="shared" si="264"/>
        <v>-372.89999999999418</v>
      </c>
    </row>
    <row r="286" spans="1:33" ht="21.95" customHeight="1" x14ac:dyDescent="0.2">
      <c r="A286" s="1833">
        <f>satpek!B100</f>
        <v>81</v>
      </c>
      <c r="B286" s="1943">
        <f t="shared" si="265"/>
        <v>15</v>
      </c>
      <c r="C286" s="1937"/>
      <c r="D286" s="1944" t="str">
        <f>VLOOKUP($A286,satpek!$B$20:$N$144,2,0)</f>
        <v>Memasang downlight LED 10 watt tipe inbow</v>
      </c>
      <c r="E286" s="1944"/>
      <c r="F286" s="2004"/>
      <c r="G286" s="1945">
        <f>'[3]B.VOL RAB'!Q621</f>
        <v>12</v>
      </c>
      <c r="H286" s="2456" t="str">
        <f>VLOOKUP($A286,satpek!$B$20:$N$144,7,0)</f>
        <v>ttk</v>
      </c>
      <c r="I286" s="2457" t="str">
        <f>VLOOKUP($A286,satpek!$B$20:$N$144,5,0)</f>
        <v>An. Dihitung</v>
      </c>
      <c r="J286" s="1951">
        <f>VLOOKUP($A286,satpek!$B$20:$N$144,6,0)</f>
        <v>124333.9</v>
      </c>
      <c r="K286" s="1938"/>
      <c r="L286" s="1952">
        <f t="shared" ref="L286:L288" si="275">ROUND((G286*J286),2)</f>
        <v>1492006.8</v>
      </c>
      <c r="M286" s="1967"/>
      <c r="N286" s="2458">
        <f>VLOOKUP($A286,satpek!$B$20:$L$138,8,0)</f>
        <v>0.71568663091884033</v>
      </c>
      <c r="O286" s="1954">
        <f>VLOOKUP($A286,satpek!$B$20:$L$138,9,0)</f>
        <v>78747</v>
      </c>
      <c r="P286" s="1954">
        <f>VLOOKUP($A286,satpek!$B$20:$L$138,10,0)</f>
        <v>88984.11</v>
      </c>
      <c r="Q286" s="1952">
        <f t="shared" si="260"/>
        <v>944964</v>
      </c>
      <c r="R286" s="1952">
        <f t="shared" si="261"/>
        <v>1067809.32</v>
      </c>
      <c r="S286" s="1955">
        <f t="shared" si="262"/>
        <v>424197.48</v>
      </c>
      <c r="V286" s="1956">
        <v>12</v>
      </c>
      <c r="W286" s="1956"/>
      <c r="X286" s="1956">
        <f t="shared" si="263"/>
        <v>0</v>
      </c>
      <c r="Y286" s="1836" t="s">
        <v>1880</v>
      </c>
      <c r="AD286" s="1836"/>
      <c r="AE286" s="1836"/>
      <c r="AF286" s="1837">
        <v>123237.8</v>
      </c>
      <c r="AG286" s="1960">
        <f t="shared" si="264"/>
        <v>-1096.0999999999913</v>
      </c>
    </row>
    <row r="287" spans="1:33" ht="21.95" customHeight="1" x14ac:dyDescent="0.2">
      <c r="A287" s="1833">
        <f>satpek!B101</f>
        <v>82</v>
      </c>
      <c r="B287" s="1943">
        <f t="shared" si="265"/>
        <v>16</v>
      </c>
      <c r="C287" s="1937"/>
      <c r="D287" s="1944" t="str">
        <f>VLOOKUP($A287,satpek!$B$20:$N$144,2,0)</f>
        <v>Memasang downlight LED 17 watt tipe inbow</v>
      </c>
      <c r="E287" s="1944"/>
      <c r="F287" s="2004"/>
      <c r="G287" s="1945">
        <f>'[3]B.VOL RAB'!Q622</f>
        <v>122</v>
      </c>
      <c r="H287" s="2456" t="str">
        <f>VLOOKUP($A287,satpek!$B$20:$N$144,7,0)</f>
        <v>ttk</v>
      </c>
      <c r="I287" s="2457" t="str">
        <f>VLOOKUP($A287,satpek!$B$20:$N$144,5,0)</f>
        <v>An. Dihitung</v>
      </c>
      <c r="J287" s="1951">
        <f>VLOOKUP($A287,satpek!$B$20:$N$144,6,0)</f>
        <v>186709.9</v>
      </c>
      <c r="K287" s="1938"/>
      <c r="L287" s="1952">
        <f t="shared" si="275"/>
        <v>22778607.800000001</v>
      </c>
      <c r="M287" s="1967"/>
      <c r="N287" s="2458">
        <f>VLOOKUP($A287,satpek!$B$20:$L$138,8,0)</f>
        <v>0.68084367245657573</v>
      </c>
      <c r="O287" s="1954">
        <f>VLOOKUP($A287,satpek!$B$20:$L$138,9,0)</f>
        <v>112495.8</v>
      </c>
      <c r="P287" s="1954">
        <f>VLOOKUP($A287,satpek!$B$20:$L$138,10,0)</f>
        <v>127120.254</v>
      </c>
      <c r="Q287" s="1952">
        <f t="shared" si="260"/>
        <v>13724487.6</v>
      </c>
      <c r="R287" s="1952">
        <f t="shared" si="261"/>
        <v>15508670.988000002</v>
      </c>
      <c r="S287" s="1955">
        <f t="shared" si="262"/>
        <v>7269936.811999999</v>
      </c>
      <c r="V287" s="1956">
        <v>122</v>
      </c>
      <c r="W287" s="1956"/>
      <c r="X287" s="1956">
        <f t="shared" si="263"/>
        <v>0</v>
      </c>
      <c r="Y287" s="1836" t="s">
        <v>1881</v>
      </c>
      <c r="AD287" s="1836"/>
      <c r="AE287" s="1836"/>
      <c r="AF287" s="1837">
        <v>185613.8</v>
      </c>
      <c r="AG287" s="1960">
        <f t="shared" si="264"/>
        <v>-1096.1000000000058</v>
      </c>
    </row>
    <row r="288" spans="1:33" ht="21.95" customHeight="1" x14ac:dyDescent="0.2">
      <c r="A288" s="1833">
        <f>satpek!B102</f>
        <v>83</v>
      </c>
      <c r="B288" s="1943">
        <f t="shared" si="265"/>
        <v>17</v>
      </c>
      <c r="C288" s="1937"/>
      <c r="D288" s="1944" t="str">
        <f>VLOOKUP($A288,satpek!$B$20:$N$144,2,0)</f>
        <v>Memasang downlight LED 17 watt tipe outbow</v>
      </c>
      <c r="E288" s="1944"/>
      <c r="F288" s="2004"/>
      <c r="G288" s="1945">
        <f>'[3]B.VOL RAB'!Q623</f>
        <v>8</v>
      </c>
      <c r="H288" s="2456" t="str">
        <f>VLOOKUP($A288,satpek!$B$20:$N$144,7,0)</f>
        <v>ttk</v>
      </c>
      <c r="I288" s="2457" t="str">
        <f>VLOOKUP($A288,satpek!$B$20:$N$144,5,0)</f>
        <v>An. Dihitung</v>
      </c>
      <c r="J288" s="1951">
        <f>VLOOKUP($A288,satpek!$B$20:$N$144,6,0)</f>
        <v>118457.9</v>
      </c>
      <c r="K288" s="1938"/>
      <c r="L288" s="1952">
        <f t="shared" si="275"/>
        <v>947663.2</v>
      </c>
      <c r="M288" s="1967"/>
      <c r="N288" s="2458">
        <f>VLOOKUP($A288,satpek!$B$20:$L$138,8,0)</f>
        <v>0.67070304302203565</v>
      </c>
      <c r="O288" s="1954">
        <f>VLOOKUP($A288,satpek!$B$20:$L$138,9,0)</f>
        <v>70309.8</v>
      </c>
      <c r="P288" s="1954">
        <f>VLOOKUP($A288,satpek!$B$20:$L$138,10,0)</f>
        <v>79450.074000000008</v>
      </c>
      <c r="Q288" s="1952">
        <f t="shared" si="260"/>
        <v>562478.4</v>
      </c>
      <c r="R288" s="1952">
        <f t="shared" si="261"/>
        <v>635600.59199999995</v>
      </c>
      <c r="S288" s="1955">
        <f t="shared" si="262"/>
        <v>312062.60800000001</v>
      </c>
      <c r="V288" s="1956">
        <v>8</v>
      </c>
      <c r="W288" s="1956"/>
      <c r="X288" s="1956">
        <f t="shared" si="263"/>
        <v>0</v>
      </c>
      <c r="Y288" s="1836" t="s">
        <v>1882</v>
      </c>
      <c r="AD288" s="1836"/>
      <c r="AE288" s="1836"/>
      <c r="AF288" s="1837">
        <v>117361.8</v>
      </c>
      <c r="AG288" s="1960">
        <f t="shared" si="264"/>
        <v>-1096.0999999999913</v>
      </c>
    </row>
    <row r="289" spans="1:33" ht="21.95" customHeight="1" x14ac:dyDescent="0.2">
      <c r="A289" s="1833">
        <f>satpek!B103</f>
        <v>84</v>
      </c>
      <c r="B289" s="1943">
        <f t="shared" si="265"/>
        <v>18</v>
      </c>
      <c r="C289" s="1937"/>
      <c r="D289" s="1944" t="s">
        <v>1883</v>
      </c>
      <c r="E289" s="1944"/>
      <c r="F289" s="2004"/>
      <c r="G289" s="1945">
        <f>'[3]B.VOL RAB'!Q624</f>
        <v>55</v>
      </c>
      <c r="H289" s="2456" t="str">
        <f>VLOOKUP($A289,satpek!$B$20:$N$144,7,0)</f>
        <v>m'</v>
      </c>
      <c r="I289" s="2457" t="str">
        <f>VLOOKUP($A289,satpek!$B$20:$N$144,5,0)</f>
        <v>An. Dihitung</v>
      </c>
      <c r="J289" s="1951">
        <f>VLOOKUP($A289,satpek!$B$20:$N$144,6,0)</f>
        <v>274370.78000000003</v>
      </c>
      <c r="K289" s="1938"/>
      <c r="L289" s="1952">
        <f t="shared" ref="L289" si="276">ROUND((G289*J289),2)</f>
        <v>15090392.9</v>
      </c>
      <c r="M289" s="1967"/>
      <c r="N289" s="2458">
        <f>VLOOKUP($A289,satpek!$B$20:$L$138,8,0)</f>
        <v>0.80899051094289265</v>
      </c>
      <c r="O289" s="1954">
        <f>VLOOKUP($A289,satpek!$B$20:$L$138,9,0)</f>
        <v>196427.75</v>
      </c>
      <c r="P289" s="1954">
        <f>VLOOKUP($A289,satpek!$B$20:$L$138,10,0)</f>
        <v>221963.35750000001</v>
      </c>
      <c r="Q289" s="1952">
        <f t="shared" si="260"/>
        <v>10803526.25</v>
      </c>
      <c r="R289" s="1952">
        <f t="shared" si="261"/>
        <v>12207984.6625</v>
      </c>
      <c r="S289" s="1955">
        <f t="shared" si="262"/>
        <v>2882408.2375000007</v>
      </c>
      <c r="V289" s="1956">
        <v>55</v>
      </c>
      <c r="W289" s="1956"/>
      <c r="X289" s="1956">
        <f t="shared" si="263"/>
        <v>0</v>
      </c>
      <c r="Y289" s="1836" t="s">
        <v>1883</v>
      </c>
      <c r="AD289" s="1836"/>
      <c r="AE289" s="1836"/>
      <c r="AF289" s="1837">
        <v>286212.05</v>
      </c>
      <c r="AG289" s="1960">
        <f t="shared" si="264"/>
        <v>11841.26999999996</v>
      </c>
    </row>
    <row r="290" spans="1:33" ht="21.95" customHeight="1" x14ac:dyDescent="0.2">
      <c r="A290" s="1833">
        <f>satpek!B129</f>
        <v>104</v>
      </c>
      <c r="B290" s="1943">
        <f t="shared" si="265"/>
        <v>19</v>
      </c>
      <c r="C290" s="1937"/>
      <c r="D290" s="1944" t="str">
        <f>VLOOKUP($A290,satpek!$B$20:$N$144,2,0)</f>
        <v>Memasang Unit AC 1 PK</v>
      </c>
      <c r="E290" s="1944"/>
      <c r="F290" s="2004"/>
      <c r="G290" s="1945">
        <f>'[3]B.VOL RAB'!Q625</f>
        <v>13</v>
      </c>
      <c r="H290" s="2456" t="str">
        <f>VLOOKUP($A290,satpek!$B$20:$N$144,7,0)</f>
        <v>unit</v>
      </c>
      <c r="I290" s="2457" t="str">
        <f>VLOOKUP($A290,satpek!$B$20:$N$144,5,0)</f>
        <v>Daftar harga</v>
      </c>
      <c r="J290" s="1951">
        <f>VLOOKUP($A290,satpek!$B$20:$N$144,6,0)</f>
        <v>4950000</v>
      </c>
      <c r="K290" s="1938"/>
      <c r="L290" s="1952">
        <f t="shared" ref="L290" si="277">ROUND((G290*J290),2)</f>
        <v>64350000</v>
      </c>
      <c r="M290" s="1967"/>
      <c r="N290" s="2458">
        <f>VLOOKUP($A290,satpek!$B$20:$L$138,8,0)</f>
        <v>0.1082</v>
      </c>
      <c r="O290" s="1954">
        <f>VLOOKUP($A290,satpek!$B$20:$L$138,9,0)</f>
        <v>0</v>
      </c>
      <c r="P290" s="1954">
        <f>VLOOKUP($A290,satpek!$B$20:$L$138,10,0)</f>
        <v>535590</v>
      </c>
      <c r="Q290" s="1952">
        <f t="shared" si="260"/>
        <v>0</v>
      </c>
      <c r="R290" s="1952">
        <f t="shared" si="261"/>
        <v>6962670</v>
      </c>
      <c r="S290" s="1955">
        <f t="shared" si="262"/>
        <v>57387330</v>
      </c>
      <c r="V290" s="1956">
        <v>13</v>
      </c>
      <c r="W290" s="1956"/>
      <c r="X290" s="1956">
        <f t="shared" si="263"/>
        <v>0</v>
      </c>
      <c r="Y290" s="1836" t="s">
        <v>1884</v>
      </c>
      <c r="AD290" s="1836"/>
      <c r="AE290" s="1836"/>
      <c r="AF290" s="1837">
        <v>4950000</v>
      </c>
      <c r="AG290" s="1960">
        <f t="shared" si="264"/>
        <v>0</v>
      </c>
    </row>
    <row r="291" spans="1:33" ht="21.95" customHeight="1" x14ac:dyDescent="0.2">
      <c r="A291" s="1833">
        <f>satpek!B117</f>
        <v>98</v>
      </c>
      <c r="B291" s="1943">
        <f t="shared" si="265"/>
        <v>20</v>
      </c>
      <c r="C291" s="1937"/>
      <c r="D291" s="1944" t="str">
        <f>VLOOKUP($A291,satpek!$B$20:$N$144,2,0)</f>
        <v>Panel uk 50x70x25 lengkap dengan asesoris 3 phase</v>
      </c>
      <c r="E291" s="1944"/>
      <c r="F291" s="2004"/>
      <c r="G291" s="1945">
        <f>'[3]B.VOL RAB'!Q626</f>
        <v>1</v>
      </c>
      <c r="H291" s="2456" t="str">
        <f>VLOOKUP($A291,satpek!$B$20:$N$144,7,0)</f>
        <v>unit</v>
      </c>
      <c r="I291" s="2457" t="str">
        <f>VLOOKUP($A291,satpek!$B$20:$N$144,5,0)</f>
        <v>Daftar harga</v>
      </c>
      <c r="J291" s="1951">
        <f>VLOOKUP($A291,satpek!$B$20:$N$144,6,0)</f>
        <v>5000000</v>
      </c>
      <c r="K291" s="1938"/>
      <c r="L291" s="1952">
        <f t="shared" ref="L291:L292" si="278">ROUND((G291*J291),2)</f>
        <v>5000000</v>
      </c>
      <c r="M291" s="1967"/>
      <c r="N291" s="2458">
        <f>VLOOKUP($A291,satpek!$B$20:$L$138,8,0)</f>
        <v>0.3</v>
      </c>
      <c r="O291" s="1954">
        <f>VLOOKUP($A291,satpek!$B$20:$L$138,9,0)</f>
        <v>0</v>
      </c>
      <c r="P291" s="1954">
        <f>VLOOKUP($A291,satpek!$B$20:$L$138,10,0)</f>
        <v>1500000</v>
      </c>
      <c r="Q291" s="1952">
        <f t="shared" si="260"/>
        <v>0</v>
      </c>
      <c r="R291" s="1952">
        <f t="shared" si="261"/>
        <v>1500000</v>
      </c>
      <c r="S291" s="1955">
        <f t="shared" si="262"/>
        <v>3500000</v>
      </c>
      <c r="V291" s="1956">
        <v>1</v>
      </c>
      <c r="W291" s="1956"/>
      <c r="X291" s="1956">
        <f t="shared" si="263"/>
        <v>0</v>
      </c>
      <c r="Y291" s="1836" t="s">
        <v>1885</v>
      </c>
      <c r="AD291" s="1836"/>
      <c r="AE291" s="1836"/>
      <c r="AF291" s="1837">
        <v>5000000</v>
      </c>
      <c r="AG291" s="1960">
        <f t="shared" si="264"/>
        <v>0</v>
      </c>
    </row>
    <row r="292" spans="1:33" ht="21.95" customHeight="1" x14ac:dyDescent="0.2">
      <c r="A292" s="1833">
        <f>satpek!B104</f>
        <v>85</v>
      </c>
      <c r="B292" s="1943">
        <f t="shared" si="265"/>
        <v>21</v>
      </c>
      <c r="C292" s="1937"/>
      <c r="D292" s="1944" t="str">
        <f>VLOOKUP($A292,satpek!$B$20:$N$144,2,0)</f>
        <v>Memasang Exhaust fan</v>
      </c>
      <c r="E292" s="1944"/>
      <c r="F292" s="2004"/>
      <c r="G292" s="1945">
        <f>'[3]B.VOL RAB'!Q627</f>
        <v>10</v>
      </c>
      <c r="H292" s="2456" t="str">
        <f>VLOOKUP($A292,satpek!$B$20:$N$144,7,0)</f>
        <v>bh</v>
      </c>
      <c r="I292" s="2457" t="str">
        <f>VLOOKUP($A292,satpek!$B$20:$N$144,5,0)</f>
        <v>An. Dihitung</v>
      </c>
      <c r="J292" s="1951">
        <f>VLOOKUP($A292,satpek!$B$20:$N$144,6,0)</f>
        <v>556977</v>
      </c>
      <c r="K292" s="1938"/>
      <c r="L292" s="1952">
        <f t="shared" si="278"/>
        <v>5569770</v>
      </c>
      <c r="M292" s="1967"/>
      <c r="N292" s="2458">
        <f>VLOOKUP($A292,satpek!$B$20:$L$138,8,0)</f>
        <v>0.11594643944004869</v>
      </c>
      <c r="O292" s="1954">
        <f>VLOOKUP($A292,satpek!$B$20:$L$138,9,0)</f>
        <v>57150</v>
      </c>
      <c r="P292" s="1954">
        <f>VLOOKUP($A292,satpek!$B$20:$L$138,10,0)</f>
        <v>64579.5</v>
      </c>
      <c r="Q292" s="1952">
        <f t="shared" si="260"/>
        <v>571500</v>
      </c>
      <c r="R292" s="1952">
        <f t="shared" si="261"/>
        <v>645795</v>
      </c>
      <c r="S292" s="1955">
        <f t="shared" si="262"/>
        <v>4923975</v>
      </c>
      <c r="V292" s="1956">
        <v>10</v>
      </c>
      <c r="W292" s="1956"/>
      <c r="X292" s="1956">
        <f t="shared" si="263"/>
        <v>0</v>
      </c>
      <c r="Y292" s="1836" t="s">
        <v>1886</v>
      </c>
      <c r="AD292" s="1836"/>
      <c r="AE292" s="1836"/>
      <c r="AF292" s="1837">
        <v>556604.1</v>
      </c>
      <c r="AG292" s="1960">
        <f t="shared" si="264"/>
        <v>-372.90000000002328</v>
      </c>
    </row>
    <row r="293" spans="1:33" ht="21.95" customHeight="1" x14ac:dyDescent="0.2">
      <c r="B293" s="1943"/>
      <c r="C293" s="1988"/>
      <c r="D293" s="1989"/>
      <c r="E293" s="1989"/>
      <c r="F293" s="1990"/>
      <c r="G293" s="1945"/>
      <c r="H293" s="2483"/>
      <c r="I293" s="2484"/>
      <c r="J293" s="1997"/>
      <c r="K293" s="2392"/>
      <c r="L293" s="1999"/>
      <c r="M293" s="1997"/>
      <c r="N293" s="2485"/>
      <c r="O293" s="1996"/>
      <c r="P293" s="1996"/>
      <c r="Q293" s="2484"/>
      <c r="R293" s="2486"/>
      <c r="S293" s="2487"/>
      <c r="V293" s="1956"/>
      <c r="W293" s="1956"/>
      <c r="X293" s="1956">
        <f t="shared" si="263"/>
        <v>0</v>
      </c>
      <c r="AD293" s="1836"/>
      <c r="AE293" s="1836"/>
      <c r="AF293" s="1837"/>
      <c r="AG293" s="1960">
        <f t="shared" si="264"/>
        <v>0</v>
      </c>
    </row>
    <row r="294" spans="1:33" ht="21.95" customHeight="1" x14ac:dyDescent="0.2">
      <c r="B294" s="1927"/>
      <c r="C294" s="2033"/>
      <c r="D294" s="2034" t="s">
        <v>1786</v>
      </c>
      <c r="E294" s="2035"/>
      <c r="F294" s="2036"/>
      <c r="G294" s="1945"/>
      <c r="H294" s="2037"/>
      <c r="I294" s="2038"/>
      <c r="J294" s="1997"/>
      <c r="K294" s="2041"/>
      <c r="L294" s="2042"/>
      <c r="M294" s="1997"/>
      <c r="N294" s="2466"/>
      <c r="O294" s="2040"/>
      <c r="P294" s="2040"/>
      <c r="Q294" s="2038"/>
      <c r="R294" s="2043"/>
      <c r="S294" s="2044"/>
      <c r="V294" s="1956"/>
      <c r="W294" s="1956"/>
      <c r="X294" s="1956">
        <f t="shared" si="263"/>
        <v>0</v>
      </c>
      <c r="Y294" s="1836" t="s">
        <v>1786</v>
      </c>
      <c r="AC294" s="1836"/>
      <c r="AD294" s="1836"/>
      <c r="AE294" s="1836"/>
      <c r="AF294" s="1837"/>
      <c r="AG294" s="1960">
        <f t="shared" si="264"/>
        <v>0</v>
      </c>
    </row>
    <row r="295" spans="1:33" ht="21.95" customHeight="1" x14ac:dyDescent="0.2">
      <c r="A295" s="1833">
        <f>satpek!B86</f>
        <v>67</v>
      </c>
      <c r="B295" s="1943">
        <v>1</v>
      </c>
      <c r="C295" s="1937"/>
      <c r="D295" s="1944" t="s">
        <v>1887</v>
      </c>
      <c r="E295" s="1944"/>
      <c r="F295" s="2004"/>
      <c r="G295" s="1945">
        <f>'[3]B.VOL RAB'!Q631</f>
        <v>7.6</v>
      </c>
      <c r="H295" s="2456" t="str">
        <f>VLOOKUP($A295,satpek!$B$20:$N$144,7,0)</f>
        <v>ttk</v>
      </c>
      <c r="I295" s="2457" t="str">
        <f>VLOOKUP($A295,satpek!$B$20:$N$144,5,0)</f>
        <v>An. Dihitung</v>
      </c>
      <c r="J295" s="1951">
        <f>VLOOKUP($A295,satpek!$B$20:$N$144,6,0)</f>
        <v>490227.9</v>
      </c>
      <c r="K295" s="1938"/>
      <c r="L295" s="1952">
        <f t="shared" ref="L295" si="279">ROUND((G295*J295),2)</f>
        <v>3725732.04</v>
      </c>
      <c r="M295" s="1967"/>
      <c r="N295" s="2458">
        <f>VLOOKUP($A295,satpek!$B$20:$L$138,8,0)</f>
        <v>0.87737132056335432</v>
      </c>
      <c r="O295" s="1954">
        <f>VLOOKUP($A295,satpek!$B$20:$L$138,9,0)</f>
        <v>380630</v>
      </c>
      <c r="P295" s="1954">
        <f>VLOOKUP($A295,satpek!$B$20:$L$138,10,0)</f>
        <v>430111.9</v>
      </c>
      <c r="Q295" s="1952">
        <f t="shared" ref="Q295:Q314" si="280">O295*G295</f>
        <v>2892788</v>
      </c>
      <c r="R295" s="1952">
        <f t="shared" ref="R295:R314" si="281">N295*L295</f>
        <v>3268850.44</v>
      </c>
      <c r="S295" s="1955">
        <f t="shared" ref="S295:S314" si="282">L295-R295</f>
        <v>456881.60000000009</v>
      </c>
      <c r="V295" s="1956">
        <v>7.6</v>
      </c>
      <c r="W295" s="1956"/>
      <c r="X295" s="1956">
        <f t="shared" si="263"/>
        <v>0</v>
      </c>
      <c r="Y295" s="1836" t="s">
        <v>1887</v>
      </c>
      <c r="AC295" s="1836"/>
      <c r="AD295" s="1836"/>
      <c r="AE295" s="1836"/>
      <c r="AF295" s="1837">
        <v>167950.77</v>
      </c>
      <c r="AG295" s="1960">
        <f t="shared" si="264"/>
        <v>-322277.13</v>
      </c>
    </row>
    <row r="296" spans="1:33" ht="21.95" customHeight="1" x14ac:dyDescent="0.2">
      <c r="A296" s="1833">
        <f>satpek!B89</f>
        <v>70</v>
      </c>
      <c r="B296" s="1943">
        <f t="shared" ref="B296:B314" si="283">B295+1</f>
        <v>2</v>
      </c>
      <c r="C296" s="1937"/>
      <c r="D296" s="1944" t="str">
        <f>VLOOKUP($A296,satpek!$B$20:$N$144,2,0)</f>
        <v>Memasang instalasi titik lampu (kabel 2x1,5 mm) tanpa fitting</v>
      </c>
      <c r="E296" s="1944"/>
      <c r="F296" s="2004"/>
      <c r="G296" s="1945">
        <f>'[3]B.VOL RAB'!Q632</f>
        <v>12</v>
      </c>
      <c r="H296" s="2456" t="str">
        <f>VLOOKUP($A296,satpek!$B$20:$N$144,7,0)</f>
        <v>ttk</v>
      </c>
      <c r="I296" s="2457" t="str">
        <f>VLOOKUP($A296,satpek!$B$20:$N$144,5,0)</f>
        <v>An. Dihitung</v>
      </c>
      <c r="J296" s="1951">
        <f>VLOOKUP($A296,satpek!$B$20:$N$144,6,0)</f>
        <v>115332.32</v>
      </c>
      <c r="K296" s="1938"/>
      <c r="L296" s="1952">
        <f t="shared" ref="L296:L297" si="284">ROUND((G296*J296),2)</f>
        <v>1383987.84</v>
      </c>
      <c r="M296" s="1967"/>
      <c r="N296" s="2458">
        <f>VLOOKUP($A296,satpek!$B$20:$L$138,8,0)</f>
        <v>0.80012051261953288</v>
      </c>
      <c r="O296" s="1954">
        <f>VLOOKUP($A296,satpek!$B$20:$L$138,9,0)</f>
        <v>81663.5</v>
      </c>
      <c r="P296" s="1954">
        <f>VLOOKUP($A296,satpek!$B$20:$L$138,10,0)</f>
        <v>92279.755000000005</v>
      </c>
      <c r="Q296" s="1952">
        <f t="shared" si="280"/>
        <v>979962</v>
      </c>
      <c r="R296" s="1952">
        <f t="shared" si="281"/>
        <v>1107357.06</v>
      </c>
      <c r="S296" s="1955">
        <f t="shared" si="282"/>
        <v>276630.78000000003</v>
      </c>
      <c r="V296" s="1956">
        <v>12</v>
      </c>
      <c r="W296" s="1956"/>
      <c r="X296" s="1956">
        <f t="shared" si="263"/>
        <v>0</v>
      </c>
      <c r="Y296" s="1836" t="s">
        <v>1917</v>
      </c>
      <c r="AC296" s="1836"/>
      <c r="AD296" s="1836"/>
      <c r="AE296" s="1836"/>
      <c r="AF296" s="1837">
        <v>215790.45</v>
      </c>
      <c r="AG296" s="1960">
        <f t="shared" si="264"/>
        <v>100458.13</v>
      </c>
    </row>
    <row r="297" spans="1:33" ht="21.95" customHeight="1" x14ac:dyDescent="0.2">
      <c r="A297" s="1833">
        <f>satpek!B91</f>
        <v>72</v>
      </c>
      <c r="B297" s="1943">
        <f t="shared" si="283"/>
        <v>3</v>
      </c>
      <c r="C297" s="1937"/>
      <c r="D297" s="1944" t="str">
        <f>VLOOKUP($A297,satpek!$B$20:$N$144,2,0)</f>
        <v>Memasang Instalasi titik stop kontak (kabel 3x2,5 mm)</v>
      </c>
      <c r="E297" s="1944"/>
      <c r="F297" s="2004"/>
      <c r="G297" s="1945">
        <f>'[3]B.VOL RAB'!Q633</f>
        <v>42</v>
      </c>
      <c r="H297" s="2456" t="str">
        <f>VLOOKUP($A297,satpek!$B$20:$N$144,7,0)</f>
        <v>ttk</v>
      </c>
      <c r="I297" s="2457" t="str">
        <f>VLOOKUP($A297,satpek!$B$20:$N$144,5,0)</f>
        <v>An. Dihitung</v>
      </c>
      <c r="J297" s="1951">
        <f>VLOOKUP($A297,satpek!$B$20:$N$144,6,0)</f>
        <v>145842.32</v>
      </c>
      <c r="K297" s="1938"/>
      <c r="L297" s="1952">
        <f t="shared" si="284"/>
        <v>6125377.4400000004</v>
      </c>
      <c r="M297" s="1967"/>
      <c r="N297" s="2458">
        <f>VLOOKUP($A297,satpek!$B$20:$L$138,8,0)</f>
        <v>0.8179817764829852</v>
      </c>
      <c r="O297" s="1954">
        <f>VLOOKUP($A297,satpek!$B$20:$L$138,9,0)</f>
        <v>105572</v>
      </c>
      <c r="P297" s="1954">
        <f>VLOOKUP($A297,satpek!$B$20:$L$138,10,0)</f>
        <v>119296.36</v>
      </c>
      <c r="Q297" s="1952">
        <f t="shared" si="280"/>
        <v>4434024</v>
      </c>
      <c r="R297" s="1952">
        <f t="shared" si="281"/>
        <v>5010447.12</v>
      </c>
      <c r="S297" s="1955">
        <f t="shared" si="282"/>
        <v>1114930.3200000003</v>
      </c>
      <c r="V297" s="1956">
        <v>42</v>
      </c>
      <c r="W297" s="1956"/>
      <c r="X297" s="1956">
        <f t="shared" si="263"/>
        <v>0</v>
      </c>
      <c r="Y297" s="1836" t="s">
        <v>1918</v>
      </c>
      <c r="AD297" s="1836"/>
      <c r="AE297" s="1836"/>
      <c r="AF297" s="1837">
        <v>249351.45</v>
      </c>
      <c r="AG297" s="1960">
        <f t="shared" si="264"/>
        <v>103509.13</v>
      </c>
    </row>
    <row r="298" spans="1:33" ht="21.95" customHeight="1" x14ac:dyDescent="0.2">
      <c r="A298" s="1833">
        <f>A297</f>
        <v>72</v>
      </c>
      <c r="B298" s="1943">
        <f t="shared" si="283"/>
        <v>4</v>
      </c>
      <c r="C298" s="1937"/>
      <c r="D298" s="1944" t="s">
        <v>1874</v>
      </c>
      <c r="E298" s="1944"/>
      <c r="F298" s="2004"/>
      <c r="G298" s="1945">
        <f>'[3]B.VOL RAB'!Q634</f>
        <v>12</v>
      </c>
      <c r="H298" s="2456" t="str">
        <f>VLOOKUP($A298,satpek!$B$20:$N$144,7,0)</f>
        <v>ttk</v>
      </c>
      <c r="I298" s="2457" t="str">
        <f>VLOOKUP($A298,satpek!$B$20:$N$144,5,0)</f>
        <v>An. Dihitung</v>
      </c>
      <c r="J298" s="1951">
        <f>VLOOKUP($A298,satpek!$B$20:$N$144,6,0)</f>
        <v>145842.32</v>
      </c>
      <c r="K298" s="1938"/>
      <c r="L298" s="1952">
        <f t="shared" ref="L298" si="285">ROUND((G298*J298),2)</f>
        <v>1750107.84</v>
      </c>
      <c r="M298" s="1967"/>
      <c r="N298" s="2458">
        <f>VLOOKUP($A298,satpek!$B$20:$L$138,8,0)</f>
        <v>0.8179817764829852</v>
      </c>
      <c r="O298" s="1954">
        <f>VLOOKUP($A298,satpek!$B$20:$L$138,9,0)</f>
        <v>105572</v>
      </c>
      <c r="P298" s="1954">
        <f>VLOOKUP($A298,satpek!$B$20:$L$138,10,0)</f>
        <v>119296.36</v>
      </c>
      <c r="Q298" s="1952">
        <f t="shared" si="280"/>
        <v>1266864</v>
      </c>
      <c r="R298" s="1952">
        <f t="shared" si="281"/>
        <v>1431556.32</v>
      </c>
      <c r="S298" s="1955">
        <f t="shared" si="282"/>
        <v>318551.52</v>
      </c>
      <c r="V298" s="1956">
        <v>12</v>
      </c>
      <c r="W298" s="1956"/>
      <c r="X298" s="1956">
        <f t="shared" si="263"/>
        <v>0</v>
      </c>
      <c r="Y298" s="1836" t="s">
        <v>1874</v>
      </c>
      <c r="AD298" s="1836"/>
      <c r="AE298" s="1836"/>
      <c r="AF298" s="1837">
        <v>249351.45</v>
      </c>
      <c r="AG298" s="1960">
        <f t="shared" si="264"/>
        <v>103509.13</v>
      </c>
    </row>
    <row r="299" spans="1:33" ht="21.95" customHeight="1" x14ac:dyDescent="0.2">
      <c r="A299" s="1833">
        <f>satpek!B92</f>
        <v>73</v>
      </c>
      <c r="B299" s="1943">
        <f t="shared" si="283"/>
        <v>5</v>
      </c>
      <c r="C299" s="1937"/>
      <c r="D299" s="1944" t="str">
        <f>VLOOKUP($A299,satpek!$B$20:$N$144,2,0)</f>
        <v>Instalasi titik Telephone 2 pair</v>
      </c>
      <c r="E299" s="1944"/>
      <c r="F299" s="2004"/>
      <c r="G299" s="1945">
        <f>'[3]B.VOL RAB'!Q637</f>
        <v>28</v>
      </c>
      <c r="H299" s="2456" t="str">
        <f>VLOOKUP($A299,satpek!$B$20:$N$144,7,0)</f>
        <v>ttk</v>
      </c>
      <c r="I299" s="2457" t="str">
        <f>VLOOKUP($A299,satpek!$B$20:$N$144,5,0)</f>
        <v>An. Dihitung</v>
      </c>
      <c r="J299" s="1951">
        <f>VLOOKUP($A299,satpek!$B$20:$N$144,6,0)</f>
        <v>93371.9</v>
      </c>
      <c r="K299" s="1938"/>
      <c r="L299" s="1952">
        <f t="shared" ref="L299" si="286">ROUND((G299*J299),2)</f>
        <v>2614413.2000000002</v>
      </c>
      <c r="M299" s="1967"/>
      <c r="N299" s="2458">
        <f>VLOOKUP($A299,satpek!$B$20:$L$138,8,0)</f>
        <v>0.9071039574004599</v>
      </c>
      <c r="O299" s="1954">
        <f>VLOOKUP($A299,satpek!$B$20:$L$138,9,0)</f>
        <v>74954</v>
      </c>
      <c r="P299" s="1954">
        <f>VLOOKUP($A299,satpek!$B$20:$L$138,10,0)</f>
        <v>84698.02</v>
      </c>
      <c r="Q299" s="1952">
        <f t="shared" si="280"/>
        <v>2098712</v>
      </c>
      <c r="R299" s="1952">
        <f t="shared" si="281"/>
        <v>2371544.56</v>
      </c>
      <c r="S299" s="1955">
        <f t="shared" si="282"/>
        <v>242868.64000000013</v>
      </c>
      <c r="V299" s="1956">
        <v>28</v>
      </c>
      <c r="W299" s="1956"/>
      <c r="X299" s="1956">
        <f t="shared" si="263"/>
        <v>0</v>
      </c>
      <c r="Y299" s="1836" t="s">
        <v>1875</v>
      </c>
      <c r="AD299" s="1836"/>
      <c r="AE299" s="1836"/>
      <c r="AF299" s="1837">
        <v>92208</v>
      </c>
      <c r="AG299" s="1960">
        <f t="shared" si="264"/>
        <v>-1163.8999999999942</v>
      </c>
    </row>
    <row r="300" spans="1:33" ht="21.95" customHeight="1" x14ac:dyDescent="0.2">
      <c r="A300" s="1833">
        <f>A279</f>
        <v>74</v>
      </c>
      <c r="B300" s="1943">
        <f t="shared" si="283"/>
        <v>6</v>
      </c>
      <c r="C300" s="1937"/>
      <c r="D300" s="1944" t="str">
        <f>VLOOKUP($A300,satpek!$B$20:$N$144,2,0)</f>
        <v>Instalasi titik Data CAT 6</v>
      </c>
      <c r="E300" s="1944"/>
      <c r="F300" s="2004"/>
      <c r="G300" s="1945">
        <f>'[3]B.VOL RAB'!Q638</f>
        <v>12</v>
      </c>
      <c r="H300" s="2456" t="str">
        <f>VLOOKUP($A300,satpek!$B$20:$N$144,7,0)</f>
        <v>ttk</v>
      </c>
      <c r="I300" s="2457" t="str">
        <f>VLOOKUP($A300,satpek!$B$20:$N$144,5,0)</f>
        <v>An. Dihitung</v>
      </c>
      <c r="J300" s="1951">
        <f>VLOOKUP($A300,satpek!$B$20:$N$144,6,0)</f>
        <v>140437.33000000002</v>
      </c>
      <c r="K300" s="1938"/>
      <c r="L300" s="1952">
        <f t="shared" ref="L300" si="287">ROUND((G300*J300),2)</f>
        <v>1685247.96</v>
      </c>
      <c r="M300" s="1967"/>
      <c r="N300" s="2458">
        <f>VLOOKUP($A300,satpek!$B$20:$L$138,8,0)</f>
        <v>0.88809056240536555</v>
      </c>
      <c r="O300" s="1954">
        <f>VLOOKUP($A300,satpek!$B$20:$L$138,9,0)</f>
        <v>110372.62333</v>
      </c>
      <c r="P300" s="1954">
        <f>VLOOKUP($A300,satpek!$B$20:$L$138,10,0)</f>
        <v>124721.0643629</v>
      </c>
      <c r="Q300" s="1952">
        <f t="shared" si="280"/>
        <v>1324471.4799600001</v>
      </c>
      <c r="R300" s="1952">
        <f t="shared" si="281"/>
        <v>1496652.808588895</v>
      </c>
      <c r="S300" s="1955">
        <f t="shared" si="282"/>
        <v>188595.15141110495</v>
      </c>
      <c r="V300" s="1956">
        <v>12</v>
      </c>
      <c r="W300" s="1956"/>
      <c r="X300" s="1956">
        <f t="shared" si="263"/>
        <v>0</v>
      </c>
      <c r="Y300" s="1836" t="s">
        <v>1876</v>
      </c>
      <c r="AD300" s="1836"/>
      <c r="AE300" s="1836"/>
      <c r="AF300" s="1837">
        <v>139273.43</v>
      </c>
      <c r="AG300" s="1960">
        <f t="shared" si="264"/>
        <v>-1163.9000000000233</v>
      </c>
    </row>
    <row r="301" spans="1:33" ht="21.95" customHeight="1" x14ac:dyDescent="0.2">
      <c r="A301" s="1833">
        <f>satpek!B94</f>
        <v>75</v>
      </c>
      <c r="B301" s="1943">
        <f t="shared" si="283"/>
        <v>7</v>
      </c>
      <c r="C301" s="1937"/>
      <c r="D301" s="1944" t="str">
        <f>VLOOKUP($A301,satpek!$B$20:$N$144,2,0)</f>
        <v>Memasang saklar ganda</v>
      </c>
      <c r="E301" s="1944"/>
      <c r="F301" s="2004"/>
      <c r="G301" s="1945">
        <f>'[3]B.VOL RAB'!Q637</f>
        <v>28</v>
      </c>
      <c r="H301" s="2456" t="str">
        <f>VLOOKUP($A301,satpek!$B$20:$N$144,7,0)</f>
        <v>bh</v>
      </c>
      <c r="I301" s="2457" t="str">
        <f>VLOOKUP($A301,satpek!$B$20:$N$144,5,0)</f>
        <v>An. Dihitung</v>
      </c>
      <c r="J301" s="1951">
        <f>VLOOKUP($A301,satpek!$B$20:$N$144,6,0)</f>
        <v>49855.6</v>
      </c>
      <c r="K301" s="1938"/>
      <c r="L301" s="1952">
        <f t="shared" ref="L301:L303" si="288">ROUND((G301*J301),2)</f>
        <v>1395956.8</v>
      </c>
      <c r="M301" s="1967"/>
      <c r="N301" s="2458">
        <f>VLOOKUP($A301,satpek!$B$20:$L$138,8,0)</f>
        <v>0.55736627379873072</v>
      </c>
      <c r="O301" s="1954">
        <f>VLOOKUP($A301,satpek!$B$20:$L$138,9,0)</f>
        <v>24591</v>
      </c>
      <c r="P301" s="1954">
        <f>VLOOKUP($A301,satpek!$B$20:$L$138,10,0)</f>
        <v>27787.83</v>
      </c>
      <c r="Q301" s="1952">
        <f t="shared" si="280"/>
        <v>688548</v>
      </c>
      <c r="R301" s="1952">
        <f t="shared" si="281"/>
        <v>778059.24</v>
      </c>
      <c r="S301" s="1955">
        <f t="shared" si="282"/>
        <v>617897.56000000006</v>
      </c>
      <c r="V301" s="1956">
        <v>28</v>
      </c>
      <c r="W301" s="1956"/>
      <c r="X301" s="1956">
        <f t="shared" si="263"/>
        <v>0</v>
      </c>
      <c r="Y301" s="1836" t="s">
        <v>372</v>
      </c>
      <c r="AD301" s="1836"/>
      <c r="AE301" s="1836"/>
      <c r="AF301" s="1837">
        <v>49482.7</v>
      </c>
      <c r="AG301" s="1960">
        <f t="shared" si="264"/>
        <v>-372.90000000000146</v>
      </c>
    </row>
    <row r="302" spans="1:33" ht="21.95" customHeight="1" x14ac:dyDescent="0.2">
      <c r="A302" s="1833">
        <f>satpek!B95</f>
        <v>76</v>
      </c>
      <c r="B302" s="1943">
        <f t="shared" si="283"/>
        <v>8</v>
      </c>
      <c r="C302" s="1937"/>
      <c r="D302" s="1944" t="str">
        <f>VLOOKUP($A302,satpek!$B$20:$N$144,2,0)</f>
        <v>Memasang saklar tunggal</v>
      </c>
      <c r="E302" s="1944"/>
      <c r="F302" s="2004"/>
      <c r="G302" s="1945">
        <f>'[3]B.VOL RAB'!Q638</f>
        <v>12</v>
      </c>
      <c r="H302" s="2456" t="str">
        <f>VLOOKUP($A302,satpek!$B$20:$N$144,7,0)</f>
        <v>bh</v>
      </c>
      <c r="I302" s="2457" t="str">
        <f>VLOOKUP($A302,satpek!$B$20:$N$144,5,0)</f>
        <v>An. Dihitung</v>
      </c>
      <c r="J302" s="1951">
        <f>VLOOKUP($A302,satpek!$B$20:$N$144,6,0)</f>
        <v>41826.949999999997</v>
      </c>
      <c r="K302" s="1938"/>
      <c r="L302" s="1952">
        <f t="shared" si="288"/>
        <v>501923.4</v>
      </c>
      <c r="M302" s="1967"/>
      <c r="N302" s="2458">
        <f>VLOOKUP($A302,satpek!$B$20:$L$138,8,0)</f>
        <v>0.5819465081723626</v>
      </c>
      <c r="O302" s="1954">
        <f>VLOOKUP($A302,satpek!$B$20:$L$138,9,0)</f>
        <v>21540.75</v>
      </c>
      <c r="P302" s="1954">
        <f>VLOOKUP($A302,satpek!$B$20:$L$138,10,0)</f>
        <v>24341.047500000001</v>
      </c>
      <c r="Q302" s="1952">
        <f t="shared" si="280"/>
        <v>258489</v>
      </c>
      <c r="R302" s="1952">
        <f t="shared" si="281"/>
        <v>292092.57</v>
      </c>
      <c r="S302" s="1955">
        <f t="shared" si="282"/>
        <v>209830.83000000002</v>
      </c>
      <c r="V302" s="1956">
        <v>12</v>
      </c>
      <c r="W302" s="1956"/>
      <c r="X302" s="1956">
        <f t="shared" si="263"/>
        <v>0</v>
      </c>
      <c r="Y302" s="1836" t="s">
        <v>373</v>
      </c>
      <c r="AD302" s="1836"/>
      <c r="AE302" s="1836"/>
      <c r="AF302" s="1837">
        <v>41454.050000000003</v>
      </c>
      <c r="AG302" s="1960">
        <f t="shared" si="264"/>
        <v>-372.89999999999418</v>
      </c>
    </row>
    <row r="303" spans="1:33" ht="21.95" customHeight="1" x14ac:dyDescent="0.2">
      <c r="A303" s="1833">
        <f>satpek!B96</f>
        <v>77</v>
      </c>
      <c r="B303" s="1943">
        <f t="shared" si="283"/>
        <v>9</v>
      </c>
      <c r="C303" s="1937"/>
      <c r="D303" s="1944" t="str">
        <f>VLOOKUP($A303,satpek!$B$20:$N$144,2,0)</f>
        <v>Memasang stop kontak</v>
      </c>
      <c r="E303" s="1944"/>
      <c r="F303" s="2004"/>
      <c r="G303" s="1945">
        <f>'[3]B.VOL RAB'!Q639</f>
        <v>42</v>
      </c>
      <c r="H303" s="2456" t="str">
        <f>VLOOKUP($A303,satpek!$B$20:$N$144,7,0)</f>
        <v>bh</v>
      </c>
      <c r="I303" s="2457" t="str">
        <f>VLOOKUP($A303,satpek!$B$20:$N$144,5,0)</f>
        <v>An. Dihitung</v>
      </c>
      <c r="J303" s="1951">
        <f>VLOOKUP($A303,satpek!$B$20:$N$144,6,0)</f>
        <v>37730.699999999997</v>
      </c>
      <c r="K303" s="1938"/>
      <c r="L303" s="1952">
        <f t="shared" si="288"/>
        <v>1584689.4</v>
      </c>
      <c r="M303" s="1967"/>
      <c r="N303" s="2458">
        <f>VLOOKUP($A303,satpek!$B$20:$L$138,8,0)</f>
        <v>0.59851752021563343</v>
      </c>
      <c r="O303" s="1954">
        <f>VLOOKUP($A303,satpek!$B$20:$L$138,9,0)</f>
        <v>19984.5</v>
      </c>
      <c r="P303" s="1954">
        <f>VLOOKUP($A303,satpek!$B$20:$L$138,10,0)</f>
        <v>22582.485000000001</v>
      </c>
      <c r="Q303" s="1952">
        <f t="shared" si="280"/>
        <v>839349</v>
      </c>
      <c r="R303" s="1952">
        <f t="shared" si="281"/>
        <v>948464.37</v>
      </c>
      <c r="S303" s="1955">
        <f t="shared" si="282"/>
        <v>636225.02999999991</v>
      </c>
      <c r="V303" s="1956">
        <v>42</v>
      </c>
      <c r="W303" s="1956"/>
      <c r="X303" s="1956">
        <f t="shared" si="263"/>
        <v>0</v>
      </c>
      <c r="Y303" s="1836" t="s">
        <v>374</v>
      </c>
      <c r="AD303" s="1836"/>
      <c r="AE303" s="1836"/>
      <c r="AF303" s="1837">
        <v>37357.800000000003</v>
      </c>
      <c r="AG303" s="1960">
        <f t="shared" si="264"/>
        <v>-372.89999999999418</v>
      </c>
    </row>
    <row r="304" spans="1:33" ht="21.95" customHeight="1" x14ac:dyDescent="0.2">
      <c r="A304" s="1833">
        <f>satpek!B97</f>
        <v>78</v>
      </c>
      <c r="B304" s="1943">
        <f t="shared" si="283"/>
        <v>10</v>
      </c>
      <c r="C304" s="1937"/>
      <c r="D304" s="1944" t="str">
        <f>VLOOKUP($A304,satpek!$B$20:$N$144,2,0)</f>
        <v xml:space="preserve">Memasang stop kontak AC </v>
      </c>
      <c r="E304" s="1944"/>
      <c r="F304" s="2004"/>
      <c r="G304" s="1945">
        <f>'[3]B.VOL RAB'!Q640</f>
        <v>12</v>
      </c>
      <c r="H304" s="2456" t="str">
        <f>VLOOKUP($A304,satpek!$B$20:$N$144,7,0)</f>
        <v>bh</v>
      </c>
      <c r="I304" s="2457" t="str">
        <f>VLOOKUP($A304,satpek!$B$20:$N$144,5,0)</f>
        <v>An. Dihitung</v>
      </c>
      <c r="J304" s="1951">
        <f>VLOOKUP($A304,satpek!$B$20:$N$144,6,0)</f>
        <v>115836.3</v>
      </c>
      <c r="K304" s="1938"/>
      <c r="L304" s="1952">
        <f t="shared" ref="L304" si="289">ROUND((G304*J304),2)</f>
        <v>1390035.6</v>
      </c>
      <c r="M304" s="1967"/>
      <c r="N304" s="2458">
        <f>VLOOKUP($A304,satpek!$B$20:$L$138,8,0)</f>
        <v>0.46296458882060287</v>
      </c>
      <c r="O304" s="1954">
        <f>VLOOKUP($A304,satpek!$B$20:$L$138,9,0)</f>
        <v>47458.5</v>
      </c>
      <c r="P304" s="1954">
        <f>VLOOKUP($A304,satpek!$B$20:$L$138,10,0)</f>
        <v>53628.105000000003</v>
      </c>
      <c r="Q304" s="1952">
        <f t="shared" si="280"/>
        <v>569502</v>
      </c>
      <c r="R304" s="1952">
        <f t="shared" si="281"/>
        <v>643537.26</v>
      </c>
      <c r="S304" s="1955">
        <f t="shared" si="282"/>
        <v>746498.34000000008</v>
      </c>
      <c r="V304" s="1956">
        <v>12</v>
      </c>
      <c r="W304" s="1956"/>
      <c r="X304" s="1956">
        <f t="shared" si="263"/>
        <v>0</v>
      </c>
      <c r="Y304" s="1836" t="s">
        <v>1877</v>
      </c>
      <c r="AD304" s="1836"/>
      <c r="AE304" s="1836"/>
      <c r="AF304" s="1837">
        <v>115463.4</v>
      </c>
      <c r="AG304" s="1960">
        <f t="shared" si="264"/>
        <v>-372.90000000000873</v>
      </c>
    </row>
    <row r="305" spans="1:33" ht="21.95" customHeight="1" x14ac:dyDescent="0.2">
      <c r="A305" s="1833">
        <f>satpek!$B$98</f>
        <v>79</v>
      </c>
      <c r="B305" s="1943">
        <f t="shared" si="283"/>
        <v>11</v>
      </c>
      <c r="C305" s="1937"/>
      <c r="D305" s="1944" t="str">
        <f>VLOOKUP($A305,satpek!$B$20:$N$144,2,0)</f>
        <v>Memasang stop kontak outlet Telephone</v>
      </c>
      <c r="E305" s="1944"/>
      <c r="F305" s="2004"/>
      <c r="G305" s="1945">
        <f>'[3]B.VOL RAB'!Q641</f>
        <v>4</v>
      </c>
      <c r="H305" s="2456" t="str">
        <f>VLOOKUP($A305,satpek!$B$20:$N$144,7,0)</f>
        <v>bh</v>
      </c>
      <c r="I305" s="2457" t="str">
        <f>VLOOKUP($A305,satpek!$B$20:$N$144,5,0)</f>
        <v>An. Dihitung</v>
      </c>
      <c r="J305" s="1951">
        <f>VLOOKUP($A305,satpek!$B$20:$N$144,6,0)</f>
        <v>82122.75</v>
      </c>
      <c r="K305" s="1938"/>
      <c r="L305" s="1952">
        <f t="shared" ref="L305:L310" si="290">ROUND((G305*J305),2)</f>
        <v>328491</v>
      </c>
      <c r="M305" s="1967"/>
      <c r="N305" s="2458">
        <f>VLOOKUP($A305,satpek!$B$20:$L$138,8,0)</f>
        <v>0.48653250773993806</v>
      </c>
      <c r="O305" s="1954">
        <f>VLOOKUP($A305,satpek!$B$20:$L$138,9,0)</f>
        <v>35358.75</v>
      </c>
      <c r="P305" s="1954">
        <f>VLOOKUP($A305,satpek!$B$20:$L$138,10,0)</f>
        <v>39955.387499999997</v>
      </c>
      <c r="Q305" s="1952">
        <f t="shared" si="280"/>
        <v>141435</v>
      </c>
      <c r="R305" s="1952">
        <f t="shared" si="281"/>
        <v>159821.54999999999</v>
      </c>
      <c r="S305" s="1955">
        <f t="shared" si="282"/>
        <v>168669.45</v>
      </c>
      <c r="V305" s="1956">
        <v>4</v>
      </c>
      <c r="W305" s="1956"/>
      <c r="X305" s="1956">
        <f t="shared" si="263"/>
        <v>0</v>
      </c>
      <c r="Y305" s="1836" t="s">
        <v>1878</v>
      </c>
      <c r="AD305" s="1836"/>
      <c r="AE305" s="1836"/>
      <c r="AF305" s="1837">
        <v>81749.850000000006</v>
      </c>
      <c r="AG305" s="1960">
        <f t="shared" si="264"/>
        <v>-372.89999999999418</v>
      </c>
    </row>
    <row r="306" spans="1:33" ht="21.95" customHeight="1" x14ac:dyDescent="0.2">
      <c r="A306" s="1833">
        <f>satpek!B99</f>
        <v>80</v>
      </c>
      <c r="B306" s="1943">
        <f t="shared" si="283"/>
        <v>12</v>
      </c>
      <c r="C306" s="1937"/>
      <c r="D306" s="1944" t="str">
        <f>VLOOKUP($A306,satpek!$B$20:$N$144,2,0)</f>
        <v>Memasang stop kontak outlet Data</v>
      </c>
      <c r="E306" s="1944"/>
      <c r="F306" s="2004"/>
      <c r="G306" s="1945">
        <f>'[3]B.VOL RAB'!Q642</f>
        <v>8</v>
      </c>
      <c r="H306" s="2456" t="str">
        <f>VLOOKUP($A306,satpek!$B$20:$N$144,7,0)</f>
        <v>bh</v>
      </c>
      <c r="I306" s="2457" t="str">
        <f>VLOOKUP($A306,satpek!$B$20:$N$144,5,0)</f>
        <v>An. Dihitung</v>
      </c>
      <c r="J306" s="1951">
        <f>VLOOKUP($A306,satpek!$B$20:$N$144,6,0)</f>
        <v>136278</v>
      </c>
      <c r="K306" s="1938"/>
      <c r="L306" s="1952">
        <f t="shared" si="290"/>
        <v>1090224</v>
      </c>
      <c r="M306" s="1967"/>
      <c r="N306" s="2458">
        <f>VLOOKUP($A306,satpek!$B$20:$L$138,8,0)</f>
        <v>0.45435323383084575</v>
      </c>
      <c r="O306" s="1954">
        <f>VLOOKUP($A306,satpek!$B$20:$L$138,9,0)</f>
        <v>54795</v>
      </c>
      <c r="P306" s="1954">
        <f>VLOOKUP($A306,satpek!$B$20:$L$138,10,0)</f>
        <v>61918.35</v>
      </c>
      <c r="Q306" s="1952">
        <f t="shared" si="280"/>
        <v>438360</v>
      </c>
      <c r="R306" s="1952">
        <f t="shared" si="281"/>
        <v>495346.8</v>
      </c>
      <c r="S306" s="1955">
        <f t="shared" si="282"/>
        <v>594877.19999999995</v>
      </c>
      <c r="V306" s="1956">
        <v>8</v>
      </c>
      <c r="W306" s="1956"/>
      <c r="X306" s="1956">
        <f t="shared" si="263"/>
        <v>0</v>
      </c>
      <c r="Y306" s="1836" t="s">
        <v>1879</v>
      </c>
      <c r="AD306" s="1836"/>
      <c r="AE306" s="1836"/>
      <c r="AF306" s="1837">
        <v>135905.1</v>
      </c>
      <c r="AG306" s="1960">
        <f t="shared" si="264"/>
        <v>-372.89999999999418</v>
      </c>
    </row>
    <row r="307" spans="1:33" ht="21.95" customHeight="1" x14ac:dyDescent="0.2">
      <c r="A307" s="1833">
        <f>satpek!B100</f>
        <v>81</v>
      </c>
      <c r="B307" s="1943">
        <f t="shared" si="283"/>
        <v>13</v>
      </c>
      <c r="C307" s="1937"/>
      <c r="D307" s="1944" t="str">
        <f>VLOOKUP($A307,satpek!$B$20:$N$144,2,0)</f>
        <v>Memasang downlight LED 10 watt tipe inbow</v>
      </c>
      <c r="E307" s="1944"/>
      <c r="F307" s="2004"/>
      <c r="G307" s="1945">
        <f>'[3]B.VOL RAB'!Q643</f>
        <v>12</v>
      </c>
      <c r="H307" s="2456" t="str">
        <f>VLOOKUP($A307,satpek!$B$20:$N$144,7,0)</f>
        <v>ttk</v>
      </c>
      <c r="I307" s="2457" t="str">
        <f>VLOOKUP($A307,satpek!$B$20:$N$144,5,0)</f>
        <v>An. Dihitung</v>
      </c>
      <c r="J307" s="1951">
        <f>VLOOKUP($A307,satpek!$B$20:$N$144,6,0)</f>
        <v>124333.9</v>
      </c>
      <c r="K307" s="1938"/>
      <c r="L307" s="1952">
        <f t="shared" si="290"/>
        <v>1492006.8</v>
      </c>
      <c r="M307" s="1967"/>
      <c r="N307" s="2458">
        <f>VLOOKUP($A307,satpek!$B$20:$L$138,8,0)</f>
        <v>0.71568663091884033</v>
      </c>
      <c r="O307" s="1954">
        <f>VLOOKUP($A307,satpek!$B$20:$L$138,9,0)</f>
        <v>78747</v>
      </c>
      <c r="P307" s="1954">
        <f>VLOOKUP($A307,satpek!$B$20:$L$138,10,0)</f>
        <v>88984.11</v>
      </c>
      <c r="Q307" s="1952">
        <f t="shared" si="280"/>
        <v>944964</v>
      </c>
      <c r="R307" s="1952">
        <f t="shared" si="281"/>
        <v>1067809.32</v>
      </c>
      <c r="S307" s="1955">
        <f t="shared" si="282"/>
        <v>424197.48</v>
      </c>
      <c r="V307" s="1956">
        <v>12</v>
      </c>
      <c r="W307" s="1956"/>
      <c r="X307" s="1956">
        <f t="shared" si="263"/>
        <v>0</v>
      </c>
      <c r="Y307" s="1836" t="s">
        <v>1880</v>
      </c>
      <c r="AD307" s="1836"/>
      <c r="AE307" s="1836"/>
      <c r="AF307" s="1837">
        <v>123237.8</v>
      </c>
      <c r="AG307" s="1960">
        <f t="shared" si="264"/>
        <v>-1096.0999999999913</v>
      </c>
    </row>
    <row r="308" spans="1:33" ht="21.95" customHeight="1" x14ac:dyDescent="0.2">
      <c r="A308" s="1833">
        <f>satpek!B101</f>
        <v>82</v>
      </c>
      <c r="B308" s="1943">
        <f t="shared" si="283"/>
        <v>14</v>
      </c>
      <c r="C308" s="1937"/>
      <c r="D308" s="1944" t="str">
        <f>VLOOKUP($A308,satpek!$B$20:$N$144,2,0)</f>
        <v>Memasang downlight LED 17 watt tipe inbow</v>
      </c>
      <c r="E308" s="1944"/>
      <c r="F308" s="2004"/>
      <c r="G308" s="1945">
        <f>'[3]B.VOL RAB'!Q644</f>
        <v>116</v>
      </c>
      <c r="H308" s="2456" t="str">
        <f>VLOOKUP($A308,satpek!$B$20:$N$144,7,0)</f>
        <v>ttk</v>
      </c>
      <c r="I308" s="2457" t="str">
        <f>VLOOKUP($A308,satpek!$B$20:$N$144,5,0)</f>
        <v>An. Dihitung</v>
      </c>
      <c r="J308" s="1951">
        <f>VLOOKUP($A308,satpek!$B$20:$N$144,6,0)</f>
        <v>186709.9</v>
      </c>
      <c r="K308" s="1938"/>
      <c r="L308" s="1952">
        <f t="shared" si="290"/>
        <v>21658348.399999999</v>
      </c>
      <c r="M308" s="1967"/>
      <c r="N308" s="2458">
        <f>VLOOKUP($A308,satpek!$B$20:$L$138,8,0)</f>
        <v>0.68084367245657573</v>
      </c>
      <c r="O308" s="1954">
        <f>VLOOKUP($A308,satpek!$B$20:$L$138,9,0)</f>
        <v>112495.8</v>
      </c>
      <c r="P308" s="1954">
        <f>VLOOKUP($A308,satpek!$B$20:$L$138,10,0)</f>
        <v>127120.254</v>
      </c>
      <c r="Q308" s="1952">
        <f t="shared" si="280"/>
        <v>13049512.800000001</v>
      </c>
      <c r="R308" s="1952">
        <f t="shared" si="281"/>
        <v>14745949.464</v>
      </c>
      <c r="S308" s="1955">
        <f t="shared" si="282"/>
        <v>6912398.9359999988</v>
      </c>
      <c r="V308" s="1956">
        <v>116</v>
      </c>
      <c r="W308" s="1956"/>
      <c r="X308" s="1956">
        <f t="shared" si="263"/>
        <v>0</v>
      </c>
      <c r="Y308" s="1836" t="s">
        <v>1881</v>
      </c>
      <c r="AD308" s="1836"/>
      <c r="AE308" s="1836"/>
      <c r="AF308" s="1837">
        <v>185613.8</v>
      </c>
      <c r="AG308" s="1960">
        <f t="shared" si="264"/>
        <v>-1096.1000000000058</v>
      </c>
    </row>
    <row r="309" spans="1:33" ht="21.95" customHeight="1" x14ac:dyDescent="0.2">
      <c r="A309" s="1833">
        <f>satpek!B103</f>
        <v>84</v>
      </c>
      <c r="B309" s="1943">
        <f t="shared" si="283"/>
        <v>15</v>
      </c>
      <c r="C309" s="1937"/>
      <c r="D309" s="1944" t="str">
        <f>VLOOKUP($A309,satpek!$B$20:$N$144,2,0)</f>
        <v>Memasang kabel tray galvanis</v>
      </c>
      <c r="E309" s="1944"/>
      <c r="F309" s="2004"/>
      <c r="G309" s="1945">
        <f>'[3]B.VOL RAB'!Q645</f>
        <v>55</v>
      </c>
      <c r="H309" s="2456" t="str">
        <f>VLOOKUP($A309,satpek!$B$20:$N$144,7,0)</f>
        <v>m'</v>
      </c>
      <c r="I309" s="2457" t="str">
        <f>VLOOKUP($A309,satpek!$B$20:$N$144,5,0)</f>
        <v>An. Dihitung</v>
      </c>
      <c r="J309" s="1951">
        <f>VLOOKUP($A309,satpek!$B$20:$N$144,6,0)</f>
        <v>274370.78000000003</v>
      </c>
      <c r="K309" s="1938"/>
      <c r="L309" s="1952">
        <f t="shared" si="290"/>
        <v>15090392.9</v>
      </c>
      <c r="M309" s="1967"/>
      <c r="N309" s="2458">
        <f>VLOOKUP($A309,satpek!$B$20:$L$138,8,0)</f>
        <v>0.80899051094289265</v>
      </c>
      <c r="O309" s="1954">
        <f>VLOOKUP($A309,satpek!$B$20:$L$138,9,0)</f>
        <v>196427.75</v>
      </c>
      <c r="P309" s="1954">
        <f>VLOOKUP($A309,satpek!$B$20:$L$138,10,0)</f>
        <v>221963.35750000001</v>
      </c>
      <c r="Q309" s="1952">
        <f t="shared" si="280"/>
        <v>10803526.25</v>
      </c>
      <c r="R309" s="1952">
        <f t="shared" si="281"/>
        <v>12207984.6625</v>
      </c>
      <c r="S309" s="1955">
        <f t="shared" si="282"/>
        <v>2882408.2375000007</v>
      </c>
      <c r="V309" s="1956">
        <v>55</v>
      </c>
      <c r="W309" s="1956"/>
      <c r="X309" s="1956">
        <f t="shared" si="263"/>
        <v>0</v>
      </c>
      <c r="Y309" s="1836" t="s">
        <v>1883</v>
      </c>
      <c r="AD309" s="1836"/>
      <c r="AE309" s="1836"/>
      <c r="AF309" s="1837">
        <v>286212.05</v>
      </c>
      <c r="AG309" s="1960">
        <f t="shared" si="264"/>
        <v>11841.26999999996</v>
      </c>
    </row>
    <row r="310" spans="1:33" ht="21.95" customHeight="1" x14ac:dyDescent="0.2">
      <c r="A310" s="1833">
        <f>satpek!B104</f>
        <v>85</v>
      </c>
      <c r="B310" s="1943">
        <f t="shared" si="283"/>
        <v>16</v>
      </c>
      <c r="C310" s="1937"/>
      <c r="D310" s="1944" t="str">
        <f>VLOOKUP($A310,satpek!$B$20:$N$144,2,0)</f>
        <v>Memasang Exhaust fan</v>
      </c>
      <c r="E310" s="1944"/>
      <c r="F310" s="2004"/>
      <c r="G310" s="1945">
        <f>'[3]B.VOL RAB'!Q646</f>
        <v>9</v>
      </c>
      <c r="H310" s="2456" t="str">
        <f>VLOOKUP($A310,satpek!$B$20:$N$144,7,0)</f>
        <v>bh</v>
      </c>
      <c r="I310" s="2457" t="str">
        <f>VLOOKUP($A310,satpek!$B$20:$N$144,5,0)</f>
        <v>An. Dihitung</v>
      </c>
      <c r="J310" s="1951">
        <f>VLOOKUP($A310,satpek!$B$20:$N$144,6,0)</f>
        <v>556977</v>
      </c>
      <c r="K310" s="1938"/>
      <c r="L310" s="1952">
        <f t="shared" si="290"/>
        <v>5012793</v>
      </c>
      <c r="M310" s="1967"/>
      <c r="N310" s="2458">
        <f>VLOOKUP($A310,satpek!$B$20:$L$138,8,0)</f>
        <v>0.11594643944004869</v>
      </c>
      <c r="O310" s="1954">
        <f>VLOOKUP($A310,satpek!$B$20:$L$138,9,0)</f>
        <v>57150</v>
      </c>
      <c r="P310" s="1954">
        <f>VLOOKUP($A310,satpek!$B$20:$L$138,10,0)</f>
        <v>64579.5</v>
      </c>
      <c r="Q310" s="1952">
        <f t="shared" si="280"/>
        <v>514350</v>
      </c>
      <c r="R310" s="1952">
        <f t="shared" si="281"/>
        <v>581215.5</v>
      </c>
      <c r="S310" s="1955">
        <f t="shared" si="282"/>
        <v>4431577.5</v>
      </c>
      <c r="V310" s="1956">
        <v>9</v>
      </c>
      <c r="W310" s="1956"/>
      <c r="X310" s="1956">
        <f t="shared" si="263"/>
        <v>0</v>
      </c>
      <c r="Y310" s="1836" t="s">
        <v>1886</v>
      </c>
      <c r="AD310" s="1836"/>
      <c r="AE310" s="1836"/>
      <c r="AF310" s="1837">
        <v>556604.1</v>
      </c>
      <c r="AG310" s="1960">
        <f t="shared" si="264"/>
        <v>-372.90000000002328</v>
      </c>
    </row>
    <row r="311" spans="1:33" ht="21.95" customHeight="1" x14ac:dyDescent="0.2">
      <c r="A311" s="1833">
        <f>satpek!B129</f>
        <v>104</v>
      </c>
      <c r="B311" s="1943">
        <f t="shared" si="283"/>
        <v>17</v>
      </c>
      <c r="C311" s="1937"/>
      <c r="D311" s="1944" t="str">
        <f>VLOOKUP($A311,satpek!$B$20:$N$144,2,0)</f>
        <v>Memasang Unit AC 1 PK</v>
      </c>
      <c r="E311" s="1944"/>
      <c r="F311" s="2004"/>
      <c r="G311" s="1945">
        <f>'[3]B.VOL RAB'!Q647</f>
        <v>12</v>
      </c>
      <c r="H311" s="2456" t="str">
        <f>VLOOKUP($A311,satpek!$B$20:$N$144,7,0)</f>
        <v>unit</v>
      </c>
      <c r="I311" s="2457" t="str">
        <f>VLOOKUP($A311,satpek!$B$20:$N$144,5,0)</f>
        <v>Daftar harga</v>
      </c>
      <c r="J311" s="1951">
        <f>VLOOKUP($A311,satpek!$B$20:$N$144,6,0)</f>
        <v>4950000</v>
      </c>
      <c r="K311" s="1938"/>
      <c r="L311" s="1952">
        <f t="shared" ref="L311" si="291">ROUND((G311*J311),2)</f>
        <v>59400000</v>
      </c>
      <c r="M311" s="1967"/>
      <c r="N311" s="2458">
        <f>VLOOKUP($A311,satpek!$B$20:$L$138,8,0)</f>
        <v>0.1082</v>
      </c>
      <c r="O311" s="1954">
        <f>VLOOKUP($A311,satpek!$B$20:$L$138,9,0)</f>
        <v>0</v>
      </c>
      <c r="P311" s="1954">
        <f>VLOOKUP($A311,satpek!$B$20:$L$138,10,0)</f>
        <v>535590</v>
      </c>
      <c r="Q311" s="1952">
        <f t="shared" si="280"/>
        <v>0</v>
      </c>
      <c r="R311" s="1952">
        <f t="shared" si="281"/>
        <v>6427080</v>
      </c>
      <c r="S311" s="1955">
        <f t="shared" si="282"/>
        <v>52972920</v>
      </c>
      <c r="V311" s="1956">
        <v>12</v>
      </c>
      <c r="W311" s="1956"/>
      <c r="X311" s="1956">
        <f t="shared" si="263"/>
        <v>0</v>
      </c>
      <c r="Y311" s="1836" t="s">
        <v>1884</v>
      </c>
      <c r="AD311" s="1836"/>
      <c r="AE311" s="1836"/>
      <c r="AF311" s="1837">
        <v>4950000</v>
      </c>
      <c r="AG311" s="1960">
        <f t="shared" si="264"/>
        <v>0</v>
      </c>
    </row>
    <row r="312" spans="1:33" ht="21.95" customHeight="1" x14ac:dyDescent="0.2">
      <c r="A312" s="1833">
        <f>satpek!B116</f>
        <v>97</v>
      </c>
      <c r="B312" s="1943">
        <f t="shared" si="283"/>
        <v>18</v>
      </c>
      <c r="C312" s="1937"/>
      <c r="D312" s="1944" t="str">
        <f>VLOOKUP($A312,satpek!$B$20:$N$144,2,0)</f>
        <v>Panel uk 40x60x25 lengkap dengan asesoris 3 phase</v>
      </c>
      <c r="E312" s="1944"/>
      <c r="F312" s="2004"/>
      <c r="G312" s="1945">
        <f>'[3]B.VOL RAB'!Q648</f>
        <v>1</v>
      </c>
      <c r="H312" s="2456" t="str">
        <f>VLOOKUP($A312,satpek!$B$20:$N$144,7,0)</f>
        <v>unit</v>
      </c>
      <c r="I312" s="2457" t="str">
        <f>VLOOKUP($A312,satpek!$B$20:$N$144,5,0)</f>
        <v>Daftar harga</v>
      </c>
      <c r="J312" s="1951">
        <f>VLOOKUP($A312,satpek!$B$20:$N$144,6,0)</f>
        <v>4500000</v>
      </c>
      <c r="K312" s="1938"/>
      <c r="L312" s="1952">
        <f t="shared" ref="L312" si="292">ROUND((G312*J312),2)</f>
        <v>4500000</v>
      </c>
      <c r="M312" s="1967"/>
      <c r="N312" s="2458">
        <f>VLOOKUP($A312,satpek!$B$20:$L$138,8,0)</f>
        <v>0.3</v>
      </c>
      <c r="O312" s="1954">
        <f>VLOOKUP($A312,satpek!$B$20:$L$138,9,0)</f>
        <v>0</v>
      </c>
      <c r="P312" s="1954">
        <f>VLOOKUP($A312,satpek!$B$20:$L$138,10,0)</f>
        <v>1350000</v>
      </c>
      <c r="Q312" s="1952">
        <f t="shared" si="280"/>
        <v>0</v>
      </c>
      <c r="R312" s="1952">
        <f t="shared" si="281"/>
        <v>1350000</v>
      </c>
      <c r="S312" s="1955">
        <f t="shared" si="282"/>
        <v>3150000</v>
      </c>
      <c r="V312" s="1956">
        <v>1</v>
      </c>
      <c r="W312" s="1956"/>
      <c r="X312" s="1956">
        <f t="shared" si="263"/>
        <v>0</v>
      </c>
      <c r="Y312" s="1836" t="s">
        <v>1888</v>
      </c>
      <c r="AD312" s="1836"/>
      <c r="AE312" s="1836"/>
      <c r="AF312" s="1837">
        <v>5000000</v>
      </c>
      <c r="AG312" s="1960">
        <f t="shared" si="264"/>
        <v>500000</v>
      </c>
    </row>
    <row r="313" spans="1:33" ht="21.95" customHeight="1" x14ac:dyDescent="0.2">
      <c r="A313" s="1833">
        <f>satpek!B130</f>
        <v>105</v>
      </c>
      <c r="B313" s="1943">
        <f t="shared" si="283"/>
        <v>19</v>
      </c>
      <c r="C313" s="1937"/>
      <c r="D313" s="1944" t="str">
        <f>VLOOKUP($A313,satpek!$B$20:$N$144,2,0)</f>
        <v>Pasang instalasi penangkal petir 1 split lengkap</v>
      </c>
      <c r="E313" s="1944"/>
      <c r="F313" s="2004"/>
      <c r="G313" s="1945">
        <f>'[3]B.VOL RAB'!Q649</f>
        <v>1</v>
      </c>
      <c r="H313" s="2456" t="str">
        <f>VLOOKUP($A313,satpek!$B$20:$N$144,7,0)</f>
        <v>unit</v>
      </c>
      <c r="I313" s="2457" t="str">
        <f>VLOOKUP($A313,satpek!$B$20:$N$144,5,0)</f>
        <v>Daftar harga</v>
      </c>
      <c r="J313" s="1951">
        <f>VLOOKUP($A313,satpek!$B$20:$N$144,6,0)</f>
        <v>8200000</v>
      </c>
      <c r="K313" s="1938"/>
      <c r="L313" s="1952">
        <f t="shared" ref="L313" si="293">ROUND((G313*J313),2)</f>
        <v>8200000</v>
      </c>
      <c r="M313" s="1967"/>
      <c r="N313" s="2458">
        <f>VLOOKUP($A313,satpek!$B$20:$L$138,8,0)</f>
        <v>0.2</v>
      </c>
      <c r="O313" s="1954">
        <f>VLOOKUP($A313,satpek!$B$20:$L$138,9,0)</f>
        <v>0</v>
      </c>
      <c r="P313" s="1954">
        <f>VLOOKUP($A313,satpek!$B$20:$L$138,10,0)</f>
        <v>1640000</v>
      </c>
      <c r="Q313" s="1952">
        <f t="shared" si="280"/>
        <v>0</v>
      </c>
      <c r="R313" s="1952">
        <f t="shared" si="281"/>
        <v>1640000</v>
      </c>
      <c r="S313" s="1955">
        <f t="shared" si="282"/>
        <v>6560000</v>
      </c>
      <c r="V313" s="1956">
        <v>1</v>
      </c>
      <c r="W313" s="1956"/>
      <c r="X313" s="1956">
        <f t="shared" si="263"/>
        <v>0</v>
      </c>
      <c r="Y313" s="1836" t="s">
        <v>1392</v>
      </c>
      <c r="AD313" s="1836"/>
      <c r="AE313" s="1836"/>
      <c r="AF313" s="1837">
        <v>8600000</v>
      </c>
      <c r="AG313" s="1960">
        <f t="shared" si="264"/>
        <v>400000</v>
      </c>
    </row>
    <row r="314" spans="1:33" ht="21.95" customHeight="1" x14ac:dyDescent="0.2">
      <c r="A314" s="1833">
        <f>satpek!B131</f>
        <v>106</v>
      </c>
      <c r="B314" s="1943">
        <f t="shared" si="283"/>
        <v>20</v>
      </c>
      <c r="C314" s="2013"/>
      <c r="D314" s="1944" t="str">
        <f>VLOOKUP($A314,satpek!$B$20:$N$144,2,0)</f>
        <v>Testing &amp; Comissioning Instalasi Litrik</v>
      </c>
      <c r="E314" s="2014"/>
      <c r="F314" s="2015"/>
      <c r="G314" s="2175">
        <f>'[3]B.VOL RAB'!Q650</f>
        <v>1</v>
      </c>
      <c r="H314" s="2456" t="str">
        <f>VLOOKUP($A314,satpek!$B$20:$N$144,7,0)</f>
        <v>lot</v>
      </c>
      <c r="I314" s="2457" t="str">
        <f>VLOOKUP($A314,satpek!$B$20:$N$144,5,0)</f>
        <v>Daftar harga</v>
      </c>
      <c r="J314" s="1951">
        <f>VLOOKUP($A314,satpek!$B$20:$N$144,6,0)</f>
        <v>3100000</v>
      </c>
      <c r="K314" s="1938"/>
      <c r="L314" s="1952">
        <f t="shared" ref="L314" si="294">ROUND((G314*J314),2)</f>
        <v>3100000</v>
      </c>
      <c r="M314" s="2479"/>
      <c r="N314" s="2458">
        <f>VLOOKUP($A314,satpek!$B$20:$L$138,8,0)</f>
        <v>0.75</v>
      </c>
      <c r="O314" s="1954">
        <f>VLOOKUP($A314,satpek!$B$20:$L$138,9,0)</f>
        <v>0</v>
      </c>
      <c r="P314" s="1954">
        <f>VLOOKUP($A314,satpek!$B$20:$L$138,10,0)</f>
        <v>2325000</v>
      </c>
      <c r="Q314" s="1952">
        <f t="shared" si="280"/>
        <v>0</v>
      </c>
      <c r="R314" s="1952">
        <f t="shared" si="281"/>
        <v>2325000</v>
      </c>
      <c r="S314" s="1955">
        <f t="shared" si="282"/>
        <v>775000</v>
      </c>
      <c r="V314" s="1956">
        <v>1</v>
      </c>
      <c r="W314" s="1956"/>
      <c r="X314" s="1956">
        <f t="shared" si="263"/>
        <v>0</v>
      </c>
      <c r="Y314" s="1836" t="s">
        <v>1889</v>
      </c>
      <c r="Z314" s="1836">
        <v>0.01</v>
      </c>
      <c r="AB314" s="2129">
        <f>SUM(L273:L312)</f>
        <v>332804575.82000005</v>
      </c>
      <c r="AC314" s="1909">
        <f>Z314*AB314</f>
        <v>3328045.7582000005</v>
      </c>
      <c r="AD314" s="1836"/>
      <c r="AE314" s="1836"/>
      <c r="AF314" s="1837">
        <v>3583839.5447</v>
      </c>
      <c r="AG314" s="1960">
        <f t="shared" si="264"/>
        <v>483839.54469999997</v>
      </c>
    </row>
    <row r="315" spans="1:33" ht="21.95" customHeight="1" x14ac:dyDescent="0.2">
      <c r="B315" s="2017"/>
      <c r="C315" s="2018"/>
      <c r="D315" s="2019"/>
      <c r="E315" s="2019"/>
      <c r="F315" s="2020"/>
      <c r="G315" s="2021"/>
      <c r="H315" s="2461"/>
      <c r="I315" s="2462"/>
      <c r="J315" s="2026" t="s">
        <v>358</v>
      </c>
      <c r="K315" s="2027"/>
      <c r="L315" s="2028" t="s">
        <v>1891</v>
      </c>
      <c r="M315" s="2463">
        <f>SUM(L268:L315)</f>
        <v>412942575.81999993</v>
      </c>
      <c r="N315" s="2464">
        <f>R315/M315</f>
        <v>0.4416991890373243</v>
      </c>
      <c r="O315" s="2025"/>
      <c r="P315" s="2025"/>
      <c r="Q315" s="2023"/>
      <c r="R315" s="2068">
        <f>SUM(R266:R314)</f>
        <v>182396400.85867777</v>
      </c>
      <c r="S315" s="2467">
        <f>SUM(S268:S314)</f>
        <v>230546174.96132219</v>
      </c>
      <c r="U315" s="1848">
        <f>M315-T315</f>
        <v>412942575.81999993</v>
      </c>
      <c r="V315" s="1956"/>
      <c r="W315" s="1956"/>
      <c r="X315" s="1956">
        <f t="shared" si="263"/>
        <v>0</v>
      </c>
      <c r="Y315" s="2174">
        <f>SUM(L270:L312)</f>
        <v>332804575.82000005</v>
      </c>
      <c r="AD315" s="1836"/>
      <c r="AE315" s="1836"/>
      <c r="AF315" s="2176">
        <v>0.01</v>
      </c>
    </row>
    <row r="316" spans="1:33" s="2157" customFormat="1" ht="21.95" customHeight="1" x14ac:dyDescent="0.2">
      <c r="A316" s="1833"/>
      <c r="B316" s="2177"/>
      <c r="C316" s="2178"/>
      <c r="D316" s="2179"/>
      <c r="E316" s="2179"/>
      <c r="F316" s="2179"/>
      <c r="G316" s="2180"/>
      <c r="H316" s="2488"/>
      <c r="I316" s="3513" t="s">
        <v>1892</v>
      </c>
      <c r="J316" s="3513"/>
      <c r="K316" s="3513"/>
      <c r="L316" s="3514"/>
      <c r="M316" s="2489">
        <f>SUM(M16:M315)</f>
        <v>5084442779.4199991</v>
      </c>
      <c r="N316" s="2490"/>
      <c r="O316" s="2184"/>
      <c r="P316" s="2184"/>
      <c r="Q316" s="2184"/>
      <c r="R316" s="2185"/>
      <c r="S316" s="2186"/>
      <c r="T316" s="1848"/>
      <c r="U316" s="1848">
        <f>M316-T316</f>
        <v>5084442779.4199991</v>
      </c>
      <c r="V316" s="1956"/>
      <c r="W316" s="1956"/>
      <c r="X316" s="1956">
        <f t="shared" si="263"/>
        <v>0</v>
      </c>
      <c r="Y316" s="2187"/>
      <c r="AB316" s="2158"/>
      <c r="AC316" s="2158"/>
      <c r="AD316" s="2158"/>
      <c r="AE316" s="2158"/>
      <c r="AF316" s="1837">
        <f>AF315*Y315</f>
        <v>3328045.7582000005</v>
      </c>
    </row>
    <row r="317" spans="1:33" s="1924" customFormat="1" ht="32.1" customHeight="1" x14ac:dyDescent="0.2">
      <c r="A317" s="1911"/>
      <c r="B317" s="2188" t="s">
        <v>547</v>
      </c>
      <c r="C317" s="1913"/>
      <c r="D317" s="2189" t="s">
        <v>1998</v>
      </c>
      <c r="E317" s="1913"/>
      <c r="F317" s="1915"/>
      <c r="G317" s="1916"/>
      <c r="H317" s="1913"/>
      <c r="I317" s="2448"/>
      <c r="J317" s="1916"/>
      <c r="K317" s="1920"/>
      <c r="L317" s="1915"/>
      <c r="M317" s="2449"/>
      <c r="N317" s="2491"/>
      <c r="O317" s="2191"/>
      <c r="P317" s="2191"/>
      <c r="Q317" s="2191"/>
      <c r="R317" s="2192"/>
      <c r="S317" s="2193"/>
      <c r="T317" s="1848"/>
      <c r="U317" s="1848"/>
      <c r="V317" s="1956"/>
      <c r="W317" s="1956"/>
      <c r="X317" s="1956">
        <f t="shared" si="263"/>
        <v>0</v>
      </c>
      <c r="AC317" s="1925"/>
      <c r="AD317" s="1925"/>
      <c r="AE317" s="1925"/>
      <c r="AF317" s="1926"/>
    </row>
    <row r="318" spans="1:33" s="2157" customFormat="1" ht="21.95" customHeight="1" x14ac:dyDescent="0.2">
      <c r="A318" s="1833"/>
      <c r="B318" s="2194" t="s">
        <v>1760</v>
      </c>
      <c r="C318" s="2195"/>
      <c r="D318" s="2196" t="s">
        <v>1893</v>
      </c>
      <c r="E318" s="2197"/>
      <c r="F318" s="2197"/>
      <c r="G318" s="2198"/>
      <c r="H318" s="2492"/>
      <c r="I318" s="2202"/>
      <c r="J318" s="2203"/>
      <c r="K318" s="2204"/>
      <c r="L318" s="2205"/>
      <c r="M318" s="2493"/>
      <c r="N318" s="2494"/>
      <c r="O318" s="2206"/>
      <c r="P318" s="2206"/>
      <c r="Q318" s="2206"/>
      <c r="R318" s="2207"/>
      <c r="S318" s="2208"/>
      <c r="T318" s="1848"/>
      <c r="U318" s="1848"/>
      <c r="V318" s="1956"/>
      <c r="W318" s="1956"/>
      <c r="X318" s="1956">
        <f t="shared" si="263"/>
        <v>0</v>
      </c>
      <c r="Y318" s="2187" t="s">
        <v>1893</v>
      </c>
      <c r="AB318" s="2158"/>
      <c r="AC318" s="2158"/>
      <c r="AD318" s="2158"/>
      <c r="AE318" s="2158"/>
      <c r="AF318" s="1837"/>
    </row>
    <row r="319" spans="1:33" s="1957" customFormat="1" ht="21.95" customHeight="1" x14ac:dyDescent="0.2">
      <c r="A319" s="1942">
        <f>satpek!B105</f>
        <v>86</v>
      </c>
      <c r="B319" s="2209">
        <v>1</v>
      </c>
      <c r="C319" s="2210"/>
      <c r="D319" s="1944" t="str">
        <f>VLOOKUP($A319,satpek!$B$20:$N$144,2,0)</f>
        <v>Memasang paving tb. 8 cm, K.250, polos</v>
      </c>
      <c r="E319" s="2211"/>
      <c r="F319" s="2212"/>
      <c r="G319" s="2213">
        <v>623</v>
      </c>
      <c r="H319" s="2456" t="str">
        <f>VLOOKUP($A319,satpek!$B$20:$N$144,7,0)</f>
        <v>m2</v>
      </c>
      <c r="I319" s="2457" t="str">
        <f>VLOOKUP($A319,satpek!$B$20:$N$144,5,0)</f>
        <v>An. Dihitung</v>
      </c>
      <c r="J319" s="1951">
        <f>VLOOKUP($A319,satpek!$B$20:$N$144,6,0)</f>
        <v>206637.45</v>
      </c>
      <c r="K319" s="1938"/>
      <c r="L319" s="1952">
        <f t="shared" ref="L319:L320" si="295">ROUND((G319*J319),2)</f>
        <v>128735131.34999999</v>
      </c>
      <c r="M319" s="2212"/>
      <c r="N319" s="2458">
        <f>VLOOKUP($A319,satpek!$B$20:$L$138,8,0)</f>
        <v>1</v>
      </c>
      <c r="O319" s="1954">
        <f>VLOOKUP($A319,satpek!$B$20:$L$138,9,0)</f>
        <v>182865</v>
      </c>
      <c r="P319" s="1954">
        <f>VLOOKUP($A319,satpek!$B$20:$L$138,10,0)</f>
        <v>206637.45</v>
      </c>
      <c r="Q319" s="2369">
        <f t="shared" ref="Q319:Q320" si="296">O319*G319</f>
        <v>113924895</v>
      </c>
      <c r="R319" s="1952">
        <f t="shared" ref="R319:R320" si="297">N319*L319</f>
        <v>128735131.34999999</v>
      </c>
      <c r="S319" s="1955">
        <f t="shared" ref="S319:S320" si="298">L319-R319</f>
        <v>0</v>
      </c>
      <c r="T319" s="1848"/>
      <c r="U319" s="1848"/>
      <c r="V319" s="1956">
        <v>856</v>
      </c>
      <c r="W319" s="1956"/>
      <c r="X319" s="1956">
        <f t="shared" si="263"/>
        <v>233</v>
      </c>
      <c r="Y319" s="1957" t="s">
        <v>234</v>
      </c>
      <c r="AF319" s="2109">
        <v>204546.95</v>
      </c>
      <c r="AG319" s="1960">
        <f>AF319-J319</f>
        <v>-2090.5</v>
      </c>
    </row>
    <row r="320" spans="1:33" s="1957" customFormat="1" ht="21.95" customHeight="1" x14ac:dyDescent="0.2">
      <c r="A320" s="1942">
        <f>satpek!B29</f>
        <v>10</v>
      </c>
      <c r="B320" s="2214">
        <v>2</v>
      </c>
      <c r="C320" s="2215"/>
      <c r="D320" s="2008" t="str">
        <f>VLOOKUP($A320,satpek!$B$20:$N$144,2,0)</f>
        <v>Mengurug pasir urug</v>
      </c>
      <c r="E320" s="2217"/>
      <c r="F320" s="2218"/>
      <c r="G320" s="2219">
        <f>G319*0.07</f>
        <v>43.610000000000007</v>
      </c>
      <c r="H320" s="2232" t="str">
        <f>VLOOKUP($A320,satpek!$B$20:$N$144,7,0)</f>
        <v>m3</v>
      </c>
      <c r="I320" s="2495" t="str">
        <f>VLOOKUP($A320,satpek!$B$20:$N$144,5,0)</f>
        <v>A.2.3.1.11.</v>
      </c>
      <c r="J320" s="2237">
        <f>VLOOKUP($A320,satpek!$B$20:$N$144,6,0)</f>
        <v>251978.7</v>
      </c>
      <c r="K320" s="2238"/>
      <c r="L320" s="2239">
        <f t="shared" si="295"/>
        <v>10988791.109999999</v>
      </c>
      <c r="M320" s="2218"/>
      <c r="N320" s="2496">
        <f>VLOOKUP($A320,satpek!$B$20:$L$138,8,0)</f>
        <v>1</v>
      </c>
      <c r="O320" s="2241">
        <f>VLOOKUP($A320,satpek!$B$20:$L$138,9,0)</f>
        <v>222990</v>
      </c>
      <c r="P320" s="2241">
        <f>VLOOKUP($A320,satpek!$B$20:$L$138,10,0)</f>
        <v>251978.7</v>
      </c>
      <c r="Q320" s="2497">
        <f t="shared" si="296"/>
        <v>9724593.9000000022</v>
      </c>
      <c r="R320" s="1952">
        <f t="shared" si="297"/>
        <v>10988791.109999999</v>
      </c>
      <c r="S320" s="2242">
        <f t="shared" si="298"/>
        <v>0</v>
      </c>
      <c r="T320" s="1848"/>
      <c r="U320" s="1848"/>
      <c r="V320" s="1956">
        <v>59.920000000000009</v>
      </c>
      <c r="W320" s="1956"/>
      <c r="X320" s="1956">
        <f t="shared" si="263"/>
        <v>16.310000000000002</v>
      </c>
      <c r="Y320" s="1957" t="s">
        <v>467</v>
      </c>
      <c r="AF320" s="2109">
        <v>237435.6</v>
      </c>
      <c r="AG320" s="1960">
        <f>AF320-J320</f>
        <v>-14543.100000000006</v>
      </c>
    </row>
    <row r="321" spans="1:32" s="1957" customFormat="1" ht="21.95" customHeight="1" x14ac:dyDescent="0.2">
      <c r="A321" s="1942"/>
      <c r="B321" s="2257"/>
      <c r="C321" s="2258"/>
      <c r="D321" s="2259"/>
      <c r="E321" s="2259"/>
      <c r="F321" s="2260"/>
      <c r="G321" s="2261"/>
      <c r="H321" s="2498"/>
      <c r="I321" s="3515" t="s">
        <v>1894</v>
      </c>
      <c r="J321" s="3515"/>
      <c r="K321" s="3515"/>
      <c r="L321" s="3516"/>
      <c r="M321" s="2463">
        <f>SUM(L319:L320)</f>
        <v>139723922.45999998</v>
      </c>
      <c r="N321" s="2464">
        <f>R321/M321</f>
        <v>1</v>
      </c>
      <c r="O321" s="2266"/>
      <c r="P321" s="2266"/>
      <c r="Q321" s="2266">
        <f>SUM(Q14:Q320)</f>
        <v>2879859187.2039547</v>
      </c>
      <c r="R321" s="2266">
        <f>SUM(R319:R320)</f>
        <v>139723922.45999998</v>
      </c>
      <c r="S321" s="2267">
        <f>SUM(S319:S320)</f>
        <v>0</v>
      </c>
      <c r="T321" s="1848"/>
      <c r="U321" s="1848">
        <f>M321-T321</f>
        <v>139723922.45999998</v>
      </c>
      <c r="V321" s="1956"/>
      <c r="W321" s="1956"/>
      <c r="X321" s="1956"/>
      <c r="Y321" s="2268">
        <f>Rekap!Q48</f>
        <v>1175000</v>
      </c>
      <c r="AF321" s="2109"/>
    </row>
    <row r="322" spans="1:32" s="2157" customFormat="1" ht="24.95" customHeight="1" x14ac:dyDescent="0.2">
      <c r="A322" s="1833"/>
      <c r="B322" s="2269"/>
      <c r="C322" s="2270"/>
      <c r="D322" s="2271"/>
      <c r="E322" s="2271"/>
      <c r="F322" s="2271"/>
      <c r="G322" s="2272"/>
      <c r="H322" s="2499"/>
      <c r="I322" s="2276"/>
      <c r="J322" s="2277"/>
      <c r="K322" s="2276"/>
      <c r="L322" s="2278" t="s">
        <v>2021</v>
      </c>
      <c r="M322" s="2500">
        <f>M321+M316</f>
        <v>5224166701.8799992</v>
      </c>
      <c r="N322" s="3186">
        <f>R322/M322</f>
        <v>0.67400481563363768</v>
      </c>
      <c r="O322" s="2279"/>
      <c r="P322" s="2279"/>
      <c r="Q322" s="2279"/>
      <c r="R322" s="2502">
        <f>SUM(R16:R321)/2</f>
        <v>3521113514.7400179</v>
      </c>
      <c r="S322" s="2281">
        <f>SUM(S15:S321)/2</f>
        <v>1703053187.1399796</v>
      </c>
      <c r="T322" s="1848"/>
      <c r="U322" s="1848"/>
      <c r="V322" s="1956"/>
      <c r="W322" s="1956"/>
      <c r="X322" s="1956"/>
      <c r="Y322" s="2187"/>
      <c r="AB322" s="2158"/>
      <c r="AC322" s="2158"/>
      <c r="AD322" s="2158"/>
      <c r="AE322" s="2158"/>
      <c r="AF322" s="1837"/>
    </row>
    <row r="323" spans="1:32" s="2293" customFormat="1" ht="24.95" customHeight="1" x14ac:dyDescent="0.2">
      <c r="A323" s="2130"/>
      <c r="B323" s="2282"/>
      <c r="C323" s="2283"/>
      <c r="D323" s="2284"/>
      <c r="E323" s="2284"/>
      <c r="F323" s="2285"/>
      <c r="G323" s="2286"/>
      <c r="H323" s="2289"/>
      <c r="I323" s="2291"/>
      <c r="J323" s="2291"/>
      <c r="K323" s="2292"/>
      <c r="L323" s="2290" t="s">
        <v>1646</v>
      </c>
      <c r="M323" s="2503">
        <f>M322*0.11</f>
        <v>574658337.20679986</v>
      </c>
      <c r="N323" s="2490"/>
      <c r="O323" s="2184"/>
      <c r="P323" s="2184"/>
      <c r="Q323" s="2184"/>
      <c r="R323" s="2184"/>
      <c r="S323" s="2186"/>
      <c r="T323" s="2125"/>
      <c r="U323" s="2125"/>
      <c r="V323" s="2125"/>
      <c r="W323" s="2125"/>
      <c r="X323" s="2125"/>
      <c r="Y323" s="2187"/>
      <c r="AB323" s="2158"/>
      <c r="AC323" s="2158"/>
      <c r="AD323" s="2158"/>
      <c r="AE323" s="2158"/>
      <c r="AF323" s="1910"/>
    </row>
    <row r="324" spans="1:32" s="2293" customFormat="1" ht="24.95" customHeight="1" x14ac:dyDescent="0.2">
      <c r="A324" s="2130"/>
      <c r="B324" s="2282"/>
      <c r="C324" s="2283"/>
      <c r="D324" s="2284"/>
      <c r="E324" s="2284"/>
      <c r="F324" s="2285"/>
      <c r="G324" s="2286"/>
      <c r="H324" s="2289"/>
      <c r="I324" s="2291"/>
      <c r="J324" s="2291"/>
      <c r="K324" s="2292"/>
      <c r="L324" s="2290" t="s">
        <v>360</v>
      </c>
      <c r="M324" s="2503">
        <f>SUM(M322:M323)</f>
        <v>5798825039.0867987</v>
      </c>
      <c r="N324" s="2490"/>
      <c r="O324" s="2184"/>
      <c r="P324" s="2184"/>
      <c r="Q324" s="2184"/>
      <c r="R324" s="2184"/>
      <c r="S324" s="2186"/>
      <c r="T324" s="2125"/>
      <c r="U324" s="2125"/>
      <c r="V324" s="2125"/>
      <c r="W324" s="2125"/>
      <c r="X324" s="2125"/>
      <c r="Y324" s="2187"/>
      <c r="AB324" s="2158"/>
      <c r="AC324" s="2158"/>
      <c r="AD324" s="2158"/>
      <c r="AE324" s="2158"/>
      <c r="AF324" s="1910"/>
    </row>
    <row r="325" spans="1:32" s="2293" customFormat="1" ht="24.95" customHeight="1" x14ac:dyDescent="0.2">
      <c r="A325" s="2130"/>
      <c r="B325" s="2294"/>
      <c r="C325" s="2295"/>
      <c r="D325" s="2296"/>
      <c r="E325" s="2296"/>
      <c r="F325" s="2297"/>
      <c r="G325" s="2298"/>
      <c r="H325" s="2302"/>
      <c r="I325" s="2304"/>
      <c r="J325" s="2304"/>
      <c r="K325" s="2305"/>
      <c r="L325" s="2303" t="s">
        <v>359</v>
      </c>
      <c r="M325" s="2504">
        <f>ROUNDDOWN(M324,-3)</f>
        <v>5798825000</v>
      </c>
      <c r="N325" s="2494"/>
      <c r="O325" s="2206"/>
      <c r="P325" s="2206"/>
      <c r="Q325" s="2206"/>
      <c r="R325" s="2206"/>
      <c r="S325" s="2208"/>
      <c r="T325" s="2125"/>
      <c r="U325" s="2125"/>
      <c r="V325" s="2125"/>
      <c r="W325" s="2125"/>
      <c r="X325" s="2125"/>
      <c r="Y325" s="2187"/>
      <c r="AB325" s="2158"/>
      <c r="AC325" s="2158"/>
      <c r="AD325" s="2158"/>
      <c r="AE325" s="2158"/>
      <c r="AF325" s="1910"/>
    </row>
    <row r="326" spans="1:32" ht="24.95" customHeight="1" thickBot="1" x14ac:dyDescent="0.25">
      <c r="B326" s="2306"/>
      <c r="C326" s="2307"/>
      <c r="D326" s="2308"/>
      <c r="E326" s="2308"/>
      <c r="F326" s="2309"/>
      <c r="G326" s="2310"/>
      <c r="H326" s="2313"/>
      <c r="I326" s="2505"/>
      <c r="J326" s="2315"/>
      <c r="K326" s="2316"/>
      <c r="L326" s="2317"/>
      <c r="M326" s="2506"/>
      <c r="N326" s="2507"/>
      <c r="O326" s="2319"/>
      <c r="P326" s="2319"/>
      <c r="Q326" s="2319"/>
      <c r="R326" s="2319"/>
      <c r="S326" s="2320"/>
      <c r="AD326" s="1836"/>
      <c r="AE326" s="1836"/>
      <c r="AF326" s="1837"/>
    </row>
    <row r="327" spans="1:32" ht="21.95" customHeight="1" thickTop="1" x14ac:dyDescent="0.2">
      <c r="B327" s="2321"/>
      <c r="F327" s="1847"/>
      <c r="G327" s="2322"/>
      <c r="L327" s="1847"/>
      <c r="M327" s="2141"/>
      <c r="N327" s="1847"/>
      <c r="O327" s="1847"/>
      <c r="P327" s="1847"/>
      <c r="Q327" s="1847"/>
      <c r="R327" s="1847"/>
      <c r="S327" s="1847"/>
      <c r="AC327" s="1836"/>
      <c r="AD327" s="1836"/>
      <c r="AE327" s="1836"/>
      <c r="AF327" s="1837"/>
    </row>
    <row r="328" spans="1:32" ht="21.95" customHeight="1" x14ac:dyDescent="0.2">
      <c r="F328" s="1847"/>
      <c r="G328" s="2322"/>
      <c r="L328" s="1847"/>
      <c r="M328" s="2141"/>
      <c r="N328" s="1847"/>
      <c r="O328" s="1847"/>
      <c r="P328" s="1847"/>
      <c r="Q328" s="1847"/>
      <c r="R328" s="1847"/>
      <c r="S328" s="1847"/>
      <c r="AC328" s="1836"/>
      <c r="AD328" s="1836"/>
      <c r="AE328" s="1836"/>
      <c r="AF328" s="1837"/>
    </row>
    <row r="329" spans="1:32" ht="15.95" customHeight="1" x14ac:dyDescent="0.2">
      <c r="M329" s="2351" t="str">
        <f>'data primer'!$E$11</f>
        <v>Karanganyar,                               2022</v>
      </c>
      <c r="N329" s="2323"/>
      <c r="O329" s="2323"/>
      <c r="P329" s="2323"/>
      <c r="Q329" s="2323"/>
      <c r="R329" s="2323"/>
      <c r="S329" s="2323"/>
      <c r="AC329" s="1836"/>
      <c r="AD329" s="1836"/>
      <c r="AE329" s="1836"/>
      <c r="AF329" s="1837"/>
    </row>
    <row r="330" spans="1:32" ht="15.95" customHeight="1" x14ac:dyDescent="0.2">
      <c r="M330" s="2346" t="str">
        <f>'data primer'!$E$12</f>
        <v>PEJABAT PENANDATANGAN KONTRAK</v>
      </c>
    </row>
    <row r="331" spans="1:32" ht="15.95" customHeight="1" x14ac:dyDescent="0.2">
      <c r="M331" s="2346"/>
    </row>
    <row r="332" spans="1:32" ht="15.95" customHeight="1" x14ac:dyDescent="0.2">
      <c r="M332" s="2332"/>
    </row>
    <row r="333" spans="1:32" ht="15.95" customHeight="1" x14ac:dyDescent="0.2">
      <c r="M333" s="2332"/>
    </row>
    <row r="334" spans="1:32" ht="15.95" customHeight="1" x14ac:dyDescent="0.2">
      <c r="M334" s="2332"/>
    </row>
    <row r="335" spans="1:32" x14ac:dyDescent="0.2">
      <c r="B335" s="1836"/>
      <c r="G335" s="1836"/>
      <c r="I335" s="1836"/>
      <c r="M335" s="2332"/>
      <c r="AC335" s="1836"/>
      <c r="AD335" s="1836"/>
      <c r="AE335" s="1836"/>
      <c r="AF335" s="1837"/>
    </row>
    <row r="336" spans="1:32" x14ac:dyDescent="0.2">
      <c r="A336" s="1836"/>
      <c r="B336" s="1836"/>
      <c r="G336" s="1836"/>
      <c r="I336" s="1836"/>
      <c r="M336" s="2332"/>
      <c r="AC336" s="1836"/>
      <c r="AD336" s="1836"/>
      <c r="AE336" s="1836"/>
      <c r="AF336" s="1837"/>
    </row>
    <row r="337" spans="1:32" x14ac:dyDescent="0.2">
      <c r="A337" s="1836"/>
      <c r="B337" s="1836"/>
      <c r="G337" s="1836"/>
      <c r="I337" s="1836"/>
      <c r="M337" s="2332"/>
      <c r="AC337" s="1836"/>
      <c r="AD337" s="1836"/>
      <c r="AE337" s="1836"/>
      <c r="AF337" s="1837"/>
    </row>
    <row r="338" spans="1:32" x14ac:dyDescent="0.2">
      <c r="A338" s="1836"/>
      <c r="B338" s="1836"/>
      <c r="G338" s="1836"/>
      <c r="I338" s="1836"/>
      <c r="M338" s="2332"/>
      <c r="AC338" s="1836"/>
      <c r="AD338" s="1836"/>
      <c r="AE338" s="1836"/>
      <c r="AF338" s="1837"/>
    </row>
    <row r="339" spans="1:32" x14ac:dyDescent="0.2">
      <c r="A339" s="1836"/>
      <c r="B339" s="1836"/>
      <c r="G339" s="1836"/>
      <c r="I339" s="1836"/>
      <c r="M339" s="2332"/>
      <c r="AC339" s="1836"/>
      <c r="AD339" s="1836"/>
      <c r="AE339" s="1836"/>
      <c r="AF339" s="1837"/>
    </row>
    <row r="340" spans="1:32" x14ac:dyDescent="0.2">
      <c r="A340" s="1836"/>
      <c r="B340" s="1836"/>
      <c r="G340" s="1836"/>
      <c r="I340" s="1836"/>
      <c r="M340" s="2433" t="str">
        <f>'data primer'!$E$15</f>
        <v>FERIANA DWI KURNIAWATI, SP, M.Si</v>
      </c>
      <c r="AC340" s="1836"/>
      <c r="AD340" s="1836"/>
      <c r="AE340" s="1836"/>
      <c r="AF340" s="1837"/>
    </row>
    <row r="341" spans="1:32" x14ac:dyDescent="0.2">
      <c r="A341" s="1836"/>
      <c r="B341" s="1836"/>
      <c r="G341" s="1836"/>
      <c r="I341" s="1836"/>
      <c r="M341" s="2332" t="str">
        <f>'data primer'!$E$16</f>
        <v>NIP. 19810226 200501 2 015</v>
      </c>
      <c r="AC341" s="1836"/>
      <c r="AD341" s="1836"/>
      <c r="AE341" s="1836"/>
      <c r="AF341" s="1837"/>
    </row>
    <row r="342" spans="1:32" x14ac:dyDescent="0.2">
      <c r="A342" s="1836"/>
      <c r="B342" s="1836"/>
      <c r="G342" s="1836"/>
      <c r="I342" s="1836"/>
      <c r="L342" s="2322"/>
      <c r="AC342" s="1836"/>
      <c r="AD342" s="1836"/>
      <c r="AE342" s="1836"/>
      <c r="AF342" s="1837"/>
    </row>
    <row r="343" spans="1:32" x14ac:dyDescent="0.2">
      <c r="A343" s="1836"/>
      <c r="B343" s="1836"/>
      <c r="G343" s="1836"/>
      <c r="I343" s="1836"/>
      <c r="L343" s="1847"/>
      <c r="AC343" s="1836"/>
      <c r="AD343" s="1836"/>
      <c r="AE343" s="1836"/>
      <c r="AF343" s="1837"/>
    </row>
    <row r="344" spans="1:32" x14ac:dyDescent="0.2">
      <c r="A344" s="1836"/>
      <c r="B344" s="1836"/>
      <c r="G344" s="1836"/>
      <c r="I344" s="1836"/>
      <c r="L344" s="1847"/>
      <c r="AC344" s="1836"/>
      <c r="AD344" s="1836"/>
      <c r="AE344" s="1836"/>
      <c r="AF344" s="1837"/>
    </row>
  </sheetData>
  <mergeCells count="4">
    <mergeCell ref="B1:M1"/>
    <mergeCell ref="B2:M2"/>
    <mergeCell ref="I316:L316"/>
    <mergeCell ref="I321:L32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Back-up Sumur</vt:lpstr>
      <vt:lpstr>data primer</vt:lpstr>
      <vt:lpstr>Upah &amp; Bahan</vt:lpstr>
      <vt:lpstr>SNI</vt:lpstr>
      <vt:lpstr>K3</vt:lpstr>
      <vt:lpstr>satpek</vt:lpstr>
      <vt:lpstr>Usulan 2019</vt:lpstr>
      <vt:lpstr>K3.</vt:lpstr>
      <vt:lpstr>RAB.PERTANIAN</vt:lpstr>
      <vt:lpstr>RAB</vt:lpstr>
      <vt:lpstr>Rekap</vt:lpstr>
      <vt:lpstr>tkdn.rab</vt:lpstr>
      <vt:lpstr>TKDN</vt:lpstr>
      <vt:lpstr>vol.</vt:lpstr>
      <vt:lpstr>terbilang</vt:lpstr>
      <vt:lpstr>HARGA 2020</vt:lpstr>
      <vt:lpstr>HARGA 2022</vt:lpstr>
      <vt:lpstr>Sheet3</vt:lpstr>
      <vt:lpstr>TEMPELET</vt:lpstr>
      <vt:lpstr>rekap MPU</vt:lpstr>
      <vt:lpstr>MPU</vt:lpstr>
      <vt:lpstr>back up vol</vt:lpstr>
      <vt:lpstr>TABEL HITUNG BESI 1</vt:lpstr>
      <vt:lpstr>TABEL HITUNG BESI 2</vt:lpstr>
      <vt:lpstr>'Upah &amp; Bahan'!Print_Area</vt:lpstr>
      <vt:lpstr>'Usulan 2019'!Print_Area</vt:lpstr>
      <vt:lpstr>'Upah &amp; Bahan'!Print_Titles</vt:lpstr>
      <vt:lpstr>'Usulan 2019'!Print_Titles</vt:lpstr>
    </vt:vector>
  </TitlesOfParts>
  <Company>solo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Mela</cp:lastModifiedBy>
  <cp:lastPrinted>2017-12-18T01:59:48Z</cp:lastPrinted>
  <dcterms:created xsi:type="dcterms:W3CDTF">2009-05-18T08:14:15Z</dcterms:created>
  <dcterms:modified xsi:type="dcterms:W3CDTF">2022-12-30T19:36:50Z</dcterms:modified>
</cp:coreProperties>
</file>